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1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charts/style5.xml" ContentType="application/vnd.ms-office.chartstyle+xml"/>
  <Override PartName="/xl/charts/colors5.xml" ContentType="application/vnd.ms-office.chartcolorstyle+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1.xml" ContentType="application/vnd.openxmlformats-officedocument.drawingml.chart+xml"/>
  <Override PartName="/xl/drawings/drawing25.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26.xml" ContentType="application/vnd.openxmlformats-officedocument.drawingml.chartshapes+xml"/>
  <Override PartName="/xl/charts/chart27.xml" ContentType="application/vnd.openxmlformats-officedocument.drawingml.chart+xml"/>
  <Override PartName="/xl/charts/chart28.xml" ContentType="application/vnd.openxmlformats-officedocument.drawingml.chart+xml"/>
  <Override PartName="/xl/drawings/drawing27.xml" ContentType="application/vnd.openxmlformats-officedocument.drawingml.chartshapes+xml"/>
  <Override PartName="/xl/charts/chart29.xml" ContentType="application/vnd.openxmlformats-officedocument.drawingml.chart+xml"/>
  <Override PartName="/xl/drawings/drawing2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2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30.xml" ContentType="application/vnd.openxmlformats-officedocument.drawing+xml"/>
  <Override PartName="/xl/charts/chart34.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35.xml" ContentType="application/vnd.openxmlformats-officedocument.drawingml.chart+xml"/>
  <Override PartName="/xl/drawings/drawing33.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37.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38.xml" ContentType="application/vnd.openxmlformats-officedocument.drawing+xml"/>
  <Override PartName="/xl/charts/chart42.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43.xml" ContentType="application/vnd.openxmlformats-officedocument.drawingml.chart+xml"/>
  <Override PartName="/xl/drawings/drawing41.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44.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47.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48.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49.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0.xml" ContentType="application/vnd.openxmlformats-officedocument.drawing+xml"/>
  <Override PartName="/xl/charts/chart58.xml" ContentType="application/vnd.openxmlformats-officedocument.drawingml.chart+xml"/>
  <Override PartName="/xl/drawings/drawing51.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52.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5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54.xml" ContentType="application/vnd.openxmlformats-officedocument.drawing+xml"/>
  <Override PartName="/xl/charts/chart65.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66.xml" ContentType="application/vnd.openxmlformats-officedocument.drawingml.chart+xml"/>
  <Override PartName="/xl/drawings/drawing57.xml" ContentType="application/vnd.openxmlformats-officedocument.drawingml.chartshapes+xml"/>
  <Override PartName="/xl/charts/chart67.xml" ContentType="application/vnd.openxmlformats-officedocument.drawingml.chart+xml"/>
  <Override PartName="/xl/drawings/drawing58.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59.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60.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61.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62.xml" ContentType="application/vnd.openxmlformats-officedocument.drawing+xml"/>
  <Override PartName="/xl/charts/chart80.xml" ContentType="application/vnd.openxmlformats-officedocument.drawingml.chart+xml"/>
  <Override PartName="/xl/drawings/drawing63.xml" ContentType="application/vnd.openxmlformats-officedocument.drawingml.chartshapes+xml"/>
  <Override PartName="/xl/charts/chart81.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82.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83.xml" ContentType="application/vnd.openxmlformats-officedocument.drawingml.chart+xml"/>
  <Override PartName="/xl/drawings/drawing68.xml" ContentType="application/vnd.openxmlformats-officedocument.drawingml.chartshapes+xml"/>
  <Override PartName="/xl/charts/chart84.xml" ContentType="application/vnd.openxmlformats-officedocument.drawingml.chart+xml"/>
  <Override PartName="/xl/charts/chart85.xml" ContentType="application/vnd.openxmlformats-officedocument.drawingml.chart+xml"/>
  <Override PartName="/xl/drawings/drawing69.xml" ContentType="application/vnd.openxmlformats-officedocument.drawing+xml"/>
  <Override PartName="/xl/charts/chart86.xml" ContentType="application/vnd.openxmlformats-officedocument.drawingml.chart+xml"/>
  <Override PartName="/xl/drawings/drawing70.xml" ContentType="application/vnd.openxmlformats-officedocument.drawingml.chartshapes+xml"/>
  <Override PartName="/xl/charts/chart87.xml" ContentType="application/vnd.openxmlformats-officedocument.drawingml.chart+xml"/>
  <Override PartName="/xl/drawings/drawing71.xml" ContentType="application/vnd.openxmlformats-officedocument.drawingml.chartshapes+xml"/>
  <Override PartName="/xl/charts/chart88.xml" ContentType="application/vnd.openxmlformats-officedocument.drawingml.chart+xml"/>
  <Override PartName="/xl/drawings/drawing72.xml" ContentType="application/vnd.openxmlformats-officedocument.drawingml.chartshapes+xml"/>
  <Override PartName="/xl/charts/chart89.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My Documents\temporary\statistics\"/>
    </mc:Choice>
  </mc:AlternateContent>
  <bookViews>
    <workbookView xWindow="-120" yWindow="480" windowWidth="29040" windowHeight="18240" tabRatio="879"/>
  </bookViews>
  <sheets>
    <sheet name="Index" sheetId="1" r:id="rId1"/>
    <sheet name="Data Sources" sheetId="8" r:id="rId2"/>
    <sheet name="How To Use" sheetId="72" r:id="rId3"/>
    <sheet name="Commodity Prices" sheetId="6" r:id="rId4"/>
    <sheet name="Q&amp;V Summary 2-years" sheetId="49" r:id="rId5"/>
    <sheet name="CY Q&amp;V 1886 to 2003" sheetId="48" r:id="rId6"/>
    <sheet name="CY Q&amp;V 2004 to Now" sheetId="51" r:id="rId7"/>
    <sheet name="FY Q&amp;V 1984-85 to 2002-03" sheetId="63" r:id="rId8"/>
    <sheet name="FY Q&amp;V 2003-04 to Now" sheetId="62" r:id="rId9"/>
    <sheet name="Alumina - Q&amp;V" sheetId="2" r:id="rId10"/>
    <sheet name="Alumina - Prices" sheetId="11" r:id="rId11"/>
    <sheet name="Alumina - Exports" sheetId="4" r:id="rId12"/>
    <sheet name="Alumina - WA vs Australia" sheetId="5" r:id="rId13"/>
    <sheet name="Base Metals - Q&amp;V" sheetId="54" r:id="rId14"/>
    <sheet name="Base Metals - Prices" sheetId="53" r:id="rId15"/>
    <sheet name="Base Metals - Exports" sheetId="78" r:id="rId16"/>
    <sheet name="Base Metals - WA vs Australia" sheetId="56" r:id="rId17"/>
    <sheet name="Gold - Q&amp;V" sheetId="17" r:id="rId18"/>
    <sheet name="Gold - Prices" sheetId="18" r:id="rId19"/>
    <sheet name="Gold - Exports" sheetId="75" r:id="rId20"/>
    <sheet name="Gold - WA vs Australia" sheetId="21" r:id="rId21"/>
    <sheet name="Gold - Prod. By Mineral Field" sheetId="23" r:id="rId22"/>
    <sheet name="Iron Ore - Q&amp;V" sheetId="28" r:id="rId23"/>
    <sheet name="Iron Ore - Prices" sheetId="30" r:id="rId24"/>
    <sheet name="Iron Ore - Exports" sheetId="76" r:id="rId25"/>
    <sheet name="Iron Ore - WA vs Australia" sheetId="32" r:id="rId26"/>
    <sheet name="China Steel Prod &amp; Iron Ore CY" sheetId="34" r:id="rId27"/>
    <sheet name="China Steel Prod &amp; Iron Ore FY" sheetId="71" r:id="rId28"/>
    <sheet name="Lithium - Q&amp;V" sheetId="79" r:id="rId29"/>
    <sheet name="Lithium - Prices" sheetId="80" r:id="rId30"/>
    <sheet name="Mineral Sands - Q&amp;V" sheetId="22" r:id="rId31"/>
    <sheet name="Mineral Sands - Prices" sheetId="59" r:id="rId32"/>
    <sheet name="Mineral Sands - Exports" sheetId="74" r:id="rId33"/>
    <sheet name="Mineral Sands - WA vs Australia" sheetId="27" r:id="rId34"/>
    <sheet name="Nickel - Q&amp;V" sheetId="12" r:id="rId35"/>
    <sheet name="Nickel - Prices" sheetId="13" r:id="rId36"/>
    <sheet name="Nickel - Exports" sheetId="73" r:id="rId37"/>
    <sheet name="Nickel - WA vs Australia" sheetId="16" r:id="rId38"/>
    <sheet name="Other Commodities - Q&amp;V" sheetId="61" r:id="rId39"/>
    <sheet name="Petroleum - Q&amp;V1" sheetId="36" r:id="rId40"/>
    <sheet name="Petroleum - Q&amp;V2" sheetId="52" r:id="rId41"/>
    <sheet name="Petroleum - Oil Prices" sheetId="37" r:id="rId42"/>
    <sheet name="Petroleum - Gas Prices" sheetId="42" r:id="rId43"/>
    <sheet name="Petroleum - Exports" sheetId="77" r:id="rId44"/>
    <sheet name="Petroleum - WA vs Australia" sheetId="40" r:id="rId45"/>
    <sheet name="Petroleum - Global LNG Trade" sheetId="60" r:id="rId46"/>
    <sheet name="Petroleum - Global Oil Reserves" sheetId="44" r:id="rId47"/>
    <sheet name="Uranium - Prices" sheetId="35" state="hidden" r:id="rId48"/>
  </sheets>
  <externalReferences>
    <externalReference r:id="rId49"/>
    <externalReference r:id="rId50"/>
  </externalReferences>
  <definedNames>
    <definedName name="_xlnm._FilterDatabase" localSheetId="3" hidden="1">'Commodity Prices'!$AP$7:$AV$1304</definedName>
    <definedName name="_xlnm._FilterDatabase" localSheetId="45" hidden="1">'Petroleum - Global LNG Trade'!$A$59:$C$79</definedName>
    <definedName name="A1954791L" localSheetId="15">'[1]Mineral Exploration Drilling'!#REF!,'[1]Mineral Exploration Drilling'!#REF!</definedName>
    <definedName name="A1954791L" localSheetId="19">'[1]Mineral Exploration Drilling'!#REF!,'[1]Mineral Exploration Drilling'!#REF!</definedName>
    <definedName name="A1954791L" localSheetId="24">'[1]Mineral Exploration Drilling'!#REF!,'[1]Mineral Exploration Drilling'!#REF!</definedName>
    <definedName name="A1954791L" localSheetId="29">'[1]Mineral Exploration Drilling'!#REF!,'[1]Mineral Exploration Drilling'!#REF!</definedName>
    <definedName name="A1954791L" localSheetId="32">'[1]Mineral Exploration Drilling'!#REF!,'[1]Mineral Exploration Drilling'!#REF!</definedName>
    <definedName name="A1954791L" localSheetId="36">'[1]Mineral Exploration Drilling'!#REF!,'[1]Mineral Exploration Drilling'!#REF!</definedName>
    <definedName name="A1954791L" localSheetId="43">'[1]Mineral Exploration Drilling'!#REF!,'[1]Mineral Exploration Drilling'!#REF!</definedName>
    <definedName name="A1954791L">'[1]Mineral Exploration Drilling'!#REF!,'[1]Mineral Exploration Drilling'!#REF!</definedName>
    <definedName name="A1954791L_Data" localSheetId="15">'[1]Mineral Exploration Drilling'!#REF!</definedName>
    <definedName name="A1954791L_Data" localSheetId="19">'[1]Mineral Exploration Drilling'!#REF!</definedName>
    <definedName name="A1954791L_Data" localSheetId="24">'[1]Mineral Exploration Drilling'!#REF!</definedName>
    <definedName name="A1954791L_Data" localSheetId="29">'[1]Mineral Exploration Drilling'!#REF!</definedName>
    <definedName name="A1954791L_Data" localSheetId="32">'[1]Mineral Exploration Drilling'!#REF!</definedName>
    <definedName name="A1954791L_Data" localSheetId="36">'[1]Mineral Exploration Drilling'!#REF!</definedName>
    <definedName name="A1954791L_Data" localSheetId="43">'[1]Mineral Exploration Drilling'!#REF!</definedName>
    <definedName name="A1954791L_Data">'[1]Mineral Exploration Drilling'!#REF!</definedName>
    <definedName name="A1954791L_Latest" localSheetId="15">'[1]Mineral Exploration Drilling'!#REF!</definedName>
    <definedName name="A1954791L_Latest" localSheetId="19">'[1]Mineral Exploration Drilling'!#REF!</definedName>
    <definedName name="A1954791L_Latest" localSheetId="24">'[1]Mineral Exploration Drilling'!#REF!</definedName>
    <definedName name="A1954791L_Latest" localSheetId="29">'[1]Mineral Exploration Drilling'!#REF!</definedName>
    <definedName name="A1954791L_Latest" localSheetId="32">'[1]Mineral Exploration Drilling'!#REF!</definedName>
    <definedName name="A1954791L_Latest" localSheetId="36">'[1]Mineral Exploration Drilling'!#REF!</definedName>
    <definedName name="A1954791L_Latest" localSheetId="43">'[1]Mineral Exploration Drilling'!#REF!</definedName>
    <definedName name="A1954791L_Latest">'[1]Mineral Exploration Drilling'!#REF!</definedName>
    <definedName name="A1954799F" localSheetId="15">'[1]Mineral Exploration Drilling'!#REF!,'[1]Mineral Exploration Drilling'!#REF!</definedName>
    <definedName name="A1954799F" localSheetId="19">'[1]Mineral Exploration Drilling'!#REF!,'[1]Mineral Exploration Drilling'!#REF!</definedName>
    <definedName name="A1954799F" localSheetId="24">'[1]Mineral Exploration Drilling'!#REF!,'[1]Mineral Exploration Drilling'!#REF!</definedName>
    <definedName name="A1954799F" localSheetId="29">'[1]Mineral Exploration Drilling'!#REF!,'[1]Mineral Exploration Drilling'!#REF!</definedName>
    <definedName name="A1954799F" localSheetId="32">'[1]Mineral Exploration Drilling'!#REF!,'[1]Mineral Exploration Drilling'!#REF!</definedName>
    <definedName name="A1954799F" localSheetId="36">'[1]Mineral Exploration Drilling'!#REF!,'[1]Mineral Exploration Drilling'!#REF!</definedName>
    <definedName name="A1954799F" localSheetId="43">'[1]Mineral Exploration Drilling'!#REF!,'[1]Mineral Exploration Drilling'!#REF!</definedName>
    <definedName name="A1954799F">'[1]Mineral Exploration Drilling'!#REF!,'[1]Mineral Exploration Drilling'!#REF!</definedName>
    <definedName name="A1954799F_Data" localSheetId="15">'[1]Mineral Exploration Drilling'!#REF!</definedName>
    <definedName name="A1954799F_Data" localSheetId="19">'[1]Mineral Exploration Drilling'!#REF!</definedName>
    <definedName name="A1954799F_Data" localSheetId="24">'[1]Mineral Exploration Drilling'!#REF!</definedName>
    <definedName name="A1954799F_Data" localSheetId="29">'[1]Mineral Exploration Drilling'!#REF!</definedName>
    <definedName name="A1954799F_Data" localSheetId="32">'[1]Mineral Exploration Drilling'!#REF!</definedName>
    <definedName name="A1954799F_Data" localSheetId="36">'[1]Mineral Exploration Drilling'!#REF!</definedName>
    <definedName name="A1954799F_Data" localSheetId="43">'[1]Mineral Exploration Drilling'!#REF!</definedName>
    <definedName name="A1954799F_Data">'[1]Mineral Exploration Drilling'!#REF!</definedName>
    <definedName name="A1954799F_Latest" localSheetId="15">'[1]Mineral Exploration Drilling'!#REF!</definedName>
    <definedName name="A1954799F_Latest" localSheetId="19">'[1]Mineral Exploration Drilling'!#REF!</definedName>
    <definedName name="A1954799F_Latest" localSheetId="24">'[1]Mineral Exploration Drilling'!#REF!</definedName>
    <definedName name="A1954799F_Latest" localSheetId="29">'[1]Mineral Exploration Drilling'!#REF!</definedName>
    <definedName name="A1954799F_Latest" localSheetId="32">'[1]Mineral Exploration Drilling'!#REF!</definedName>
    <definedName name="A1954799F_Latest" localSheetId="36">'[1]Mineral Exploration Drilling'!#REF!</definedName>
    <definedName name="A1954799F_Latest" localSheetId="43">'[1]Mineral Exploration Drilling'!#REF!</definedName>
    <definedName name="A1954799F_Latest">'[1]Mineral Exploration Drilling'!#REF!</definedName>
    <definedName name="A1954807V" localSheetId="15">'[1]Mineral Exploration Drilling'!#REF!,'[1]Mineral Exploration Drilling'!#REF!</definedName>
    <definedName name="A1954807V" localSheetId="19">'[1]Mineral Exploration Drilling'!#REF!,'[1]Mineral Exploration Drilling'!#REF!</definedName>
    <definedName name="A1954807V" localSheetId="24">'[1]Mineral Exploration Drilling'!#REF!,'[1]Mineral Exploration Drilling'!#REF!</definedName>
    <definedName name="A1954807V" localSheetId="29">'[1]Mineral Exploration Drilling'!#REF!,'[1]Mineral Exploration Drilling'!#REF!</definedName>
    <definedName name="A1954807V" localSheetId="32">'[1]Mineral Exploration Drilling'!#REF!,'[1]Mineral Exploration Drilling'!#REF!</definedName>
    <definedName name="A1954807V" localSheetId="36">'[1]Mineral Exploration Drilling'!#REF!,'[1]Mineral Exploration Drilling'!#REF!</definedName>
    <definedName name="A1954807V" localSheetId="43">'[1]Mineral Exploration Drilling'!#REF!,'[1]Mineral Exploration Drilling'!#REF!</definedName>
    <definedName name="A1954807V">'[1]Mineral Exploration Drilling'!#REF!,'[1]Mineral Exploration Drilling'!#REF!</definedName>
    <definedName name="A1954807V_Data" localSheetId="15">'[1]Mineral Exploration Drilling'!#REF!</definedName>
    <definedName name="A1954807V_Data" localSheetId="19">'[1]Mineral Exploration Drilling'!#REF!</definedName>
    <definedName name="A1954807V_Data" localSheetId="24">'[1]Mineral Exploration Drilling'!#REF!</definedName>
    <definedName name="A1954807V_Data" localSheetId="29">'[1]Mineral Exploration Drilling'!#REF!</definedName>
    <definedName name="A1954807V_Data" localSheetId="32">'[1]Mineral Exploration Drilling'!#REF!</definedName>
    <definedName name="A1954807V_Data" localSheetId="36">'[1]Mineral Exploration Drilling'!#REF!</definedName>
    <definedName name="A1954807V_Data" localSheetId="43">'[1]Mineral Exploration Drilling'!#REF!</definedName>
    <definedName name="A1954807V_Data">'[1]Mineral Exploration Drilling'!#REF!</definedName>
    <definedName name="A1954807V_Latest" localSheetId="15">'[1]Mineral Exploration Drilling'!#REF!</definedName>
    <definedName name="A1954807V_Latest" localSheetId="19">'[1]Mineral Exploration Drilling'!#REF!</definedName>
    <definedName name="A1954807V_Latest" localSheetId="24">'[1]Mineral Exploration Drilling'!#REF!</definedName>
    <definedName name="A1954807V_Latest" localSheetId="29">'[1]Mineral Exploration Drilling'!#REF!</definedName>
    <definedName name="A1954807V_Latest" localSheetId="32">'[1]Mineral Exploration Drilling'!#REF!</definedName>
    <definedName name="A1954807V_Latest" localSheetId="36">'[1]Mineral Exploration Drilling'!#REF!</definedName>
    <definedName name="A1954807V_Latest" localSheetId="43">'[1]Mineral Exploration Drilling'!#REF!</definedName>
    <definedName name="A1954807V_Latest">'[1]Mineral Exploration Drilling'!#REF!</definedName>
    <definedName name="A1954815V" localSheetId="15">'[1]Mineral Exploration Drilling'!#REF!,'[1]Mineral Exploration Drilling'!#REF!</definedName>
    <definedName name="A1954815V" localSheetId="19">'[1]Mineral Exploration Drilling'!#REF!,'[1]Mineral Exploration Drilling'!#REF!</definedName>
    <definedName name="A1954815V" localSheetId="24">'[1]Mineral Exploration Drilling'!#REF!,'[1]Mineral Exploration Drilling'!#REF!</definedName>
    <definedName name="A1954815V" localSheetId="29">'[1]Mineral Exploration Drilling'!#REF!,'[1]Mineral Exploration Drilling'!#REF!</definedName>
    <definedName name="A1954815V" localSheetId="32">'[1]Mineral Exploration Drilling'!#REF!,'[1]Mineral Exploration Drilling'!#REF!</definedName>
    <definedName name="A1954815V" localSheetId="36">'[1]Mineral Exploration Drilling'!#REF!,'[1]Mineral Exploration Drilling'!#REF!</definedName>
    <definedName name="A1954815V" localSheetId="43">'[1]Mineral Exploration Drilling'!#REF!,'[1]Mineral Exploration Drilling'!#REF!</definedName>
    <definedName name="A1954815V">'[1]Mineral Exploration Drilling'!#REF!,'[1]Mineral Exploration Drilling'!#REF!</definedName>
    <definedName name="A1954815V_Data" localSheetId="15">'[1]Mineral Exploration Drilling'!#REF!</definedName>
    <definedName name="A1954815V_Data" localSheetId="19">'[1]Mineral Exploration Drilling'!#REF!</definedName>
    <definedName name="A1954815V_Data" localSheetId="24">'[1]Mineral Exploration Drilling'!#REF!</definedName>
    <definedName name="A1954815V_Data" localSheetId="29">'[1]Mineral Exploration Drilling'!#REF!</definedName>
    <definedName name="A1954815V_Data" localSheetId="32">'[1]Mineral Exploration Drilling'!#REF!</definedName>
    <definedName name="A1954815V_Data" localSheetId="36">'[1]Mineral Exploration Drilling'!#REF!</definedName>
    <definedName name="A1954815V_Data" localSheetId="43">'[1]Mineral Exploration Drilling'!#REF!</definedName>
    <definedName name="A1954815V_Data">'[1]Mineral Exploration Drilling'!#REF!</definedName>
    <definedName name="A1954815V_Latest" localSheetId="15">'[1]Mineral Exploration Drilling'!#REF!</definedName>
    <definedName name="A1954815V_Latest" localSheetId="19">'[1]Mineral Exploration Drilling'!#REF!</definedName>
    <definedName name="A1954815V_Latest" localSheetId="24">'[1]Mineral Exploration Drilling'!#REF!</definedName>
    <definedName name="A1954815V_Latest" localSheetId="29">'[1]Mineral Exploration Drilling'!#REF!</definedName>
    <definedName name="A1954815V_Latest" localSheetId="32">'[1]Mineral Exploration Drilling'!#REF!</definedName>
    <definedName name="A1954815V_Latest" localSheetId="36">'[1]Mineral Exploration Drilling'!#REF!</definedName>
    <definedName name="A1954815V_Latest" localSheetId="43">'[1]Mineral Exploration Drilling'!#REF!</definedName>
    <definedName name="A1954815V_Latest">'[1]Mineral Exploration Drilling'!#REF!</definedName>
    <definedName name="A2266841J" localSheetId="15">'[1]Mineral Exploration Drilling'!#REF!,'[1]Mineral Exploration Drilling'!#REF!</definedName>
    <definedName name="A2266841J" localSheetId="19">'[1]Mineral Exploration Drilling'!#REF!,'[1]Mineral Exploration Drilling'!#REF!</definedName>
    <definedName name="A2266841J" localSheetId="24">'[1]Mineral Exploration Drilling'!#REF!,'[1]Mineral Exploration Drilling'!#REF!</definedName>
    <definedName name="A2266841J" localSheetId="29">'[1]Mineral Exploration Drilling'!#REF!,'[1]Mineral Exploration Drilling'!#REF!</definedName>
    <definedName name="A2266841J" localSheetId="32">'[1]Mineral Exploration Drilling'!#REF!,'[1]Mineral Exploration Drilling'!#REF!</definedName>
    <definedName name="A2266841J" localSheetId="36">'[1]Mineral Exploration Drilling'!#REF!,'[1]Mineral Exploration Drilling'!#REF!</definedName>
    <definedName name="A2266841J" localSheetId="43">'[1]Mineral Exploration Drilling'!#REF!,'[1]Mineral Exploration Drilling'!#REF!</definedName>
    <definedName name="A2266841J">'[1]Mineral Exploration Drilling'!#REF!,'[1]Mineral Exploration Drilling'!#REF!</definedName>
    <definedName name="A2266841J_Data" localSheetId="15">'[1]Mineral Exploration Drilling'!#REF!</definedName>
    <definedName name="A2266841J_Data" localSheetId="19">'[1]Mineral Exploration Drilling'!#REF!</definedName>
    <definedName name="A2266841J_Data" localSheetId="24">'[1]Mineral Exploration Drilling'!#REF!</definedName>
    <definedName name="A2266841J_Data" localSheetId="29">'[1]Mineral Exploration Drilling'!#REF!</definedName>
    <definedName name="A2266841J_Data" localSheetId="32">'[1]Mineral Exploration Drilling'!#REF!</definedName>
    <definedName name="A2266841J_Data" localSheetId="36">'[1]Mineral Exploration Drilling'!#REF!</definedName>
    <definedName name="A2266841J_Data" localSheetId="43">'[1]Mineral Exploration Drilling'!#REF!</definedName>
    <definedName name="A2266841J_Data">'[1]Mineral Exploration Drilling'!#REF!</definedName>
    <definedName name="A2266841J_Latest" localSheetId="15">'[1]Mineral Exploration Drilling'!#REF!</definedName>
    <definedName name="A2266841J_Latest" localSheetId="19">'[1]Mineral Exploration Drilling'!#REF!</definedName>
    <definedName name="A2266841J_Latest" localSheetId="24">'[1]Mineral Exploration Drilling'!#REF!</definedName>
    <definedName name="A2266841J_Latest" localSheetId="29">'[1]Mineral Exploration Drilling'!#REF!</definedName>
    <definedName name="A2266841J_Latest" localSheetId="32">'[1]Mineral Exploration Drilling'!#REF!</definedName>
    <definedName name="A2266841J_Latest" localSheetId="36">'[1]Mineral Exploration Drilling'!#REF!</definedName>
    <definedName name="A2266841J_Latest" localSheetId="43">'[1]Mineral Exploration Drilling'!#REF!</definedName>
    <definedName name="A2266841J_Latest">'[1]Mineral Exploration Drilling'!#REF!</definedName>
    <definedName name="A2266842K" localSheetId="15">'[1]Mineral Exploration Drilling'!#REF!,'[1]Mineral Exploration Drilling'!#REF!</definedName>
    <definedName name="A2266842K" localSheetId="19">'[1]Mineral Exploration Drilling'!#REF!,'[1]Mineral Exploration Drilling'!#REF!</definedName>
    <definedName name="A2266842K" localSheetId="24">'[1]Mineral Exploration Drilling'!#REF!,'[1]Mineral Exploration Drilling'!#REF!</definedName>
    <definedName name="A2266842K" localSheetId="29">'[1]Mineral Exploration Drilling'!#REF!,'[1]Mineral Exploration Drilling'!#REF!</definedName>
    <definedName name="A2266842K" localSheetId="32">'[1]Mineral Exploration Drilling'!#REF!,'[1]Mineral Exploration Drilling'!#REF!</definedName>
    <definedName name="A2266842K" localSheetId="36">'[1]Mineral Exploration Drilling'!#REF!,'[1]Mineral Exploration Drilling'!#REF!</definedName>
    <definedName name="A2266842K" localSheetId="43">'[1]Mineral Exploration Drilling'!#REF!,'[1]Mineral Exploration Drilling'!#REF!</definedName>
    <definedName name="A2266842K">'[1]Mineral Exploration Drilling'!#REF!,'[1]Mineral Exploration Drilling'!#REF!</definedName>
    <definedName name="A2266842K_Data" localSheetId="15">'[1]Mineral Exploration Drilling'!#REF!</definedName>
    <definedName name="A2266842K_Data" localSheetId="19">'[1]Mineral Exploration Drilling'!#REF!</definedName>
    <definedName name="A2266842K_Data" localSheetId="24">'[1]Mineral Exploration Drilling'!#REF!</definedName>
    <definedName name="A2266842K_Data" localSheetId="29">'[1]Mineral Exploration Drilling'!#REF!</definedName>
    <definedName name="A2266842K_Data" localSheetId="32">'[1]Mineral Exploration Drilling'!#REF!</definedName>
    <definedName name="A2266842K_Data" localSheetId="36">'[1]Mineral Exploration Drilling'!#REF!</definedName>
    <definedName name="A2266842K_Data" localSheetId="43">'[1]Mineral Exploration Drilling'!#REF!</definedName>
    <definedName name="A2266842K_Data">'[1]Mineral Exploration Drilling'!#REF!</definedName>
    <definedName name="A2266842K_Latest" localSheetId="15">'[1]Mineral Exploration Drilling'!#REF!</definedName>
    <definedName name="A2266842K_Latest" localSheetId="19">'[1]Mineral Exploration Drilling'!#REF!</definedName>
    <definedName name="A2266842K_Latest" localSheetId="24">'[1]Mineral Exploration Drilling'!#REF!</definedName>
    <definedName name="A2266842K_Latest" localSheetId="29">'[1]Mineral Exploration Drilling'!#REF!</definedName>
    <definedName name="A2266842K_Latest" localSheetId="32">'[1]Mineral Exploration Drilling'!#REF!</definedName>
    <definedName name="A2266842K_Latest" localSheetId="36">'[1]Mineral Exploration Drilling'!#REF!</definedName>
    <definedName name="A2266842K_Latest" localSheetId="43">'[1]Mineral Exploration Drilling'!#REF!</definedName>
    <definedName name="A2266842K_Latest">'[1]Mineral Exploration Drilling'!#REF!</definedName>
    <definedName name="A2266843L" localSheetId="15">'[1]Mineral Exploration Drilling'!#REF!,'[1]Mineral Exploration Drilling'!#REF!</definedName>
    <definedName name="A2266843L" localSheetId="19">'[1]Mineral Exploration Drilling'!#REF!,'[1]Mineral Exploration Drilling'!#REF!</definedName>
    <definedName name="A2266843L" localSheetId="24">'[1]Mineral Exploration Drilling'!#REF!,'[1]Mineral Exploration Drilling'!#REF!</definedName>
    <definedName name="A2266843L" localSheetId="29">'[1]Mineral Exploration Drilling'!#REF!,'[1]Mineral Exploration Drilling'!#REF!</definedName>
    <definedName name="A2266843L" localSheetId="32">'[1]Mineral Exploration Drilling'!#REF!,'[1]Mineral Exploration Drilling'!#REF!</definedName>
    <definedName name="A2266843L" localSheetId="36">'[1]Mineral Exploration Drilling'!#REF!,'[1]Mineral Exploration Drilling'!#REF!</definedName>
    <definedName name="A2266843L" localSheetId="43">'[1]Mineral Exploration Drilling'!#REF!,'[1]Mineral Exploration Drilling'!#REF!</definedName>
    <definedName name="A2266843L">'[1]Mineral Exploration Drilling'!#REF!,'[1]Mineral Exploration Drilling'!#REF!</definedName>
    <definedName name="A2266843L_Data" localSheetId="15">'[1]Mineral Exploration Drilling'!#REF!</definedName>
    <definedName name="A2266843L_Data" localSheetId="19">'[1]Mineral Exploration Drilling'!#REF!</definedName>
    <definedName name="A2266843L_Data" localSheetId="24">'[1]Mineral Exploration Drilling'!#REF!</definedName>
    <definedName name="A2266843L_Data" localSheetId="29">'[1]Mineral Exploration Drilling'!#REF!</definedName>
    <definedName name="A2266843L_Data" localSheetId="32">'[1]Mineral Exploration Drilling'!#REF!</definedName>
    <definedName name="A2266843L_Data" localSheetId="36">'[1]Mineral Exploration Drilling'!#REF!</definedName>
    <definedName name="A2266843L_Data" localSheetId="43">'[1]Mineral Exploration Drilling'!#REF!</definedName>
    <definedName name="A2266843L_Data">'[1]Mineral Exploration Drilling'!#REF!</definedName>
    <definedName name="A2266843L_Latest" localSheetId="15">'[1]Mineral Exploration Drilling'!#REF!</definedName>
    <definedName name="A2266843L_Latest" localSheetId="19">'[1]Mineral Exploration Drilling'!#REF!</definedName>
    <definedName name="A2266843L_Latest" localSheetId="24">'[1]Mineral Exploration Drilling'!#REF!</definedName>
    <definedName name="A2266843L_Latest" localSheetId="29">'[1]Mineral Exploration Drilling'!#REF!</definedName>
    <definedName name="A2266843L_Latest" localSheetId="32">'[1]Mineral Exploration Drilling'!#REF!</definedName>
    <definedName name="A2266843L_Latest" localSheetId="36">'[1]Mineral Exploration Drilling'!#REF!</definedName>
    <definedName name="A2266843L_Latest" localSheetId="43">'[1]Mineral Exploration Drilling'!#REF!</definedName>
    <definedName name="A2266843L_Latest">'[1]Mineral Exploration Drilling'!#REF!</definedName>
    <definedName name="A2266844R" localSheetId="15">'[1]Mineral Exploration Drilling'!#REF!,'[1]Mineral Exploration Drilling'!#REF!</definedName>
    <definedName name="A2266844R" localSheetId="19">'[1]Mineral Exploration Drilling'!#REF!,'[1]Mineral Exploration Drilling'!#REF!</definedName>
    <definedName name="A2266844R" localSheetId="24">'[1]Mineral Exploration Drilling'!#REF!,'[1]Mineral Exploration Drilling'!#REF!</definedName>
    <definedName name="A2266844R" localSheetId="29">'[1]Mineral Exploration Drilling'!#REF!,'[1]Mineral Exploration Drilling'!#REF!</definedName>
    <definedName name="A2266844R" localSheetId="32">'[1]Mineral Exploration Drilling'!#REF!,'[1]Mineral Exploration Drilling'!#REF!</definedName>
    <definedName name="A2266844R" localSheetId="36">'[1]Mineral Exploration Drilling'!#REF!,'[1]Mineral Exploration Drilling'!#REF!</definedName>
    <definedName name="A2266844R" localSheetId="43">'[1]Mineral Exploration Drilling'!#REF!,'[1]Mineral Exploration Drilling'!#REF!</definedName>
    <definedName name="A2266844R">'[1]Mineral Exploration Drilling'!#REF!,'[1]Mineral Exploration Drilling'!#REF!</definedName>
    <definedName name="A2266844R_Data" localSheetId="15">'[1]Mineral Exploration Drilling'!#REF!</definedName>
    <definedName name="A2266844R_Data" localSheetId="19">'[1]Mineral Exploration Drilling'!#REF!</definedName>
    <definedName name="A2266844R_Data" localSheetId="24">'[1]Mineral Exploration Drilling'!#REF!</definedName>
    <definedName name="A2266844R_Data" localSheetId="29">'[1]Mineral Exploration Drilling'!#REF!</definedName>
    <definedName name="A2266844R_Data" localSheetId="32">'[1]Mineral Exploration Drilling'!#REF!</definedName>
    <definedName name="A2266844R_Data" localSheetId="36">'[1]Mineral Exploration Drilling'!#REF!</definedName>
    <definedName name="A2266844R_Data" localSheetId="43">'[1]Mineral Exploration Drilling'!#REF!</definedName>
    <definedName name="A2266844R_Data">'[1]Mineral Exploration Drilling'!#REF!</definedName>
    <definedName name="A2266844R_Latest" localSheetId="15">'[1]Mineral Exploration Drilling'!#REF!</definedName>
    <definedName name="A2266844R_Latest" localSheetId="19">'[1]Mineral Exploration Drilling'!#REF!</definedName>
    <definedName name="A2266844R_Latest" localSheetId="24">'[1]Mineral Exploration Drilling'!#REF!</definedName>
    <definedName name="A2266844R_Latest" localSheetId="29">'[1]Mineral Exploration Drilling'!#REF!</definedName>
    <definedName name="A2266844R_Latest" localSheetId="32">'[1]Mineral Exploration Drilling'!#REF!</definedName>
    <definedName name="A2266844R_Latest" localSheetId="36">'[1]Mineral Exploration Drilling'!#REF!</definedName>
    <definedName name="A2266844R_Latest" localSheetId="43">'[1]Mineral Exploration Drilling'!#REF!</definedName>
    <definedName name="A2266844R_Latest">'[1]Mineral Exploration Drilling'!#REF!</definedName>
    <definedName name="A2266845T" localSheetId="15">'[1]Mineral Exploration Drilling'!#REF!,'[1]Mineral Exploration Drilling'!#REF!</definedName>
    <definedName name="A2266845T" localSheetId="19">'[1]Mineral Exploration Drilling'!#REF!,'[1]Mineral Exploration Drilling'!#REF!</definedName>
    <definedName name="A2266845T" localSheetId="24">'[1]Mineral Exploration Drilling'!#REF!,'[1]Mineral Exploration Drilling'!#REF!</definedName>
    <definedName name="A2266845T" localSheetId="29">'[1]Mineral Exploration Drilling'!#REF!,'[1]Mineral Exploration Drilling'!#REF!</definedName>
    <definedName name="A2266845T" localSheetId="32">'[1]Mineral Exploration Drilling'!#REF!,'[1]Mineral Exploration Drilling'!#REF!</definedName>
    <definedName name="A2266845T" localSheetId="36">'[1]Mineral Exploration Drilling'!#REF!,'[1]Mineral Exploration Drilling'!#REF!</definedName>
    <definedName name="A2266845T" localSheetId="43">'[1]Mineral Exploration Drilling'!#REF!,'[1]Mineral Exploration Drilling'!#REF!</definedName>
    <definedName name="A2266845T">'[1]Mineral Exploration Drilling'!#REF!,'[1]Mineral Exploration Drilling'!#REF!</definedName>
    <definedName name="A2266845T_Data" localSheetId="15">'[1]Mineral Exploration Drilling'!#REF!</definedName>
    <definedName name="A2266845T_Data" localSheetId="19">'[1]Mineral Exploration Drilling'!#REF!</definedName>
    <definedName name="A2266845T_Data" localSheetId="24">'[1]Mineral Exploration Drilling'!#REF!</definedName>
    <definedName name="A2266845T_Data" localSheetId="29">'[1]Mineral Exploration Drilling'!#REF!</definedName>
    <definedName name="A2266845T_Data" localSheetId="32">'[1]Mineral Exploration Drilling'!#REF!</definedName>
    <definedName name="A2266845T_Data" localSheetId="36">'[1]Mineral Exploration Drilling'!#REF!</definedName>
    <definedName name="A2266845T_Data" localSheetId="43">'[1]Mineral Exploration Drilling'!#REF!</definedName>
    <definedName name="A2266845T_Data">'[1]Mineral Exploration Drilling'!#REF!</definedName>
    <definedName name="A2266845T_Latest" localSheetId="15">'[1]Mineral Exploration Drilling'!#REF!</definedName>
    <definedName name="A2266845T_Latest" localSheetId="19">'[1]Mineral Exploration Drilling'!#REF!</definedName>
    <definedName name="A2266845T_Latest" localSheetId="24">'[1]Mineral Exploration Drilling'!#REF!</definedName>
    <definedName name="A2266845T_Latest" localSheetId="29">'[1]Mineral Exploration Drilling'!#REF!</definedName>
    <definedName name="A2266845T_Latest" localSheetId="32">'[1]Mineral Exploration Drilling'!#REF!</definedName>
    <definedName name="A2266845T_Latest" localSheetId="36">'[1]Mineral Exploration Drilling'!#REF!</definedName>
    <definedName name="A2266845T_Latest" localSheetId="43">'[1]Mineral Exploration Drilling'!#REF!</definedName>
    <definedName name="A2266845T_Latest">'[1]Mineral Exploration Drilling'!#REF!</definedName>
    <definedName name="A2266846V" localSheetId="15">'[1]Mineral Exploration Drilling'!#REF!,'[1]Mineral Exploration Drilling'!#REF!</definedName>
    <definedName name="A2266846V" localSheetId="19">'[1]Mineral Exploration Drilling'!#REF!,'[1]Mineral Exploration Drilling'!#REF!</definedName>
    <definedName name="A2266846V" localSheetId="24">'[1]Mineral Exploration Drilling'!#REF!,'[1]Mineral Exploration Drilling'!#REF!</definedName>
    <definedName name="A2266846V" localSheetId="29">'[1]Mineral Exploration Drilling'!#REF!,'[1]Mineral Exploration Drilling'!#REF!</definedName>
    <definedName name="A2266846V" localSheetId="32">'[1]Mineral Exploration Drilling'!#REF!,'[1]Mineral Exploration Drilling'!#REF!</definedName>
    <definedName name="A2266846V" localSheetId="36">'[1]Mineral Exploration Drilling'!#REF!,'[1]Mineral Exploration Drilling'!#REF!</definedName>
    <definedName name="A2266846V" localSheetId="43">'[1]Mineral Exploration Drilling'!#REF!,'[1]Mineral Exploration Drilling'!#REF!</definedName>
    <definedName name="A2266846V">'[1]Mineral Exploration Drilling'!#REF!,'[1]Mineral Exploration Drilling'!#REF!</definedName>
    <definedName name="A2266846V_Data" localSheetId="15">'[1]Mineral Exploration Drilling'!#REF!</definedName>
    <definedName name="A2266846V_Data" localSheetId="19">'[1]Mineral Exploration Drilling'!#REF!</definedName>
    <definedName name="A2266846V_Data" localSheetId="24">'[1]Mineral Exploration Drilling'!#REF!</definedName>
    <definedName name="A2266846V_Data" localSheetId="29">'[1]Mineral Exploration Drilling'!#REF!</definedName>
    <definedName name="A2266846V_Data" localSheetId="32">'[1]Mineral Exploration Drilling'!#REF!</definedName>
    <definedName name="A2266846V_Data" localSheetId="36">'[1]Mineral Exploration Drilling'!#REF!</definedName>
    <definedName name="A2266846V_Data" localSheetId="43">'[1]Mineral Exploration Drilling'!#REF!</definedName>
    <definedName name="A2266846V_Data">'[1]Mineral Exploration Drilling'!#REF!</definedName>
    <definedName name="A2266846V_Latest" localSheetId="15">'[1]Mineral Exploration Drilling'!#REF!</definedName>
    <definedName name="A2266846V_Latest" localSheetId="19">'[1]Mineral Exploration Drilling'!#REF!</definedName>
    <definedName name="A2266846V_Latest" localSheetId="24">'[1]Mineral Exploration Drilling'!#REF!</definedName>
    <definedName name="A2266846V_Latest" localSheetId="29">'[1]Mineral Exploration Drilling'!#REF!</definedName>
    <definedName name="A2266846V_Latest" localSheetId="32">'[1]Mineral Exploration Drilling'!#REF!</definedName>
    <definedName name="A2266846V_Latest" localSheetId="36">'[1]Mineral Exploration Drilling'!#REF!</definedName>
    <definedName name="A2266846V_Latest" localSheetId="43">'[1]Mineral Exploration Drilling'!#REF!</definedName>
    <definedName name="A2266846V_Latest">'[1]Mineral Exploration Drilling'!#REF!</definedName>
    <definedName name="A2266895R">#REF!,#REF!</definedName>
    <definedName name="A2266895R_Data">#REF!</definedName>
    <definedName name="A2266895R_Latest">#REF!</definedName>
    <definedName name="A2266896T">#REF!,#REF!</definedName>
    <definedName name="A2266896T_Data">#REF!</definedName>
    <definedName name="A2266896T_Latest">#REF!</definedName>
    <definedName name="A2266897V">#REF!,#REF!</definedName>
    <definedName name="A2266897V_Data">#REF!</definedName>
    <definedName name="A2266897V_Latest">#REF!</definedName>
    <definedName name="A2266898W">#REF!,#REF!</definedName>
    <definedName name="A2266898W_Data">#REF!</definedName>
    <definedName name="A2266898W_Latest">#REF!</definedName>
    <definedName name="A2266899X">#REF!,#REF!</definedName>
    <definedName name="A2266899X_Data">#REF!</definedName>
    <definedName name="A2266899X_Latest">#REF!</definedName>
    <definedName name="A2266900W">#REF!,#REF!</definedName>
    <definedName name="A2266900W_Data">#REF!</definedName>
    <definedName name="A2266900W_Latest">#REF!</definedName>
    <definedName name="A2266901X">#REF!,#REF!</definedName>
    <definedName name="A2266901X_Data">#REF!</definedName>
    <definedName name="A2266901X_Latest">#REF!</definedName>
    <definedName name="A2266902A">#REF!,#REF!</definedName>
    <definedName name="A2266902A_Data">#REF!</definedName>
    <definedName name="A2266902A_Latest">#REF!</definedName>
    <definedName name="A2266903C">#REF!,#REF!</definedName>
    <definedName name="A2266903C_Data">#REF!</definedName>
    <definedName name="A2266903C_Latest">#REF!</definedName>
    <definedName name="A2266904F">#REF!,#REF!</definedName>
    <definedName name="A2266904F_Data">#REF!</definedName>
    <definedName name="A2266904F_Latest">#REF!</definedName>
    <definedName name="A2266905J">#REF!,#REF!</definedName>
    <definedName name="A2266905J_Data">#REF!</definedName>
    <definedName name="A2266905J_Latest">#REF!</definedName>
    <definedName name="A2266906K">#REF!,#REF!</definedName>
    <definedName name="A2266906K_Data">#REF!</definedName>
    <definedName name="A2266906K_Latest">#REF!</definedName>
    <definedName name="A2266907L">#REF!,#REF!</definedName>
    <definedName name="A2266907L_Data">#REF!</definedName>
    <definedName name="A2266907L_Latest">#REF!</definedName>
    <definedName name="A2266908R">#REF!,#REF!</definedName>
    <definedName name="A2266908R_Data">#REF!</definedName>
    <definedName name="A2266908R_Latest">#REF!</definedName>
    <definedName name="A2266909T">#REF!,#REF!</definedName>
    <definedName name="A2266909T_Data">#REF!</definedName>
    <definedName name="A2266909T_Latest">#REF!</definedName>
    <definedName name="A2266910A">#REF!,#REF!</definedName>
    <definedName name="A2266910A_Data">#REF!</definedName>
    <definedName name="A2266910A_Latest">#REF!</definedName>
    <definedName name="A2266911C">#REF!,#REF!</definedName>
    <definedName name="A2266911C_Data">#REF!</definedName>
    <definedName name="A2266911C_Latest">#REF!</definedName>
    <definedName name="A2266912F">#REF!,#REF!</definedName>
    <definedName name="A2266912F_Data">#REF!</definedName>
    <definedName name="A2266912F_Latest">#REF!</definedName>
    <definedName name="A2266913J">#REF!,#REF!</definedName>
    <definedName name="A2266913J_Data">#REF!</definedName>
    <definedName name="A2266913J_Latest">#REF!</definedName>
    <definedName name="A2266914K">#REF!,#REF!</definedName>
    <definedName name="A2266914K_Data">#REF!</definedName>
    <definedName name="A2266914K_Latest">#REF!</definedName>
    <definedName name="A2266915L">#REF!,#REF!</definedName>
    <definedName name="A2266915L_Data">#REF!</definedName>
    <definedName name="A2266915L_Latest">#REF!</definedName>
    <definedName name="A2266916R">#REF!,#REF!</definedName>
    <definedName name="A2266916R_Data">#REF!</definedName>
    <definedName name="A2266916R_Latest">#REF!</definedName>
    <definedName name="A2266917T">#REF!,#REF!</definedName>
    <definedName name="A2266917T_Data">#REF!</definedName>
    <definedName name="A2266917T_Latest">#REF!</definedName>
    <definedName name="A2266918V">#REF!,#REF!</definedName>
    <definedName name="A2266918V_Data">#REF!</definedName>
    <definedName name="A2266918V_Latest">#REF!</definedName>
    <definedName name="A2266919W">#REF!,#REF!</definedName>
    <definedName name="A2266919W_Data">#REF!</definedName>
    <definedName name="A2266919W_Latest">#REF!</definedName>
    <definedName name="A2266920F">#REF!,#REF!</definedName>
    <definedName name="A2266920F_Data">#REF!</definedName>
    <definedName name="A2266920F_Latest">#REF!</definedName>
    <definedName name="A2266921J">#REF!,#REF!</definedName>
    <definedName name="A2266921J_Data">#REF!</definedName>
    <definedName name="A2266921J_Latest">#REF!</definedName>
    <definedName name="A2266922K">#REF!,#REF!</definedName>
    <definedName name="A2266922K_Data">#REF!</definedName>
    <definedName name="A2266922K_Latest">#REF!</definedName>
    <definedName name="A2266923L">#REF!,#REF!</definedName>
    <definedName name="A2266923L_Data">#REF!</definedName>
    <definedName name="A2266923L_Latest">#REF!</definedName>
    <definedName name="A2266924R">#REF!,#REF!</definedName>
    <definedName name="A2266924R_Data">#REF!</definedName>
    <definedName name="A2266924R_Latest">#REF!</definedName>
    <definedName name="A2266925T">#REF!,#REF!</definedName>
    <definedName name="A2266925T_Data">#REF!</definedName>
    <definedName name="A2266925T_Latest">#REF!</definedName>
    <definedName name="A2266926V">#REF!,#REF!</definedName>
    <definedName name="A2266926V_Data">#REF!</definedName>
    <definedName name="A2266926V_Latest">#REF!</definedName>
    <definedName name="A2266927W">#REF!,#REF!</definedName>
    <definedName name="A2266927W_Data">#REF!</definedName>
    <definedName name="A2266927W_Latest">#REF!</definedName>
    <definedName name="A2266928X">#REF!,#REF!</definedName>
    <definedName name="A2266928X_Data">#REF!</definedName>
    <definedName name="A2266928X_Latest">#REF!</definedName>
    <definedName name="A2266929A">#REF!,#REF!</definedName>
    <definedName name="A2266929A_Data">#REF!</definedName>
    <definedName name="A2266929A_Latest">#REF!</definedName>
    <definedName name="A2266930K">#REF!,#REF!</definedName>
    <definedName name="A2266930K_Data">#REF!</definedName>
    <definedName name="A2266930K_Latest">#REF!</definedName>
    <definedName name="A2266931L">#REF!,#REF!</definedName>
    <definedName name="A2266931L_Data">#REF!</definedName>
    <definedName name="A2266931L_Latest">#REF!</definedName>
    <definedName name="A2266932R">#REF!,#REF!</definedName>
    <definedName name="A2266932R_Data">#REF!</definedName>
    <definedName name="A2266932R_Latest">#REF!</definedName>
    <definedName name="A2266933T">#REF!,#REF!</definedName>
    <definedName name="A2266933T_Data">#REF!</definedName>
    <definedName name="A2266933T_Latest">#REF!</definedName>
    <definedName name="A2266934V">#REF!,#REF!</definedName>
    <definedName name="A2266934V_Data">#REF!</definedName>
    <definedName name="A2266934V_Latest">#REF!</definedName>
    <definedName name="A2266935W">#REF!,#REF!</definedName>
    <definedName name="A2266935W_Data">#REF!</definedName>
    <definedName name="A2266935W_Latest">#REF!</definedName>
    <definedName name="A2266936X">#REF!,#REF!</definedName>
    <definedName name="A2266936X_Data">#REF!</definedName>
    <definedName name="A2266936X_Latest">#REF!</definedName>
    <definedName name="A2266937A">#REF!,#REF!</definedName>
    <definedName name="A2266937A_Data">#REF!</definedName>
    <definedName name="A2266937A_Latest">#REF!</definedName>
    <definedName name="A2266938C">#REF!,#REF!</definedName>
    <definedName name="A2266938C_Data">#REF!</definedName>
    <definedName name="A2266938C_Latest">#REF!</definedName>
    <definedName name="A2266939F">#REF!,#REF!</definedName>
    <definedName name="A2266939F_Data">#REF!</definedName>
    <definedName name="A2266939F_Latest">#REF!</definedName>
    <definedName name="A2266940R">#REF!,#REF!</definedName>
    <definedName name="A2266940R_Data">#REF!</definedName>
    <definedName name="A2266940R_Latest">#REF!</definedName>
    <definedName name="A2266941T">#REF!,#REF!</definedName>
    <definedName name="A2266941T_Data">#REF!</definedName>
    <definedName name="A2266941T_Latest">#REF!</definedName>
    <definedName name="A2266942V">#REF!,#REF!</definedName>
    <definedName name="A2266943W">#REF!,#REF!</definedName>
    <definedName name="A2266944X">#REF!,#REF!</definedName>
    <definedName name="A2266945A">#REF!,#REF!</definedName>
    <definedName name="A2266946C">#REF!,#REF!</definedName>
    <definedName name="A2266947F">#REF!,#REF!</definedName>
    <definedName name="A2266948J">#REF!,#REF!</definedName>
    <definedName name="A2266949K">#REF!,#REF!</definedName>
    <definedName name="A2266950V">#REF!,#REF!</definedName>
    <definedName name="A2266951W">#REF!,#REF!</definedName>
    <definedName name="A2266952X">#REF!,#REF!</definedName>
    <definedName name="A2266953A">#REF!,#REF!</definedName>
    <definedName name="A2266954C">#REF!,#REF!</definedName>
    <definedName name="A2266954C_Data">#REF!</definedName>
    <definedName name="A2266954C_Latest">#REF!</definedName>
    <definedName name="A2266955F">#REF!,#REF!</definedName>
    <definedName name="A2266955F_Data">#REF!</definedName>
    <definedName name="A2266955F_Latest">#REF!</definedName>
    <definedName name="A2266956J">#REF!,#REF!</definedName>
    <definedName name="A2266956J_Data">#REF!</definedName>
    <definedName name="A2266956J_Latest">#REF!</definedName>
    <definedName name="A2266957K">#REF!,#REF!</definedName>
    <definedName name="A2266957K_Data">#REF!</definedName>
    <definedName name="A2266957K_Latest">#REF!</definedName>
    <definedName name="A2266958L">#REF!,#REF!</definedName>
    <definedName name="A2266958L_Data">#REF!</definedName>
    <definedName name="A2266958L_Latest">#REF!</definedName>
    <definedName name="A2266959R">#REF!,#REF!</definedName>
    <definedName name="A2266959R_Data">#REF!</definedName>
    <definedName name="A2266959R_Latest">#REF!</definedName>
    <definedName name="A2266960X">#REF!,#REF!</definedName>
    <definedName name="A2266960X_Data">#REF!</definedName>
    <definedName name="A2266960X_Latest">#REF!</definedName>
    <definedName name="A2266961A">#REF!,#REF!</definedName>
    <definedName name="A2266961A_Data">#REF!</definedName>
    <definedName name="A2266961A_Latest">#REF!</definedName>
    <definedName name="A2266962C">#REF!,#REF!</definedName>
    <definedName name="A2266962C_Data">#REF!</definedName>
    <definedName name="A2266962C_Latest">#REF!</definedName>
    <definedName name="A2266963F">#REF!,#REF!</definedName>
    <definedName name="A2266963F_Data">#REF!</definedName>
    <definedName name="A2266963F_Latest">#REF!</definedName>
    <definedName name="A2266964J">#REF!,#REF!</definedName>
    <definedName name="A2266964J_Data">#REF!</definedName>
    <definedName name="A2266964J_Latest">#REF!</definedName>
    <definedName name="A2266965K">#REF!,#REF!</definedName>
    <definedName name="A2266965K_Data">#REF!</definedName>
    <definedName name="A2266965K_Latest">#REF!</definedName>
    <definedName name="A2266966L">#REF!,#REF!</definedName>
    <definedName name="A2266966L_Data">#REF!</definedName>
    <definedName name="A2266966L_Latest">#REF!</definedName>
    <definedName name="A2266967R">#REF!,#REF!</definedName>
    <definedName name="A2266967R_Data">#REF!</definedName>
    <definedName name="A2266967R_Latest">#REF!</definedName>
    <definedName name="A2266968T">#REF!,#REF!</definedName>
    <definedName name="A2266968T_Data">#REF!</definedName>
    <definedName name="A2266968T_Latest">#REF!</definedName>
    <definedName name="A2266969V">#REF!,#REF!</definedName>
    <definedName name="A2266969V_Data">#REF!</definedName>
    <definedName name="A2266969V_Latest">#REF!</definedName>
    <definedName name="A2266970C">#REF!,#REF!</definedName>
    <definedName name="A2266970C_Data">#REF!</definedName>
    <definedName name="A2266970C_Latest">#REF!</definedName>
    <definedName name="A2266971F">#REF!,#REF!</definedName>
    <definedName name="A2266971F_Data">#REF!</definedName>
    <definedName name="A2266971F_Latest">#REF!</definedName>
    <definedName name="A2266972J">#REF!,#REF!</definedName>
    <definedName name="A2266972J_Data">#REF!</definedName>
    <definedName name="A2266972J_Latest">#REF!</definedName>
    <definedName name="A2266973K">#REF!,#REF!</definedName>
    <definedName name="A2266973K_Data">#REF!</definedName>
    <definedName name="A2266973K_Latest">#REF!</definedName>
    <definedName name="A2266974L">#REF!,#REF!</definedName>
    <definedName name="A2266974L_Data">#REF!</definedName>
    <definedName name="A2266974L_Latest">#REF!</definedName>
    <definedName name="A2266975R">#REF!,#REF!</definedName>
    <definedName name="A2266975R_Data">#REF!</definedName>
    <definedName name="A2266975R_Latest">#REF!</definedName>
    <definedName name="A2266976T">#REF!,#REF!</definedName>
    <definedName name="A2266976T_Data">#REF!</definedName>
    <definedName name="A2266976T_Latest">#REF!</definedName>
    <definedName name="A2266977V">#REF!,#REF!</definedName>
    <definedName name="A2266977V_Data">#REF!</definedName>
    <definedName name="A2266977V_Latest">#REF!</definedName>
    <definedName name="A2266978W">#REF!,#REF!</definedName>
    <definedName name="A2266979X">#REF!,#REF!</definedName>
    <definedName name="A2266980J">#REF!,#REF!</definedName>
    <definedName name="A2266981K">#REF!,#REF!</definedName>
    <definedName name="A2266982L">#REF!,#REF!</definedName>
    <definedName name="A2266983R">#REF!,#REF!</definedName>
    <definedName name="A2266984T">#REF!,#REF!</definedName>
    <definedName name="A2266985V">#REF!,#REF!</definedName>
    <definedName name="A2266986W">#REF!,#REF!</definedName>
    <definedName name="A2266987X">#REF!,#REF!</definedName>
    <definedName name="A2266988A">#REF!,#REF!</definedName>
    <definedName name="A2266989C">#REF!,#REF!</definedName>
    <definedName name="A2266990L">#REF!,#REF!</definedName>
    <definedName name="A2266990L_Data">#REF!</definedName>
    <definedName name="A2266990L_Latest">#REF!</definedName>
    <definedName name="Date_Range" localSheetId="15">'[1]Mineral Exploration Drilling'!#REF!,'[1]Mineral Exploration Drilling'!#REF!</definedName>
    <definedName name="Date_Range" localSheetId="19">'[1]Mineral Exploration Drilling'!#REF!,'[1]Mineral Exploration Drilling'!#REF!</definedName>
    <definedName name="Date_Range" localSheetId="24">'[1]Mineral Exploration Drilling'!#REF!,'[1]Mineral Exploration Drilling'!#REF!</definedName>
    <definedName name="Date_Range" localSheetId="29">'[1]Mineral Exploration Drilling'!#REF!,'[1]Mineral Exploration Drilling'!#REF!</definedName>
    <definedName name="Date_Range" localSheetId="32">'[1]Mineral Exploration Drilling'!#REF!,'[1]Mineral Exploration Drilling'!#REF!</definedName>
    <definedName name="Date_Range" localSheetId="36">'[1]Mineral Exploration Drilling'!#REF!,'[1]Mineral Exploration Drilling'!#REF!</definedName>
    <definedName name="Date_Range" localSheetId="43">'[1]Mineral Exploration Drilling'!#REF!,'[1]Mineral Exploration Drilling'!#REF!</definedName>
    <definedName name="Date_Range">'[1]Mineral Exploration Drilling'!#REF!,'[1]Mineral Exploration Drilling'!#REF!</definedName>
    <definedName name="Date_Range_Data" localSheetId="15">'[1]Mineral Exploration Drilling'!#REF!</definedName>
    <definedName name="Date_Range_Data" localSheetId="19">'[1]Mineral Exploration Drilling'!#REF!</definedName>
    <definedName name="Date_Range_Data" localSheetId="24">'[1]Mineral Exploration Drilling'!#REF!</definedName>
    <definedName name="Date_Range_Data" localSheetId="29">'[1]Mineral Exploration Drilling'!#REF!</definedName>
    <definedName name="Date_Range_Data" localSheetId="32">'[1]Mineral Exploration Drilling'!#REF!</definedName>
    <definedName name="Date_Range_Data" localSheetId="36">'[1]Mineral Exploration Drilling'!#REF!</definedName>
    <definedName name="Date_Range_Data" localSheetId="43">'[1]Mineral Exploration Drilling'!#REF!</definedName>
    <definedName name="Date_Range_Data">'[1]Mineral Exploration Drilling'!#REF!</definedName>
    <definedName name="Gthan" localSheetId="15">#REF!</definedName>
    <definedName name="Gthan" localSheetId="19">#REF!</definedName>
    <definedName name="Gthan" localSheetId="24">#REF!</definedName>
    <definedName name="Gthan" localSheetId="29">#REF!</definedName>
    <definedName name="Gthan" localSheetId="32">#REF!</definedName>
    <definedName name="Gthan" localSheetId="36">#REF!</definedName>
    <definedName name="Gthan" localSheetId="43">#REF!</definedName>
    <definedName name="Gthan">#REF!</definedName>
    <definedName name="GthanEQ2">[2]Data!$A$3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GthanEQ2" localSheetId="15">[2]Data!#REF!</definedName>
    <definedName name="LGthanEQ2" localSheetId="19">[2]Data!#REF!</definedName>
    <definedName name="LGthanEQ2" localSheetId="24">[2]Data!#REF!</definedName>
    <definedName name="LGthanEQ2" localSheetId="29">[2]Data!#REF!</definedName>
    <definedName name="LGthanEQ2" localSheetId="32">[2]Data!#REF!</definedName>
    <definedName name="LGthanEQ2" localSheetId="36">[2]Data!#REF!</definedName>
    <definedName name="LGthanEQ2" localSheetId="43">[2]Data!#REF!</definedName>
    <definedName name="LGthanEQ2">[2]Data!#REF!</definedName>
    <definedName name="LthanEQ2" localSheetId="2">[2]Data!$A$4</definedName>
    <definedName name="LthanEQ2">Index!$A$132</definedName>
    <definedName name="_xlnm.Print_Area" localSheetId="4">'Q&amp;V Summary 2-years'!$A$1:$K$89</definedName>
    <definedName name="_xlnm.Print_Titles" localSheetId="5">'CY Q&amp;V 1886 to 2003'!$A:$B,'CY Q&amp;V 1886 to 2003'!$1:$8</definedName>
    <definedName name="_xlnm.Print_Titles" localSheetId="4">'Q&amp;V Summary 2-years'!$5:$10</definedName>
    <definedName name="Quote" localSheetId="15">#REF!</definedName>
    <definedName name="Quote" localSheetId="19">#REF!</definedName>
    <definedName name="Quote" localSheetId="24">#REF!</definedName>
    <definedName name="Quote" localSheetId="29">#REF!</definedName>
    <definedName name="Quote" localSheetId="32">#REF!</definedName>
    <definedName name="Quote" localSheetId="36">#REF!</definedName>
    <definedName name="Quote" localSheetId="43">#REF!</definedName>
    <definedName name="Quote">#REF!</definedName>
  </definedNames>
  <calcPr calcId="162913"/>
</workbook>
</file>

<file path=xl/calcChain.xml><?xml version="1.0" encoding="utf-8"?>
<calcChain xmlns="http://schemas.openxmlformats.org/spreadsheetml/2006/main">
  <c r="D9" i="59" l="1"/>
  <c r="D10" i="59"/>
  <c r="D11" i="59"/>
  <c r="D12" i="59"/>
  <c r="D13" i="59"/>
  <c r="D14" i="59"/>
  <c r="D15" i="59"/>
  <c r="D16" i="59"/>
  <c r="D17" i="59"/>
  <c r="D18" i="59"/>
  <c r="D19" i="59"/>
  <c r="D20" i="59"/>
  <c r="D21" i="59"/>
  <c r="D22" i="59"/>
  <c r="D23" i="59"/>
  <c r="D24"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68" i="59"/>
  <c r="AJ9" i="51" l="1"/>
  <c r="AI9" i="51"/>
  <c r="AL9" i="62"/>
  <c r="AK9" i="62"/>
  <c r="A27" i="44" l="1"/>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63" i="44"/>
  <c r="A64" i="44"/>
  <c r="A65" i="44"/>
  <c r="A10" i="44"/>
  <c r="A11" i="44"/>
  <c r="A12" i="44"/>
  <c r="A13" i="44"/>
  <c r="A14" i="44"/>
  <c r="A15" i="44"/>
  <c r="A16" i="44"/>
  <c r="A17" i="44"/>
  <c r="A18" i="44"/>
  <c r="A19" i="44"/>
  <c r="A20" i="44"/>
  <c r="A21" i="44"/>
  <c r="A22" i="44"/>
  <c r="A23" i="44"/>
  <c r="C67" i="5" l="1"/>
  <c r="AE57" i="52" l="1"/>
  <c r="AF57" i="52"/>
  <c r="AG57" i="52"/>
  <c r="AH57" i="52"/>
  <c r="AI57" i="52"/>
  <c r="AJ57" i="52"/>
  <c r="AK57" i="52"/>
  <c r="AL57" i="52"/>
  <c r="AM57" i="52"/>
  <c r="AJ95" i="62" l="1"/>
  <c r="AJ8" i="51" l="1"/>
  <c r="AI8" i="51"/>
  <c r="G36" i="37" l="1"/>
  <c r="G35" i="37"/>
  <c r="Y2" i="78" l="1"/>
  <c r="Y1" i="78"/>
  <c r="B86" i="60" l="1"/>
  <c r="B29" i="60"/>
  <c r="AJ54" i="51" l="1"/>
  <c r="AH54" i="51"/>
  <c r="AJ36" i="51"/>
  <c r="AI36" i="51"/>
  <c r="AJ34" i="51"/>
  <c r="AK32" i="51"/>
  <c r="AJ26" i="51"/>
  <c r="AJ88" i="62" l="1"/>
  <c r="AJ42" i="62"/>
  <c r="AJ56" i="62"/>
  <c r="AL88" i="62" l="1"/>
  <c r="AK88" i="62"/>
  <c r="AI88" i="62"/>
  <c r="AH88" i="62"/>
  <c r="AG88" i="62"/>
  <c r="AF88" i="62"/>
  <c r="AE88" i="62"/>
  <c r="AD88" i="62"/>
  <c r="AC88" i="62"/>
  <c r="AB88" i="62"/>
  <c r="AA88" i="62"/>
  <c r="Z88" i="62"/>
  <c r="Y88" i="62"/>
  <c r="X88" i="62"/>
  <c r="W88" i="62"/>
  <c r="V88" i="62"/>
  <c r="U88" i="62"/>
  <c r="T88" i="62"/>
  <c r="S88" i="62"/>
  <c r="R88" i="62"/>
  <c r="Q88" i="62"/>
  <c r="P88" i="62"/>
  <c r="O88" i="62"/>
  <c r="N88" i="62"/>
  <c r="M88" i="62"/>
  <c r="L88" i="62"/>
  <c r="K88" i="62"/>
  <c r="J88" i="62"/>
  <c r="I88" i="62"/>
  <c r="H88" i="62"/>
  <c r="G88" i="62"/>
  <c r="F88" i="62"/>
  <c r="E88" i="62"/>
  <c r="D88" i="62"/>
  <c r="C88" i="62"/>
  <c r="AL84" i="62"/>
  <c r="AK84" i="62"/>
  <c r="AJ84" i="62"/>
  <c r="AI84" i="62"/>
  <c r="AH84" i="62"/>
  <c r="AG84" i="62"/>
  <c r="AF84" i="62"/>
  <c r="AE84" i="62"/>
  <c r="AD84" i="62"/>
  <c r="AC84" i="62"/>
  <c r="AB84" i="62"/>
  <c r="AA84" i="62"/>
  <c r="Z84" i="62"/>
  <c r="Y84" i="62"/>
  <c r="X84" i="62"/>
  <c r="W84" i="62"/>
  <c r="V84" i="62"/>
  <c r="U84" i="62"/>
  <c r="T84" i="62"/>
  <c r="S84" i="62"/>
  <c r="R84" i="62"/>
  <c r="Q84" i="62"/>
  <c r="P84" i="62"/>
  <c r="O84" i="62"/>
  <c r="N84" i="62"/>
  <c r="M84" i="62"/>
  <c r="L84" i="62"/>
  <c r="K84" i="62"/>
  <c r="J84" i="62"/>
  <c r="I84" i="62"/>
  <c r="H84" i="62"/>
  <c r="G84" i="62"/>
  <c r="F84" i="62"/>
  <c r="E84" i="62"/>
  <c r="D84" i="62"/>
  <c r="C84" i="62"/>
  <c r="AL71" i="62"/>
  <c r="AK71" i="62"/>
  <c r="AI71" i="62"/>
  <c r="AH71" i="62"/>
  <c r="AG71" i="62"/>
  <c r="AF71" i="62"/>
  <c r="AE71" i="62"/>
  <c r="AD71" i="62"/>
  <c r="AC71" i="62"/>
  <c r="AB71" i="62"/>
  <c r="AA71" i="62"/>
  <c r="Z71" i="62"/>
  <c r="Y71" i="62"/>
  <c r="X71" i="62"/>
  <c r="W71" i="62"/>
  <c r="V71" i="62"/>
  <c r="U71" i="62"/>
  <c r="T71" i="62"/>
  <c r="S71" i="62"/>
  <c r="R71" i="62"/>
  <c r="Q71" i="62"/>
  <c r="P71" i="62"/>
  <c r="O71" i="62"/>
  <c r="N71" i="62"/>
  <c r="M71" i="62"/>
  <c r="L71" i="62"/>
  <c r="K71" i="62"/>
  <c r="J71" i="62"/>
  <c r="I71" i="62"/>
  <c r="H71" i="62"/>
  <c r="G71" i="62"/>
  <c r="F71" i="62"/>
  <c r="E71" i="62"/>
  <c r="D71" i="62"/>
  <c r="C71" i="62"/>
  <c r="AL69" i="62"/>
  <c r="AK69" i="62"/>
  <c r="AI69" i="62"/>
  <c r="AH69" i="62"/>
  <c r="AG69" i="62"/>
  <c r="AF69" i="62"/>
  <c r="AE69" i="62"/>
  <c r="AD69" i="62"/>
  <c r="AC69" i="62"/>
  <c r="AB69" i="62"/>
  <c r="AA69" i="62"/>
  <c r="Z69" i="62"/>
  <c r="Y69" i="62"/>
  <c r="X69" i="62"/>
  <c r="W69" i="62"/>
  <c r="V69" i="62"/>
  <c r="U69" i="62"/>
  <c r="T69" i="62"/>
  <c r="S69" i="62"/>
  <c r="R69" i="62"/>
  <c r="Q69" i="62"/>
  <c r="P69" i="62"/>
  <c r="O69" i="62"/>
  <c r="N69" i="62"/>
  <c r="M69" i="62"/>
  <c r="L69" i="62"/>
  <c r="K69" i="62"/>
  <c r="J69" i="62"/>
  <c r="I69" i="62"/>
  <c r="H69" i="62"/>
  <c r="G69" i="62"/>
  <c r="F69" i="62"/>
  <c r="E69" i="62"/>
  <c r="D69" i="62"/>
  <c r="C69" i="62"/>
  <c r="AL26" i="62"/>
  <c r="AK26" i="62"/>
  <c r="AJ26" i="62"/>
  <c r="AI26" i="62"/>
  <c r="AH26" i="62"/>
  <c r="AG26" i="62"/>
  <c r="AF26" i="62"/>
  <c r="AE26" i="62"/>
  <c r="AD26" i="62"/>
  <c r="AC26" i="62"/>
  <c r="AB26" i="62"/>
  <c r="AA26" i="62"/>
  <c r="Z26" i="62"/>
  <c r="Y26" i="62"/>
  <c r="X26" i="62"/>
  <c r="W26" i="62"/>
  <c r="V26" i="62"/>
  <c r="U26" i="62"/>
  <c r="T26" i="62"/>
  <c r="S26" i="62"/>
  <c r="R26" i="62"/>
  <c r="Q26" i="62"/>
  <c r="P26" i="62"/>
  <c r="O26" i="62"/>
  <c r="N26" i="62"/>
  <c r="M26" i="62"/>
  <c r="L26" i="62"/>
  <c r="K26" i="62"/>
  <c r="J26" i="62"/>
  <c r="I26" i="62"/>
  <c r="H26" i="62"/>
  <c r="G26" i="62"/>
  <c r="F26" i="62"/>
  <c r="E26" i="62"/>
  <c r="D26" i="62"/>
  <c r="C26" i="62"/>
  <c r="AL36" i="62"/>
  <c r="AK36" i="62"/>
  <c r="AJ36" i="62"/>
  <c r="AI36" i="62"/>
  <c r="AH36" i="62"/>
  <c r="AG36" i="62"/>
  <c r="AF36" i="62"/>
  <c r="AE36" i="62"/>
  <c r="AD36" i="62"/>
  <c r="AC36" i="62"/>
  <c r="AB36" i="62"/>
  <c r="AA36" i="62"/>
  <c r="Z36" i="62"/>
  <c r="Y36" i="62"/>
  <c r="X36" i="62"/>
  <c r="W36" i="62"/>
  <c r="V36" i="62"/>
  <c r="U36" i="62"/>
  <c r="T36" i="62"/>
  <c r="S36" i="62"/>
  <c r="R36" i="62"/>
  <c r="Q36" i="62"/>
  <c r="P36" i="62"/>
  <c r="O36" i="62"/>
  <c r="N36" i="62"/>
  <c r="M36" i="62"/>
  <c r="L36" i="62"/>
  <c r="K36" i="62"/>
  <c r="J36" i="62"/>
  <c r="I36" i="62"/>
  <c r="H36" i="62"/>
  <c r="G36" i="62"/>
  <c r="F36" i="62"/>
  <c r="E36" i="62"/>
  <c r="D36" i="62"/>
  <c r="C36" i="62"/>
  <c r="O10" i="61"/>
  <c r="O11" i="61"/>
  <c r="O12" i="61"/>
  <c r="O13" i="61"/>
  <c r="O14" i="61"/>
  <c r="O15" i="61"/>
  <c r="O16" i="61"/>
  <c r="O17" i="61"/>
  <c r="O18" i="61"/>
  <c r="O19" i="61"/>
  <c r="O20" i="61"/>
  <c r="O21" i="61"/>
  <c r="O22" i="61"/>
  <c r="O23" i="61"/>
  <c r="O24" i="61"/>
  <c r="O25" i="61"/>
  <c r="O26" i="61"/>
  <c r="O27" i="61"/>
  <c r="O28" i="61"/>
  <c r="O29" i="61"/>
  <c r="O92" i="61" l="1"/>
  <c r="O93" i="61"/>
  <c r="O94" i="61"/>
  <c r="O95" i="61"/>
  <c r="O96" i="61"/>
  <c r="O97" i="61"/>
  <c r="O98" i="61"/>
  <c r="O99" i="61"/>
  <c r="O100" i="61"/>
  <c r="O101" i="61"/>
  <c r="O102" i="61"/>
  <c r="O103" i="61"/>
  <c r="O104" i="61"/>
  <c r="O105" i="61"/>
  <c r="O106" i="61"/>
  <c r="O107" i="61"/>
  <c r="O108" i="61"/>
  <c r="O109" i="61"/>
  <c r="O110" i="61"/>
  <c r="O111" i="61"/>
  <c r="O112" i="61"/>
  <c r="O113" i="61"/>
  <c r="O114" i="61"/>
  <c r="O115" i="61"/>
  <c r="O116" i="61"/>
  <c r="O117" i="61"/>
  <c r="O118" i="61"/>
  <c r="O119" i="61"/>
  <c r="O120" i="61"/>
  <c r="O121" i="61"/>
  <c r="O122" i="61"/>
  <c r="O123" i="61"/>
  <c r="O124" i="61"/>
  <c r="O125" i="61"/>
  <c r="O126" i="61"/>
  <c r="O127" i="61"/>
  <c r="O128" i="61"/>
  <c r="O129" i="61"/>
  <c r="O130" i="61"/>
  <c r="O131" i="61"/>
  <c r="O132" i="61"/>
  <c r="O133" i="61"/>
  <c r="O134" i="61"/>
  <c r="O135" i="61"/>
  <c r="O136" i="61"/>
  <c r="O137" i="61"/>
  <c r="O138" i="61"/>
  <c r="O139" i="61"/>
  <c r="O140" i="61"/>
  <c r="O141" i="61"/>
  <c r="O142" i="61"/>
  <c r="O143" i="61"/>
  <c r="O144" i="61"/>
  <c r="O145" i="61"/>
  <c r="O146" i="61"/>
  <c r="O147" i="61"/>
  <c r="O148" i="61"/>
  <c r="O149" i="61"/>
  <c r="O150" i="61"/>
  <c r="O151" i="61"/>
  <c r="O152" i="61"/>
  <c r="O153" i="61"/>
  <c r="O154" i="61"/>
  <c r="O155" i="61"/>
  <c r="O156" i="61"/>
  <c r="O157" i="61"/>
  <c r="O158" i="61"/>
  <c r="O159" i="61"/>
  <c r="O160" i="61"/>
  <c r="O161" i="61"/>
  <c r="O162" i="61"/>
  <c r="O163" i="61"/>
  <c r="O164" i="61"/>
  <c r="O165" i="61"/>
  <c r="O166" i="61"/>
  <c r="O167" i="61"/>
  <c r="O168" i="61"/>
  <c r="O169" i="61"/>
  <c r="O170" i="61"/>
  <c r="O171" i="61"/>
  <c r="O172" i="61"/>
  <c r="O173" i="61"/>
  <c r="O174" i="61"/>
  <c r="O175" i="61"/>
  <c r="O176" i="61"/>
  <c r="O177" i="61"/>
  <c r="O178" i="61"/>
  <c r="O179" i="61"/>
  <c r="O180" i="61"/>
  <c r="O181" i="61"/>
  <c r="O182" i="61"/>
  <c r="O183" i="61"/>
  <c r="O184" i="61"/>
  <c r="O185" i="61"/>
  <c r="O186" i="61"/>
  <c r="O187" i="61"/>
  <c r="O188" i="61"/>
  <c r="O189" i="61"/>
  <c r="O190" i="61"/>
  <c r="O191" i="61"/>
  <c r="O192" i="61"/>
  <c r="O193" i="61"/>
  <c r="O194" i="61"/>
  <c r="O195" i="61"/>
  <c r="O196" i="61"/>
  <c r="O197" i="61"/>
  <c r="O198" i="61"/>
  <c r="O199" i="61"/>
  <c r="O200" i="61"/>
  <c r="O201" i="61"/>
  <c r="O202" i="61"/>
  <c r="O203" i="61"/>
  <c r="O204" i="61"/>
  <c r="O205" i="61"/>
  <c r="O206" i="61"/>
  <c r="O207" i="61"/>
  <c r="O208" i="61"/>
  <c r="O209" i="61"/>
  <c r="O210" i="61"/>
  <c r="O211" i="61"/>
  <c r="O212" i="61"/>
  <c r="O213" i="61"/>
  <c r="O214" i="61"/>
  <c r="O215" i="61"/>
  <c r="O216" i="61"/>
  <c r="O217" i="61"/>
  <c r="O218" i="61"/>
  <c r="O219" i="61"/>
  <c r="O220" i="61"/>
  <c r="O221" i="61"/>
  <c r="O222" i="61"/>
  <c r="O223" i="61"/>
  <c r="O224" i="61"/>
  <c r="O225" i="61"/>
  <c r="O226" i="61"/>
  <c r="O227" i="61"/>
  <c r="O228" i="61"/>
  <c r="O229" i="61"/>
  <c r="O230" i="61"/>
  <c r="O231" i="61"/>
  <c r="O232" i="61"/>
  <c r="O233" i="61"/>
  <c r="O234" i="61"/>
  <c r="O235" i="61"/>
  <c r="O236" i="61"/>
  <c r="O237" i="61"/>
  <c r="O238" i="61"/>
  <c r="O239" i="61"/>
  <c r="O240" i="61"/>
  <c r="O241" i="61"/>
  <c r="O242" i="61"/>
  <c r="O243" i="61"/>
  <c r="O244" i="61"/>
  <c r="O245" i="61"/>
  <c r="O246" i="61"/>
  <c r="O247" i="61"/>
  <c r="O248" i="61"/>
  <c r="O249" i="61"/>
  <c r="O250" i="61"/>
  <c r="O251" i="61"/>
  <c r="N93" i="61"/>
  <c r="N94" i="61"/>
  <c r="N95" i="61"/>
  <c r="N96" i="61"/>
  <c r="N97" i="61"/>
  <c r="N98" i="61"/>
  <c r="N99" i="61"/>
  <c r="N100" i="61"/>
  <c r="N101" i="61"/>
  <c r="N102" i="61"/>
  <c r="N103" i="61"/>
  <c r="N104" i="61"/>
  <c r="N105" i="61"/>
  <c r="N106" i="61"/>
  <c r="N107" i="61"/>
  <c r="N108" i="61"/>
  <c r="N109" i="61"/>
  <c r="N110" i="61"/>
  <c r="N111" i="61"/>
  <c r="N112" i="61"/>
  <c r="N113" i="61"/>
  <c r="N114" i="61"/>
  <c r="N115" i="61"/>
  <c r="N116" i="61"/>
  <c r="N117" i="61"/>
  <c r="N118" i="61"/>
  <c r="N119" i="61"/>
  <c r="N120" i="61"/>
  <c r="N121" i="61"/>
  <c r="N122" i="61"/>
  <c r="N123" i="61"/>
  <c r="N124" i="61"/>
  <c r="N125" i="61"/>
  <c r="N126" i="61"/>
  <c r="N127" i="61"/>
  <c r="N128" i="61"/>
  <c r="N129" i="61"/>
  <c r="N130" i="61"/>
  <c r="N131" i="61"/>
  <c r="N132" i="61"/>
  <c r="N133" i="61"/>
  <c r="N134" i="61"/>
  <c r="N135" i="61"/>
  <c r="N136" i="61"/>
  <c r="N137" i="61"/>
  <c r="N138" i="61"/>
  <c r="N139" i="61"/>
  <c r="N140" i="61"/>
  <c r="N141" i="61"/>
  <c r="N142" i="61"/>
  <c r="N143" i="61"/>
  <c r="N144" i="61"/>
  <c r="N145" i="61"/>
  <c r="N146" i="61"/>
  <c r="N147" i="61"/>
  <c r="N148" i="61"/>
  <c r="N149" i="61"/>
  <c r="N150" i="61"/>
  <c r="N151" i="61"/>
  <c r="N152" i="61"/>
  <c r="N153" i="61"/>
  <c r="N154" i="61"/>
  <c r="N155" i="61"/>
  <c r="N156" i="61"/>
  <c r="N157" i="61"/>
  <c r="N158" i="61"/>
  <c r="N159" i="61"/>
  <c r="N160" i="61"/>
  <c r="N161" i="61"/>
  <c r="N162" i="61"/>
  <c r="N163" i="61"/>
  <c r="N164" i="61"/>
  <c r="N165" i="61"/>
  <c r="N166" i="61"/>
  <c r="N167" i="61"/>
  <c r="N168" i="61"/>
  <c r="N169" i="61"/>
  <c r="N170" i="61"/>
  <c r="N171" i="61"/>
  <c r="N172" i="61"/>
  <c r="N173" i="61"/>
  <c r="N174" i="61"/>
  <c r="N175" i="61"/>
  <c r="N176" i="61"/>
  <c r="N177" i="61"/>
  <c r="N178" i="61"/>
  <c r="N179" i="61"/>
  <c r="N180" i="61"/>
  <c r="N181" i="61"/>
  <c r="N182" i="61"/>
  <c r="N183" i="61"/>
  <c r="N184" i="61"/>
  <c r="N185" i="61"/>
  <c r="N186" i="61"/>
  <c r="N187" i="61"/>
  <c r="N188" i="61"/>
  <c r="N189" i="61"/>
  <c r="N190" i="61"/>
  <c r="N191" i="61"/>
  <c r="N192" i="61"/>
  <c r="N193" i="61"/>
  <c r="N194" i="61"/>
  <c r="N195" i="61"/>
  <c r="N196" i="61"/>
  <c r="N197" i="61"/>
  <c r="N198" i="61"/>
  <c r="N199" i="61"/>
  <c r="N200" i="61"/>
  <c r="N201" i="61"/>
  <c r="N202" i="61"/>
  <c r="N203" i="61"/>
  <c r="N204" i="61"/>
  <c r="N205" i="61"/>
  <c r="N206" i="61"/>
  <c r="N207" i="61"/>
  <c r="N208" i="61"/>
  <c r="N209" i="61"/>
  <c r="N210" i="61"/>
  <c r="N211" i="61"/>
  <c r="N212" i="61"/>
  <c r="N213" i="61"/>
  <c r="N214" i="61"/>
  <c r="N215" i="61"/>
  <c r="N216" i="61"/>
  <c r="N217" i="61"/>
  <c r="N218" i="61"/>
  <c r="N219" i="61"/>
  <c r="N220" i="61"/>
  <c r="N221" i="61"/>
  <c r="N222" i="61"/>
  <c r="N223" i="61"/>
  <c r="N224" i="61"/>
  <c r="N225" i="61"/>
  <c r="N226" i="61"/>
  <c r="N227" i="61"/>
  <c r="N228" i="61"/>
  <c r="N229" i="61"/>
  <c r="N230" i="61"/>
  <c r="N231" i="61"/>
  <c r="N232" i="61"/>
  <c r="N233" i="61"/>
  <c r="N234" i="61"/>
  <c r="N235" i="61"/>
  <c r="N236" i="61"/>
  <c r="N237" i="61"/>
  <c r="N238" i="61"/>
  <c r="N239" i="61"/>
  <c r="N240" i="61"/>
  <c r="N241" i="61"/>
  <c r="N242" i="61"/>
  <c r="N243" i="61"/>
  <c r="N244" i="61"/>
  <c r="N245" i="61"/>
  <c r="N246" i="61"/>
  <c r="N247" i="61"/>
  <c r="N248" i="61"/>
  <c r="N249" i="61"/>
  <c r="N250" i="61"/>
  <c r="N251" i="61"/>
  <c r="AH54" i="62" l="1"/>
  <c r="AL70" i="62" l="1"/>
  <c r="AK70" i="62"/>
  <c r="AL80" i="62"/>
  <c r="AL79" i="62"/>
  <c r="AK79" i="62"/>
  <c r="AL78" i="62"/>
  <c r="AK78" i="62"/>
  <c r="AL77" i="62"/>
  <c r="AK77" i="62"/>
  <c r="AL76" i="62"/>
  <c r="AK76" i="62"/>
  <c r="AL75" i="62"/>
  <c r="AK75" i="62"/>
  <c r="AI70" i="62"/>
  <c r="AL61" i="62"/>
  <c r="AK61" i="62"/>
  <c r="AL56" i="62"/>
  <c r="AK56" i="62"/>
  <c r="AL42" i="62"/>
  <c r="AK42" i="62"/>
  <c r="AL34" i="62"/>
  <c r="AL72" i="62" l="1"/>
  <c r="AH34" i="62"/>
  <c r="AJ72" i="62" l="1"/>
  <c r="AL20" i="62"/>
  <c r="AL19" i="62"/>
  <c r="AK19" i="62"/>
  <c r="AL18" i="62"/>
  <c r="AK18" i="62"/>
  <c r="AL17" i="62"/>
  <c r="AK17" i="62"/>
  <c r="AL8" i="62"/>
  <c r="AK8" i="62"/>
  <c r="G100" i="2" l="1"/>
  <c r="G101" i="2"/>
  <c r="F100" i="2"/>
  <c r="F101" i="2"/>
  <c r="A67" i="18" l="1"/>
  <c r="A66" i="18"/>
  <c r="A65" i="18"/>
  <c r="A64" i="18"/>
  <c r="A63" i="18"/>
  <c r="A64" i="11"/>
  <c r="A65" i="11"/>
  <c r="A66" i="11"/>
  <c r="A67" i="11"/>
  <c r="B65" i="18" l="1"/>
  <c r="C65" i="18"/>
  <c r="B66" i="18"/>
  <c r="C66" i="18"/>
  <c r="C67" i="18"/>
  <c r="B67" i="18"/>
  <c r="R17" i="12"/>
  <c r="R18" i="12"/>
  <c r="R19" i="12"/>
  <c r="AE30" i="23" l="1"/>
  <c r="AE31" i="23" s="1"/>
  <c r="AF30" i="23"/>
  <c r="AF31" i="23" s="1"/>
  <c r="C39" i="42" l="1"/>
  <c r="G30" i="30" l="1"/>
  <c r="H30" i="30"/>
  <c r="B603" i="6"/>
  <c r="B604" i="6"/>
  <c r="B605" i="6"/>
  <c r="A603" i="6"/>
  <c r="A604" i="6"/>
  <c r="A605" i="6"/>
  <c r="AJ53" i="51" l="1"/>
  <c r="AK82" i="51" l="1"/>
  <c r="AL82" i="51"/>
  <c r="AL86" i="51"/>
  <c r="AK86" i="51"/>
  <c r="AL90" i="51"/>
  <c r="AI30" i="23" l="1"/>
  <c r="AI31" i="23" s="1"/>
  <c r="M8" i="34" l="1"/>
  <c r="M9" i="34"/>
  <c r="M10" i="34"/>
  <c r="M11" i="34"/>
  <c r="M12" i="34"/>
  <c r="M13" i="34"/>
  <c r="M14" i="34"/>
  <c r="M15" i="34"/>
  <c r="M16" i="34"/>
  <c r="M17" i="34"/>
  <c r="M18" i="34"/>
  <c r="M19" i="34"/>
  <c r="M20" i="34"/>
  <c r="M21" i="34"/>
  <c r="M22" i="34"/>
  <c r="M23" i="34"/>
  <c r="M24" i="34"/>
  <c r="M25" i="34"/>
  <c r="M26" i="34"/>
  <c r="M27" i="34"/>
  <c r="M28" i="34"/>
  <c r="M29" i="34"/>
  <c r="M30" i="34"/>
  <c r="M31" i="34"/>
  <c r="M32" i="34"/>
  <c r="M33" i="34"/>
  <c r="M34" i="34"/>
  <c r="M35" i="34"/>
  <c r="M36" i="34"/>
  <c r="M37" i="34"/>
  <c r="M7" i="34"/>
  <c r="H64" i="34" s="1"/>
  <c r="H60" i="34" l="1"/>
  <c r="H57" i="34"/>
  <c r="H58" i="34"/>
  <c r="H59" i="34"/>
  <c r="H61" i="34"/>
  <c r="H62" i="34"/>
  <c r="H55" i="34"/>
  <c r="H63" i="34"/>
  <c r="H56" i="34"/>
  <c r="G99" i="2" l="1"/>
  <c r="F99" i="2"/>
  <c r="G98" i="2"/>
  <c r="F98" i="2"/>
  <c r="K20" i="54" l="1"/>
  <c r="AI14" i="48" l="1"/>
  <c r="E14" i="48"/>
  <c r="F14" i="48"/>
  <c r="G14" i="48"/>
  <c r="H14" i="48"/>
  <c r="I14" i="48"/>
  <c r="J14" i="48"/>
  <c r="K14" i="48"/>
  <c r="L14" i="48"/>
  <c r="M14" i="48"/>
  <c r="N14" i="48"/>
  <c r="O14" i="48"/>
  <c r="P14" i="48"/>
  <c r="Q14" i="48"/>
  <c r="R14" i="48"/>
  <c r="S14" i="48"/>
  <c r="T14" i="48"/>
  <c r="U14" i="48"/>
  <c r="V14" i="48"/>
  <c r="X14" i="48"/>
  <c r="Z14" i="48"/>
  <c r="AA14" i="48"/>
  <c r="AB14" i="48"/>
  <c r="AC14" i="48"/>
  <c r="AD14" i="48"/>
  <c r="AE14" i="48"/>
  <c r="AF14" i="48"/>
  <c r="AG14" i="48"/>
  <c r="AH14" i="48"/>
  <c r="AJ14" i="48"/>
  <c r="AL14" i="48"/>
  <c r="AN14" i="48"/>
  <c r="AO14" i="48"/>
  <c r="AP14" i="48"/>
  <c r="AQ14" i="48"/>
  <c r="AR14" i="48"/>
  <c r="AS14" i="48"/>
  <c r="AT14" i="48"/>
  <c r="AU14" i="48"/>
  <c r="AV14" i="48"/>
  <c r="AW14" i="48"/>
  <c r="AX14" i="48"/>
  <c r="AY14" i="48"/>
  <c r="AZ14" i="48"/>
  <c r="C14" i="48"/>
  <c r="E13" i="63"/>
  <c r="F13" i="63"/>
  <c r="G13" i="63"/>
  <c r="H13" i="63"/>
  <c r="I13" i="63"/>
  <c r="J13" i="63"/>
  <c r="K13" i="63"/>
  <c r="L13" i="63"/>
  <c r="M13" i="63"/>
  <c r="N13" i="63"/>
  <c r="O13" i="63"/>
  <c r="P13" i="63"/>
  <c r="Q13" i="63"/>
  <c r="R13" i="63"/>
  <c r="S13" i="63"/>
  <c r="T13" i="63"/>
  <c r="U13" i="63"/>
  <c r="V13" i="63"/>
  <c r="W13" i="63"/>
  <c r="X13" i="63"/>
  <c r="Y13" i="63"/>
  <c r="Z13" i="63"/>
  <c r="AA13" i="63"/>
  <c r="AB13" i="63"/>
  <c r="AC13" i="63"/>
  <c r="AD13" i="63"/>
  <c r="AE13" i="63"/>
  <c r="AF13" i="63"/>
  <c r="AG13" i="63"/>
  <c r="AH13" i="63"/>
  <c r="AI13" i="63"/>
  <c r="AJ13" i="63"/>
  <c r="AK13" i="63"/>
  <c r="AL13" i="63"/>
  <c r="AM13" i="63"/>
  <c r="AN13" i="63"/>
  <c r="C13" i="63"/>
  <c r="BJ125" i="48" l="1"/>
  <c r="AH172" i="63" l="1"/>
  <c r="AF172" i="63"/>
  <c r="AD172" i="63"/>
  <c r="AB172" i="63"/>
  <c r="Z172" i="63"/>
  <c r="X172" i="63"/>
  <c r="V172" i="63"/>
  <c r="T172" i="63"/>
  <c r="N172" i="63"/>
  <c r="L172" i="63"/>
  <c r="J76" i="49" l="1"/>
  <c r="AV1166" i="6" l="1"/>
  <c r="AV1167" i="6"/>
  <c r="AV1168" i="6"/>
  <c r="AV1170" i="6"/>
  <c r="AV1214" i="6" l="1"/>
  <c r="AV1215" i="6"/>
  <c r="AV1216" i="6"/>
  <c r="AV1217" i="6"/>
  <c r="AV1218" i="6"/>
  <c r="AV1219" i="6"/>
  <c r="AV1220" i="6"/>
  <c r="AV1221" i="6"/>
  <c r="AV1222" i="6"/>
  <c r="AV1223" i="6"/>
  <c r="AV1224" i="6"/>
  <c r="AV1225" i="6"/>
  <c r="AV1195" i="6" l="1"/>
  <c r="AV1196" i="6"/>
  <c r="AV1197" i="6"/>
  <c r="AV1198" i="6"/>
  <c r="AV1199" i="6"/>
  <c r="AV1200" i="6"/>
  <c r="AV1201" i="6"/>
  <c r="AV1202" i="6"/>
  <c r="AV1203" i="6"/>
  <c r="AV1204" i="6"/>
  <c r="AV1205" i="6"/>
  <c r="AV1206" i="6"/>
  <c r="AV1207" i="6"/>
  <c r="AV1208" i="6"/>
  <c r="AV1209" i="6"/>
  <c r="AV1210" i="6"/>
  <c r="AV1211" i="6"/>
  <c r="AV1212" i="6"/>
  <c r="AV1213" i="6"/>
  <c r="AV1183" i="6"/>
  <c r="AV1184" i="6"/>
  <c r="AV1185" i="6"/>
  <c r="AV1186" i="6"/>
  <c r="AV1187" i="6"/>
  <c r="AV1188" i="6"/>
  <c r="AV1189" i="6"/>
  <c r="AV1190" i="6"/>
  <c r="AV1191" i="6"/>
  <c r="AV1192" i="6"/>
  <c r="AV1193" i="6"/>
  <c r="AV1194" i="6"/>
  <c r="AV1172" i="6"/>
  <c r="AV1173" i="6"/>
  <c r="AV1174" i="6"/>
  <c r="AV1175" i="6"/>
  <c r="AV1176" i="6"/>
  <c r="AV1177" i="6"/>
  <c r="AV1178" i="6"/>
  <c r="AV1179" i="6"/>
  <c r="AV1180" i="6"/>
  <c r="AV1181" i="6"/>
  <c r="AV1182" i="6"/>
  <c r="AV1171" i="6"/>
  <c r="AV1154" i="6"/>
  <c r="AV1155" i="6"/>
  <c r="AV1156" i="6"/>
  <c r="AV1157" i="6"/>
  <c r="AV1158" i="6"/>
  <c r="AV1159" i="6"/>
  <c r="AV1160" i="6"/>
  <c r="AV1161" i="6"/>
  <c r="AV1162" i="6"/>
  <c r="AV1163" i="6"/>
  <c r="AV1164" i="6"/>
  <c r="AV1165" i="6"/>
  <c r="AV1169" i="6"/>
  <c r="AV1147" i="6"/>
  <c r="AV1148" i="6"/>
  <c r="AV1149" i="6"/>
  <c r="AV1150" i="6"/>
  <c r="AV1151" i="6"/>
  <c r="AV1152" i="6"/>
  <c r="AV1153" i="6"/>
  <c r="AD34" i="52" l="1"/>
  <c r="T34" i="36"/>
  <c r="R27" i="12"/>
  <c r="Q7" i="61"/>
  <c r="Q34" i="22"/>
  <c r="P25" i="79"/>
  <c r="P7" i="79"/>
  <c r="S34" i="28"/>
  <c r="Q34" i="17"/>
  <c r="K24" i="54"/>
  <c r="A8" i="4"/>
  <c r="E8" i="48" l="1"/>
  <c r="F8" i="48"/>
  <c r="G8" i="48"/>
  <c r="H8" i="48"/>
  <c r="I8" i="48"/>
  <c r="J8" i="48"/>
  <c r="K8" i="48"/>
  <c r="L8" i="48"/>
  <c r="M8" i="48"/>
  <c r="N8" i="48"/>
  <c r="O8" i="48"/>
  <c r="P8" i="48"/>
  <c r="Q8" i="48"/>
  <c r="R8" i="48"/>
  <c r="S8" i="48"/>
  <c r="T8" i="48"/>
  <c r="U8" i="48"/>
  <c r="V8" i="48"/>
  <c r="W8" i="48"/>
  <c r="X8" i="48"/>
  <c r="Y8" i="48"/>
  <c r="Z8" i="48"/>
  <c r="AA8" i="48"/>
  <c r="AB8" i="48"/>
  <c r="AC8" i="48"/>
  <c r="AD8" i="48"/>
  <c r="AE8" i="48"/>
  <c r="AF8" i="48"/>
  <c r="AG8" i="48"/>
  <c r="AH8" i="48"/>
  <c r="AI8" i="48"/>
  <c r="AJ8" i="48"/>
  <c r="AK8" i="48"/>
  <c r="AL8" i="48"/>
  <c r="AM8" i="48"/>
  <c r="AN8" i="48"/>
  <c r="AO8" i="48"/>
  <c r="AP8" i="48"/>
  <c r="AQ8" i="48"/>
  <c r="AR8" i="48"/>
  <c r="AS8" i="48"/>
  <c r="AT8" i="48"/>
  <c r="AU8" i="48"/>
  <c r="AV8" i="48"/>
  <c r="AW8" i="48"/>
  <c r="AX8" i="48"/>
  <c r="AY8" i="48"/>
  <c r="AZ8" i="48"/>
  <c r="D8" i="48"/>
  <c r="C8" i="48"/>
  <c r="E8" i="51"/>
  <c r="F8" i="51"/>
  <c r="G8" i="51"/>
  <c r="H8" i="51"/>
  <c r="I8" i="51"/>
  <c r="J8" i="51"/>
  <c r="K8" i="51"/>
  <c r="L8" i="51"/>
  <c r="M8" i="51"/>
  <c r="N8" i="51"/>
  <c r="O8" i="51"/>
  <c r="P8" i="51"/>
  <c r="Q8" i="51"/>
  <c r="R8" i="51"/>
  <c r="S8" i="51"/>
  <c r="T8" i="51"/>
  <c r="U8" i="51"/>
  <c r="V8" i="51"/>
  <c r="W8" i="51"/>
  <c r="X8" i="51"/>
  <c r="Y8" i="51"/>
  <c r="Z8" i="51"/>
  <c r="AA8" i="51"/>
  <c r="AB8" i="51"/>
  <c r="AC8" i="51"/>
  <c r="AD8" i="51"/>
  <c r="AE8" i="51"/>
  <c r="AF8" i="51"/>
  <c r="AG8" i="51"/>
  <c r="AH8" i="51"/>
  <c r="D8" i="51"/>
  <c r="E8" i="63"/>
  <c r="F8" i="63"/>
  <c r="G8" i="63"/>
  <c r="H8" i="63"/>
  <c r="I8" i="63"/>
  <c r="J8" i="63"/>
  <c r="K8" i="63"/>
  <c r="L8" i="63"/>
  <c r="M8" i="63"/>
  <c r="N8" i="63"/>
  <c r="O8" i="63"/>
  <c r="P8" i="63"/>
  <c r="Q8" i="63"/>
  <c r="R8" i="63"/>
  <c r="S8" i="63"/>
  <c r="T8" i="63"/>
  <c r="U8" i="63"/>
  <c r="V8" i="63"/>
  <c r="W8" i="63"/>
  <c r="X8" i="63"/>
  <c r="Y8" i="63"/>
  <c r="Z8" i="63"/>
  <c r="AA8" i="63"/>
  <c r="AB8" i="63"/>
  <c r="AC8" i="63"/>
  <c r="AD8" i="63"/>
  <c r="AE8" i="63"/>
  <c r="AF8" i="63"/>
  <c r="AG8" i="63"/>
  <c r="AH8" i="63"/>
  <c r="AI8" i="63"/>
  <c r="AJ8" i="63"/>
  <c r="AK8" i="63"/>
  <c r="AL8" i="63"/>
  <c r="AM8" i="63"/>
  <c r="AN8" i="63"/>
  <c r="D8" i="63"/>
  <c r="C8" i="63"/>
  <c r="E8" i="62"/>
  <c r="F8" i="62"/>
  <c r="G8" i="62"/>
  <c r="H8" i="62"/>
  <c r="I8" i="62"/>
  <c r="J8" i="62"/>
  <c r="K8" i="62"/>
  <c r="L8" i="62"/>
  <c r="M8" i="62"/>
  <c r="N8" i="62"/>
  <c r="O8" i="62"/>
  <c r="P8" i="62"/>
  <c r="Q8" i="62"/>
  <c r="R8" i="62"/>
  <c r="S8" i="62"/>
  <c r="T8" i="62"/>
  <c r="U8" i="62"/>
  <c r="V8" i="62"/>
  <c r="W8" i="62"/>
  <c r="X8" i="62"/>
  <c r="Y8" i="62"/>
  <c r="Z8" i="62"/>
  <c r="AA8" i="62"/>
  <c r="AB8" i="62"/>
  <c r="AC8" i="62"/>
  <c r="AD8" i="62"/>
  <c r="AE8" i="62"/>
  <c r="AF8" i="62"/>
  <c r="AG8" i="62"/>
  <c r="AH8" i="62"/>
  <c r="AI8" i="62"/>
  <c r="AJ8" i="62"/>
  <c r="D8" i="62"/>
  <c r="K51" i="44" l="1"/>
  <c r="AH53" i="51"/>
  <c r="AH34" i="51" l="1"/>
  <c r="AH9" i="51"/>
  <c r="AG9" i="51"/>
  <c r="AH9" i="62"/>
  <c r="AG9" i="62"/>
  <c r="A8" i="73" l="1"/>
  <c r="A8" i="76"/>
  <c r="A8" i="74"/>
  <c r="F10" i="80"/>
  <c r="G16" i="79"/>
  <c r="M8" i="71"/>
  <c r="M9" i="71"/>
  <c r="M10" i="71"/>
  <c r="M11" i="71"/>
  <c r="M12" i="71"/>
  <c r="M13" i="71"/>
  <c r="M16" i="71"/>
  <c r="M14" i="71"/>
  <c r="M18" i="71"/>
  <c r="M15" i="71"/>
  <c r="M17" i="71"/>
  <c r="M19" i="71"/>
  <c r="M20" i="71"/>
  <c r="M26" i="71"/>
  <c r="M22" i="71"/>
  <c r="M21" i="71"/>
  <c r="M23" i="71"/>
  <c r="M24" i="71"/>
  <c r="M28" i="71"/>
  <c r="M25" i="71"/>
  <c r="M27" i="71"/>
  <c r="M32" i="71"/>
  <c r="M30" i="71"/>
  <c r="M29" i="71"/>
  <c r="M34" i="71"/>
  <c r="M33" i="71"/>
  <c r="M31" i="71"/>
  <c r="M36" i="71"/>
  <c r="M35" i="71"/>
  <c r="M37" i="71"/>
  <c r="M7" i="71"/>
  <c r="F55" i="71" l="1"/>
  <c r="E53" i="34"/>
  <c r="S34" i="2"/>
  <c r="A9" i="78"/>
  <c r="A8" i="75"/>
  <c r="G97" i="2" l="1"/>
  <c r="G96" i="2"/>
  <c r="F97" i="2"/>
  <c r="F96" i="2"/>
  <c r="J58" i="49" l="1"/>
  <c r="J57" i="49"/>
  <c r="J56" i="49"/>
  <c r="J55" i="49"/>
  <c r="J82" i="49"/>
  <c r="J80" i="49"/>
  <c r="J78" i="49"/>
  <c r="AG30" i="23" l="1"/>
  <c r="G93" i="2"/>
  <c r="F95" i="2"/>
  <c r="C38" i="42" l="1"/>
  <c r="J56" i="52" l="1"/>
  <c r="Z53" i="51" l="1"/>
  <c r="G7" i="80" l="1"/>
  <c r="G10" i="80" l="1"/>
  <c r="E89" i="12" l="1"/>
  <c r="D66" i="79" l="1"/>
  <c r="E66" i="79"/>
  <c r="D67" i="79"/>
  <c r="E67" i="79"/>
  <c r="F94" i="2" l="1"/>
  <c r="G94" i="2"/>
  <c r="G95" i="2"/>
  <c r="F93" i="2"/>
  <c r="J21" i="49" l="1"/>
  <c r="M44" i="79" l="1"/>
  <c r="BJ222" i="48" l="1"/>
  <c r="BJ220" i="48"/>
  <c r="BJ217" i="48"/>
  <c r="BJ216" i="48"/>
  <c r="BJ154" i="48"/>
  <c r="BJ153" i="48"/>
  <c r="BJ152" i="48"/>
  <c r="BJ151" i="48"/>
  <c r="BJ212" i="48"/>
  <c r="BJ210" i="48"/>
  <c r="BJ208" i="48"/>
  <c r="BJ206" i="48"/>
  <c r="BJ203" i="48"/>
  <c r="BJ202" i="48"/>
  <c r="BJ201" i="48"/>
  <c r="BJ198" i="48"/>
  <c r="BJ196" i="48"/>
  <c r="BJ193" i="48"/>
  <c r="BJ189" i="48"/>
  <c r="BJ186" i="48"/>
  <c r="BJ185" i="48"/>
  <c r="BJ184" i="48"/>
  <c r="BJ183" i="48"/>
  <c r="BJ182" i="48"/>
  <c r="BJ178" i="48"/>
  <c r="BJ176" i="48"/>
  <c r="BJ173" i="48"/>
  <c r="BJ172" i="48"/>
  <c r="BJ171" i="48"/>
  <c r="BJ170" i="48"/>
  <c r="BJ169" i="48"/>
  <c r="BJ168" i="48"/>
  <c r="BJ166" i="48"/>
  <c r="BJ165" i="48"/>
  <c r="BJ164" i="48"/>
  <c r="BJ161" i="48"/>
  <c r="BJ157" i="48"/>
  <c r="BJ147" i="48"/>
  <c r="BJ146" i="48"/>
  <c r="BJ142" i="48"/>
  <c r="BJ141" i="48"/>
  <c r="BJ135" i="48"/>
  <c r="BJ134" i="48"/>
  <c r="BJ130" i="48"/>
  <c r="BJ129" i="48"/>
  <c r="BJ128" i="48"/>
  <c r="BJ127" i="48"/>
  <c r="BJ126" i="48"/>
  <c r="BJ124" i="48"/>
  <c r="BJ123" i="48"/>
  <c r="BJ122" i="48"/>
  <c r="BJ121" i="48"/>
  <c r="BJ119" i="48"/>
  <c r="BJ116" i="48"/>
  <c r="BJ114" i="48"/>
  <c r="BJ112" i="48"/>
  <c r="BJ110" i="48"/>
  <c r="BJ107" i="48"/>
  <c r="BJ106" i="48"/>
  <c r="BJ105" i="48"/>
  <c r="BJ104" i="48"/>
  <c r="BJ103" i="48"/>
  <c r="BJ102" i="48"/>
  <c r="BJ101" i="48"/>
  <c r="BJ100" i="48"/>
  <c r="BJ99" i="48"/>
  <c r="BJ98" i="48"/>
  <c r="BJ97" i="48"/>
  <c r="BJ96" i="48"/>
  <c r="BJ95" i="48"/>
  <c r="BJ94" i="48"/>
  <c r="BJ93" i="48"/>
  <c r="BJ92" i="48"/>
  <c r="BJ91" i="48"/>
  <c r="BJ90" i="48"/>
  <c r="BJ89" i="48"/>
  <c r="BJ88" i="48"/>
  <c r="BJ87" i="48"/>
  <c r="BJ83" i="48"/>
  <c r="BJ82" i="48"/>
  <c r="BJ80" i="48"/>
  <c r="BJ79" i="48"/>
  <c r="BJ78" i="48"/>
  <c r="BJ77" i="48"/>
  <c r="BJ76" i="48"/>
  <c r="BJ75" i="48"/>
  <c r="BJ74" i="48"/>
  <c r="BJ71" i="48"/>
  <c r="BJ69" i="48"/>
  <c r="BJ65" i="48"/>
  <c r="BJ64" i="48"/>
  <c r="BJ63" i="48"/>
  <c r="BJ62" i="48"/>
  <c r="BJ59" i="48"/>
  <c r="BJ55" i="48"/>
  <c r="BJ54" i="48"/>
  <c r="BJ53" i="48"/>
  <c r="BJ51" i="48"/>
  <c r="BJ50" i="48"/>
  <c r="BJ49" i="48"/>
  <c r="BJ48" i="48"/>
  <c r="BJ47" i="48"/>
  <c r="BJ44" i="48"/>
  <c r="BJ42" i="48"/>
  <c r="BJ39" i="48"/>
  <c r="BJ38" i="48"/>
  <c r="BJ37" i="48"/>
  <c r="BJ36" i="48"/>
  <c r="BJ35" i="48"/>
  <c r="BJ33" i="48"/>
  <c r="BJ29" i="48"/>
  <c r="BJ26" i="48"/>
  <c r="BJ25" i="48"/>
  <c r="BJ24" i="48"/>
  <c r="BJ23" i="48"/>
  <c r="BJ20" i="48"/>
  <c r="BJ18" i="48"/>
  <c r="BJ16" i="48"/>
  <c r="BJ13" i="48"/>
  <c r="BJ12" i="48"/>
  <c r="BJ11" i="48"/>
  <c r="D73" i="79" l="1"/>
  <c r="E73" i="79"/>
  <c r="D74" i="79"/>
  <c r="E74" i="79"/>
  <c r="D72" i="79"/>
  <c r="E72" i="79"/>
  <c r="AV1135" i="6" l="1"/>
  <c r="AV1136" i="6"/>
  <c r="AV1137" i="6"/>
  <c r="AV1138" i="6"/>
  <c r="AV1139" i="6"/>
  <c r="AV1140" i="6"/>
  <c r="AV1141" i="6"/>
  <c r="AV1142" i="6"/>
  <c r="AV1143" i="6"/>
  <c r="AV1144" i="6"/>
  <c r="AV1145" i="6"/>
  <c r="AV1146" i="6"/>
  <c r="AJ9" i="62" l="1"/>
  <c r="AI9" i="62" l="1"/>
  <c r="AV1128" i="6"/>
  <c r="AV1129" i="6"/>
  <c r="AV1130" i="6"/>
  <c r="AV1131" i="6"/>
  <c r="AV1132" i="6"/>
  <c r="AV1133" i="6"/>
  <c r="AV1134" i="6"/>
  <c r="AV1116" i="6"/>
  <c r="AV1117" i="6"/>
  <c r="AV1118" i="6"/>
  <c r="AV1119" i="6"/>
  <c r="AV1120" i="6"/>
  <c r="AV1121" i="6"/>
  <c r="AV1122" i="6"/>
  <c r="AV1123" i="6"/>
  <c r="AV1124" i="6"/>
  <c r="AV1125" i="6"/>
  <c r="AV1126" i="6"/>
  <c r="AV1127" i="6"/>
  <c r="AK13" i="23"/>
  <c r="AH30" i="23"/>
  <c r="AH31" i="23" s="1"/>
  <c r="AV1104" i="6"/>
  <c r="AV1105" i="6"/>
  <c r="AV1106" i="6"/>
  <c r="AV1107" i="6"/>
  <c r="AV1108" i="6"/>
  <c r="AV1109" i="6"/>
  <c r="AV1110" i="6"/>
  <c r="AV1111" i="6"/>
  <c r="AV1112" i="6"/>
  <c r="AV1113" i="6"/>
  <c r="AV1114" i="6"/>
  <c r="AV1115" i="6"/>
  <c r="AV1092" i="6"/>
  <c r="AV1093" i="6"/>
  <c r="AV1094" i="6"/>
  <c r="AV1095" i="6"/>
  <c r="AV1096" i="6"/>
  <c r="AV1097" i="6"/>
  <c r="AV1098" i="6"/>
  <c r="AV1099" i="6"/>
  <c r="AV1100" i="6"/>
  <c r="AV1101" i="6"/>
  <c r="AV1102" i="6"/>
  <c r="AV1103" i="6"/>
  <c r="AV1079" i="6"/>
  <c r="AV1080" i="6"/>
  <c r="AV1081" i="6"/>
  <c r="AV1082" i="6"/>
  <c r="AV1083" i="6"/>
  <c r="AV1084" i="6"/>
  <c r="AV1085" i="6"/>
  <c r="AV1086" i="6"/>
  <c r="AV1087" i="6"/>
  <c r="AV1088" i="6"/>
  <c r="AV1089" i="6"/>
  <c r="AV1090" i="6"/>
  <c r="AV1091" i="6"/>
  <c r="AV1067" i="6" l="1"/>
  <c r="AV1068" i="6"/>
  <c r="AV1069" i="6"/>
  <c r="AV1070" i="6"/>
  <c r="AV1071" i="6"/>
  <c r="AV1072" i="6"/>
  <c r="AV1073" i="6"/>
  <c r="AV1074" i="6"/>
  <c r="AV1075" i="6"/>
  <c r="AV1076" i="6"/>
  <c r="AV1077" i="6"/>
  <c r="AV1078" i="6"/>
  <c r="F92" i="2"/>
  <c r="G92" i="2"/>
  <c r="J14" i="49" l="1"/>
  <c r="J15" i="49"/>
  <c r="J16" i="49"/>
  <c r="AF9" i="51" l="1"/>
  <c r="AE9" i="51"/>
  <c r="C37" i="42" l="1"/>
  <c r="AK9" i="23" l="1"/>
  <c r="AG31" i="23"/>
  <c r="AX971" i="6" l="1"/>
  <c r="F90" i="2" l="1"/>
  <c r="G90" i="2"/>
  <c r="F91" i="2"/>
  <c r="G91" i="2"/>
  <c r="F88" i="2"/>
  <c r="F89" i="2"/>
  <c r="AN1" i="61" l="1"/>
  <c r="AN2" i="61" l="1"/>
  <c r="AV1055" i="6"/>
  <c r="AV1056" i="6"/>
  <c r="AV1057" i="6"/>
  <c r="AV1058" i="6"/>
  <c r="AV1059" i="6"/>
  <c r="AV1060" i="6"/>
  <c r="AV1061" i="6"/>
  <c r="AV1062" i="6"/>
  <c r="AV1063" i="6"/>
  <c r="AV1064" i="6"/>
  <c r="AV1065" i="6"/>
  <c r="AV1066" i="6"/>
  <c r="AV1054" i="6" l="1"/>
  <c r="AV1042" i="6"/>
  <c r="AV1043" i="6"/>
  <c r="AV1044" i="6"/>
  <c r="AV1045" i="6"/>
  <c r="AV1046" i="6"/>
  <c r="AV1047" i="6"/>
  <c r="AV1048" i="6"/>
  <c r="AV1049" i="6"/>
  <c r="AV1050" i="6"/>
  <c r="AV1051" i="6"/>
  <c r="AV1052" i="6"/>
  <c r="AV1053" i="6"/>
  <c r="AV1030" i="6" l="1"/>
  <c r="AV1031" i="6"/>
  <c r="AV1032" i="6"/>
  <c r="AV1033" i="6"/>
  <c r="AV1034" i="6"/>
  <c r="AV1035" i="6"/>
  <c r="AV1036" i="6"/>
  <c r="AV1037" i="6"/>
  <c r="AV1038" i="6"/>
  <c r="AV1039" i="6"/>
  <c r="AV1040" i="6"/>
  <c r="AV1041" i="6"/>
  <c r="AV1023" i="6" l="1"/>
  <c r="AV1024" i="6"/>
  <c r="AV1025" i="6"/>
  <c r="AV1026" i="6"/>
  <c r="AV1027" i="6"/>
  <c r="AV1028" i="6"/>
  <c r="AV1029" i="6"/>
  <c r="G88" i="2" l="1"/>
  <c r="G89" i="2"/>
  <c r="AV1011" i="6" l="1"/>
  <c r="AV1012" i="6"/>
  <c r="AV1013" i="6"/>
  <c r="AV1014" i="6"/>
  <c r="AV1015" i="6"/>
  <c r="AV1016" i="6"/>
  <c r="AV1017" i="6"/>
  <c r="AV1018" i="6"/>
  <c r="AV1019" i="6"/>
  <c r="AV1020" i="6"/>
  <c r="AV1021" i="6"/>
  <c r="AV1022" i="6"/>
  <c r="AV999" i="6" l="1"/>
  <c r="AV1000" i="6"/>
  <c r="AV1001" i="6"/>
  <c r="AV1002" i="6"/>
  <c r="AV1003" i="6"/>
  <c r="AV1004" i="6"/>
  <c r="AV1005" i="6"/>
  <c r="AV1006" i="6"/>
  <c r="AV1007" i="6"/>
  <c r="AV1008" i="6"/>
  <c r="AV1009" i="6"/>
  <c r="AV1010" i="6"/>
  <c r="AV988" i="6" l="1"/>
  <c r="AV989" i="6"/>
  <c r="AV990" i="6"/>
  <c r="AV991" i="6"/>
  <c r="AV992" i="6"/>
  <c r="AV993" i="6"/>
  <c r="AV994" i="6"/>
  <c r="AV995" i="6"/>
  <c r="AV996" i="6"/>
  <c r="AV997" i="6"/>
  <c r="AV998" i="6"/>
  <c r="AV987" i="6"/>
  <c r="AD218" i="48" l="1"/>
  <c r="BK217" i="48"/>
  <c r="BK216" i="48"/>
  <c r="AD155" i="48"/>
  <c r="BK154" i="48"/>
  <c r="BK153" i="48"/>
  <c r="BK152" i="48"/>
  <c r="BK151" i="48"/>
  <c r="BK212" i="48"/>
  <c r="BK210" i="48"/>
  <c r="BK208" i="48"/>
  <c r="AD204" i="48"/>
  <c r="BK203" i="48"/>
  <c r="BK202" i="48"/>
  <c r="BK201" i="48"/>
  <c r="BK198" i="48"/>
  <c r="BK196" i="48"/>
  <c r="AD194" i="48"/>
  <c r="BK193" i="48"/>
  <c r="BK189" i="48"/>
  <c r="AD187" i="48"/>
  <c r="BK186" i="48"/>
  <c r="BK185" i="48"/>
  <c r="BK184" i="48"/>
  <c r="BK183" i="48"/>
  <c r="BK182" i="48"/>
  <c r="BK181" i="48"/>
  <c r="BK178" i="48"/>
  <c r="BK176" i="48"/>
  <c r="BK173" i="48"/>
  <c r="BK172" i="48"/>
  <c r="BK171" i="48"/>
  <c r="BK170" i="48"/>
  <c r="BK169" i="48"/>
  <c r="BK168" i="48"/>
  <c r="AD167" i="48"/>
  <c r="AD174" i="48" s="1"/>
  <c r="BK166" i="48"/>
  <c r="BK165" i="48"/>
  <c r="BK164" i="48"/>
  <c r="BK161" i="48"/>
  <c r="BK157" i="48"/>
  <c r="AD148" i="48"/>
  <c r="BK147" i="48"/>
  <c r="BK146" i="48"/>
  <c r="AD143" i="48"/>
  <c r="BK142" i="48"/>
  <c r="BK141" i="48"/>
  <c r="AD136" i="48"/>
  <c r="BK135" i="48"/>
  <c r="BK134" i="48"/>
  <c r="AD131" i="48"/>
  <c r="BK130" i="48"/>
  <c r="BK129" i="48"/>
  <c r="BK128" i="48"/>
  <c r="BK127" i="48"/>
  <c r="BK126" i="48"/>
  <c r="BK125" i="48"/>
  <c r="BK124" i="48"/>
  <c r="BK123" i="48"/>
  <c r="BK122" i="48"/>
  <c r="BK121" i="48"/>
  <c r="BK119" i="48"/>
  <c r="BK116" i="48"/>
  <c r="BK114" i="48"/>
  <c r="BK110" i="48"/>
  <c r="AD108" i="48"/>
  <c r="BK107" i="48"/>
  <c r="BK106" i="48"/>
  <c r="BK105" i="48"/>
  <c r="BK104" i="48"/>
  <c r="BK103" i="48"/>
  <c r="BK102" i="48"/>
  <c r="BK101" i="48"/>
  <c r="BK100" i="48"/>
  <c r="BK99" i="48"/>
  <c r="BK98" i="48"/>
  <c r="BK97" i="48"/>
  <c r="BK96" i="48"/>
  <c r="BK95" i="48"/>
  <c r="BK94" i="48"/>
  <c r="BK93" i="48"/>
  <c r="BK92" i="48"/>
  <c r="BK91" i="48"/>
  <c r="BK90" i="48"/>
  <c r="BK89" i="48"/>
  <c r="BK88" i="48"/>
  <c r="BK87" i="48"/>
  <c r="AD84" i="48"/>
  <c r="BK83" i="48"/>
  <c r="BK82" i="48"/>
  <c r="BK80" i="48"/>
  <c r="BK79" i="48"/>
  <c r="BK78" i="48"/>
  <c r="BK77" i="48"/>
  <c r="BK76" i="48"/>
  <c r="BK75" i="48"/>
  <c r="BK74" i="48"/>
  <c r="BK71" i="48"/>
  <c r="BK69" i="48"/>
  <c r="AD67" i="48"/>
  <c r="BK65" i="48"/>
  <c r="BK64" i="48"/>
  <c r="BK63" i="48"/>
  <c r="BK62" i="48"/>
  <c r="BK59" i="48"/>
  <c r="AD57" i="48"/>
  <c r="BK55" i="48"/>
  <c r="BK54" i="48"/>
  <c r="BK53" i="48"/>
  <c r="BK51" i="48"/>
  <c r="BK50" i="48"/>
  <c r="BK49" i="48"/>
  <c r="BK47" i="48"/>
  <c r="BK44" i="48"/>
  <c r="BK42" i="48"/>
  <c r="AD40" i="48"/>
  <c r="BK39" i="48"/>
  <c r="BK38" i="48"/>
  <c r="BK37" i="48"/>
  <c r="BK36" i="48"/>
  <c r="BK35" i="48"/>
  <c r="BK33" i="48"/>
  <c r="BK29" i="48"/>
  <c r="BK26" i="48"/>
  <c r="BK25" i="48"/>
  <c r="BK24" i="48"/>
  <c r="BK23" i="48"/>
  <c r="BK20" i="48"/>
  <c r="BK18" i="48"/>
  <c r="BK16" i="48"/>
  <c r="BK13" i="48"/>
  <c r="BK12" i="48"/>
  <c r="BK11" i="48"/>
  <c r="AD226" i="48" l="1"/>
  <c r="AD224" i="48" s="1"/>
  <c r="BK222" i="48"/>
  <c r="BK220" i="48"/>
  <c r="AD149" i="63"/>
  <c r="AD100" i="63"/>
  <c r="AD59" i="63"/>
  <c r="AP2" i="56"/>
  <c r="AD30" i="23"/>
  <c r="AD31" i="23" s="1"/>
  <c r="AF9" i="62" l="1"/>
  <c r="AE9" i="62"/>
  <c r="AD9" i="62"/>
  <c r="E25" i="44" l="1"/>
  <c r="A9" i="44" s="1"/>
  <c r="P8" i="44"/>
  <c r="P10" i="44"/>
  <c r="D66" i="44"/>
  <c r="C66" i="44"/>
  <c r="E66" i="44"/>
  <c r="F31" i="44" l="1"/>
  <c r="F12" i="44"/>
  <c r="A26" i="44"/>
  <c r="F58" i="44"/>
  <c r="F21" i="44"/>
  <c r="F13" i="44"/>
  <c r="F61" i="44"/>
  <c r="F53" i="44"/>
  <c r="F46" i="44"/>
  <c r="F37" i="44"/>
  <c r="F30" i="44"/>
  <c r="F19" i="44"/>
  <c r="F11" i="44"/>
  <c r="F60" i="44"/>
  <c r="F52" i="44"/>
  <c r="F45" i="44"/>
  <c r="F29" i="44"/>
  <c r="F18" i="44"/>
  <c r="F44" i="44"/>
  <c r="F16" i="44"/>
  <c r="F65" i="44"/>
  <c r="F57" i="44"/>
  <c r="F50" i="44"/>
  <c r="F42" i="44"/>
  <c r="F34" i="44"/>
  <c r="F10" i="44"/>
  <c r="F20" i="44"/>
  <c r="F28" i="44"/>
  <c r="F26" i="44"/>
  <c r="F35" i="44"/>
  <c r="F9" i="44"/>
  <c r="F64" i="44"/>
  <c r="F41" i="44"/>
  <c r="F23" i="44"/>
  <c r="F14" i="44"/>
  <c r="F63" i="44"/>
  <c r="F55" i="44"/>
  <c r="F48" i="44"/>
  <c r="F40" i="44"/>
  <c r="F32" i="44"/>
  <c r="F59" i="44"/>
  <c r="F36" i="44"/>
  <c r="F17" i="44"/>
  <c r="F51" i="44"/>
  <c r="F43" i="44"/>
  <c r="F27" i="44"/>
  <c r="F15" i="44"/>
  <c r="F56" i="44"/>
  <c r="F49" i="44"/>
  <c r="F33" i="44"/>
  <c r="F22" i="44"/>
  <c r="F38" i="44"/>
  <c r="F62" i="44"/>
  <c r="F54" i="44"/>
  <c r="F47" i="44"/>
  <c r="F39" i="44"/>
  <c r="G87" i="2"/>
  <c r="F87" i="2"/>
  <c r="G86" i="2"/>
  <c r="F86" i="2"/>
  <c r="G85" i="2"/>
  <c r="F85" i="2"/>
  <c r="G84" i="2"/>
  <c r="F84" i="2"/>
  <c r="G83" i="2"/>
  <c r="F83" i="2"/>
  <c r="G82" i="2"/>
  <c r="F82" i="2"/>
  <c r="G81" i="2"/>
  <c r="F81" i="2"/>
  <c r="G80" i="2"/>
  <c r="F80" i="2"/>
  <c r="G79" i="2"/>
  <c r="F79" i="2"/>
  <c r="G78" i="2"/>
  <c r="F78" i="2"/>
  <c r="G77" i="2"/>
  <c r="F77" i="2"/>
  <c r="G76" i="2"/>
  <c r="F76" i="2"/>
  <c r="G75" i="2"/>
  <c r="F75" i="2"/>
  <c r="G74" i="2"/>
  <c r="F74" i="2"/>
  <c r="G73" i="2"/>
  <c r="F73" i="2"/>
  <c r="G72" i="2"/>
  <c r="F72" i="2"/>
  <c r="G71" i="2"/>
  <c r="F71" i="2"/>
  <c r="G70" i="2"/>
  <c r="F70" i="2"/>
  <c r="G69" i="2"/>
  <c r="F69" i="2"/>
  <c r="G68" i="2"/>
  <c r="F68" i="2"/>
  <c r="G67" i="2"/>
  <c r="F67" i="2"/>
  <c r="G66" i="2"/>
  <c r="F66" i="2"/>
  <c r="G65" i="2"/>
  <c r="F65" i="2"/>
  <c r="G64" i="2"/>
  <c r="F64" i="2"/>
  <c r="G63" i="2"/>
  <c r="F63" i="2"/>
  <c r="G62" i="2"/>
  <c r="F62" i="2"/>
  <c r="G61" i="2"/>
  <c r="F61" i="2"/>
  <c r="G60" i="2"/>
  <c r="F60" i="2"/>
  <c r="G59" i="2"/>
  <c r="F59" i="2"/>
  <c r="G58" i="2"/>
  <c r="F58" i="2"/>
  <c r="G57" i="2"/>
  <c r="F57" i="2"/>
  <c r="G56" i="2"/>
  <c r="F56" i="2"/>
  <c r="G55" i="2"/>
  <c r="F55" i="2"/>
  <c r="G54" i="2"/>
  <c r="F54" i="2"/>
  <c r="G53" i="2"/>
  <c r="F53" i="2"/>
  <c r="G52" i="2"/>
  <c r="F52" i="2"/>
  <c r="G51" i="2"/>
  <c r="F51" i="2"/>
  <c r="G50" i="2"/>
  <c r="F50" i="2"/>
  <c r="G49" i="2"/>
  <c r="F49" i="2"/>
  <c r="G48" i="2"/>
  <c r="F48" i="2"/>
  <c r="G47" i="2"/>
  <c r="F47" i="2"/>
  <c r="G46" i="2"/>
  <c r="F46" i="2"/>
  <c r="G45" i="2"/>
  <c r="F45" i="2"/>
  <c r="G44" i="2"/>
  <c r="F44" i="2"/>
  <c r="G43" i="2"/>
  <c r="F43" i="2"/>
  <c r="G42" i="2"/>
  <c r="F42" i="2"/>
  <c r="G41" i="2"/>
  <c r="F41" i="2"/>
  <c r="G40" i="2"/>
  <c r="F40" i="2"/>
  <c r="G39" i="2"/>
  <c r="F39" i="2"/>
  <c r="G38" i="2"/>
  <c r="F38" i="2"/>
  <c r="G37" i="2"/>
  <c r="F37" i="2"/>
  <c r="G36" i="2"/>
  <c r="F36" i="2"/>
  <c r="G35" i="2"/>
  <c r="F35" i="2"/>
  <c r="G34" i="2"/>
  <c r="F34" i="2"/>
  <c r="G33" i="2"/>
  <c r="F33" i="2"/>
  <c r="G32" i="2"/>
  <c r="F32" i="2"/>
  <c r="G31" i="2"/>
  <c r="F31" i="2"/>
  <c r="G30" i="2"/>
  <c r="F30" i="2"/>
  <c r="G29" i="2"/>
  <c r="F29" i="2"/>
  <c r="G28" i="2"/>
  <c r="F28" i="2"/>
  <c r="G27" i="2"/>
  <c r="F27" i="2"/>
  <c r="G26" i="2"/>
  <c r="F26" i="2"/>
  <c r="G25" i="2"/>
  <c r="F25" i="2"/>
  <c r="G24" i="2"/>
  <c r="F24" i="2"/>
  <c r="G23" i="2"/>
  <c r="F23" i="2"/>
  <c r="G22" i="2"/>
  <c r="F22" i="2"/>
  <c r="G21" i="2"/>
  <c r="F21" i="2"/>
  <c r="G20" i="2"/>
  <c r="F20" i="2"/>
  <c r="G19" i="2"/>
  <c r="F19" i="2"/>
  <c r="G18" i="2"/>
  <c r="F18" i="2"/>
  <c r="G17" i="2"/>
  <c r="F17" i="2"/>
  <c r="G16" i="2"/>
  <c r="F16" i="2"/>
  <c r="G15" i="2"/>
  <c r="F15" i="2"/>
  <c r="G14" i="2"/>
  <c r="F14" i="2"/>
  <c r="G13" i="2"/>
  <c r="F13" i="2"/>
  <c r="G12" i="2"/>
  <c r="F12" i="2"/>
  <c r="G11" i="2"/>
  <c r="F11" i="2"/>
  <c r="G10" i="2"/>
  <c r="F10" i="2"/>
  <c r="G9" i="2"/>
  <c r="F9" i="2"/>
  <c r="G8" i="2"/>
  <c r="F8" i="2"/>
  <c r="H75" i="2"/>
  <c r="I75" i="2"/>
  <c r="H76" i="2"/>
  <c r="I76" i="2"/>
  <c r="H77" i="2"/>
  <c r="I77" i="2"/>
  <c r="H78" i="2"/>
  <c r="I78" i="2"/>
  <c r="H79" i="2"/>
  <c r="I79" i="2"/>
  <c r="J9" i="44" l="1"/>
  <c r="J12" i="44"/>
  <c r="J16" i="44"/>
  <c r="J18" i="44"/>
  <c r="J10" i="44"/>
  <c r="K10" i="44" s="1"/>
  <c r="J15" i="44"/>
  <c r="K15" i="44" s="1"/>
  <c r="J14" i="44"/>
  <c r="K14" i="44" s="1"/>
  <c r="J11" i="44"/>
  <c r="K11" i="44" s="1"/>
  <c r="J13" i="44"/>
  <c r="K13" i="44" s="1"/>
  <c r="J17" i="44"/>
  <c r="K17" i="44" s="1"/>
  <c r="L16" i="44"/>
  <c r="L14" i="44"/>
  <c r="K12" i="44"/>
  <c r="M9" i="44"/>
  <c r="L11" i="44"/>
  <c r="L18" i="44"/>
  <c r="L10" i="44"/>
  <c r="L15" i="44"/>
  <c r="L13" i="44"/>
  <c r="L12" i="44"/>
  <c r="K18" i="44"/>
  <c r="L17" i="44"/>
  <c r="K16" i="44"/>
  <c r="D62" i="79"/>
  <c r="E62" i="79"/>
  <c r="D63" i="79"/>
  <c r="E63" i="79"/>
  <c r="M44" i="34" l="1"/>
  <c r="M45" i="34"/>
  <c r="M46" i="34"/>
  <c r="AD9" i="51" l="1"/>
  <c r="AC9" i="51"/>
  <c r="AB9" i="51"/>
  <c r="AA9" i="51"/>
  <c r="N80" i="61"/>
  <c r="O80" i="61"/>
  <c r="N81" i="61"/>
  <c r="O81" i="61"/>
  <c r="Y1" i="74" l="1"/>
  <c r="D79" i="22"/>
  <c r="E79" i="22"/>
  <c r="D80" i="22"/>
  <c r="E80" i="22"/>
  <c r="N76" i="61" l="1"/>
  <c r="O76" i="61"/>
  <c r="N77" i="61"/>
  <c r="O77" i="61"/>
  <c r="N78" i="61"/>
  <c r="O78" i="61"/>
  <c r="N79" i="61"/>
  <c r="O79" i="61"/>
  <c r="L80" i="52" l="1"/>
  <c r="L81" i="52"/>
  <c r="L82" i="52"/>
  <c r="E9" i="35" l="1"/>
  <c r="E10" i="35" s="1"/>
  <c r="E11" i="35" s="1"/>
  <c r="E12" i="35" s="1"/>
  <c r="E13" i="35" s="1"/>
  <c r="E14" i="35" s="1"/>
  <c r="E15" i="35" s="1"/>
  <c r="E16" i="35" s="1"/>
  <c r="E17" i="35" s="1"/>
  <c r="E18" i="35" s="1"/>
  <c r="E19" i="35" s="1"/>
  <c r="E20" i="35" s="1"/>
  <c r="E21" i="35" s="1"/>
  <c r="E22" i="35" s="1"/>
  <c r="E23" i="35" s="1"/>
  <c r="E24" i="35" s="1"/>
  <c r="E25" i="35" s="1"/>
  <c r="E26" i="35" s="1"/>
  <c r="E27" i="35" s="1"/>
  <c r="E28" i="35" s="1"/>
  <c r="E29" i="35" s="1"/>
  <c r="E30" i="35" s="1"/>
  <c r="E31" i="35" s="1"/>
  <c r="E32" i="35" s="1"/>
  <c r="E33" i="35" s="1"/>
  <c r="E34" i="35" s="1"/>
  <c r="E35" i="35" s="1"/>
  <c r="E36" i="35" s="1"/>
  <c r="E37" i="35" s="1"/>
  <c r="E38" i="35" s="1"/>
  <c r="E39" i="35" s="1"/>
  <c r="E40" i="35" s="1"/>
  <c r="E41" i="35" s="1"/>
  <c r="E42" i="35" s="1"/>
  <c r="D9" i="35"/>
  <c r="D10" i="35" s="1"/>
  <c r="D11" i="35" s="1"/>
  <c r="D12" i="35" s="1"/>
  <c r="D13" i="35" s="1"/>
  <c r="D14" i="35" s="1"/>
  <c r="D15" i="35" s="1"/>
  <c r="D16" i="35" s="1"/>
  <c r="D17" i="35" s="1"/>
  <c r="D18" i="35" s="1"/>
  <c r="D19" i="35" s="1"/>
  <c r="D20" i="35" s="1"/>
  <c r="D21" i="35" s="1"/>
  <c r="D22" i="35" s="1"/>
  <c r="D23" i="35" s="1"/>
  <c r="D24" i="35" s="1"/>
  <c r="D25" i="35" s="1"/>
  <c r="D26" i="35" s="1"/>
  <c r="D27" i="35" s="1"/>
  <c r="D28" i="35" s="1"/>
  <c r="D29" i="35" s="1"/>
  <c r="D30" i="35" s="1"/>
  <c r="D31" i="35" s="1"/>
  <c r="D32" i="35" s="1"/>
  <c r="D33" i="35" s="1"/>
  <c r="D34" i="35" s="1"/>
  <c r="D35" i="35" s="1"/>
  <c r="D36" i="35" s="1"/>
  <c r="D37" i="35" s="1"/>
  <c r="D38" i="35" s="1"/>
  <c r="D39" i="35" s="1"/>
  <c r="D40" i="35" s="1"/>
  <c r="D41" i="35" s="1"/>
  <c r="D42" i="35" s="1"/>
  <c r="F6" i="35"/>
  <c r="F8" i="35" l="1"/>
  <c r="F9" i="35" s="1"/>
  <c r="AX68" i="6" l="1"/>
  <c r="B67" i="11"/>
  <c r="F10" i="35"/>
  <c r="N72" i="61"/>
  <c r="O72" i="61"/>
  <c r="N73" i="61"/>
  <c r="O73" i="61"/>
  <c r="N74" i="61"/>
  <c r="O74" i="61"/>
  <c r="N75" i="61"/>
  <c r="O75" i="61"/>
  <c r="F11" i="35" l="1"/>
  <c r="N82" i="61"/>
  <c r="O82" i="61"/>
  <c r="F12" i="35" l="1"/>
  <c r="F13" i="35" l="1"/>
  <c r="J73" i="49"/>
  <c r="J72" i="49"/>
  <c r="J71" i="49"/>
  <c r="J70" i="49"/>
  <c r="J69" i="49"/>
  <c r="J65" i="49"/>
  <c r="J64" i="49"/>
  <c r="J63" i="49"/>
  <c r="J60" i="49"/>
  <c r="J52" i="49"/>
  <c r="J50" i="49"/>
  <c r="J43" i="49"/>
  <c r="J42" i="49"/>
  <c r="J41" i="49"/>
  <c r="J38" i="49"/>
  <c r="J36" i="49"/>
  <c r="J34" i="49"/>
  <c r="J32" i="49"/>
  <c r="J30" i="49"/>
  <c r="J27" i="49"/>
  <c r="J26" i="49"/>
  <c r="J25" i="49"/>
  <c r="J24" i="49"/>
  <c r="J19" i="49"/>
  <c r="F14" i="35" l="1"/>
  <c r="J48" i="49" l="1"/>
  <c r="F15" i="35"/>
  <c r="F16" i="35" l="1"/>
  <c r="P27" i="79"/>
  <c r="F17" i="35" l="1"/>
  <c r="P28" i="79"/>
  <c r="P29" i="79" l="1"/>
  <c r="F18" i="35"/>
  <c r="P30" i="79" l="1"/>
  <c r="F19" i="35"/>
  <c r="P31" i="79" l="1"/>
  <c r="F20" i="35"/>
  <c r="P32" i="79" l="1"/>
  <c r="F21" i="35"/>
  <c r="P33" i="79" l="1"/>
  <c r="F22" i="35"/>
  <c r="P34" i="79" l="1"/>
  <c r="F23" i="35"/>
  <c r="P35" i="79" l="1"/>
  <c r="F24" i="35"/>
  <c r="P36" i="79" l="1"/>
  <c r="F25" i="35"/>
  <c r="P37" i="79" l="1"/>
  <c r="F26" i="35"/>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F11" i="80"/>
  <c r="F12" i="80" s="1"/>
  <c r="F13" i="80" s="1"/>
  <c r="F14" i="80" s="1"/>
  <c r="F15" i="80" s="1"/>
  <c r="F16" i="80" s="1"/>
  <c r="F17" i="80" s="1"/>
  <c r="F18" i="80" s="1"/>
  <c r="F19" i="80" s="1"/>
  <c r="F20" i="80" s="1"/>
  <c r="F21" i="80" s="1"/>
  <c r="A11" i="80"/>
  <c r="A10" i="80"/>
  <c r="B2" i="79"/>
  <c r="E253" i="79"/>
  <c r="D253" i="79"/>
  <c r="E252" i="79"/>
  <c r="D252" i="79"/>
  <c r="E251" i="79"/>
  <c r="D251" i="79"/>
  <c r="E250" i="79"/>
  <c r="D250" i="79"/>
  <c r="E249" i="79"/>
  <c r="D249" i="79"/>
  <c r="E248" i="79"/>
  <c r="D248" i="79"/>
  <c r="E247" i="79"/>
  <c r="D247" i="79"/>
  <c r="E246" i="79"/>
  <c r="D246" i="79"/>
  <c r="E245" i="79"/>
  <c r="D245" i="79"/>
  <c r="E244" i="79"/>
  <c r="D244" i="79"/>
  <c r="E243" i="79"/>
  <c r="D243" i="79"/>
  <c r="E242" i="79"/>
  <c r="D242" i="79"/>
  <c r="E241" i="79"/>
  <c r="D241" i="79"/>
  <c r="E240" i="79"/>
  <c r="D240" i="79"/>
  <c r="E239" i="79"/>
  <c r="D239" i="79"/>
  <c r="E238" i="79"/>
  <c r="D238" i="79"/>
  <c r="E237" i="79"/>
  <c r="D237" i="79"/>
  <c r="E236" i="79"/>
  <c r="D236" i="79"/>
  <c r="E235" i="79"/>
  <c r="D235" i="79"/>
  <c r="E234" i="79"/>
  <c r="D234" i="79"/>
  <c r="E233" i="79"/>
  <c r="D233" i="79"/>
  <c r="E232" i="79"/>
  <c r="D232" i="79"/>
  <c r="E231" i="79"/>
  <c r="D231" i="79"/>
  <c r="E230" i="79"/>
  <c r="D230" i="79"/>
  <c r="E229" i="79"/>
  <c r="D229" i="79"/>
  <c r="E228" i="79"/>
  <c r="D228" i="79"/>
  <c r="E227" i="79"/>
  <c r="D227" i="79"/>
  <c r="E226" i="79"/>
  <c r="D226" i="79"/>
  <c r="E225" i="79"/>
  <c r="D225" i="79"/>
  <c r="E224" i="79"/>
  <c r="D224" i="79"/>
  <c r="E223" i="79"/>
  <c r="D223" i="79"/>
  <c r="E222" i="79"/>
  <c r="D222" i="79"/>
  <c r="E221" i="79"/>
  <c r="D221" i="79"/>
  <c r="E220" i="79"/>
  <c r="D220" i="79"/>
  <c r="E219" i="79"/>
  <c r="D219" i="79"/>
  <c r="E218" i="79"/>
  <c r="D218" i="79"/>
  <c r="E217" i="79"/>
  <c r="D217" i="79"/>
  <c r="E216" i="79"/>
  <c r="D216" i="79"/>
  <c r="E215" i="79"/>
  <c r="D215" i="79"/>
  <c r="E214" i="79"/>
  <c r="D214" i="79"/>
  <c r="E213" i="79"/>
  <c r="D213" i="79"/>
  <c r="E212" i="79"/>
  <c r="D212" i="79"/>
  <c r="E211" i="79"/>
  <c r="D211" i="79"/>
  <c r="E210" i="79"/>
  <c r="D210" i="79"/>
  <c r="E209" i="79"/>
  <c r="D209" i="79"/>
  <c r="E208" i="79"/>
  <c r="D208" i="79"/>
  <c r="E207" i="79"/>
  <c r="D207" i="79"/>
  <c r="E206" i="79"/>
  <c r="D206" i="79"/>
  <c r="E205" i="79"/>
  <c r="D205" i="79"/>
  <c r="E204" i="79"/>
  <c r="D204" i="79"/>
  <c r="E203" i="79"/>
  <c r="D203" i="79"/>
  <c r="E202" i="79"/>
  <c r="D202" i="79"/>
  <c r="E201" i="79"/>
  <c r="D201" i="79"/>
  <c r="E200" i="79"/>
  <c r="D200" i="79"/>
  <c r="E199" i="79"/>
  <c r="D199" i="79"/>
  <c r="E198" i="79"/>
  <c r="D198" i="79"/>
  <c r="E197" i="79"/>
  <c r="D197" i="79"/>
  <c r="E196" i="79"/>
  <c r="D196" i="79"/>
  <c r="E195" i="79"/>
  <c r="D195" i="79"/>
  <c r="E194" i="79"/>
  <c r="D194" i="79"/>
  <c r="E193" i="79"/>
  <c r="D193" i="79"/>
  <c r="E192" i="79"/>
  <c r="D192" i="79"/>
  <c r="E191" i="79"/>
  <c r="D191" i="79"/>
  <c r="E190" i="79"/>
  <c r="D190" i="79"/>
  <c r="E189" i="79"/>
  <c r="D189" i="79"/>
  <c r="E188" i="79"/>
  <c r="D188" i="79"/>
  <c r="E187" i="79"/>
  <c r="D187" i="79"/>
  <c r="E186" i="79"/>
  <c r="D186" i="79"/>
  <c r="E185" i="79"/>
  <c r="D185" i="79"/>
  <c r="E184" i="79"/>
  <c r="D184" i="79"/>
  <c r="E183" i="79"/>
  <c r="D183" i="79"/>
  <c r="E182" i="79"/>
  <c r="D182" i="79"/>
  <c r="E181" i="79"/>
  <c r="D181" i="79"/>
  <c r="E180" i="79"/>
  <c r="D180" i="79"/>
  <c r="E179" i="79"/>
  <c r="D179" i="79"/>
  <c r="E178" i="79"/>
  <c r="D178" i="79"/>
  <c r="E177" i="79"/>
  <c r="D177" i="79"/>
  <c r="E176" i="79"/>
  <c r="D176" i="79"/>
  <c r="E175" i="79"/>
  <c r="D175" i="79"/>
  <c r="E174" i="79"/>
  <c r="D174" i="79"/>
  <c r="E173" i="79"/>
  <c r="D173" i="79"/>
  <c r="E172" i="79"/>
  <c r="D172" i="79"/>
  <c r="E171" i="79"/>
  <c r="D171" i="79"/>
  <c r="E170" i="79"/>
  <c r="D170" i="79"/>
  <c r="E169" i="79"/>
  <c r="D169" i="79"/>
  <c r="E168" i="79"/>
  <c r="D168" i="79"/>
  <c r="E167" i="79"/>
  <c r="D167" i="79"/>
  <c r="E166" i="79"/>
  <c r="D166" i="79"/>
  <c r="E165" i="79"/>
  <c r="D165" i="79"/>
  <c r="E164" i="79"/>
  <c r="D164" i="79"/>
  <c r="E163" i="79"/>
  <c r="D163" i="79"/>
  <c r="E162" i="79"/>
  <c r="D162" i="79"/>
  <c r="E161" i="79"/>
  <c r="D161" i="79"/>
  <c r="E160" i="79"/>
  <c r="D160" i="79"/>
  <c r="E159" i="79"/>
  <c r="D159" i="79"/>
  <c r="E158" i="79"/>
  <c r="D158" i="79"/>
  <c r="E157" i="79"/>
  <c r="D157" i="79"/>
  <c r="E156" i="79"/>
  <c r="D156" i="79"/>
  <c r="E155" i="79"/>
  <c r="D155" i="79"/>
  <c r="E154" i="79"/>
  <c r="D154" i="79"/>
  <c r="E153" i="79"/>
  <c r="D153" i="79"/>
  <c r="E152" i="79"/>
  <c r="D152" i="79"/>
  <c r="E151" i="79"/>
  <c r="D151" i="79"/>
  <c r="E150" i="79"/>
  <c r="D150" i="79"/>
  <c r="E149" i="79"/>
  <c r="D149" i="79"/>
  <c r="E148" i="79"/>
  <c r="D148" i="79"/>
  <c r="E147" i="79"/>
  <c r="D147" i="79"/>
  <c r="E146" i="79"/>
  <c r="D146" i="79"/>
  <c r="E145" i="79"/>
  <c r="D145" i="79"/>
  <c r="E144" i="79"/>
  <c r="D144" i="79"/>
  <c r="E143" i="79"/>
  <c r="D143" i="79"/>
  <c r="E142" i="79"/>
  <c r="D142" i="79"/>
  <c r="E141" i="79"/>
  <c r="D141" i="79"/>
  <c r="E140" i="79"/>
  <c r="D140" i="79"/>
  <c r="E139" i="79"/>
  <c r="D139" i="79"/>
  <c r="E138" i="79"/>
  <c r="D138" i="79"/>
  <c r="E137" i="79"/>
  <c r="D137" i="79"/>
  <c r="E136" i="79"/>
  <c r="D136" i="79"/>
  <c r="E135" i="79"/>
  <c r="D135" i="79"/>
  <c r="E134" i="79"/>
  <c r="D134" i="79"/>
  <c r="E133" i="79"/>
  <c r="D133" i="79"/>
  <c r="E132" i="79"/>
  <c r="D132" i="79"/>
  <c r="E131" i="79"/>
  <c r="D131" i="79"/>
  <c r="E130" i="79"/>
  <c r="D130" i="79"/>
  <c r="E129" i="79"/>
  <c r="D129" i="79"/>
  <c r="E128" i="79"/>
  <c r="D128" i="79"/>
  <c r="E127" i="79"/>
  <c r="D127" i="79"/>
  <c r="E126" i="79"/>
  <c r="D126" i="79"/>
  <c r="E125" i="79"/>
  <c r="D125" i="79"/>
  <c r="E124" i="79"/>
  <c r="D124" i="79"/>
  <c r="E123" i="79"/>
  <c r="D123" i="79"/>
  <c r="E122" i="79"/>
  <c r="D122" i="79"/>
  <c r="E121" i="79"/>
  <c r="D121" i="79"/>
  <c r="E120" i="79"/>
  <c r="D120" i="79"/>
  <c r="E119" i="79"/>
  <c r="D119" i="79"/>
  <c r="E118" i="79"/>
  <c r="D118" i="79"/>
  <c r="E117" i="79"/>
  <c r="D117" i="79"/>
  <c r="E116" i="79"/>
  <c r="D116" i="79"/>
  <c r="E115" i="79"/>
  <c r="D115" i="79"/>
  <c r="E114" i="79"/>
  <c r="D114" i="79"/>
  <c r="E113" i="79"/>
  <c r="D113" i="79"/>
  <c r="E112" i="79"/>
  <c r="D112" i="79"/>
  <c r="E111" i="79"/>
  <c r="D111" i="79"/>
  <c r="E110" i="79"/>
  <c r="D110" i="79"/>
  <c r="E109" i="79"/>
  <c r="D109" i="79"/>
  <c r="E108" i="79"/>
  <c r="D108" i="79"/>
  <c r="E107" i="79"/>
  <c r="D107" i="79"/>
  <c r="E106" i="79"/>
  <c r="D106" i="79"/>
  <c r="E105" i="79"/>
  <c r="D105" i="79"/>
  <c r="E104" i="79"/>
  <c r="D104" i="79"/>
  <c r="E103" i="79"/>
  <c r="D103" i="79"/>
  <c r="E102" i="79"/>
  <c r="D102" i="79"/>
  <c r="E101" i="79"/>
  <c r="D101" i="79"/>
  <c r="E100" i="79"/>
  <c r="D100" i="79"/>
  <c r="E99" i="79"/>
  <c r="D99" i="79"/>
  <c r="E98" i="79"/>
  <c r="D98" i="79"/>
  <c r="E97" i="79"/>
  <c r="D97" i="79"/>
  <c r="E96" i="79"/>
  <c r="D96" i="79"/>
  <c r="E95" i="79"/>
  <c r="D95" i="79"/>
  <c r="E94" i="79"/>
  <c r="D94" i="79"/>
  <c r="E93" i="79"/>
  <c r="D93" i="79"/>
  <c r="E92" i="79"/>
  <c r="D92" i="79"/>
  <c r="E91" i="79"/>
  <c r="D91" i="79"/>
  <c r="E90" i="79"/>
  <c r="D90" i="79"/>
  <c r="E89" i="79"/>
  <c r="D89" i="79"/>
  <c r="E88" i="79"/>
  <c r="D88" i="79"/>
  <c r="E87" i="79"/>
  <c r="D87" i="79"/>
  <c r="E86" i="79"/>
  <c r="D86" i="79"/>
  <c r="E85" i="79"/>
  <c r="D85" i="79"/>
  <c r="E84" i="79"/>
  <c r="D84" i="79"/>
  <c r="E83" i="79"/>
  <c r="D83" i="79"/>
  <c r="E82" i="79"/>
  <c r="D82" i="79"/>
  <c r="E81" i="79"/>
  <c r="D81" i="79"/>
  <c r="E80" i="79"/>
  <c r="D80" i="79"/>
  <c r="E79" i="79"/>
  <c r="D79" i="79"/>
  <c r="E78" i="79"/>
  <c r="D78" i="79"/>
  <c r="E77" i="79"/>
  <c r="D77" i="79"/>
  <c r="E76" i="79"/>
  <c r="D76" i="79"/>
  <c r="E75" i="79"/>
  <c r="D75" i="79"/>
  <c r="E71" i="79"/>
  <c r="D71" i="79"/>
  <c r="E70" i="79"/>
  <c r="D70" i="79"/>
  <c r="E69" i="79"/>
  <c r="D69" i="79"/>
  <c r="E68" i="79"/>
  <c r="D68" i="79"/>
  <c r="E65" i="79"/>
  <c r="D65" i="79"/>
  <c r="E64" i="79"/>
  <c r="D64" i="79"/>
  <c r="E61" i="79"/>
  <c r="D61" i="79"/>
  <c r="E60" i="79"/>
  <c r="D60" i="79"/>
  <c r="E59" i="79"/>
  <c r="D59" i="79"/>
  <c r="E58" i="79"/>
  <c r="D58" i="79"/>
  <c r="E57" i="79"/>
  <c r="D57" i="79"/>
  <c r="E56" i="79"/>
  <c r="D56" i="79"/>
  <c r="E55" i="79"/>
  <c r="D55" i="79"/>
  <c r="E54" i="79"/>
  <c r="D54" i="79"/>
  <c r="E53" i="79"/>
  <c r="D53" i="79"/>
  <c r="E52" i="79"/>
  <c r="D52" i="79"/>
  <c r="E51" i="79"/>
  <c r="D51" i="79"/>
  <c r="E50" i="79"/>
  <c r="D50" i="79"/>
  <c r="E49" i="79"/>
  <c r="D49" i="79"/>
  <c r="E48" i="79"/>
  <c r="D48" i="79"/>
  <c r="E47" i="79"/>
  <c r="D47" i="79"/>
  <c r="E46" i="79"/>
  <c r="D46" i="79"/>
  <c r="E45" i="79"/>
  <c r="D45" i="79"/>
  <c r="E44" i="79"/>
  <c r="D44" i="79"/>
  <c r="E43" i="79"/>
  <c r="D43" i="79"/>
  <c r="E42" i="79"/>
  <c r="D42" i="79"/>
  <c r="E41" i="79"/>
  <c r="D41" i="79"/>
  <c r="E40" i="79"/>
  <c r="D40" i="79"/>
  <c r="E39" i="79"/>
  <c r="D39" i="79"/>
  <c r="E38" i="79"/>
  <c r="D38" i="79"/>
  <c r="E37" i="79"/>
  <c r="D37" i="79"/>
  <c r="E36" i="79"/>
  <c r="D36" i="79"/>
  <c r="E35" i="79"/>
  <c r="D35" i="79"/>
  <c r="E34" i="79"/>
  <c r="D34" i="79"/>
  <c r="E33" i="79"/>
  <c r="D33" i="79"/>
  <c r="E32" i="79"/>
  <c r="D32" i="79"/>
  <c r="E31" i="79"/>
  <c r="D31" i="79"/>
  <c r="E30" i="79"/>
  <c r="D30" i="79"/>
  <c r="E29" i="79"/>
  <c r="D29" i="79"/>
  <c r="E28" i="79"/>
  <c r="D28" i="79"/>
  <c r="E27" i="79"/>
  <c r="D27" i="79"/>
  <c r="E26" i="79"/>
  <c r="D26" i="79"/>
  <c r="E25" i="79"/>
  <c r="D25" i="79"/>
  <c r="E24" i="79"/>
  <c r="D24" i="79"/>
  <c r="E23" i="79"/>
  <c r="D23" i="79"/>
  <c r="E22" i="79"/>
  <c r="D22" i="79"/>
  <c r="E21" i="79"/>
  <c r="D21" i="79"/>
  <c r="E20" i="79"/>
  <c r="D20" i="79"/>
  <c r="E19" i="79"/>
  <c r="D19" i="79"/>
  <c r="E18" i="79"/>
  <c r="D18" i="79"/>
  <c r="E17" i="79"/>
  <c r="D17" i="79"/>
  <c r="E16" i="79"/>
  <c r="D16" i="79"/>
  <c r="E15" i="79"/>
  <c r="D15" i="79"/>
  <c r="E14" i="79"/>
  <c r="D14" i="79"/>
  <c r="E13" i="79"/>
  <c r="D13" i="79"/>
  <c r="E12" i="79"/>
  <c r="D12" i="79"/>
  <c r="E11" i="79"/>
  <c r="D11" i="79"/>
  <c r="E10" i="79"/>
  <c r="D10" i="79"/>
  <c r="E9" i="79"/>
  <c r="D9" i="79"/>
  <c r="B1" i="79"/>
  <c r="C1" i="79" s="1"/>
  <c r="R9" i="79"/>
  <c r="R26" i="79" s="1"/>
  <c r="Q9" i="79"/>
  <c r="Q26" i="79" s="1"/>
  <c r="P19" i="79"/>
  <c r="P18" i="79"/>
  <c r="P17" i="79"/>
  <c r="P16" i="79"/>
  <c r="P15" i="79"/>
  <c r="P14" i="79"/>
  <c r="P13" i="79"/>
  <c r="P12" i="79"/>
  <c r="P11" i="79"/>
  <c r="P10" i="79"/>
  <c r="AJ61" i="51" l="1"/>
  <c r="AI61" i="51"/>
  <c r="AH61" i="51"/>
  <c r="AI61" i="62"/>
  <c r="AG61" i="51"/>
  <c r="AH61" i="62"/>
  <c r="AG61" i="62"/>
  <c r="R27" i="79"/>
  <c r="Q27" i="79"/>
  <c r="R28" i="79"/>
  <c r="Q28" i="79"/>
  <c r="Q29" i="79"/>
  <c r="R29" i="79"/>
  <c r="R30" i="79"/>
  <c r="Q30" i="79"/>
  <c r="Q31" i="79"/>
  <c r="R31" i="79"/>
  <c r="R32" i="79"/>
  <c r="Q32" i="79"/>
  <c r="Q33" i="79"/>
  <c r="R33" i="79"/>
  <c r="R34" i="79"/>
  <c r="Q34" i="79"/>
  <c r="R35" i="79"/>
  <c r="Q35" i="79"/>
  <c r="R36" i="79"/>
  <c r="Q36" i="79"/>
  <c r="R37" i="79"/>
  <c r="Q37" i="79"/>
  <c r="C48" i="80"/>
  <c r="C56" i="80"/>
  <c r="C64" i="80"/>
  <c r="C49" i="80"/>
  <c r="C57" i="80"/>
  <c r="C65" i="80"/>
  <c r="C50" i="80"/>
  <c r="C58" i="80"/>
  <c r="C66" i="80"/>
  <c r="C51" i="80"/>
  <c r="C59" i="80"/>
  <c r="C67" i="80"/>
  <c r="C52" i="80"/>
  <c r="C60" i="80"/>
  <c r="C68" i="80"/>
  <c r="C53" i="80"/>
  <c r="C61" i="80"/>
  <c r="C69" i="80"/>
  <c r="C46" i="80"/>
  <c r="C54" i="80"/>
  <c r="C62" i="80"/>
  <c r="C47" i="80"/>
  <c r="C55" i="80"/>
  <c r="C63" i="80"/>
  <c r="R10" i="79"/>
  <c r="Q10" i="79"/>
  <c r="Q18" i="79"/>
  <c r="R18" i="79"/>
  <c r="R11" i="79"/>
  <c r="Q11" i="79"/>
  <c r="Q12" i="79"/>
  <c r="R12" i="79"/>
  <c r="R13" i="79"/>
  <c r="Q13" i="79"/>
  <c r="R14" i="79"/>
  <c r="Q14" i="79"/>
  <c r="R15" i="79"/>
  <c r="Q15" i="79"/>
  <c r="R16" i="79"/>
  <c r="Q16" i="79"/>
  <c r="R19" i="79"/>
  <c r="Q19" i="79"/>
  <c r="R17" i="79"/>
  <c r="Q17" i="79"/>
  <c r="P38" i="79" l="1"/>
  <c r="AE61" i="51"/>
  <c r="AF61" i="51"/>
  <c r="AF61" i="62"/>
  <c r="AE61" i="62"/>
  <c r="AB61" i="51"/>
  <c r="T61" i="51"/>
  <c r="L61" i="51"/>
  <c r="D61" i="51"/>
  <c r="AA61" i="51"/>
  <c r="S61" i="51"/>
  <c r="K61" i="51"/>
  <c r="C61" i="51"/>
  <c r="Z61" i="51"/>
  <c r="R61" i="51"/>
  <c r="J61" i="51"/>
  <c r="AD61" i="51"/>
  <c r="Y61" i="51"/>
  <c r="Q61" i="51"/>
  <c r="I61" i="51"/>
  <c r="AC61" i="51"/>
  <c r="X61" i="51"/>
  <c r="P61" i="51"/>
  <c r="H61" i="51"/>
  <c r="W61" i="51"/>
  <c r="O61" i="51"/>
  <c r="G61" i="51"/>
  <c r="V61" i="51"/>
  <c r="N61" i="51"/>
  <c r="F61" i="51"/>
  <c r="U61" i="51"/>
  <c r="M61" i="51"/>
  <c r="E61" i="51"/>
  <c r="D61" i="62"/>
  <c r="R61" i="62"/>
  <c r="Z61" i="62"/>
  <c r="O61" i="62"/>
  <c r="C61" i="62"/>
  <c r="Q61" i="62"/>
  <c r="Y61" i="62"/>
  <c r="T61" i="62"/>
  <c r="P61" i="62"/>
  <c r="J61" i="62"/>
  <c r="L61" i="62"/>
  <c r="AB61" i="62"/>
  <c r="E61" i="62"/>
  <c r="I61" i="62"/>
  <c r="K61" i="62"/>
  <c r="S61" i="62"/>
  <c r="AA61" i="62"/>
  <c r="F61" i="62"/>
  <c r="H61" i="62"/>
  <c r="N61" i="62"/>
  <c r="V61" i="62"/>
  <c r="W61" i="62"/>
  <c r="G61" i="62"/>
  <c r="M61" i="62"/>
  <c r="U61" i="62"/>
  <c r="X61" i="62"/>
  <c r="F27" i="35"/>
  <c r="AD61" i="62"/>
  <c r="AC61" i="62"/>
  <c r="C2" i="79"/>
  <c r="Q19" i="80"/>
  <c r="B15" i="80"/>
  <c r="B22" i="80"/>
  <c r="B28" i="80"/>
  <c r="B32" i="80"/>
  <c r="B14" i="80"/>
  <c r="B48" i="80"/>
  <c r="B56" i="80"/>
  <c r="B64" i="80"/>
  <c r="B51" i="80"/>
  <c r="B59" i="80"/>
  <c r="B67" i="80"/>
  <c r="B24" i="80"/>
  <c r="B34" i="80"/>
  <c r="B40" i="80"/>
  <c r="B44" i="80"/>
  <c r="B57" i="80"/>
  <c r="B50" i="80"/>
  <c r="B66" i="80"/>
  <c r="B11" i="80"/>
  <c r="B17" i="80"/>
  <c r="B52" i="80"/>
  <c r="B60" i="80"/>
  <c r="B68" i="80"/>
  <c r="B19" i="80"/>
  <c r="B21" i="80"/>
  <c r="B23" i="80"/>
  <c r="B25" i="80"/>
  <c r="B27" i="80"/>
  <c r="B29" i="80"/>
  <c r="B31" i="80"/>
  <c r="B33" i="80"/>
  <c r="B35" i="80"/>
  <c r="B37" i="80"/>
  <c r="B39" i="80"/>
  <c r="B41" i="80"/>
  <c r="B43" i="80"/>
  <c r="B45" i="80"/>
  <c r="B53" i="80"/>
  <c r="B61" i="80"/>
  <c r="B69" i="80"/>
  <c r="B20" i="80"/>
  <c r="B26" i="80"/>
  <c r="B30" i="80"/>
  <c r="B36" i="80"/>
  <c r="B38" i="80"/>
  <c r="B42" i="80"/>
  <c r="B49" i="80"/>
  <c r="B65" i="80"/>
  <c r="B10" i="80"/>
  <c r="B16" i="80"/>
  <c r="B12" i="80"/>
  <c r="B46" i="80"/>
  <c r="B54" i="80"/>
  <c r="B62" i="80"/>
  <c r="B58" i="80"/>
  <c r="B18" i="80"/>
  <c r="B13" i="80"/>
  <c r="B47" i="80"/>
  <c r="B55" i="80"/>
  <c r="B63" i="80"/>
  <c r="Q38" i="79" l="1"/>
  <c r="R38" i="79"/>
  <c r="P39" i="79"/>
  <c r="F28" i="35"/>
  <c r="Q39" i="79" l="1"/>
  <c r="R39" i="79"/>
  <c r="P40" i="79"/>
  <c r="P41" i="79" s="1"/>
  <c r="P42" i="79" s="1"/>
  <c r="P43" i="79" s="1"/>
  <c r="F29" i="35"/>
  <c r="P44" i="79" l="1"/>
  <c r="R43" i="79"/>
  <c r="Q43" i="79"/>
  <c r="R40" i="79"/>
  <c r="Q40" i="79"/>
  <c r="F30" i="35"/>
  <c r="Q44" i="79" l="1"/>
  <c r="R44" i="79"/>
  <c r="Q41" i="79"/>
  <c r="R41" i="79"/>
  <c r="F31" i="35"/>
  <c r="P45" i="79" l="1"/>
  <c r="R42" i="79"/>
  <c r="Q42" i="79"/>
  <c r="F32" i="35"/>
  <c r="R45" i="79" l="1"/>
  <c r="Q45" i="79"/>
  <c r="P46" i="79"/>
  <c r="F33" i="35"/>
  <c r="R46" i="79" l="1"/>
  <c r="Q46" i="79"/>
  <c r="P47" i="79"/>
  <c r="F34" i="35"/>
  <c r="E11" i="80"/>
  <c r="Q47" i="79" l="1"/>
  <c r="R47" i="79"/>
  <c r="P48" i="79"/>
  <c r="F35" i="35"/>
  <c r="E12" i="80"/>
  <c r="Q48" i="79" l="1"/>
  <c r="R48" i="79"/>
  <c r="P49" i="79"/>
  <c r="F36" i="35"/>
  <c r="E13" i="80"/>
  <c r="R49" i="79" l="1"/>
  <c r="Q49" i="79"/>
  <c r="P50" i="79"/>
  <c r="F37" i="35"/>
  <c r="E14" i="80"/>
  <c r="Q50" i="79" l="1"/>
  <c r="R50" i="79"/>
  <c r="P51" i="79"/>
  <c r="F38" i="35"/>
  <c r="E15" i="80"/>
  <c r="R51" i="79" l="1"/>
  <c r="Q51" i="79"/>
  <c r="P52" i="79"/>
  <c r="F39" i="35"/>
  <c r="E16" i="80"/>
  <c r="R52" i="79" l="1"/>
  <c r="Q52" i="79"/>
  <c r="F40" i="35"/>
  <c r="E17" i="80"/>
  <c r="F41" i="35" l="1"/>
  <c r="E18" i="80"/>
  <c r="F42" i="35" l="1"/>
  <c r="E19" i="80"/>
  <c r="G11" i="80" l="1"/>
  <c r="E20" i="80"/>
  <c r="G12" i="80" l="1"/>
  <c r="E21" i="80"/>
  <c r="G13" i="80" l="1"/>
  <c r="G14" i="80" s="1"/>
  <c r="G15" i="80" s="1"/>
  <c r="G16" i="80" s="1"/>
  <c r="G17" i="80" s="1"/>
  <c r="G18" i="80" l="1"/>
  <c r="AC9" i="62"/>
  <c r="AB9" i="62"/>
  <c r="B120" i="60"/>
  <c r="C118" i="60" s="1"/>
  <c r="C21" i="60"/>
  <c r="P9" i="44"/>
  <c r="C119" i="60" l="1"/>
  <c r="C110" i="60"/>
  <c r="C104" i="60"/>
  <c r="C115" i="60"/>
  <c r="C117" i="60"/>
  <c r="C111" i="60"/>
  <c r="C116" i="60"/>
  <c r="C27" i="60"/>
  <c r="G19" i="80" l="1"/>
  <c r="G20" i="80" l="1"/>
  <c r="AP3" i="56"/>
  <c r="AP1" i="56"/>
  <c r="T10" i="5"/>
  <c r="G21" i="80" l="1"/>
  <c r="G22" i="80" l="1"/>
  <c r="W3" i="78" l="1"/>
  <c r="Z2" i="78" a="1"/>
  <c r="Z2" i="78" s="1"/>
  <c r="A20" i="78" l="1" a="1"/>
  <c r="A20" i="78" s="1"/>
  <c r="A19" i="78" a="1"/>
  <c r="A19" i="78" s="1"/>
  <c r="C23" i="78"/>
  <c r="A18" i="78" a="1"/>
  <c r="A18" i="78" s="1"/>
  <c r="A21" i="78"/>
  <c r="A12" i="78" a="1"/>
  <c r="A12" i="78" s="1"/>
  <c r="A13" i="78" a="1"/>
  <c r="A13" i="78" s="1"/>
  <c r="A14" i="78" a="1"/>
  <c r="A14" i="78" s="1"/>
  <c r="A15" i="78" a="1"/>
  <c r="A15" i="78" s="1"/>
  <c r="A16" i="78" a="1"/>
  <c r="A16" i="78" s="1"/>
  <c r="A17" i="78" a="1"/>
  <c r="A17" i="78" s="1"/>
  <c r="A11" i="78" a="1"/>
  <c r="A11" i="78" s="1"/>
  <c r="A24" i="78" s="1"/>
  <c r="C14" i="78" a="1"/>
  <c r="C14" i="78" s="1"/>
  <c r="C17" i="78" a="1"/>
  <c r="C17" i="78" s="1"/>
  <c r="C11" i="78" a="1"/>
  <c r="C11" i="78" s="1"/>
  <c r="C20" i="78" a="1"/>
  <c r="C20" i="78" s="1"/>
  <c r="C13" i="78" a="1"/>
  <c r="C13" i="78" s="1"/>
  <c r="D13" i="78" s="1"/>
  <c r="C12" i="78" a="1"/>
  <c r="C12" i="78" s="1"/>
  <c r="D12" i="78" s="1"/>
  <c r="C15" i="78" a="1"/>
  <c r="C15" i="78" s="1"/>
  <c r="C16" i="78" a="1"/>
  <c r="C16" i="78" s="1"/>
  <c r="D16" i="78" s="1"/>
  <c r="C18" i="78" a="1"/>
  <c r="C18" i="78" s="1"/>
  <c r="C19" i="78" a="1"/>
  <c r="C19" i="78" s="1"/>
  <c r="D19" i="78" s="1"/>
  <c r="A22" i="78"/>
  <c r="C22" i="78"/>
  <c r="W2" i="78" s="1"/>
  <c r="D20" i="78" l="1"/>
  <c r="D17" i="78"/>
  <c r="D18" i="78"/>
  <c r="D14" i="78"/>
  <c r="D15" i="78"/>
  <c r="C21" i="78"/>
  <c r="D21" i="78" s="1"/>
  <c r="A30" i="78"/>
  <c r="A26" i="78"/>
  <c r="W2" i="77" l="1"/>
  <c r="Z9" i="51" l="1"/>
  <c r="Y1" i="73" l="1"/>
  <c r="Z1" i="73" a="1"/>
  <c r="Z1" i="73" s="1"/>
  <c r="W2" i="73"/>
  <c r="C21" i="73" s="1"/>
  <c r="W1" i="73" s="1"/>
  <c r="Z1" i="4" a="1"/>
  <c r="Z1" i="4" s="1"/>
  <c r="Y2" i="73" l="1"/>
  <c r="Y3" i="73" s="1"/>
  <c r="Y4" i="73" s="1"/>
  <c r="Y5" i="73" s="1"/>
  <c r="Y6" i="73" s="1"/>
  <c r="Y7" i="73" s="1"/>
  <c r="Y8" i="73" s="1"/>
  <c r="Y9" i="73" s="1"/>
  <c r="Y10" i="73" s="1"/>
  <c r="Y11" i="73" s="1"/>
  <c r="Y12" i="73" s="1"/>
  <c r="Y13" i="73" s="1"/>
  <c r="Y14" i="73" s="1"/>
  <c r="Y15" i="73" s="1"/>
  <c r="Y16" i="73" s="1"/>
  <c r="Y17" i="73" s="1"/>
  <c r="Y18" i="73" s="1"/>
  <c r="Y19" i="73" s="1"/>
  <c r="Y20" i="73" s="1"/>
  <c r="Y21" i="73" s="1"/>
  <c r="Y22" i="73" s="1"/>
  <c r="Y23" i="73" s="1"/>
  <c r="Y24" i="73" s="1"/>
  <c r="Y25" i="73" s="1"/>
  <c r="Z1" i="75" a="1"/>
  <c r="Z1" i="75" s="1"/>
  <c r="Z1" i="74" a="1"/>
  <c r="Z1" i="74" s="1"/>
  <c r="Z1" i="76" a="1"/>
  <c r="Z1" i="76" s="1"/>
  <c r="Z1" i="77" a="1"/>
  <c r="Z1" i="77" s="1"/>
  <c r="A21" i="77"/>
  <c r="A8" i="77"/>
  <c r="C18" i="77" l="1" a="1"/>
  <c r="C18" i="77" s="1"/>
  <c r="A12" i="77" a="1"/>
  <c r="A12" i="77" s="1"/>
  <c r="A16" i="77" a="1"/>
  <c r="A16" i="77" s="1"/>
  <c r="A19" i="77" a="1"/>
  <c r="A19" i="77" s="1"/>
  <c r="C10" i="77" a="1"/>
  <c r="C10" i="77" s="1"/>
  <c r="C14" i="77" a="1"/>
  <c r="C14" i="77" s="1"/>
  <c r="A11" i="77" a="1"/>
  <c r="A11" i="77" s="1"/>
  <c r="A15" i="77" a="1"/>
  <c r="A15" i="77" s="1"/>
  <c r="A18" i="77" a="1"/>
  <c r="A18" i="77" s="1"/>
  <c r="C11" i="77" a="1"/>
  <c r="C11" i="77" s="1"/>
  <c r="C15" i="77" a="1"/>
  <c r="C15" i="77" s="1"/>
  <c r="C19" i="77" a="1"/>
  <c r="C19" i="77" s="1"/>
  <c r="C13" i="77" a="1"/>
  <c r="C13" i="77" s="1"/>
  <c r="C12" i="77" a="1"/>
  <c r="C12" i="77" s="1"/>
  <c r="C16" i="77" a="1"/>
  <c r="C16" i="77" s="1"/>
  <c r="A13" i="77" a="1"/>
  <c r="A13" i="77" s="1"/>
  <c r="A17" i="77" a="1"/>
  <c r="A17" i="77" s="1"/>
  <c r="A10" i="77" a="1"/>
  <c r="A10" i="77" s="1"/>
  <c r="A14" i="77" a="1"/>
  <c r="A14" i="77" s="1"/>
  <c r="C17" i="77" a="1"/>
  <c r="C17" i="77" s="1"/>
  <c r="C21" i="77"/>
  <c r="W1" i="77" s="1"/>
  <c r="A20" i="77"/>
  <c r="D11" i="77" l="1"/>
  <c r="D13" i="77"/>
  <c r="D10" i="77"/>
  <c r="D19" i="77"/>
  <c r="D14" i="77"/>
  <c r="D17" i="77"/>
  <c r="D15" i="77"/>
  <c r="D12" i="77"/>
  <c r="C20" i="77"/>
  <c r="D20" i="77" s="1"/>
  <c r="D16" i="77"/>
  <c r="D18" i="77"/>
  <c r="A25" i="77"/>
  <c r="A23" i="77"/>
  <c r="W2" i="76" l="1"/>
  <c r="A16" i="76" s="1"/>
  <c r="W2" i="75"/>
  <c r="A21" i="75" s="1"/>
  <c r="C14" i="76" l="1" a="1"/>
  <c r="C14" i="76" s="1"/>
  <c r="A10" i="76" a="1"/>
  <c r="A10" i="76" s="1"/>
  <c r="C16" i="76"/>
  <c r="W1" i="76" s="1"/>
  <c r="C10" i="76" a="1"/>
  <c r="C10" i="76" s="1"/>
  <c r="A11" i="76" a="1"/>
  <c r="A11" i="76" s="1"/>
  <c r="C11" i="76" a="1"/>
  <c r="C11" i="76" s="1"/>
  <c r="A13" i="76" a="1"/>
  <c r="A13" i="76" s="1"/>
  <c r="A14" i="76" a="1"/>
  <c r="A14" i="76" s="1"/>
  <c r="C13" i="76" a="1"/>
  <c r="C13" i="76" s="1"/>
  <c r="A12" i="76" a="1"/>
  <c r="A12" i="76" s="1"/>
  <c r="A15" i="76"/>
  <c r="C12" i="76" a="1"/>
  <c r="C12" i="76" s="1"/>
  <c r="A16" i="75" a="1"/>
  <c r="A16" i="75" s="1"/>
  <c r="C19" i="75" a="1"/>
  <c r="C19" i="75" s="1"/>
  <c r="C21" i="75"/>
  <c r="W1" i="75" s="1"/>
  <c r="C11" i="75" a="1"/>
  <c r="C11" i="75" s="1"/>
  <c r="A12" i="75" a="1"/>
  <c r="A12" i="75" s="1"/>
  <c r="C12" i="75" a="1"/>
  <c r="C12" i="75" s="1"/>
  <c r="A15" i="75" a="1"/>
  <c r="A15" i="75" s="1"/>
  <c r="C15" i="75" a="1"/>
  <c r="C15" i="75" s="1"/>
  <c r="C16" i="75" a="1"/>
  <c r="C16" i="75" s="1"/>
  <c r="A11" i="75" a="1"/>
  <c r="A11" i="75" s="1"/>
  <c r="A19" i="75" a="1"/>
  <c r="A19" i="75" s="1"/>
  <c r="A13" i="75" a="1"/>
  <c r="A13" i="75" s="1"/>
  <c r="A17" i="75" a="1"/>
  <c r="A17" i="75" s="1"/>
  <c r="A20" i="75"/>
  <c r="C13" i="75" a="1"/>
  <c r="C13" i="75" s="1"/>
  <c r="C17" i="75" a="1"/>
  <c r="C17" i="75" s="1"/>
  <c r="A10" i="75" a="1"/>
  <c r="A10" i="75" s="1"/>
  <c r="A14" i="75" a="1"/>
  <c r="A14" i="75" s="1"/>
  <c r="A18" i="75" a="1"/>
  <c r="A18" i="75" s="1"/>
  <c r="C10" i="75" a="1"/>
  <c r="C10" i="75" s="1"/>
  <c r="C14" i="75" a="1"/>
  <c r="C14" i="75" s="1"/>
  <c r="C18" i="75" a="1"/>
  <c r="C18" i="75" s="1"/>
  <c r="D12" i="76" l="1"/>
  <c r="D13" i="76"/>
  <c r="D16" i="75"/>
  <c r="D11" i="76"/>
  <c r="D14" i="76"/>
  <c r="D10" i="75"/>
  <c r="D13" i="75"/>
  <c r="D17" i="75"/>
  <c r="D14" i="75"/>
  <c r="C15" i="76"/>
  <c r="D15" i="76" s="1"/>
  <c r="D18" i="75"/>
  <c r="D12" i="75"/>
  <c r="D19" i="75"/>
  <c r="D15" i="75"/>
  <c r="D11" i="75"/>
  <c r="A18" i="76"/>
  <c r="A20" i="76"/>
  <c r="D10" i="76"/>
  <c r="C20" i="75"/>
  <c r="D20" i="75" s="1"/>
  <c r="A25" i="75"/>
  <c r="A23" i="75"/>
  <c r="W2" i="74"/>
  <c r="A10" i="74" s="1" a="1"/>
  <c r="A10" i="74" s="1"/>
  <c r="A21" i="74" l="1"/>
  <c r="C12" i="74" a="1"/>
  <c r="C12" i="74" s="1"/>
  <c r="C16" i="74" a="1"/>
  <c r="C16" i="74" s="1"/>
  <c r="C13" i="74" a="1"/>
  <c r="C13" i="74" s="1"/>
  <c r="C17" i="74" a="1"/>
  <c r="C17" i="74" s="1"/>
  <c r="A17" i="74" a="1"/>
  <c r="A17" i="74" s="1"/>
  <c r="C14" i="74" a="1"/>
  <c r="C14" i="74" s="1"/>
  <c r="A11" i="74" a="1"/>
  <c r="A11" i="74" s="1"/>
  <c r="A15" i="74" a="1"/>
  <c r="A15" i="74" s="1"/>
  <c r="A19" i="74" a="1"/>
  <c r="A19" i="74" s="1"/>
  <c r="A18" i="74" a="1"/>
  <c r="A18" i="74" s="1"/>
  <c r="C10" i="74" a="1"/>
  <c r="C10" i="74" s="1"/>
  <c r="C11" i="74" a="1"/>
  <c r="C11" i="74" s="1"/>
  <c r="C15" i="74" a="1"/>
  <c r="C15" i="74" s="1"/>
  <c r="C19" i="74" a="1"/>
  <c r="C19" i="74" s="1"/>
  <c r="A13" i="74" a="1"/>
  <c r="A13" i="74" s="1"/>
  <c r="A14" i="74" a="1"/>
  <c r="A14" i="74" s="1"/>
  <c r="C18" i="74" a="1"/>
  <c r="C18" i="74" s="1"/>
  <c r="A12" i="74" a="1"/>
  <c r="A12" i="74" s="1"/>
  <c r="A16" i="74" a="1"/>
  <c r="A16" i="74" s="1"/>
  <c r="C21" i="74"/>
  <c r="W1" i="74" s="1"/>
  <c r="A20" i="74"/>
  <c r="C20" i="74" l="1"/>
  <c r="D20" i="74" s="1"/>
  <c r="D18" i="74"/>
  <c r="D13" i="74"/>
  <c r="D15" i="74"/>
  <c r="D16" i="74"/>
  <c r="D12" i="74"/>
  <c r="D10" i="74"/>
  <c r="D11" i="74"/>
  <c r="D17" i="74"/>
  <c r="D19" i="74"/>
  <c r="D14" i="74"/>
  <c r="A25" i="74"/>
  <c r="A23" i="74"/>
  <c r="W2" i="4"/>
  <c r="Y1" i="76" l="1"/>
  <c r="Y2" i="76" s="1"/>
  <c r="Y3" i="76" s="1"/>
  <c r="Y4" i="76" s="1"/>
  <c r="Y5" i="76" s="1"/>
  <c r="Y6" i="76" s="1"/>
  <c r="Y7" i="76" s="1"/>
  <c r="Y8" i="76" s="1"/>
  <c r="Y9" i="76" s="1"/>
  <c r="Y10" i="76" s="1"/>
  <c r="Y11" i="76" s="1"/>
  <c r="Y12" i="76" s="1"/>
  <c r="Y13" i="76" s="1"/>
  <c r="Y14" i="76" s="1"/>
  <c r="Y15" i="76" s="1"/>
  <c r="Y16" i="76" s="1"/>
  <c r="Y17" i="76" s="1"/>
  <c r="Y18" i="76" s="1"/>
  <c r="Y19" i="76" s="1"/>
  <c r="Y20" i="76" s="1"/>
  <c r="Y21" i="76" s="1"/>
  <c r="Y22" i="76" s="1"/>
  <c r="Y23" i="76" s="1"/>
  <c r="Y24" i="76" s="1"/>
  <c r="Y25" i="76" s="1"/>
  <c r="Y1" i="77"/>
  <c r="Y2" i="77" s="1"/>
  <c r="Y3" i="77" s="1"/>
  <c r="Y4" i="77" s="1"/>
  <c r="Y5" i="77" s="1"/>
  <c r="Y6" i="77" s="1"/>
  <c r="Y7" i="77" s="1"/>
  <c r="Y8" i="77" s="1"/>
  <c r="Y9" i="77" s="1"/>
  <c r="Y10" i="77" s="1"/>
  <c r="Y11" i="77" s="1"/>
  <c r="Y12" i="77" s="1"/>
  <c r="Y13" i="77" s="1"/>
  <c r="Y14" i="77" s="1"/>
  <c r="Y15" i="77" s="1"/>
  <c r="Y16" i="77" s="1"/>
  <c r="Y17" i="77" s="1"/>
  <c r="Y18" i="77" s="1"/>
  <c r="Y19" i="77" s="1"/>
  <c r="Y20" i="77" s="1"/>
  <c r="Y21" i="77" s="1"/>
  <c r="Y22" i="77" s="1"/>
  <c r="Y23" i="77" s="1"/>
  <c r="Y24" i="77" s="1"/>
  <c r="Y25" i="77" s="1"/>
  <c r="Y1" i="75"/>
  <c r="Y2" i="75" s="1"/>
  <c r="Y3" i="75" s="1"/>
  <c r="Y4" i="75" s="1"/>
  <c r="Y5" i="75" s="1"/>
  <c r="Y6" i="75" s="1"/>
  <c r="Y7" i="75" s="1"/>
  <c r="Y8" i="75" s="1"/>
  <c r="Y9" i="75" s="1"/>
  <c r="Y10" i="75" s="1"/>
  <c r="Y11" i="75" s="1"/>
  <c r="Y12" i="75" s="1"/>
  <c r="Y13" i="75" s="1"/>
  <c r="Y14" i="75" s="1"/>
  <c r="Y15" i="75" s="1"/>
  <c r="Y16" i="75" s="1"/>
  <c r="Y17" i="75" s="1"/>
  <c r="Y18" i="75" s="1"/>
  <c r="Y19" i="75" s="1"/>
  <c r="Y20" i="75" s="1"/>
  <c r="Y21" i="75" s="1"/>
  <c r="Y22" i="75" s="1"/>
  <c r="Y23" i="75" s="1"/>
  <c r="Y24" i="75" s="1"/>
  <c r="Y25" i="75" s="1"/>
  <c r="Y3" i="78"/>
  <c r="Y4" i="78" s="1"/>
  <c r="Y5" i="78" s="1"/>
  <c r="Y6" i="78" s="1"/>
  <c r="Y7" i="78" s="1"/>
  <c r="Y8" i="78" s="1"/>
  <c r="Y9" i="78" s="1"/>
  <c r="Y1" i="4"/>
  <c r="Y2" i="4" s="1"/>
  <c r="Y3" i="4" s="1"/>
  <c r="Y4" i="4" s="1"/>
  <c r="Y5" i="4" s="1"/>
  <c r="Y6" i="4" s="1"/>
  <c r="Y7" i="4" s="1"/>
  <c r="Y8" i="4" s="1"/>
  <c r="Y9" i="4" s="1"/>
  <c r="Y10" i="4" s="1"/>
  <c r="Y11" i="4" s="1"/>
  <c r="Y12" i="4" s="1"/>
  <c r="Y13" i="4" s="1"/>
  <c r="Y14" i="4" s="1"/>
  <c r="Y15" i="4" s="1"/>
  <c r="Y16" i="4" s="1"/>
  <c r="Y17" i="4" s="1"/>
  <c r="Y18" i="4" s="1"/>
  <c r="Y19" i="4" s="1"/>
  <c r="Y20" i="4" s="1"/>
  <c r="Y21" i="4" s="1"/>
  <c r="Y22" i="4" s="1"/>
  <c r="Y23" i="4" s="1"/>
  <c r="Y24" i="4" s="1"/>
  <c r="Y25" i="4" s="1"/>
  <c r="Y2" i="74"/>
  <c r="Y3" i="74" s="1"/>
  <c r="Y4" i="74" s="1"/>
  <c r="Y5" i="74" s="1"/>
  <c r="Y6" i="74" s="1"/>
  <c r="Y7" i="74" s="1"/>
  <c r="Y8" i="74" s="1"/>
  <c r="Y9" i="74" s="1"/>
  <c r="Y10" i="74" s="1"/>
  <c r="Y11" i="74" s="1"/>
  <c r="Y12" i="74" s="1"/>
  <c r="Y13" i="74" s="1"/>
  <c r="Y14" i="74" s="1"/>
  <c r="Y15" i="74" s="1"/>
  <c r="Y16" i="74" s="1"/>
  <c r="Y17" i="74" s="1"/>
  <c r="Y18" i="74" s="1"/>
  <c r="Y19" i="74" s="1"/>
  <c r="Y20" i="74" s="1"/>
  <c r="Y21" i="74" s="1"/>
  <c r="Y22" i="74" s="1"/>
  <c r="Y23" i="74" s="1"/>
  <c r="Y24" i="74" s="1"/>
  <c r="Y25" i="74" s="1"/>
  <c r="C18" i="4" a="1"/>
  <c r="C18" i="4" s="1"/>
  <c r="C14" i="4" a="1"/>
  <c r="C14" i="4" s="1"/>
  <c r="C10" i="4" a="1"/>
  <c r="C10" i="4" s="1"/>
  <c r="C17" i="4" a="1"/>
  <c r="C17" i="4" s="1"/>
  <c r="C13" i="4" a="1"/>
  <c r="C13" i="4" s="1"/>
  <c r="A19" i="4" a="1"/>
  <c r="A19" i="4" s="1"/>
  <c r="A18" i="4" a="1"/>
  <c r="A18" i="4" s="1"/>
  <c r="A14" i="4" a="1"/>
  <c r="A14" i="4" s="1"/>
  <c r="A10" i="4" a="1"/>
  <c r="A10" i="4" s="1"/>
  <c r="A15" i="4" a="1"/>
  <c r="A15" i="4" s="1"/>
  <c r="A17" i="4" a="1"/>
  <c r="A17" i="4" s="1"/>
  <c r="A13" i="4" a="1"/>
  <c r="A13" i="4" s="1"/>
  <c r="C16" i="4" a="1"/>
  <c r="C16" i="4" s="1"/>
  <c r="C12" i="4" a="1"/>
  <c r="C12" i="4" s="1"/>
  <c r="C21" i="4"/>
  <c r="W1" i="4" s="1"/>
  <c r="A16" i="4" a="1"/>
  <c r="A16" i="4" s="1"/>
  <c r="A12" i="4" a="1"/>
  <c r="A12" i="4" s="1"/>
  <c r="C19" i="4" a="1"/>
  <c r="C19" i="4" s="1"/>
  <c r="C15" i="4" a="1"/>
  <c r="C15" i="4" s="1"/>
  <c r="C11" i="4" a="1"/>
  <c r="C11" i="4" s="1"/>
  <c r="A11" i="4" a="1"/>
  <c r="A11" i="4" s="1"/>
  <c r="A21" i="73"/>
  <c r="A17" i="73" a="1"/>
  <c r="A17" i="73" s="1"/>
  <c r="A13" i="73" a="1"/>
  <c r="A13" i="73" s="1"/>
  <c r="C16" i="73" a="1"/>
  <c r="C16" i="73" s="1"/>
  <c r="C12" i="73" a="1"/>
  <c r="C12" i="73" s="1"/>
  <c r="A16" i="73" a="1"/>
  <c r="A16" i="73" s="1"/>
  <c r="A12" i="73" a="1"/>
  <c r="A12" i="73" s="1"/>
  <c r="C19" i="73" a="1"/>
  <c r="C19" i="73" s="1"/>
  <c r="C15" i="73" a="1"/>
  <c r="C15" i="73" s="1"/>
  <c r="C11" i="73" a="1"/>
  <c r="C11" i="73" s="1"/>
  <c r="A19" i="73" a="1"/>
  <c r="A19" i="73" s="1"/>
  <c r="A15" i="73" a="1"/>
  <c r="A15" i="73" s="1"/>
  <c r="A11" i="73" a="1"/>
  <c r="A11" i="73" s="1"/>
  <c r="C18" i="73" a="1"/>
  <c r="C18" i="73" s="1"/>
  <c r="C14" i="73" a="1"/>
  <c r="C14" i="73" s="1"/>
  <c r="C10" i="73" a="1"/>
  <c r="C10" i="73" s="1"/>
  <c r="A18" i="73" a="1"/>
  <c r="A18" i="73" s="1"/>
  <c r="A14" i="73" a="1"/>
  <c r="A14" i="73" s="1"/>
  <c r="A10" i="73" a="1"/>
  <c r="A10" i="73" s="1"/>
  <c r="C17" i="73" a="1"/>
  <c r="C17" i="73" s="1"/>
  <c r="C13" i="73" a="1"/>
  <c r="C13" i="73" s="1"/>
  <c r="A20" i="73"/>
  <c r="A20" i="4"/>
  <c r="A21" i="4"/>
  <c r="Y10" i="78" l="1"/>
  <c r="Y11" i="78" s="1"/>
  <c r="Y12" i="78" s="1"/>
  <c r="Y13" i="78" s="1"/>
  <c r="Y14" i="78" s="1"/>
  <c r="Y15" i="78" s="1"/>
  <c r="Y16" i="78" s="1"/>
  <c r="Y17" i="78" s="1"/>
  <c r="Y18" i="78" s="1"/>
  <c r="Y19" i="78" s="1"/>
  <c r="Y20" i="78" s="1"/>
  <c r="Y21" i="78" s="1"/>
  <c r="Y22" i="78" s="1"/>
  <c r="Y23" i="78" s="1"/>
  <c r="Y24" i="78" s="1"/>
  <c r="Y25" i="78" s="1"/>
  <c r="Y26" i="78" s="1"/>
  <c r="C20" i="4"/>
  <c r="D20" i="4" s="1"/>
  <c r="D10" i="4"/>
  <c r="D16" i="73"/>
  <c r="C20" i="73"/>
  <c r="D20" i="73" s="1"/>
  <c r="D15" i="73"/>
  <c r="D11" i="73"/>
  <c r="D10" i="73"/>
  <c r="D12" i="73"/>
  <c r="D14" i="73"/>
  <c r="D18" i="73"/>
  <c r="D13" i="73"/>
  <c r="D19" i="73"/>
  <c r="D17" i="73"/>
  <c r="A25" i="73"/>
  <c r="A23" i="73"/>
  <c r="A25" i="4"/>
  <c r="A23" i="4"/>
  <c r="D19" i="4"/>
  <c r="D16" i="4"/>
  <c r="D14" i="4"/>
  <c r="D18" i="4"/>
  <c r="D13" i="4"/>
  <c r="D15" i="4"/>
  <c r="D17" i="4"/>
  <c r="D12" i="4"/>
  <c r="D11" i="4"/>
  <c r="H65" i="54" l="1"/>
  <c r="H66" i="54"/>
  <c r="H67" i="54"/>
  <c r="H68" i="54"/>
  <c r="N71" i="52" l="1"/>
  <c r="N72" i="52"/>
  <c r="N73" i="52"/>
  <c r="N74" i="52"/>
  <c r="N75" i="52"/>
  <c r="N76" i="52"/>
  <c r="N77" i="52"/>
  <c r="N78" i="52"/>
  <c r="N79" i="52"/>
  <c r="N80" i="52"/>
  <c r="N81" i="52"/>
  <c r="N82" i="52"/>
  <c r="N83" i="52"/>
  <c r="N84" i="52"/>
  <c r="N85" i="52"/>
  <c r="N86" i="52"/>
  <c r="N87" i="52"/>
  <c r="N88" i="52"/>
  <c r="N89" i="52"/>
  <c r="N90" i="52"/>
  <c r="N91" i="52"/>
  <c r="N92" i="52"/>
  <c r="N93" i="52"/>
  <c r="N94" i="52"/>
  <c r="N95" i="52"/>
  <c r="N96" i="52"/>
  <c r="N97" i="52"/>
  <c r="N98" i="52"/>
  <c r="N99" i="52"/>
  <c r="N100" i="52"/>
  <c r="N101" i="52"/>
  <c r="N102" i="52"/>
  <c r="N103" i="52"/>
  <c r="N104" i="52"/>
  <c r="N105" i="52"/>
  <c r="N106" i="52"/>
  <c r="N107" i="52"/>
  <c r="N108" i="52"/>
  <c r="N109" i="52"/>
  <c r="N110" i="52"/>
  <c r="N111" i="52"/>
  <c r="N112" i="52"/>
  <c r="N113" i="52"/>
  <c r="N114" i="52"/>
  <c r="N115" i="52"/>
  <c r="N116" i="52"/>
  <c r="N117" i="52"/>
  <c r="N118" i="52"/>
  <c r="N119" i="52"/>
  <c r="N120" i="52"/>
  <c r="N121" i="52"/>
  <c r="N122" i="52"/>
  <c r="N123" i="52"/>
  <c r="N124" i="52"/>
  <c r="N125" i="52"/>
  <c r="N126" i="52"/>
  <c r="N127" i="52"/>
  <c r="N128" i="52"/>
  <c r="N129" i="52"/>
  <c r="N130" i="52"/>
  <c r="N131" i="52"/>
  <c r="N132" i="52"/>
  <c r="N133" i="52"/>
  <c r="N134" i="52"/>
  <c r="N135" i="52"/>
  <c r="N136" i="52"/>
  <c r="N137" i="52"/>
  <c r="N138" i="52"/>
  <c r="N139" i="52"/>
  <c r="N140" i="52"/>
  <c r="N141" i="52"/>
  <c r="N142" i="52"/>
  <c r="N143" i="52"/>
  <c r="N144" i="52"/>
  <c r="N145" i="52"/>
  <c r="N146" i="52"/>
  <c r="N147" i="52"/>
  <c r="N148" i="52"/>
  <c r="N149" i="52"/>
  <c r="N150" i="52"/>
  <c r="N151" i="52"/>
  <c r="N152" i="52"/>
  <c r="N153" i="52"/>
  <c r="N154" i="52"/>
  <c r="N155" i="52"/>
  <c r="N156" i="52"/>
  <c r="N157" i="52"/>
  <c r="N158" i="52"/>
  <c r="N159" i="52"/>
  <c r="N160" i="52"/>
  <c r="N161" i="52"/>
  <c r="N162" i="52"/>
  <c r="N163" i="52"/>
  <c r="N164" i="52"/>
  <c r="N165" i="52"/>
  <c r="N166" i="52"/>
  <c r="N167" i="52"/>
  <c r="N168" i="52"/>
  <c r="N169" i="52"/>
  <c r="N170" i="52"/>
  <c r="N171" i="52"/>
  <c r="N172" i="52"/>
  <c r="N173" i="52"/>
  <c r="N174" i="52"/>
  <c r="N175" i="52"/>
  <c r="N176" i="52"/>
  <c r="N177" i="52"/>
  <c r="N178" i="52"/>
  <c r="N179" i="52"/>
  <c r="N180" i="52"/>
  <c r="N181" i="52"/>
  <c r="N182" i="52"/>
  <c r="N183" i="52"/>
  <c r="N184" i="52"/>
  <c r="N185" i="52"/>
  <c r="N186" i="52"/>
  <c r="N187" i="52"/>
  <c r="N188" i="52"/>
  <c r="N189" i="52"/>
  <c r="N190" i="52"/>
  <c r="N191" i="52"/>
  <c r="N192" i="52"/>
  <c r="N193" i="52"/>
  <c r="N194" i="52"/>
  <c r="N195" i="52"/>
  <c r="N196" i="52"/>
  <c r="N197" i="52"/>
  <c r="N198" i="52"/>
  <c r="N199" i="52"/>
  <c r="N200" i="52"/>
  <c r="N201" i="52"/>
  <c r="N202" i="52"/>
  <c r="N203" i="52"/>
  <c r="N204" i="52"/>
  <c r="N205" i="52"/>
  <c r="N206" i="52"/>
  <c r="N207" i="52"/>
  <c r="N208" i="52"/>
  <c r="N209" i="52"/>
  <c r="N210" i="52"/>
  <c r="N211" i="52"/>
  <c r="N212" i="52"/>
  <c r="N213" i="52"/>
  <c r="N214" i="52"/>
  <c r="N215" i="52"/>
  <c r="N216" i="52"/>
  <c r="N217" i="52"/>
  <c r="N218" i="52"/>
  <c r="N219" i="52"/>
  <c r="N220" i="52"/>
  <c r="N221" i="52"/>
  <c r="N222" i="52"/>
  <c r="N223" i="52"/>
  <c r="N224" i="52"/>
  <c r="N225" i="52"/>
  <c r="N226" i="52"/>
  <c r="N227" i="52"/>
  <c r="N228" i="52"/>
  <c r="N229" i="52"/>
  <c r="N230" i="52"/>
  <c r="N231" i="52"/>
  <c r="N232" i="52"/>
  <c r="N233" i="52"/>
  <c r="N234" i="52"/>
  <c r="N235" i="52"/>
  <c r="N236" i="52"/>
  <c r="N237" i="52"/>
  <c r="N238" i="52"/>
  <c r="N239" i="52"/>
  <c r="N240" i="52"/>
  <c r="N241" i="52"/>
  <c r="N242" i="52"/>
  <c r="N243" i="52"/>
  <c r="N244" i="52"/>
  <c r="N245" i="52"/>
  <c r="N246" i="52"/>
  <c r="N247" i="52"/>
  <c r="N248" i="52"/>
  <c r="N249" i="52"/>
  <c r="N250" i="52"/>
  <c r="L79" i="52"/>
  <c r="M79" i="52"/>
  <c r="M80" i="52"/>
  <c r="M81" i="52"/>
  <c r="M82" i="52"/>
  <c r="L83" i="52"/>
  <c r="M83" i="52"/>
  <c r="L84" i="52"/>
  <c r="M84" i="52"/>
  <c r="L85" i="52"/>
  <c r="M85" i="52"/>
  <c r="L86" i="52"/>
  <c r="M86" i="52"/>
  <c r="L88" i="52"/>
  <c r="M88" i="52"/>
  <c r="L89" i="52"/>
  <c r="M89" i="52"/>
  <c r="L90" i="52"/>
  <c r="M90" i="52"/>
  <c r="L91" i="52"/>
  <c r="M91" i="52"/>
  <c r="L92" i="52"/>
  <c r="M92" i="52"/>
  <c r="L93" i="52"/>
  <c r="M93" i="52"/>
  <c r="L94" i="52"/>
  <c r="M94" i="52"/>
  <c r="L95" i="52"/>
  <c r="M95" i="52"/>
  <c r="L96" i="52"/>
  <c r="M96" i="52"/>
  <c r="L97" i="52"/>
  <c r="M97" i="52"/>
  <c r="L98" i="52"/>
  <c r="M98" i="52"/>
  <c r="L99" i="52"/>
  <c r="M99" i="52"/>
  <c r="L100" i="52"/>
  <c r="M100" i="52"/>
  <c r="AJ79" i="51" l="1"/>
  <c r="AI79" i="51"/>
  <c r="AJ78" i="51"/>
  <c r="AI78" i="51"/>
  <c r="AJ77" i="51"/>
  <c r="AI77" i="51"/>
  <c r="A99" i="52"/>
  <c r="A91" i="52"/>
  <c r="A86" i="52"/>
  <c r="A93" i="52"/>
  <c r="A94" i="52"/>
  <c r="A95" i="52"/>
  <c r="A96" i="52"/>
  <c r="A98" i="52"/>
  <c r="A90" i="52"/>
  <c r="A97" i="52"/>
  <c r="A89" i="52"/>
  <c r="A100" i="52"/>
  <c r="A92" i="52"/>
  <c r="A88" i="52"/>
  <c r="A85" i="52"/>
  <c r="A84" i="52"/>
  <c r="A83" i="52"/>
  <c r="A82" i="52"/>
  <c r="A81" i="52"/>
  <c r="A80" i="52"/>
  <c r="A79" i="52"/>
  <c r="B9" i="42"/>
  <c r="C9" i="42" s="1"/>
  <c r="B10" i="42"/>
  <c r="C10" i="42" s="1"/>
  <c r="B11" i="42"/>
  <c r="C11" i="42" s="1"/>
  <c r="B12" i="42"/>
  <c r="C12" i="42" s="1"/>
  <c r="B13" i="42"/>
  <c r="C13" i="42" s="1"/>
  <c r="B14" i="42"/>
  <c r="C14" i="42" s="1"/>
  <c r="B15" i="42"/>
  <c r="C15" i="42" s="1"/>
  <c r="B16" i="42"/>
  <c r="C16" i="42" s="1"/>
  <c r="B17" i="42"/>
  <c r="C17" i="42" s="1"/>
  <c r="G17" i="42" s="1"/>
  <c r="B35" i="42"/>
  <c r="C35" i="42" s="1"/>
  <c r="B36" i="42"/>
  <c r="C36" i="42" s="1"/>
  <c r="B19" i="42"/>
  <c r="C19" i="42" s="1"/>
  <c r="B20" i="42"/>
  <c r="C20" i="42" s="1"/>
  <c r="B21" i="42"/>
  <c r="C21" i="42" s="1"/>
  <c r="B22" i="42"/>
  <c r="C22" i="42" s="1"/>
  <c r="B23" i="42"/>
  <c r="C23" i="42" s="1"/>
  <c r="B24" i="42"/>
  <c r="C24" i="42" s="1"/>
  <c r="B25" i="42"/>
  <c r="C25" i="42" s="1"/>
  <c r="B26" i="42"/>
  <c r="C26" i="42" s="1"/>
  <c r="B27" i="42"/>
  <c r="C27" i="42" s="1"/>
  <c r="B28" i="42"/>
  <c r="C28" i="42" s="1"/>
  <c r="B29" i="42"/>
  <c r="C29" i="42" s="1"/>
  <c r="B30" i="42"/>
  <c r="C30" i="42" s="1"/>
  <c r="B31" i="42"/>
  <c r="C31" i="42" s="1"/>
  <c r="B32" i="42"/>
  <c r="C32" i="42" s="1"/>
  <c r="B33" i="42"/>
  <c r="C33" i="42" s="1"/>
  <c r="B34" i="42"/>
  <c r="C34" i="42" s="1"/>
  <c r="B18" i="42"/>
  <c r="C18" i="42" s="1"/>
  <c r="D9" i="42" l="1"/>
  <c r="G9" i="42"/>
  <c r="D16" i="42"/>
  <c r="E16" i="42" s="1"/>
  <c r="F16" i="42" s="1"/>
  <c r="G16" i="42"/>
  <c r="D11" i="42"/>
  <c r="E11" i="42" s="1"/>
  <c r="F11" i="42" s="1"/>
  <c r="G11" i="42"/>
  <c r="D15" i="42"/>
  <c r="E15" i="42" s="1"/>
  <c r="F15" i="42" s="1"/>
  <c r="G15" i="42"/>
  <c r="D14" i="42"/>
  <c r="G14" i="42"/>
  <c r="D13" i="42"/>
  <c r="E13" i="42" s="1"/>
  <c r="F13" i="42" s="1"/>
  <c r="G13" i="42"/>
  <c r="D10" i="42"/>
  <c r="E10" i="42" s="1"/>
  <c r="F10" i="42" s="1"/>
  <c r="G10" i="42"/>
  <c r="D12" i="42"/>
  <c r="E12" i="42" s="1"/>
  <c r="F12" i="42" s="1"/>
  <c r="G12" i="42"/>
  <c r="D17" i="42"/>
  <c r="E9" i="42"/>
  <c r="F9" i="42" s="1"/>
  <c r="E14" i="42"/>
  <c r="F14" i="42" s="1"/>
  <c r="N56" i="52"/>
  <c r="F6" i="11" l="1"/>
  <c r="H6" i="53"/>
  <c r="G6" i="13"/>
  <c r="G6" i="18"/>
  <c r="H6" i="59"/>
  <c r="I7" i="30"/>
  <c r="F6" i="37"/>
  <c r="C106" i="60"/>
  <c r="C103" i="60"/>
  <c r="C112" i="60"/>
  <c r="C99" i="60"/>
  <c r="C101" i="60"/>
  <c r="C102" i="60"/>
  <c r="C100" i="60"/>
  <c r="C96" i="60"/>
  <c r="C98" i="60"/>
  <c r="C97" i="60"/>
  <c r="C95" i="60"/>
  <c r="C94" i="60"/>
  <c r="C93" i="60"/>
  <c r="C92" i="60"/>
  <c r="C91" i="60"/>
  <c r="C28" i="60"/>
  <c r="C26" i="60"/>
  <c r="C25" i="60"/>
  <c r="C23" i="60"/>
  <c r="C22" i="60"/>
  <c r="C24" i="60"/>
  <c r="C20" i="60"/>
  <c r="C19" i="60"/>
  <c r="C18" i="60"/>
  <c r="C15" i="60"/>
  <c r="C17" i="60"/>
  <c r="C16" i="60"/>
  <c r="C14" i="60"/>
  <c r="C11" i="60"/>
  <c r="C13" i="60"/>
  <c r="C10" i="60"/>
  <c r="C12" i="60"/>
  <c r="C8" i="60"/>
  <c r="C9" i="60"/>
  <c r="N70" i="52"/>
  <c r="N69" i="52"/>
  <c r="J68" i="52"/>
  <c r="N68" i="52" s="1"/>
  <c r="G68" i="52"/>
  <c r="J67" i="52"/>
  <c r="N67" i="52" s="1"/>
  <c r="G67" i="52"/>
  <c r="J66" i="52"/>
  <c r="N66" i="52" s="1"/>
  <c r="G66" i="52"/>
  <c r="J65" i="52"/>
  <c r="N65" i="52" s="1"/>
  <c r="G65" i="52"/>
  <c r="J64" i="52"/>
  <c r="N64" i="52" s="1"/>
  <c r="G64" i="52"/>
  <c r="J63" i="52"/>
  <c r="N63" i="52" s="1"/>
  <c r="G63" i="52"/>
  <c r="J62" i="52"/>
  <c r="N62" i="52" s="1"/>
  <c r="G62" i="52"/>
  <c r="J61" i="52"/>
  <c r="N61" i="52" s="1"/>
  <c r="G61" i="52"/>
  <c r="J60" i="52"/>
  <c r="N60" i="52" s="1"/>
  <c r="G60" i="52"/>
  <c r="J59" i="52"/>
  <c r="N59" i="52" s="1"/>
  <c r="G59" i="52"/>
  <c r="J58" i="52"/>
  <c r="N58" i="52" s="1"/>
  <c r="G58" i="52"/>
  <c r="J57" i="52"/>
  <c r="N57" i="52" s="1"/>
  <c r="G57" i="52"/>
  <c r="G56" i="52"/>
  <c r="J55" i="52"/>
  <c r="N55" i="52" s="1"/>
  <c r="G55" i="52"/>
  <c r="J54" i="52"/>
  <c r="N54" i="52" s="1"/>
  <c r="G54" i="52"/>
  <c r="J53" i="52"/>
  <c r="N53" i="52" s="1"/>
  <c r="G53" i="52"/>
  <c r="J52" i="52"/>
  <c r="N52" i="52" s="1"/>
  <c r="G52" i="52"/>
  <c r="J51" i="52"/>
  <c r="N51" i="52" s="1"/>
  <c r="G51" i="52"/>
  <c r="J50" i="52"/>
  <c r="N50" i="52" s="1"/>
  <c r="G50" i="52"/>
  <c r="J49" i="52"/>
  <c r="N49" i="52" s="1"/>
  <c r="G49" i="52"/>
  <c r="J48" i="52"/>
  <c r="N48" i="52" s="1"/>
  <c r="G48" i="52"/>
  <c r="J47" i="52"/>
  <c r="N47" i="52" s="1"/>
  <c r="G47" i="52"/>
  <c r="J46" i="52"/>
  <c r="N46" i="52" s="1"/>
  <c r="G46" i="52"/>
  <c r="J45" i="52"/>
  <c r="N45" i="52" s="1"/>
  <c r="G45" i="52"/>
  <c r="J44" i="52"/>
  <c r="N44" i="52" s="1"/>
  <c r="G44" i="52"/>
  <c r="J43" i="52"/>
  <c r="N43" i="52" s="1"/>
  <c r="G43" i="52"/>
  <c r="J42" i="52"/>
  <c r="N42" i="52" s="1"/>
  <c r="G42" i="52"/>
  <c r="J41" i="52"/>
  <c r="N41" i="52" s="1"/>
  <c r="G41" i="52"/>
  <c r="J40" i="52"/>
  <c r="N40" i="52" s="1"/>
  <c r="G40" i="52"/>
  <c r="J39" i="52"/>
  <c r="N39" i="52" s="1"/>
  <c r="G39" i="52"/>
  <c r="J38" i="52"/>
  <c r="N38" i="52" s="1"/>
  <c r="G38" i="52"/>
  <c r="J37" i="52"/>
  <c r="N37" i="52" s="1"/>
  <c r="G37" i="52"/>
  <c r="J36" i="52"/>
  <c r="N36" i="52" s="1"/>
  <c r="G36" i="52"/>
  <c r="J35" i="52"/>
  <c r="N35" i="52" s="1"/>
  <c r="G35" i="52"/>
  <c r="J34" i="52"/>
  <c r="N34" i="52" s="1"/>
  <c r="G34" i="52"/>
  <c r="J33" i="52"/>
  <c r="N33" i="52" s="1"/>
  <c r="G33" i="52"/>
  <c r="J32" i="52"/>
  <c r="N32" i="52" s="1"/>
  <c r="G32" i="52"/>
  <c r="J31" i="52"/>
  <c r="N31" i="52" s="1"/>
  <c r="G31" i="52"/>
  <c r="J30" i="52"/>
  <c r="N30" i="52" s="1"/>
  <c r="G30" i="52"/>
  <c r="J29" i="52"/>
  <c r="N29" i="52" s="1"/>
  <c r="G29" i="52"/>
  <c r="J28" i="52"/>
  <c r="N28" i="52" s="1"/>
  <c r="G28" i="52"/>
  <c r="J27" i="52"/>
  <c r="N27" i="52" s="1"/>
  <c r="G27" i="52"/>
  <c r="J26" i="52"/>
  <c r="N26" i="52" s="1"/>
  <c r="G26" i="52"/>
  <c r="J25" i="52"/>
  <c r="N25" i="52" s="1"/>
  <c r="G25" i="52"/>
  <c r="J24" i="52"/>
  <c r="N24" i="52" s="1"/>
  <c r="G24" i="52"/>
  <c r="J23" i="52"/>
  <c r="N23" i="52" s="1"/>
  <c r="G23" i="52"/>
  <c r="J22" i="52"/>
  <c r="N22" i="52" s="1"/>
  <c r="G22" i="52"/>
  <c r="J21" i="52"/>
  <c r="N21" i="52" s="1"/>
  <c r="G21" i="52"/>
  <c r="J20" i="52"/>
  <c r="N20" i="52" s="1"/>
  <c r="G20" i="52"/>
  <c r="J19" i="52"/>
  <c r="N19" i="52" s="1"/>
  <c r="G19" i="52"/>
  <c r="J18" i="52"/>
  <c r="N18" i="52" s="1"/>
  <c r="G18" i="52"/>
  <c r="J17" i="52"/>
  <c r="N17" i="52" s="1"/>
  <c r="G17" i="52"/>
  <c r="J16" i="52"/>
  <c r="N16" i="52" s="1"/>
  <c r="G16" i="52"/>
  <c r="J15" i="52"/>
  <c r="N15" i="52" s="1"/>
  <c r="G15" i="52"/>
  <c r="J14" i="52"/>
  <c r="N14" i="52" s="1"/>
  <c r="G14" i="52"/>
  <c r="J13" i="52"/>
  <c r="N13" i="52" s="1"/>
  <c r="G13" i="52"/>
  <c r="J12" i="52"/>
  <c r="N12" i="52" s="1"/>
  <c r="G12" i="52"/>
  <c r="J11" i="52"/>
  <c r="N11" i="52" s="1"/>
  <c r="G11" i="52"/>
  <c r="J10" i="52"/>
  <c r="N10" i="52" s="1"/>
  <c r="G10" i="52"/>
  <c r="J9" i="52"/>
  <c r="N9" i="52" s="1"/>
  <c r="G9" i="52"/>
  <c r="C138" i="63"/>
  <c r="K66" i="63"/>
  <c r="G66" i="63"/>
  <c r="F8" i="37" l="1"/>
  <c r="H9" i="59"/>
  <c r="I9" i="30"/>
  <c r="G8" i="13"/>
  <c r="G8" i="18"/>
  <c r="H9" i="53"/>
  <c r="C114" i="60"/>
  <c r="C107" i="60"/>
  <c r="C108" i="60"/>
  <c r="C113" i="60"/>
  <c r="C109" i="60"/>
  <c r="C105" i="60"/>
  <c r="F8" i="11"/>
  <c r="T37" i="36" l="1"/>
  <c r="T38" i="36" s="1"/>
  <c r="T39" i="36" s="1"/>
  <c r="T40" i="36" s="1"/>
  <c r="T41" i="36" s="1"/>
  <c r="T42" i="36" s="1"/>
  <c r="T43" i="36" s="1"/>
  <c r="T44" i="36" s="1"/>
  <c r="T45" i="36" s="1"/>
  <c r="T46" i="36" s="1"/>
  <c r="T47" i="36" s="1"/>
  <c r="T48" i="36" s="1"/>
  <c r="T49" i="36" s="1"/>
  <c r="T50" i="36" s="1"/>
  <c r="T51" i="36" s="1"/>
  <c r="T52" i="36" s="1"/>
  <c r="T53" i="36" s="1"/>
  <c r="Q36" i="61"/>
  <c r="S36" i="28"/>
  <c r="S37" i="28" s="1"/>
  <c r="S38" i="28" s="1"/>
  <c r="S39" i="28" s="1"/>
  <c r="S40" i="28" s="1"/>
  <c r="S41" i="28" s="1"/>
  <c r="S42" i="28" s="1"/>
  <c r="S43" i="28" s="1"/>
  <c r="S44" i="28" s="1"/>
  <c r="S45" i="28" s="1"/>
  <c r="S46" i="28" s="1"/>
  <c r="S47" i="28" s="1"/>
  <c r="S48" i="28" s="1"/>
  <c r="S49" i="28" s="1"/>
  <c r="S50" i="28" s="1"/>
  <c r="S51" i="28" s="1"/>
  <c r="S52" i="28" s="1"/>
  <c r="Q36" i="22"/>
  <c r="Q37" i="22" s="1"/>
  <c r="Q38" i="22" s="1"/>
  <c r="Q39" i="22" s="1"/>
  <c r="Q40" i="22" s="1"/>
  <c r="Q41" i="22" s="1"/>
  <c r="Q42" i="22" s="1"/>
  <c r="Q43" i="22" s="1"/>
  <c r="Q44" i="22" s="1"/>
  <c r="Q45" i="22" s="1"/>
  <c r="Q46" i="22" s="1"/>
  <c r="Q47" i="22" s="1"/>
  <c r="Q48" i="22" s="1"/>
  <c r="Q49" i="22" s="1"/>
  <c r="Q50" i="22" s="1"/>
  <c r="Q51" i="22" s="1"/>
  <c r="Q52" i="22" s="1"/>
  <c r="Q36" i="17"/>
  <c r="Q37" i="17" s="1"/>
  <c r="Q38" i="17" s="1"/>
  <c r="Q39" i="17" s="1"/>
  <c r="Q40" i="17" s="1"/>
  <c r="Q41" i="17" s="1"/>
  <c r="Q42" i="17" s="1"/>
  <c r="Q43" i="17" s="1"/>
  <c r="Q44" i="17" s="1"/>
  <c r="Q45" i="17" s="1"/>
  <c r="Q46" i="17" s="1"/>
  <c r="Q47" i="17" s="1"/>
  <c r="Q48" i="17" s="1"/>
  <c r="Q49" i="17" s="1"/>
  <c r="Q50" i="17" s="1"/>
  <c r="Q51" i="17" s="1"/>
  <c r="Q52" i="17" s="1"/>
  <c r="Q53" i="17" s="1"/>
  <c r="R29" i="12"/>
  <c r="R30" i="12" s="1"/>
  <c r="R31" i="12" s="1"/>
  <c r="R32" i="12" s="1"/>
  <c r="R33" i="12" s="1"/>
  <c r="R34" i="12" s="1"/>
  <c r="R35" i="12" s="1"/>
  <c r="R36" i="12" s="1"/>
  <c r="R37" i="12" s="1"/>
  <c r="R38" i="12" s="1"/>
  <c r="R39" i="12" s="1"/>
  <c r="R40" i="12" s="1"/>
  <c r="R41" i="12" s="1"/>
  <c r="R42" i="12" s="1"/>
  <c r="R43" i="12" s="1"/>
  <c r="R44" i="12" s="1"/>
  <c r="R45" i="12" s="1"/>
  <c r="R46" i="12" s="1"/>
  <c r="R47" i="12" s="1"/>
  <c r="R48" i="12" s="1"/>
  <c r="K27" i="54"/>
  <c r="K28" i="54" s="1"/>
  <c r="K29" i="54" s="1"/>
  <c r="K30" i="54" s="1"/>
  <c r="K31" i="54" s="1"/>
  <c r="K32" i="54" s="1"/>
  <c r="K33" i="54" s="1"/>
  <c r="K34" i="54" s="1"/>
  <c r="K35" i="54" s="1"/>
  <c r="K36" i="54" s="1"/>
  <c r="K37" i="54" s="1"/>
  <c r="K38" i="54" s="1"/>
  <c r="K39" i="54" s="1"/>
  <c r="K40" i="54" s="1"/>
  <c r="K41" i="54" s="1"/>
  <c r="K42" i="54" s="1"/>
  <c r="S36" i="2"/>
  <c r="T54" i="36" l="1"/>
  <c r="T55" i="36" s="1"/>
  <c r="T56" i="36" s="1"/>
  <c r="T57" i="36" s="1"/>
  <c r="R49" i="12"/>
  <c r="Q54" i="17"/>
  <c r="Q55" i="17" s="1"/>
  <c r="Q53" i="22"/>
  <c r="S53" i="28"/>
  <c r="K43" i="54"/>
  <c r="K44" i="54" s="1"/>
  <c r="K45" i="54" s="1"/>
  <c r="Q37" i="61"/>
  <c r="Q38" i="61" s="1"/>
  <c r="Q39" i="61" s="1"/>
  <c r="Q40" i="61" s="1"/>
  <c r="Q41" i="61" s="1"/>
  <c r="Q42" i="61" s="1"/>
  <c r="Q43" i="61" s="1"/>
  <c r="Q44" i="61" s="1"/>
  <c r="Q45" i="61" s="1"/>
  <c r="Q46" i="61" s="1"/>
  <c r="Q47" i="61" s="1"/>
  <c r="Q48" i="61" s="1"/>
  <c r="Q49" i="61" s="1"/>
  <c r="Q50" i="61" s="1"/>
  <c r="Q51" i="61" s="1"/>
  <c r="Q52" i="61" s="1"/>
  <c r="Q53" i="61" s="1"/>
  <c r="B39" i="60"/>
  <c r="T58" i="36" l="1"/>
  <c r="Y57" i="36"/>
  <c r="Q54" i="22"/>
  <c r="Q56" i="17"/>
  <c r="Q54" i="61"/>
  <c r="R50" i="12"/>
  <c r="R51" i="12" s="1"/>
  <c r="R52" i="12" s="1"/>
  <c r="R53" i="12" s="1"/>
  <c r="R54" i="12" s="1"/>
  <c r="S54" i="28"/>
  <c r="K46" i="54"/>
  <c r="C34" i="60"/>
  <c r="C35" i="60"/>
  <c r="C37" i="60"/>
  <c r="C38" i="60"/>
  <c r="C36" i="60"/>
  <c r="H77" i="36"/>
  <c r="I77" i="36"/>
  <c r="H78" i="36"/>
  <c r="I78" i="36"/>
  <c r="H79" i="36"/>
  <c r="I79" i="36"/>
  <c r="H80" i="36"/>
  <c r="I80" i="36"/>
  <c r="H81" i="36"/>
  <c r="I81" i="36"/>
  <c r="H82" i="36"/>
  <c r="I82" i="36"/>
  <c r="H83" i="36"/>
  <c r="I83" i="36"/>
  <c r="H84" i="36"/>
  <c r="I84" i="36"/>
  <c r="H85" i="36"/>
  <c r="I85" i="36"/>
  <c r="H86" i="36"/>
  <c r="I86" i="36"/>
  <c r="H87" i="36"/>
  <c r="I87" i="36"/>
  <c r="H88" i="36"/>
  <c r="I88" i="36"/>
  <c r="H89" i="36"/>
  <c r="I89" i="36"/>
  <c r="H90" i="36"/>
  <c r="I90" i="36"/>
  <c r="H91" i="36"/>
  <c r="I91" i="36"/>
  <c r="H92" i="36"/>
  <c r="I92" i="36"/>
  <c r="H93" i="36"/>
  <c r="I93" i="36"/>
  <c r="H94" i="36"/>
  <c r="I94" i="36"/>
  <c r="H95" i="36"/>
  <c r="I95" i="36"/>
  <c r="H96" i="36"/>
  <c r="I96" i="36"/>
  <c r="H97" i="36"/>
  <c r="W57" i="36" s="1"/>
  <c r="I97" i="36"/>
  <c r="H98" i="36"/>
  <c r="V57" i="36" s="1"/>
  <c r="I98" i="36"/>
  <c r="H99" i="36"/>
  <c r="I99" i="36"/>
  <c r="H100" i="36"/>
  <c r="I100" i="36"/>
  <c r="H101" i="36"/>
  <c r="I101" i="36"/>
  <c r="H102" i="36"/>
  <c r="I102" i="36"/>
  <c r="H103" i="36"/>
  <c r="I103" i="36"/>
  <c r="H104" i="36"/>
  <c r="I104" i="36"/>
  <c r="H105" i="36"/>
  <c r="I105" i="36"/>
  <c r="H106" i="36"/>
  <c r="I106" i="36"/>
  <c r="H107" i="36"/>
  <c r="I107" i="36"/>
  <c r="H108" i="36"/>
  <c r="I108" i="36"/>
  <c r="H109" i="36"/>
  <c r="I109" i="36"/>
  <c r="H110" i="36"/>
  <c r="I110" i="36"/>
  <c r="H111" i="36"/>
  <c r="I111" i="36"/>
  <c r="H112" i="36"/>
  <c r="I112" i="36"/>
  <c r="H113" i="36"/>
  <c r="I113" i="36"/>
  <c r="H114" i="36"/>
  <c r="I114" i="36"/>
  <c r="H115" i="36"/>
  <c r="I115" i="36"/>
  <c r="H116" i="36"/>
  <c r="I116" i="36"/>
  <c r="H117" i="36"/>
  <c r="I117" i="36"/>
  <c r="H118" i="36"/>
  <c r="I118" i="36"/>
  <c r="H119" i="36"/>
  <c r="I119" i="36"/>
  <c r="H120" i="36"/>
  <c r="I120" i="36"/>
  <c r="H121" i="36"/>
  <c r="I121" i="36"/>
  <c r="H122" i="36"/>
  <c r="I122" i="36"/>
  <c r="H123" i="36"/>
  <c r="I123" i="36"/>
  <c r="H124" i="36"/>
  <c r="I124" i="36"/>
  <c r="H125" i="36"/>
  <c r="I125" i="36"/>
  <c r="H126" i="36"/>
  <c r="I126" i="36"/>
  <c r="Z57" i="36" l="1"/>
  <c r="X57" i="36"/>
  <c r="B62" i="40"/>
  <c r="AJ76" i="51"/>
  <c r="AI76" i="51"/>
  <c r="AJ75" i="51"/>
  <c r="AI75" i="51"/>
  <c r="U57" i="36"/>
  <c r="T59" i="36"/>
  <c r="T60" i="36" s="1"/>
  <c r="T61" i="36" s="1"/>
  <c r="T62" i="36" s="1"/>
  <c r="U58" i="36"/>
  <c r="V58" i="36"/>
  <c r="W58" i="36"/>
  <c r="X58" i="36"/>
  <c r="Y58" i="36"/>
  <c r="Z58" i="36"/>
  <c r="Q55" i="61"/>
  <c r="Q57" i="17"/>
  <c r="S55" i="28"/>
  <c r="Q55" i="22"/>
  <c r="K47" i="54"/>
  <c r="M40" i="71"/>
  <c r="M41" i="71"/>
  <c r="M42" i="71"/>
  <c r="M43" i="71"/>
  <c r="M44" i="71"/>
  <c r="M45" i="71"/>
  <c r="M46" i="71"/>
  <c r="M47" i="71"/>
  <c r="M48" i="71"/>
  <c r="M49" i="71"/>
  <c r="M50" i="71"/>
  <c r="M51" i="71"/>
  <c r="AJ80" i="51" l="1"/>
  <c r="Q56" i="22"/>
  <c r="S56" i="28"/>
  <c r="Q58" i="17"/>
  <c r="Q59" i="17" s="1"/>
  <c r="Q60" i="17" s="1"/>
  <c r="Q61" i="17" s="1"/>
  <c r="Q56" i="61"/>
  <c r="K48" i="54"/>
  <c r="K49" i="54" s="1"/>
  <c r="K50" i="54" s="1"/>
  <c r="K51" i="54" s="1"/>
  <c r="K52" i="54" s="1"/>
  <c r="M18" i="44"/>
  <c r="M14" i="44"/>
  <c r="M10" i="44"/>
  <c r="M17" i="44"/>
  <c r="M13" i="44"/>
  <c r="M12" i="44"/>
  <c r="L9" i="44"/>
  <c r="M16" i="44"/>
  <c r="M15" i="44"/>
  <c r="M11" i="44"/>
  <c r="S57" i="28" l="1"/>
  <c r="Q57" i="61"/>
  <c r="Q57" i="22"/>
  <c r="D34" i="62"/>
  <c r="F34" i="62"/>
  <c r="H34" i="62"/>
  <c r="J34" i="62"/>
  <c r="L34" i="62"/>
  <c r="N34" i="62"/>
  <c r="P34" i="62"/>
  <c r="R34" i="62"/>
  <c r="T34" i="62"/>
  <c r="V34" i="62"/>
  <c r="Q58" i="22" l="1"/>
  <c r="Q59" i="22" s="1"/>
  <c r="Q60" i="22" s="1"/>
  <c r="Q61" i="22" s="1"/>
  <c r="Q58" i="61"/>
  <c r="Q59" i="61" s="1"/>
  <c r="Q60" i="61" s="1"/>
  <c r="Q61" i="61" s="1"/>
  <c r="S58" i="28"/>
  <c r="S59" i="28" s="1"/>
  <c r="S60" i="28" s="1"/>
  <c r="S61" i="28" s="1"/>
  <c r="R174" i="63"/>
  <c r="R172" i="63" s="1"/>
  <c r="P117" i="63"/>
  <c r="J117" i="63"/>
  <c r="H117" i="63"/>
  <c r="F117" i="63"/>
  <c r="D117" i="63"/>
  <c r="H163" i="63"/>
  <c r="AL157" i="63"/>
  <c r="P157" i="63"/>
  <c r="J157" i="63"/>
  <c r="H157" i="63"/>
  <c r="F157" i="63"/>
  <c r="D157" i="63"/>
  <c r="AN149" i="63"/>
  <c r="AL149" i="63"/>
  <c r="AJ149" i="63"/>
  <c r="AH149" i="63"/>
  <c r="AF149" i="63"/>
  <c r="AB149" i="63"/>
  <c r="Z149" i="63"/>
  <c r="X149" i="63"/>
  <c r="V149" i="63"/>
  <c r="T149" i="63"/>
  <c r="R149" i="63"/>
  <c r="P149" i="63"/>
  <c r="N149" i="63"/>
  <c r="L149" i="63"/>
  <c r="J149" i="63"/>
  <c r="H149" i="63"/>
  <c r="F149" i="63"/>
  <c r="D149" i="63"/>
  <c r="AN144" i="63"/>
  <c r="AN172" i="63" s="1"/>
  <c r="AL144" i="63"/>
  <c r="AL172" i="63" s="1"/>
  <c r="AJ144" i="63"/>
  <c r="AJ172" i="63" s="1"/>
  <c r="P144" i="63"/>
  <c r="J144" i="63"/>
  <c r="J172" i="63" s="1"/>
  <c r="H144" i="63"/>
  <c r="H172" i="63" s="1"/>
  <c r="F144" i="63"/>
  <c r="F172" i="63" s="1"/>
  <c r="D144" i="63"/>
  <c r="D172" i="63" s="1"/>
  <c r="T133" i="63"/>
  <c r="R133" i="63"/>
  <c r="P133" i="63"/>
  <c r="N133" i="63"/>
  <c r="L133" i="63"/>
  <c r="T128" i="63"/>
  <c r="S128" i="63"/>
  <c r="AN127" i="63"/>
  <c r="AN133" i="63" s="1"/>
  <c r="AL127" i="63"/>
  <c r="AL133" i="63" s="1"/>
  <c r="AJ127" i="63"/>
  <c r="AJ133" i="63" s="1"/>
  <c r="J127" i="63"/>
  <c r="J133" i="63" s="1"/>
  <c r="I127" i="63"/>
  <c r="H127" i="63"/>
  <c r="H133" i="63" s="1"/>
  <c r="G127" i="63"/>
  <c r="F127" i="63"/>
  <c r="F133" i="63" s="1"/>
  <c r="E127" i="63"/>
  <c r="D127" i="63"/>
  <c r="D133" i="63" s="1"/>
  <c r="C127" i="63"/>
  <c r="AN111" i="63"/>
  <c r="AL111" i="63"/>
  <c r="AJ111" i="63"/>
  <c r="P111" i="63"/>
  <c r="J111" i="63"/>
  <c r="H111" i="63"/>
  <c r="F111" i="63"/>
  <c r="D111" i="63"/>
  <c r="AN106" i="63"/>
  <c r="AM106" i="63"/>
  <c r="AL106" i="63"/>
  <c r="AK106" i="63"/>
  <c r="AJ106" i="63"/>
  <c r="P106" i="63"/>
  <c r="O106" i="63"/>
  <c r="J106" i="63"/>
  <c r="I106" i="63"/>
  <c r="H106" i="63"/>
  <c r="G106" i="63"/>
  <c r="F106" i="63"/>
  <c r="E106" i="63"/>
  <c r="D106" i="63"/>
  <c r="C106" i="63"/>
  <c r="AN100" i="63"/>
  <c r="AL100" i="63"/>
  <c r="AJ100" i="63"/>
  <c r="AH100" i="63"/>
  <c r="AF100" i="63"/>
  <c r="AB100" i="63"/>
  <c r="Z100" i="63"/>
  <c r="X100" i="63"/>
  <c r="V100" i="63"/>
  <c r="T100" i="63"/>
  <c r="P100" i="63"/>
  <c r="J100" i="63"/>
  <c r="H100" i="63"/>
  <c r="F100" i="63"/>
  <c r="D100" i="63"/>
  <c r="AN95" i="63"/>
  <c r="AL95" i="63"/>
  <c r="AJ95" i="63"/>
  <c r="P95" i="63"/>
  <c r="J95" i="63"/>
  <c r="H95" i="63"/>
  <c r="F95" i="63"/>
  <c r="D95" i="63"/>
  <c r="AB75" i="63"/>
  <c r="P75" i="63"/>
  <c r="N75" i="63"/>
  <c r="L75" i="63"/>
  <c r="J75" i="63"/>
  <c r="H75" i="63"/>
  <c r="F75" i="63"/>
  <c r="D75" i="63"/>
  <c r="AN59" i="63"/>
  <c r="AL59" i="63"/>
  <c r="AJ59" i="63"/>
  <c r="T59" i="63"/>
  <c r="R59" i="63"/>
  <c r="P59" i="63"/>
  <c r="N59" i="63"/>
  <c r="J59" i="63"/>
  <c r="H59" i="63"/>
  <c r="F59" i="63"/>
  <c r="D59" i="63"/>
  <c r="AN44" i="63"/>
  <c r="AL44" i="63"/>
  <c r="AJ44" i="63"/>
  <c r="P44" i="63"/>
  <c r="N44" i="63"/>
  <c r="J44" i="63"/>
  <c r="H44" i="63"/>
  <c r="F44" i="63"/>
  <c r="D44" i="63"/>
  <c r="AL34" i="63"/>
  <c r="AJ34" i="63"/>
  <c r="P34" i="63"/>
  <c r="J34" i="63"/>
  <c r="F34" i="63"/>
  <c r="D34" i="63"/>
  <c r="H27" i="63"/>
  <c r="H34" i="63" s="1"/>
  <c r="AN21" i="63"/>
  <c r="AL21" i="63"/>
  <c r="AJ21" i="63"/>
  <c r="P21" i="63"/>
  <c r="J21" i="63"/>
  <c r="H21" i="63"/>
  <c r="F18" i="63"/>
  <c r="F21" i="63" s="1"/>
  <c r="E18" i="63"/>
  <c r="D18" i="63"/>
  <c r="D21" i="63" s="1"/>
  <c r="C18" i="63"/>
  <c r="D13" i="63"/>
  <c r="P174" i="63" l="1"/>
  <c r="P172" i="63" s="1"/>
  <c r="E17" i="42" l="1"/>
  <c r="AA9" i="62" l="1"/>
  <c r="Z9" i="62"/>
  <c r="Y9" i="62"/>
  <c r="D9" i="62"/>
  <c r="C8" i="62" l="1"/>
  <c r="C9" i="62" l="1"/>
  <c r="F9" i="62"/>
  <c r="G9" i="62"/>
  <c r="H9" i="62"/>
  <c r="E9" i="62" l="1"/>
  <c r="J9" i="62"/>
  <c r="I9" i="62" l="1"/>
  <c r="L9" i="62"/>
  <c r="K9" i="62" l="1"/>
  <c r="N9" i="62"/>
  <c r="M9" i="62" l="1"/>
  <c r="P9" i="62"/>
  <c r="O9" i="62" l="1"/>
  <c r="R9" i="62"/>
  <c r="Q9" i="62" l="1"/>
  <c r="T9" i="62"/>
  <c r="S9" i="62" l="1"/>
  <c r="V9" i="62"/>
  <c r="U9" i="62" l="1"/>
  <c r="W9" i="62" l="1"/>
  <c r="X9" i="62"/>
  <c r="E9" i="37"/>
  <c r="E10" i="37" s="1"/>
  <c r="E11" i="37" s="1"/>
  <c r="E12" i="37" s="1"/>
  <c r="E13" i="37" s="1"/>
  <c r="E14" i="37" s="1"/>
  <c r="E15" i="37" s="1"/>
  <c r="E16" i="37" s="1"/>
  <c r="E17" i="37" s="1"/>
  <c r="E18" i="37" s="1"/>
  <c r="E19" i="37" s="1"/>
  <c r="E20" i="37" s="1"/>
  <c r="E21" i="37" s="1"/>
  <c r="E22" i="37" s="1"/>
  <c r="E23" i="37" s="1"/>
  <c r="E24" i="37" s="1"/>
  <c r="E25" i="37" s="1"/>
  <c r="E26" i="37" s="1"/>
  <c r="E27" i="37" s="1"/>
  <c r="E28" i="37" s="1"/>
  <c r="E29" i="37" s="1"/>
  <c r="E30" i="37" s="1"/>
  <c r="E31" i="37" s="1"/>
  <c r="E32" i="37" s="1"/>
  <c r="E33" i="37" s="1"/>
  <c r="E34" i="37" s="1"/>
  <c r="E35" i="37" s="1"/>
  <c r="E36" i="37" s="1"/>
  <c r="D9" i="37"/>
  <c r="G10" i="53"/>
  <c r="G11" i="53" s="1"/>
  <c r="G12" i="53" s="1"/>
  <c r="G13" i="53" s="1"/>
  <c r="G14" i="53" s="1"/>
  <c r="G15" i="53" s="1"/>
  <c r="G16" i="53" s="1"/>
  <c r="G17" i="53" s="1"/>
  <c r="G18" i="53" s="1"/>
  <c r="G19" i="53" s="1"/>
  <c r="G20" i="53" s="1"/>
  <c r="G21" i="53" s="1"/>
  <c r="G22" i="53" s="1"/>
  <c r="G23" i="53" s="1"/>
  <c r="G24" i="53" s="1"/>
  <c r="G25" i="53" s="1"/>
  <c r="G26" i="53" s="1"/>
  <c r="G27" i="53" s="1"/>
  <c r="G28" i="53" s="1"/>
  <c r="G29" i="53" s="1"/>
  <c r="G30" i="53" s="1"/>
  <c r="G31" i="53" s="1"/>
  <c r="G32" i="53" s="1"/>
  <c r="G33" i="53" s="1"/>
  <c r="G34" i="53" s="1"/>
  <c r="G35" i="53" s="1"/>
  <c r="G36" i="53" s="1"/>
  <c r="G37" i="53" s="1"/>
  <c r="G38" i="53" s="1"/>
  <c r="G39" i="53" s="1"/>
  <c r="G40" i="53" s="1"/>
  <c r="G41" i="53" s="1"/>
  <c r="G42" i="53" s="1"/>
  <c r="G43" i="53" s="1"/>
  <c r="F10" i="53"/>
  <c r="AM79" i="62" l="1"/>
  <c r="AN70" i="62"/>
  <c r="AM44" i="62"/>
  <c r="AN90" i="62"/>
  <c r="AN77" i="62"/>
  <c r="AM22" i="62"/>
  <c r="AM77" i="62"/>
  <c r="AN64" i="62"/>
  <c r="AM18" i="62"/>
  <c r="AN29" i="62"/>
  <c r="AM76" i="62"/>
  <c r="AM40" i="62"/>
  <c r="AN82" i="62"/>
  <c r="AN31" i="62"/>
  <c r="AN24" i="62"/>
  <c r="AM47" i="62"/>
  <c r="AM63" i="62"/>
  <c r="AM50" i="62"/>
  <c r="AM86" i="62"/>
  <c r="AM24" i="62"/>
  <c r="AN18" i="62"/>
  <c r="AN78" i="62"/>
  <c r="AM78" i="62"/>
  <c r="AN38" i="62"/>
  <c r="AN30" i="62"/>
  <c r="AM17" i="62"/>
  <c r="AM70" i="62"/>
  <c r="AN63" i="62"/>
  <c r="AM31" i="62"/>
  <c r="AN61" i="62"/>
  <c r="AN33" i="62"/>
  <c r="AN22" i="62"/>
  <c r="AN86" i="62"/>
  <c r="AN44" i="62"/>
  <c r="AN66" i="62"/>
  <c r="AM32" i="62"/>
  <c r="AM61" i="62"/>
  <c r="AN79" i="62"/>
  <c r="AM62" i="62"/>
  <c r="AN48" i="62"/>
  <c r="AM51" i="62"/>
  <c r="AM58" i="62"/>
  <c r="AN58" i="62"/>
  <c r="AN51" i="62"/>
  <c r="AM33" i="62"/>
  <c r="AN19" i="62"/>
  <c r="AN50" i="62"/>
  <c r="AN75" i="62"/>
  <c r="AN40" i="62"/>
  <c r="AN80" i="62"/>
  <c r="AM38" i="62"/>
  <c r="AM66" i="62"/>
  <c r="AN49" i="62"/>
  <c r="AN20" i="62"/>
  <c r="AM49" i="62"/>
  <c r="AN62" i="62"/>
  <c r="AN52" i="62"/>
  <c r="AM30" i="62"/>
  <c r="AM52" i="62"/>
  <c r="AM19" i="62"/>
  <c r="AN32" i="62"/>
  <c r="AN17" i="62"/>
  <c r="AN47" i="62"/>
  <c r="AM82" i="62"/>
  <c r="AN76" i="62"/>
  <c r="AN34" i="62"/>
  <c r="AM48" i="62"/>
  <c r="AM29" i="62"/>
  <c r="AM75" i="62"/>
  <c r="F11" i="53"/>
  <c r="F12" i="53" s="1"/>
  <c r="F13" i="53" s="1"/>
  <c r="F14" i="53" s="1"/>
  <c r="F15" i="53" s="1"/>
  <c r="F16" i="53" s="1"/>
  <c r="F17" i="53" s="1"/>
  <c r="F18" i="53" s="1"/>
  <c r="F19" i="53" s="1"/>
  <c r="F20" i="53" s="1"/>
  <c r="F21" i="53" s="1"/>
  <c r="F22" i="53" s="1"/>
  <c r="F23" i="53" s="1"/>
  <c r="F24" i="53" s="1"/>
  <c r="F25" i="53" s="1"/>
  <c r="F26" i="53" s="1"/>
  <c r="F27" i="53" s="1"/>
  <c r="F28" i="53" s="1"/>
  <c r="F29" i="53" s="1"/>
  <c r="F30" i="53" s="1"/>
  <c r="F31" i="53" s="1"/>
  <c r="F32" i="53" s="1"/>
  <c r="F33" i="53" s="1"/>
  <c r="F34" i="53" s="1"/>
  <c r="F35" i="53" s="1"/>
  <c r="F36" i="53" s="1"/>
  <c r="F37" i="53" s="1"/>
  <c r="F38" i="53" s="1"/>
  <c r="F39" i="53" s="1"/>
  <c r="F40" i="53" s="1"/>
  <c r="F41" i="53" s="1"/>
  <c r="F42" i="53" s="1"/>
  <c r="F43" i="53" s="1"/>
  <c r="H10" i="53"/>
  <c r="H11" i="53" s="1"/>
  <c r="H12" i="53" s="1"/>
  <c r="H13" i="53" s="1"/>
  <c r="H14" i="53" s="1"/>
  <c r="H15" i="53" s="1"/>
  <c r="H16" i="53" s="1"/>
  <c r="H17" i="53" s="1"/>
  <c r="H18" i="53" s="1"/>
  <c r="H19" i="53" s="1"/>
  <c r="H20" i="53" s="1"/>
  <c r="H21" i="53" s="1"/>
  <c r="H22" i="53" s="1"/>
  <c r="H23" i="53" s="1"/>
  <c r="H24" i="53" s="1"/>
  <c r="H25" i="53" s="1"/>
  <c r="H26" i="53" s="1"/>
  <c r="H27" i="53" s="1"/>
  <c r="H28" i="53" s="1"/>
  <c r="H29" i="53" s="1"/>
  <c r="H30" i="53" s="1"/>
  <c r="H31" i="53" s="1"/>
  <c r="H32" i="53" s="1"/>
  <c r="H33" i="53" s="1"/>
  <c r="H34" i="53" s="1"/>
  <c r="H35" i="53" s="1"/>
  <c r="H36" i="53" s="1"/>
  <c r="H37" i="53" s="1"/>
  <c r="H38" i="53" s="1"/>
  <c r="H39" i="53" s="1"/>
  <c r="H40" i="53" s="1"/>
  <c r="H41" i="53" s="1"/>
  <c r="H42" i="53" s="1"/>
  <c r="H43" i="53" s="1"/>
  <c r="D10" i="37"/>
  <c r="F9" i="37"/>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8" i="28"/>
  <c r="K9" i="30" l="1"/>
  <c r="J9" i="30" s="1" a="1"/>
  <c r="J9" i="30" s="1"/>
  <c r="D11" i="37"/>
  <c r="F10" i="37"/>
  <c r="G10" i="30"/>
  <c r="H10" i="30"/>
  <c r="H11" i="30" s="1"/>
  <c r="H12" i="30" s="1"/>
  <c r="H13" i="30" s="1"/>
  <c r="H14" i="30" s="1"/>
  <c r="H15" i="30" s="1"/>
  <c r="H16" i="30" s="1"/>
  <c r="H17" i="30" s="1"/>
  <c r="H18" i="30" s="1"/>
  <c r="H19" i="30" s="1"/>
  <c r="H20" i="30" s="1"/>
  <c r="H21" i="30" s="1"/>
  <c r="H22" i="30" s="1"/>
  <c r="H23" i="30" s="1"/>
  <c r="H24" i="30" s="1"/>
  <c r="H25" i="30" s="1"/>
  <c r="H26" i="30" s="1"/>
  <c r="H27" i="30" s="1"/>
  <c r="H28" i="30" s="1"/>
  <c r="H29" i="30" s="1"/>
  <c r="F10" i="59"/>
  <c r="G10" i="59"/>
  <c r="G11" i="59" s="1"/>
  <c r="G12" i="59" s="1"/>
  <c r="G13" i="59" s="1"/>
  <c r="G14" i="59" s="1"/>
  <c r="G15" i="59" s="1"/>
  <c r="G16" i="59" s="1"/>
  <c r="G17" i="59" s="1"/>
  <c r="G18" i="59" s="1"/>
  <c r="G19" i="59" s="1"/>
  <c r="G20" i="59" s="1"/>
  <c r="G21" i="59" s="1"/>
  <c r="G22" i="59" s="1"/>
  <c r="G23" i="59" s="1"/>
  <c r="G24" i="59" s="1"/>
  <c r="G25" i="59" s="1"/>
  <c r="G26" i="59" s="1"/>
  <c r="G27" i="59" s="1"/>
  <c r="G28" i="59" s="1"/>
  <c r="G29" i="59" s="1"/>
  <c r="G30" i="59" s="1"/>
  <c r="G31" i="59" s="1"/>
  <c r="G32" i="59" s="1"/>
  <c r="G33" i="59" s="1"/>
  <c r="G34" i="59" s="1"/>
  <c r="G35" i="59" s="1"/>
  <c r="G36" i="59" s="1"/>
  <c r="G37" i="59" s="1"/>
  <c r="G38" i="59" s="1"/>
  <c r="G39" i="59" s="1"/>
  <c r="G40" i="59" s="1"/>
  <c r="G41" i="59" s="1"/>
  <c r="G42" i="59" s="1"/>
  <c r="G43" i="59" s="1"/>
  <c r="F9" i="18"/>
  <c r="F10" i="18" s="1"/>
  <c r="F11" i="18" s="1"/>
  <c r="F12" i="18" s="1"/>
  <c r="F13" i="18" s="1"/>
  <c r="F14" i="18" s="1"/>
  <c r="F15" i="18" s="1"/>
  <c r="F16" i="18" s="1"/>
  <c r="F17" i="18" s="1"/>
  <c r="F18" i="18" s="1"/>
  <c r="F19" i="18" s="1"/>
  <c r="F20" i="18" s="1"/>
  <c r="F21" i="18" s="1"/>
  <c r="F22" i="18" s="1"/>
  <c r="F23" i="18" s="1"/>
  <c r="F24" i="18" s="1"/>
  <c r="F25" i="18" s="1"/>
  <c r="F26" i="18" s="1"/>
  <c r="F27" i="18" s="1"/>
  <c r="F28" i="18" s="1"/>
  <c r="F29" i="18" s="1"/>
  <c r="F30" i="18" s="1"/>
  <c r="F31" i="18" s="1"/>
  <c r="F32" i="18" s="1"/>
  <c r="F33" i="18" s="1"/>
  <c r="F34" i="18" s="1"/>
  <c r="F35" i="18" s="1"/>
  <c r="F36" i="18" s="1"/>
  <c r="F37" i="18" s="1"/>
  <c r="F38" i="18" s="1"/>
  <c r="F39" i="18" s="1"/>
  <c r="F40" i="18" s="1"/>
  <c r="F41" i="18" s="1"/>
  <c r="F42" i="18" s="1"/>
  <c r="F43" i="18" s="1"/>
  <c r="F44" i="18" s="1"/>
  <c r="F45" i="18" s="1"/>
  <c r="F46" i="18" s="1"/>
  <c r="F47" i="18" s="1"/>
  <c r="F48" i="18" s="1"/>
  <c r="F49" i="18" s="1"/>
  <c r="F50" i="18" s="1"/>
  <c r="F51" i="18" s="1"/>
  <c r="F52" i="18" s="1"/>
  <c r="F53" i="18" s="1"/>
  <c r="F54" i="18" s="1"/>
  <c r="F55" i="18" s="1"/>
  <c r="F56" i="18" s="1"/>
  <c r="F57" i="18" s="1"/>
  <c r="E9" i="18"/>
  <c r="F9" i="13"/>
  <c r="F10" i="13" s="1"/>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E9" i="13"/>
  <c r="E9" i="11"/>
  <c r="E10" i="11" s="1"/>
  <c r="E11" i="11" s="1"/>
  <c r="E12" i="11" s="1"/>
  <c r="E13" i="11" s="1"/>
  <c r="E14" i="11" s="1"/>
  <c r="E15" i="11" s="1"/>
  <c r="E16" i="11" s="1"/>
  <c r="E17" i="11" s="1"/>
  <c r="E18" i="11" s="1"/>
  <c r="E19" i="11" s="1"/>
  <c r="E20" i="11" s="1"/>
  <c r="E21" i="11" s="1"/>
  <c r="E22" i="11" s="1"/>
  <c r="E23" i="11" s="1"/>
  <c r="E24" i="11" s="1"/>
  <c r="E25" i="11" s="1"/>
  <c r="E26" i="11" s="1"/>
  <c r="E27" i="11" s="1"/>
  <c r="E28" i="11" s="1"/>
  <c r="E29" i="11" s="1"/>
  <c r="E30" i="11" s="1"/>
  <c r="E31" i="11" s="1"/>
  <c r="E32" i="11" s="1"/>
  <c r="E33" i="11" s="1"/>
  <c r="E34" i="11" s="1"/>
  <c r="E35" i="11" s="1"/>
  <c r="E36" i="11" s="1"/>
  <c r="E37" i="11" s="1"/>
  <c r="E38" i="11" s="1"/>
  <c r="E39" i="11" s="1"/>
  <c r="E40" i="11" s="1"/>
  <c r="E41" i="11" s="1"/>
  <c r="E42" i="11" s="1"/>
  <c r="D9" i="11"/>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9"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10" i="6"/>
  <c r="B11" i="6"/>
  <c r="B12" i="6"/>
  <c r="B13" i="6"/>
  <c r="B14" i="6"/>
  <c r="B15" i="6"/>
  <c r="B16" i="6"/>
  <c r="B17" i="6"/>
  <c r="B18" i="6"/>
  <c r="B19" i="6"/>
  <c r="B20" i="6"/>
  <c r="B21" i="6"/>
  <c r="B22" i="6"/>
  <c r="B23" i="6"/>
  <c r="B24" i="6"/>
  <c r="B9" i="6"/>
  <c r="K30" i="30" l="1"/>
  <c r="J39" i="42"/>
  <c r="N10" i="59"/>
  <c r="N44" i="59"/>
  <c r="N9" i="59"/>
  <c r="K9" i="59" s="1" a="1"/>
  <c r="K9" i="59" s="1"/>
  <c r="J38" i="42"/>
  <c r="K11" i="80"/>
  <c r="K19" i="80"/>
  <c r="K12" i="80"/>
  <c r="K20" i="80"/>
  <c r="K13" i="80"/>
  <c r="K21" i="80"/>
  <c r="K14" i="80"/>
  <c r="K15" i="80"/>
  <c r="K16" i="80"/>
  <c r="I16" i="80" s="1" a="1"/>
  <c r="I16" i="80" s="1"/>
  <c r="K18" i="80"/>
  <c r="K17" i="80"/>
  <c r="I17" i="80" s="1" a="1"/>
  <c r="I17" i="80" s="1"/>
  <c r="K10" i="80"/>
  <c r="J37" i="42"/>
  <c r="K9" i="13"/>
  <c r="J9" i="13"/>
  <c r="K8" i="13"/>
  <c r="H8" i="13" s="1" a="1"/>
  <c r="H8" i="13" s="1"/>
  <c r="J31" i="42"/>
  <c r="J34" i="42"/>
  <c r="J25" i="42"/>
  <c r="J23" i="42"/>
  <c r="J14" i="42"/>
  <c r="J26" i="42"/>
  <c r="J35" i="42"/>
  <c r="J16" i="42"/>
  <c r="J30" i="42"/>
  <c r="J22" i="42"/>
  <c r="J11" i="42"/>
  <c r="J13" i="42"/>
  <c r="J29" i="42"/>
  <c r="J33" i="42"/>
  <c r="J21" i="42"/>
  <c r="J18" i="42"/>
  <c r="J10" i="42"/>
  <c r="J28" i="42"/>
  <c r="J17" i="42"/>
  <c r="J27" i="42"/>
  <c r="J36" i="42"/>
  <c r="J12" i="42"/>
  <c r="J24" i="42"/>
  <c r="J20" i="42"/>
  <c r="J15" i="42"/>
  <c r="J9" i="42"/>
  <c r="J32" i="42"/>
  <c r="J19" i="42"/>
  <c r="E10" i="18"/>
  <c r="E11" i="18" s="1"/>
  <c r="E12" i="18" s="1"/>
  <c r="E13" i="18" s="1"/>
  <c r="E14" i="18" s="1"/>
  <c r="E15" i="18" s="1"/>
  <c r="E16" i="18" s="1"/>
  <c r="E17" i="18" s="1"/>
  <c r="E18" i="18" s="1"/>
  <c r="E19" i="18" s="1"/>
  <c r="E20" i="18" s="1"/>
  <c r="E21" i="18" s="1"/>
  <c r="E22" i="18" s="1"/>
  <c r="E23" i="18" s="1"/>
  <c r="E24" i="18" s="1"/>
  <c r="E25" i="18" s="1"/>
  <c r="E26" i="18" s="1"/>
  <c r="E27" i="18" s="1"/>
  <c r="E28" i="18" s="1"/>
  <c r="E29" i="18" s="1"/>
  <c r="E30" i="18" s="1"/>
  <c r="E31" i="18" s="1"/>
  <c r="E32" i="18" s="1"/>
  <c r="E33" i="18" s="1"/>
  <c r="E34" i="18" s="1"/>
  <c r="E35" i="18" s="1"/>
  <c r="E36" i="18" s="1"/>
  <c r="E37" i="18" s="1"/>
  <c r="E38" i="18" s="1"/>
  <c r="E39" i="18" s="1"/>
  <c r="E40" i="18" s="1"/>
  <c r="E41" i="18" s="1"/>
  <c r="E42" i="18" s="1"/>
  <c r="G9" i="18"/>
  <c r="G10" i="18" s="1"/>
  <c r="G11" i="18" s="1"/>
  <c r="G12" i="18" s="1"/>
  <c r="G13" i="18" s="1"/>
  <c r="G14" i="18" s="1"/>
  <c r="G15" i="18" s="1"/>
  <c r="G16" i="18" s="1"/>
  <c r="G17" i="18" s="1"/>
  <c r="G18" i="18" s="1"/>
  <c r="G19" i="18" s="1"/>
  <c r="G20" i="18" s="1"/>
  <c r="G21" i="18" s="1"/>
  <c r="G22" i="18" s="1"/>
  <c r="G23" i="18" s="1"/>
  <c r="G24" i="18" s="1"/>
  <c r="G25" i="18" s="1"/>
  <c r="G26" i="18" s="1"/>
  <c r="G27" i="18" s="1"/>
  <c r="G28" i="18" s="1"/>
  <c r="G29" i="18" s="1"/>
  <c r="G30" i="18" s="1"/>
  <c r="G31" i="18" s="1"/>
  <c r="G32" i="18" s="1"/>
  <c r="G33" i="18" s="1"/>
  <c r="G34" i="18" s="1"/>
  <c r="G35" i="18" s="1"/>
  <c r="G36" i="18" s="1"/>
  <c r="G37" i="18" s="1"/>
  <c r="G38" i="18" s="1"/>
  <c r="G39" i="18" s="1"/>
  <c r="G40" i="18" s="1"/>
  <c r="G41" i="18" s="1"/>
  <c r="G42" i="18" s="1"/>
  <c r="F9" i="11"/>
  <c r="F11" i="59"/>
  <c r="N11" i="59" s="1"/>
  <c r="H10" i="59"/>
  <c r="G9" i="13"/>
  <c r="K10" i="30"/>
  <c r="I10" i="30"/>
  <c r="H14" i="35"/>
  <c r="G14" i="35" s="1" a="1"/>
  <c r="G14" i="35" s="1"/>
  <c r="H22" i="35"/>
  <c r="G22" i="35" s="1" a="1"/>
  <c r="G22" i="35" s="1"/>
  <c r="H30" i="35"/>
  <c r="G30" i="35" s="1" a="1"/>
  <c r="G30" i="35" s="1"/>
  <c r="H38" i="35"/>
  <c r="G38" i="35" s="1" a="1"/>
  <c r="G38" i="35" s="1"/>
  <c r="H8" i="35"/>
  <c r="G8" i="35" s="1" a="1"/>
  <c r="G8" i="35" s="1"/>
  <c r="H20" i="35"/>
  <c r="G20" i="35" s="1" a="1"/>
  <c r="G20" i="35" s="1"/>
  <c r="H36" i="35"/>
  <c r="G36" i="35" s="1" a="1"/>
  <c r="G36" i="35" s="1"/>
  <c r="H37" i="35"/>
  <c r="G37" i="35" s="1" a="1"/>
  <c r="G37" i="35" s="1"/>
  <c r="H15" i="35"/>
  <c r="G15" i="35" s="1" a="1"/>
  <c r="G15" i="35" s="1"/>
  <c r="H23" i="35"/>
  <c r="G23" i="35" s="1" a="1"/>
  <c r="G23" i="35" s="1"/>
  <c r="H31" i="35"/>
  <c r="G31" i="35" s="1" a="1"/>
  <c r="G31" i="35" s="1"/>
  <c r="H39" i="35"/>
  <c r="G39" i="35" s="1" a="1"/>
  <c r="G39" i="35" s="1"/>
  <c r="H16" i="35"/>
  <c r="G16" i="35" s="1" a="1"/>
  <c r="G16" i="35" s="1"/>
  <c r="H24" i="35"/>
  <c r="G24" i="35" s="1" a="1"/>
  <c r="G24" i="35" s="1"/>
  <c r="H32" i="35"/>
  <c r="G32" i="35" s="1" a="1"/>
  <c r="G32" i="35" s="1"/>
  <c r="H40" i="35"/>
  <c r="G40" i="35" s="1" a="1"/>
  <c r="G40" i="35" s="1"/>
  <c r="H9" i="35"/>
  <c r="G9" i="35" s="1" a="1"/>
  <c r="G9" i="35" s="1"/>
  <c r="H17" i="35"/>
  <c r="G17" i="35" s="1" a="1"/>
  <c r="G17" i="35" s="1"/>
  <c r="H25" i="35"/>
  <c r="G25" i="35" s="1" a="1"/>
  <c r="G25" i="35" s="1"/>
  <c r="H33" i="35"/>
  <c r="G33" i="35" s="1" a="1"/>
  <c r="G33" i="35" s="1"/>
  <c r="H41" i="35"/>
  <c r="G41" i="35" s="1" a="1"/>
  <c r="G41" i="35" s="1"/>
  <c r="H10" i="35"/>
  <c r="G10" i="35" s="1" a="1"/>
  <c r="G10" i="35" s="1"/>
  <c r="H18" i="35"/>
  <c r="G18" i="35" s="1" a="1"/>
  <c r="G18" i="35" s="1"/>
  <c r="H26" i="35"/>
  <c r="G26" i="35" s="1" a="1"/>
  <c r="G26" i="35" s="1"/>
  <c r="H34" i="35"/>
  <c r="G34" i="35" s="1" a="1"/>
  <c r="G34" i="35" s="1"/>
  <c r="H42" i="35"/>
  <c r="G42" i="35" s="1" a="1"/>
  <c r="G42" i="35" s="1"/>
  <c r="H11" i="35"/>
  <c r="G11" i="35" s="1" a="1"/>
  <c r="G11" i="35" s="1"/>
  <c r="H19" i="35"/>
  <c r="G19" i="35" s="1" a="1"/>
  <c r="G19" i="35" s="1"/>
  <c r="H27" i="35"/>
  <c r="G27" i="35" s="1" a="1"/>
  <c r="G27" i="35" s="1"/>
  <c r="H35" i="35"/>
  <c r="G35" i="35" s="1" a="1"/>
  <c r="G35" i="35" s="1"/>
  <c r="H12" i="35"/>
  <c r="G12" i="35" s="1" a="1"/>
  <c r="G12" i="35" s="1"/>
  <c r="H28" i="35"/>
  <c r="G28" i="35" s="1" a="1"/>
  <c r="G28" i="35" s="1"/>
  <c r="H13" i="35"/>
  <c r="G13" i="35" s="1" a="1"/>
  <c r="G13" i="35" s="1"/>
  <c r="H29" i="35"/>
  <c r="G29" i="35" s="1" a="1"/>
  <c r="G29" i="35" s="1"/>
  <c r="H21" i="35"/>
  <c r="G21" i="35" s="1" a="1"/>
  <c r="G21" i="35" s="1"/>
  <c r="V1" i="49"/>
  <c r="J10" i="80"/>
  <c r="H10" i="80" s="1" a="1"/>
  <c r="H10" i="80" s="1"/>
  <c r="J11" i="80"/>
  <c r="H11" i="80" s="1" a="1"/>
  <c r="H11" i="80" s="1"/>
  <c r="J12" i="80"/>
  <c r="H12" i="80" s="1" a="1"/>
  <c r="H12" i="80" s="1"/>
  <c r="J13" i="80"/>
  <c r="H13" i="80" s="1" a="1"/>
  <c r="H13" i="80" s="1"/>
  <c r="J14" i="80"/>
  <c r="H14" i="80" s="1" a="1"/>
  <c r="H14" i="80" s="1"/>
  <c r="J15" i="80"/>
  <c r="H15" i="80" s="1" a="1"/>
  <c r="H15" i="80" s="1"/>
  <c r="J16" i="80"/>
  <c r="H16" i="80" s="1" a="1"/>
  <c r="H16" i="80" s="1"/>
  <c r="J17" i="80"/>
  <c r="H17" i="80" s="1" a="1"/>
  <c r="H17" i="80" s="1"/>
  <c r="J18" i="80"/>
  <c r="J19" i="80"/>
  <c r="J20" i="80"/>
  <c r="J21" i="80"/>
  <c r="D12" i="37"/>
  <c r="F11" i="37"/>
  <c r="H9" i="37"/>
  <c r="G9" i="37" s="1" a="1"/>
  <c r="G9" i="37" s="1"/>
  <c r="M10" i="59"/>
  <c r="K19" i="18"/>
  <c r="L10" i="53"/>
  <c r="I10" i="53" s="1" a="1"/>
  <c r="I10" i="53" s="1"/>
  <c r="M9" i="59"/>
  <c r="J9" i="59" s="1" a="1"/>
  <c r="J9" i="59" s="1"/>
  <c r="L10" i="59"/>
  <c r="J27" i="18"/>
  <c r="K16" i="18"/>
  <c r="J11" i="18"/>
  <c r="K8" i="18"/>
  <c r="H8" i="18" s="1" a="1"/>
  <c r="H8" i="18" s="1"/>
  <c r="N9" i="53"/>
  <c r="K9" i="53" s="1" a="1"/>
  <c r="K9" i="53" s="1"/>
  <c r="H12" i="37"/>
  <c r="H8" i="37"/>
  <c r="G8" i="37" s="1" a="1"/>
  <c r="G8" i="37" s="1"/>
  <c r="J32" i="18"/>
  <c r="K29" i="18"/>
  <c r="J24" i="18"/>
  <c r="J16" i="18"/>
  <c r="K13" i="18"/>
  <c r="J8" i="18"/>
  <c r="I8" i="18" s="1" a="1"/>
  <c r="I8" i="18" s="1"/>
  <c r="H11" i="37"/>
  <c r="L9" i="59"/>
  <c r="I9" i="59" s="1"/>
  <c r="J42" i="18"/>
  <c r="K39" i="18"/>
  <c r="K31" i="18"/>
  <c r="J26" i="18"/>
  <c r="K23" i="18"/>
  <c r="J18" i="18"/>
  <c r="K15" i="18"/>
  <c r="J10" i="18"/>
  <c r="L9" i="53"/>
  <c r="I9" i="53" s="1" a="1"/>
  <c r="I9" i="53" s="1"/>
  <c r="H9" i="11"/>
  <c r="K42" i="18"/>
  <c r="J37" i="18"/>
  <c r="K26" i="18"/>
  <c r="J21" i="18"/>
  <c r="K10" i="18"/>
  <c r="K30" i="18"/>
  <c r="J23" i="18"/>
  <c r="J8" i="13"/>
  <c r="I8" i="13" s="1" a="1"/>
  <c r="I8" i="13" s="1"/>
  <c r="J33" i="18"/>
  <c r="K36" i="18"/>
  <c r="J31" i="18"/>
  <c r="K20" i="18"/>
  <c r="J15" i="18"/>
  <c r="M9" i="53"/>
  <c r="J9" i="53" s="1" a="1"/>
  <c r="J9" i="53" s="1"/>
  <c r="K9" i="18"/>
  <c r="J41" i="18"/>
  <c r="K14" i="18"/>
  <c r="J39" i="18"/>
  <c r="K17" i="18"/>
  <c r="N10" i="53"/>
  <c r="K10" i="53" s="1" a="1"/>
  <c r="K10" i="53" s="1"/>
  <c r="K22" i="18"/>
  <c r="K41" i="18"/>
  <c r="J36" i="18"/>
  <c r="K25" i="18"/>
  <c r="J20" i="18"/>
  <c r="J25" i="18"/>
  <c r="J9" i="18"/>
  <c r="K28" i="18"/>
  <c r="J12" i="18"/>
  <c r="K38" i="18"/>
  <c r="J17" i="18"/>
  <c r="K34" i="18"/>
  <c r="J29" i="18"/>
  <c r="K18" i="18"/>
  <c r="J13" i="18"/>
  <c r="H8" i="11"/>
  <c r="G8" i="11" s="1" a="1"/>
  <c r="G8" i="11" s="1"/>
  <c r="K12" i="18"/>
  <c r="H10" i="37"/>
  <c r="G10" i="37" s="1" a="1"/>
  <c r="G10" i="37" s="1"/>
  <c r="J28" i="18"/>
  <c r="M10" i="53"/>
  <c r="J10" i="53" s="1" a="1"/>
  <c r="J10" i="53" s="1"/>
  <c r="S37" i="2"/>
  <c r="J4" i="8"/>
  <c r="D10" i="11"/>
  <c r="L11" i="53" s="1"/>
  <c r="E10" i="13"/>
  <c r="G11" i="30"/>
  <c r="K11" i="30" s="1"/>
  <c r="E43" i="18"/>
  <c r="K43" i="18" s="1"/>
  <c r="K10" i="59" l="1" a="1"/>
  <c r="K10" i="59" s="1"/>
  <c r="I19" i="80" a="1"/>
  <c r="I19" i="80" s="1"/>
  <c r="I18" i="80" a="1"/>
  <c r="I18" i="80" s="1"/>
  <c r="H19" i="80" a="1"/>
  <c r="H19" i="80" s="1"/>
  <c r="H18" i="80" a="1"/>
  <c r="H18" i="80" s="1"/>
  <c r="K32" i="18"/>
  <c r="H32" i="18" s="1" a="1"/>
  <c r="H32" i="18" s="1"/>
  <c r="J22" i="18"/>
  <c r="I22" i="18" s="1" a="1"/>
  <c r="I22" i="18" s="1"/>
  <c r="K33" i="18"/>
  <c r="H33" i="18" s="1" a="1"/>
  <c r="H33" i="18" s="1"/>
  <c r="J34" i="18"/>
  <c r="I34" i="18" s="1" a="1"/>
  <c r="I34" i="18" s="1"/>
  <c r="K21" i="18"/>
  <c r="H21" i="18" s="1" a="1"/>
  <c r="H21" i="18" s="1"/>
  <c r="J35" i="18"/>
  <c r="I35" i="18" s="1" a="1"/>
  <c r="I35" i="18" s="1"/>
  <c r="K37" i="18"/>
  <c r="J19" i="18"/>
  <c r="I19" i="18" s="1" a="1"/>
  <c r="I19" i="18" s="1"/>
  <c r="K11" i="18"/>
  <c r="H11" i="18" s="1" a="1"/>
  <c r="H11" i="18" s="1"/>
  <c r="J40" i="18"/>
  <c r="I40" i="18" s="1" a="1"/>
  <c r="I40" i="18" s="1"/>
  <c r="K24" i="18"/>
  <c r="H24" i="18" s="1" a="1"/>
  <c r="H24" i="18" s="1"/>
  <c r="J14" i="18"/>
  <c r="I14" i="18" s="1" a="1"/>
  <c r="I14" i="18" s="1"/>
  <c r="F45" i="42"/>
  <c r="L11" i="59"/>
  <c r="M11" i="59"/>
  <c r="J30" i="18"/>
  <c r="I30" i="18" s="1" a="1"/>
  <c r="I30" i="18" s="1"/>
  <c r="K35" i="18"/>
  <c r="H35" i="18" s="1" a="1"/>
  <c r="H35" i="18" s="1"/>
  <c r="J38" i="18"/>
  <c r="I38" i="18" s="1" a="1"/>
  <c r="I38" i="18" s="1"/>
  <c r="K40" i="18"/>
  <c r="H40" i="18" s="1" a="1"/>
  <c r="H40" i="18" s="1"/>
  <c r="K27" i="18"/>
  <c r="H27" i="18" s="1" a="1"/>
  <c r="H27" i="18" s="1"/>
  <c r="V2" i="49"/>
  <c r="C8" i="49" s="1"/>
  <c r="O12" i="49" s="1"/>
  <c r="G8" i="49"/>
  <c r="H10" i="18" a="1"/>
  <c r="H10" i="18" s="1"/>
  <c r="I25" i="18" a="1"/>
  <c r="I25" i="18" s="1"/>
  <c r="I18" i="18" a="1"/>
  <c r="I18" i="18" s="1"/>
  <c r="I20" i="18" a="1"/>
  <c r="I20" i="18" s="1"/>
  <c r="H36" i="18" a="1"/>
  <c r="H36" i="18" s="1"/>
  <c r="H23" i="18" a="1"/>
  <c r="H23" i="18" s="1"/>
  <c r="H17" i="18" a="1"/>
  <c r="H17" i="18" s="1"/>
  <c r="H34" i="18" a="1"/>
  <c r="H34" i="18" s="1"/>
  <c r="I16" i="18" a="1"/>
  <c r="I16" i="18" s="1"/>
  <c r="I21" i="18" a="1"/>
  <c r="I21" i="18" s="1"/>
  <c r="H14" i="18" a="1"/>
  <c r="H14" i="18" s="1"/>
  <c r="H42" i="18" a="1"/>
  <c r="H42" i="18" s="1"/>
  <c r="H31" i="18" a="1"/>
  <c r="H31" i="18" s="1"/>
  <c r="H12" i="18" a="1"/>
  <c r="H12" i="18" s="1"/>
  <c r="H18" i="18" a="1"/>
  <c r="H18" i="18" s="1"/>
  <c r="I31" i="18" a="1"/>
  <c r="I31" i="18" s="1"/>
  <c r="I12" i="18" a="1"/>
  <c r="I12" i="18" s="1"/>
  <c r="H39" i="18" a="1"/>
  <c r="H39" i="18" s="1"/>
  <c r="I13" i="18" a="1"/>
  <c r="I13" i="18" s="1"/>
  <c r="H28" i="18" a="1"/>
  <c r="H28" i="18" s="1"/>
  <c r="I15" i="18" a="1"/>
  <c r="I15" i="18" s="1"/>
  <c r="I10" i="18" a="1"/>
  <c r="I10" i="18" s="1"/>
  <c r="I42" i="18" a="1"/>
  <c r="I42" i="18" s="1"/>
  <c r="H29" i="18" a="1"/>
  <c r="H29" i="18" s="1"/>
  <c r="I11" i="18" a="1"/>
  <c r="I11" i="18" s="1"/>
  <c r="H9" i="13" a="1"/>
  <c r="H9" i="13" s="1"/>
  <c r="I9" i="13" a="1"/>
  <c r="I9" i="13" s="1"/>
  <c r="J10" i="13"/>
  <c r="K10" i="13"/>
  <c r="G9" i="11" a="1"/>
  <c r="G9" i="11" s="1"/>
  <c r="G11" i="37" a="1"/>
  <c r="G11" i="37" s="1"/>
  <c r="S38" i="2"/>
  <c r="J10" i="30" a="1"/>
  <c r="J10" i="30" s="1"/>
  <c r="H37" i="18" a="1"/>
  <c r="H37" i="18" s="1"/>
  <c r="I28" i="18" a="1"/>
  <c r="I28" i="18" s="1"/>
  <c r="H25" i="18" a="1"/>
  <c r="H25" i="18" s="1"/>
  <c r="I41" i="18" a="1"/>
  <c r="I41" i="18" s="1"/>
  <c r="I33" i="18" a="1"/>
  <c r="I33" i="18" s="1"/>
  <c r="I37" i="18" a="1"/>
  <c r="I37" i="18" s="1"/>
  <c r="I26" i="18" a="1"/>
  <c r="I26" i="18" s="1"/>
  <c r="H19" i="18" a="1"/>
  <c r="H19" i="18" s="1"/>
  <c r="H38" i="18" a="1"/>
  <c r="H38" i="18" s="1"/>
  <c r="H41" i="18" a="1"/>
  <c r="H41" i="18" s="1"/>
  <c r="N11" i="53"/>
  <c r="K11" i="53" s="1" a="1"/>
  <c r="K11" i="53" s="1"/>
  <c r="J43" i="18"/>
  <c r="I11" i="30"/>
  <c r="J11" i="30" s="1" a="1"/>
  <c r="J11" i="30" s="1"/>
  <c r="G10" i="13"/>
  <c r="H10" i="11"/>
  <c r="M11" i="53"/>
  <c r="J11" i="53" s="1" a="1"/>
  <c r="J11" i="53" s="1"/>
  <c r="F12" i="59"/>
  <c r="H11" i="59"/>
  <c r="K11" i="59" s="1" a="1"/>
  <c r="K11" i="59" s="1"/>
  <c r="F10" i="11"/>
  <c r="F11" i="11" s="1"/>
  <c r="G43" i="18"/>
  <c r="H43" i="18" s="1" a="1"/>
  <c r="H43" i="18" s="1"/>
  <c r="W1" i="49"/>
  <c r="D13" i="37"/>
  <c r="F12" i="37"/>
  <c r="G12" i="37" s="1" a="1"/>
  <c r="G12" i="37" s="1"/>
  <c r="H26" i="18" a="1"/>
  <c r="H26" i="18" s="1"/>
  <c r="H20" i="18" a="1"/>
  <c r="H20" i="18" s="1"/>
  <c r="H13" i="18" a="1"/>
  <c r="H13" i="18" s="1"/>
  <c r="H15" i="18" a="1"/>
  <c r="H15" i="18" s="1"/>
  <c r="I9" i="18" a="1"/>
  <c r="I9" i="18" s="1"/>
  <c r="I23" i="18" a="1"/>
  <c r="I23" i="18" s="1"/>
  <c r="I17" i="18" a="1"/>
  <c r="I17" i="18" s="1"/>
  <c r="I11" i="53" a="1"/>
  <c r="I11" i="53" s="1"/>
  <c r="D11" i="11"/>
  <c r="I39" i="18" a="1"/>
  <c r="I39" i="18" s="1"/>
  <c r="G12" i="30"/>
  <c r="K12" i="30" s="1"/>
  <c r="E11" i="13"/>
  <c r="K11" i="13" s="1"/>
  <c r="H22" i="18" a="1"/>
  <c r="H22" i="18" s="1"/>
  <c r="I24" i="18" a="1"/>
  <c r="I24" i="18" s="1"/>
  <c r="H9" i="18" a="1"/>
  <c r="H9" i="18" s="1"/>
  <c r="I36" i="18" a="1"/>
  <c r="I36" i="18" s="1"/>
  <c r="I27" i="18" a="1"/>
  <c r="I27" i="18" s="1"/>
  <c r="I29" i="18" a="1"/>
  <c r="I29" i="18" s="1"/>
  <c r="H16" i="18" a="1"/>
  <c r="H16" i="18" s="1"/>
  <c r="H30" i="18" a="1"/>
  <c r="H30" i="18" s="1"/>
  <c r="I32" i="18" a="1"/>
  <c r="I32" i="18" s="1"/>
  <c r="I10" i="59" a="1"/>
  <c r="I10" i="59" s="1"/>
  <c r="J10" i="59" a="1"/>
  <c r="J10" i="59" s="1"/>
  <c r="E44" i="18"/>
  <c r="J11" i="59" l="1" a="1"/>
  <c r="J11" i="59" s="1"/>
  <c r="N12" i="59"/>
  <c r="L12" i="59"/>
  <c r="I11" i="59" a="1"/>
  <c r="I11" i="59" s="1"/>
  <c r="I44" i="49"/>
  <c r="G76" i="49"/>
  <c r="AM2" i="49"/>
  <c r="I84" i="49"/>
  <c r="G55" i="49"/>
  <c r="I58" i="49"/>
  <c r="G57" i="49"/>
  <c r="I80" i="49"/>
  <c r="I57" i="49"/>
  <c r="G56" i="49"/>
  <c r="G80" i="49"/>
  <c r="I56" i="49"/>
  <c r="I55" i="49"/>
  <c r="Q22" i="49" s="1"/>
  <c r="I76" i="49"/>
  <c r="G46" i="49"/>
  <c r="I46" i="49"/>
  <c r="G45" i="49"/>
  <c r="I45" i="49"/>
  <c r="I60" i="49"/>
  <c r="G44" i="49"/>
  <c r="G34" i="49"/>
  <c r="G27" i="49"/>
  <c r="G60" i="49"/>
  <c r="I32" i="49"/>
  <c r="G42" i="49"/>
  <c r="G26" i="49"/>
  <c r="G25" i="49"/>
  <c r="I52" i="49"/>
  <c r="G41" i="49"/>
  <c r="G32" i="49"/>
  <c r="G52" i="49"/>
  <c r="I43" i="49"/>
  <c r="I38" i="49"/>
  <c r="G24" i="49"/>
  <c r="G19" i="49"/>
  <c r="I42" i="49"/>
  <c r="G38" i="49"/>
  <c r="I27" i="49"/>
  <c r="I19" i="49"/>
  <c r="I34" i="49"/>
  <c r="I41" i="49"/>
  <c r="I26" i="49"/>
  <c r="I24" i="49"/>
  <c r="I25" i="49"/>
  <c r="G43" i="49"/>
  <c r="AJ1" i="49"/>
  <c r="Q12" i="49"/>
  <c r="AM1" i="49" s="1"/>
  <c r="I10" i="13" a="1"/>
  <c r="I10" i="13" s="1"/>
  <c r="G10" i="11" a="1"/>
  <c r="G10" i="11" s="1"/>
  <c r="S39" i="2"/>
  <c r="I43" i="18" a="1"/>
  <c r="I43" i="18" s="1"/>
  <c r="H10" i="13" a="1"/>
  <c r="H10" i="13" s="1"/>
  <c r="J44" i="18"/>
  <c r="K44" i="18"/>
  <c r="F13" i="59"/>
  <c r="H12" i="59"/>
  <c r="M12" i="59"/>
  <c r="J11" i="13"/>
  <c r="H11" i="11"/>
  <c r="G11" i="11" s="1" a="1"/>
  <c r="G11" i="11" s="1"/>
  <c r="M12" i="53"/>
  <c r="J12" i="53" s="1" a="1"/>
  <c r="J12" i="53" s="1"/>
  <c r="L12" i="53"/>
  <c r="I12" i="53" s="1" a="1"/>
  <c r="I12" i="53" s="1"/>
  <c r="N12" i="53"/>
  <c r="K12" i="53" s="1" a="1"/>
  <c r="K12" i="53" s="1"/>
  <c r="G11" i="13"/>
  <c r="G44" i="18"/>
  <c r="G45" i="18" s="1"/>
  <c r="I12" i="30"/>
  <c r="J12" i="30" s="1" a="1"/>
  <c r="J12" i="30" s="1"/>
  <c r="W2" i="49"/>
  <c r="D14" i="37"/>
  <c r="F13" i="37"/>
  <c r="H13" i="37"/>
  <c r="D12" i="11"/>
  <c r="E12" i="13"/>
  <c r="K12" i="13" s="1"/>
  <c r="G13" i="30"/>
  <c r="K13" i="30" s="1"/>
  <c r="E45" i="18"/>
  <c r="K12" i="59" l="1" a="1"/>
  <c r="K12" i="59" s="1"/>
  <c r="N13" i="59"/>
  <c r="L13" i="59"/>
  <c r="I12" i="59" a="1"/>
  <c r="I12" i="59" s="1"/>
  <c r="J12" i="59" a="1"/>
  <c r="J12" i="59" s="1"/>
  <c r="E84" i="49"/>
  <c r="E57" i="49"/>
  <c r="E56" i="49"/>
  <c r="E55" i="49"/>
  <c r="E76" i="49"/>
  <c r="C57" i="49"/>
  <c r="C55" i="49"/>
  <c r="E80" i="49"/>
  <c r="C56" i="49"/>
  <c r="E58" i="49"/>
  <c r="C80" i="49"/>
  <c r="C46" i="49"/>
  <c r="E46" i="49"/>
  <c r="I11" i="13" a="1"/>
  <c r="I11" i="13" s="1"/>
  <c r="I28" i="49"/>
  <c r="AJ2" i="49"/>
  <c r="E60" i="49"/>
  <c r="C60" i="49"/>
  <c r="E52" i="49"/>
  <c r="C52" i="49"/>
  <c r="C44" i="49"/>
  <c r="E45" i="49"/>
  <c r="E44" i="49"/>
  <c r="C45" i="49"/>
  <c r="E43" i="49"/>
  <c r="C27" i="49"/>
  <c r="E19" i="49"/>
  <c r="C38" i="49"/>
  <c r="C43" i="49"/>
  <c r="E26" i="49"/>
  <c r="C19" i="49"/>
  <c r="E42" i="49"/>
  <c r="E34" i="49"/>
  <c r="C26" i="49"/>
  <c r="C42" i="49"/>
  <c r="C34" i="49"/>
  <c r="E25" i="49"/>
  <c r="E41" i="49"/>
  <c r="E32" i="49"/>
  <c r="C25" i="49"/>
  <c r="C41" i="49"/>
  <c r="C32" i="49"/>
  <c r="E24" i="49"/>
  <c r="E38" i="49"/>
  <c r="E27" i="49"/>
  <c r="C24" i="49"/>
  <c r="S40" i="2"/>
  <c r="H44" i="18" a="1"/>
  <c r="H44" i="18" s="1"/>
  <c r="I44" i="18" a="1"/>
  <c r="I44" i="18" s="1"/>
  <c r="H11" i="13" a="1"/>
  <c r="H11" i="13" s="1"/>
  <c r="N13" i="53"/>
  <c r="K13" i="53" s="1" a="1"/>
  <c r="K13" i="53" s="1"/>
  <c r="L13" i="53"/>
  <c r="I13" i="53" s="1" a="1"/>
  <c r="I13" i="53" s="1"/>
  <c r="M13" i="53"/>
  <c r="J13" i="53" s="1" a="1"/>
  <c r="J13" i="53" s="1"/>
  <c r="H12" i="11"/>
  <c r="I13" i="30"/>
  <c r="J13" i="30" s="1" a="1"/>
  <c r="J13" i="30" s="1"/>
  <c r="J12" i="13"/>
  <c r="F12" i="11"/>
  <c r="K45" i="18"/>
  <c r="J45" i="18"/>
  <c r="G12" i="13"/>
  <c r="H12" i="13" s="1" a="1"/>
  <c r="H12" i="13" s="1"/>
  <c r="F14" i="59"/>
  <c r="H13" i="59"/>
  <c r="M13" i="59"/>
  <c r="G13" i="37" a="1"/>
  <c r="G13" i="37" s="1"/>
  <c r="D15" i="37"/>
  <c r="F14" i="37"/>
  <c r="H14" i="37"/>
  <c r="D13" i="11"/>
  <c r="G14" i="30"/>
  <c r="K14" i="30" s="1"/>
  <c r="E13" i="13"/>
  <c r="K13" i="13" s="1"/>
  <c r="E46" i="18"/>
  <c r="G46" i="18" s="1"/>
  <c r="J13" i="59" l="1" a="1"/>
  <c r="J13" i="59" s="1"/>
  <c r="K13" i="59" a="1"/>
  <c r="K13" i="59" s="1"/>
  <c r="L14" i="59"/>
  <c r="N14" i="59"/>
  <c r="I13" i="59" a="1"/>
  <c r="I13" i="59" s="1"/>
  <c r="O22" i="49"/>
  <c r="E28" i="49"/>
  <c r="I12" i="13" a="1"/>
  <c r="I12" i="13" s="1"/>
  <c r="F13" i="11"/>
  <c r="S41" i="2"/>
  <c r="G12" i="11" a="1"/>
  <c r="G12" i="11" s="1"/>
  <c r="H13" i="11"/>
  <c r="L14" i="53"/>
  <c r="I14" i="53" s="1" a="1"/>
  <c r="I14" i="53" s="1"/>
  <c r="M14" i="53"/>
  <c r="J14" i="53" s="1" a="1"/>
  <c r="J14" i="53" s="1"/>
  <c r="N14" i="53"/>
  <c r="K14" i="53" s="1" a="1"/>
  <c r="K14" i="53" s="1"/>
  <c r="K46" i="18"/>
  <c r="H46" i="18" s="1" a="1"/>
  <c r="H46" i="18" s="1"/>
  <c r="J46" i="18"/>
  <c r="I46" i="18" s="1" a="1"/>
  <c r="I46" i="18" s="1"/>
  <c r="F15" i="59"/>
  <c r="H14" i="59"/>
  <c r="M14" i="59"/>
  <c r="I14" i="30"/>
  <c r="J14" i="30" s="1" a="1"/>
  <c r="J14" i="30" s="1"/>
  <c r="G13" i="13"/>
  <c r="G14" i="13" s="1"/>
  <c r="J13" i="13"/>
  <c r="G14" i="37" a="1"/>
  <c r="G14" i="37" s="1"/>
  <c r="D16" i="37"/>
  <c r="F15" i="37"/>
  <c r="H15" i="37"/>
  <c r="H45" i="18" a="1"/>
  <c r="H45" i="18" s="1"/>
  <c r="I45" i="18" a="1"/>
  <c r="I45" i="18" s="1"/>
  <c r="E14" i="13"/>
  <c r="K14" i="13" s="1"/>
  <c r="D14" i="11"/>
  <c r="G15" i="30"/>
  <c r="K15" i="30" s="1"/>
  <c r="E47" i="18"/>
  <c r="G47" i="18" s="1"/>
  <c r="K14" i="59" l="1" a="1"/>
  <c r="K14" i="59" s="1"/>
  <c r="J14" i="59" a="1"/>
  <c r="J14" i="59" s="1"/>
  <c r="N15" i="59"/>
  <c r="L15" i="59"/>
  <c r="I14" i="59" a="1"/>
  <c r="I14" i="59" s="1"/>
  <c r="G13" i="11" a="1"/>
  <c r="G13" i="11" s="1"/>
  <c r="S42" i="2"/>
  <c r="H13" i="13" a="1"/>
  <c r="H13" i="13" s="1"/>
  <c r="I13" i="13" a="1"/>
  <c r="I13" i="13" s="1"/>
  <c r="H14" i="11"/>
  <c r="M15" i="53"/>
  <c r="J15" i="53" s="1" a="1"/>
  <c r="J15" i="53" s="1"/>
  <c r="N15" i="53"/>
  <c r="K15" i="53" s="1" a="1"/>
  <c r="K15" i="53" s="1"/>
  <c r="L15" i="53"/>
  <c r="I15" i="53" s="1" a="1"/>
  <c r="I15" i="53" s="1"/>
  <c r="K47" i="18"/>
  <c r="J47" i="18"/>
  <c r="J14" i="13"/>
  <c r="I14" i="13" s="1" a="1"/>
  <c r="I14" i="13" s="1"/>
  <c r="H14" i="13" a="1"/>
  <c r="H14" i="13" s="1"/>
  <c r="F14" i="11"/>
  <c r="F16" i="59"/>
  <c r="H15" i="59"/>
  <c r="M15" i="59"/>
  <c r="I15" i="30"/>
  <c r="J15" i="30" s="1" a="1"/>
  <c r="J15" i="30" s="1"/>
  <c r="G15" i="37" a="1"/>
  <c r="G15" i="37" s="1"/>
  <c r="D17" i="37"/>
  <c r="F16" i="37"/>
  <c r="H16" i="37"/>
  <c r="D15" i="11"/>
  <c r="E15" i="13"/>
  <c r="K15" i="13" s="1"/>
  <c r="G16" i="30"/>
  <c r="K16" i="30" s="1"/>
  <c r="E48" i="18"/>
  <c r="G48" i="18" s="1"/>
  <c r="K15" i="59" l="1" a="1"/>
  <c r="K15" i="59" s="1"/>
  <c r="N16" i="59"/>
  <c r="L16" i="59"/>
  <c r="J15" i="59" a="1"/>
  <c r="J15" i="59" s="1"/>
  <c r="I15" i="59" a="1"/>
  <c r="I15" i="59" s="1"/>
  <c r="F15" i="11"/>
  <c r="S43" i="2"/>
  <c r="G14" i="11" a="1"/>
  <c r="G14" i="11" s="1"/>
  <c r="J15" i="13"/>
  <c r="I16" i="30"/>
  <c r="J16" i="30" s="1" a="1"/>
  <c r="J16" i="30" s="1"/>
  <c r="F17" i="59"/>
  <c r="H16" i="59"/>
  <c r="M16" i="59"/>
  <c r="J48" i="18"/>
  <c r="I48" i="18" s="1" a="1"/>
  <c r="I48" i="18" s="1"/>
  <c r="K48" i="18"/>
  <c r="H48" i="18" s="1" a="1"/>
  <c r="H48" i="18" s="1"/>
  <c r="H15" i="11"/>
  <c r="N16" i="53"/>
  <c r="K16" i="53" s="1" a="1"/>
  <c r="K16" i="53" s="1"/>
  <c r="L16" i="53"/>
  <c r="I16" i="53" s="1" a="1"/>
  <c r="I16" i="53" s="1"/>
  <c r="M16" i="53"/>
  <c r="J16" i="53" s="1" a="1"/>
  <c r="J16" i="53" s="1"/>
  <c r="G15" i="13"/>
  <c r="G16" i="37" a="1"/>
  <c r="G16" i="37" s="1"/>
  <c r="D18" i="37"/>
  <c r="F17" i="37"/>
  <c r="H17" i="37"/>
  <c r="I47" i="18" a="1"/>
  <c r="I47" i="18" s="1"/>
  <c r="H47" i="18" a="1"/>
  <c r="H47" i="18" s="1"/>
  <c r="G17" i="30"/>
  <c r="K17" i="30" s="1"/>
  <c r="E16" i="13"/>
  <c r="K16" i="13" s="1"/>
  <c r="D16" i="11"/>
  <c r="E49" i="18"/>
  <c r="K16" i="59" l="1" a="1"/>
  <c r="K16" i="59" s="1"/>
  <c r="N17" i="59"/>
  <c r="L17" i="59"/>
  <c r="J16" i="59" a="1"/>
  <c r="J16" i="59" s="1"/>
  <c r="I16" i="59" a="1"/>
  <c r="I16" i="59" s="1"/>
  <c r="G15" i="11" a="1"/>
  <c r="G15" i="11" s="1"/>
  <c r="S44" i="2"/>
  <c r="I15" i="13" a="1"/>
  <c r="I15" i="13" s="1"/>
  <c r="H15" i="13" a="1"/>
  <c r="H15" i="13" s="1"/>
  <c r="J16" i="13"/>
  <c r="G16" i="13"/>
  <c r="F18" i="59"/>
  <c r="H17" i="59"/>
  <c r="M17" i="59"/>
  <c r="I17" i="30"/>
  <c r="J17" i="30" s="1" a="1"/>
  <c r="J17" i="30" s="1"/>
  <c r="K49" i="18"/>
  <c r="J49" i="18"/>
  <c r="H16" i="11"/>
  <c r="M17" i="53"/>
  <c r="J17" i="53" s="1" a="1"/>
  <c r="J17" i="53" s="1"/>
  <c r="L17" i="53"/>
  <c r="I17" i="53" s="1" a="1"/>
  <c r="I17" i="53" s="1"/>
  <c r="N17" i="53"/>
  <c r="K17" i="53" s="1" a="1"/>
  <c r="K17" i="53" s="1"/>
  <c r="F16" i="11"/>
  <c r="F17" i="11" s="1"/>
  <c r="G49" i="18"/>
  <c r="G17" i="37" a="1"/>
  <c r="G17" i="37" s="1"/>
  <c r="D19" i="37"/>
  <c r="F18" i="37"/>
  <c r="H18" i="37"/>
  <c r="D17" i="11"/>
  <c r="E17" i="13"/>
  <c r="K17" i="13" s="1"/>
  <c r="G18" i="30"/>
  <c r="K18" i="30" s="1"/>
  <c r="E50" i="18"/>
  <c r="K17" i="59" l="1" a="1"/>
  <c r="K17" i="59" s="1"/>
  <c r="N18" i="59"/>
  <c r="L18" i="59"/>
  <c r="I17" i="59" a="1"/>
  <c r="I17" i="59" s="1"/>
  <c r="J17" i="59" a="1"/>
  <c r="J17" i="59" s="1"/>
  <c r="S45" i="2"/>
  <c r="H49" i="18" a="1"/>
  <c r="H49" i="18" s="1"/>
  <c r="I49" i="18" a="1"/>
  <c r="I49" i="18" s="1"/>
  <c r="H16" i="13" a="1"/>
  <c r="H16" i="13" s="1"/>
  <c r="I16" i="13" a="1"/>
  <c r="I16" i="13" s="1"/>
  <c r="G16" i="11" a="1"/>
  <c r="G16" i="11" s="1"/>
  <c r="J17" i="13"/>
  <c r="G50" i="18"/>
  <c r="I18" i="30"/>
  <c r="J18" i="30" s="1" a="1"/>
  <c r="J18" i="30" s="1"/>
  <c r="K50" i="18"/>
  <c r="J50" i="18"/>
  <c r="L18" i="53"/>
  <c r="I18" i="53" s="1" a="1"/>
  <c r="I18" i="53" s="1"/>
  <c r="N18" i="53"/>
  <c r="K18" i="53" s="1" a="1"/>
  <c r="K18" i="53" s="1"/>
  <c r="M18" i="53"/>
  <c r="J18" i="53" s="1" a="1"/>
  <c r="J18" i="53" s="1"/>
  <c r="H17" i="11"/>
  <c r="G17" i="11" s="1" a="1"/>
  <c r="G17" i="11" s="1"/>
  <c r="F19" i="59"/>
  <c r="H18" i="59"/>
  <c r="M18" i="59"/>
  <c r="G17" i="13"/>
  <c r="G18" i="37" a="1"/>
  <c r="G18" i="37" s="1"/>
  <c r="D20" i="37"/>
  <c r="F19" i="37"/>
  <c r="H19" i="37"/>
  <c r="D18" i="11"/>
  <c r="G19" i="30"/>
  <c r="K19" i="30" s="1"/>
  <c r="E18" i="13"/>
  <c r="K18" i="13" s="1"/>
  <c r="E51" i="18"/>
  <c r="K18" i="59" l="1" a="1"/>
  <c r="K18" i="59" s="1"/>
  <c r="N19" i="59"/>
  <c r="L19" i="59"/>
  <c r="J18" i="59" a="1"/>
  <c r="J18" i="59" s="1"/>
  <c r="I18" i="59" a="1"/>
  <c r="I18" i="59" s="1"/>
  <c r="S46" i="2"/>
  <c r="G19" i="37" a="1"/>
  <c r="G19" i="37" s="1"/>
  <c r="I17" i="13" a="1"/>
  <c r="I17" i="13" s="1"/>
  <c r="H17" i="13" a="1"/>
  <c r="H17" i="13" s="1"/>
  <c r="G18" i="13"/>
  <c r="H18" i="13" s="1" a="1"/>
  <c r="H18" i="13" s="1"/>
  <c r="J18" i="13"/>
  <c r="K51" i="18"/>
  <c r="J51" i="18"/>
  <c r="H18" i="11"/>
  <c r="N19" i="53"/>
  <c r="K19" i="53" s="1" a="1"/>
  <c r="K19" i="53" s="1"/>
  <c r="L19" i="53"/>
  <c r="I19" i="53" s="1" a="1"/>
  <c r="I19" i="53" s="1"/>
  <c r="M19" i="53"/>
  <c r="J19" i="53" s="1" a="1"/>
  <c r="J19" i="53" s="1"/>
  <c r="F18" i="11"/>
  <c r="F20" i="59"/>
  <c r="H19" i="59"/>
  <c r="M19" i="59"/>
  <c r="I19" i="30"/>
  <c r="J19" i="30" s="1" a="1"/>
  <c r="J19" i="30" s="1"/>
  <c r="G51" i="18"/>
  <c r="G52" i="18" s="1"/>
  <c r="G53" i="18" s="1"/>
  <c r="D21" i="37"/>
  <c r="F20" i="37"/>
  <c r="H20" i="37"/>
  <c r="H50" i="18" a="1"/>
  <c r="H50" i="18" s="1"/>
  <c r="I50" i="18" a="1"/>
  <c r="I50" i="18" s="1"/>
  <c r="E19" i="13"/>
  <c r="K19" i="13" s="1"/>
  <c r="G20" i="30"/>
  <c r="K20" i="30" s="1"/>
  <c r="D19" i="11"/>
  <c r="E52" i="18"/>
  <c r="K19" i="59" l="1" a="1"/>
  <c r="K19" i="59" s="1"/>
  <c r="G54" i="18"/>
  <c r="L20" i="59"/>
  <c r="N20" i="59"/>
  <c r="J19" i="59" a="1"/>
  <c r="J19" i="59" s="1"/>
  <c r="I19" i="59" a="1"/>
  <c r="I19" i="59" s="1"/>
  <c r="G21" i="30"/>
  <c r="K21" i="30" s="1"/>
  <c r="I51" i="18" a="1"/>
  <c r="I51" i="18" s="1"/>
  <c r="I18" i="13" a="1"/>
  <c r="I18" i="13" s="1"/>
  <c r="G18" i="11" a="1"/>
  <c r="G18" i="11" s="1"/>
  <c r="S47" i="2"/>
  <c r="H51" i="18" a="1"/>
  <c r="H51" i="18" s="1"/>
  <c r="I20" i="30"/>
  <c r="I21" i="30" s="1"/>
  <c r="L20" i="53"/>
  <c r="I20" i="53" s="1" a="1"/>
  <c r="I20" i="53" s="1"/>
  <c r="H19" i="11"/>
  <c r="M20" i="53"/>
  <c r="J20" i="53" s="1" a="1"/>
  <c r="J20" i="53" s="1"/>
  <c r="N20" i="53"/>
  <c r="K20" i="53" s="1" a="1"/>
  <c r="K20" i="53" s="1"/>
  <c r="K52" i="18"/>
  <c r="H52" i="18" s="1" a="1"/>
  <c r="H52" i="18" s="1"/>
  <c r="J52" i="18"/>
  <c r="I52" i="18" s="1" a="1"/>
  <c r="I52" i="18" s="1"/>
  <c r="J19" i="13"/>
  <c r="F21" i="59"/>
  <c r="H20" i="59"/>
  <c r="M20" i="59"/>
  <c r="F19" i="11"/>
  <c r="G19" i="13"/>
  <c r="G20" i="37" a="1"/>
  <c r="G20" i="37" s="1"/>
  <c r="D22" i="37"/>
  <c r="F21" i="37"/>
  <c r="H21" i="37"/>
  <c r="D20" i="11"/>
  <c r="E20" i="13"/>
  <c r="K20" i="13" s="1"/>
  <c r="E53" i="18"/>
  <c r="G22" i="30"/>
  <c r="K20" i="59" l="1" a="1"/>
  <c r="K20" i="59" s="1"/>
  <c r="G55" i="18"/>
  <c r="N21" i="59"/>
  <c r="L21" i="59"/>
  <c r="I20" i="59" a="1"/>
  <c r="I20" i="59" s="1"/>
  <c r="J20" i="59" a="1"/>
  <c r="J20" i="59" s="1"/>
  <c r="J21" i="30"/>
  <c r="G20" i="13"/>
  <c r="H20" i="13" s="1" a="1"/>
  <c r="H20" i="13" s="1"/>
  <c r="I19" i="13" a="1"/>
  <c r="I19" i="13" s="1"/>
  <c r="S48" i="2"/>
  <c r="J20" i="30" a="1"/>
  <c r="J20" i="30" s="1"/>
  <c r="H19" i="13" a="1"/>
  <c r="H19" i="13" s="1"/>
  <c r="G19" i="11" a="1"/>
  <c r="G19" i="11" s="1"/>
  <c r="I22" i="30"/>
  <c r="K22" i="30"/>
  <c r="F20" i="11"/>
  <c r="F22" i="59"/>
  <c r="H21" i="59"/>
  <c r="M21" i="59"/>
  <c r="H20" i="11"/>
  <c r="M21" i="53"/>
  <c r="J21" i="53" s="1" a="1"/>
  <c r="J21" i="53" s="1"/>
  <c r="L21" i="53"/>
  <c r="I21" i="53" s="1" a="1"/>
  <c r="I21" i="53" s="1"/>
  <c r="N21" i="53"/>
  <c r="K21" i="53" s="1" a="1"/>
  <c r="K21" i="53" s="1"/>
  <c r="K53" i="18"/>
  <c r="H53" i="18" s="1" a="1"/>
  <c r="H53" i="18" s="1"/>
  <c r="J53" i="18"/>
  <c r="I53" i="18" s="1" a="1"/>
  <c r="I53" i="18" s="1"/>
  <c r="J20" i="13"/>
  <c r="G21" i="37" a="1"/>
  <c r="G21" i="37" s="1"/>
  <c r="D23" i="37"/>
  <c r="F22" i="37"/>
  <c r="H22" i="37"/>
  <c r="E21" i="13"/>
  <c r="K21" i="13" s="1"/>
  <c r="D21" i="11"/>
  <c r="E54" i="18"/>
  <c r="G23" i="30"/>
  <c r="K21" i="59" l="1" a="1"/>
  <c r="K21" i="59" s="1"/>
  <c r="J21" i="59" a="1"/>
  <c r="J21" i="59" s="1"/>
  <c r="G56" i="18"/>
  <c r="L22" i="59"/>
  <c r="N22" i="59"/>
  <c r="K22" i="59" s="1" a="1"/>
  <c r="K22" i="59" s="1"/>
  <c r="I21" i="59" a="1"/>
  <c r="I21" i="59" s="1"/>
  <c r="J22" i="30"/>
  <c r="I20" i="13" a="1"/>
  <c r="I20" i="13" s="1"/>
  <c r="G20" i="11" a="1"/>
  <c r="G20" i="11" s="1"/>
  <c r="S49" i="2"/>
  <c r="I23" i="30"/>
  <c r="K23" i="30"/>
  <c r="L22" i="53"/>
  <c r="I22" i="53" s="1" a="1"/>
  <c r="I22" i="53" s="1"/>
  <c r="H21" i="11"/>
  <c r="N22" i="53"/>
  <c r="K22" i="53" s="1" a="1"/>
  <c r="K22" i="53" s="1"/>
  <c r="M22" i="53"/>
  <c r="J22" i="53" s="1" a="1"/>
  <c r="J22" i="53" s="1"/>
  <c r="J21" i="13"/>
  <c r="F23" i="59"/>
  <c r="H22" i="59"/>
  <c r="M22" i="59"/>
  <c r="F21" i="11"/>
  <c r="J54" i="18"/>
  <c r="I54" i="18" s="1" a="1"/>
  <c r="I54" i="18" s="1"/>
  <c r="K54" i="18"/>
  <c r="H54" i="18" s="1" a="1"/>
  <c r="H54" i="18" s="1"/>
  <c r="G21" i="13"/>
  <c r="G22" i="13" s="1"/>
  <c r="G22" i="37" a="1"/>
  <c r="G22" i="37" s="1"/>
  <c r="D24" i="37"/>
  <c r="F23" i="37"/>
  <c r="H23" i="37"/>
  <c r="D22" i="11"/>
  <c r="E22" i="13"/>
  <c r="K22" i="13" s="1"/>
  <c r="E55" i="18"/>
  <c r="G24" i="30"/>
  <c r="J22" i="59" l="1" a="1"/>
  <c r="J22" i="59" s="1"/>
  <c r="G57" i="18"/>
  <c r="N23" i="59"/>
  <c r="L23" i="59"/>
  <c r="I22" i="59" a="1"/>
  <c r="I22" i="59" s="1"/>
  <c r="J23" i="30"/>
  <c r="H21" i="13" a="1"/>
  <c r="H21" i="13" s="1"/>
  <c r="S50" i="2"/>
  <c r="I21" i="13" a="1"/>
  <c r="I21" i="13" s="1"/>
  <c r="G21" i="11" a="1"/>
  <c r="G21" i="11" s="1"/>
  <c r="I24" i="30"/>
  <c r="K24" i="30"/>
  <c r="K55" i="18"/>
  <c r="H55" i="18" s="1" a="1"/>
  <c r="H55" i="18" s="1"/>
  <c r="J55" i="18"/>
  <c r="I55" i="18" s="1" a="1"/>
  <c r="I55" i="18" s="1"/>
  <c r="F22" i="11"/>
  <c r="L23" i="53"/>
  <c r="I23" i="53" s="1" a="1"/>
  <c r="I23" i="53" s="1"/>
  <c r="N23" i="53"/>
  <c r="K23" i="53" s="1" a="1"/>
  <c r="K23" i="53" s="1"/>
  <c r="M23" i="53"/>
  <c r="J23" i="53" s="1" a="1"/>
  <c r="J23" i="53" s="1"/>
  <c r="H22" i="11"/>
  <c r="J22" i="13"/>
  <c r="I22" i="13" s="1" a="1"/>
  <c r="I22" i="13" s="1"/>
  <c r="H22" i="13" a="1"/>
  <c r="H22" i="13" s="1"/>
  <c r="F24" i="59"/>
  <c r="H23" i="59"/>
  <c r="M23" i="59"/>
  <c r="G23" i="37" a="1"/>
  <c r="G23" i="37" s="1"/>
  <c r="D25" i="37"/>
  <c r="F24" i="37"/>
  <c r="H24" i="37"/>
  <c r="E23" i="13"/>
  <c r="K23" i="13" s="1"/>
  <c r="D23" i="11"/>
  <c r="E56" i="18"/>
  <c r="G25" i="30"/>
  <c r="K23" i="59" l="1" a="1"/>
  <c r="K23" i="59" s="1"/>
  <c r="J23" i="59" a="1"/>
  <c r="J23" i="59" s="1"/>
  <c r="L24" i="59"/>
  <c r="N24" i="59"/>
  <c r="I23" i="59" a="1"/>
  <c r="I23" i="59" s="1"/>
  <c r="J24" i="30"/>
  <c r="S51" i="2"/>
  <c r="G22" i="11" a="1"/>
  <c r="G22" i="11" s="1"/>
  <c r="I25" i="30"/>
  <c r="I26" i="30" s="1"/>
  <c r="I27" i="30" s="1"/>
  <c r="K25" i="30"/>
  <c r="N24" i="53"/>
  <c r="K24" i="53" s="1" a="1"/>
  <c r="K24" i="53" s="1"/>
  <c r="H23" i="11"/>
  <c r="M24" i="53"/>
  <c r="J24" i="53" s="1" a="1"/>
  <c r="J24" i="53" s="1"/>
  <c r="L24" i="53"/>
  <c r="I24" i="53" s="1" a="1"/>
  <c r="I24" i="53" s="1"/>
  <c r="J23" i="13"/>
  <c r="F25" i="59"/>
  <c r="H24" i="59"/>
  <c r="M24" i="59"/>
  <c r="F23" i="11"/>
  <c r="J56" i="18"/>
  <c r="I56" i="18" s="1" a="1"/>
  <c r="I56" i="18" s="1"/>
  <c r="K56" i="18"/>
  <c r="H56" i="18" s="1" a="1"/>
  <c r="H56" i="18" s="1"/>
  <c r="G23" i="13"/>
  <c r="G24" i="37" a="1"/>
  <c r="G24" i="37" s="1"/>
  <c r="D26" i="37"/>
  <c r="F25" i="37"/>
  <c r="H25" i="37"/>
  <c r="D24" i="11"/>
  <c r="E24" i="13"/>
  <c r="K24" i="13" s="1"/>
  <c r="E57" i="18"/>
  <c r="G26" i="30"/>
  <c r="K24" i="59" l="1" a="1"/>
  <c r="K24" i="59" s="1"/>
  <c r="I28" i="30"/>
  <c r="N25" i="59"/>
  <c r="L25" i="59"/>
  <c r="J24" i="59" a="1"/>
  <c r="J24" i="59" s="1"/>
  <c r="I24" i="59" a="1"/>
  <c r="I24" i="59" s="1"/>
  <c r="J25" i="30"/>
  <c r="I23" i="13" a="1"/>
  <c r="I23" i="13" s="1"/>
  <c r="S52" i="2"/>
  <c r="G25" i="37" a="1"/>
  <c r="G25" i="37" s="1"/>
  <c r="H23" i="13" a="1"/>
  <c r="H23" i="13" s="1"/>
  <c r="G23" i="11" a="1"/>
  <c r="G23" i="11" s="1"/>
  <c r="L25" i="53"/>
  <c r="I25" i="53" s="1" a="1"/>
  <c r="I25" i="53" s="1"/>
  <c r="M25" i="53"/>
  <c r="J25" i="53" s="1" a="1"/>
  <c r="J25" i="53" s="1"/>
  <c r="H24" i="11"/>
  <c r="N25" i="53"/>
  <c r="K25" i="53" s="1" a="1"/>
  <c r="K25" i="53" s="1"/>
  <c r="K57" i="18"/>
  <c r="H57" i="18" s="1" a="1"/>
  <c r="H57" i="18" s="1"/>
  <c r="J57" i="18"/>
  <c r="I57" i="18" s="1" a="1"/>
  <c r="I57" i="18" s="1"/>
  <c r="K26" i="30"/>
  <c r="J26" i="30" s="1"/>
  <c r="G58" i="18"/>
  <c r="F24" i="11"/>
  <c r="J24" i="13"/>
  <c r="G24" i="13"/>
  <c r="F26" i="59"/>
  <c r="H25" i="59"/>
  <c r="M25" i="59"/>
  <c r="D27" i="37"/>
  <c r="F26" i="37"/>
  <c r="H26" i="37"/>
  <c r="E25" i="13"/>
  <c r="K25" i="13" s="1"/>
  <c r="D25" i="11"/>
  <c r="G27" i="30"/>
  <c r="K25" i="59" l="1" a="1"/>
  <c r="K25" i="59" s="1"/>
  <c r="I29" i="30"/>
  <c r="N26" i="59"/>
  <c r="L26" i="59"/>
  <c r="J25" i="59" a="1"/>
  <c r="J25" i="59" s="1"/>
  <c r="I25" i="59" a="1"/>
  <c r="I25" i="59" s="1"/>
  <c r="I58" i="18"/>
  <c r="H58" i="18"/>
  <c r="G24" i="11" a="1"/>
  <c r="G24" i="11" s="1"/>
  <c r="S53" i="2"/>
  <c r="S54" i="2" s="1"/>
  <c r="S55" i="2" s="1"/>
  <c r="S56" i="2" s="1"/>
  <c r="S57" i="2" s="1"/>
  <c r="S58" i="2" s="1"/>
  <c r="I24" i="13" a="1"/>
  <c r="I24" i="13" s="1"/>
  <c r="H24" i="13" a="1"/>
  <c r="H24" i="13" s="1"/>
  <c r="K27" i="30"/>
  <c r="J27" i="30" s="1"/>
  <c r="N26" i="53"/>
  <c r="K26" i="53" s="1" a="1"/>
  <c r="K26" i="53" s="1"/>
  <c r="H25" i="11"/>
  <c r="L26" i="53"/>
  <c r="I26" i="53" s="1" a="1"/>
  <c r="I26" i="53" s="1"/>
  <c r="M26" i="53"/>
  <c r="J26" i="53" s="1" a="1"/>
  <c r="J26" i="53" s="1"/>
  <c r="F27" i="59"/>
  <c r="H26" i="59"/>
  <c r="M26" i="59"/>
  <c r="J25" i="13"/>
  <c r="G25" i="13"/>
  <c r="G26" i="13" s="1"/>
  <c r="F25" i="11"/>
  <c r="G26" i="37" a="1"/>
  <c r="G26" i="37" s="1"/>
  <c r="D28" i="37"/>
  <c r="F27" i="37"/>
  <c r="H27" i="37"/>
  <c r="D26" i="11"/>
  <c r="E26" i="13"/>
  <c r="K26" i="13" s="1"/>
  <c r="G28" i="30"/>
  <c r="J26" i="59" l="1" a="1"/>
  <c r="J26" i="59" s="1"/>
  <c r="K26" i="59" a="1"/>
  <c r="K26" i="59" s="1"/>
  <c r="I30" i="30"/>
  <c r="J30" i="30" s="1"/>
  <c r="L27" i="59"/>
  <c r="N27" i="59"/>
  <c r="I26" i="59" a="1"/>
  <c r="I26" i="59" s="1"/>
  <c r="F26" i="11"/>
  <c r="I25" i="13" a="1"/>
  <c r="I25" i="13" s="1"/>
  <c r="H25" i="13" a="1"/>
  <c r="H25" i="13" s="1"/>
  <c r="G25" i="11" a="1"/>
  <c r="G25" i="11" s="1"/>
  <c r="H26" i="13" a="1"/>
  <c r="H26" i="13" s="1"/>
  <c r="J26" i="13"/>
  <c r="I26" i="13" s="1" a="1"/>
  <c r="I26" i="13" s="1"/>
  <c r="F28" i="59"/>
  <c r="H27" i="59"/>
  <c r="M27" i="59"/>
  <c r="M27" i="53"/>
  <c r="J27" i="53" s="1" a="1"/>
  <c r="J27" i="53" s="1"/>
  <c r="L27" i="53"/>
  <c r="I27" i="53" s="1" a="1"/>
  <c r="I27" i="53" s="1"/>
  <c r="N27" i="53"/>
  <c r="K27" i="53" s="1" a="1"/>
  <c r="K27" i="53" s="1"/>
  <c r="H26" i="11"/>
  <c r="K28" i="30"/>
  <c r="J28" i="30" s="1"/>
  <c r="G27" i="37" a="1"/>
  <c r="G27" i="37" s="1"/>
  <c r="D29" i="37"/>
  <c r="F28" i="37"/>
  <c r="H28" i="37"/>
  <c r="E27" i="13"/>
  <c r="D27" i="11"/>
  <c r="G29" i="30"/>
  <c r="K27" i="59" l="1" a="1"/>
  <c r="K27" i="59" s="1"/>
  <c r="N28" i="59"/>
  <c r="K28" i="59" s="1" a="1"/>
  <c r="K28" i="59" s="1"/>
  <c r="L28" i="59"/>
  <c r="J27" i="59" a="1"/>
  <c r="J27" i="59" s="1"/>
  <c r="I27" i="59" a="1"/>
  <c r="I27" i="59" s="1"/>
  <c r="F27" i="11"/>
  <c r="G26" i="11" a="1"/>
  <c r="G26" i="11" s="1"/>
  <c r="G27" i="13"/>
  <c r="K27" i="13"/>
  <c r="K29" i="30"/>
  <c r="J29" i="30" s="1"/>
  <c r="J27" i="13"/>
  <c r="H27" i="11"/>
  <c r="N28" i="53"/>
  <c r="K28" i="53" s="1" a="1"/>
  <c r="K28" i="53" s="1"/>
  <c r="M28" i="53"/>
  <c r="J28" i="53" s="1" a="1"/>
  <c r="J28" i="53" s="1"/>
  <c r="L28" i="53"/>
  <c r="I28" i="53" s="1" a="1"/>
  <c r="I28" i="53" s="1"/>
  <c r="F29" i="59"/>
  <c r="H28" i="59"/>
  <c r="M28" i="59"/>
  <c r="G28" i="37" a="1"/>
  <c r="G28" i="37" s="1"/>
  <c r="D30" i="37"/>
  <c r="F29" i="37"/>
  <c r="H29" i="37"/>
  <c r="D28" i="11"/>
  <c r="E28" i="13"/>
  <c r="K28" i="13" s="1"/>
  <c r="J28" i="59" l="1" a="1"/>
  <c r="J28" i="59" s="1"/>
  <c r="G27" i="11" a="1"/>
  <c r="G27" i="11" s="1"/>
  <c r="N29" i="59"/>
  <c r="L29" i="59"/>
  <c r="I28" i="59" a="1"/>
  <c r="I28" i="59" s="1"/>
  <c r="H27" i="13" a="1"/>
  <c r="H27" i="13" s="1"/>
  <c r="I27" i="13" a="1"/>
  <c r="I27" i="13" s="1"/>
  <c r="G29" i="37" a="1"/>
  <c r="G29" i="37" s="1"/>
  <c r="L29" i="53"/>
  <c r="I29" i="53" s="1" a="1"/>
  <c r="I29" i="53" s="1"/>
  <c r="H28" i="11"/>
  <c r="N29" i="53"/>
  <c r="K29" i="53" s="1" a="1"/>
  <c r="K29" i="53" s="1"/>
  <c r="M29" i="53"/>
  <c r="J29" i="53" s="1" a="1"/>
  <c r="J29" i="53" s="1"/>
  <c r="F30" i="59"/>
  <c r="H29" i="59"/>
  <c r="M29" i="59"/>
  <c r="I31" i="30"/>
  <c r="F28" i="11"/>
  <c r="J28" i="13"/>
  <c r="G28" i="13"/>
  <c r="D31" i="37"/>
  <c r="F30" i="37"/>
  <c r="H30" i="37"/>
  <c r="E29" i="13"/>
  <c r="K29" i="13" s="1"/>
  <c r="D29" i="11"/>
  <c r="K29" i="59" l="1" a="1"/>
  <c r="K29" i="59" s="1"/>
  <c r="J29" i="59" a="1"/>
  <c r="J29" i="59" s="1"/>
  <c r="L30" i="59"/>
  <c r="N30" i="59"/>
  <c r="I29" i="59" a="1"/>
  <c r="I29" i="59" s="1"/>
  <c r="J31" i="30"/>
  <c r="H28" i="13" a="1"/>
  <c r="H28" i="13" s="1"/>
  <c r="I28" i="13" a="1"/>
  <c r="I28" i="13" s="1"/>
  <c r="G28" i="11" a="1"/>
  <c r="G28" i="11" s="1"/>
  <c r="L30" i="53"/>
  <c r="I30" i="53" s="1" a="1"/>
  <c r="I30" i="53" s="1"/>
  <c r="M30" i="53"/>
  <c r="J30" i="53" s="1" a="1"/>
  <c r="J30" i="53" s="1"/>
  <c r="H29" i="11"/>
  <c r="N30" i="53"/>
  <c r="K30" i="53" s="1" a="1"/>
  <c r="K30" i="53" s="1"/>
  <c r="F29" i="11"/>
  <c r="J29" i="13"/>
  <c r="G29" i="13"/>
  <c r="H29" i="13" s="1" a="1"/>
  <c r="H29" i="13" s="1"/>
  <c r="F31" i="59"/>
  <c r="H30" i="59"/>
  <c r="M30" i="59"/>
  <c r="G30" i="37" a="1"/>
  <c r="G30" i="37" s="1"/>
  <c r="D32" i="37"/>
  <c r="F31" i="37"/>
  <c r="H31" i="37"/>
  <c r="D30" i="11"/>
  <c r="E30" i="13"/>
  <c r="K30" i="13" s="1"/>
  <c r="K30" i="59" l="1" a="1"/>
  <c r="K30" i="59" s="1"/>
  <c r="J30" i="59" a="1"/>
  <c r="J30" i="59" s="1"/>
  <c r="N31" i="59"/>
  <c r="L31" i="59"/>
  <c r="I30" i="59" a="1"/>
  <c r="I30" i="59" s="1"/>
  <c r="I29" i="13" a="1"/>
  <c r="I29" i="13" s="1"/>
  <c r="S59" i="2"/>
  <c r="G29" i="11" a="1"/>
  <c r="G29" i="11" s="1"/>
  <c r="G30" i="13"/>
  <c r="H30" i="13" s="1" a="1"/>
  <c r="H30" i="13" s="1"/>
  <c r="N31" i="53"/>
  <c r="K31" i="53" s="1" a="1"/>
  <c r="K31" i="53" s="1"/>
  <c r="M31" i="53"/>
  <c r="J31" i="53" s="1" a="1"/>
  <c r="J31" i="53" s="1"/>
  <c r="H30" i="11"/>
  <c r="L31" i="53"/>
  <c r="I31" i="53" s="1" a="1"/>
  <c r="I31" i="53" s="1"/>
  <c r="F32" i="59"/>
  <c r="H31" i="59"/>
  <c r="M31" i="59"/>
  <c r="J30" i="13"/>
  <c r="F30" i="11"/>
  <c r="G31" i="37" a="1"/>
  <c r="G31" i="37" s="1"/>
  <c r="D33" i="37"/>
  <c r="F32" i="37"/>
  <c r="H32" i="37"/>
  <c r="E31" i="13"/>
  <c r="K31" i="13" s="1"/>
  <c r="D31" i="11"/>
  <c r="K31" i="59" l="1" a="1"/>
  <c r="K31" i="59" s="1"/>
  <c r="N32" i="59"/>
  <c r="L32" i="59"/>
  <c r="J31" i="59" a="1"/>
  <c r="J31" i="59" s="1"/>
  <c r="I31" i="59" a="1"/>
  <c r="I31" i="59" s="1"/>
  <c r="F31" i="11"/>
  <c r="I30" i="13" a="1"/>
  <c r="I30" i="13" s="1"/>
  <c r="S60" i="2"/>
  <c r="G30" i="11" a="1"/>
  <c r="G30" i="11" s="1"/>
  <c r="J31" i="13"/>
  <c r="F33" i="59"/>
  <c r="H32" i="59"/>
  <c r="M32" i="59"/>
  <c r="L32" i="53"/>
  <c r="I32" i="53" s="1" a="1"/>
  <c r="I32" i="53" s="1"/>
  <c r="M32" i="53"/>
  <c r="J32" i="53" s="1" a="1"/>
  <c r="J32" i="53" s="1"/>
  <c r="H31" i="11"/>
  <c r="N32" i="53"/>
  <c r="K32" i="53" s="1" a="1"/>
  <c r="K32" i="53" s="1"/>
  <c r="G31" i="13"/>
  <c r="G32" i="37" a="1"/>
  <c r="G32" i="37" s="1"/>
  <c r="D34" i="37"/>
  <c r="F33" i="37"/>
  <c r="H33" i="37"/>
  <c r="D32" i="11"/>
  <c r="E32" i="13"/>
  <c r="K32" i="13" s="1"/>
  <c r="K32" i="59" l="1" a="1"/>
  <c r="K32" i="59" s="1"/>
  <c r="N33" i="59"/>
  <c r="L33" i="59"/>
  <c r="G31" i="11" a="1"/>
  <c r="G31" i="11" s="1"/>
  <c r="I32" i="59" a="1"/>
  <c r="I32" i="59" s="1"/>
  <c r="J32" i="59" a="1"/>
  <c r="J32" i="59" s="1"/>
  <c r="S61" i="2"/>
  <c r="I31" i="13" a="1"/>
  <c r="I31" i="13" s="1"/>
  <c r="H31" i="13" a="1"/>
  <c r="H31" i="13" s="1"/>
  <c r="N33" i="53"/>
  <c r="K33" i="53" s="1" a="1"/>
  <c r="K33" i="53" s="1"/>
  <c r="M33" i="53"/>
  <c r="J33" i="53" s="1" a="1"/>
  <c r="J33" i="53" s="1"/>
  <c r="L33" i="53"/>
  <c r="I33" i="53" s="1" a="1"/>
  <c r="I33" i="53" s="1"/>
  <c r="H32" i="11"/>
  <c r="J32" i="13"/>
  <c r="G32" i="13"/>
  <c r="F34" i="59"/>
  <c r="H33" i="59"/>
  <c r="M33" i="59"/>
  <c r="F32" i="11"/>
  <c r="G33" i="37" a="1"/>
  <c r="G33" i="37" s="1"/>
  <c r="D35" i="37"/>
  <c r="F34" i="37"/>
  <c r="F35" i="37" s="1"/>
  <c r="F36" i="37" s="1"/>
  <c r="H34" i="37"/>
  <c r="E33" i="13"/>
  <c r="K33" i="13" s="1"/>
  <c r="D33" i="11"/>
  <c r="K33" i="59" l="1" a="1"/>
  <c r="K33" i="59" s="1"/>
  <c r="J33" i="59" a="1"/>
  <c r="J33" i="59" s="1"/>
  <c r="N34" i="59"/>
  <c r="L34" i="59"/>
  <c r="I33" i="59" a="1"/>
  <c r="I33" i="59" s="1"/>
  <c r="I32" i="13" a="1"/>
  <c r="I32" i="13" s="1"/>
  <c r="H32" i="13" a="1"/>
  <c r="H32" i="13" s="1"/>
  <c r="G32" i="11" a="1"/>
  <c r="G32" i="11" s="1"/>
  <c r="J33" i="13"/>
  <c r="F35" i="59"/>
  <c r="H34" i="59"/>
  <c r="M34" i="59"/>
  <c r="J34" i="59" s="1" a="1"/>
  <c r="J34" i="59" s="1"/>
  <c r="G33" i="13"/>
  <c r="L34" i="53"/>
  <c r="I34" i="53" s="1" a="1"/>
  <c r="I34" i="53" s="1"/>
  <c r="M34" i="53"/>
  <c r="J34" i="53" s="1" a="1"/>
  <c r="J34" i="53" s="1"/>
  <c r="H33" i="11"/>
  <c r="N34" i="53"/>
  <c r="K34" i="53" s="1" a="1"/>
  <c r="K34" i="53" s="1"/>
  <c r="F33" i="11"/>
  <c r="G34" i="37" a="1"/>
  <c r="G34" i="37" s="1"/>
  <c r="D36" i="37"/>
  <c r="H35" i="37"/>
  <c r="D34" i="11"/>
  <c r="E34" i="13"/>
  <c r="K34" i="13" s="1"/>
  <c r="K34" i="59" l="1" a="1"/>
  <c r="K34" i="59" s="1"/>
  <c r="L35" i="59"/>
  <c r="N35" i="59"/>
  <c r="I34" i="59" a="1"/>
  <c r="I34" i="59" s="1"/>
  <c r="H33" i="13" a="1"/>
  <c r="H33" i="13" s="1"/>
  <c r="I33" i="13" a="1"/>
  <c r="I33" i="13" s="1"/>
  <c r="G33" i="11" a="1"/>
  <c r="G33" i="11" s="1"/>
  <c r="G34" i="13"/>
  <c r="H34" i="13" s="1" a="1"/>
  <c r="H34" i="13" s="1"/>
  <c r="N35" i="53"/>
  <c r="K35" i="53" s="1" a="1"/>
  <c r="K35" i="53" s="1"/>
  <c r="M35" i="53"/>
  <c r="J35" i="53" s="1" a="1"/>
  <c r="J35" i="53" s="1"/>
  <c r="L35" i="53"/>
  <c r="I35" i="53" s="1" a="1"/>
  <c r="I35" i="53" s="1"/>
  <c r="H34" i="11"/>
  <c r="J34" i="13"/>
  <c r="F34" i="11"/>
  <c r="F36" i="59"/>
  <c r="H35" i="59"/>
  <c r="M35" i="59"/>
  <c r="F37" i="37"/>
  <c r="H36" i="37"/>
  <c r="E35" i="13"/>
  <c r="K35" i="13" s="1"/>
  <c r="D35" i="11"/>
  <c r="K35" i="59" l="1" a="1"/>
  <c r="K35" i="59" s="1"/>
  <c r="N36" i="59"/>
  <c r="L36" i="59"/>
  <c r="J35" i="59" a="1"/>
  <c r="J35" i="59" s="1"/>
  <c r="I35" i="59" a="1"/>
  <c r="I35" i="59" s="1"/>
  <c r="I34" i="13" a="1"/>
  <c r="I34" i="13" s="1"/>
  <c r="G34" i="11" a="1"/>
  <c r="G34" i="11" s="1"/>
  <c r="L36" i="53"/>
  <c r="I36" i="53" s="1" a="1"/>
  <c r="I36" i="53" s="1"/>
  <c r="H35" i="11"/>
  <c r="N36" i="53"/>
  <c r="K36" i="53" s="1" a="1"/>
  <c r="K36" i="53" s="1"/>
  <c r="M36" i="53"/>
  <c r="J36" i="53" s="1" a="1"/>
  <c r="J36" i="53" s="1"/>
  <c r="F35" i="11"/>
  <c r="J35" i="13"/>
  <c r="F37" i="59"/>
  <c r="H36" i="59"/>
  <c r="M36" i="59"/>
  <c r="G35" i="13"/>
  <c r="G37" i="37" a="1"/>
  <c r="G37" i="37" s="1"/>
  <c r="D36" i="11"/>
  <c r="E36" i="13"/>
  <c r="K36" i="13" s="1"/>
  <c r="K36" i="59" l="1" a="1"/>
  <c r="K36" i="59" s="1"/>
  <c r="N37" i="59"/>
  <c r="L37" i="59"/>
  <c r="J36" i="59" a="1"/>
  <c r="J36" i="59" s="1"/>
  <c r="I36" i="59" a="1"/>
  <c r="I36" i="59" s="1"/>
  <c r="G36" i="13"/>
  <c r="H36" i="13" s="1" a="1"/>
  <c r="H36" i="13" s="1"/>
  <c r="H35" i="13" a="1"/>
  <c r="H35" i="13" s="1"/>
  <c r="I35" i="13" a="1"/>
  <c r="I35" i="13" s="1"/>
  <c r="G35" i="11" a="1"/>
  <c r="G35" i="11" s="1"/>
  <c r="F38" i="59"/>
  <c r="H37" i="59"/>
  <c r="M37" i="59"/>
  <c r="J36" i="13"/>
  <c r="L37" i="53"/>
  <c r="I37" i="53" s="1" a="1"/>
  <c r="I37" i="53" s="1"/>
  <c r="M37" i="53"/>
  <c r="J37" i="53" s="1" a="1"/>
  <c r="J37" i="53" s="1"/>
  <c r="H36" i="11"/>
  <c r="N37" i="53"/>
  <c r="K37" i="53" s="1" a="1"/>
  <c r="K37" i="53" s="1"/>
  <c r="F36" i="11"/>
  <c r="F37" i="11" s="1"/>
  <c r="F38" i="11" s="1"/>
  <c r="E37" i="13"/>
  <c r="K37" i="13" s="1"/>
  <c r="D37" i="11"/>
  <c r="K37" i="59" l="1" a="1"/>
  <c r="K37" i="59" s="1"/>
  <c r="J37" i="59" a="1"/>
  <c r="J37" i="59" s="1"/>
  <c r="F39" i="11"/>
  <c r="N38" i="59"/>
  <c r="L38" i="59"/>
  <c r="I36" i="13" a="1"/>
  <c r="I36" i="13" s="1"/>
  <c r="I37" i="59" a="1"/>
  <c r="I37" i="59" s="1"/>
  <c r="G37" i="13"/>
  <c r="G36" i="11" a="1"/>
  <c r="G36" i="11" s="1"/>
  <c r="L38" i="53"/>
  <c r="I38" i="53" s="1" a="1"/>
  <c r="I38" i="53" s="1"/>
  <c r="N38" i="53"/>
  <c r="K38" i="53" s="1" a="1"/>
  <c r="K38" i="53" s="1"/>
  <c r="H37" i="11"/>
  <c r="G37" i="11" s="1" a="1"/>
  <c r="G37" i="11" s="1"/>
  <c r="M38" i="53"/>
  <c r="J38" i="53" s="1" a="1"/>
  <c r="J38" i="53" s="1"/>
  <c r="J37" i="13"/>
  <c r="F39" i="59"/>
  <c r="H38" i="59"/>
  <c r="M38" i="59"/>
  <c r="D38" i="11"/>
  <c r="E38" i="13"/>
  <c r="K38" i="13" s="1"/>
  <c r="K38" i="59" l="1" a="1"/>
  <c r="K38" i="59" s="1"/>
  <c r="H37" i="13" a="1"/>
  <c r="H37" i="13" s="1"/>
  <c r="G38" i="13"/>
  <c r="G39" i="13" s="1"/>
  <c r="H39" i="59"/>
  <c r="J38" i="59" a="1"/>
  <c r="J38" i="59" s="1"/>
  <c r="F40" i="11"/>
  <c r="N39" i="59"/>
  <c r="K39" i="59" s="1" a="1"/>
  <c r="K39" i="59" s="1"/>
  <c r="L39" i="59"/>
  <c r="I37" i="13" a="1"/>
  <c r="I37" i="13" s="1"/>
  <c r="I38" i="59" a="1"/>
  <c r="I38" i="59" s="1"/>
  <c r="L39" i="53"/>
  <c r="I39" i="53" s="1" a="1"/>
  <c r="I39" i="53" s="1"/>
  <c r="M39" i="53"/>
  <c r="J39" i="53" s="1" a="1"/>
  <c r="J39" i="53" s="1"/>
  <c r="N39" i="53"/>
  <c r="K39" i="53" s="1" a="1"/>
  <c r="K39" i="53" s="1"/>
  <c r="H38" i="11"/>
  <c r="G38" i="11" s="1" a="1"/>
  <c r="G38" i="11" s="1"/>
  <c r="J38" i="13"/>
  <c r="M39" i="59"/>
  <c r="F40" i="59"/>
  <c r="E39" i="13"/>
  <c r="K39" i="13" s="1"/>
  <c r="D39" i="11"/>
  <c r="G40" i="13" l="1"/>
  <c r="H39" i="13" a="1"/>
  <c r="H39" i="13" s="1"/>
  <c r="J39" i="59" a="1"/>
  <c r="J39" i="59" s="1"/>
  <c r="H40" i="59"/>
  <c r="F41" i="11"/>
  <c r="L40" i="59"/>
  <c r="N40" i="59"/>
  <c r="K40" i="59" s="1" a="1"/>
  <c r="K40" i="59" s="1"/>
  <c r="I39" i="59" a="1"/>
  <c r="I39" i="59" s="1"/>
  <c r="I38" i="13" a="1"/>
  <c r="I38" i="13" s="1"/>
  <c r="H38" i="13" a="1"/>
  <c r="H38" i="13" s="1"/>
  <c r="N40" i="53"/>
  <c r="K40" i="53" s="1" a="1"/>
  <c r="K40" i="53" s="1"/>
  <c r="H39" i="11"/>
  <c r="G39" i="11" s="1" a="1"/>
  <c r="G39" i="11" s="1"/>
  <c r="M40" i="53"/>
  <c r="J40" i="53" s="1" a="1"/>
  <c r="J40" i="53" s="1"/>
  <c r="L40" i="53"/>
  <c r="I40" i="53" s="1" a="1"/>
  <c r="I40" i="53" s="1"/>
  <c r="J39" i="13"/>
  <c r="I39" i="13" s="1" a="1"/>
  <c r="I39" i="13" s="1"/>
  <c r="M40" i="59"/>
  <c r="F41" i="59"/>
  <c r="D40" i="11"/>
  <c r="E40" i="13"/>
  <c r="G41" i="13" l="1"/>
  <c r="J40" i="59" a="1"/>
  <c r="J40" i="59" s="1"/>
  <c r="H41" i="59"/>
  <c r="F42" i="11"/>
  <c r="N41" i="59"/>
  <c r="L41" i="59"/>
  <c r="I40" i="59" a="1"/>
  <c r="I40" i="59" s="1"/>
  <c r="J40" i="13"/>
  <c r="I40" i="13" s="1" a="1"/>
  <c r="I40" i="13" s="1"/>
  <c r="K40" i="13"/>
  <c r="H40" i="13" s="1" a="1"/>
  <c r="H40" i="13" s="1"/>
  <c r="M41" i="53"/>
  <c r="J41" i="53" s="1" a="1"/>
  <c r="J41" i="53" s="1"/>
  <c r="L41" i="53"/>
  <c r="I41" i="53" s="1" a="1"/>
  <c r="I41" i="53" s="1"/>
  <c r="H40" i="11"/>
  <c r="G40" i="11" s="1" a="1"/>
  <c r="G40" i="11" s="1"/>
  <c r="N41" i="53"/>
  <c r="K41" i="53" s="1" a="1"/>
  <c r="K41" i="53" s="1"/>
  <c r="M41" i="59"/>
  <c r="F42" i="59"/>
  <c r="E41" i="13"/>
  <c r="K41" i="13" s="1"/>
  <c r="D41" i="11"/>
  <c r="K41" i="59" l="1" a="1"/>
  <c r="K41" i="59" s="1"/>
  <c r="G42" i="13"/>
  <c r="H41" i="13" a="1"/>
  <c r="H41" i="13" s="1"/>
  <c r="H42" i="59"/>
  <c r="J41" i="59" a="1"/>
  <c r="J41" i="59" s="1"/>
  <c r="I41" i="59" a="1"/>
  <c r="I41" i="59" s="1"/>
  <c r="N42" i="59"/>
  <c r="K42" i="59" s="1" a="1"/>
  <c r="K42" i="59" s="1"/>
  <c r="L42" i="59"/>
  <c r="N42" i="53"/>
  <c r="K42" i="53" s="1" a="1"/>
  <c r="K42" i="53" s="1"/>
  <c r="M42" i="53"/>
  <c r="J42" i="53" s="1" a="1"/>
  <c r="J42" i="53" s="1"/>
  <c r="L42" i="53"/>
  <c r="I42" i="53" s="1" a="1"/>
  <c r="I42" i="53" s="1"/>
  <c r="H41" i="11"/>
  <c r="G41" i="11" s="1" a="1"/>
  <c r="G41" i="11" s="1"/>
  <c r="J41" i="13"/>
  <c r="I41" i="13" s="1" a="1"/>
  <c r="I41" i="13" s="1"/>
  <c r="M42" i="59"/>
  <c r="F43" i="59"/>
  <c r="N43" i="59" s="1"/>
  <c r="F43" i="11"/>
  <c r="D42" i="11"/>
  <c r="E42" i="13"/>
  <c r="K42" i="13" s="1"/>
  <c r="H42" i="13" l="1" a="1"/>
  <c r="H42" i="13" s="1"/>
  <c r="H43" i="59"/>
  <c r="K43" i="59" s="1" a="1"/>
  <c r="K43" i="59" s="1"/>
  <c r="I42" i="59" a="1"/>
  <c r="I42" i="59" s="1"/>
  <c r="J42" i="59" a="1"/>
  <c r="J42" i="59" s="1"/>
  <c r="J42" i="13"/>
  <c r="I42" i="13" s="1" a="1"/>
  <c r="I42" i="13" s="1"/>
  <c r="G43" i="13"/>
  <c r="N43" i="53"/>
  <c r="K43" i="53" s="1" a="1"/>
  <c r="K43" i="53" s="1"/>
  <c r="H42" i="11"/>
  <c r="M43" i="53"/>
  <c r="J43" i="53" s="1" a="1"/>
  <c r="J43" i="53" s="1"/>
  <c r="L43" i="53"/>
  <c r="I43" i="53" s="1" a="1"/>
  <c r="I43" i="53" s="1"/>
  <c r="H44" i="59"/>
  <c r="M43" i="59"/>
  <c r="L43" i="59"/>
  <c r="G43" i="11" l="1"/>
  <c r="G42" i="11" a="1"/>
  <c r="G42" i="11" s="1"/>
  <c r="I43" i="59" a="1"/>
  <c r="I43" i="59" s="1"/>
  <c r="J43" i="59" a="1"/>
  <c r="J43" i="59" s="1"/>
  <c r="I43" i="13"/>
  <c r="H43" i="13"/>
  <c r="I44" i="59"/>
  <c r="J44" i="59"/>
  <c r="F34" i="51"/>
  <c r="Q34" i="61" l="1"/>
  <c r="N10" i="61"/>
  <c r="N11" i="61"/>
  <c r="N12" i="61"/>
  <c r="N13" i="61"/>
  <c r="N14" i="61"/>
  <c r="N15" i="61"/>
  <c r="N16" i="61"/>
  <c r="N17" i="61"/>
  <c r="N18" i="61"/>
  <c r="N19" i="61"/>
  <c r="N20" i="61"/>
  <c r="N21" i="61"/>
  <c r="N22" i="61"/>
  <c r="N23" i="61"/>
  <c r="N24" i="61"/>
  <c r="N25" i="61"/>
  <c r="N26" i="61"/>
  <c r="N27" i="61"/>
  <c r="S35" i="61"/>
  <c r="S9" i="61" l="1"/>
  <c r="N92" i="61"/>
  <c r="O91" i="61"/>
  <c r="N91" i="61"/>
  <c r="O90" i="61"/>
  <c r="N90" i="61"/>
  <c r="O89" i="61"/>
  <c r="N89" i="61"/>
  <c r="O88" i="61"/>
  <c r="N88" i="61"/>
  <c r="O87" i="61"/>
  <c r="N87" i="61"/>
  <c r="O86" i="61"/>
  <c r="N86" i="61"/>
  <c r="O85" i="61"/>
  <c r="N85" i="61"/>
  <c r="O84" i="61"/>
  <c r="N84" i="61"/>
  <c r="O83" i="61"/>
  <c r="N83" i="61"/>
  <c r="O71" i="61"/>
  <c r="N71" i="61"/>
  <c r="O70" i="61"/>
  <c r="N70" i="61"/>
  <c r="O69" i="61"/>
  <c r="N69" i="61"/>
  <c r="O68" i="61"/>
  <c r="N68" i="61"/>
  <c r="O67" i="61"/>
  <c r="N67" i="61"/>
  <c r="O66" i="61"/>
  <c r="N66" i="61"/>
  <c r="O65" i="61"/>
  <c r="N65" i="61"/>
  <c r="O64" i="61"/>
  <c r="N64" i="61"/>
  <c r="O63" i="61"/>
  <c r="N63" i="61"/>
  <c r="O62" i="61"/>
  <c r="N62" i="61"/>
  <c r="O61" i="61"/>
  <c r="N61" i="61"/>
  <c r="O60" i="61"/>
  <c r="N60" i="61"/>
  <c r="O59" i="61"/>
  <c r="N59" i="61"/>
  <c r="O58" i="61"/>
  <c r="N58" i="61"/>
  <c r="O57" i="61"/>
  <c r="N57" i="61"/>
  <c r="O56" i="61"/>
  <c r="N56" i="61"/>
  <c r="O55" i="61"/>
  <c r="N55" i="61"/>
  <c r="O54" i="61"/>
  <c r="N54" i="61"/>
  <c r="O53" i="61"/>
  <c r="N53" i="61"/>
  <c r="O52" i="61"/>
  <c r="N52" i="61"/>
  <c r="O51" i="61"/>
  <c r="N51" i="61"/>
  <c r="O50" i="61"/>
  <c r="N50" i="61"/>
  <c r="O49" i="61"/>
  <c r="N49" i="61"/>
  <c r="O48" i="61"/>
  <c r="N48" i="61"/>
  <c r="O47" i="61"/>
  <c r="N47" i="61"/>
  <c r="O46" i="61"/>
  <c r="N46" i="61"/>
  <c r="O45" i="61"/>
  <c r="N45" i="61"/>
  <c r="O44" i="61"/>
  <c r="N44" i="61"/>
  <c r="O43" i="61"/>
  <c r="N43" i="61"/>
  <c r="O42" i="61"/>
  <c r="N42" i="61"/>
  <c r="O41" i="61"/>
  <c r="N41" i="61"/>
  <c r="O40" i="61"/>
  <c r="N40" i="61"/>
  <c r="O39" i="61"/>
  <c r="N39" i="61"/>
  <c r="O38" i="61"/>
  <c r="N38" i="61"/>
  <c r="O37" i="61"/>
  <c r="N37" i="61"/>
  <c r="O36" i="61"/>
  <c r="N36" i="61"/>
  <c r="O35" i="61"/>
  <c r="N35" i="61"/>
  <c r="O34" i="61"/>
  <c r="N34" i="61"/>
  <c r="O33" i="61"/>
  <c r="N33" i="61"/>
  <c r="O32" i="61"/>
  <c r="N32" i="61"/>
  <c r="O31" i="61"/>
  <c r="N31" i="61"/>
  <c r="O30" i="61"/>
  <c r="N30" i="61"/>
  <c r="N29" i="61"/>
  <c r="N28" i="61"/>
  <c r="Q19" i="61"/>
  <c r="Q18" i="61"/>
  <c r="Q17" i="61"/>
  <c r="Q16" i="61"/>
  <c r="Q15" i="61"/>
  <c r="Q14" i="61"/>
  <c r="Q13" i="61"/>
  <c r="Q12" i="61"/>
  <c r="Q11" i="61"/>
  <c r="Q10" i="61"/>
  <c r="O9" i="61"/>
  <c r="N9" i="61"/>
  <c r="D9" i="51"/>
  <c r="C8" i="51"/>
  <c r="S36" i="61"/>
  <c r="R36" i="61"/>
  <c r="R35" i="61"/>
  <c r="R56" i="61"/>
  <c r="R57" i="61"/>
  <c r="S53" i="61"/>
  <c r="S57" i="61"/>
  <c r="R54" i="61"/>
  <c r="R55" i="61"/>
  <c r="S56" i="61"/>
  <c r="S55" i="61"/>
  <c r="R53" i="61"/>
  <c r="S54" i="61"/>
  <c r="AI26" i="51" l="1"/>
  <c r="AI69" i="51"/>
  <c r="AI88" i="51"/>
  <c r="AI71" i="51"/>
  <c r="AJ88" i="51"/>
  <c r="AJ69" i="51"/>
  <c r="AG71" i="51"/>
  <c r="AJ71" i="51"/>
  <c r="AI84" i="51"/>
  <c r="AJ84" i="51"/>
  <c r="AH71" i="51"/>
  <c r="AH26" i="51"/>
  <c r="AH88" i="51"/>
  <c r="I82" i="49" s="1"/>
  <c r="AG26" i="51"/>
  <c r="AG88" i="51"/>
  <c r="G82" i="49" s="1"/>
  <c r="AH84" i="51"/>
  <c r="AH69" i="51"/>
  <c r="AG84" i="51"/>
  <c r="AG69" i="51"/>
  <c r="AH36" i="51"/>
  <c r="AG36" i="51"/>
  <c r="C9" i="51"/>
  <c r="G65" i="49"/>
  <c r="AE69" i="51"/>
  <c r="AF69" i="51"/>
  <c r="AF71" i="51"/>
  <c r="AE36" i="51"/>
  <c r="AE88" i="51"/>
  <c r="AE71" i="51"/>
  <c r="AF36" i="51"/>
  <c r="AF88" i="51"/>
  <c r="E82" i="49" s="1"/>
  <c r="AE84" i="51"/>
  <c r="AF84" i="51"/>
  <c r="AE26" i="51"/>
  <c r="AF26" i="51"/>
  <c r="AC36" i="51"/>
  <c r="AD36" i="51"/>
  <c r="AA88" i="51"/>
  <c r="AD84" i="51"/>
  <c r="AD71" i="51"/>
  <c r="AC84" i="51"/>
  <c r="AC71" i="51"/>
  <c r="AD26" i="51"/>
  <c r="AB84" i="51"/>
  <c r="AA84" i="51"/>
  <c r="Z84" i="51"/>
  <c r="AD69" i="51"/>
  <c r="AC26" i="51"/>
  <c r="Y84" i="51"/>
  <c r="AC69" i="51"/>
  <c r="AD88" i="51"/>
  <c r="AC88" i="51"/>
  <c r="Z71" i="51"/>
  <c r="Y71" i="51"/>
  <c r="AB69" i="51"/>
  <c r="AB88" i="51"/>
  <c r="AB36" i="51"/>
  <c r="AA69" i="51"/>
  <c r="AB71" i="51"/>
  <c r="Z88" i="51"/>
  <c r="AA71" i="51"/>
  <c r="AA36" i="51"/>
  <c r="Y88" i="51"/>
  <c r="Z69" i="51"/>
  <c r="AB26" i="51"/>
  <c r="Y69" i="51"/>
  <c r="AA26" i="51"/>
  <c r="V71" i="51"/>
  <c r="N71" i="51"/>
  <c r="F71" i="51"/>
  <c r="M71" i="51"/>
  <c r="E71" i="51"/>
  <c r="S71" i="51"/>
  <c r="C71" i="51"/>
  <c r="O71" i="51"/>
  <c r="U71" i="51"/>
  <c r="T71" i="51"/>
  <c r="L71" i="51"/>
  <c r="D71" i="51"/>
  <c r="K71" i="51"/>
  <c r="R71" i="51"/>
  <c r="J71" i="51"/>
  <c r="Q71" i="51"/>
  <c r="I71" i="51"/>
  <c r="H71" i="51"/>
  <c r="G71" i="51"/>
  <c r="X71" i="51"/>
  <c r="P71" i="51"/>
  <c r="W71" i="51"/>
  <c r="AM26" i="62"/>
  <c r="AM84" i="62"/>
  <c r="AN36" i="62"/>
  <c r="AM36" i="62"/>
  <c r="AN26" i="62"/>
  <c r="AM88" i="62"/>
  <c r="AN69" i="62"/>
  <c r="AN71" i="62"/>
  <c r="AM69" i="62"/>
  <c r="AM71" i="62"/>
  <c r="H36" i="51"/>
  <c r="Z36" i="51"/>
  <c r="C69" i="51"/>
  <c r="S18" i="61"/>
  <c r="R18" i="61"/>
  <c r="I36" i="51"/>
  <c r="S11" i="61"/>
  <c r="R11" i="61"/>
  <c r="S19" i="61"/>
  <c r="R19" i="61"/>
  <c r="S10" i="61"/>
  <c r="R10" i="61"/>
  <c r="S14" i="61"/>
  <c r="R14" i="61"/>
  <c r="S12" i="61"/>
  <c r="R12" i="61"/>
  <c r="S15" i="61"/>
  <c r="R15" i="61"/>
  <c r="E69" i="51"/>
  <c r="M69" i="51"/>
  <c r="U69" i="51"/>
  <c r="F69" i="51"/>
  <c r="N69" i="51"/>
  <c r="V69" i="51"/>
  <c r="G69" i="51"/>
  <c r="O69" i="51"/>
  <c r="W69" i="51"/>
  <c r="H69" i="51"/>
  <c r="P69" i="51"/>
  <c r="X69" i="51"/>
  <c r="I69" i="51"/>
  <c r="J69" i="51"/>
  <c r="R69" i="51"/>
  <c r="K69" i="51"/>
  <c r="S69" i="51"/>
  <c r="D69" i="51"/>
  <c r="L69" i="51"/>
  <c r="T69" i="51"/>
  <c r="Q69" i="51"/>
  <c r="R16" i="61"/>
  <c r="S16" i="61"/>
  <c r="R13" i="61"/>
  <c r="S13" i="61"/>
  <c r="R17" i="61"/>
  <c r="S17" i="61"/>
  <c r="U36" i="51"/>
  <c r="R9" i="61"/>
  <c r="K36" i="51"/>
  <c r="F36" i="51"/>
  <c r="Q36" i="51"/>
  <c r="S36" i="51"/>
  <c r="N36" i="51"/>
  <c r="J36" i="51"/>
  <c r="L36" i="51"/>
  <c r="G36" i="51"/>
  <c r="R36" i="51"/>
  <c r="T36" i="51"/>
  <c r="O36" i="51"/>
  <c r="C36" i="51"/>
  <c r="E36" i="51"/>
  <c r="D36" i="51"/>
  <c r="V36" i="51"/>
  <c r="S84" i="51"/>
  <c r="K84" i="51"/>
  <c r="D84" i="51"/>
  <c r="L88" i="51"/>
  <c r="T88" i="51"/>
  <c r="C88" i="51"/>
  <c r="L26" i="51"/>
  <c r="T26" i="51"/>
  <c r="F26" i="51"/>
  <c r="R84" i="51"/>
  <c r="J84" i="51"/>
  <c r="E88" i="51"/>
  <c r="M88" i="51"/>
  <c r="U88" i="51"/>
  <c r="D26" i="51"/>
  <c r="M26" i="51"/>
  <c r="U26" i="51"/>
  <c r="Q84" i="51"/>
  <c r="I84" i="51"/>
  <c r="F88" i="51"/>
  <c r="N88" i="51"/>
  <c r="V88" i="51"/>
  <c r="C26" i="51"/>
  <c r="N26" i="51"/>
  <c r="V26" i="51"/>
  <c r="X84" i="51"/>
  <c r="P84" i="51"/>
  <c r="H84" i="51"/>
  <c r="G88" i="51"/>
  <c r="O88" i="51"/>
  <c r="W88" i="51"/>
  <c r="G26" i="51"/>
  <c r="O26" i="51"/>
  <c r="W26" i="51"/>
  <c r="W84" i="51"/>
  <c r="O84" i="51"/>
  <c r="G84" i="51"/>
  <c r="H88" i="51"/>
  <c r="P88" i="51"/>
  <c r="X88" i="51"/>
  <c r="H26" i="51"/>
  <c r="P26" i="51"/>
  <c r="X26" i="51"/>
  <c r="V84" i="51"/>
  <c r="N84" i="51"/>
  <c r="F84" i="51"/>
  <c r="I88" i="51"/>
  <c r="Q88" i="51"/>
  <c r="I26" i="51"/>
  <c r="Q26" i="51"/>
  <c r="M84" i="51"/>
  <c r="E84" i="51"/>
  <c r="J88" i="51"/>
  <c r="R88" i="51"/>
  <c r="J26" i="51"/>
  <c r="R26" i="51"/>
  <c r="U84" i="51"/>
  <c r="T84" i="51"/>
  <c r="L84" i="51"/>
  <c r="C84" i="51"/>
  <c r="K88" i="51"/>
  <c r="S88" i="51"/>
  <c r="D88" i="51"/>
  <c r="K26" i="51"/>
  <c r="S26" i="51"/>
  <c r="E26" i="51"/>
  <c r="P36" i="51"/>
  <c r="M36" i="51"/>
  <c r="G21" i="49" l="1"/>
  <c r="C82" i="49"/>
  <c r="AL88" i="51"/>
  <c r="I78" i="49"/>
  <c r="AK88" i="51"/>
  <c r="G78" i="49"/>
  <c r="AK84" i="51"/>
  <c r="AL84" i="51"/>
  <c r="E78" i="49"/>
  <c r="C78" i="49"/>
  <c r="C76" i="49"/>
  <c r="C65" i="49"/>
  <c r="I21" i="49"/>
  <c r="E21" i="49"/>
  <c r="C21" i="49"/>
  <c r="E63" i="49"/>
  <c r="C63" i="49"/>
  <c r="AN84" i="62"/>
  <c r="AN88" i="62"/>
  <c r="E65" i="49"/>
  <c r="I65" i="49"/>
  <c r="G63" i="49"/>
  <c r="I63" i="49"/>
  <c r="G30" i="49"/>
  <c r="I30" i="49"/>
  <c r="C30" i="49"/>
  <c r="E30" i="49"/>
  <c r="R43" i="61"/>
  <c r="R37" i="61"/>
  <c r="S37" i="61"/>
  <c r="S40" i="61"/>
  <c r="R41" i="61"/>
  <c r="R38" i="61"/>
  <c r="S38" i="61"/>
  <c r="R40" i="61"/>
  <c r="R39" i="61"/>
  <c r="S39" i="61"/>
  <c r="S41" i="61"/>
  <c r="S42" i="61"/>
  <c r="S43" i="61"/>
  <c r="B80" i="60" l="1"/>
  <c r="AA60" i="52"/>
  <c r="AA35" i="52"/>
  <c r="AA10" i="52"/>
  <c r="AB60" i="52"/>
  <c r="AB35" i="52"/>
  <c r="AB10" i="52"/>
  <c r="A9" i="59"/>
  <c r="B9" i="59" s="1"/>
  <c r="A10" i="59"/>
  <c r="B10" i="59" s="1"/>
  <c r="A11" i="59"/>
  <c r="B11" i="59" s="1"/>
  <c r="A12" i="59"/>
  <c r="C12" i="59" s="1"/>
  <c r="A13" i="59"/>
  <c r="B13" i="59" s="1"/>
  <c r="A14" i="59"/>
  <c r="C14" i="59" s="1"/>
  <c r="A15" i="59"/>
  <c r="A16" i="59"/>
  <c r="C16" i="59" s="1"/>
  <c r="A17" i="59"/>
  <c r="C17" i="59" s="1"/>
  <c r="A18" i="59"/>
  <c r="C18" i="59" s="1"/>
  <c r="A19" i="59"/>
  <c r="A20" i="59"/>
  <c r="B20" i="59" s="1"/>
  <c r="A21" i="59"/>
  <c r="A22" i="59"/>
  <c r="C22" i="59" s="1"/>
  <c r="A23" i="59"/>
  <c r="A24" i="59"/>
  <c r="C24" i="59" s="1"/>
  <c r="A25" i="59"/>
  <c r="A26" i="59"/>
  <c r="B26" i="59" s="1"/>
  <c r="A27" i="59"/>
  <c r="B27" i="59" s="1"/>
  <c r="A28" i="59"/>
  <c r="B28" i="59" s="1"/>
  <c r="A29" i="59"/>
  <c r="A30" i="59"/>
  <c r="C30" i="59" s="1"/>
  <c r="A31" i="59"/>
  <c r="A32" i="59"/>
  <c r="C32" i="59" s="1"/>
  <c r="A33" i="59"/>
  <c r="A34" i="59"/>
  <c r="C34" i="59" s="1"/>
  <c r="A35" i="59"/>
  <c r="A36" i="59"/>
  <c r="C36" i="59" s="1"/>
  <c r="A37" i="59"/>
  <c r="A38" i="59"/>
  <c r="C38" i="59" s="1"/>
  <c r="A39" i="59"/>
  <c r="A40" i="59"/>
  <c r="C40" i="59" s="1"/>
  <c r="A41" i="59"/>
  <c r="A42" i="59"/>
  <c r="C42" i="59" s="1"/>
  <c r="A43" i="59"/>
  <c r="B43" i="59" s="1"/>
  <c r="A44" i="59"/>
  <c r="B44" i="59" s="1"/>
  <c r="A45" i="59"/>
  <c r="B45" i="59" s="1"/>
  <c r="A46" i="59"/>
  <c r="C46" i="59" s="1"/>
  <c r="A47" i="59"/>
  <c r="A48" i="59"/>
  <c r="C48" i="59" s="1"/>
  <c r="A49" i="59"/>
  <c r="C49" i="59" s="1"/>
  <c r="A50" i="59"/>
  <c r="B50" i="59" s="1"/>
  <c r="A51" i="59"/>
  <c r="A52" i="59"/>
  <c r="B52" i="59" s="1"/>
  <c r="A53" i="59"/>
  <c r="A54" i="59"/>
  <c r="C54" i="59" s="1"/>
  <c r="A55" i="59"/>
  <c r="A56" i="59"/>
  <c r="C56" i="59" s="1"/>
  <c r="A57" i="59"/>
  <c r="A58" i="59"/>
  <c r="B58" i="59" s="1"/>
  <c r="A59" i="59"/>
  <c r="C59" i="59" s="1"/>
  <c r="A60" i="59"/>
  <c r="B60" i="59" s="1"/>
  <c r="A61" i="59"/>
  <c r="B61" i="59" s="1"/>
  <c r="A62" i="59"/>
  <c r="A63" i="59"/>
  <c r="B63" i="59" s="1"/>
  <c r="A64" i="59"/>
  <c r="A65" i="59"/>
  <c r="B65" i="59" s="1"/>
  <c r="A66" i="59"/>
  <c r="B66" i="59" s="1"/>
  <c r="A67" i="59"/>
  <c r="B67" i="59" s="1"/>
  <c r="A68" i="59"/>
  <c r="B68" i="59" s="1"/>
  <c r="V58" i="56"/>
  <c r="W58" i="56"/>
  <c r="X58" i="56"/>
  <c r="Y58" i="56"/>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I245" i="54"/>
  <c r="I246" i="54"/>
  <c r="I247" i="54"/>
  <c r="I248" i="54"/>
  <c r="I249" i="54"/>
  <c r="I250" i="54"/>
  <c r="I9" i="54"/>
  <c r="H10" i="54"/>
  <c r="H11" i="54"/>
  <c r="H12" i="54"/>
  <c r="H13" i="54"/>
  <c r="H14" i="54"/>
  <c r="H15" i="54"/>
  <c r="H16" i="54"/>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H245" i="54"/>
  <c r="H246" i="54"/>
  <c r="H247" i="54"/>
  <c r="H248" i="54"/>
  <c r="H249" i="54"/>
  <c r="H250" i="54"/>
  <c r="H9" i="54"/>
  <c r="AM36" i="52"/>
  <c r="AL36" i="52"/>
  <c r="AK36" i="52"/>
  <c r="AJ36" i="52"/>
  <c r="AI36" i="52"/>
  <c r="AH36" i="52"/>
  <c r="AG36" i="52"/>
  <c r="AF36" i="52"/>
  <c r="AE36" i="52"/>
  <c r="AK35" i="52"/>
  <c r="AH35" i="52"/>
  <c r="AE35" i="52"/>
  <c r="Z36" i="36"/>
  <c r="Y36" i="36"/>
  <c r="X36" i="36"/>
  <c r="W36" i="36"/>
  <c r="V36" i="36"/>
  <c r="U36" i="36"/>
  <c r="Y35" i="36"/>
  <c r="W35" i="36"/>
  <c r="U35"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10" i="36"/>
  <c r="M10" i="5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9" i="52"/>
  <c r="I9" i="36"/>
  <c r="L10" i="52"/>
  <c r="A10" i="52" s="1"/>
  <c r="L11" i="52"/>
  <c r="L12" i="52"/>
  <c r="A12" i="52" s="1"/>
  <c r="L13" i="52"/>
  <c r="L14" i="52"/>
  <c r="L15" i="52"/>
  <c r="L16" i="52"/>
  <c r="A16" i="52" s="1"/>
  <c r="L17" i="52"/>
  <c r="L18" i="52"/>
  <c r="A18" i="52" s="1"/>
  <c r="L19" i="52"/>
  <c r="L20" i="52"/>
  <c r="A20" i="52" s="1"/>
  <c r="L21" i="52"/>
  <c r="L22" i="52"/>
  <c r="L23" i="52"/>
  <c r="L24" i="52"/>
  <c r="A24" i="52" s="1"/>
  <c r="L25" i="52"/>
  <c r="L26" i="52"/>
  <c r="A26" i="52" s="1"/>
  <c r="L27" i="52"/>
  <c r="L28" i="52"/>
  <c r="A28" i="52" s="1"/>
  <c r="L29" i="52"/>
  <c r="L30" i="52"/>
  <c r="L31" i="52"/>
  <c r="L32" i="52"/>
  <c r="A32" i="52" s="1"/>
  <c r="L33" i="52"/>
  <c r="L34" i="52"/>
  <c r="A34" i="52" s="1"/>
  <c r="L35" i="52"/>
  <c r="L36" i="52"/>
  <c r="A36" i="52" s="1"/>
  <c r="L37" i="52"/>
  <c r="L38" i="52"/>
  <c r="L39" i="52"/>
  <c r="L40" i="52"/>
  <c r="A40" i="52" s="1"/>
  <c r="L41" i="52"/>
  <c r="L42" i="52"/>
  <c r="A42" i="52" s="1"/>
  <c r="L43" i="52"/>
  <c r="L44" i="52"/>
  <c r="A44" i="52" s="1"/>
  <c r="L45" i="52"/>
  <c r="L46" i="52"/>
  <c r="L47" i="52"/>
  <c r="L48" i="52"/>
  <c r="A48" i="52" s="1"/>
  <c r="L49" i="52"/>
  <c r="L50" i="52"/>
  <c r="A50" i="52" s="1"/>
  <c r="L51" i="52"/>
  <c r="L52" i="52"/>
  <c r="A52" i="52" s="1"/>
  <c r="L53" i="52"/>
  <c r="L54" i="52"/>
  <c r="L55" i="52"/>
  <c r="L56" i="52"/>
  <c r="A56" i="52" s="1"/>
  <c r="L57" i="52"/>
  <c r="L58" i="52"/>
  <c r="A58" i="52" s="1"/>
  <c r="L59" i="52"/>
  <c r="L60" i="52"/>
  <c r="A60" i="52" s="1"/>
  <c r="L61" i="52"/>
  <c r="L62" i="52"/>
  <c r="L63" i="52"/>
  <c r="L64" i="52"/>
  <c r="A64" i="52" s="1"/>
  <c r="L65" i="52"/>
  <c r="L66" i="52"/>
  <c r="A66" i="52" s="1"/>
  <c r="L67" i="52"/>
  <c r="L68" i="52"/>
  <c r="A68" i="52" s="1"/>
  <c r="L69" i="52"/>
  <c r="L70" i="52"/>
  <c r="L71" i="52"/>
  <c r="L72" i="52"/>
  <c r="A72" i="52" s="1"/>
  <c r="L73" i="52"/>
  <c r="L74" i="52"/>
  <c r="A74" i="52" s="1"/>
  <c r="L75" i="52"/>
  <c r="L76" i="52"/>
  <c r="A76" i="52" s="1"/>
  <c r="L77" i="52"/>
  <c r="L78" i="52"/>
  <c r="L101" i="52"/>
  <c r="L102" i="52"/>
  <c r="A102" i="52" s="1"/>
  <c r="L103" i="52"/>
  <c r="L104" i="52"/>
  <c r="A104" i="52" s="1"/>
  <c r="L105" i="52"/>
  <c r="L106" i="52"/>
  <c r="A106" i="52" s="1"/>
  <c r="L107" i="52"/>
  <c r="L108" i="52"/>
  <c r="L109" i="52"/>
  <c r="L110" i="52"/>
  <c r="A110" i="52" s="1"/>
  <c r="L111" i="52"/>
  <c r="L112" i="52"/>
  <c r="A112" i="52" s="1"/>
  <c r="L113" i="52"/>
  <c r="L114" i="52"/>
  <c r="A114" i="52" s="1"/>
  <c r="L115" i="52"/>
  <c r="L116" i="52"/>
  <c r="L117" i="52"/>
  <c r="L118" i="52"/>
  <c r="A118" i="52" s="1"/>
  <c r="L119" i="52"/>
  <c r="L120" i="52"/>
  <c r="A120" i="52" s="1"/>
  <c r="L121" i="52"/>
  <c r="L122" i="52"/>
  <c r="A122" i="52" s="1"/>
  <c r="L123" i="52"/>
  <c r="L124" i="52"/>
  <c r="L125" i="52"/>
  <c r="L126" i="52"/>
  <c r="A126" i="52" s="1"/>
  <c r="L127" i="52"/>
  <c r="L128" i="52"/>
  <c r="A128" i="52" s="1"/>
  <c r="L129" i="52"/>
  <c r="L130" i="52"/>
  <c r="A130" i="52" s="1"/>
  <c r="L131" i="52"/>
  <c r="L132" i="52"/>
  <c r="L133" i="52"/>
  <c r="L134" i="52"/>
  <c r="A134" i="52" s="1"/>
  <c r="L135" i="52"/>
  <c r="L136" i="52"/>
  <c r="A136" i="52" s="1"/>
  <c r="L137" i="52"/>
  <c r="L138" i="52"/>
  <c r="A138" i="52" s="1"/>
  <c r="L139" i="52"/>
  <c r="L140" i="52"/>
  <c r="L141" i="52"/>
  <c r="L142" i="52"/>
  <c r="A142" i="52" s="1"/>
  <c r="L143" i="52"/>
  <c r="L144" i="52"/>
  <c r="A144" i="52" s="1"/>
  <c r="L145" i="52"/>
  <c r="L146" i="52"/>
  <c r="A146" i="52" s="1"/>
  <c r="L147" i="52"/>
  <c r="L148" i="52"/>
  <c r="L149" i="52"/>
  <c r="L150" i="52"/>
  <c r="A150" i="52" s="1"/>
  <c r="L151" i="52"/>
  <c r="L152" i="52"/>
  <c r="A152" i="52" s="1"/>
  <c r="L153" i="52"/>
  <c r="L154" i="52"/>
  <c r="A154" i="52" s="1"/>
  <c r="L155" i="52"/>
  <c r="L156" i="52"/>
  <c r="L157" i="52"/>
  <c r="L158" i="52"/>
  <c r="A158" i="52" s="1"/>
  <c r="L159" i="52"/>
  <c r="L160" i="52"/>
  <c r="A160" i="52" s="1"/>
  <c r="L161" i="52"/>
  <c r="L162" i="52"/>
  <c r="A162" i="52" s="1"/>
  <c r="L163" i="52"/>
  <c r="L164" i="52"/>
  <c r="L165" i="52"/>
  <c r="L166" i="52"/>
  <c r="A166" i="52" s="1"/>
  <c r="L167" i="52"/>
  <c r="L168" i="52"/>
  <c r="A168" i="52" s="1"/>
  <c r="L169" i="52"/>
  <c r="L170" i="52"/>
  <c r="A170" i="52" s="1"/>
  <c r="L171" i="52"/>
  <c r="L172" i="52"/>
  <c r="L173" i="52"/>
  <c r="L174" i="52"/>
  <c r="A174" i="52" s="1"/>
  <c r="L175" i="52"/>
  <c r="L176" i="52"/>
  <c r="A176" i="52" s="1"/>
  <c r="L177" i="52"/>
  <c r="L178" i="52"/>
  <c r="A178" i="52" s="1"/>
  <c r="L179" i="52"/>
  <c r="L180" i="52"/>
  <c r="L181" i="52"/>
  <c r="L182" i="52"/>
  <c r="A182" i="52" s="1"/>
  <c r="L183" i="52"/>
  <c r="L184" i="52"/>
  <c r="A184" i="52" s="1"/>
  <c r="L185" i="52"/>
  <c r="L186" i="52"/>
  <c r="A186" i="52" s="1"/>
  <c r="L187" i="52"/>
  <c r="L188" i="52"/>
  <c r="L189" i="52"/>
  <c r="L190" i="52"/>
  <c r="A190" i="52" s="1"/>
  <c r="L191" i="52"/>
  <c r="L192" i="52"/>
  <c r="A192" i="52" s="1"/>
  <c r="L193" i="52"/>
  <c r="L194" i="52"/>
  <c r="A194" i="52" s="1"/>
  <c r="L195" i="52"/>
  <c r="L196" i="52"/>
  <c r="L197" i="52"/>
  <c r="L198" i="52"/>
  <c r="A198" i="52" s="1"/>
  <c r="L199" i="52"/>
  <c r="L200" i="52"/>
  <c r="A200" i="52" s="1"/>
  <c r="L201" i="52"/>
  <c r="L202" i="52"/>
  <c r="A202" i="52" s="1"/>
  <c r="L203" i="52"/>
  <c r="L204" i="52"/>
  <c r="L205" i="52"/>
  <c r="L206" i="52"/>
  <c r="A206" i="52" s="1"/>
  <c r="L207" i="52"/>
  <c r="L208" i="52"/>
  <c r="A208" i="52" s="1"/>
  <c r="L209" i="52"/>
  <c r="L210" i="52"/>
  <c r="A210" i="52" s="1"/>
  <c r="L211" i="52"/>
  <c r="L212" i="52"/>
  <c r="L213" i="52"/>
  <c r="L214" i="52"/>
  <c r="A214" i="52" s="1"/>
  <c r="L215" i="52"/>
  <c r="L216" i="52"/>
  <c r="A216" i="52" s="1"/>
  <c r="L217" i="52"/>
  <c r="L218" i="52"/>
  <c r="A218" i="52" s="1"/>
  <c r="L219" i="52"/>
  <c r="L220" i="52"/>
  <c r="L221" i="52"/>
  <c r="L222" i="52"/>
  <c r="A222" i="52" s="1"/>
  <c r="L223" i="52"/>
  <c r="L224" i="52"/>
  <c r="A224" i="52" s="1"/>
  <c r="L225" i="52"/>
  <c r="L226" i="52"/>
  <c r="A226" i="52" s="1"/>
  <c r="L227" i="52"/>
  <c r="L228" i="52"/>
  <c r="L229" i="52"/>
  <c r="L230" i="52"/>
  <c r="A230" i="52" s="1"/>
  <c r="L231" i="52"/>
  <c r="L232" i="52"/>
  <c r="A232" i="52" s="1"/>
  <c r="L233" i="52"/>
  <c r="L234" i="52"/>
  <c r="A234" i="52" s="1"/>
  <c r="L235" i="52"/>
  <c r="L236" i="52"/>
  <c r="L237" i="52"/>
  <c r="L238" i="52"/>
  <c r="A238" i="52" s="1"/>
  <c r="L239" i="52"/>
  <c r="L240" i="52"/>
  <c r="A240" i="52" s="1"/>
  <c r="L241" i="52"/>
  <c r="L242" i="52"/>
  <c r="A242" i="52" s="1"/>
  <c r="L243" i="52"/>
  <c r="L244" i="52"/>
  <c r="L245" i="52"/>
  <c r="L246" i="52"/>
  <c r="A246" i="52" s="1"/>
  <c r="L247" i="52"/>
  <c r="L248" i="52"/>
  <c r="A248" i="52" s="1"/>
  <c r="L249" i="52"/>
  <c r="L250" i="52"/>
  <c r="A250" i="52" s="1"/>
  <c r="L9" i="52"/>
  <c r="L25" i="54"/>
  <c r="P25" i="54"/>
  <c r="N25" i="54"/>
  <c r="N26" i="54"/>
  <c r="O26" i="54"/>
  <c r="P26" i="54"/>
  <c r="Q26" i="54"/>
  <c r="M26" i="54"/>
  <c r="L26" i="54"/>
  <c r="U35" i="28"/>
  <c r="T35" i="28"/>
  <c r="F76" i="28"/>
  <c r="G76" i="28"/>
  <c r="F77" i="28"/>
  <c r="G77" i="28"/>
  <c r="F78" i="28"/>
  <c r="G78" i="28"/>
  <c r="F79" i="28"/>
  <c r="G79" i="28"/>
  <c r="F80" i="28"/>
  <c r="G80" i="28"/>
  <c r="F81" i="28"/>
  <c r="G81" i="28"/>
  <c r="F82" i="28"/>
  <c r="G82" i="28"/>
  <c r="F83" i="28"/>
  <c r="G83" i="28"/>
  <c r="F84" i="28"/>
  <c r="G84" i="28"/>
  <c r="F85" i="28"/>
  <c r="G85" i="28"/>
  <c r="F86" i="28"/>
  <c r="G86" i="28"/>
  <c r="F87" i="28"/>
  <c r="G87" i="28"/>
  <c r="F88" i="28"/>
  <c r="G88" i="28"/>
  <c r="F89" i="28"/>
  <c r="G89" i="28"/>
  <c r="F90" i="28"/>
  <c r="G90" i="28"/>
  <c r="F91" i="28"/>
  <c r="G91" i="28"/>
  <c r="F92" i="28"/>
  <c r="G92" i="28"/>
  <c r="F93" i="28"/>
  <c r="G93" i="28"/>
  <c r="F94" i="28"/>
  <c r="G94" i="28"/>
  <c r="F95" i="28"/>
  <c r="G95" i="28"/>
  <c r="F96" i="28"/>
  <c r="G96" i="28"/>
  <c r="F97" i="28"/>
  <c r="G97" i="28"/>
  <c r="F98" i="28"/>
  <c r="G98" i="28"/>
  <c r="F99" i="28"/>
  <c r="G99" i="28"/>
  <c r="F100" i="28"/>
  <c r="G100" i="28"/>
  <c r="F101" i="28"/>
  <c r="G101" i="28"/>
  <c r="F102" i="28"/>
  <c r="G102" i="28"/>
  <c r="F103" i="28"/>
  <c r="G103" i="28"/>
  <c r="F104" i="28"/>
  <c r="G104" i="28"/>
  <c r="F105" i="28"/>
  <c r="G105" i="28"/>
  <c r="F106" i="28"/>
  <c r="G106" i="28"/>
  <c r="F107" i="28"/>
  <c r="G107" i="28"/>
  <c r="F108" i="28"/>
  <c r="G108" i="28"/>
  <c r="F109" i="28"/>
  <c r="G109" i="28"/>
  <c r="F110" i="28"/>
  <c r="G110" i="28"/>
  <c r="F111" i="28"/>
  <c r="G111" i="28"/>
  <c r="F112" i="28"/>
  <c r="G112" i="28"/>
  <c r="F113" i="28"/>
  <c r="G113" i="28"/>
  <c r="F114" i="28"/>
  <c r="G114" i="28"/>
  <c r="F115" i="28"/>
  <c r="G115" i="28"/>
  <c r="F116" i="28"/>
  <c r="G116" i="28"/>
  <c r="F117" i="28"/>
  <c r="G117" i="28"/>
  <c r="F118" i="28"/>
  <c r="G118" i="28"/>
  <c r="F119" i="28"/>
  <c r="G119" i="28"/>
  <c r="F120" i="28"/>
  <c r="G120" i="28"/>
  <c r="F121" i="28"/>
  <c r="G121" i="28"/>
  <c r="F122" i="28"/>
  <c r="G122" i="28"/>
  <c r="F123" i="28"/>
  <c r="G123" i="28"/>
  <c r="F124" i="28"/>
  <c r="G124" i="28"/>
  <c r="F125" i="28"/>
  <c r="G125" i="28"/>
  <c r="F126" i="28"/>
  <c r="G126" i="28"/>
  <c r="F127" i="28"/>
  <c r="G127" i="28"/>
  <c r="F128" i="28"/>
  <c r="G128" i="28"/>
  <c r="F129" i="28"/>
  <c r="G129" i="28"/>
  <c r="F130" i="28"/>
  <c r="G130" i="28"/>
  <c r="F131" i="28"/>
  <c r="G131" i="28"/>
  <c r="F132" i="28"/>
  <c r="G132" i="28"/>
  <c r="F133" i="28"/>
  <c r="G133" i="28"/>
  <c r="F134" i="28"/>
  <c r="G134" i="28"/>
  <c r="F135" i="28"/>
  <c r="G135" i="28"/>
  <c r="F136" i="28"/>
  <c r="G136" i="28"/>
  <c r="F137" i="28"/>
  <c r="G137" i="28"/>
  <c r="F138" i="28"/>
  <c r="G138" i="28"/>
  <c r="F139" i="28"/>
  <c r="G139" i="28"/>
  <c r="F140" i="28"/>
  <c r="G140" i="28"/>
  <c r="F141" i="28"/>
  <c r="G141" i="28"/>
  <c r="F142" i="28"/>
  <c r="G142" i="28"/>
  <c r="F143" i="28"/>
  <c r="G143" i="28"/>
  <c r="F144" i="28"/>
  <c r="G144" i="28"/>
  <c r="F145" i="28"/>
  <c r="G145" i="28"/>
  <c r="F146" i="28"/>
  <c r="G146" i="28"/>
  <c r="F147" i="28"/>
  <c r="G147" i="28"/>
  <c r="F148" i="28"/>
  <c r="G148" i="28"/>
  <c r="F149" i="28"/>
  <c r="G149" i="28"/>
  <c r="F150" i="28"/>
  <c r="G150" i="28"/>
  <c r="F151" i="28"/>
  <c r="G151" i="28"/>
  <c r="F152" i="28"/>
  <c r="G152" i="28"/>
  <c r="F153" i="28"/>
  <c r="G153" i="28"/>
  <c r="F154" i="28"/>
  <c r="G154" i="28"/>
  <c r="F155" i="28"/>
  <c r="G155" i="28"/>
  <c r="F156" i="28"/>
  <c r="G156" i="28"/>
  <c r="F157" i="28"/>
  <c r="G157" i="28"/>
  <c r="F158" i="28"/>
  <c r="G158" i="28"/>
  <c r="F159" i="28"/>
  <c r="G159" i="28"/>
  <c r="F160" i="28"/>
  <c r="G160" i="28"/>
  <c r="F161" i="28"/>
  <c r="G161" i="28"/>
  <c r="F162" i="28"/>
  <c r="G162" i="28"/>
  <c r="F163" i="28"/>
  <c r="G163" i="28"/>
  <c r="F164" i="28"/>
  <c r="G164" i="28"/>
  <c r="F165" i="28"/>
  <c r="G165" i="28"/>
  <c r="F166" i="28"/>
  <c r="G166" i="28"/>
  <c r="F167" i="28"/>
  <c r="G167" i="28"/>
  <c r="F168" i="28"/>
  <c r="G168" i="28"/>
  <c r="F169" i="28"/>
  <c r="G169" i="28"/>
  <c r="F170" i="28"/>
  <c r="G170" i="28"/>
  <c r="F171" i="28"/>
  <c r="G171" i="28"/>
  <c r="F172" i="28"/>
  <c r="G172" i="28"/>
  <c r="F173" i="28"/>
  <c r="G173" i="28"/>
  <c r="F174" i="28"/>
  <c r="G174" i="28"/>
  <c r="F175" i="28"/>
  <c r="G175" i="28"/>
  <c r="F176" i="28"/>
  <c r="G176" i="28"/>
  <c r="F177" i="28"/>
  <c r="G177" i="28"/>
  <c r="F178" i="28"/>
  <c r="G178" i="28"/>
  <c r="F179" i="28"/>
  <c r="G179" i="28"/>
  <c r="F180" i="28"/>
  <c r="G180" i="28"/>
  <c r="F181" i="28"/>
  <c r="G181" i="28"/>
  <c r="F182" i="28"/>
  <c r="G182" i="28"/>
  <c r="F183" i="28"/>
  <c r="G183" i="28"/>
  <c r="F184" i="28"/>
  <c r="G184" i="28"/>
  <c r="F185" i="28"/>
  <c r="G185" i="28"/>
  <c r="F186" i="28"/>
  <c r="G186" i="28"/>
  <c r="F187" i="28"/>
  <c r="G187" i="28"/>
  <c r="F188" i="28"/>
  <c r="G188" i="28"/>
  <c r="F189" i="28"/>
  <c r="G189" i="28"/>
  <c r="F190" i="28"/>
  <c r="G190" i="28"/>
  <c r="F191" i="28"/>
  <c r="G191" i="28"/>
  <c r="F192" i="28"/>
  <c r="G192" i="28"/>
  <c r="F193" i="28"/>
  <c r="G193" i="28"/>
  <c r="F194" i="28"/>
  <c r="G194" i="28"/>
  <c r="F195" i="28"/>
  <c r="G195" i="28"/>
  <c r="F196" i="28"/>
  <c r="G196" i="28"/>
  <c r="F197" i="28"/>
  <c r="G197" i="28"/>
  <c r="F198" i="28"/>
  <c r="G198" i="28"/>
  <c r="F199" i="28"/>
  <c r="G199" i="28"/>
  <c r="F200" i="28"/>
  <c r="G200" i="28"/>
  <c r="F201" i="28"/>
  <c r="G201" i="28"/>
  <c r="F202" i="28"/>
  <c r="G202" i="28"/>
  <c r="F203" i="28"/>
  <c r="G203" i="28"/>
  <c r="F204" i="28"/>
  <c r="G204" i="28"/>
  <c r="F205" i="28"/>
  <c r="G205" i="28"/>
  <c r="F206" i="28"/>
  <c r="G206" i="28"/>
  <c r="F207" i="28"/>
  <c r="G207" i="28"/>
  <c r="F208" i="28"/>
  <c r="G208" i="28"/>
  <c r="F209" i="28"/>
  <c r="G209" i="28"/>
  <c r="F210" i="28"/>
  <c r="G210" i="28"/>
  <c r="F211" i="28"/>
  <c r="G211" i="28"/>
  <c r="F212" i="28"/>
  <c r="G212" i="28"/>
  <c r="F213" i="28"/>
  <c r="G213" i="28"/>
  <c r="F214" i="28"/>
  <c r="G214" i="28"/>
  <c r="F215" i="28"/>
  <c r="G215" i="28"/>
  <c r="F216" i="28"/>
  <c r="G216" i="28"/>
  <c r="F217" i="28"/>
  <c r="G217" i="28"/>
  <c r="F218" i="28"/>
  <c r="G218" i="28"/>
  <c r="F219" i="28"/>
  <c r="G219" i="28"/>
  <c r="F220" i="28"/>
  <c r="G220" i="28"/>
  <c r="F221" i="28"/>
  <c r="G221" i="28"/>
  <c r="F222" i="28"/>
  <c r="G222" i="28"/>
  <c r="F223" i="28"/>
  <c r="G223" i="28"/>
  <c r="F224" i="28"/>
  <c r="G224" i="28"/>
  <c r="F225" i="28"/>
  <c r="G225" i="28"/>
  <c r="F226" i="28"/>
  <c r="G226" i="28"/>
  <c r="F227" i="28"/>
  <c r="G227" i="28"/>
  <c r="F228" i="28"/>
  <c r="G228" i="28"/>
  <c r="F229" i="28"/>
  <c r="G229" i="28"/>
  <c r="F230" i="28"/>
  <c r="G230" i="28"/>
  <c r="F231" i="28"/>
  <c r="G231" i="28"/>
  <c r="F232" i="28"/>
  <c r="G232" i="28"/>
  <c r="F233" i="28"/>
  <c r="G233" i="28"/>
  <c r="F234" i="28"/>
  <c r="G234" i="28"/>
  <c r="F235" i="28"/>
  <c r="G235" i="28"/>
  <c r="F236" i="28"/>
  <c r="G236" i="28"/>
  <c r="F237" i="28"/>
  <c r="G237" i="28"/>
  <c r="F238" i="28"/>
  <c r="G238" i="28"/>
  <c r="F239" i="28"/>
  <c r="G239" i="28"/>
  <c r="F240" i="28"/>
  <c r="G240" i="28"/>
  <c r="F241" i="28"/>
  <c r="G241" i="28"/>
  <c r="F242" i="28"/>
  <c r="G242" i="28"/>
  <c r="F243" i="28"/>
  <c r="G243" i="28"/>
  <c r="F244" i="28"/>
  <c r="G244" i="28"/>
  <c r="F245" i="28"/>
  <c r="G245" i="28"/>
  <c r="F246" i="28"/>
  <c r="G246" i="28"/>
  <c r="F247" i="28"/>
  <c r="G247" i="28"/>
  <c r="F248" i="28"/>
  <c r="G248" i="28"/>
  <c r="F249" i="28"/>
  <c r="G249" i="28"/>
  <c r="F250" i="28"/>
  <c r="G250"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8" i="28"/>
  <c r="S35" i="22"/>
  <c r="R35" i="22"/>
  <c r="D76" i="22"/>
  <c r="E76" i="22"/>
  <c r="D77" i="22"/>
  <c r="E77" i="22"/>
  <c r="D78" i="22"/>
  <c r="E78" i="22"/>
  <c r="D81" i="22"/>
  <c r="E81" i="22"/>
  <c r="D82" i="22"/>
  <c r="E82" i="22"/>
  <c r="D83" i="22"/>
  <c r="E83" i="22"/>
  <c r="D84" i="22"/>
  <c r="E84" i="22"/>
  <c r="D85" i="22"/>
  <c r="E85" i="22"/>
  <c r="D86" i="22"/>
  <c r="E86" i="22"/>
  <c r="D87" i="22"/>
  <c r="E87" i="22"/>
  <c r="D88" i="22"/>
  <c r="E88" i="22"/>
  <c r="D89" i="22"/>
  <c r="E89" i="22"/>
  <c r="D90" i="22"/>
  <c r="E90" i="22"/>
  <c r="D91" i="22"/>
  <c r="E91" i="22"/>
  <c r="D92" i="22"/>
  <c r="E92" i="22"/>
  <c r="D93" i="22"/>
  <c r="E93" i="22"/>
  <c r="D94" i="22"/>
  <c r="E94" i="22"/>
  <c r="D95" i="22"/>
  <c r="E95" i="22"/>
  <c r="D96" i="22"/>
  <c r="E96" i="22"/>
  <c r="D97" i="22"/>
  <c r="E97" i="22"/>
  <c r="D98" i="22"/>
  <c r="E98" i="22"/>
  <c r="D99" i="22"/>
  <c r="E99" i="22"/>
  <c r="D100" i="22"/>
  <c r="E100" i="22"/>
  <c r="D101" i="22"/>
  <c r="E101" i="22"/>
  <c r="D102" i="22"/>
  <c r="E102" i="22"/>
  <c r="D103" i="22"/>
  <c r="E103" i="22"/>
  <c r="D104" i="22"/>
  <c r="E104" i="22"/>
  <c r="D105" i="22"/>
  <c r="E105" i="22"/>
  <c r="D106" i="22"/>
  <c r="E106" i="22"/>
  <c r="D107" i="22"/>
  <c r="E107" i="22"/>
  <c r="D108" i="22"/>
  <c r="E108" i="22"/>
  <c r="D109" i="22"/>
  <c r="E109" i="22"/>
  <c r="D110" i="22"/>
  <c r="E110" i="22"/>
  <c r="D111" i="22"/>
  <c r="E111" i="22"/>
  <c r="D112" i="22"/>
  <c r="E112" i="22"/>
  <c r="D113" i="22"/>
  <c r="E113" i="22"/>
  <c r="D114" i="22"/>
  <c r="E114" i="22"/>
  <c r="D115" i="22"/>
  <c r="E115" i="22"/>
  <c r="D116" i="22"/>
  <c r="E116" i="22"/>
  <c r="D117" i="22"/>
  <c r="E117" i="22"/>
  <c r="D118" i="22"/>
  <c r="E118" i="22"/>
  <c r="D119" i="22"/>
  <c r="E119" i="22"/>
  <c r="D120" i="22"/>
  <c r="E120" i="22"/>
  <c r="D121" i="22"/>
  <c r="E121" i="22"/>
  <c r="D122" i="22"/>
  <c r="E122" i="22"/>
  <c r="D123" i="22"/>
  <c r="E123" i="22"/>
  <c r="D124" i="22"/>
  <c r="E124" i="22"/>
  <c r="D125" i="22"/>
  <c r="E125" i="22"/>
  <c r="D126" i="22"/>
  <c r="E126" i="22"/>
  <c r="D127" i="22"/>
  <c r="E127" i="22"/>
  <c r="D128" i="22"/>
  <c r="E128" i="22"/>
  <c r="D129" i="22"/>
  <c r="E129" i="22"/>
  <c r="D130" i="22"/>
  <c r="E130" i="22"/>
  <c r="D131" i="22"/>
  <c r="E131" i="22"/>
  <c r="D132" i="22"/>
  <c r="E132" i="22"/>
  <c r="D133" i="22"/>
  <c r="E133" i="22"/>
  <c r="D134" i="22"/>
  <c r="E134" i="22"/>
  <c r="D135" i="22"/>
  <c r="E135" i="22"/>
  <c r="D136" i="22"/>
  <c r="E136" i="22"/>
  <c r="D137" i="22"/>
  <c r="E137" i="22"/>
  <c r="D138" i="22"/>
  <c r="E138" i="22"/>
  <c r="D139" i="22"/>
  <c r="E139" i="22"/>
  <c r="D140" i="22"/>
  <c r="E140" i="22"/>
  <c r="D141" i="22"/>
  <c r="E141" i="22"/>
  <c r="D142" i="22"/>
  <c r="E142" i="22"/>
  <c r="D143" i="22"/>
  <c r="E143" i="22"/>
  <c r="D144" i="22"/>
  <c r="E144" i="22"/>
  <c r="D145" i="22"/>
  <c r="E145" i="22"/>
  <c r="D146" i="22"/>
  <c r="E146" i="22"/>
  <c r="D147" i="22"/>
  <c r="E147" i="22"/>
  <c r="D148" i="22"/>
  <c r="E148" i="22"/>
  <c r="D149" i="22"/>
  <c r="E149" i="22"/>
  <c r="D150" i="22"/>
  <c r="E150" i="22"/>
  <c r="D151" i="22"/>
  <c r="E151" i="22"/>
  <c r="D152" i="22"/>
  <c r="E152" i="22"/>
  <c r="D153" i="22"/>
  <c r="E153" i="22"/>
  <c r="D154" i="22"/>
  <c r="E154" i="22"/>
  <c r="D155" i="22"/>
  <c r="E155" i="22"/>
  <c r="D156" i="22"/>
  <c r="E156" i="22"/>
  <c r="D157" i="22"/>
  <c r="E157" i="22"/>
  <c r="D158" i="22"/>
  <c r="E158" i="22"/>
  <c r="D159" i="22"/>
  <c r="E159" i="22"/>
  <c r="D160" i="22"/>
  <c r="E160" i="22"/>
  <c r="D161" i="22"/>
  <c r="E161" i="22"/>
  <c r="D162" i="22"/>
  <c r="E162" i="22"/>
  <c r="D163" i="22"/>
  <c r="E163" i="22"/>
  <c r="D164" i="22"/>
  <c r="E164" i="22"/>
  <c r="D165" i="22"/>
  <c r="E165" i="22"/>
  <c r="D166" i="22"/>
  <c r="E166" i="22"/>
  <c r="D167" i="22"/>
  <c r="E167" i="22"/>
  <c r="D168" i="22"/>
  <c r="E168" i="22"/>
  <c r="D169" i="22"/>
  <c r="E169" i="22"/>
  <c r="D170" i="22"/>
  <c r="E170" i="22"/>
  <c r="D171" i="22"/>
  <c r="E171" i="22"/>
  <c r="D172" i="22"/>
  <c r="E172" i="22"/>
  <c r="D173" i="22"/>
  <c r="E173" i="22"/>
  <c r="D174" i="22"/>
  <c r="E174" i="22"/>
  <c r="D175" i="22"/>
  <c r="E175" i="22"/>
  <c r="D176" i="22"/>
  <c r="E176" i="22"/>
  <c r="D177" i="22"/>
  <c r="E177" i="22"/>
  <c r="D178" i="22"/>
  <c r="E178" i="22"/>
  <c r="D179" i="22"/>
  <c r="E179" i="22"/>
  <c r="D180" i="22"/>
  <c r="E180" i="22"/>
  <c r="D181" i="22"/>
  <c r="E181" i="22"/>
  <c r="D182" i="22"/>
  <c r="E182" i="22"/>
  <c r="D183" i="22"/>
  <c r="E183" i="22"/>
  <c r="D184" i="22"/>
  <c r="E184" i="22"/>
  <c r="D185" i="22"/>
  <c r="E185" i="22"/>
  <c r="D186" i="22"/>
  <c r="E186" i="22"/>
  <c r="D187" i="22"/>
  <c r="E187" i="22"/>
  <c r="D188" i="22"/>
  <c r="E188" i="22"/>
  <c r="D189" i="22"/>
  <c r="E189" i="22"/>
  <c r="D190" i="22"/>
  <c r="E190" i="22"/>
  <c r="D191" i="22"/>
  <c r="E191" i="22"/>
  <c r="D192" i="22"/>
  <c r="E192" i="22"/>
  <c r="D193" i="22"/>
  <c r="E193" i="22"/>
  <c r="D194" i="22"/>
  <c r="E194" i="22"/>
  <c r="D195" i="22"/>
  <c r="E195" i="22"/>
  <c r="D196" i="22"/>
  <c r="E196" i="22"/>
  <c r="D197" i="22"/>
  <c r="E197" i="22"/>
  <c r="D198" i="22"/>
  <c r="E198" i="22"/>
  <c r="D199" i="22"/>
  <c r="E199" i="22"/>
  <c r="D200" i="22"/>
  <c r="E200" i="22"/>
  <c r="D201" i="22"/>
  <c r="E201" i="22"/>
  <c r="D202" i="22"/>
  <c r="E202" i="22"/>
  <c r="D203" i="22"/>
  <c r="E203" i="22"/>
  <c r="D204" i="22"/>
  <c r="E204" i="22"/>
  <c r="D205" i="22"/>
  <c r="E205" i="22"/>
  <c r="D206" i="22"/>
  <c r="E206" i="22"/>
  <c r="D207" i="22"/>
  <c r="E207" i="22"/>
  <c r="D208" i="22"/>
  <c r="E208" i="22"/>
  <c r="D209" i="22"/>
  <c r="E209" i="22"/>
  <c r="D210" i="22"/>
  <c r="E210" i="22"/>
  <c r="D211" i="22"/>
  <c r="E211" i="22"/>
  <c r="D212" i="22"/>
  <c r="E212" i="22"/>
  <c r="D213" i="22"/>
  <c r="E213" i="22"/>
  <c r="D214" i="22"/>
  <c r="E214" i="22"/>
  <c r="D215" i="22"/>
  <c r="E215" i="22"/>
  <c r="D216" i="22"/>
  <c r="E216" i="22"/>
  <c r="D217" i="22"/>
  <c r="E217" i="22"/>
  <c r="D218" i="22"/>
  <c r="E218" i="22"/>
  <c r="D219" i="22"/>
  <c r="E219" i="22"/>
  <c r="D220" i="22"/>
  <c r="E220" i="22"/>
  <c r="D221" i="22"/>
  <c r="E221" i="22"/>
  <c r="D222" i="22"/>
  <c r="E222" i="22"/>
  <c r="D223" i="22"/>
  <c r="E223" i="22"/>
  <c r="D224" i="22"/>
  <c r="E224" i="22"/>
  <c r="D225" i="22"/>
  <c r="E225" i="22"/>
  <c r="D226" i="22"/>
  <c r="E226" i="22"/>
  <c r="D227" i="22"/>
  <c r="E227" i="22"/>
  <c r="D228" i="22"/>
  <c r="E228" i="22"/>
  <c r="D229" i="22"/>
  <c r="E229" i="22"/>
  <c r="D230" i="22"/>
  <c r="E230" i="22"/>
  <c r="D231" i="22"/>
  <c r="E231" i="22"/>
  <c r="D232" i="22"/>
  <c r="E232" i="22"/>
  <c r="D233" i="22"/>
  <c r="E233" i="22"/>
  <c r="D234" i="22"/>
  <c r="E234" i="22"/>
  <c r="D235" i="22"/>
  <c r="E235" i="22"/>
  <c r="D236" i="22"/>
  <c r="E236" i="22"/>
  <c r="D237" i="22"/>
  <c r="E237" i="22"/>
  <c r="D238" i="22"/>
  <c r="E238" i="22"/>
  <c r="D239" i="22"/>
  <c r="E239" i="22"/>
  <c r="D240" i="22"/>
  <c r="E240" i="22"/>
  <c r="D241" i="22"/>
  <c r="E241" i="22"/>
  <c r="D242" i="22"/>
  <c r="E242" i="22"/>
  <c r="D243" i="22"/>
  <c r="E243" i="22"/>
  <c r="D244" i="22"/>
  <c r="E244" i="22"/>
  <c r="D245" i="22"/>
  <c r="E245" i="22"/>
  <c r="D246" i="22"/>
  <c r="E246" i="22"/>
  <c r="D247" i="22"/>
  <c r="E247" i="22"/>
  <c r="D248" i="22"/>
  <c r="E248" i="22"/>
  <c r="D249" i="22"/>
  <c r="E249" i="22"/>
  <c r="D250" i="22"/>
  <c r="E250"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8" i="22"/>
  <c r="S35" i="17"/>
  <c r="R35" i="17"/>
  <c r="D76" i="17"/>
  <c r="E76" i="17"/>
  <c r="D77" i="17"/>
  <c r="E77" i="17"/>
  <c r="D78" i="17"/>
  <c r="E78" i="17"/>
  <c r="D79" i="17"/>
  <c r="E79" i="17"/>
  <c r="D80" i="17"/>
  <c r="E80" i="17"/>
  <c r="D81" i="17"/>
  <c r="E81" i="17"/>
  <c r="D82" i="17"/>
  <c r="E82" i="17"/>
  <c r="D83" i="17"/>
  <c r="E83" i="17"/>
  <c r="D84" i="17"/>
  <c r="E84" i="17"/>
  <c r="D85" i="17"/>
  <c r="E85" i="17"/>
  <c r="D86" i="17"/>
  <c r="E86" i="17"/>
  <c r="D87" i="17"/>
  <c r="E87" i="17"/>
  <c r="D88" i="17"/>
  <c r="E88" i="17"/>
  <c r="D89" i="17"/>
  <c r="E89" i="17"/>
  <c r="D90" i="17"/>
  <c r="E90" i="17"/>
  <c r="D91" i="17"/>
  <c r="E91" i="17"/>
  <c r="D92" i="17"/>
  <c r="E92" i="17"/>
  <c r="D93" i="17"/>
  <c r="E93" i="17"/>
  <c r="D94" i="17"/>
  <c r="E94" i="17"/>
  <c r="D95" i="17"/>
  <c r="E95" i="17"/>
  <c r="D96" i="17"/>
  <c r="E96" i="17"/>
  <c r="D97" i="17"/>
  <c r="E97" i="17"/>
  <c r="D98" i="17"/>
  <c r="E98" i="17"/>
  <c r="D99" i="17"/>
  <c r="E99" i="17"/>
  <c r="D100" i="17"/>
  <c r="E100" i="17"/>
  <c r="D101" i="17"/>
  <c r="E101" i="17"/>
  <c r="D102" i="17"/>
  <c r="E102" i="17"/>
  <c r="D103" i="17"/>
  <c r="E103" i="17"/>
  <c r="D104" i="17"/>
  <c r="E104" i="17"/>
  <c r="D105" i="17"/>
  <c r="E105" i="17"/>
  <c r="D106" i="17"/>
  <c r="E106" i="17"/>
  <c r="D107" i="17"/>
  <c r="E107" i="17"/>
  <c r="D108" i="17"/>
  <c r="E108" i="17"/>
  <c r="D109" i="17"/>
  <c r="E109" i="17"/>
  <c r="D110" i="17"/>
  <c r="E110" i="17"/>
  <c r="D111" i="17"/>
  <c r="E111" i="17"/>
  <c r="D112" i="17"/>
  <c r="E112" i="17"/>
  <c r="D113" i="17"/>
  <c r="E113" i="17"/>
  <c r="D114" i="17"/>
  <c r="E114" i="17"/>
  <c r="D115" i="17"/>
  <c r="E115" i="17"/>
  <c r="D116" i="17"/>
  <c r="E116" i="17"/>
  <c r="D117" i="17"/>
  <c r="E117" i="17"/>
  <c r="D118" i="17"/>
  <c r="E118" i="17"/>
  <c r="D119" i="17"/>
  <c r="E119" i="17"/>
  <c r="D120" i="17"/>
  <c r="E120" i="17"/>
  <c r="D121" i="17"/>
  <c r="E121" i="17"/>
  <c r="D122" i="17"/>
  <c r="E122" i="17"/>
  <c r="D123" i="17"/>
  <c r="E123" i="17"/>
  <c r="D124" i="17"/>
  <c r="E124" i="17"/>
  <c r="D125" i="17"/>
  <c r="E125" i="17"/>
  <c r="D126" i="17"/>
  <c r="E126" i="17"/>
  <c r="D127" i="17"/>
  <c r="E127" i="17"/>
  <c r="D128" i="17"/>
  <c r="E128" i="17"/>
  <c r="D129" i="17"/>
  <c r="E129" i="17"/>
  <c r="D130" i="17"/>
  <c r="E130" i="17"/>
  <c r="D131" i="17"/>
  <c r="E131" i="17"/>
  <c r="D132" i="17"/>
  <c r="E132" i="17"/>
  <c r="D133" i="17"/>
  <c r="E133" i="17"/>
  <c r="D134" i="17"/>
  <c r="E134" i="17"/>
  <c r="D135" i="17"/>
  <c r="E135" i="17"/>
  <c r="D136" i="17"/>
  <c r="E136" i="17"/>
  <c r="D137" i="17"/>
  <c r="E137" i="17"/>
  <c r="D138" i="17"/>
  <c r="E138" i="17"/>
  <c r="D139" i="17"/>
  <c r="E139" i="17"/>
  <c r="D140" i="17"/>
  <c r="E140" i="17"/>
  <c r="D141" i="17"/>
  <c r="E141" i="17"/>
  <c r="D142" i="17"/>
  <c r="E142" i="17"/>
  <c r="D143" i="17"/>
  <c r="E143" i="17"/>
  <c r="D144" i="17"/>
  <c r="E144" i="17"/>
  <c r="D145" i="17"/>
  <c r="E145" i="17"/>
  <c r="D146" i="17"/>
  <c r="E146" i="17"/>
  <c r="D147" i="17"/>
  <c r="E147" i="17"/>
  <c r="D148" i="17"/>
  <c r="E148" i="17"/>
  <c r="D149" i="17"/>
  <c r="E149" i="17"/>
  <c r="D150" i="17"/>
  <c r="E150" i="17"/>
  <c r="D151" i="17"/>
  <c r="E151" i="17"/>
  <c r="D152" i="17"/>
  <c r="E152" i="17"/>
  <c r="D153" i="17"/>
  <c r="E153" i="17"/>
  <c r="D154" i="17"/>
  <c r="E154" i="17"/>
  <c r="D155" i="17"/>
  <c r="E155" i="17"/>
  <c r="D156" i="17"/>
  <c r="E156" i="17"/>
  <c r="D157" i="17"/>
  <c r="E157" i="17"/>
  <c r="D158" i="17"/>
  <c r="E158" i="17"/>
  <c r="D159" i="17"/>
  <c r="E159" i="17"/>
  <c r="D160" i="17"/>
  <c r="E160" i="17"/>
  <c r="D161" i="17"/>
  <c r="E161" i="17"/>
  <c r="D162" i="17"/>
  <c r="E162" i="17"/>
  <c r="D163" i="17"/>
  <c r="E163" i="17"/>
  <c r="D164" i="17"/>
  <c r="E164" i="17"/>
  <c r="D165" i="17"/>
  <c r="E165" i="17"/>
  <c r="D166" i="17"/>
  <c r="E166" i="17"/>
  <c r="D167" i="17"/>
  <c r="E167" i="17"/>
  <c r="D168" i="17"/>
  <c r="E168" i="17"/>
  <c r="D169" i="17"/>
  <c r="E169" i="17"/>
  <c r="D170" i="17"/>
  <c r="E170" i="17"/>
  <c r="D171" i="17"/>
  <c r="E171" i="17"/>
  <c r="D172" i="17"/>
  <c r="E172" i="17"/>
  <c r="D173" i="17"/>
  <c r="E173" i="17"/>
  <c r="D174" i="17"/>
  <c r="E174" i="17"/>
  <c r="D175" i="17"/>
  <c r="E175" i="17"/>
  <c r="D176" i="17"/>
  <c r="E176" i="17"/>
  <c r="D177" i="17"/>
  <c r="E177" i="17"/>
  <c r="D178" i="17"/>
  <c r="E178" i="17"/>
  <c r="D179" i="17"/>
  <c r="E179" i="17"/>
  <c r="D180" i="17"/>
  <c r="E180" i="17"/>
  <c r="D181" i="17"/>
  <c r="E181" i="17"/>
  <c r="D182" i="17"/>
  <c r="E182" i="17"/>
  <c r="D183" i="17"/>
  <c r="E183" i="17"/>
  <c r="D184" i="17"/>
  <c r="E184" i="17"/>
  <c r="D185" i="17"/>
  <c r="E185" i="17"/>
  <c r="D186" i="17"/>
  <c r="E186" i="17"/>
  <c r="D187" i="17"/>
  <c r="E187" i="17"/>
  <c r="D188" i="17"/>
  <c r="E188" i="17"/>
  <c r="D189" i="17"/>
  <c r="E189" i="17"/>
  <c r="D190" i="17"/>
  <c r="E190" i="17"/>
  <c r="D191" i="17"/>
  <c r="E191" i="17"/>
  <c r="D192" i="17"/>
  <c r="E192" i="17"/>
  <c r="D193" i="17"/>
  <c r="E193" i="17"/>
  <c r="D194" i="17"/>
  <c r="E194" i="17"/>
  <c r="D195" i="17"/>
  <c r="E195" i="17"/>
  <c r="D196" i="17"/>
  <c r="E196" i="17"/>
  <c r="D197" i="17"/>
  <c r="E197" i="17"/>
  <c r="D198" i="17"/>
  <c r="E198" i="17"/>
  <c r="D199" i="17"/>
  <c r="E199" i="17"/>
  <c r="D200" i="17"/>
  <c r="E200" i="17"/>
  <c r="D201" i="17"/>
  <c r="E201" i="17"/>
  <c r="D202" i="17"/>
  <c r="E202" i="17"/>
  <c r="D203" i="17"/>
  <c r="E203" i="17"/>
  <c r="D204" i="17"/>
  <c r="E204" i="17"/>
  <c r="D205" i="17"/>
  <c r="E205" i="17"/>
  <c r="D206" i="17"/>
  <c r="E206" i="17"/>
  <c r="D207" i="17"/>
  <c r="E207" i="17"/>
  <c r="D208" i="17"/>
  <c r="E208" i="17"/>
  <c r="D209" i="17"/>
  <c r="E209" i="17"/>
  <c r="D210" i="17"/>
  <c r="E210" i="17"/>
  <c r="D211" i="17"/>
  <c r="E211" i="17"/>
  <c r="D212" i="17"/>
  <c r="E212" i="17"/>
  <c r="D213" i="17"/>
  <c r="E213" i="17"/>
  <c r="D214" i="17"/>
  <c r="E214" i="17"/>
  <c r="D215" i="17"/>
  <c r="E215" i="17"/>
  <c r="D216" i="17"/>
  <c r="E216" i="17"/>
  <c r="D217" i="17"/>
  <c r="E217" i="17"/>
  <c r="D218" i="17"/>
  <c r="E218" i="17"/>
  <c r="D219" i="17"/>
  <c r="E219" i="17"/>
  <c r="D220" i="17"/>
  <c r="E220" i="17"/>
  <c r="D221" i="17"/>
  <c r="E221" i="17"/>
  <c r="D222" i="17"/>
  <c r="E222" i="17"/>
  <c r="D223" i="17"/>
  <c r="E223" i="17"/>
  <c r="D224" i="17"/>
  <c r="E224" i="17"/>
  <c r="D225" i="17"/>
  <c r="E225" i="17"/>
  <c r="D226" i="17"/>
  <c r="E226" i="17"/>
  <c r="D227" i="17"/>
  <c r="E227" i="17"/>
  <c r="D228" i="17"/>
  <c r="E228" i="17"/>
  <c r="D229" i="17"/>
  <c r="E229" i="17"/>
  <c r="D230" i="17"/>
  <c r="E230" i="17"/>
  <c r="D231" i="17"/>
  <c r="E231" i="17"/>
  <c r="D232" i="17"/>
  <c r="E232" i="17"/>
  <c r="D233" i="17"/>
  <c r="E233" i="17"/>
  <c r="D234" i="17"/>
  <c r="E234" i="17"/>
  <c r="D235" i="17"/>
  <c r="E235" i="17"/>
  <c r="D236" i="17"/>
  <c r="E236" i="17"/>
  <c r="D237" i="17"/>
  <c r="E237" i="17"/>
  <c r="D238" i="17"/>
  <c r="E238" i="17"/>
  <c r="D239" i="17"/>
  <c r="E239" i="17"/>
  <c r="D240" i="17"/>
  <c r="E240" i="17"/>
  <c r="D241" i="17"/>
  <c r="E241" i="17"/>
  <c r="D242" i="17"/>
  <c r="E242" i="17"/>
  <c r="D243" i="17"/>
  <c r="E243" i="17"/>
  <c r="D244" i="17"/>
  <c r="E244" i="17"/>
  <c r="D245" i="17"/>
  <c r="E245" i="17"/>
  <c r="D246" i="17"/>
  <c r="E246" i="17"/>
  <c r="D247" i="17"/>
  <c r="E247" i="17"/>
  <c r="D248" i="17"/>
  <c r="E248" i="17"/>
  <c r="D249" i="17"/>
  <c r="E249" i="17"/>
  <c r="D250" i="17"/>
  <c r="E250"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8" i="17"/>
  <c r="D8" i="17"/>
  <c r="T28" i="12"/>
  <c r="S28" i="12"/>
  <c r="D76" i="12"/>
  <c r="E76" i="12"/>
  <c r="D77" i="12"/>
  <c r="E77" i="12"/>
  <c r="D78" i="12"/>
  <c r="E78" i="12"/>
  <c r="D79" i="12"/>
  <c r="E79" i="12"/>
  <c r="D80" i="12"/>
  <c r="E80" i="12"/>
  <c r="D81" i="12"/>
  <c r="E81" i="12"/>
  <c r="D82" i="12"/>
  <c r="E82" i="12"/>
  <c r="D83" i="12"/>
  <c r="E83" i="12"/>
  <c r="D84" i="12"/>
  <c r="E84" i="12"/>
  <c r="D85" i="12"/>
  <c r="E85" i="12"/>
  <c r="D86" i="12"/>
  <c r="E86" i="12"/>
  <c r="D87" i="12"/>
  <c r="E87" i="12"/>
  <c r="D88" i="12"/>
  <c r="E88" i="12"/>
  <c r="D90" i="12"/>
  <c r="E90" i="12"/>
  <c r="D91" i="12"/>
  <c r="E91" i="12"/>
  <c r="D92" i="12"/>
  <c r="E92" i="12"/>
  <c r="D93" i="12"/>
  <c r="E93" i="12"/>
  <c r="D94" i="12"/>
  <c r="E94" i="12"/>
  <c r="D95" i="12"/>
  <c r="E95" i="12"/>
  <c r="D96" i="12"/>
  <c r="E96" i="12"/>
  <c r="D97" i="12"/>
  <c r="E97" i="12"/>
  <c r="D98" i="12"/>
  <c r="E98" i="12"/>
  <c r="D99" i="12"/>
  <c r="E99" i="12"/>
  <c r="D100" i="12"/>
  <c r="E100" i="12"/>
  <c r="D101" i="12"/>
  <c r="E101" i="12"/>
  <c r="D102" i="12"/>
  <c r="E102" i="12"/>
  <c r="D103" i="12"/>
  <c r="E103" i="12"/>
  <c r="D104" i="12"/>
  <c r="E104" i="12"/>
  <c r="D105" i="12"/>
  <c r="E105" i="12"/>
  <c r="D106" i="12"/>
  <c r="E106" i="12"/>
  <c r="D107" i="12"/>
  <c r="E107" i="12"/>
  <c r="D108" i="12"/>
  <c r="E108" i="12"/>
  <c r="D109" i="12"/>
  <c r="E109" i="12"/>
  <c r="D110" i="12"/>
  <c r="E110" i="12"/>
  <c r="D111" i="12"/>
  <c r="E111" i="12"/>
  <c r="D112" i="12"/>
  <c r="E112" i="12"/>
  <c r="D113" i="12"/>
  <c r="E113" i="12"/>
  <c r="D114" i="12"/>
  <c r="E114" i="12"/>
  <c r="D115" i="12"/>
  <c r="E115" i="12"/>
  <c r="D116" i="12"/>
  <c r="E116" i="12"/>
  <c r="D117" i="12"/>
  <c r="E117" i="12"/>
  <c r="D118" i="12"/>
  <c r="E118" i="12"/>
  <c r="D119" i="12"/>
  <c r="E119" i="12"/>
  <c r="D120" i="12"/>
  <c r="E120" i="12"/>
  <c r="D121" i="12"/>
  <c r="E121" i="12"/>
  <c r="D122" i="12"/>
  <c r="E122" i="12"/>
  <c r="D123" i="12"/>
  <c r="E123" i="12"/>
  <c r="D124" i="12"/>
  <c r="E124" i="12"/>
  <c r="D125" i="12"/>
  <c r="E125" i="12"/>
  <c r="D126" i="12"/>
  <c r="E126" i="12"/>
  <c r="D127" i="12"/>
  <c r="E127" i="12"/>
  <c r="D128" i="12"/>
  <c r="E128" i="12"/>
  <c r="D129" i="12"/>
  <c r="E129" i="12"/>
  <c r="D130" i="12"/>
  <c r="E130" i="12"/>
  <c r="D131" i="12"/>
  <c r="E131" i="12"/>
  <c r="D132" i="12"/>
  <c r="E132" i="12"/>
  <c r="D133" i="12"/>
  <c r="E133" i="12"/>
  <c r="D134" i="12"/>
  <c r="E134" i="12"/>
  <c r="D135" i="12"/>
  <c r="E135" i="12"/>
  <c r="D136" i="12"/>
  <c r="E136" i="12"/>
  <c r="D137" i="12"/>
  <c r="E137" i="12"/>
  <c r="D138" i="12"/>
  <c r="E138" i="12"/>
  <c r="D139" i="12"/>
  <c r="E139" i="12"/>
  <c r="D140" i="12"/>
  <c r="E140" i="12"/>
  <c r="D141" i="12"/>
  <c r="E141" i="12"/>
  <c r="D142" i="12"/>
  <c r="E142" i="12"/>
  <c r="D143" i="12"/>
  <c r="E143" i="12"/>
  <c r="D144" i="12"/>
  <c r="E144" i="12"/>
  <c r="D145" i="12"/>
  <c r="E145" i="12"/>
  <c r="D146" i="12"/>
  <c r="E146" i="12"/>
  <c r="D147" i="12"/>
  <c r="E147" i="12"/>
  <c r="D148" i="12"/>
  <c r="E148" i="12"/>
  <c r="D149" i="12"/>
  <c r="E149" i="12"/>
  <c r="D150" i="12"/>
  <c r="E150" i="12"/>
  <c r="D151" i="12"/>
  <c r="E151" i="12"/>
  <c r="D152" i="12"/>
  <c r="E152" i="12"/>
  <c r="D153" i="12"/>
  <c r="E153" i="12"/>
  <c r="D154" i="12"/>
  <c r="E154" i="12"/>
  <c r="D155" i="12"/>
  <c r="E155" i="12"/>
  <c r="D156" i="12"/>
  <c r="E156" i="12"/>
  <c r="D157" i="12"/>
  <c r="E157" i="12"/>
  <c r="D158" i="12"/>
  <c r="E158" i="12"/>
  <c r="D159" i="12"/>
  <c r="E159" i="12"/>
  <c r="D160" i="12"/>
  <c r="E160" i="12"/>
  <c r="D161" i="12"/>
  <c r="E161" i="12"/>
  <c r="D162" i="12"/>
  <c r="E162" i="12"/>
  <c r="D163" i="12"/>
  <c r="E163" i="12"/>
  <c r="D164" i="12"/>
  <c r="E164" i="12"/>
  <c r="D165" i="12"/>
  <c r="E165" i="12"/>
  <c r="D166" i="12"/>
  <c r="E166" i="12"/>
  <c r="D167" i="12"/>
  <c r="E167" i="12"/>
  <c r="D168" i="12"/>
  <c r="E168" i="12"/>
  <c r="D169" i="12"/>
  <c r="E169" i="12"/>
  <c r="D170" i="12"/>
  <c r="E170" i="12"/>
  <c r="D171" i="12"/>
  <c r="E171" i="12"/>
  <c r="D172" i="12"/>
  <c r="E172" i="12"/>
  <c r="D173" i="12"/>
  <c r="E173" i="12"/>
  <c r="D174" i="12"/>
  <c r="E174" i="12"/>
  <c r="D175" i="12"/>
  <c r="E175" i="12"/>
  <c r="D176" i="12"/>
  <c r="E176" i="12"/>
  <c r="D177" i="12"/>
  <c r="E177" i="12"/>
  <c r="D178" i="12"/>
  <c r="E178" i="12"/>
  <c r="D179" i="12"/>
  <c r="E179" i="12"/>
  <c r="D180" i="12"/>
  <c r="E180" i="12"/>
  <c r="D181" i="12"/>
  <c r="E181" i="12"/>
  <c r="D182" i="12"/>
  <c r="E182" i="12"/>
  <c r="D183" i="12"/>
  <c r="E183" i="12"/>
  <c r="D184" i="12"/>
  <c r="E184" i="12"/>
  <c r="D185" i="12"/>
  <c r="E185" i="12"/>
  <c r="D186" i="12"/>
  <c r="E186" i="12"/>
  <c r="D187" i="12"/>
  <c r="E187" i="12"/>
  <c r="D188" i="12"/>
  <c r="E188" i="12"/>
  <c r="D189" i="12"/>
  <c r="E189" i="12"/>
  <c r="D190" i="12"/>
  <c r="E190" i="12"/>
  <c r="D191" i="12"/>
  <c r="E191" i="12"/>
  <c r="D192" i="12"/>
  <c r="E192" i="12"/>
  <c r="D193" i="12"/>
  <c r="E193" i="12"/>
  <c r="D194" i="12"/>
  <c r="E194" i="12"/>
  <c r="D195" i="12"/>
  <c r="E195" i="12"/>
  <c r="D196" i="12"/>
  <c r="E196" i="12"/>
  <c r="D197" i="12"/>
  <c r="E197" i="12"/>
  <c r="D198" i="12"/>
  <c r="E198" i="12"/>
  <c r="D199" i="12"/>
  <c r="E199" i="12"/>
  <c r="D200" i="12"/>
  <c r="E200" i="12"/>
  <c r="D201" i="12"/>
  <c r="E201" i="12"/>
  <c r="D202" i="12"/>
  <c r="E202" i="12"/>
  <c r="D203" i="12"/>
  <c r="E203" i="12"/>
  <c r="D204" i="12"/>
  <c r="E204" i="12"/>
  <c r="D205" i="12"/>
  <c r="E205" i="12"/>
  <c r="D206" i="12"/>
  <c r="E206" i="12"/>
  <c r="D207" i="12"/>
  <c r="E207" i="12"/>
  <c r="D208" i="12"/>
  <c r="E208" i="12"/>
  <c r="D209" i="12"/>
  <c r="E209" i="12"/>
  <c r="D210" i="12"/>
  <c r="E210" i="12"/>
  <c r="D211" i="12"/>
  <c r="E211" i="12"/>
  <c r="D212" i="12"/>
  <c r="E212" i="12"/>
  <c r="D213" i="12"/>
  <c r="E213" i="12"/>
  <c r="D214" i="12"/>
  <c r="E214" i="12"/>
  <c r="D215" i="12"/>
  <c r="E215" i="12"/>
  <c r="D216" i="12"/>
  <c r="E216" i="12"/>
  <c r="D217" i="12"/>
  <c r="E217" i="12"/>
  <c r="D218" i="12"/>
  <c r="E218" i="12"/>
  <c r="D219" i="12"/>
  <c r="E219" i="12"/>
  <c r="D220" i="12"/>
  <c r="E220" i="12"/>
  <c r="D221" i="12"/>
  <c r="E221" i="12"/>
  <c r="D222" i="12"/>
  <c r="E222" i="12"/>
  <c r="D223" i="12"/>
  <c r="E223" i="12"/>
  <c r="D224" i="12"/>
  <c r="E224" i="12"/>
  <c r="D225" i="12"/>
  <c r="E225" i="12"/>
  <c r="D226" i="12"/>
  <c r="E226" i="12"/>
  <c r="D227" i="12"/>
  <c r="E227" i="12"/>
  <c r="D228" i="12"/>
  <c r="E228" i="12"/>
  <c r="D229" i="12"/>
  <c r="E229" i="12"/>
  <c r="D230" i="12"/>
  <c r="E230" i="12"/>
  <c r="D231" i="12"/>
  <c r="E231" i="12"/>
  <c r="D232" i="12"/>
  <c r="E232" i="12"/>
  <c r="D233" i="12"/>
  <c r="E233" i="12"/>
  <c r="D234" i="12"/>
  <c r="E234" i="12"/>
  <c r="D235" i="12"/>
  <c r="E235" i="12"/>
  <c r="D236" i="12"/>
  <c r="E236" i="12"/>
  <c r="D237" i="12"/>
  <c r="E237" i="12"/>
  <c r="D238" i="12"/>
  <c r="E238" i="12"/>
  <c r="D239" i="12"/>
  <c r="E239" i="12"/>
  <c r="D240" i="12"/>
  <c r="E240" i="12"/>
  <c r="D241" i="12"/>
  <c r="E241" i="12"/>
  <c r="D242" i="12"/>
  <c r="E242" i="12"/>
  <c r="D243" i="12"/>
  <c r="E243" i="12"/>
  <c r="D244" i="12"/>
  <c r="E244" i="12"/>
  <c r="D245" i="12"/>
  <c r="E245" i="12"/>
  <c r="D246" i="12"/>
  <c r="E246" i="12"/>
  <c r="D247" i="12"/>
  <c r="E247" i="12"/>
  <c r="D248" i="12"/>
  <c r="E248" i="12"/>
  <c r="D249" i="12"/>
  <c r="E249" i="12"/>
  <c r="D250" i="12"/>
  <c r="E250"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8" i="12"/>
  <c r="V35" i="2"/>
  <c r="U35" i="2"/>
  <c r="H80" i="2"/>
  <c r="I80" i="2"/>
  <c r="H81" i="2"/>
  <c r="I81" i="2"/>
  <c r="H82" i="2"/>
  <c r="I82" i="2"/>
  <c r="H83" i="2"/>
  <c r="I83" i="2"/>
  <c r="H84" i="2"/>
  <c r="I84" i="2"/>
  <c r="H85" i="2"/>
  <c r="I85" i="2"/>
  <c r="H86" i="2"/>
  <c r="I86" i="2"/>
  <c r="H87" i="2"/>
  <c r="I87" i="2"/>
  <c r="H88" i="2"/>
  <c r="I88" i="2"/>
  <c r="H89" i="2"/>
  <c r="I89" i="2"/>
  <c r="H90" i="2"/>
  <c r="I90" i="2"/>
  <c r="H91" i="2"/>
  <c r="I91" i="2"/>
  <c r="H92" i="2"/>
  <c r="I92" i="2"/>
  <c r="H93" i="2"/>
  <c r="I93" i="2"/>
  <c r="H94" i="2"/>
  <c r="I94" i="2"/>
  <c r="H95" i="2"/>
  <c r="I95" i="2"/>
  <c r="H96" i="2"/>
  <c r="I96" i="2"/>
  <c r="H97" i="2"/>
  <c r="I97" i="2"/>
  <c r="H98" i="2"/>
  <c r="I98" i="2"/>
  <c r="H99" i="2"/>
  <c r="I99" i="2"/>
  <c r="H100" i="2"/>
  <c r="I100" i="2"/>
  <c r="H101" i="2"/>
  <c r="I101" i="2"/>
  <c r="H102" i="2"/>
  <c r="I102" i="2"/>
  <c r="H103" i="2"/>
  <c r="I103" i="2"/>
  <c r="H104" i="2"/>
  <c r="I104" i="2"/>
  <c r="H105" i="2"/>
  <c r="I105" i="2"/>
  <c r="H106" i="2"/>
  <c r="I106" i="2"/>
  <c r="H107" i="2"/>
  <c r="I107" i="2"/>
  <c r="H108" i="2"/>
  <c r="I108" i="2"/>
  <c r="H109" i="2"/>
  <c r="I109" i="2"/>
  <c r="H110" i="2"/>
  <c r="I110" i="2"/>
  <c r="H111" i="2"/>
  <c r="I111" i="2"/>
  <c r="H112" i="2"/>
  <c r="I112" i="2"/>
  <c r="H113" i="2"/>
  <c r="I113" i="2"/>
  <c r="H114" i="2"/>
  <c r="I114" i="2"/>
  <c r="H115" i="2"/>
  <c r="I115" i="2"/>
  <c r="H116" i="2"/>
  <c r="I116" i="2"/>
  <c r="H117" i="2"/>
  <c r="I117" i="2"/>
  <c r="H118" i="2"/>
  <c r="I118" i="2"/>
  <c r="H119" i="2"/>
  <c r="I119" i="2"/>
  <c r="H120" i="2"/>
  <c r="I120" i="2"/>
  <c r="H121" i="2"/>
  <c r="I121" i="2"/>
  <c r="H122" i="2"/>
  <c r="I122" i="2"/>
  <c r="H123" i="2"/>
  <c r="I123" i="2"/>
  <c r="H124" i="2"/>
  <c r="I124" i="2"/>
  <c r="H125" i="2"/>
  <c r="I125" i="2"/>
  <c r="H126" i="2"/>
  <c r="I126" i="2"/>
  <c r="H127" i="2"/>
  <c r="I127" i="2"/>
  <c r="H128" i="2"/>
  <c r="I128" i="2"/>
  <c r="H129" i="2"/>
  <c r="I129" i="2"/>
  <c r="H130" i="2"/>
  <c r="I130" i="2"/>
  <c r="H131" i="2"/>
  <c r="I131" i="2"/>
  <c r="H132" i="2"/>
  <c r="I132" i="2"/>
  <c r="H133" i="2"/>
  <c r="I133" i="2"/>
  <c r="H134" i="2"/>
  <c r="I134" i="2"/>
  <c r="H135" i="2"/>
  <c r="I135" i="2"/>
  <c r="H136" i="2"/>
  <c r="I136" i="2"/>
  <c r="H137" i="2"/>
  <c r="I137" i="2"/>
  <c r="H138" i="2"/>
  <c r="I138" i="2"/>
  <c r="H139" i="2"/>
  <c r="I139" i="2"/>
  <c r="H140" i="2"/>
  <c r="I140" i="2"/>
  <c r="H141" i="2"/>
  <c r="I141" i="2"/>
  <c r="H142" i="2"/>
  <c r="I142" i="2"/>
  <c r="H143" i="2"/>
  <c r="I143" i="2"/>
  <c r="H144" i="2"/>
  <c r="I144" i="2"/>
  <c r="H145" i="2"/>
  <c r="I145" i="2"/>
  <c r="H146" i="2"/>
  <c r="I146" i="2"/>
  <c r="H147" i="2"/>
  <c r="I147" i="2"/>
  <c r="H148" i="2"/>
  <c r="I148" i="2"/>
  <c r="H149" i="2"/>
  <c r="I149" i="2"/>
  <c r="H150" i="2"/>
  <c r="I150" i="2"/>
  <c r="H151" i="2"/>
  <c r="I151" i="2"/>
  <c r="H152" i="2"/>
  <c r="I152" i="2"/>
  <c r="H153" i="2"/>
  <c r="I153" i="2"/>
  <c r="H154" i="2"/>
  <c r="I154" i="2"/>
  <c r="H155" i="2"/>
  <c r="I155" i="2"/>
  <c r="H156" i="2"/>
  <c r="I156" i="2"/>
  <c r="H157" i="2"/>
  <c r="I157" i="2"/>
  <c r="H158" i="2"/>
  <c r="I158" i="2"/>
  <c r="H159" i="2"/>
  <c r="I159" i="2"/>
  <c r="H160" i="2"/>
  <c r="I160" i="2"/>
  <c r="H161" i="2"/>
  <c r="I161" i="2"/>
  <c r="H162" i="2"/>
  <c r="I162" i="2"/>
  <c r="H163" i="2"/>
  <c r="I163" i="2"/>
  <c r="H164" i="2"/>
  <c r="I164" i="2"/>
  <c r="H165" i="2"/>
  <c r="I165" i="2"/>
  <c r="H166" i="2"/>
  <c r="I166" i="2"/>
  <c r="H167" i="2"/>
  <c r="I167" i="2"/>
  <c r="H168" i="2"/>
  <c r="I168" i="2"/>
  <c r="H169" i="2"/>
  <c r="I169" i="2"/>
  <c r="H170" i="2"/>
  <c r="I170" i="2"/>
  <c r="H171" i="2"/>
  <c r="I171" i="2"/>
  <c r="H172" i="2"/>
  <c r="I172" i="2"/>
  <c r="H173" i="2"/>
  <c r="I173" i="2"/>
  <c r="H174" i="2"/>
  <c r="I174" i="2"/>
  <c r="H175" i="2"/>
  <c r="I175" i="2"/>
  <c r="H176" i="2"/>
  <c r="I176" i="2"/>
  <c r="H177" i="2"/>
  <c r="I177" i="2"/>
  <c r="H178" i="2"/>
  <c r="I178" i="2"/>
  <c r="H179" i="2"/>
  <c r="I179" i="2"/>
  <c r="H180" i="2"/>
  <c r="I180" i="2"/>
  <c r="H181" i="2"/>
  <c r="I181" i="2"/>
  <c r="H182" i="2"/>
  <c r="I182" i="2"/>
  <c r="H183" i="2"/>
  <c r="I183" i="2"/>
  <c r="H184" i="2"/>
  <c r="I184" i="2"/>
  <c r="H185" i="2"/>
  <c r="I185" i="2"/>
  <c r="H186" i="2"/>
  <c r="I186" i="2"/>
  <c r="H187" i="2"/>
  <c r="I187" i="2"/>
  <c r="H188" i="2"/>
  <c r="I188" i="2"/>
  <c r="H189" i="2"/>
  <c r="I189" i="2"/>
  <c r="H190" i="2"/>
  <c r="I190" i="2"/>
  <c r="H191" i="2"/>
  <c r="I191" i="2"/>
  <c r="H192" i="2"/>
  <c r="I192" i="2"/>
  <c r="H193" i="2"/>
  <c r="I193" i="2"/>
  <c r="H194" i="2"/>
  <c r="I194" i="2"/>
  <c r="H195" i="2"/>
  <c r="I195" i="2"/>
  <c r="H196" i="2"/>
  <c r="I196" i="2"/>
  <c r="H197" i="2"/>
  <c r="I197" i="2"/>
  <c r="H198" i="2"/>
  <c r="I198" i="2"/>
  <c r="H199" i="2"/>
  <c r="I199" i="2"/>
  <c r="H200" i="2"/>
  <c r="I200" i="2"/>
  <c r="H201" i="2"/>
  <c r="I201" i="2"/>
  <c r="H202" i="2"/>
  <c r="I202" i="2"/>
  <c r="H203" i="2"/>
  <c r="I203" i="2"/>
  <c r="H204" i="2"/>
  <c r="I204" i="2"/>
  <c r="H205" i="2"/>
  <c r="I205" i="2"/>
  <c r="H206" i="2"/>
  <c r="I206" i="2"/>
  <c r="H207" i="2"/>
  <c r="I207" i="2"/>
  <c r="H208" i="2"/>
  <c r="I208" i="2"/>
  <c r="H209" i="2"/>
  <c r="I209" i="2"/>
  <c r="H210" i="2"/>
  <c r="I210" i="2"/>
  <c r="H211" i="2"/>
  <c r="I211" i="2"/>
  <c r="H212" i="2"/>
  <c r="I212" i="2"/>
  <c r="H213" i="2"/>
  <c r="I213" i="2"/>
  <c r="H214" i="2"/>
  <c r="I214" i="2"/>
  <c r="H215" i="2"/>
  <c r="I215" i="2"/>
  <c r="H216" i="2"/>
  <c r="I216" i="2"/>
  <c r="H217" i="2"/>
  <c r="I217" i="2"/>
  <c r="H218" i="2"/>
  <c r="I218" i="2"/>
  <c r="H219" i="2"/>
  <c r="I219" i="2"/>
  <c r="H220" i="2"/>
  <c r="I220" i="2"/>
  <c r="H221" i="2"/>
  <c r="I221" i="2"/>
  <c r="H222" i="2"/>
  <c r="I222" i="2"/>
  <c r="H223" i="2"/>
  <c r="I223" i="2"/>
  <c r="H224" i="2"/>
  <c r="I224" i="2"/>
  <c r="H225" i="2"/>
  <c r="I225" i="2"/>
  <c r="H226" i="2"/>
  <c r="I226" i="2"/>
  <c r="H227" i="2"/>
  <c r="I227" i="2"/>
  <c r="H228" i="2"/>
  <c r="I228" i="2"/>
  <c r="H229" i="2"/>
  <c r="I229" i="2"/>
  <c r="H230" i="2"/>
  <c r="I230" i="2"/>
  <c r="H231" i="2"/>
  <c r="I231" i="2"/>
  <c r="H232" i="2"/>
  <c r="I232" i="2"/>
  <c r="H233" i="2"/>
  <c r="I233" i="2"/>
  <c r="H234" i="2"/>
  <c r="I234" i="2"/>
  <c r="H235" i="2"/>
  <c r="I235" i="2"/>
  <c r="H236" i="2"/>
  <c r="I236" i="2"/>
  <c r="H237" i="2"/>
  <c r="I237" i="2"/>
  <c r="H238" i="2"/>
  <c r="I238" i="2"/>
  <c r="H239" i="2"/>
  <c r="I239" i="2"/>
  <c r="H240" i="2"/>
  <c r="I240" i="2"/>
  <c r="H241" i="2"/>
  <c r="I241" i="2"/>
  <c r="H242" i="2"/>
  <c r="I242" i="2"/>
  <c r="H243" i="2"/>
  <c r="I243" i="2"/>
  <c r="H244" i="2"/>
  <c r="I244" i="2"/>
  <c r="H245" i="2"/>
  <c r="I245" i="2"/>
  <c r="H246" i="2"/>
  <c r="I246" i="2"/>
  <c r="H247" i="2"/>
  <c r="I247" i="2"/>
  <c r="H248" i="2"/>
  <c r="I248" i="2"/>
  <c r="H249" i="2"/>
  <c r="I249" i="2"/>
  <c r="H250" i="2"/>
  <c r="I250"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8" i="2"/>
  <c r="U58" i="56"/>
  <c r="T58" i="56"/>
  <c r="Q20" i="54"/>
  <c r="K19" i="54"/>
  <c r="L19" i="54" s="1"/>
  <c r="K18" i="54"/>
  <c r="Q18" i="54" s="1"/>
  <c r="K17" i="54"/>
  <c r="L17" i="54" s="1"/>
  <c r="K16" i="54"/>
  <c r="P16" i="54" s="1"/>
  <c r="K15" i="54"/>
  <c r="L15" i="54" s="1"/>
  <c r="K14" i="54"/>
  <c r="P14" i="54" s="1"/>
  <c r="K13" i="54"/>
  <c r="Q13" i="54" s="1"/>
  <c r="K12" i="54"/>
  <c r="O12" i="54" s="1"/>
  <c r="K11" i="54"/>
  <c r="A68" i="53"/>
  <c r="A67" i="53"/>
  <c r="B67" i="53" s="1"/>
  <c r="A66" i="53"/>
  <c r="A65" i="53"/>
  <c r="A64" i="53"/>
  <c r="B64" i="53" s="1"/>
  <c r="A63" i="53"/>
  <c r="C63" i="53" s="1"/>
  <c r="A62" i="53"/>
  <c r="B62" i="53" s="1"/>
  <c r="A61" i="53"/>
  <c r="D61" i="53" s="1"/>
  <c r="A60" i="53"/>
  <c r="B60" i="53" s="1"/>
  <c r="A59" i="53"/>
  <c r="B59" i="53" s="1"/>
  <c r="A58" i="53"/>
  <c r="C58" i="53" s="1"/>
  <c r="A57" i="53"/>
  <c r="D57" i="53" s="1"/>
  <c r="A56" i="53"/>
  <c r="C56" i="53" s="1"/>
  <c r="A55" i="53"/>
  <c r="D55" i="53" s="1"/>
  <c r="A54" i="53"/>
  <c r="A53" i="53"/>
  <c r="C53" i="53" s="1"/>
  <c r="A52" i="53"/>
  <c r="C52" i="53" s="1"/>
  <c r="A51" i="53"/>
  <c r="C51" i="53" s="1"/>
  <c r="A50" i="53"/>
  <c r="D50" i="53" s="1"/>
  <c r="A49" i="53"/>
  <c r="D49" i="53" s="1"/>
  <c r="A48" i="53"/>
  <c r="C48" i="53" s="1"/>
  <c r="A47" i="53"/>
  <c r="C47" i="53" s="1"/>
  <c r="A46" i="53"/>
  <c r="C46" i="53" s="1"/>
  <c r="A45" i="53"/>
  <c r="D45" i="53" s="1"/>
  <c r="A44" i="53"/>
  <c r="D44" i="53" s="1"/>
  <c r="A43" i="53"/>
  <c r="B43" i="53" s="1"/>
  <c r="A42" i="53"/>
  <c r="C42" i="53" s="1"/>
  <c r="A41" i="53"/>
  <c r="A40" i="53"/>
  <c r="B40" i="53" s="1"/>
  <c r="A39" i="53"/>
  <c r="D39" i="53" s="1"/>
  <c r="A38" i="53"/>
  <c r="B38" i="53" s="1"/>
  <c r="A37" i="53"/>
  <c r="D37" i="53" s="1"/>
  <c r="A36" i="53"/>
  <c r="C36" i="53" s="1"/>
  <c r="A35" i="53"/>
  <c r="D35" i="53" s="1"/>
  <c r="A34" i="53"/>
  <c r="B34" i="53" s="1"/>
  <c r="A33" i="53"/>
  <c r="A32" i="53"/>
  <c r="C32" i="53" s="1"/>
  <c r="A31" i="53"/>
  <c r="A30" i="53"/>
  <c r="D30" i="53" s="1"/>
  <c r="A29" i="53"/>
  <c r="D29" i="53" s="1"/>
  <c r="A28" i="53"/>
  <c r="C28" i="53" s="1"/>
  <c r="A27" i="53"/>
  <c r="C27" i="53" s="1"/>
  <c r="A26" i="53"/>
  <c r="C26" i="53" s="1"/>
  <c r="A25" i="53"/>
  <c r="C25" i="53" s="1"/>
  <c r="A24" i="53"/>
  <c r="B24" i="53" s="1"/>
  <c r="A23" i="53"/>
  <c r="C23" i="53" s="1"/>
  <c r="A22" i="53"/>
  <c r="A21" i="53"/>
  <c r="D21" i="53" s="1"/>
  <c r="A20" i="53"/>
  <c r="D20" i="53" s="1"/>
  <c r="A19" i="53"/>
  <c r="C19" i="53" s="1"/>
  <c r="A18" i="53"/>
  <c r="C18" i="53" s="1"/>
  <c r="A17" i="53"/>
  <c r="D17" i="53" s="1"/>
  <c r="A16" i="53"/>
  <c r="D16" i="53" s="1"/>
  <c r="A15" i="53"/>
  <c r="C15" i="53" s="1"/>
  <c r="A14" i="53"/>
  <c r="D14" i="53" s="1"/>
  <c r="A13" i="53"/>
  <c r="B13" i="53" s="1"/>
  <c r="A12" i="53"/>
  <c r="C12" i="53" s="1"/>
  <c r="A11" i="53"/>
  <c r="B11" i="53" s="1"/>
  <c r="A10" i="53"/>
  <c r="A9" i="53"/>
  <c r="D9" i="53" s="1"/>
  <c r="Y9" i="51"/>
  <c r="X9" i="51"/>
  <c r="W9" i="51"/>
  <c r="V9" i="51"/>
  <c r="U9" i="51"/>
  <c r="T9" i="51"/>
  <c r="S9" i="51"/>
  <c r="R9" i="51"/>
  <c r="Q9" i="51"/>
  <c r="P9" i="51"/>
  <c r="O9" i="51"/>
  <c r="N9" i="51"/>
  <c r="M9" i="51"/>
  <c r="L9" i="51"/>
  <c r="K9" i="51"/>
  <c r="J9" i="51"/>
  <c r="I9" i="51"/>
  <c r="H9" i="51"/>
  <c r="G9" i="51"/>
  <c r="F9" i="51"/>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9" i="36"/>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8" i="1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8" i="2"/>
  <c r="AK10" i="23"/>
  <c r="AK11" i="23"/>
  <c r="AK12" i="23"/>
  <c r="AK15" i="23"/>
  <c r="AK16" i="23"/>
  <c r="AK20" i="23"/>
  <c r="AK21" i="23"/>
  <c r="AK22" i="23"/>
  <c r="AK24" i="23"/>
  <c r="AK25" i="23"/>
  <c r="AK26" i="23"/>
  <c r="AK27" i="23"/>
  <c r="D64" i="52"/>
  <c r="D65" i="52"/>
  <c r="D66" i="52"/>
  <c r="D67" i="52"/>
  <c r="D68" i="52"/>
  <c r="S9" i="12"/>
  <c r="T9" i="12"/>
  <c r="D63" i="52"/>
  <c r="D62" i="52"/>
  <c r="D61" i="52"/>
  <c r="D60" i="52"/>
  <c r="D59" i="52"/>
  <c r="D58" i="52"/>
  <c r="D57" i="52"/>
  <c r="D56" i="52"/>
  <c r="D55" i="52"/>
  <c r="D54" i="52"/>
  <c r="D53" i="52"/>
  <c r="D52" i="52"/>
  <c r="D51" i="52"/>
  <c r="D50" i="52"/>
  <c r="D49" i="52"/>
  <c r="D48" i="52"/>
  <c r="D47" i="52"/>
  <c r="D46" i="52"/>
  <c r="D45" i="52"/>
  <c r="D44" i="52"/>
  <c r="D43" i="52"/>
  <c r="D42" i="52"/>
  <c r="D41" i="52"/>
  <c r="D40" i="52"/>
  <c r="D39" i="52"/>
  <c r="D38" i="52"/>
  <c r="D37" i="52"/>
  <c r="D36" i="52"/>
  <c r="D35" i="52"/>
  <c r="D34" i="52"/>
  <c r="D33" i="52"/>
  <c r="D32" i="52"/>
  <c r="D31" i="52"/>
  <c r="D30" i="52"/>
  <c r="D29" i="52"/>
  <c r="D28" i="52"/>
  <c r="D27" i="52"/>
  <c r="D26" i="52"/>
  <c r="D25" i="52"/>
  <c r="D24" i="52"/>
  <c r="D23" i="52"/>
  <c r="D22" i="52"/>
  <c r="D21" i="52"/>
  <c r="D20" i="52"/>
  <c r="D19" i="52"/>
  <c r="D18" i="52"/>
  <c r="D17" i="52"/>
  <c r="D16" i="52"/>
  <c r="D15" i="52"/>
  <c r="D14" i="52"/>
  <c r="D13" i="52"/>
  <c r="D12" i="52"/>
  <c r="D11" i="52"/>
  <c r="D10" i="52"/>
  <c r="D9" i="52"/>
  <c r="Q7" i="21"/>
  <c r="R7" i="21"/>
  <c r="P8" i="21"/>
  <c r="P9" i="21"/>
  <c r="P10" i="21"/>
  <c r="P11" i="21"/>
  <c r="P12" i="21"/>
  <c r="P13" i="21"/>
  <c r="P14" i="21"/>
  <c r="P15" i="21"/>
  <c r="P16" i="21"/>
  <c r="P17" i="21"/>
  <c r="AV218" i="48"/>
  <c r="AU218" i="48"/>
  <c r="AT218" i="48"/>
  <c r="AS218" i="48"/>
  <c r="AR218" i="48"/>
  <c r="AQ218" i="48"/>
  <c r="AP218" i="48"/>
  <c r="AO218" i="48"/>
  <c r="AN218" i="48"/>
  <c r="AM218" i="48"/>
  <c r="AL218" i="48"/>
  <c r="AK218" i="48"/>
  <c r="AJ218" i="48"/>
  <c r="AI218" i="48"/>
  <c r="AH218" i="48"/>
  <c r="AG218" i="48"/>
  <c r="AF218" i="48"/>
  <c r="AE218" i="48"/>
  <c r="AC218" i="48"/>
  <c r="AB218" i="48"/>
  <c r="AA218" i="48"/>
  <c r="Z218" i="48"/>
  <c r="Y218" i="48"/>
  <c r="X218" i="48"/>
  <c r="W218" i="48"/>
  <c r="V218" i="48"/>
  <c r="U218" i="48"/>
  <c r="T218" i="48"/>
  <c r="S218" i="48"/>
  <c r="R218" i="48"/>
  <c r="Q218" i="48"/>
  <c r="P218" i="48"/>
  <c r="O218" i="48"/>
  <c r="N218" i="48"/>
  <c r="M218" i="48"/>
  <c r="L218" i="48"/>
  <c r="K218" i="48"/>
  <c r="J218" i="48"/>
  <c r="I218" i="48"/>
  <c r="H218" i="48"/>
  <c r="G218" i="48"/>
  <c r="F218" i="48"/>
  <c r="E218" i="48"/>
  <c r="D218" i="48"/>
  <c r="C218" i="48"/>
  <c r="AT155" i="48"/>
  <c r="AR155" i="48"/>
  <c r="AJ155" i="48"/>
  <c r="AH155" i="48"/>
  <c r="AF155" i="48"/>
  <c r="AB155" i="48"/>
  <c r="X155" i="48"/>
  <c r="V155" i="48"/>
  <c r="T155" i="48"/>
  <c r="R155" i="48"/>
  <c r="P155" i="48"/>
  <c r="N155" i="48"/>
  <c r="L155" i="48"/>
  <c r="J155" i="48"/>
  <c r="H155" i="48"/>
  <c r="F155" i="48"/>
  <c r="D155" i="48"/>
  <c r="L206" i="48"/>
  <c r="BK206" i="48" s="1"/>
  <c r="AZ204" i="48"/>
  <c r="AX204" i="48"/>
  <c r="AV204" i="48"/>
  <c r="AT204" i="48"/>
  <c r="AJ204" i="48"/>
  <c r="AH204" i="48"/>
  <c r="AF204" i="48"/>
  <c r="AB204" i="48"/>
  <c r="Z204" i="48"/>
  <c r="X204" i="48"/>
  <c r="V204" i="48"/>
  <c r="T204" i="48"/>
  <c r="R204" i="48"/>
  <c r="P204" i="48"/>
  <c r="N204" i="48"/>
  <c r="L204" i="48"/>
  <c r="J204" i="48"/>
  <c r="H204" i="48"/>
  <c r="F204" i="48"/>
  <c r="D204" i="48"/>
  <c r="AZ194" i="48"/>
  <c r="AX194" i="48"/>
  <c r="AV194" i="48"/>
  <c r="AU194" i="48"/>
  <c r="AT194" i="48"/>
  <c r="AS194" i="48"/>
  <c r="AR194" i="48"/>
  <c r="AQ194" i="48"/>
  <c r="AP194" i="48"/>
  <c r="AO194" i="48"/>
  <c r="AN194" i="48"/>
  <c r="AM194" i="48"/>
  <c r="AL194" i="48"/>
  <c r="AK194" i="48"/>
  <c r="AJ194" i="48"/>
  <c r="AI194" i="48"/>
  <c r="AH194" i="48"/>
  <c r="AG194" i="48"/>
  <c r="AF194" i="48"/>
  <c r="AE194" i="48"/>
  <c r="AC194" i="48"/>
  <c r="AB194" i="48"/>
  <c r="AA194" i="48"/>
  <c r="Z194" i="48"/>
  <c r="Y194" i="48"/>
  <c r="X194" i="48"/>
  <c r="W194" i="48"/>
  <c r="V194" i="48"/>
  <c r="U194" i="48"/>
  <c r="T194" i="48"/>
  <c r="S194" i="48"/>
  <c r="R194" i="48"/>
  <c r="Q194" i="48"/>
  <c r="P194" i="48"/>
  <c r="O194" i="48"/>
  <c r="N194" i="48"/>
  <c r="M194" i="48"/>
  <c r="L194" i="48"/>
  <c r="K194" i="48"/>
  <c r="J194" i="48"/>
  <c r="I194" i="48"/>
  <c r="H194" i="48"/>
  <c r="G194" i="48"/>
  <c r="F194" i="48"/>
  <c r="E194" i="48"/>
  <c r="D192" i="48"/>
  <c r="BK192" i="48" s="1"/>
  <c r="C192" i="48"/>
  <c r="BJ192" i="48" s="1"/>
  <c r="AZ187" i="48"/>
  <c r="AV187" i="48"/>
  <c r="AT187" i="48"/>
  <c r="AR187" i="48"/>
  <c r="AL187" i="48"/>
  <c r="AJ187" i="48"/>
  <c r="AH187" i="48"/>
  <c r="AF187" i="48"/>
  <c r="AB187" i="48"/>
  <c r="Z187" i="48"/>
  <c r="X187" i="48"/>
  <c r="V187" i="48"/>
  <c r="T187" i="48"/>
  <c r="R187" i="48"/>
  <c r="P187" i="48"/>
  <c r="P224" i="48" s="1"/>
  <c r="N187" i="48"/>
  <c r="N224" i="48" s="1"/>
  <c r="L187" i="48"/>
  <c r="L224" i="48" s="1"/>
  <c r="J187" i="48"/>
  <c r="J224" i="48" s="1"/>
  <c r="H187" i="48"/>
  <c r="H224" i="48" s="1"/>
  <c r="F187" i="48"/>
  <c r="F224" i="48" s="1"/>
  <c r="D187" i="48"/>
  <c r="Q181" i="48"/>
  <c r="O181" i="48"/>
  <c r="M181" i="48"/>
  <c r="K181" i="48"/>
  <c r="I181" i="48"/>
  <c r="AZ167" i="48"/>
  <c r="AZ174" i="48" s="1"/>
  <c r="AX167" i="48"/>
  <c r="AX174" i="48" s="1"/>
  <c r="AV167" i="48"/>
  <c r="AV174" i="48" s="1"/>
  <c r="AU167" i="48"/>
  <c r="AT167" i="48"/>
  <c r="AT174" i="48" s="1"/>
  <c r="AS167" i="48"/>
  <c r="AR167" i="48"/>
  <c r="AR174" i="48" s="1"/>
  <c r="AQ167" i="48"/>
  <c r="AP167" i="48"/>
  <c r="AP174" i="48" s="1"/>
  <c r="AO167" i="48"/>
  <c r="AN167" i="48"/>
  <c r="AN174" i="48" s="1"/>
  <c r="AM167" i="48"/>
  <c r="AL167" i="48"/>
  <c r="AL174" i="48" s="1"/>
  <c r="AK167" i="48"/>
  <c r="AJ167" i="48"/>
  <c r="AJ174" i="48" s="1"/>
  <c r="AI167" i="48"/>
  <c r="AH167" i="48"/>
  <c r="AH174" i="48" s="1"/>
  <c r="AG167" i="48"/>
  <c r="AF167" i="48"/>
  <c r="AF174" i="48" s="1"/>
  <c r="AE167" i="48"/>
  <c r="AC167" i="48"/>
  <c r="AB167" i="48"/>
  <c r="AB174" i="48" s="1"/>
  <c r="AA167" i="48"/>
  <c r="Z167" i="48"/>
  <c r="Z174" i="48" s="1"/>
  <c r="Y167" i="48"/>
  <c r="X167" i="48"/>
  <c r="X174" i="48" s="1"/>
  <c r="W167" i="48"/>
  <c r="V167" i="48"/>
  <c r="V174" i="48" s="1"/>
  <c r="T167" i="48"/>
  <c r="T174" i="48" s="1"/>
  <c r="R167" i="48"/>
  <c r="R174" i="48" s="1"/>
  <c r="Q167" i="48"/>
  <c r="P167" i="48"/>
  <c r="P174" i="48" s="1"/>
  <c r="O167" i="48"/>
  <c r="N167" i="48"/>
  <c r="N174" i="48" s="1"/>
  <c r="M167" i="48"/>
  <c r="L167" i="48"/>
  <c r="L174" i="48" s="1"/>
  <c r="K167" i="48"/>
  <c r="J167" i="48"/>
  <c r="J174" i="48" s="1"/>
  <c r="I167" i="48"/>
  <c r="H167" i="48"/>
  <c r="H174" i="48" s="1"/>
  <c r="G167" i="48"/>
  <c r="F167" i="48"/>
  <c r="F174" i="48" s="1"/>
  <c r="E167" i="48"/>
  <c r="D167" i="48"/>
  <c r="C167" i="48"/>
  <c r="D159" i="48"/>
  <c r="BK159" i="48" s="1"/>
  <c r="C159" i="48"/>
  <c r="BJ159" i="48" s="1"/>
  <c r="AZ148" i="48"/>
  <c r="AX148" i="48"/>
  <c r="AV148" i="48"/>
  <c r="AT148" i="48"/>
  <c r="AJ148" i="48"/>
  <c r="AH148" i="48"/>
  <c r="AF148" i="48"/>
  <c r="AB148" i="48"/>
  <c r="Z148" i="48"/>
  <c r="X148" i="48"/>
  <c r="V148" i="48"/>
  <c r="T148" i="48"/>
  <c r="R148" i="48"/>
  <c r="P148" i="48"/>
  <c r="N148" i="48"/>
  <c r="L148" i="48"/>
  <c r="J148" i="48"/>
  <c r="H148" i="48"/>
  <c r="F148" i="48"/>
  <c r="D148" i="48"/>
  <c r="AZ143" i="48"/>
  <c r="AY143" i="48"/>
  <c r="AX143" i="48"/>
  <c r="AW143" i="48"/>
  <c r="AV143" i="48"/>
  <c r="AU143" i="48"/>
  <c r="AT143" i="48"/>
  <c r="AS143" i="48"/>
  <c r="AR143" i="48"/>
  <c r="AQ143" i="48"/>
  <c r="AP143" i="48"/>
  <c r="AO143" i="48"/>
  <c r="AN143" i="48"/>
  <c r="AM143" i="48"/>
  <c r="AJ143" i="48"/>
  <c r="AI143" i="48"/>
  <c r="AH143" i="48"/>
  <c r="AG143" i="48"/>
  <c r="AF143" i="48"/>
  <c r="AE143" i="48"/>
  <c r="AC143" i="48"/>
  <c r="AB143" i="48"/>
  <c r="AA143" i="48"/>
  <c r="Z143" i="48"/>
  <c r="Y143" i="48"/>
  <c r="X143" i="48"/>
  <c r="W143" i="48"/>
  <c r="V143" i="48"/>
  <c r="U143" i="48"/>
  <c r="T143" i="48"/>
  <c r="S143" i="48"/>
  <c r="R143" i="48"/>
  <c r="Q143" i="48"/>
  <c r="P143" i="48"/>
  <c r="O143" i="48"/>
  <c r="K140" i="48"/>
  <c r="K143" i="48" s="1"/>
  <c r="N139" i="48"/>
  <c r="N140" i="48" s="1"/>
  <c r="M139" i="48"/>
  <c r="M140" i="48" s="1"/>
  <c r="L139" i="48"/>
  <c r="L140" i="48" s="1"/>
  <c r="J139" i="48"/>
  <c r="I139" i="48"/>
  <c r="I140" i="48" s="1"/>
  <c r="H139" i="48"/>
  <c r="G139" i="48"/>
  <c r="G140" i="48" s="1"/>
  <c r="F139" i="48"/>
  <c r="F143" i="48" s="1"/>
  <c r="E139" i="48"/>
  <c r="E143" i="48" s="1"/>
  <c r="D139" i="48"/>
  <c r="C139" i="48"/>
  <c r="AZ136" i="48"/>
  <c r="AX136" i="48"/>
  <c r="AV136" i="48"/>
  <c r="AT136" i="48"/>
  <c r="AR136" i="48"/>
  <c r="AP136" i="48"/>
  <c r="AN136" i="48"/>
  <c r="AL136" i="48"/>
  <c r="AJ136" i="48"/>
  <c r="AH136" i="48"/>
  <c r="AF136" i="48"/>
  <c r="AB136" i="48"/>
  <c r="Z136" i="48"/>
  <c r="X136" i="48"/>
  <c r="V136" i="48"/>
  <c r="T136" i="48"/>
  <c r="R136" i="48"/>
  <c r="P136" i="48"/>
  <c r="N136" i="48"/>
  <c r="L136" i="48"/>
  <c r="J136" i="48"/>
  <c r="H136" i="48"/>
  <c r="F136" i="48"/>
  <c r="D136" i="48"/>
  <c r="AZ131" i="48"/>
  <c r="AX131" i="48"/>
  <c r="AV131" i="48"/>
  <c r="AT131" i="48"/>
  <c r="AR131" i="48"/>
  <c r="AP131" i="48"/>
  <c r="AN131" i="48"/>
  <c r="AJ131" i="48"/>
  <c r="AH131" i="48"/>
  <c r="AF131" i="48"/>
  <c r="AB131" i="48"/>
  <c r="Z131" i="48"/>
  <c r="X131" i="48"/>
  <c r="V131" i="48"/>
  <c r="T131" i="48"/>
  <c r="R131" i="48"/>
  <c r="P131" i="48"/>
  <c r="N131" i="48"/>
  <c r="L131" i="48"/>
  <c r="J131" i="48"/>
  <c r="H131" i="48"/>
  <c r="F131" i="48"/>
  <c r="D120" i="48"/>
  <c r="BK120" i="48" s="1"/>
  <c r="C120" i="48"/>
  <c r="BJ120" i="48" s="1"/>
  <c r="AB112" i="48"/>
  <c r="Z112" i="48"/>
  <c r="X112" i="48"/>
  <c r="V112" i="48"/>
  <c r="T112" i="48"/>
  <c r="AV108" i="48"/>
  <c r="AT108" i="48"/>
  <c r="AR108" i="48"/>
  <c r="AP108" i="48"/>
  <c r="AN108" i="48"/>
  <c r="AL108" i="48"/>
  <c r="AJ108" i="48"/>
  <c r="AH108" i="48"/>
  <c r="AF108" i="48"/>
  <c r="AB108" i="48"/>
  <c r="Z108" i="48"/>
  <c r="X108" i="48"/>
  <c r="V108" i="48"/>
  <c r="T108" i="48"/>
  <c r="R108" i="48"/>
  <c r="P108" i="48"/>
  <c r="N108" i="48"/>
  <c r="L108" i="48"/>
  <c r="J108" i="48"/>
  <c r="H108" i="48"/>
  <c r="F108" i="48"/>
  <c r="D108" i="48"/>
  <c r="AZ84" i="48"/>
  <c r="AX84" i="48"/>
  <c r="AV84" i="48"/>
  <c r="AT84" i="48"/>
  <c r="AR84" i="48"/>
  <c r="AP84" i="48"/>
  <c r="AN84" i="48"/>
  <c r="AJ84" i="48"/>
  <c r="AH84" i="48"/>
  <c r="AF84" i="48"/>
  <c r="AB84" i="48"/>
  <c r="Z84" i="48"/>
  <c r="X84" i="48"/>
  <c r="V84" i="48"/>
  <c r="T84" i="48"/>
  <c r="R84" i="48"/>
  <c r="P84" i="48"/>
  <c r="N84" i="48"/>
  <c r="L84" i="48"/>
  <c r="F84" i="48"/>
  <c r="J81" i="48"/>
  <c r="J84" i="48" s="1"/>
  <c r="I81" i="48"/>
  <c r="H81" i="48"/>
  <c r="G81" i="48"/>
  <c r="D81" i="48"/>
  <c r="C81" i="48"/>
  <c r="AX67" i="48"/>
  <c r="AT67" i="48"/>
  <c r="AP67" i="48"/>
  <c r="AN67" i="48"/>
  <c r="AJ67" i="48"/>
  <c r="AH67" i="48"/>
  <c r="AF67" i="48"/>
  <c r="AB67" i="48"/>
  <c r="Z67" i="48"/>
  <c r="X67" i="48"/>
  <c r="V67" i="48"/>
  <c r="T67" i="48"/>
  <c r="R67" i="48"/>
  <c r="P67" i="48"/>
  <c r="N67" i="48"/>
  <c r="L67" i="48"/>
  <c r="J67" i="48"/>
  <c r="F67" i="48"/>
  <c r="D66" i="48"/>
  <c r="BK66" i="48" s="1"/>
  <c r="C66" i="48"/>
  <c r="BJ66" i="48" s="1"/>
  <c r="AZ57" i="48"/>
  <c r="AX57" i="48"/>
  <c r="AV57" i="48"/>
  <c r="AT57" i="48"/>
  <c r="AR57" i="48"/>
  <c r="AP57" i="48"/>
  <c r="AN57" i="48"/>
  <c r="AJ57" i="48"/>
  <c r="AH57" i="48"/>
  <c r="AF57" i="48"/>
  <c r="AB57" i="48"/>
  <c r="Z57" i="48"/>
  <c r="X57" i="48"/>
  <c r="V57" i="48"/>
  <c r="T57" i="48"/>
  <c r="L56" i="48"/>
  <c r="K56" i="48"/>
  <c r="H56" i="48"/>
  <c r="G56" i="48"/>
  <c r="L52" i="48"/>
  <c r="K52" i="48"/>
  <c r="J52" i="48"/>
  <c r="I52" i="48"/>
  <c r="H52" i="48"/>
  <c r="G52" i="48"/>
  <c r="D52" i="48"/>
  <c r="C52" i="48"/>
  <c r="R48" i="48"/>
  <c r="R57" i="48" s="1"/>
  <c r="P48" i="48"/>
  <c r="P57" i="48" s="1"/>
  <c r="N48" i="48"/>
  <c r="N57" i="48" s="1"/>
  <c r="L48" i="48"/>
  <c r="H48" i="48"/>
  <c r="F48" i="48"/>
  <c r="F57" i="48" s="1"/>
  <c r="AZ40" i="48"/>
  <c r="AX40" i="48"/>
  <c r="AV40" i="48"/>
  <c r="AT40" i="48"/>
  <c r="AR40" i="48"/>
  <c r="AP40" i="48"/>
  <c r="AN40" i="48"/>
  <c r="AL40" i="48"/>
  <c r="AJ40" i="48"/>
  <c r="AH40" i="48"/>
  <c r="AF40" i="48"/>
  <c r="AB40" i="48"/>
  <c r="X40" i="48"/>
  <c r="T40" i="48"/>
  <c r="R40" i="48"/>
  <c r="J40" i="48"/>
  <c r="F40" i="48"/>
  <c r="AC34" i="48"/>
  <c r="Z34" i="48"/>
  <c r="Z40" i="48" s="1"/>
  <c r="Y34" i="48"/>
  <c r="V34" i="48"/>
  <c r="U34" i="48"/>
  <c r="Q32" i="48"/>
  <c r="P32" i="48"/>
  <c r="P40" i="48" s="1"/>
  <c r="O32" i="48"/>
  <c r="N32" i="48"/>
  <c r="N40" i="48" s="1"/>
  <c r="M32" i="48"/>
  <c r="L32" i="48"/>
  <c r="L40" i="48" s="1"/>
  <c r="K32" i="48"/>
  <c r="H32" i="48"/>
  <c r="H40" i="48" s="1"/>
  <c r="G32" i="48"/>
  <c r="D32" i="48"/>
  <c r="C32" i="48"/>
  <c r="D27" i="48"/>
  <c r="BK27" i="48" s="1"/>
  <c r="C27" i="48"/>
  <c r="BJ27" i="48" s="1"/>
  <c r="D14" i="48"/>
  <c r="M38" i="34"/>
  <c r="M39" i="34"/>
  <c r="M40" i="34"/>
  <c r="M41" i="34"/>
  <c r="M42" i="34"/>
  <c r="M43" i="34"/>
  <c r="F17" i="42"/>
  <c r="H17" i="42" s="1"/>
  <c r="H15" i="42"/>
  <c r="H14" i="42"/>
  <c r="H13" i="42"/>
  <c r="H12" i="42"/>
  <c r="H11" i="42"/>
  <c r="H10" i="42"/>
  <c r="H9" i="42"/>
  <c r="D30" i="23"/>
  <c r="E30" i="23"/>
  <c r="E31" i="23" s="1"/>
  <c r="F30" i="23"/>
  <c r="F31" i="23" s="1"/>
  <c r="G30" i="23"/>
  <c r="G31" i="23" s="1"/>
  <c r="H30" i="23"/>
  <c r="H31" i="23" s="1"/>
  <c r="I30" i="23"/>
  <c r="I31" i="23" s="1"/>
  <c r="J30" i="23"/>
  <c r="J31" i="23" s="1"/>
  <c r="K30" i="23"/>
  <c r="K31" i="23" s="1"/>
  <c r="L30" i="23"/>
  <c r="L31" i="23" s="1"/>
  <c r="M30" i="23"/>
  <c r="M31" i="23" s="1"/>
  <c r="N30" i="23"/>
  <c r="N31" i="23" s="1"/>
  <c r="O30" i="23"/>
  <c r="O31" i="23" s="1"/>
  <c r="P30" i="23"/>
  <c r="P31" i="23" s="1"/>
  <c r="Q30" i="23"/>
  <c r="Q31" i="23" s="1"/>
  <c r="R30" i="23"/>
  <c r="R31" i="23" s="1"/>
  <c r="S30" i="23"/>
  <c r="S31" i="23" s="1"/>
  <c r="V30" i="23"/>
  <c r="V31" i="23" s="1"/>
  <c r="W30" i="23"/>
  <c r="W31" i="23" s="1"/>
  <c r="Z30" i="23"/>
  <c r="Z31" i="23" s="1"/>
  <c r="AB30" i="23"/>
  <c r="AB31" i="23" s="1"/>
  <c r="AC30" i="23"/>
  <c r="AC31" i="23" s="1"/>
  <c r="Y30" i="23"/>
  <c r="Y31" i="23" s="1"/>
  <c r="AK23" i="23"/>
  <c r="AK19" i="23"/>
  <c r="AK17" i="23"/>
  <c r="S51" i="40"/>
  <c r="W1" i="40" s="1"/>
  <c r="S50" i="40"/>
  <c r="S49" i="40"/>
  <c r="S48" i="40"/>
  <c r="S47" i="40"/>
  <c r="S46" i="40"/>
  <c r="S45" i="40"/>
  <c r="S44" i="40"/>
  <c r="S43" i="40"/>
  <c r="S42" i="40"/>
  <c r="U41" i="40"/>
  <c r="T41" i="40"/>
  <c r="A67" i="37"/>
  <c r="B67" i="37" s="1"/>
  <c r="A66" i="37"/>
  <c r="B66" i="37" s="1"/>
  <c r="A65" i="37"/>
  <c r="B65" i="37" s="1"/>
  <c r="A64" i="37"/>
  <c r="B64" i="37" s="1"/>
  <c r="A63" i="37"/>
  <c r="B63" i="37" s="1"/>
  <c r="A62" i="37"/>
  <c r="B62" i="37" s="1"/>
  <c r="A61" i="37"/>
  <c r="B61" i="37" s="1"/>
  <c r="A60" i="37"/>
  <c r="B60" i="37" s="1"/>
  <c r="A59" i="37"/>
  <c r="B59" i="37" s="1"/>
  <c r="A58" i="37"/>
  <c r="B58" i="37" s="1"/>
  <c r="A57" i="37"/>
  <c r="B57" i="37" s="1"/>
  <c r="A56" i="37"/>
  <c r="B56" i="37" s="1"/>
  <c r="A55" i="37"/>
  <c r="B55" i="37" s="1"/>
  <c r="A54" i="37"/>
  <c r="B54" i="37" s="1"/>
  <c r="A53" i="37"/>
  <c r="B53" i="37" s="1"/>
  <c r="A52" i="37"/>
  <c r="B52" i="37" s="1"/>
  <c r="A51" i="37"/>
  <c r="B51" i="37" s="1"/>
  <c r="A50" i="37"/>
  <c r="B50" i="37" s="1"/>
  <c r="A49" i="37"/>
  <c r="B49" i="37" s="1"/>
  <c r="A48" i="37"/>
  <c r="B48" i="37" s="1"/>
  <c r="A47" i="37"/>
  <c r="B47" i="37" s="1"/>
  <c r="A46" i="37"/>
  <c r="B46" i="37" s="1"/>
  <c r="A45" i="37"/>
  <c r="B45" i="37" s="1"/>
  <c r="A44" i="37"/>
  <c r="B44" i="37" s="1"/>
  <c r="A43" i="37"/>
  <c r="B43" i="37" s="1"/>
  <c r="A42" i="37"/>
  <c r="B42" i="37" s="1"/>
  <c r="A41" i="37"/>
  <c r="B41" i="37" s="1"/>
  <c r="A40" i="37"/>
  <c r="B40" i="37" s="1"/>
  <c r="A39" i="37"/>
  <c r="B39" i="37" s="1"/>
  <c r="A38" i="37"/>
  <c r="B38" i="37" s="1"/>
  <c r="A37" i="37"/>
  <c r="B37" i="37" s="1"/>
  <c r="A36" i="37"/>
  <c r="B36" i="37" s="1"/>
  <c r="A35" i="37"/>
  <c r="B35" i="37" s="1"/>
  <c r="A34" i="37"/>
  <c r="B34" i="37" s="1"/>
  <c r="A33" i="37"/>
  <c r="B33" i="37" s="1"/>
  <c r="A32" i="37"/>
  <c r="B32" i="37" s="1"/>
  <c r="A31" i="37"/>
  <c r="B31" i="37" s="1"/>
  <c r="A30" i="37"/>
  <c r="B30" i="37" s="1"/>
  <c r="A29" i="37"/>
  <c r="B29" i="37" s="1"/>
  <c r="A28" i="37"/>
  <c r="B28" i="37" s="1"/>
  <c r="A27" i="37"/>
  <c r="B27" i="37" s="1"/>
  <c r="A26" i="37"/>
  <c r="B26" i="37" s="1"/>
  <c r="A25" i="37"/>
  <c r="B25" i="37" s="1"/>
  <c r="A24" i="37"/>
  <c r="B24" i="37" s="1"/>
  <c r="A23" i="37"/>
  <c r="B23" i="37" s="1"/>
  <c r="A22" i="37"/>
  <c r="B22" i="37" s="1"/>
  <c r="A21" i="37"/>
  <c r="B21" i="37" s="1"/>
  <c r="A20" i="37"/>
  <c r="B20" i="37" s="1"/>
  <c r="A19" i="37"/>
  <c r="B19" i="37" s="1"/>
  <c r="A18" i="37"/>
  <c r="B18" i="37" s="1"/>
  <c r="A17" i="37"/>
  <c r="B17" i="37" s="1"/>
  <c r="A16" i="37"/>
  <c r="B16" i="37" s="1"/>
  <c r="A15" i="37"/>
  <c r="B15" i="37" s="1"/>
  <c r="A14" i="37"/>
  <c r="B14" i="37" s="1"/>
  <c r="A13" i="37"/>
  <c r="B13" i="37" s="1"/>
  <c r="A12" i="37"/>
  <c r="B12" i="37" s="1"/>
  <c r="A11" i="37"/>
  <c r="B11" i="37" s="1"/>
  <c r="A10" i="37"/>
  <c r="B10" i="37" s="1"/>
  <c r="A9" i="37"/>
  <c r="B9" i="37" s="1"/>
  <c r="A8" i="37"/>
  <c r="B8" i="37" s="1"/>
  <c r="F10" i="36"/>
  <c r="G10" i="36"/>
  <c r="F11" i="36"/>
  <c r="G11" i="36"/>
  <c r="F12" i="36"/>
  <c r="G12" i="36"/>
  <c r="F13" i="36"/>
  <c r="G13" i="36"/>
  <c r="F14" i="36"/>
  <c r="G14" i="36"/>
  <c r="F15" i="36"/>
  <c r="G15" i="36"/>
  <c r="F16" i="36"/>
  <c r="G16" i="36"/>
  <c r="F17" i="36"/>
  <c r="G17" i="36"/>
  <c r="F18" i="36"/>
  <c r="G18" i="36"/>
  <c r="F19" i="36"/>
  <c r="G19" i="36"/>
  <c r="F20" i="36"/>
  <c r="G20" i="36"/>
  <c r="F21" i="36"/>
  <c r="G21" i="36"/>
  <c r="F22" i="36"/>
  <c r="G22" i="36"/>
  <c r="F23" i="36"/>
  <c r="G23" i="36"/>
  <c r="F24" i="36"/>
  <c r="G24" i="36"/>
  <c r="F25" i="36"/>
  <c r="G25" i="36"/>
  <c r="F26" i="36"/>
  <c r="G26" i="36"/>
  <c r="F27" i="36"/>
  <c r="G27" i="36"/>
  <c r="F28" i="36"/>
  <c r="G28" i="36"/>
  <c r="F29" i="36"/>
  <c r="G29" i="36"/>
  <c r="F30" i="36"/>
  <c r="G30" i="36"/>
  <c r="F31" i="36"/>
  <c r="G31" i="36"/>
  <c r="F32" i="36"/>
  <c r="G32" i="36"/>
  <c r="F33" i="36"/>
  <c r="G33" i="36"/>
  <c r="F34" i="36"/>
  <c r="G34" i="36"/>
  <c r="F35" i="36"/>
  <c r="G35" i="36"/>
  <c r="F36" i="36"/>
  <c r="G36" i="36"/>
  <c r="F37" i="36"/>
  <c r="G37" i="36"/>
  <c r="F38" i="36"/>
  <c r="G38" i="36"/>
  <c r="F39" i="36"/>
  <c r="G39" i="36"/>
  <c r="F40" i="36"/>
  <c r="G40" i="36"/>
  <c r="F41" i="36"/>
  <c r="G41" i="36"/>
  <c r="F42" i="36"/>
  <c r="G42" i="36"/>
  <c r="F43" i="36"/>
  <c r="G43" i="36"/>
  <c r="F44" i="36"/>
  <c r="G44" i="36"/>
  <c r="F45" i="36"/>
  <c r="G45" i="36"/>
  <c r="F46" i="36"/>
  <c r="G46" i="36"/>
  <c r="F47" i="36"/>
  <c r="G47" i="36"/>
  <c r="F48" i="36"/>
  <c r="G48" i="36"/>
  <c r="F49" i="36"/>
  <c r="G49" i="36"/>
  <c r="F50" i="36"/>
  <c r="G50" i="36"/>
  <c r="F51" i="36"/>
  <c r="G51" i="36"/>
  <c r="F52" i="36"/>
  <c r="G52" i="36"/>
  <c r="F53" i="36"/>
  <c r="G53" i="36"/>
  <c r="F54" i="36"/>
  <c r="G54" i="36"/>
  <c r="F55" i="36"/>
  <c r="G55" i="36"/>
  <c r="F56" i="36"/>
  <c r="G56" i="36"/>
  <c r="F57" i="36"/>
  <c r="G57" i="36"/>
  <c r="F58" i="36"/>
  <c r="G58" i="36"/>
  <c r="F59" i="36"/>
  <c r="G59" i="36"/>
  <c r="F60" i="36"/>
  <c r="G60" i="36"/>
  <c r="F61" i="36"/>
  <c r="G61" i="36"/>
  <c r="F62" i="36"/>
  <c r="G62" i="36"/>
  <c r="F63" i="36"/>
  <c r="G63" i="36"/>
  <c r="F64" i="36"/>
  <c r="G64" i="36"/>
  <c r="F65" i="36"/>
  <c r="G65" i="36"/>
  <c r="F66" i="36"/>
  <c r="G66" i="36"/>
  <c r="F67" i="36"/>
  <c r="G67" i="36"/>
  <c r="F68" i="36"/>
  <c r="G68" i="36"/>
  <c r="G9" i="36"/>
  <c r="F9" i="36"/>
  <c r="T20" i="36"/>
  <c r="T19" i="36"/>
  <c r="T18" i="36"/>
  <c r="T17" i="36"/>
  <c r="V17" i="36" s="1"/>
  <c r="T16" i="36"/>
  <c r="T15" i="36"/>
  <c r="T14" i="36"/>
  <c r="T13" i="36"/>
  <c r="T12" i="36"/>
  <c r="T11" i="36"/>
  <c r="A67" i="35"/>
  <c r="B67" i="35" s="1"/>
  <c r="A66" i="35"/>
  <c r="B66" i="35" s="1"/>
  <c r="A65" i="35"/>
  <c r="B65" i="35" s="1"/>
  <c r="A64" i="35"/>
  <c r="B64" i="35" s="1"/>
  <c r="A63" i="35"/>
  <c r="B63" i="35" s="1"/>
  <c r="A62" i="35"/>
  <c r="B62" i="35" s="1"/>
  <c r="A61" i="35"/>
  <c r="B61" i="35" s="1"/>
  <c r="A60" i="35"/>
  <c r="B60" i="35" s="1"/>
  <c r="A59" i="35"/>
  <c r="B59" i="35" s="1"/>
  <c r="A58" i="35"/>
  <c r="B58" i="35" s="1"/>
  <c r="A57" i="35"/>
  <c r="B57" i="35" s="1"/>
  <c r="A56" i="35"/>
  <c r="B56" i="35" s="1"/>
  <c r="A55" i="35"/>
  <c r="B55" i="35" s="1"/>
  <c r="A54" i="35"/>
  <c r="B54" i="35" s="1"/>
  <c r="A53" i="35"/>
  <c r="B53" i="35" s="1"/>
  <c r="A52" i="35"/>
  <c r="B52" i="35" s="1"/>
  <c r="A51" i="35"/>
  <c r="B51" i="35" s="1"/>
  <c r="A50" i="35"/>
  <c r="B50" i="35" s="1"/>
  <c r="A49" i="35"/>
  <c r="B49" i="35" s="1"/>
  <c r="A48" i="35"/>
  <c r="B48" i="35" s="1"/>
  <c r="A47" i="35"/>
  <c r="B47" i="35" s="1"/>
  <c r="A46" i="35"/>
  <c r="B46" i="35" s="1"/>
  <c r="A45" i="35"/>
  <c r="B45" i="35" s="1"/>
  <c r="A44" i="35"/>
  <c r="B44" i="35" s="1"/>
  <c r="A43" i="35"/>
  <c r="B43" i="35" s="1"/>
  <c r="A42" i="35"/>
  <c r="B42" i="35" s="1"/>
  <c r="A41" i="35"/>
  <c r="B41" i="35" s="1"/>
  <c r="A40" i="35"/>
  <c r="B40" i="35" s="1"/>
  <c r="A39" i="35"/>
  <c r="B39" i="35" s="1"/>
  <c r="A38" i="35"/>
  <c r="B38" i="35" s="1"/>
  <c r="A37" i="35"/>
  <c r="B37" i="35" s="1"/>
  <c r="A36" i="35"/>
  <c r="B36" i="35" s="1"/>
  <c r="A35" i="35"/>
  <c r="B35" i="35" s="1"/>
  <c r="A34" i="35"/>
  <c r="B34" i="35" s="1"/>
  <c r="A33" i="35"/>
  <c r="B33" i="35" s="1"/>
  <c r="A32" i="35"/>
  <c r="B32" i="35" s="1"/>
  <c r="A31" i="35"/>
  <c r="B31" i="35" s="1"/>
  <c r="A30" i="35"/>
  <c r="B30" i="35" s="1"/>
  <c r="A29" i="35"/>
  <c r="B29" i="35" s="1"/>
  <c r="A28" i="35"/>
  <c r="B28" i="35" s="1"/>
  <c r="A27" i="35"/>
  <c r="B27" i="35" s="1"/>
  <c r="A26" i="35"/>
  <c r="B26" i="35" s="1"/>
  <c r="A25" i="35"/>
  <c r="B25" i="35" s="1"/>
  <c r="A24" i="35"/>
  <c r="B24" i="35" s="1"/>
  <c r="A23" i="35"/>
  <c r="B23" i="35" s="1"/>
  <c r="A22" i="35"/>
  <c r="B22" i="35" s="1"/>
  <c r="A21" i="35"/>
  <c r="B21" i="35" s="1"/>
  <c r="A20" i="35"/>
  <c r="B20" i="35" s="1"/>
  <c r="A19" i="35"/>
  <c r="B19" i="35" s="1"/>
  <c r="A18" i="35"/>
  <c r="B18" i="35" s="1"/>
  <c r="A17" i="35"/>
  <c r="B17" i="35" s="1"/>
  <c r="A16" i="35"/>
  <c r="B16" i="35" s="1"/>
  <c r="A15" i="35"/>
  <c r="B15" i="35" s="1"/>
  <c r="A14" i="35"/>
  <c r="B14" i="35" s="1"/>
  <c r="A13" i="35"/>
  <c r="B13" i="35" s="1"/>
  <c r="A12" i="35"/>
  <c r="B12" i="35" s="1"/>
  <c r="A11" i="35"/>
  <c r="B11" i="35" s="1"/>
  <c r="A10" i="35"/>
  <c r="B10" i="35" s="1"/>
  <c r="A9" i="35"/>
  <c r="B9" i="35" s="1"/>
  <c r="A8" i="35"/>
  <c r="B8" i="35" s="1"/>
  <c r="E57" i="32"/>
  <c r="G57" i="32" s="1"/>
  <c r="E56" i="32"/>
  <c r="E55" i="32"/>
  <c r="E54" i="32"/>
  <c r="E53" i="32"/>
  <c r="E52" i="32"/>
  <c r="E51" i="32"/>
  <c r="E50" i="32"/>
  <c r="E49" i="32"/>
  <c r="G49" i="32" s="1"/>
  <c r="E48" i="32"/>
  <c r="G47" i="32"/>
  <c r="F47" i="32"/>
  <c r="A10" i="30"/>
  <c r="B10" i="30" s="1"/>
  <c r="A69" i="30"/>
  <c r="A68" i="30"/>
  <c r="A67" i="30"/>
  <c r="A66" i="30"/>
  <c r="A65" i="30"/>
  <c r="A64" i="30"/>
  <c r="A63" i="30"/>
  <c r="A62" i="30"/>
  <c r="A61" i="30"/>
  <c r="A60" i="30"/>
  <c r="A59" i="30"/>
  <c r="A58" i="30"/>
  <c r="A57" i="30"/>
  <c r="A56" i="30"/>
  <c r="C56" i="30" s="1"/>
  <c r="A55" i="30"/>
  <c r="E55" i="30" s="1"/>
  <c r="A54" i="30"/>
  <c r="C54" i="30" s="1"/>
  <c r="A53" i="30"/>
  <c r="B53" i="30" s="1"/>
  <c r="A52" i="30"/>
  <c r="C52" i="30" s="1"/>
  <c r="A51" i="30"/>
  <c r="E51" i="30" s="1"/>
  <c r="A50" i="30"/>
  <c r="E50" i="30" s="1"/>
  <c r="A49" i="30"/>
  <c r="C49" i="30" s="1"/>
  <c r="A48" i="30"/>
  <c r="E48" i="30" s="1"/>
  <c r="A47" i="30"/>
  <c r="C47" i="30" s="1"/>
  <c r="A46" i="30"/>
  <c r="C46" i="30" s="1"/>
  <c r="A45" i="30"/>
  <c r="C45" i="30" s="1"/>
  <c r="A44" i="30"/>
  <c r="D44" i="30" s="1"/>
  <c r="A43" i="30"/>
  <c r="C43" i="30" s="1"/>
  <c r="A42" i="30"/>
  <c r="B42" i="30" s="1"/>
  <c r="A41" i="30"/>
  <c r="D41" i="30" s="1"/>
  <c r="A40" i="30"/>
  <c r="D40" i="30" s="1"/>
  <c r="A39" i="30"/>
  <c r="B39" i="30" s="1"/>
  <c r="A38" i="30"/>
  <c r="E38" i="30" s="1"/>
  <c r="A37" i="30"/>
  <c r="B37" i="30" s="1"/>
  <c r="A36" i="30"/>
  <c r="B36" i="30" s="1"/>
  <c r="A35" i="30"/>
  <c r="D35" i="30" s="1"/>
  <c r="A34" i="30"/>
  <c r="E34" i="30" s="1"/>
  <c r="A33" i="30"/>
  <c r="C33" i="30" s="1"/>
  <c r="A32" i="30"/>
  <c r="C32" i="30" s="1"/>
  <c r="A31" i="30"/>
  <c r="C31" i="30" s="1"/>
  <c r="A30" i="30"/>
  <c r="E30" i="30" s="1"/>
  <c r="A29" i="30"/>
  <c r="B29" i="30" s="1"/>
  <c r="A28" i="30"/>
  <c r="D28" i="30" s="1"/>
  <c r="A27" i="30"/>
  <c r="C27" i="30" s="1"/>
  <c r="A26" i="30"/>
  <c r="D26" i="30" s="1"/>
  <c r="A25" i="30"/>
  <c r="C25" i="30" s="1"/>
  <c r="A24" i="30"/>
  <c r="D24" i="30" s="1"/>
  <c r="A23" i="30"/>
  <c r="A22" i="30"/>
  <c r="C22" i="30" s="1"/>
  <c r="A21" i="30"/>
  <c r="B21" i="30" s="1"/>
  <c r="A20" i="30"/>
  <c r="D20" i="30" s="1"/>
  <c r="A19" i="30"/>
  <c r="E19" i="30" s="1"/>
  <c r="A18" i="30"/>
  <c r="E18" i="30" s="1"/>
  <c r="A17" i="30"/>
  <c r="A16" i="30"/>
  <c r="E16" i="30" s="1"/>
  <c r="A15" i="30"/>
  <c r="C15" i="30" s="1"/>
  <c r="A14" i="30"/>
  <c r="E14" i="30" s="1"/>
  <c r="A13" i="30"/>
  <c r="D13" i="30" s="1"/>
  <c r="A12" i="30"/>
  <c r="D12" i="30" s="1"/>
  <c r="A11" i="30"/>
  <c r="S19" i="28"/>
  <c r="U19" i="28" s="1"/>
  <c r="S18" i="28"/>
  <c r="U18" i="28" s="1"/>
  <c r="S17" i="28"/>
  <c r="U17" i="28" s="1"/>
  <c r="S16" i="28"/>
  <c r="S15" i="28"/>
  <c r="S14" i="28"/>
  <c r="T14" i="28" s="1"/>
  <c r="S13" i="28"/>
  <c r="U13" i="28" s="1"/>
  <c r="S12" i="28"/>
  <c r="T12" i="28" s="1"/>
  <c r="S11" i="28"/>
  <c r="T11" i="28" s="1"/>
  <c r="S10" i="28"/>
  <c r="U10" i="28" s="1"/>
  <c r="E62" i="27"/>
  <c r="E61" i="27"/>
  <c r="E60" i="27"/>
  <c r="E59" i="27"/>
  <c r="E58" i="27"/>
  <c r="E57" i="27"/>
  <c r="E56" i="27"/>
  <c r="G56" i="27" s="1"/>
  <c r="E55" i="27"/>
  <c r="G55" i="27" s="1"/>
  <c r="E54" i="27"/>
  <c r="G54" i="27" s="1"/>
  <c r="E53" i="27"/>
  <c r="G53" i="27" s="1"/>
  <c r="G52" i="27"/>
  <c r="F52" i="27"/>
  <c r="Q19" i="22"/>
  <c r="S19" i="22" s="1"/>
  <c r="Q18" i="22"/>
  <c r="S18" i="22" s="1"/>
  <c r="Q17" i="22"/>
  <c r="S17" i="22" s="1"/>
  <c r="Q16" i="22"/>
  <c r="R16" i="22" s="1"/>
  <c r="Q15" i="22"/>
  <c r="S15" i="22" s="1"/>
  <c r="Q14" i="22"/>
  <c r="R14" i="22" s="1"/>
  <c r="Q13" i="22"/>
  <c r="S13" i="22" s="1"/>
  <c r="Q12" i="22"/>
  <c r="R12" i="22" s="1"/>
  <c r="Q11" i="22"/>
  <c r="S11" i="22" s="1"/>
  <c r="Q10" i="22"/>
  <c r="S10" i="22" s="1"/>
  <c r="C64" i="18"/>
  <c r="C63" i="18"/>
  <c r="A62" i="18"/>
  <c r="B62" i="18" s="1"/>
  <c r="A61" i="18"/>
  <c r="C61" i="18" s="1"/>
  <c r="A60" i="18"/>
  <c r="A59" i="18"/>
  <c r="B59" i="18" s="1"/>
  <c r="A58" i="18"/>
  <c r="B58" i="18" s="1"/>
  <c r="A57" i="18"/>
  <c r="C57" i="18" s="1"/>
  <c r="A56" i="18"/>
  <c r="C56" i="18" s="1"/>
  <c r="A55" i="18"/>
  <c r="B55" i="18" s="1"/>
  <c r="A54" i="18"/>
  <c r="B54" i="18" s="1"/>
  <c r="A53" i="18"/>
  <c r="B53" i="18" s="1"/>
  <c r="A52" i="18"/>
  <c r="B52" i="18" s="1"/>
  <c r="A51" i="18"/>
  <c r="C51" i="18" s="1"/>
  <c r="A50" i="18"/>
  <c r="B50" i="18" s="1"/>
  <c r="A49" i="18"/>
  <c r="A48" i="18"/>
  <c r="A47" i="18"/>
  <c r="C47" i="18" s="1"/>
  <c r="A46" i="18"/>
  <c r="C46" i="18" s="1"/>
  <c r="A45" i="18"/>
  <c r="C45" i="18" s="1"/>
  <c r="A44" i="18"/>
  <c r="B44" i="18" s="1"/>
  <c r="A43" i="18"/>
  <c r="B43" i="18" s="1"/>
  <c r="A42" i="18"/>
  <c r="B42" i="18" s="1"/>
  <c r="A41" i="18"/>
  <c r="C41" i="18" s="1"/>
  <c r="A40" i="18"/>
  <c r="B40" i="18" s="1"/>
  <c r="A39" i="18"/>
  <c r="C39" i="18" s="1"/>
  <c r="A38" i="18"/>
  <c r="B38" i="18" s="1"/>
  <c r="A37" i="18"/>
  <c r="B37" i="18" s="1"/>
  <c r="A36" i="18"/>
  <c r="A35" i="18"/>
  <c r="B35" i="18" s="1"/>
  <c r="A34" i="18"/>
  <c r="C34" i="18" s="1"/>
  <c r="A33" i="18"/>
  <c r="C33" i="18" s="1"/>
  <c r="A32" i="18"/>
  <c r="A31" i="18"/>
  <c r="B31" i="18" s="1"/>
  <c r="A30" i="18"/>
  <c r="B30" i="18" s="1"/>
  <c r="A29" i="18"/>
  <c r="C29" i="18" s="1"/>
  <c r="A28" i="18"/>
  <c r="B28" i="18" s="1"/>
  <c r="A27" i="18"/>
  <c r="B27" i="18" s="1"/>
  <c r="A26" i="18"/>
  <c r="B26" i="18" s="1"/>
  <c r="A25" i="18"/>
  <c r="B25" i="18" s="1"/>
  <c r="A24" i="18"/>
  <c r="B24" i="18" s="1"/>
  <c r="A23" i="18"/>
  <c r="B23" i="18" s="1"/>
  <c r="A22" i="18"/>
  <c r="B22" i="18" s="1"/>
  <c r="A21" i="18"/>
  <c r="B21" i="18" s="1"/>
  <c r="A20" i="18"/>
  <c r="B20" i="18" s="1"/>
  <c r="A19" i="18"/>
  <c r="B19" i="18" s="1"/>
  <c r="A18" i="18"/>
  <c r="C18" i="18" s="1"/>
  <c r="A17" i="18"/>
  <c r="A16" i="18"/>
  <c r="B16" i="18" s="1"/>
  <c r="A15" i="18"/>
  <c r="C15" i="18" s="1"/>
  <c r="A14" i="18"/>
  <c r="C14" i="18" s="1"/>
  <c r="A13" i="18"/>
  <c r="B13" i="18" s="1"/>
  <c r="A12" i="18"/>
  <c r="C12" i="18" s="1"/>
  <c r="A11" i="18"/>
  <c r="A10" i="18"/>
  <c r="C10" i="18" s="1"/>
  <c r="A9" i="18"/>
  <c r="C9" i="18" s="1"/>
  <c r="A8" i="18"/>
  <c r="B8" i="18" s="1"/>
  <c r="Q19" i="17"/>
  <c r="S19" i="17" s="1"/>
  <c r="Q18" i="17"/>
  <c r="S18" i="17" s="1"/>
  <c r="Q17" i="17"/>
  <c r="R17" i="17" s="1"/>
  <c r="Q16" i="17"/>
  <c r="R16" i="17" s="1"/>
  <c r="Q15" i="17"/>
  <c r="S15" i="17" s="1"/>
  <c r="Q14" i="17"/>
  <c r="R14" i="17" s="1"/>
  <c r="Q13" i="17"/>
  <c r="S13" i="17" s="1"/>
  <c r="Q12" i="17"/>
  <c r="R12" i="17" s="1"/>
  <c r="Q11" i="17"/>
  <c r="R11" i="17" s="1"/>
  <c r="Q10" i="17"/>
  <c r="S10" i="17" s="1"/>
  <c r="A67" i="13"/>
  <c r="B67" i="13" s="1"/>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B8" i="13" s="1"/>
  <c r="U31" i="16"/>
  <c r="S41" i="16"/>
  <c r="U41" i="16" s="1"/>
  <c r="S40" i="16"/>
  <c r="U40" i="16" s="1"/>
  <c r="S39" i="16"/>
  <c r="U39" i="16" s="1"/>
  <c r="S38" i="16"/>
  <c r="S37" i="16"/>
  <c r="U37" i="16" s="1"/>
  <c r="S36" i="16"/>
  <c r="U36" i="16" s="1"/>
  <c r="S35" i="16"/>
  <c r="U35" i="16" s="1"/>
  <c r="S34" i="16"/>
  <c r="S33" i="16"/>
  <c r="S32" i="16"/>
  <c r="T31" i="16"/>
  <c r="T19" i="12"/>
  <c r="T18" i="12"/>
  <c r="T17" i="12"/>
  <c r="R16" i="12"/>
  <c r="S16" i="12" s="1"/>
  <c r="R15" i="12"/>
  <c r="S15" i="12" s="1"/>
  <c r="R14" i="12"/>
  <c r="T14" i="12" s="1"/>
  <c r="R13" i="12"/>
  <c r="S13" i="12" s="1"/>
  <c r="R12" i="12"/>
  <c r="S12" i="12" s="1"/>
  <c r="R11" i="12"/>
  <c r="S11" i="12" s="1"/>
  <c r="R10" i="12"/>
  <c r="S10" i="12" s="1"/>
  <c r="A59" i="11"/>
  <c r="B59" i="11" s="1"/>
  <c r="B66" i="11"/>
  <c r="B65" i="11"/>
  <c r="A63" i="11"/>
  <c r="B63" i="11" s="1"/>
  <c r="A62" i="11"/>
  <c r="B62" i="11" s="1"/>
  <c r="A61" i="11"/>
  <c r="A60" i="11"/>
  <c r="B60" i="11" s="1"/>
  <c r="A58" i="11"/>
  <c r="A57" i="11"/>
  <c r="B57" i="11" s="1"/>
  <c r="A56" i="11"/>
  <c r="B56" i="11" s="1"/>
  <c r="A55" i="11"/>
  <c r="A54" i="11"/>
  <c r="B54" i="11" s="1"/>
  <c r="A53" i="11"/>
  <c r="B53" i="11" s="1"/>
  <c r="A52" i="11"/>
  <c r="A51" i="11"/>
  <c r="B51" i="11" s="1"/>
  <c r="A50" i="11"/>
  <c r="B50" i="11" s="1"/>
  <c r="A49" i="11"/>
  <c r="A48" i="11"/>
  <c r="B48" i="11" s="1"/>
  <c r="A47" i="11"/>
  <c r="B47" i="11" s="1"/>
  <c r="A46" i="11"/>
  <c r="B46" i="11" s="1"/>
  <c r="A45" i="11"/>
  <c r="B45" i="11" s="1"/>
  <c r="A44" i="11"/>
  <c r="B44" i="11" s="1"/>
  <c r="A43" i="11"/>
  <c r="B43" i="11" s="1"/>
  <c r="A42" i="11"/>
  <c r="B42" i="11" s="1"/>
  <c r="A41" i="11"/>
  <c r="B41" i="11" s="1"/>
  <c r="A40" i="11"/>
  <c r="B40" i="11" s="1"/>
  <c r="A39" i="11"/>
  <c r="B39" i="11" s="1"/>
  <c r="A38" i="11"/>
  <c r="B38" i="11" s="1"/>
  <c r="A37" i="11"/>
  <c r="B37" i="11" s="1"/>
  <c r="A36" i="11"/>
  <c r="B36" i="11" s="1"/>
  <c r="A35" i="11"/>
  <c r="B35" i="11" s="1"/>
  <c r="A34" i="11"/>
  <c r="B34" i="11" s="1"/>
  <c r="A33" i="11"/>
  <c r="B33" i="11" s="1"/>
  <c r="A32" i="11"/>
  <c r="B32" i="11" s="1"/>
  <c r="A31" i="11"/>
  <c r="B31" i="11" s="1"/>
  <c r="A30" i="11"/>
  <c r="B30" i="11" s="1"/>
  <c r="A29" i="11"/>
  <c r="B29" i="11" s="1"/>
  <c r="A28" i="11"/>
  <c r="B28" i="11" s="1"/>
  <c r="A27" i="11"/>
  <c r="B27" i="11" s="1"/>
  <c r="A26" i="11"/>
  <c r="B26" i="11" s="1"/>
  <c r="A25" i="11"/>
  <c r="B25" i="11" s="1"/>
  <c r="A24" i="11"/>
  <c r="B24" i="11" s="1"/>
  <c r="A23" i="11"/>
  <c r="B23" i="11" s="1"/>
  <c r="A22" i="11"/>
  <c r="B22" i="11" s="1"/>
  <c r="A21" i="11"/>
  <c r="B21" i="11" s="1"/>
  <c r="A20" i="11"/>
  <c r="B20" i="11" s="1"/>
  <c r="A19" i="11"/>
  <c r="B19" i="11" s="1"/>
  <c r="A18" i="11"/>
  <c r="B18" i="11" s="1"/>
  <c r="A17" i="11"/>
  <c r="B17" i="11" s="1"/>
  <c r="A16" i="11"/>
  <c r="B16" i="11" s="1"/>
  <c r="A15" i="11"/>
  <c r="B15" i="11" s="1"/>
  <c r="A14" i="11"/>
  <c r="B14" i="11" s="1"/>
  <c r="A13" i="11"/>
  <c r="A12" i="11"/>
  <c r="B12" i="11" s="1"/>
  <c r="A11" i="11"/>
  <c r="B11" i="11" s="1"/>
  <c r="A10" i="11"/>
  <c r="A9" i="11"/>
  <c r="B9" i="11" s="1"/>
  <c r="A8" i="11"/>
  <c r="B8" i="11" s="1"/>
  <c r="U31" i="5"/>
  <c r="T31" i="5"/>
  <c r="S38" i="5"/>
  <c r="S41" i="5"/>
  <c r="S40" i="5"/>
  <c r="S39" i="5"/>
  <c r="S37" i="5"/>
  <c r="S36" i="5"/>
  <c r="S35" i="5"/>
  <c r="S34" i="5"/>
  <c r="S33" i="5"/>
  <c r="S32" i="5"/>
  <c r="S20" i="2"/>
  <c r="V20" i="2" s="1"/>
  <c r="S19" i="2"/>
  <c r="S18" i="2"/>
  <c r="S17" i="2"/>
  <c r="S16" i="2"/>
  <c r="S15" i="2"/>
  <c r="S14" i="2"/>
  <c r="S13" i="2"/>
  <c r="S12" i="2"/>
  <c r="S11" i="2"/>
  <c r="S44" i="61"/>
  <c r="AL13" i="62" l="1"/>
  <c r="AL12" i="62"/>
  <c r="AL14" i="62" s="1"/>
  <c r="AK13" i="62"/>
  <c r="AK12" i="62"/>
  <c r="C64" i="59"/>
  <c r="B64" i="59"/>
  <c r="D66" i="53"/>
  <c r="B66" i="53"/>
  <c r="C62" i="59"/>
  <c r="B62" i="59"/>
  <c r="C68" i="53"/>
  <c r="B68" i="53"/>
  <c r="R53" i="22"/>
  <c r="S53" i="22"/>
  <c r="R54" i="22"/>
  <c r="S54" i="22"/>
  <c r="S55" i="22"/>
  <c r="R55" i="22"/>
  <c r="S56" i="22"/>
  <c r="R56" i="22"/>
  <c r="R57" i="22"/>
  <c r="S57" i="22"/>
  <c r="T53" i="28"/>
  <c r="U53" i="28"/>
  <c r="U54" i="28"/>
  <c r="T54" i="28"/>
  <c r="T55" i="28"/>
  <c r="U55" i="28"/>
  <c r="T56" i="28"/>
  <c r="U56" i="28"/>
  <c r="T57" i="28"/>
  <c r="U57" i="28"/>
  <c r="Z42" i="51"/>
  <c r="Y42" i="51"/>
  <c r="AJ42" i="51"/>
  <c r="AI42" i="51"/>
  <c r="R55" i="17"/>
  <c r="S55" i="17"/>
  <c r="R56" i="17"/>
  <c r="S56" i="17"/>
  <c r="R57" i="17"/>
  <c r="S57" i="17"/>
  <c r="M45" i="54"/>
  <c r="N45" i="54"/>
  <c r="Q45" i="54"/>
  <c r="L45" i="54"/>
  <c r="O45" i="54"/>
  <c r="P45" i="54"/>
  <c r="P46" i="54"/>
  <c r="L46" i="54"/>
  <c r="M46" i="54"/>
  <c r="Q46" i="54"/>
  <c r="N46" i="54"/>
  <c r="O46" i="54"/>
  <c r="P47" i="54"/>
  <c r="Q47" i="54"/>
  <c r="M47" i="54"/>
  <c r="L47" i="54"/>
  <c r="N47" i="54"/>
  <c r="O47" i="54"/>
  <c r="AI12" i="51"/>
  <c r="AJ12" i="51"/>
  <c r="AJ13" i="62"/>
  <c r="AI13" i="62"/>
  <c r="AJ12" i="62"/>
  <c r="AI12" i="62"/>
  <c r="AI13" i="51"/>
  <c r="AJ13" i="51"/>
  <c r="U58" i="2"/>
  <c r="V58" i="2"/>
  <c r="V57" i="2"/>
  <c r="U57" i="2"/>
  <c r="AJ70" i="51"/>
  <c r="AJ72" i="51" s="1"/>
  <c r="AI70" i="51"/>
  <c r="S48" i="12"/>
  <c r="T48" i="12"/>
  <c r="S49" i="12"/>
  <c r="T49" i="12"/>
  <c r="C68" i="59"/>
  <c r="B70" i="27"/>
  <c r="AJ56" i="51"/>
  <c r="AI56" i="51"/>
  <c r="B77" i="32"/>
  <c r="B137" i="21"/>
  <c r="AJ18" i="51"/>
  <c r="AJ17" i="51"/>
  <c r="AI19" i="51"/>
  <c r="AI18" i="51"/>
  <c r="AI17" i="51"/>
  <c r="AJ19" i="51"/>
  <c r="AI75" i="62"/>
  <c r="AH75" i="62"/>
  <c r="AH76" i="51"/>
  <c r="AG76" i="51"/>
  <c r="AJ75" i="62"/>
  <c r="AI76" i="62"/>
  <c r="AJ76" i="62"/>
  <c r="AH75" i="51"/>
  <c r="AG75" i="62"/>
  <c r="AG75" i="51"/>
  <c r="AH76" i="62"/>
  <c r="AG76" i="62"/>
  <c r="B62" i="16"/>
  <c r="H65" i="34"/>
  <c r="AH70" i="62"/>
  <c r="AH72" i="62" s="1"/>
  <c r="AH70" i="51"/>
  <c r="AH72" i="51" s="1"/>
  <c r="AG70" i="62"/>
  <c r="AG70" i="51"/>
  <c r="AH56" i="62"/>
  <c r="AG56" i="62"/>
  <c r="AH56" i="51"/>
  <c r="AI56" i="62"/>
  <c r="AG56" i="51"/>
  <c r="AG42" i="62"/>
  <c r="AI42" i="62"/>
  <c r="AG42" i="51"/>
  <c r="AH42" i="51"/>
  <c r="AH42" i="62"/>
  <c r="B48" i="56"/>
  <c r="D48" i="56"/>
  <c r="F48" i="56"/>
  <c r="AJ19" i="62"/>
  <c r="AI19" i="62"/>
  <c r="AJ18" i="62"/>
  <c r="AI18" i="62"/>
  <c r="AJ17" i="62"/>
  <c r="AI17" i="62"/>
  <c r="AH19" i="51"/>
  <c r="AG18" i="62"/>
  <c r="AG18" i="51"/>
  <c r="AG17" i="51"/>
  <c r="AG19" i="51"/>
  <c r="AH17" i="62"/>
  <c r="AH19" i="62"/>
  <c r="AH18" i="62"/>
  <c r="AH18" i="51"/>
  <c r="I15" i="49" s="1"/>
  <c r="AG17" i="62"/>
  <c r="AH17" i="51"/>
  <c r="AG19" i="62"/>
  <c r="B67" i="5"/>
  <c r="AH12" i="51"/>
  <c r="AG13" i="62"/>
  <c r="AG12" i="51"/>
  <c r="AH12" i="62"/>
  <c r="AH13" i="51"/>
  <c r="AG12" i="62"/>
  <c r="AH13" i="62"/>
  <c r="AG13" i="51"/>
  <c r="BJ139" i="48"/>
  <c r="B59" i="16"/>
  <c r="B60" i="16"/>
  <c r="B61" i="16"/>
  <c r="AB17" i="51"/>
  <c r="F47" i="56"/>
  <c r="B47" i="56"/>
  <c r="D47" i="56"/>
  <c r="BJ181" i="48"/>
  <c r="B69" i="27"/>
  <c r="B136" i="21"/>
  <c r="D31" i="23"/>
  <c r="BJ81" i="48"/>
  <c r="A244" i="52"/>
  <c r="A236" i="52"/>
  <c r="A228" i="52"/>
  <c r="A220" i="52"/>
  <c r="A212" i="52"/>
  <c r="A204" i="52"/>
  <c r="A196" i="52"/>
  <c r="A188" i="52"/>
  <c r="A180" i="52"/>
  <c r="A172" i="52"/>
  <c r="A164" i="52"/>
  <c r="A156" i="52"/>
  <c r="A148" i="52"/>
  <c r="A140" i="52"/>
  <c r="A132" i="52"/>
  <c r="A124" i="52"/>
  <c r="A116" i="52"/>
  <c r="A108" i="52"/>
  <c r="A70" i="52"/>
  <c r="A62" i="52"/>
  <c r="A54" i="52"/>
  <c r="A46" i="52"/>
  <c r="A38" i="52"/>
  <c r="A30" i="52"/>
  <c r="A22" i="52"/>
  <c r="A14" i="52"/>
  <c r="BJ52" i="48"/>
  <c r="BJ56" i="48"/>
  <c r="B66" i="5"/>
  <c r="C66" i="5" s="1"/>
  <c r="B76" i="32"/>
  <c r="B61" i="40"/>
  <c r="B60" i="40"/>
  <c r="G70" i="49"/>
  <c r="AE75" i="51"/>
  <c r="AF76" i="51"/>
  <c r="AF75" i="51"/>
  <c r="AE76" i="51"/>
  <c r="G69" i="49"/>
  <c r="C70" i="60"/>
  <c r="C69" i="60"/>
  <c r="C68" i="60"/>
  <c r="C71" i="60"/>
  <c r="C77" i="60"/>
  <c r="C66" i="60"/>
  <c r="C72" i="60"/>
  <c r="C59" i="60"/>
  <c r="C73" i="60"/>
  <c r="C64" i="60"/>
  <c r="C67" i="60"/>
  <c r="C65" i="60"/>
  <c r="C78" i="60"/>
  <c r="C76" i="60"/>
  <c r="C61" i="60"/>
  <c r="C79" i="60"/>
  <c r="C63" i="60"/>
  <c r="C60" i="60"/>
  <c r="C75" i="60"/>
  <c r="C74" i="60"/>
  <c r="C62" i="60"/>
  <c r="C80" i="60"/>
  <c r="B85" i="60"/>
  <c r="B87" i="60" s="1"/>
  <c r="AD54" i="51"/>
  <c r="AE12" i="62"/>
  <c r="BJ140" i="48"/>
  <c r="BJ32" i="48"/>
  <c r="BJ167" i="48"/>
  <c r="BK48" i="48"/>
  <c r="BK148" i="48"/>
  <c r="BK187" i="48"/>
  <c r="BJ34" i="48"/>
  <c r="BJ218" i="48"/>
  <c r="B75" i="32"/>
  <c r="G56" i="32" s="1"/>
  <c r="AE56" i="51"/>
  <c r="AF56" i="51"/>
  <c r="B68" i="27"/>
  <c r="AF54" i="51"/>
  <c r="B135" i="21"/>
  <c r="AF42" i="51"/>
  <c r="AE42" i="51"/>
  <c r="AE70" i="51"/>
  <c r="AF70" i="51"/>
  <c r="B46" i="56"/>
  <c r="D46" i="56"/>
  <c r="F46" i="56"/>
  <c r="AF17" i="51"/>
  <c r="AE18" i="51"/>
  <c r="AF19" i="51"/>
  <c r="AF18" i="51"/>
  <c r="AE19" i="51"/>
  <c r="C16" i="49" s="1"/>
  <c r="AE17" i="51"/>
  <c r="B65" i="5"/>
  <c r="AF12" i="51"/>
  <c r="AE13" i="51"/>
  <c r="AF13" i="51"/>
  <c r="AE12" i="51"/>
  <c r="V59" i="2"/>
  <c r="U59" i="2"/>
  <c r="V60" i="2"/>
  <c r="U60" i="2"/>
  <c r="V61" i="2"/>
  <c r="U61" i="2"/>
  <c r="V56" i="2"/>
  <c r="U56" i="2"/>
  <c r="E9" i="51"/>
  <c r="BK81" i="48"/>
  <c r="BK52" i="48"/>
  <c r="BK56" i="48"/>
  <c r="BK108" i="48"/>
  <c r="BK32" i="48"/>
  <c r="BK167" i="48"/>
  <c r="V36" i="2"/>
  <c r="V37" i="2"/>
  <c r="V38" i="2"/>
  <c r="V39" i="2"/>
  <c r="V40" i="2"/>
  <c r="V41" i="2"/>
  <c r="V42" i="2"/>
  <c r="V43" i="2"/>
  <c r="V44" i="2"/>
  <c r="V45" i="2"/>
  <c r="V46" i="2"/>
  <c r="V47" i="2"/>
  <c r="V48" i="2"/>
  <c r="V49" i="2"/>
  <c r="V50" i="2"/>
  <c r="V51" i="2"/>
  <c r="V52" i="2"/>
  <c r="V53" i="2"/>
  <c r="V54" i="2"/>
  <c r="V55" i="2"/>
  <c r="BK136" i="48"/>
  <c r="BK155" i="48"/>
  <c r="B59" i="40"/>
  <c r="AC76" i="51"/>
  <c r="AD75" i="51"/>
  <c r="AD76" i="51"/>
  <c r="AF75" i="62"/>
  <c r="AE75" i="62"/>
  <c r="AC75" i="51"/>
  <c r="AE76" i="62"/>
  <c r="AF76" i="62"/>
  <c r="V40" i="48"/>
  <c r="BK34" i="48"/>
  <c r="BK139" i="48"/>
  <c r="BK218" i="48"/>
  <c r="BK14" i="48"/>
  <c r="BK112" i="48"/>
  <c r="BK204" i="48"/>
  <c r="AX50" i="6"/>
  <c r="B49" i="11"/>
  <c r="AX53" i="6"/>
  <c r="B52" i="11"/>
  <c r="AX56" i="6"/>
  <c r="B55" i="11"/>
  <c r="AX59" i="6"/>
  <c r="B58" i="11"/>
  <c r="AX62" i="6"/>
  <c r="B61" i="11"/>
  <c r="AX65" i="6"/>
  <c r="B64" i="11"/>
  <c r="AC56" i="62"/>
  <c r="AF56" i="62"/>
  <c r="AE56" i="62"/>
  <c r="AD56" i="51"/>
  <c r="AC56" i="51"/>
  <c r="B74" i="32"/>
  <c r="G55" i="32" s="1"/>
  <c r="AF54" i="62"/>
  <c r="B60" i="27"/>
  <c r="B66" i="27"/>
  <c r="B61" i="27"/>
  <c r="B62" i="27"/>
  <c r="B63" i="27"/>
  <c r="B67" i="27"/>
  <c r="B64" i="27"/>
  <c r="F56" i="27" s="1"/>
  <c r="B65" i="27"/>
  <c r="AC42" i="62"/>
  <c r="AF42" i="62"/>
  <c r="AE42" i="62"/>
  <c r="AC70" i="62"/>
  <c r="AF70" i="62"/>
  <c r="AE70" i="62"/>
  <c r="C64" i="49" s="1"/>
  <c r="AC70" i="51"/>
  <c r="AD70" i="51"/>
  <c r="AC17" i="62"/>
  <c r="AC18" i="62"/>
  <c r="AC19" i="62"/>
  <c r="AE19" i="62"/>
  <c r="AE17" i="62"/>
  <c r="AF18" i="62"/>
  <c r="AE18" i="62"/>
  <c r="AF17" i="62"/>
  <c r="AF19" i="62"/>
  <c r="AC18" i="51"/>
  <c r="AC17" i="51"/>
  <c r="AD17" i="51"/>
  <c r="D45" i="56"/>
  <c r="B45" i="56"/>
  <c r="AC19" i="51"/>
  <c r="AD18" i="51"/>
  <c r="AD19" i="51"/>
  <c r="F45" i="56"/>
  <c r="V11" i="2"/>
  <c r="U11" i="2"/>
  <c r="U12" i="2"/>
  <c r="V12" i="2"/>
  <c r="U20" i="2"/>
  <c r="U13" i="2"/>
  <c r="V13" i="2"/>
  <c r="V15" i="2"/>
  <c r="U15" i="2"/>
  <c r="AC12" i="62"/>
  <c r="AC13" i="62"/>
  <c r="AE13" i="62"/>
  <c r="AF13" i="62"/>
  <c r="AF12" i="62"/>
  <c r="Z13" i="51"/>
  <c r="Z14" i="51" s="1"/>
  <c r="R13" i="51"/>
  <c r="J13" i="51"/>
  <c r="E13" i="62"/>
  <c r="M13" i="62"/>
  <c r="U13" i="62"/>
  <c r="Y13" i="51"/>
  <c r="Y14" i="51" s="1"/>
  <c r="Q13" i="51"/>
  <c r="I13" i="51"/>
  <c r="F13" i="62"/>
  <c r="N13" i="62"/>
  <c r="V13" i="62"/>
  <c r="D13" i="62"/>
  <c r="X13" i="51"/>
  <c r="P13" i="51"/>
  <c r="H13" i="51"/>
  <c r="G13" i="62"/>
  <c r="O13" i="62"/>
  <c r="W13" i="62"/>
  <c r="C13" i="62"/>
  <c r="W13" i="51"/>
  <c r="O13" i="51"/>
  <c r="G13" i="51"/>
  <c r="H13" i="62"/>
  <c r="P13" i="62"/>
  <c r="X13" i="62"/>
  <c r="Y13" i="62"/>
  <c r="AD13" i="51"/>
  <c r="V13" i="51"/>
  <c r="N13" i="51"/>
  <c r="F13" i="51"/>
  <c r="I13" i="62"/>
  <c r="Q13" i="62"/>
  <c r="AD13" i="62"/>
  <c r="AC13" i="51"/>
  <c r="U13" i="51"/>
  <c r="M13" i="51"/>
  <c r="E13" i="51"/>
  <c r="J13" i="62"/>
  <c r="R13" i="62"/>
  <c r="Z13" i="62"/>
  <c r="AB13" i="51"/>
  <c r="T13" i="51"/>
  <c r="L13" i="51"/>
  <c r="D13" i="51"/>
  <c r="K13" i="62"/>
  <c r="S13" i="62"/>
  <c r="AA13" i="62"/>
  <c r="AA13" i="51"/>
  <c r="S13" i="51"/>
  <c r="K13" i="51"/>
  <c r="C13" i="51"/>
  <c r="L13" i="62"/>
  <c r="T13" i="62"/>
  <c r="AB13" i="62"/>
  <c r="X12" i="51"/>
  <c r="X14" i="51" s="1"/>
  <c r="U36" i="2"/>
  <c r="U37" i="2"/>
  <c r="U38" i="2"/>
  <c r="U39" i="2"/>
  <c r="U40" i="2"/>
  <c r="U41" i="2"/>
  <c r="U42" i="2"/>
  <c r="U43" i="2"/>
  <c r="U44" i="2"/>
  <c r="U45" i="2"/>
  <c r="U46" i="2"/>
  <c r="U47" i="2"/>
  <c r="U48" i="2"/>
  <c r="U49" i="2"/>
  <c r="U50" i="2"/>
  <c r="U51" i="2"/>
  <c r="U52" i="2"/>
  <c r="U53" i="2"/>
  <c r="U54" i="2"/>
  <c r="U55" i="2"/>
  <c r="V14" i="2"/>
  <c r="U14" i="2"/>
  <c r="U16" i="2"/>
  <c r="V16" i="2"/>
  <c r="U17" i="2"/>
  <c r="V17" i="2"/>
  <c r="V18" i="2"/>
  <c r="U18" i="2"/>
  <c r="V19" i="2"/>
  <c r="U19" i="2"/>
  <c r="C57" i="30"/>
  <c r="D57" i="30"/>
  <c r="E57" i="30"/>
  <c r="B57" i="30"/>
  <c r="D65" i="30"/>
  <c r="C65" i="30"/>
  <c r="E65" i="30"/>
  <c r="B65" i="30"/>
  <c r="B58" i="30"/>
  <c r="C58" i="30"/>
  <c r="D58" i="30"/>
  <c r="E58" i="30"/>
  <c r="C66" i="30"/>
  <c r="B66" i="30"/>
  <c r="D66" i="30"/>
  <c r="E66" i="30"/>
  <c r="D59" i="30"/>
  <c r="B59" i="30"/>
  <c r="E59" i="30"/>
  <c r="C59" i="30"/>
  <c r="D67" i="30"/>
  <c r="E67" i="30"/>
  <c r="B67" i="30"/>
  <c r="C67" i="30"/>
  <c r="C60" i="30"/>
  <c r="B60" i="30"/>
  <c r="D60" i="30"/>
  <c r="E60" i="30"/>
  <c r="C68" i="30"/>
  <c r="B68" i="30"/>
  <c r="D68" i="30"/>
  <c r="E68" i="30"/>
  <c r="D61" i="30"/>
  <c r="E61" i="30"/>
  <c r="B61" i="30"/>
  <c r="C61" i="30"/>
  <c r="D69" i="30"/>
  <c r="B69" i="30"/>
  <c r="E69" i="30"/>
  <c r="C69" i="30"/>
  <c r="B62" i="30"/>
  <c r="C62" i="30"/>
  <c r="D62" i="30"/>
  <c r="E62" i="30"/>
  <c r="D63" i="30"/>
  <c r="E63" i="30"/>
  <c r="B63" i="30"/>
  <c r="C63" i="30"/>
  <c r="B64" i="30"/>
  <c r="C64" i="30"/>
  <c r="D64" i="30"/>
  <c r="E64" i="30"/>
  <c r="AD12" i="51"/>
  <c r="AC12" i="51"/>
  <c r="B64" i="5"/>
  <c r="C64" i="5" s="1"/>
  <c r="AD42" i="51"/>
  <c r="AC42" i="51"/>
  <c r="B134" i="21"/>
  <c r="L11" i="54"/>
  <c r="N11" i="54"/>
  <c r="AX29" i="6"/>
  <c r="AX47" i="6"/>
  <c r="AX32" i="6"/>
  <c r="AX23" i="6"/>
  <c r="AX17" i="6"/>
  <c r="AX41" i="6"/>
  <c r="AX26" i="6"/>
  <c r="B10" i="11"/>
  <c r="AX11" i="6"/>
  <c r="AX35" i="6"/>
  <c r="AX44" i="6"/>
  <c r="AX20" i="6"/>
  <c r="B13" i="11"/>
  <c r="AX14" i="6"/>
  <c r="AX38" i="6"/>
  <c r="A247" i="52"/>
  <c r="A239" i="52"/>
  <c r="A231" i="52"/>
  <c r="A223" i="52"/>
  <c r="A215" i="52"/>
  <c r="A207" i="52"/>
  <c r="A199" i="52"/>
  <c r="A191" i="52"/>
  <c r="A183" i="52"/>
  <c r="A175" i="52"/>
  <c r="A167" i="52"/>
  <c r="A159" i="52"/>
  <c r="A151" i="52"/>
  <c r="A143" i="52"/>
  <c r="A135" i="52"/>
  <c r="A127" i="52"/>
  <c r="A119" i="52"/>
  <c r="A111" i="52"/>
  <c r="A103" i="52"/>
  <c r="A73" i="52"/>
  <c r="A65" i="52"/>
  <c r="A57" i="52"/>
  <c r="A49" i="52"/>
  <c r="A41" i="52"/>
  <c r="A33" i="52"/>
  <c r="A25" i="52"/>
  <c r="A17" i="52"/>
  <c r="E19" i="62"/>
  <c r="G17" i="62"/>
  <c r="M18" i="62"/>
  <c r="S19" i="62"/>
  <c r="W17" i="62"/>
  <c r="E18" i="62"/>
  <c r="I19" i="62"/>
  <c r="M17" i="62"/>
  <c r="S18" i="62"/>
  <c r="Y19" i="62"/>
  <c r="E17" i="62"/>
  <c r="I18" i="62"/>
  <c r="O19" i="62"/>
  <c r="S17" i="62"/>
  <c r="Y18" i="62"/>
  <c r="AD17" i="62"/>
  <c r="C19" i="62"/>
  <c r="I17" i="62"/>
  <c r="O18" i="62"/>
  <c r="U19" i="62"/>
  <c r="Y17" i="62"/>
  <c r="W18" i="62"/>
  <c r="C18" i="62"/>
  <c r="K19" i="62"/>
  <c r="O17" i="62"/>
  <c r="U18" i="62"/>
  <c r="AA19" i="62"/>
  <c r="Q17" i="62"/>
  <c r="C17" i="62"/>
  <c r="K18" i="62"/>
  <c r="Q19" i="62"/>
  <c r="U17" i="62"/>
  <c r="AA18" i="62"/>
  <c r="M19" i="62"/>
  <c r="G19" i="62"/>
  <c r="K17" i="62"/>
  <c r="Q18" i="62"/>
  <c r="W19" i="62"/>
  <c r="AA17" i="62"/>
  <c r="G18" i="62"/>
  <c r="A245" i="52"/>
  <c r="A237" i="52"/>
  <c r="A229" i="52"/>
  <c r="A221" i="52"/>
  <c r="A213" i="52"/>
  <c r="A205" i="52"/>
  <c r="A197" i="52"/>
  <c r="A189" i="52"/>
  <c r="A181" i="52"/>
  <c r="A173" i="52"/>
  <c r="A165" i="52"/>
  <c r="A157" i="52"/>
  <c r="A149" i="52"/>
  <c r="A141" i="52"/>
  <c r="A133" i="52"/>
  <c r="A125" i="52"/>
  <c r="A117" i="52"/>
  <c r="A109" i="52"/>
  <c r="A101" i="52"/>
  <c r="A71" i="52"/>
  <c r="A63" i="52"/>
  <c r="A55" i="52"/>
  <c r="A47" i="52"/>
  <c r="A39" i="52"/>
  <c r="A31" i="52"/>
  <c r="A23" i="52"/>
  <c r="A15" i="52"/>
  <c r="AC75" i="62"/>
  <c r="AD76" i="62"/>
  <c r="AC76" i="62"/>
  <c r="AD75" i="62"/>
  <c r="A9" i="52"/>
  <c r="A243" i="52"/>
  <c r="A235" i="52"/>
  <c r="A227" i="52"/>
  <c r="A219" i="52"/>
  <c r="A211" i="52"/>
  <c r="A203" i="52"/>
  <c r="A195" i="52"/>
  <c r="A187" i="52"/>
  <c r="A179" i="52"/>
  <c r="A171" i="52"/>
  <c r="A163" i="52"/>
  <c r="A155" i="52"/>
  <c r="A147" i="52"/>
  <c r="A139" i="52"/>
  <c r="A131" i="52"/>
  <c r="A123" i="52"/>
  <c r="A115" i="52"/>
  <c r="A107" i="52"/>
  <c r="A77" i="52"/>
  <c r="A69" i="52"/>
  <c r="A61" i="52"/>
  <c r="A53" i="52"/>
  <c r="A45" i="52"/>
  <c r="A37" i="52"/>
  <c r="A29" i="52"/>
  <c r="A21" i="52"/>
  <c r="A13" i="52"/>
  <c r="A249" i="52"/>
  <c r="A241" i="52"/>
  <c r="A233" i="52"/>
  <c r="A225" i="52"/>
  <c r="A217" i="52"/>
  <c r="A209" i="52"/>
  <c r="A201" i="52"/>
  <c r="A193" i="52"/>
  <c r="A185" i="52"/>
  <c r="A177" i="52"/>
  <c r="A169" i="52"/>
  <c r="A161" i="52"/>
  <c r="A153" i="52"/>
  <c r="A145" i="52"/>
  <c r="A137" i="52"/>
  <c r="A129" i="52"/>
  <c r="A121" i="52"/>
  <c r="A113" i="52"/>
  <c r="A105" i="52"/>
  <c r="A75" i="52"/>
  <c r="A67" i="52"/>
  <c r="A59" i="52"/>
  <c r="A51" i="52"/>
  <c r="A43" i="52"/>
  <c r="A35" i="52"/>
  <c r="A27" i="52"/>
  <c r="A19" i="52"/>
  <c r="A11" i="52"/>
  <c r="AD54" i="62"/>
  <c r="AB54" i="51"/>
  <c r="AD42" i="62"/>
  <c r="Y42" i="62"/>
  <c r="Z42" i="62"/>
  <c r="AD70" i="62"/>
  <c r="B58" i="16"/>
  <c r="AA70" i="51"/>
  <c r="AD19" i="62"/>
  <c r="AD18" i="62"/>
  <c r="AD12" i="62"/>
  <c r="B63" i="5"/>
  <c r="C63" i="5" s="1"/>
  <c r="AD56" i="62"/>
  <c r="Q9" i="44"/>
  <c r="Q10" i="44"/>
  <c r="T19" i="28"/>
  <c r="B57" i="40"/>
  <c r="C57" i="40" s="1"/>
  <c r="AB75" i="51"/>
  <c r="B52" i="40"/>
  <c r="B56" i="40"/>
  <c r="C56" i="40" s="1"/>
  <c r="B58" i="40"/>
  <c r="C58" i="40" s="1"/>
  <c r="AA75" i="51"/>
  <c r="B41" i="40"/>
  <c r="B44" i="40"/>
  <c r="B47" i="40"/>
  <c r="B55" i="40"/>
  <c r="B48" i="40"/>
  <c r="Z76" i="51"/>
  <c r="B49" i="40"/>
  <c r="B45" i="40"/>
  <c r="B43" i="40"/>
  <c r="B51" i="40"/>
  <c r="B53" i="40"/>
  <c r="Y76" i="51"/>
  <c r="B42" i="40"/>
  <c r="B46" i="40"/>
  <c r="Y75" i="51"/>
  <c r="B50" i="40"/>
  <c r="B54" i="40"/>
  <c r="Z75" i="51"/>
  <c r="AB76" i="51"/>
  <c r="AA76" i="51"/>
  <c r="B56" i="27"/>
  <c r="B51" i="27"/>
  <c r="B49" i="27"/>
  <c r="B55" i="27"/>
  <c r="B50" i="27"/>
  <c r="B54" i="27"/>
  <c r="B53" i="27"/>
  <c r="B58" i="27"/>
  <c r="B52" i="27"/>
  <c r="B59" i="27"/>
  <c r="B57" i="27"/>
  <c r="D54" i="51"/>
  <c r="D53" i="51" s="1"/>
  <c r="T54" i="51"/>
  <c r="T53" i="51" s="1"/>
  <c r="J54" i="51"/>
  <c r="J53" i="51" s="1"/>
  <c r="F54" i="51"/>
  <c r="F53" i="51" s="1"/>
  <c r="V54" i="51"/>
  <c r="V53" i="51" s="1"/>
  <c r="P54" i="51"/>
  <c r="P53" i="51" s="1"/>
  <c r="H54" i="51"/>
  <c r="H53" i="51" s="1"/>
  <c r="X54" i="51"/>
  <c r="R54" i="51"/>
  <c r="R53" i="51" s="1"/>
  <c r="L54" i="51"/>
  <c r="L53" i="51" s="1"/>
  <c r="N54" i="51"/>
  <c r="N53" i="51" s="1"/>
  <c r="B73" i="32"/>
  <c r="G54" i="32" s="1"/>
  <c r="AA56" i="51"/>
  <c r="AB56" i="51"/>
  <c r="B64" i="32"/>
  <c r="B56" i="32"/>
  <c r="B62" i="32"/>
  <c r="B59" i="32"/>
  <c r="B65" i="32"/>
  <c r="B71" i="32"/>
  <c r="B63" i="32"/>
  <c r="B70" i="32"/>
  <c r="B67" i="32"/>
  <c r="B58" i="32"/>
  <c r="B69" i="32"/>
  <c r="B61" i="32"/>
  <c r="B68" i="32"/>
  <c r="B60" i="32"/>
  <c r="B66" i="32"/>
  <c r="B57" i="32"/>
  <c r="AB12" i="51"/>
  <c r="AA12" i="51"/>
  <c r="P12" i="54"/>
  <c r="B44" i="56"/>
  <c r="D44" i="56"/>
  <c r="F44" i="56"/>
  <c r="AA17" i="51"/>
  <c r="AB19" i="51"/>
  <c r="AA18" i="51"/>
  <c r="AA19" i="51"/>
  <c r="AB18" i="51"/>
  <c r="F34" i="56"/>
  <c r="F42" i="56"/>
  <c r="D34" i="56"/>
  <c r="D42" i="56"/>
  <c r="B34" i="56"/>
  <c r="B42" i="56"/>
  <c r="D35" i="56"/>
  <c r="B35" i="56"/>
  <c r="B30" i="56"/>
  <c r="D31" i="56"/>
  <c r="B39" i="56"/>
  <c r="D40" i="56"/>
  <c r="F41" i="56"/>
  <c r="B41" i="56"/>
  <c r="F35" i="56"/>
  <c r="F43" i="56"/>
  <c r="D43" i="56"/>
  <c r="B43" i="56"/>
  <c r="F39" i="56"/>
  <c r="D32" i="56"/>
  <c r="F33" i="56"/>
  <c r="B33" i="56"/>
  <c r="F28" i="56"/>
  <c r="F36" i="56"/>
  <c r="D28" i="56"/>
  <c r="D36" i="56"/>
  <c r="B28" i="56"/>
  <c r="B36" i="56"/>
  <c r="F30" i="56"/>
  <c r="D30" i="56"/>
  <c r="F31" i="56"/>
  <c r="B31" i="56"/>
  <c r="F40" i="56"/>
  <c r="B40" i="56"/>
  <c r="D41" i="56"/>
  <c r="F29" i="56"/>
  <c r="F37" i="56"/>
  <c r="D29" i="56"/>
  <c r="D37" i="56"/>
  <c r="B29" i="56"/>
  <c r="B37" i="56"/>
  <c r="F38" i="56"/>
  <c r="D38" i="56"/>
  <c r="B38" i="56"/>
  <c r="D39" i="56"/>
  <c r="F32" i="56"/>
  <c r="B32" i="56"/>
  <c r="D33" i="56"/>
  <c r="Q19" i="54"/>
  <c r="Z70" i="51"/>
  <c r="Y70" i="51"/>
  <c r="AB70" i="51"/>
  <c r="B133" i="21"/>
  <c r="AA42" i="51"/>
  <c r="AB42" i="51"/>
  <c r="B116" i="21"/>
  <c r="B124" i="21"/>
  <c r="B120" i="21"/>
  <c r="B121" i="21"/>
  <c r="B130" i="21"/>
  <c r="R11" i="21" s="1"/>
  <c r="B117" i="21"/>
  <c r="B125" i="21"/>
  <c r="B119" i="21"/>
  <c r="B128" i="21"/>
  <c r="B122" i="21"/>
  <c r="B131" i="21"/>
  <c r="B118" i="21"/>
  <c r="B126" i="21"/>
  <c r="B127" i="21"/>
  <c r="B129" i="21"/>
  <c r="B123" i="21"/>
  <c r="A78" i="52"/>
  <c r="F58" i="34"/>
  <c r="B49" i="53"/>
  <c r="B45" i="5"/>
  <c r="B53" i="5"/>
  <c r="B61" i="5"/>
  <c r="C61" i="5" s="1"/>
  <c r="B55" i="5"/>
  <c r="B56" i="5"/>
  <c r="B50" i="5"/>
  <c r="B46" i="5"/>
  <c r="B54" i="5"/>
  <c r="B47" i="5"/>
  <c r="B48" i="5"/>
  <c r="B57" i="5"/>
  <c r="B58" i="5"/>
  <c r="B51" i="5"/>
  <c r="B59" i="5"/>
  <c r="B52" i="5"/>
  <c r="B60" i="5"/>
  <c r="B49" i="5"/>
  <c r="C17" i="13"/>
  <c r="B17" i="13"/>
  <c r="C15" i="13"/>
  <c r="B15" i="13"/>
  <c r="C23" i="13"/>
  <c r="B23" i="13"/>
  <c r="C31" i="13"/>
  <c r="B31" i="13"/>
  <c r="C39" i="13"/>
  <c r="B39" i="13"/>
  <c r="C47" i="13"/>
  <c r="B47" i="13"/>
  <c r="C55" i="13"/>
  <c r="B55" i="13"/>
  <c r="C63" i="13"/>
  <c r="B63" i="13"/>
  <c r="C8" i="13"/>
  <c r="C16" i="13"/>
  <c r="B16" i="13"/>
  <c r="C24" i="13"/>
  <c r="B24" i="13"/>
  <c r="C32" i="13"/>
  <c r="B32" i="13"/>
  <c r="C40" i="13"/>
  <c r="B40" i="13"/>
  <c r="C48" i="13"/>
  <c r="B48" i="13"/>
  <c r="C56" i="13"/>
  <c r="B56" i="13"/>
  <c r="C64" i="13"/>
  <c r="B64" i="13"/>
  <c r="C33" i="13"/>
  <c r="B33" i="13"/>
  <c r="C65" i="13"/>
  <c r="B65" i="13"/>
  <c r="C10" i="13"/>
  <c r="B10" i="13"/>
  <c r="C34" i="13"/>
  <c r="B34" i="13"/>
  <c r="C58" i="13"/>
  <c r="B58" i="13"/>
  <c r="C19" i="13"/>
  <c r="B19" i="13"/>
  <c r="C43" i="13"/>
  <c r="B43" i="13"/>
  <c r="C67" i="13"/>
  <c r="C12" i="13"/>
  <c r="B12" i="13"/>
  <c r="C20" i="13"/>
  <c r="B20" i="13"/>
  <c r="C28" i="13"/>
  <c r="B28" i="13"/>
  <c r="C36" i="13"/>
  <c r="B36" i="13"/>
  <c r="C44" i="13"/>
  <c r="B44" i="13"/>
  <c r="C52" i="13"/>
  <c r="B52" i="13"/>
  <c r="C60" i="13"/>
  <c r="B60" i="13"/>
  <c r="C25" i="13"/>
  <c r="B25" i="13"/>
  <c r="C57" i="13"/>
  <c r="B57" i="13"/>
  <c r="C26" i="13"/>
  <c r="B26" i="13"/>
  <c r="C50" i="13"/>
  <c r="B50" i="13"/>
  <c r="C35" i="13"/>
  <c r="B35" i="13"/>
  <c r="C59" i="13"/>
  <c r="B59" i="13"/>
  <c r="C13" i="13"/>
  <c r="B13" i="13"/>
  <c r="C21" i="13"/>
  <c r="B21" i="13"/>
  <c r="C29" i="13"/>
  <c r="B29" i="13"/>
  <c r="C37" i="13"/>
  <c r="B37" i="13"/>
  <c r="C45" i="13"/>
  <c r="B45" i="13"/>
  <c r="C53" i="13"/>
  <c r="B53" i="13"/>
  <c r="C61" i="13"/>
  <c r="B61" i="13"/>
  <c r="C9" i="13"/>
  <c r="B9" i="13"/>
  <c r="C41" i="13"/>
  <c r="B41" i="13"/>
  <c r="C49" i="13"/>
  <c r="B49" i="13"/>
  <c r="C18" i="13"/>
  <c r="B18" i="13"/>
  <c r="C42" i="13"/>
  <c r="B42" i="13"/>
  <c r="C66" i="13"/>
  <c r="B66" i="13"/>
  <c r="C11" i="13"/>
  <c r="B11" i="13"/>
  <c r="C27" i="13"/>
  <c r="B27" i="13"/>
  <c r="C51" i="13"/>
  <c r="B51" i="13"/>
  <c r="C14" i="13"/>
  <c r="B14" i="13"/>
  <c r="C22" i="13"/>
  <c r="B22" i="13"/>
  <c r="C30" i="13"/>
  <c r="B30" i="13"/>
  <c r="C38" i="13"/>
  <c r="B38" i="13"/>
  <c r="C46" i="13"/>
  <c r="B46" i="13"/>
  <c r="C54" i="13"/>
  <c r="B54" i="13"/>
  <c r="C62" i="13"/>
  <c r="B62" i="13"/>
  <c r="H16" i="42"/>
  <c r="I16" i="42" s="1"/>
  <c r="I12" i="42"/>
  <c r="I14" i="42"/>
  <c r="R11" i="22"/>
  <c r="I15" i="42"/>
  <c r="I10" i="42"/>
  <c r="D42" i="30"/>
  <c r="I11" i="42"/>
  <c r="U11" i="28"/>
  <c r="I13" i="42"/>
  <c r="K10" i="42"/>
  <c r="AA42" i="62"/>
  <c r="S42" i="62"/>
  <c r="K42" i="62"/>
  <c r="C42" i="62"/>
  <c r="R42" i="62"/>
  <c r="J42" i="62"/>
  <c r="Q42" i="62"/>
  <c r="I42" i="62"/>
  <c r="X42" i="62"/>
  <c r="P42" i="62"/>
  <c r="H42" i="62"/>
  <c r="W42" i="62"/>
  <c r="O42" i="62"/>
  <c r="G42" i="62"/>
  <c r="V42" i="62"/>
  <c r="N42" i="62"/>
  <c r="F42" i="62"/>
  <c r="U42" i="62"/>
  <c r="M42" i="62"/>
  <c r="E42" i="62"/>
  <c r="AB42" i="62"/>
  <c r="T42" i="62"/>
  <c r="L42" i="62"/>
  <c r="D42" i="62"/>
  <c r="U56" i="51"/>
  <c r="M56" i="51"/>
  <c r="T56" i="51"/>
  <c r="L56" i="51"/>
  <c r="S56" i="51"/>
  <c r="K56" i="51"/>
  <c r="Z56" i="51"/>
  <c r="R56" i="51"/>
  <c r="J56" i="51"/>
  <c r="Y56" i="51"/>
  <c r="Q56" i="51"/>
  <c r="I56" i="51"/>
  <c r="X56" i="51"/>
  <c r="P56" i="51"/>
  <c r="H56" i="51"/>
  <c r="W56" i="51"/>
  <c r="O56" i="51"/>
  <c r="G56" i="51"/>
  <c r="V56" i="51"/>
  <c r="N56" i="51"/>
  <c r="AA56" i="62"/>
  <c r="K56" i="62"/>
  <c r="I56" i="62"/>
  <c r="Y56" i="62"/>
  <c r="W56" i="62"/>
  <c r="G56" i="62"/>
  <c r="U56" i="62"/>
  <c r="E56" i="62"/>
  <c r="S56" i="62"/>
  <c r="C56" i="62"/>
  <c r="Q56" i="62"/>
  <c r="O56" i="62"/>
  <c r="M56" i="62"/>
  <c r="R18" i="22"/>
  <c r="S12" i="22"/>
  <c r="R13" i="17"/>
  <c r="R10" i="22"/>
  <c r="X54" i="62"/>
  <c r="P54" i="62"/>
  <c r="H54" i="62"/>
  <c r="V54" i="62"/>
  <c r="N54" i="62"/>
  <c r="F54" i="62"/>
  <c r="AB54" i="62"/>
  <c r="T54" i="62"/>
  <c r="L54" i="62"/>
  <c r="D54" i="62"/>
  <c r="Z54" i="62"/>
  <c r="R54" i="62"/>
  <c r="J54" i="62"/>
  <c r="L12" i="54"/>
  <c r="Z12" i="62"/>
  <c r="Z14" i="62" s="1"/>
  <c r="Y12" i="62"/>
  <c r="Y14" i="62" s="1"/>
  <c r="Q12" i="62"/>
  <c r="I12" i="62"/>
  <c r="I14" i="62" s="1"/>
  <c r="W12" i="62"/>
  <c r="W14" i="62" s="1"/>
  <c r="G12" i="62"/>
  <c r="AB12" i="62"/>
  <c r="AB14" i="62" s="1"/>
  <c r="X12" i="62"/>
  <c r="P12" i="62"/>
  <c r="P14" i="62" s="1"/>
  <c r="H12" i="62"/>
  <c r="H14" i="62" s="1"/>
  <c r="O12" i="62"/>
  <c r="M12" i="62"/>
  <c r="M14" i="62" s="1"/>
  <c r="T12" i="62"/>
  <c r="V12" i="62"/>
  <c r="V14" i="62" s="1"/>
  <c r="N12" i="62"/>
  <c r="N14" i="62" s="1"/>
  <c r="F12" i="62"/>
  <c r="U12" i="62"/>
  <c r="U14" i="62" s="1"/>
  <c r="D12" i="62"/>
  <c r="AA12" i="62"/>
  <c r="AA14" i="62" s="1"/>
  <c r="S12" i="62"/>
  <c r="K12" i="62"/>
  <c r="C12" i="62"/>
  <c r="R12" i="62"/>
  <c r="R14" i="62" s="1"/>
  <c r="J12" i="62"/>
  <c r="E12" i="62"/>
  <c r="E14" i="62" s="1"/>
  <c r="L12" i="62"/>
  <c r="L14" i="62" s="1"/>
  <c r="T70" i="51"/>
  <c r="S70" i="51"/>
  <c r="Q70" i="51"/>
  <c r="I70" i="51"/>
  <c r="X70" i="51"/>
  <c r="P70" i="51"/>
  <c r="H70" i="51"/>
  <c r="H72" i="51" s="1"/>
  <c r="U70" i="51"/>
  <c r="L70" i="51"/>
  <c r="L72" i="51" s="1"/>
  <c r="J70" i="51"/>
  <c r="J72" i="51" s="1"/>
  <c r="W70" i="51"/>
  <c r="O70" i="51"/>
  <c r="G70" i="51"/>
  <c r="V70" i="51"/>
  <c r="N70" i="51"/>
  <c r="F70" i="51"/>
  <c r="M70" i="51"/>
  <c r="E70" i="51"/>
  <c r="K70" i="51"/>
  <c r="R70" i="51"/>
  <c r="D70" i="51"/>
  <c r="V70" i="62"/>
  <c r="N70" i="62"/>
  <c r="N72" i="62" s="1"/>
  <c r="F70" i="62"/>
  <c r="F72" i="62" s="1"/>
  <c r="T70" i="62"/>
  <c r="C70" i="62"/>
  <c r="C70" i="51"/>
  <c r="U70" i="62"/>
  <c r="M70" i="62"/>
  <c r="E70" i="62"/>
  <c r="L70" i="62"/>
  <c r="L72" i="62" s="1"/>
  <c r="K70" i="62"/>
  <c r="AB70" i="62"/>
  <c r="D70" i="62"/>
  <c r="AA70" i="62"/>
  <c r="S70" i="62"/>
  <c r="Z70" i="62"/>
  <c r="R70" i="62"/>
  <c r="J70" i="62"/>
  <c r="Y70" i="62"/>
  <c r="Q70" i="62"/>
  <c r="I70" i="62"/>
  <c r="X70" i="62"/>
  <c r="P70" i="62"/>
  <c r="P72" i="62" s="1"/>
  <c r="H70" i="62"/>
  <c r="H72" i="62" s="1"/>
  <c r="W70" i="62"/>
  <c r="O70" i="62"/>
  <c r="G70" i="62"/>
  <c r="F76" i="62"/>
  <c r="Z75" i="62"/>
  <c r="X76" i="62"/>
  <c r="R75" i="62"/>
  <c r="P76" i="62"/>
  <c r="J75" i="62"/>
  <c r="D75" i="62"/>
  <c r="V75" i="62"/>
  <c r="AB75" i="62"/>
  <c r="R76" i="62"/>
  <c r="Y76" i="62"/>
  <c r="G75" i="62"/>
  <c r="E76" i="62"/>
  <c r="Y75" i="62"/>
  <c r="W76" i="62"/>
  <c r="Q75" i="62"/>
  <c r="O76" i="62"/>
  <c r="I75" i="62"/>
  <c r="M76" i="62"/>
  <c r="T76" i="62"/>
  <c r="H75" i="62"/>
  <c r="T75" i="62"/>
  <c r="AA75" i="62"/>
  <c r="I76" i="62"/>
  <c r="F75" i="62"/>
  <c r="D76" i="62"/>
  <c r="X75" i="62"/>
  <c r="V76" i="62"/>
  <c r="P75" i="62"/>
  <c r="N76" i="62"/>
  <c r="G76" i="62"/>
  <c r="AB76" i="62"/>
  <c r="L76" i="62"/>
  <c r="Z76" i="62"/>
  <c r="H76" i="62"/>
  <c r="S75" i="62"/>
  <c r="E75" i="62"/>
  <c r="C76" i="62"/>
  <c r="W75" i="62"/>
  <c r="U76" i="62"/>
  <c r="O75" i="62"/>
  <c r="N75" i="62"/>
  <c r="J76" i="62"/>
  <c r="K75" i="62"/>
  <c r="C75" i="62"/>
  <c r="AA76" i="62"/>
  <c r="U75" i="62"/>
  <c r="S76" i="62"/>
  <c r="M75" i="62"/>
  <c r="K76" i="62"/>
  <c r="L75" i="62"/>
  <c r="Q76" i="62"/>
  <c r="R14" i="21"/>
  <c r="T18" i="28"/>
  <c r="B28" i="30"/>
  <c r="C20" i="30"/>
  <c r="C12" i="30"/>
  <c r="C36" i="30"/>
  <c r="B44" i="30"/>
  <c r="R15" i="22"/>
  <c r="R19" i="22"/>
  <c r="R13" i="22"/>
  <c r="R19" i="17"/>
  <c r="U13" i="36"/>
  <c r="R12" i="21"/>
  <c r="B45" i="53"/>
  <c r="D56" i="30"/>
  <c r="U14" i="28"/>
  <c r="V14" i="36"/>
  <c r="U49" i="40"/>
  <c r="Z56" i="62"/>
  <c r="P56" i="62"/>
  <c r="R56" i="62"/>
  <c r="T56" i="62"/>
  <c r="V56" i="62"/>
  <c r="N56" i="62"/>
  <c r="X56" i="62"/>
  <c r="F56" i="62"/>
  <c r="D56" i="62"/>
  <c r="H56" i="62"/>
  <c r="L56" i="62"/>
  <c r="AB56" i="62"/>
  <c r="J56" i="62"/>
  <c r="C66" i="53"/>
  <c r="C34" i="53"/>
  <c r="S16" i="22"/>
  <c r="T17" i="28"/>
  <c r="E56" i="30"/>
  <c r="S16" i="17"/>
  <c r="U50" i="40"/>
  <c r="F59" i="34"/>
  <c r="L16" i="54"/>
  <c r="T36" i="28"/>
  <c r="N17" i="62"/>
  <c r="R19" i="62"/>
  <c r="X18" i="62"/>
  <c r="N18" i="62"/>
  <c r="T17" i="62"/>
  <c r="X19" i="62"/>
  <c r="P18" i="62"/>
  <c r="V17" i="62"/>
  <c r="P19" i="62"/>
  <c r="V18" i="62"/>
  <c r="R17" i="62"/>
  <c r="N19" i="62"/>
  <c r="T18" i="62"/>
  <c r="Z17" i="62"/>
  <c r="P17" i="62"/>
  <c r="T19" i="62"/>
  <c r="Z18" i="62"/>
  <c r="Z19" i="62"/>
  <c r="X17" i="62"/>
  <c r="V19" i="62"/>
  <c r="R18" i="62"/>
  <c r="L17" i="62"/>
  <c r="J19" i="62"/>
  <c r="D17" i="62"/>
  <c r="F17" i="62"/>
  <c r="L19" i="62"/>
  <c r="F18" i="62"/>
  <c r="AB19" i="62"/>
  <c r="H19" i="62"/>
  <c r="J18" i="62"/>
  <c r="AB17" i="62"/>
  <c r="L18" i="62"/>
  <c r="AB18" i="62"/>
  <c r="H17" i="62"/>
  <c r="F19" i="62"/>
  <c r="D19" i="62"/>
  <c r="H18" i="62"/>
  <c r="J17" i="62"/>
  <c r="D18" i="62"/>
  <c r="D18" i="51"/>
  <c r="D63" i="53"/>
  <c r="B16" i="30"/>
  <c r="D16" i="30"/>
  <c r="E53" i="30"/>
  <c r="D37" i="30"/>
  <c r="E12" i="30"/>
  <c r="C37" i="30"/>
  <c r="E21" i="30"/>
  <c r="C53" i="30"/>
  <c r="E36" i="30"/>
  <c r="D53" i="30"/>
  <c r="C16" i="30"/>
  <c r="C14" i="30"/>
  <c r="D51" i="30"/>
  <c r="B14" i="30"/>
  <c r="D14" i="30"/>
  <c r="B12" i="30"/>
  <c r="B57" i="18"/>
  <c r="B51" i="18"/>
  <c r="C34" i="30"/>
  <c r="C20" i="18"/>
  <c r="B48" i="30"/>
  <c r="C21" i="30"/>
  <c r="B55" i="53"/>
  <c r="C14" i="53"/>
  <c r="C67" i="53"/>
  <c r="B47" i="18"/>
  <c r="D31" i="30"/>
  <c r="C57" i="53"/>
  <c r="B15" i="18"/>
  <c r="C55" i="53"/>
  <c r="B34" i="18"/>
  <c r="C35" i="53"/>
  <c r="C20" i="59"/>
  <c r="B25" i="53"/>
  <c r="C43" i="53"/>
  <c r="C49" i="53"/>
  <c r="C62" i="53"/>
  <c r="B35" i="53"/>
  <c r="D25" i="53"/>
  <c r="D34" i="53"/>
  <c r="C11" i="59"/>
  <c r="C24" i="30"/>
  <c r="B9" i="18"/>
  <c r="C31" i="18"/>
  <c r="B37" i="53"/>
  <c r="C38" i="53"/>
  <c r="B24" i="30"/>
  <c r="C53" i="18"/>
  <c r="D36" i="30"/>
  <c r="C9" i="53"/>
  <c r="B14" i="53"/>
  <c r="B63" i="18"/>
  <c r="B32" i="30"/>
  <c r="D32" i="30"/>
  <c r="B64" i="18"/>
  <c r="B56" i="30"/>
  <c r="D21" i="30"/>
  <c r="E26" i="30"/>
  <c r="C13" i="18"/>
  <c r="E24" i="30"/>
  <c r="B17" i="53"/>
  <c r="B39" i="53"/>
  <c r="C11" i="53"/>
  <c r="C17" i="53"/>
  <c r="C30" i="53"/>
  <c r="T16" i="12"/>
  <c r="S19" i="12"/>
  <c r="T12" i="12"/>
  <c r="B40" i="59"/>
  <c r="C58" i="18"/>
  <c r="B53" i="53"/>
  <c r="B56" i="59"/>
  <c r="D47" i="30"/>
  <c r="R17" i="22"/>
  <c r="E39" i="30"/>
  <c r="G52" i="32"/>
  <c r="R10" i="17"/>
  <c r="C27" i="18"/>
  <c r="E47" i="30"/>
  <c r="E32" i="30"/>
  <c r="R15" i="17"/>
  <c r="S14" i="17"/>
  <c r="C21" i="18"/>
  <c r="U47" i="40"/>
  <c r="V13" i="36"/>
  <c r="Q12" i="54"/>
  <c r="B57" i="53"/>
  <c r="C50" i="53"/>
  <c r="C39" i="53"/>
  <c r="B50" i="53"/>
  <c r="D43" i="53"/>
  <c r="M14" i="54"/>
  <c r="C52" i="18"/>
  <c r="T13" i="28"/>
  <c r="D19" i="30"/>
  <c r="E41" i="30"/>
  <c r="D52" i="30"/>
  <c r="U17" i="36"/>
  <c r="R9" i="21"/>
  <c r="P18" i="54"/>
  <c r="C21" i="53"/>
  <c r="Z37" i="36"/>
  <c r="U12" i="28"/>
  <c r="D15" i="30"/>
  <c r="N12" i="54"/>
  <c r="D26" i="53"/>
  <c r="C37" i="53"/>
  <c r="D58" i="53"/>
  <c r="C48" i="30"/>
  <c r="B54" i="30"/>
  <c r="C25" i="18"/>
  <c r="B14" i="18"/>
  <c r="C19" i="30"/>
  <c r="S11" i="17"/>
  <c r="B18" i="18"/>
  <c r="C38" i="18"/>
  <c r="B18" i="30"/>
  <c r="U15" i="36"/>
  <c r="V11" i="36"/>
  <c r="B21" i="53"/>
  <c r="B26" i="53"/>
  <c r="D53" i="53"/>
  <c r="B58" i="53"/>
  <c r="B9" i="53"/>
  <c r="D143" i="48"/>
  <c r="D174" i="48"/>
  <c r="BK174" i="48" s="1"/>
  <c r="D84" i="48"/>
  <c r="C194" i="48"/>
  <c r="BJ194" i="48" s="1"/>
  <c r="D57" i="48"/>
  <c r="D131" i="48"/>
  <c r="BK131" i="48" s="1"/>
  <c r="AN226" i="48"/>
  <c r="AN224" i="48" s="1"/>
  <c r="H57" i="48"/>
  <c r="L57" i="48"/>
  <c r="D18" i="53"/>
  <c r="D65" i="53"/>
  <c r="C65" i="53"/>
  <c r="Y37" i="36"/>
  <c r="K9" i="44"/>
  <c r="X37" i="36"/>
  <c r="B63" i="53"/>
  <c r="D31" i="53"/>
  <c r="C31" i="53"/>
  <c r="B31" i="53"/>
  <c r="B41" i="53"/>
  <c r="D41" i="53"/>
  <c r="K42" i="51"/>
  <c r="S42" i="51"/>
  <c r="F42" i="51"/>
  <c r="L42" i="51"/>
  <c r="V42" i="51"/>
  <c r="O42" i="51"/>
  <c r="X42" i="51"/>
  <c r="E42" i="51"/>
  <c r="N42" i="51"/>
  <c r="H42" i="51"/>
  <c r="M42" i="51"/>
  <c r="U42" i="51"/>
  <c r="G42" i="51"/>
  <c r="W42" i="51"/>
  <c r="I42" i="51"/>
  <c r="Q42" i="51"/>
  <c r="J42" i="51"/>
  <c r="R42" i="51"/>
  <c r="T42" i="51"/>
  <c r="P42" i="51"/>
  <c r="D75" i="51"/>
  <c r="C75" i="51"/>
  <c r="D76" i="51"/>
  <c r="C76" i="51"/>
  <c r="N75" i="51"/>
  <c r="V75" i="51"/>
  <c r="J76" i="51"/>
  <c r="R76" i="51"/>
  <c r="Q75" i="51"/>
  <c r="J75" i="51"/>
  <c r="N76" i="51"/>
  <c r="F75" i="51"/>
  <c r="G75" i="51"/>
  <c r="O75" i="51"/>
  <c r="W75" i="51"/>
  <c r="K76" i="51"/>
  <c r="S76" i="51"/>
  <c r="K75" i="51"/>
  <c r="S75" i="51"/>
  <c r="G76" i="51"/>
  <c r="O76" i="51"/>
  <c r="W76" i="51"/>
  <c r="E75" i="51"/>
  <c r="H75" i="51"/>
  <c r="P75" i="51"/>
  <c r="X75" i="51"/>
  <c r="L76" i="51"/>
  <c r="T76" i="51"/>
  <c r="R75" i="51"/>
  <c r="V76" i="51"/>
  <c r="L75" i="51"/>
  <c r="T75" i="51"/>
  <c r="H76" i="51"/>
  <c r="P76" i="51"/>
  <c r="X76" i="51"/>
  <c r="F76" i="51"/>
  <c r="M75" i="51"/>
  <c r="U75" i="51"/>
  <c r="I76" i="51"/>
  <c r="Q76" i="51"/>
  <c r="E76" i="51"/>
  <c r="I75" i="51"/>
  <c r="M76" i="51"/>
  <c r="U76" i="51"/>
  <c r="B29" i="53"/>
  <c r="C29" i="53"/>
  <c r="S18" i="12"/>
  <c r="E52" i="30"/>
  <c r="T10" i="12"/>
  <c r="S14" i="12"/>
  <c r="U32" i="16"/>
  <c r="C44" i="18"/>
  <c r="C26" i="30"/>
  <c r="V15" i="36"/>
  <c r="U11" i="36"/>
  <c r="F55" i="34"/>
  <c r="F57" i="34"/>
  <c r="F56" i="34"/>
  <c r="D67" i="48"/>
  <c r="BK67" i="48" s="1"/>
  <c r="D22" i="53"/>
  <c r="C22" i="53"/>
  <c r="D42" i="53"/>
  <c r="B42" i="53"/>
  <c r="D47" i="53"/>
  <c r="B47" i="53"/>
  <c r="W37" i="36"/>
  <c r="T15" i="28"/>
  <c r="U15" i="28"/>
  <c r="U12" i="36"/>
  <c r="V12" i="36"/>
  <c r="U46" i="40"/>
  <c r="D194" i="48"/>
  <c r="BK194" i="48" s="1"/>
  <c r="D33" i="53"/>
  <c r="C33" i="53"/>
  <c r="U33" i="16"/>
  <c r="R18" i="17"/>
  <c r="E31" i="30"/>
  <c r="C23" i="18"/>
  <c r="C30" i="18"/>
  <c r="G48" i="32"/>
  <c r="U42" i="40"/>
  <c r="D13" i="53"/>
  <c r="C13" i="53"/>
  <c r="B18" i="53"/>
  <c r="D54" i="53"/>
  <c r="C54" i="53"/>
  <c r="C59" i="53"/>
  <c r="P17" i="54"/>
  <c r="N17" i="54"/>
  <c r="O17" i="54"/>
  <c r="Q17" i="54"/>
  <c r="I143" i="48"/>
  <c r="U16" i="36"/>
  <c r="K15" i="42"/>
  <c r="D12" i="51"/>
  <c r="C12" i="51"/>
  <c r="N12" i="51"/>
  <c r="N14" i="51" s="1"/>
  <c r="Q12" i="51"/>
  <c r="Q14" i="51" s="1"/>
  <c r="I12" i="51"/>
  <c r="I14" i="51" s="1"/>
  <c r="R12" i="51"/>
  <c r="R14" i="51" s="1"/>
  <c r="G12" i="51"/>
  <c r="G14" i="51" s="1"/>
  <c r="O12" i="51"/>
  <c r="O14" i="51" s="1"/>
  <c r="W12" i="51"/>
  <c r="W14" i="51" s="1"/>
  <c r="H12" i="51"/>
  <c r="H14" i="51" s="1"/>
  <c r="J12" i="51"/>
  <c r="J14" i="51" s="1"/>
  <c r="K12" i="51"/>
  <c r="K14" i="51" s="1"/>
  <c r="S12" i="51"/>
  <c r="F12" i="51"/>
  <c r="L12" i="51"/>
  <c r="L14" i="51" s="1"/>
  <c r="T12" i="51"/>
  <c r="T14" i="51" s="1"/>
  <c r="E12" i="51"/>
  <c r="E14" i="51" s="1"/>
  <c r="M12" i="51"/>
  <c r="M14" i="51" s="1"/>
  <c r="U12" i="51"/>
  <c r="U14" i="51" s="1"/>
  <c r="V12" i="51"/>
  <c r="V14" i="51" s="1"/>
  <c r="P12" i="51"/>
  <c r="B62" i="5"/>
  <c r="B55" i="16"/>
  <c r="B56" i="16"/>
  <c r="B49" i="16"/>
  <c r="B48" i="16"/>
  <c r="B46" i="16"/>
  <c r="B54" i="16"/>
  <c r="B57" i="16"/>
  <c r="B42" i="16"/>
  <c r="B50" i="16"/>
  <c r="B41" i="16"/>
  <c r="B43" i="16"/>
  <c r="B51" i="16"/>
  <c r="B44" i="16"/>
  <c r="B52" i="16"/>
  <c r="B45" i="16"/>
  <c r="B53" i="16"/>
  <c r="B47" i="16"/>
  <c r="B65" i="53"/>
  <c r="D38" i="53"/>
  <c r="M13" i="54"/>
  <c r="N13" i="54"/>
  <c r="L13" i="54"/>
  <c r="S17" i="12"/>
  <c r="T11" i="12"/>
  <c r="C62" i="18"/>
  <c r="C43" i="18"/>
  <c r="C42" i="18"/>
  <c r="B31" i="30"/>
  <c r="B46" i="18"/>
  <c r="V16" i="36"/>
  <c r="C45" i="53"/>
  <c r="D10" i="53"/>
  <c r="C10" i="53"/>
  <c r="B10" i="53"/>
  <c r="C41" i="53"/>
  <c r="B61" i="53"/>
  <c r="C61" i="53"/>
  <c r="C19" i="51"/>
  <c r="C18" i="51"/>
  <c r="D19" i="51"/>
  <c r="D17" i="51"/>
  <c r="C17" i="51"/>
  <c r="G17" i="51"/>
  <c r="O17" i="51"/>
  <c r="W17" i="51"/>
  <c r="K18" i="51"/>
  <c r="S18" i="51"/>
  <c r="G19" i="51"/>
  <c r="O19" i="51"/>
  <c r="W19" i="51"/>
  <c r="E18" i="51"/>
  <c r="P17" i="51"/>
  <c r="T18" i="51"/>
  <c r="P19" i="51"/>
  <c r="R17" i="51"/>
  <c r="V18" i="51"/>
  <c r="S17" i="51"/>
  <c r="O18" i="51"/>
  <c r="K19" i="51"/>
  <c r="F17" i="51"/>
  <c r="P18" i="51"/>
  <c r="F18" i="51"/>
  <c r="H17" i="51"/>
  <c r="L18" i="51"/>
  <c r="X19" i="51"/>
  <c r="R19" i="51"/>
  <c r="L17" i="51"/>
  <c r="H18" i="51"/>
  <c r="L19" i="51"/>
  <c r="I17" i="51"/>
  <c r="Q17" i="51"/>
  <c r="M18" i="51"/>
  <c r="U18" i="51"/>
  <c r="I19" i="51"/>
  <c r="Q19" i="51"/>
  <c r="K17" i="51"/>
  <c r="G18" i="51"/>
  <c r="W18" i="51"/>
  <c r="S19" i="51"/>
  <c r="T17" i="51"/>
  <c r="T19" i="51"/>
  <c r="M17" i="51"/>
  <c r="U17" i="51"/>
  <c r="I18" i="51"/>
  <c r="Q18" i="51"/>
  <c r="M19" i="51"/>
  <c r="U19" i="51"/>
  <c r="F19" i="51"/>
  <c r="N17" i="51"/>
  <c r="V17" i="51"/>
  <c r="J18" i="51"/>
  <c r="R18" i="51"/>
  <c r="N19" i="51"/>
  <c r="V19" i="51"/>
  <c r="E19" i="51"/>
  <c r="X17" i="51"/>
  <c r="H19" i="51"/>
  <c r="E17" i="51"/>
  <c r="J17" i="51"/>
  <c r="N18" i="51"/>
  <c r="J19" i="51"/>
  <c r="X18" i="51"/>
  <c r="B59" i="59"/>
  <c r="B50" i="30"/>
  <c r="C60" i="59"/>
  <c r="AH226" i="48"/>
  <c r="AH224" i="48" s="1"/>
  <c r="U37" i="36"/>
  <c r="D11" i="53"/>
  <c r="B24" i="59"/>
  <c r="C52" i="59"/>
  <c r="D56" i="51"/>
  <c r="C56" i="51"/>
  <c r="F56" i="51"/>
  <c r="E56" i="51"/>
  <c r="L18" i="54"/>
  <c r="D67" i="53"/>
  <c r="B38" i="59"/>
  <c r="C44" i="59"/>
  <c r="X30" i="23"/>
  <c r="X31" i="23" s="1"/>
  <c r="AK28" i="23"/>
  <c r="T30" i="23"/>
  <c r="T31" i="23" s="1"/>
  <c r="AK14" i="23"/>
  <c r="AA30" i="23"/>
  <c r="AA31" i="23" s="1"/>
  <c r="C50" i="59"/>
  <c r="B41" i="30"/>
  <c r="B17" i="59"/>
  <c r="B34" i="59"/>
  <c r="B12" i="18"/>
  <c r="E15" i="30"/>
  <c r="B19" i="30"/>
  <c r="C28" i="30"/>
  <c r="B52" i="30"/>
  <c r="E28" i="30"/>
  <c r="E20" i="30"/>
  <c r="E37" i="30"/>
  <c r="B33" i="18"/>
  <c r="B34" i="30"/>
  <c r="B33" i="53"/>
  <c r="B22" i="53"/>
  <c r="D59" i="53"/>
  <c r="B18" i="59"/>
  <c r="B36" i="59"/>
  <c r="C58" i="59"/>
  <c r="C28" i="59"/>
  <c r="C10" i="59"/>
  <c r="C54" i="18"/>
  <c r="B39" i="18"/>
  <c r="B45" i="18"/>
  <c r="B40" i="30"/>
  <c r="E44" i="30"/>
  <c r="B20" i="30"/>
  <c r="B10" i="18"/>
  <c r="C22" i="18"/>
  <c r="E40" i="30"/>
  <c r="E46" i="30"/>
  <c r="C16" i="53"/>
  <c r="C20" i="53"/>
  <c r="C24" i="53"/>
  <c r="C40" i="53"/>
  <c r="C44" i="53"/>
  <c r="C60" i="53"/>
  <c r="C64" i="53"/>
  <c r="B16" i="53"/>
  <c r="C27" i="59"/>
  <c r="C26" i="59"/>
  <c r="B42" i="59"/>
  <c r="C9" i="59"/>
  <c r="C19" i="18"/>
  <c r="D48" i="30"/>
  <c r="C44" i="30"/>
  <c r="C40" i="30"/>
  <c r="C41" i="30"/>
  <c r="E29" i="30"/>
  <c r="B41" i="18"/>
  <c r="B20" i="53"/>
  <c r="B54" i="53"/>
  <c r="C43" i="59"/>
  <c r="D40" i="53"/>
  <c r="B47" i="30"/>
  <c r="B12" i="59"/>
  <c r="B48" i="59"/>
  <c r="C66" i="59"/>
  <c r="C13" i="59"/>
  <c r="C35" i="30"/>
  <c r="D60" i="53"/>
  <c r="B44" i="53"/>
  <c r="C35" i="18"/>
  <c r="C26" i="18"/>
  <c r="B15" i="30"/>
  <c r="D30" i="30"/>
  <c r="D54" i="30"/>
  <c r="B16" i="59"/>
  <c r="B32" i="59"/>
  <c r="B49" i="59"/>
  <c r="C61" i="59"/>
  <c r="L14" i="54"/>
  <c r="O13" i="54"/>
  <c r="M16" i="54"/>
  <c r="M28" i="54"/>
  <c r="M12" i="54"/>
  <c r="O14" i="54"/>
  <c r="N14" i="54"/>
  <c r="Q14" i="54"/>
  <c r="N18" i="54"/>
  <c r="P13" i="54"/>
  <c r="O16" i="54"/>
  <c r="O18" i="54"/>
  <c r="N16" i="54"/>
  <c r="M17" i="54"/>
  <c r="Q16" i="54"/>
  <c r="M18" i="54"/>
  <c r="D17" i="30"/>
  <c r="B17" i="30"/>
  <c r="E17" i="30"/>
  <c r="C17" i="30"/>
  <c r="B23" i="30"/>
  <c r="E23" i="30"/>
  <c r="C23" i="30"/>
  <c r="D23" i="30"/>
  <c r="G50" i="32"/>
  <c r="B36" i="18"/>
  <c r="C36" i="18"/>
  <c r="U18" i="36"/>
  <c r="V18" i="36"/>
  <c r="K11" i="42"/>
  <c r="T15" i="12"/>
  <c r="C37" i="18"/>
  <c r="S14" i="22"/>
  <c r="D43" i="30"/>
  <c r="E43" i="30"/>
  <c r="B43" i="30"/>
  <c r="E54" i="30"/>
  <c r="C10" i="30"/>
  <c r="E10" i="30"/>
  <c r="D10" i="30"/>
  <c r="U19" i="36"/>
  <c r="V19" i="36"/>
  <c r="U38" i="16"/>
  <c r="E11" i="30"/>
  <c r="C11" i="30"/>
  <c r="D11" i="30"/>
  <c r="B11" i="30"/>
  <c r="AB226" i="48"/>
  <c r="AB224" i="48" s="1"/>
  <c r="U16" i="28"/>
  <c r="T16" i="28"/>
  <c r="B56" i="18"/>
  <c r="C50" i="18"/>
  <c r="C16" i="18"/>
  <c r="D22" i="30"/>
  <c r="B32" i="18"/>
  <c r="C32" i="18"/>
  <c r="E49" i="30"/>
  <c r="B49" i="30"/>
  <c r="D49" i="30"/>
  <c r="U20" i="36"/>
  <c r="V20" i="36"/>
  <c r="K17" i="42"/>
  <c r="C11" i="18"/>
  <c r="B11" i="18"/>
  <c r="AT226" i="48"/>
  <c r="AT224" i="48" s="1"/>
  <c r="B61" i="18"/>
  <c r="B22" i="30"/>
  <c r="U32" i="5"/>
  <c r="C8" i="18"/>
  <c r="T10" i="28"/>
  <c r="B60" i="18"/>
  <c r="C60" i="18"/>
  <c r="B27" i="30"/>
  <c r="E27" i="30"/>
  <c r="D27" i="30"/>
  <c r="D33" i="30"/>
  <c r="B33" i="30"/>
  <c r="E33" i="30"/>
  <c r="C38" i="30"/>
  <c r="B38" i="30"/>
  <c r="D38" i="30"/>
  <c r="C55" i="30"/>
  <c r="B55" i="30"/>
  <c r="D55" i="30"/>
  <c r="AK18" i="23"/>
  <c r="U34" i="16"/>
  <c r="B17" i="18"/>
  <c r="C17" i="18"/>
  <c r="C55" i="18"/>
  <c r="E22" i="30"/>
  <c r="C39" i="30"/>
  <c r="D39" i="30"/>
  <c r="E13" i="30"/>
  <c r="C13" i="30"/>
  <c r="B13" i="30"/>
  <c r="D45" i="30"/>
  <c r="E45" i="30"/>
  <c r="B45" i="30"/>
  <c r="R8" i="21"/>
  <c r="O11" i="54"/>
  <c r="M11" i="54"/>
  <c r="Q11" i="54"/>
  <c r="P11" i="54"/>
  <c r="T13" i="12"/>
  <c r="B29" i="18"/>
  <c r="C50" i="30"/>
  <c r="C29" i="30"/>
  <c r="S17" i="17"/>
  <c r="B35" i="30"/>
  <c r="E35" i="30"/>
  <c r="C51" i="30"/>
  <c r="B51" i="30"/>
  <c r="U14" i="36"/>
  <c r="T226" i="48"/>
  <c r="T224" i="48" s="1"/>
  <c r="AJ226" i="48"/>
  <c r="AJ224" i="48" s="1"/>
  <c r="AZ226" i="48"/>
  <c r="AZ224" i="48" s="1"/>
  <c r="AV226" i="48"/>
  <c r="AV224" i="48" s="1"/>
  <c r="J57" i="48"/>
  <c r="X226" i="48"/>
  <c r="X224" i="48" s="1"/>
  <c r="AP226" i="48"/>
  <c r="AP224" i="48" s="1"/>
  <c r="H84" i="48"/>
  <c r="C28" i="18"/>
  <c r="D18" i="30"/>
  <c r="C48" i="18"/>
  <c r="B48" i="18"/>
  <c r="B25" i="30"/>
  <c r="E25" i="30"/>
  <c r="D25" i="30"/>
  <c r="B30" i="30"/>
  <c r="C30" i="30"/>
  <c r="B46" i="30"/>
  <c r="D46" i="30"/>
  <c r="K9" i="42"/>
  <c r="S12" i="17"/>
  <c r="C59" i="18"/>
  <c r="C24" i="18"/>
  <c r="C40" i="18"/>
  <c r="C18" i="30"/>
  <c r="D50" i="30"/>
  <c r="D29" i="30"/>
  <c r="D34" i="30"/>
  <c r="B49" i="18"/>
  <c r="C49" i="18"/>
  <c r="B26" i="30"/>
  <c r="K13" i="42"/>
  <c r="H140" i="48"/>
  <c r="D40" i="48"/>
  <c r="BK40" i="48" s="1"/>
  <c r="R17" i="21"/>
  <c r="E42" i="30"/>
  <c r="C42" i="30"/>
  <c r="K14" i="42"/>
  <c r="F64" i="34"/>
  <c r="F61" i="34"/>
  <c r="Z226" i="48"/>
  <c r="Z224" i="48" s="1"/>
  <c r="AR226" i="48"/>
  <c r="AR224" i="48" s="1"/>
  <c r="R226" i="48"/>
  <c r="R224" i="48" s="1"/>
  <c r="AL226" i="48"/>
  <c r="AL224" i="48" s="1"/>
  <c r="K12" i="42"/>
  <c r="C143" i="48"/>
  <c r="G143" i="48"/>
  <c r="R13" i="21"/>
  <c r="T30" i="12"/>
  <c r="B12" i="53"/>
  <c r="D12" i="53"/>
  <c r="D28" i="53"/>
  <c r="B28" i="53"/>
  <c r="B32" i="53"/>
  <c r="D32" i="53"/>
  <c r="B36" i="53"/>
  <c r="D36" i="53"/>
  <c r="B48" i="53"/>
  <c r="D48" i="53"/>
  <c r="D52" i="53"/>
  <c r="B52" i="53"/>
  <c r="B56" i="53"/>
  <c r="D56" i="53"/>
  <c r="D68" i="53"/>
  <c r="D64" i="53"/>
  <c r="G51" i="32"/>
  <c r="J140" i="48"/>
  <c r="J143" i="48" s="1"/>
  <c r="R16" i="21"/>
  <c r="AF226" i="48"/>
  <c r="AF224" i="48" s="1"/>
  <c r="R15" i="21"/>
  <c r="B72" i="32"/>
  <c r="G53" i="32" s="1"/>
  <c r="D24" i="53"/>
  <c r="U51" i="40"/>
  <c r="L143" i="48"/>
  <c r="R10" i="21"/>
  <c r="N20" i="54"/>
  <c r="M20" i="54"/>
  <c r="P20" i="54"/>
  <c r="O20" i="54"/>
  <c r="L20" i="54"/>
  <c r="F60" i="34"/>
  <c r="V226" i="48"/>
  <c r="V224" i="48" s="1"/>
  <c r="S29" i="12"/>
  <c r="T29" i="12"/>
  <c r="B15" i="53"/>
  <c r="D15" i="53"/>
  <c r="B19" i="53"/>
  <c r="D19" i="53"/>
  <c r="B23" i="53"/>
  <c r="D23" i="53"/>
  <c r="B27" i="53"/>
  <c r="D27" i="53"/>
  <c r="D51" i="53"/>
  <c r="B51" i="53"/>
  <c r="F63" i="34"/>
  <c r="B132" i="21"/>
  <c r="F62" i="34"/>
  <c r="AX226" i="48"/>
  <c r="AX224" i="48" s="1"/>
  <c r="R36" i="17"/>
  <c r="V37" i="36"/>
  <c r="R36" i="22"/>
  <c r="S36" i="22"/>
  <c r="R37" i="17"/>
  <c r="S37" i="22"/>
  <c r="R37" i="22"/>
  <c r="C45" i="59"/>
  <c r="B53" i="59"/>
  <c r="C53" i="59"/>
  <c r="B37" i="59"/>
  <c r="C37" i="59"/>
  <c r="B29" i="59"/>
  <c r="C29" i="59"/>
  <c r="B21" i="59"/>
  <c r="C21" i="59"/>
  <c r="P19" i="54"/>
  <c r="N19" i="54"/>
  <c r="M19" i="54"/>
  <c r="O19" i="54"/>
  <c r="N15" i="54"/>
  <c r="P15" i="54"/>
  <c r="O15" i="54"/>
  <c r="M15" i="54"/>
  <c r="Q15" i="54"/>
  <c r="L27" i="54"/>
  <c r="S37" i="17"/>
  <c r="C63" i="59"/>
  <c r="C55" i="59"/>
  <c r="B55" i="59"/>
  <c r="C47" i="59"/>
  <c r="B47" i="59"/>
  <c r="C39" i="59"/>
  <c r="B39" i="59"/>
  <c r="C31" i="59"/>
  <c r="B31" i="59"/>
  <c r="C23" i="59"/>
  <c r="B23" i="59"/>
  <c r="C15" i="59"/>
  <c r="B15" i="59"/>
  <c r="M29" i="54"/>
  <c r="N28" i="54"/>
  <c r="S36" i="17"/>
  <c r="C67" i="59"/>
  <c r="C51" i="59"/>
  <c r="B51" i="59"/>
  <c r="C35" i="59"/>
  <c r="B35" i="59"/>
  <c r="C19" i="59"/>
  <c r="B19" i="59"/>
  <c r="C65" i="59"/>
  <c r="C57" i="59"/>
  <c r="B57" i="59"/>
  <c r="C41" i="59"/>
  <c r="B41" i="59"/>
  <c r="C33" i="59"/>
  <c r="B33" i="59"/>
  <c r="C25" i="59"/>
  <c r="B25" i="59"/>
  <c r="D46" i="53"/>
  <c r="B46" i="53"/>
  <c r="B30" i="53"/>
  <c r="U36" i="28"/>
  <c r="B14" i="59"/>
  <c r="B46" i="59"/>
  <c r="B30" i="59"/>
  <c r="S30" i="12"/>
  <c r="B22" i="59"/>
  <c r="B54" i="59"/>
  <c r="D62" i="53"/>
  <c r="M27" i="54"/>
  <c r="L28" i="54"/>
  <c r="Q28" i="54"/>
  <c r="P27" i="54"/>
  <c r="P28" i="54"/>
  <c r="O28" i="54"/>
  <c r="Q27" i="54"/>
  <c r="O27" i="54"/>
  <c r="N27" i="54"/>
  <c r="R42" i="61"/>
  <c r="R44" i="61"/>
  <c r="AM12" i="62" l="1"/>
  <c r="AN13" i="62"/>
  <c r="AM13" i="62"/>
  <c r="AK14" i="62"/>
  <c r="AN12" i="62"/>
  <c r="AL95" i="62"/>
  <c r="AL93" i="62" s="1"/>
  <c r="AN54" i="62"/>
  <c r="AM56" i="62"/>
  <c r="AN56" i="62"/>
  <c r="AM42" i="62"/>
  <c r="AN42" i="62"/>
  <c r="AC14" i="62"/>
  <c r="F62" i="27"/>
  <c r="O14" i="62"/>
  <c r="F14" i="62"/>
  <c r="X14" i="62"/>
  <c r="S14" i="51"/>
  <c r="AD14" i="62"/>
  <c r="AI14" i="62"/>
  <c r="AI14" i="51"/>
  <c r="G14" i="62"/>
  <c r="Q14" i="62"/>
  <c r="AA14" i="51"/>
  <c r="U38" i="5"/>
  <c r="AB14" i="51"/>
  <c r="AK76" i="51"/>
  <c r="AL76" i="51"/>
  <c r="AL75" i="51"/>
  <c r="AK75" i="51"/>
  <c r="C14" i="62"/>
  <c r="D14" i="62"/>
  <c r="AK38" i="51"/>
  <c r="AK44" i="51"/>
  <c r="AL29" i="51"/>
  <c r="AL48" i="51"/>
  <c r="AK58" i="51"/>
  <c r="AL31" i="51"/>
  <c r="AK49" i="51"/>
  <c r="AK63" i="51"/>
  <c r="AK33" i="51"/>
  <c r="AK30" i="51"/>
  <c r="AK36" i="51"/>
  <c r="AK52" i="51"/>
  <c r="AL22" i="51"/>
  <c r="AL33" i="51"/>
  <c r="AK64" i="51"/>
  <c r="AL50" i="51"/>
  <c r="AK61" i="51"/>
  <c r="AL44" i="51"/>
  <c r="AK69" i="51"/>
  <c r="AL52" i="51"/>
  <c r="AK71" i="51"/>
  <c r="AK47" i="51"/>
  <c r="AK50" i="51"/>
  <c r="AK48" i="51"/>
  <c r="AL30" i="51"/>
  <c r="AL32" i="51"/>
  <c r="AL36" i="51"/>
  <c r="AL24" i="51"/>
  <c r="AK40" i="51"/>
  <c r="AL34" i="51"/>
  <c r="AL38" i="51"/>
  <c r="AK29" i="51"/>
  <c r="AL26" i="51"/>
  <c r="AK66" i="51"/>
  <c r="AK31" i="51"/>
  <c r="AK24" i="51"/>
  <c r="AK22" i="51"/>
  <c r="AK26" i="51"/>
  <c r="AK51" i="51"/>
  <c r="AL49" i="51"/>
  <c r="AK62" i="51"/>
  <c r="AL51" i="51"/>
  <c r="AL40" i="51"/>
  <c r="AL56" i="51"/>
  <c r="AK56" i="51"/>
  <c r="AL42" i="51"/>
  <c r="AK42" i="51"/>
  <c r="AJ20" i="51"/>
  <c r="AL17" i="51"/>
  <c r="AL19" i="51"/>
  <c r="AK18" i="51"/>
  <c r="AL18" i="51"/>
  <c r="AK19" i="51"/>
  <c r="AK17" i="51"/>
  <c r="AJ14" i="51"/>
  <c r="AL13" i="51"/>
  <c r="AK13" i="51"/>
  <c r="C14" i="51"/>
  <c r="AK12" i="51"/>
  <c r="AL12" i="51"/>
  <c r="AK70" i="51"/>
  <c r="I65" i="34"/>
  <c r="I60" i="34"/>
  <c r="I63" i="34"/>
  <c r="I62" i="34"/>
  <c r="I64" i="34"/>
  <c r="I59" i="34"/>
  <c r="I58" i="34"/>
  <c r="I61" i="34"/>
  <c r="I56" i="34"/>
  <c r="I55" i="34"/>
  <c r="I57" i="34"/>
  <c r="AL63" i="51"/>
  <c r="AL62" i="51"/>
  <c r="AC14" i="51"/>
  <c r="F14" i="51"/>
  <c r="J14" i="62"/>
  <c r="AF14" i="62"/>
  <c r="P14" i="51"/>
  <c r="K14" i="62"/>
  <c r="T14" i="62"/>
  <c r="AD14" i="51"/>
  <c r="AF14" i="51"/>
  <c r="AG14" i="62"/>
  <c r="S14" i="62"/>
  <c r="AH20" i="51"/>
  <c r="AJ20" i="62"/>
  <c r="AH20" i="62"/>
  <c r="AH14" i="62"/>
  <c r="AN14" i="62" s="1"/>
  <c r="AG14" i="51"/>
  <c r="AE14" i="51"/>
  <c r="AH14" i="51"/>
  <c r="AE14" i="62"/>
  <c r="X72" i="62"/>
  <c r="R72" i="62"/>
  <c r="V72" i="62"/>
  <c r="AD53" i="62"/>
  <c r="Z72" i="62"/>
  <c r="AB53" i="62"/>
  <c r="T72" i="62"/>
  <c r="AF53" i="62"/>
  <c r="Z53" i="62"/>
  <c r="AN53" i="62" s="1"/>
  <c r="AB72" i="51"/>
  <c r="N72" i="51"/>
  <c r="V72" i="51"/>
  <c r="P72" i="51"/>
  <c r="Z72" i="51"/>
  <c r="AF72" i="51"/>
  <c r="X72" i="51"/>
  <c r="R72" i="51"/>
  <c r="AD72" i="51"/>
  <c r="T72" i="51"/>
  <c r="AB53" i="51"/>
  <c r="AD53" i="51"/>
  <c r="X53" i="51"/>
  <c r="AF53" i="51"/>
  <c r="I70" i="49"/>
  <c r="Q153" i="49" s="1"/>
  <c r="C36" i="49"/>
  <c r="C69" i="49"/>
  <c r="E69" i="49"/>
  <c r="O151" i="49" s="1"/>
  <c r="C55" i="40"/>
  <c r="U45" i="40" s="1"/>
  <c r="C54" i="40"/>
  <c r="I69" i="49"/>
  <c r="Q151" i="49" s="1"/>
  <c r="AL66" i="51"/>
  <c r="AL61" i="51"/>
  <c r="AL69" i="51"/>
  <c r="AL71" i="51"/>
  <c r="AL58" i="51"/>
  <c r="AL64" i="51"/>
  <c r="E15" i="49"/>
  <c r="I16" i="49"/>
  <c r="E16" i="49"/>
  <c r="C15" i="49"/>
  <c r="G36" i="49"/>
  <c r="E14" i="49"/>
  <c r="G14" i="49"/>
  <c r="G50" i="49"/>
  <c r="C14" i="49"/>
  <c r="G64" i="49"/>
  <c r="G15" i="49"/>
  <c r="C60" i="5"/>
  <c r="U35" i="5" s="1"/>
  <c r="C62" i="5"/>
  <c r="U37" i="5" s="1"/>
  <c r="C59" i="5"/>
  <c r="U40" i="5"/>
  <c r="C65" i="5"/>
  <c r="U39" i="5" s="1"/>
  <c r="T51" i="40"/>
  <c r="U48" i="40"/>
  <c r="U41" i="5"/>
  <c r="I64" i="49"/>
  <c r="Q19" i="49" s="1"/>
  <c r="I48" i="49"/>
  <c r="Q23" i="49" s="1"/>
  <c r="I50" i="49"/>
  <c r="Q14" i="49" s="1"/>
  <c r="I36" i="49"/>
  <c r="I14" i="49"/>
  <c r="G16" i="49"/>
  <c r="AL54" i="51"/>
  <c r="E48" i="49"/>
  <c r="O23" i="49" s="1"/>
  <c r="E64" i="49"/>
  <c r="O19" i="49" s="1"/>
  <c r="AL70" i="51"/>
  <c r="BJ143" i="48"/>
  <c r="E36" i="49"/>
  <c r="C50" i="49"/>
  <c r="E50" i="49"/>
  <c r="O14" i="49" s="1"/>
  <c r="T43" i="40"/>
  <c r="E70" i="49"/>
  <c r="O153" i="49" s="1"/>
  <c r="C70" i="49"/>
  <c r="AF20" i="51"/>
  <c r="T41" i="16"/>
  <c r="BK84" i="48"/>
  <c r="T49" i="40"/>
  <c r="AF72" i="62"/>
  <c r="AD72" i="62"/>
  <c r="BK140" i="48"/>
  <c r="BK57" i="48"/>
  <c r="T46" i="40"/>
  <c r="T47" i="40"/>
  <c r="T42" i="40"/>
  <c r="T45" i="40"/>
  <c r="F50" i="32"/>
  <c r="F53" i="32"/>
  <c r="F51" i="32"/>
  <c r="F48" i="32"/>
  <c r="F54" i="32"/>
  <c r="F53" i="27"/>
  <c r="AF20" i="62"/>
  <c r="AD20" i="51"/>
  <c r="AD20" i="62"/>
  <c r="D14" i="51"/>
  <c r="S45" i="61"/>
  <c r="AM14" i="62" l="1"/>
  <c r="AJ95" i="51"/>
  <c r="AJ93" i="51" s="1"/>
  <c r="AL53" i="51"/>
  <c r="AL14" i="51"/>
  <c r="AK14" i="51"/>
  <c r="U44" i="40"/>
  <c r="U43" i="40"/>
  <c r="U34" i="5"/>
  <c r="U33" i="5"/>
  <c r="U36" i="5"/>
  <c r="Q17" i="49"/>
  <c r="O17" i="49"/>
  <c r="E47" i="49"/>
  <c r="I47" i="49"/>
  <c r="G11" i="49"/>
  <c r="E17" i="49"/>
  <c r="O20" i="49" s="1"/>
  <c r="I17" i="49"/>
  <c r="Q20" i="49" s="1"/>
  <c r="C11" i="49"/>
  <c r="I11" i="49"/>
  <c r="Q18" i="49" s="1"/>
  <c r="I66" i="49"/>
  <c r="E66" i="49"/>
  <c r="E11" i="49"/>
  <c r="O18" i="49" s="1"/>
  <c r="T48" i="40"/>
  <c r="T50" i="40"/>
  <c r="T44" i="40"/>
  <c r="F52" i="32"/>
  <c r="Q13" i="21"/>
  <c r="F54" i="27"/>
  <c r="Q8" i="21"/>
  <c r="Q12" i="21"/>
  <c r="Q10" i="21"/>
  <c r="Q15" i="21"/>
  <c r="Q9" i="21"/>
  <c r="Q11" i="21"/>
  <c r="Q14" i="21"/>
  <c r="F55" i="32"/>
  <c r="F49" i="32"/>
  <c r="T39" i="5"/>
  <c r="T41" i="5"/>
  <c r="T33" i="5"/>
  <c r="T35" i="5"/>
  <c r="AB72" i="62"/>
  <c r="T37" i="16"/>
  <c r="F58" i="27"/>
  <c r="F57" i="27"/>
  <c r="J72" i="62"/>
  <c r="T38" i="5"/>
  <c r="T37" i="5"/>
  <c r="T34" i="5"/>
  <c r="T36" i="5"/>
  <c r="T40" i="5"/>
  <c r="T32" i="5"/>
  <c r="F55" i="27"/>
  <c r="F60" i="27"/>
  <c r="F59" i="27"/>
  <c r="F61" i="27"/>
  <c r="I17" i="42"/>
  <c r="T40" i="16"/>
  <c r="Q17" i="21"/>
  <c r="T34" i="16"/>
  <c r="F57" i="32"/>
  <c r="F56" i="32"/>
  <c r="AB20" i="51"/>
  <c r="T32" i="16"/>
  <c r="T36" i="16"/>
  <c r="T38" i="16"/>
  <c r="T39" i="16"/>
  <c r="T35" i="16"/>
  <c r="D72" i="51"/>
  <c r="T33" i="16"/>
  <c r="Q16" i="21"/>
  <c r="K16" i="42"/>
  <c r="F72" i="51"/>
  <c r="P20" i="62"/>
  <c r="X20" i="62"/>
  <c r="J20" i="62"/>
  <c r="V20" i="62"/>
  <c r="L20" i="62"/>
  <c r="Z20" i="62"/>
  <c r="F20" i="62"/>
  <c r="T20" i="62"/>
  <c r="D20" i="62"/>
  <c r="H20" i="62"/>
  <c r="R20" i="62"/>
  <c r="AB20" i="62"/>
  <c r="N20" i="62"/>
  <c r="D72" i="62"/>
  <c r="AN72" i="62" s="1"/>
  <c r="H20" i="51"/>
  <c r="V20" i="51"/>
  <c r="J20" i="51"/>
  <c r="H143" i="48"/>
  <c r="BK143" i="48" s="1"/>
  <c r="T37" i="28"/>
  <c r="R20" i="51"/>
  <c r="X20" i="51"/>
  <c r="N20" i="51"/>
  <c r="D20" i="51"/>
  <c r="L20" i="51"/>
  <c r="F20" i="51"/>
  <c r="T20" i="51"/>
  <c r="P20" i="51"/>
  <c r="U37" i="28"/>
  <c r="P29" i="54"/>
  <c r="L29" i="54"/>
  <c r="O29" i="54"/>
  <c r="N29" i="54"/>
  <c r="P30" i="54"/>
  <c r="Q29" i="54"/>
  <c r="S38" i="17"/>
  <c r="R38" i="17"/>
  <c r="R38" i="22"/>
  <c r="S38" i="22"/>
  <c r="X38" i="36"/>
  <c r="W38" i="36"/>
  <c r="Y38" i="36"/>
  <c r="V38" i="36"/>
  <c r="Z38" i="36"/>
  <c r="U38" i="36"/>
  <c r="D226" i="48"/>
  <c r="S31" i="12"/>
  <c r="T31" i="12"/>
  <c r="S46" i="61"/>
  <c r="R46" i="61"/>
  <c r="R45" i="61"/>
  <c r="AL20" i="51" l="1"/>
  <c r="BK226" i="48"/>
  <c r="BK224" i="48" s="1"/>
  <c r="D224" i="48"/>
  <c r="AL72" i="51"/>
  <c r="I57" i="32"/>
  <c r="K57" i="32" s="1"/>
  <c r="M19" i="44"/>
  <c r="T38" i="28"/>
  <c r="U38" i="28"/>
  <c r="L30" i="54"/>
  <c r="N30" i="54"/>
  <c r="P31" i="54"/>
  <c r="M30" i="54"/>
  <c r="Q30" i="54"/>
  <c r="O30" i="54"/>
  <c r="S39" i="17"/>
  <c r="R39" i="17"/>
  <c r="U39" i="36"/>
  <c r="X39" i="36"/>
  <c r="W39" i="36"/>
  <c r="Z39" i="36"/>
  <c r="Y39" i="36"/>
  <c r="V39" i="36"/>
  <c r="R39" i="22"/>
  <c r="S39" i="22"/>
  <c r="S32" i="12"/>
  <c r="T32" i="12"/>
  <c r="T39" i="28"/>
  <c r="U39" i="28"/>
  <c r="R47" i="61"/>
  <c r="N31" i="54" l="1"/>
  <c r="O31" i="54"/>
  <c r="M31" i="54"/>
  <c r="Q32" i="54"/>
  <c r="L31" i="54"/>
  <c r="Q31" i="54"/>
  <c r="R40" i="22"/>
  <c r="S40" i="22"/>
  <c r="V40" i="36"/>
  <c r="W40" i="36"/>
  <c r="X40" i="36"/>
  <c r="Y40" i="36"/>
  <c r="Z40" i="36"/>
  <c r="U40" i="36"/>
  <c r="S40" i="17"/>
  <c r="R40" i="17"/>
  <c r="T33" i="12"/>
  <c r="S33" i="12"/>
  <c r="U40" i="28"/>
  <c r="T40" i="28"/>
  <c r="R48" i="61"/>
  <c r="S47" i="61"/>
  <c r="S48" i="61"/>
  <c r="L32" i="54" l="1"/>
  <c r="M32" i="54"/>
  <c r="N32" i="54"/>
  <c r="L33" i="54"/>
  <c r="P32" i="54"/>
  <c r="O32" i="54"/>
  <c r="S41" i="17"/>
  <c r="R41" i="17"/>
  <c r="X41" i="36"/>
  <c r="W41" i="36"/>
  <c r="U41" i="36"/>
  <c r="V41" i="36"/>
  <c r="Z41" i="36"/>
  <c r="Y41" i="36"/>
  <c r="R41" i="22"/>
  <c r="S41" i="22"/>
  <c r="T34" i="12"/>
  <c r="S34" i="12"/>
  <c r="U41" i="28"/>
  <c r="T41" i="28"/>
  <c r="R49" i="61"/>
  <c r="S49" i="61"/>
  <c r="P33" i="54" l="1"/>
  <c r="O33" i="54"/>
  <c r="N33" i="54"/>
  <c r="P34" i="54"/>
  <c r="Q33" i="54"/>
  <c r="M33" i="54"/>
  <c r="S42" i="17"/>
  <c r="R42" i="17"/>
  <c r="U42" i="36"/>
  <c r="W42" i="36"/>
  <c r="V42" i="36"/>
  <c r="X42" i="36"/>
  <c r="Z42" i="36"/>
  <c r="Y42" i="36"/>
  <c r="S42" i="22"/>
  <c r="R42" i="22"/>
  <c r="S35" i="12"/>
  <c r="T35" i="12"/>
  <c r="U42" i="28"/>
  <c r="T42" i="28"/>
  <c r="R50" i="61"/>
  <c r="S50" i="61"/>
  <c r="O34" i="54" l="1"/>
  <c r="N34" i="54"/>
  <c r="M34" i="54"/>
  <c r="N35" i="54"/>
  <c r="L34" i="54"/>
  <c r="Q34" i="54"/>
  <c r="S43" i="17"/>
  <c r="R43" i="17"/>
  <c r="S43" i="22"/>
  <c r="R43" i="22"/>
  <c r="X43" i="36"/>
  <c r="W43" i="36"/>
  <c r="Y43" i="36"/>
  <c r="V43" i="36"/>
  <c r="U43" i="36"/>
  <c r="Z43" i="36"/>
  <c r="T36" i="12"/>
  <c r="S36" i="12"/>
  <c r="T43" i="28"/>
  <c r="U43" i="28"/>
  <c r="R51" i="61"/>
  <c r="S51" i="61"/>
  <c r="P35" i="54" l="1"/>
  <c r="M35" i="54"/>
  <c r="L35" i="54"/>
  <c r="Q35" i="54"/>
  <c r="M36" i="54"/>
  <c r="O35" i="54"/>
  <c r="U44" i="36"/>
  <c r="W44" i="36"/>
  <c r="V44" i="36"/>
  <c r="X44" i="36"/>
  <c r="Z44" i="36"/>
  <c r="Y44" i="36"/>
  <c r="S44" i="17"/>
  <c r="R44" i="17"/>
  <c r="S44" i="22"/>
  <c r="R44" i="22"/>
  <c r="T37" i="12"/>
  <c r="S37" i="12"/>
  <c r="U44" i="28"/>
  <c r="T44" i="28"/>
  <c r="R52" i="61"/>
  <c r="S52" i="61"/>
  <c r="L36" i="54" l="1"/>
  <c r="N36" i="54"/>
  <c r="L37" i="54"/>
  <c r="O36" i="54"/>
  <c r="Q36" i="54"/>
  <c r="P36" i="54"/>
  <c r="S45" i="22"/>
  <c r="R45" i="22"/>
  <c r="R45" i="17"/>
  <c r="S45" i="17"/>
  <c r="X45" i="36"/>
  <c r="V45" i="36"/>
  <c r="U45" i="36"/>
  <c r="Z45" i="36"/>
  <c r="Y45" i="36"/>
  <c r="W45" i="36"/>
  <c r="T38" i="12"/>
  <c r="S38" i="12"/>
  <c r="U45" i="28"/>
  <c r="T45" i="28"/>
  <c r="Q37" i="54" l="1"/>
  <c r="P37" i="54"/>
  <c r="O37" i="54"/>
  <c r="M37" i="54"/>
  <c r="N37" i="54"/>
  <c r="Q38" i="54"/>
  <c r="W46" i="36"/>
  <c r="X46" i="36"/>
  <c r="Y46" i="36"/>
  <c r="Z46" i="36"/>
  <c r="V46" i="36"/>
  <c r="U46" i="36"/>
  <c r="S46" i="17"/>
  <c r="R46" i="17"/>
  <c r="R46" i="22"/>
  <c r="S46" i="22"/>
  <c r="S39" i="12"/>
  <c r="T39" i="12"/>
  <c r="T46" i="28"/>
  <c r="U46" i="28"/>
  <c r="M38" i="54" l="1"/>
  <c r="O38" i="54"/>
  <c r="L38" i="54"/>
  <c r="P38" i="54"/>
  <c r="N38" i="54"/>
  <c r="R47" i="17"/>
  <c r="S47" i="17"/>
  <c r="S47" i="22"/>
  <c r="R47" i="22"/>
  <c r="V47" i="36"/>
  <c r="X47" i="36"/>
  <c r="W47" i="36"/>
  <c r="U47" i="36"/>
  <c r="Z47" i="36"/>
  <c r="Y47" i="36"/>
  <c r="T40" i="12"/>
  <c r="S40" i="12"/>
  <c r="M39" i="54"/>
  <c r="N39" i="54"/>
  <c r="P39" i="54"/>
  <c r="O39" i="54"/>
  <c r="Q39" i="54"/>
  <c r="L39" i="54"/>
  <c r="U47" i="28"/>
  <c r="T47" i="28"/>
  <c r="S48" i="22" l="1"/>
  <c r="R48" i="22"/>
  <c r="R48" i="17"/>
  <c r="S48" i="17"/>
  <c r="X48" i="36"/>
  <c r="W48" i="36"/>
  <c r="Z48" i="36"/>
  <c r="U48" i="36"/>
  <c r="V48" i="36"/>
  <c r="Y48" i="36"/>
  <c r="T41" i="12"/>
  <c r="S41" i="12"/>
  <c r="P40" i="54"/>
  <c r="M40" i="54"/>
  <c r="N40" i="54"/>
  <c r="O40" i="54"/>
  <c r="L40" i="54"/>
  <c r="Q40" i="54"/>
  <c r="U48" i="28"/>
  <c r="T48" i="28"/>
  <c r="U49" i="36" l="1"/>
  <c r="X49" i="36"/>
  <c r="W49" i="36"/>
  <c r="V49" i="36"/>
  <c r="Z49" i="36"/>
  <c r="Y49" i="36"/>
  <c r="R49" i="17"/>
  <c r="S49" i="17"/>
  <c r="R49" i="22"/>
  <c r="S49" i="22"/>
  <c r="T42" i="12"/>
  <c r="S42" i="12"/>
  <c r="Q41" i="54"/>
  <c r="L41" i="54"/>
  <c r="M41" i="54"/>
  <c r="N41" i="54"/>
  <c r="O41" i="54"/>
  <c r="P41" i="54"/>
  <c r="U49" i="28"/>
  <c r="T49" i="28"/>
  <c r="S58" i="61"/>
  <c r="S59" i="61" l="1"/>
  <c r="S50" i="22"/>
  <c r="R50" i="22"/>
  <c r="W50" i="36"/>
  <c r="V50" i="36"/>
  <c r="U50" i="36"/>
  <c r="Z50" i="36"/>
  <c r="Y50" i="36"/>
  <c r="X50" i="36"/>
  <c r="R50" i="17"/>
  <c r="S50" i="17"/>
  <c r="S43" i="12"/>
  <c r="T43" i="12"/>
  <c r="M42" i="54"/>
  <c r="N42" i="54"/>
  <c r="O42" i="54"/>
  <c r="Q42" i="54"/>
  <c r="P42" i="54"/>
  <c r="L42" i="54"/>
  <c r="U50" i="28"/>
  <c r="T50" i="28"/>
  <c r="R58" i="61"/>
  <c r="R59" i="61" l="1"/>
  <c r="S60" i="61"/>
  <c r="R51" i="17"/>
  <c r="S51" i="17"/>
  <c r="U51" i="36"/>
  <c r="V51" i="36"/>
  <c r="Z51" i="36"/>
  <c r="X51" i="36"/>
  <c r="W51" i="36"/>
  <c r="Y51" i="36"/>
  <c r="R51" i="22"/>
  <c r="S51" i="22"/>
  <c r="T44" i="12"/>
  <c r="S44" i="12"/>
  <c r="L43" i="54"/>
  <c r="M43" i="54"/>
  <c r="O43" i="54"/>
  <c r="N43" i="54"/>
  <c r="P43" i="54"/>
  <c r="Q43" i="54"/>
  <c r="U51" i="28"/>
  <c r="T51" i="28"/>
  <c r="R60" i="61" l="1"/>
  <c r="S61" i="61"/>
  <c r="V52" i="36"/>
  <c r="U52" i="36"/>
  <c r="Z52" i="36"/>
  <c r="Y52" i="36"/>
  <c r="W52" i="36"/>
  <c r="X52" i="36"/>
  <c r="S52" i="22"/>
  <c r="R52" i="22"/>
  <c r="S52" i="17"/>
  <c r="R52" i="17"/>
  <c r="S45" i="12"/>
  <c r="T45" i="12"/>
  <c r="L44" i="54"/>
  <c r="N44" i="54"/>
  <c r="O44" i="54"/>
  <c r="M44" i="54"/>
  <c r="Q44" i="54"/>
  <c r="P44" i="54"/>
  <c r="T52" i="28"/>
  <c r="U52" i="28"/>
  <c r="R61" i="61" l="1"/>
  <c r="S53" i="17"/>
  <c r="R53" i="17"/>
  <c r="Z53" i="36"/>
  <c r="U53" i="36"/>
  <c r="Y53" i="36"/>
  <c r="X53" i="36"/>
  <c r="W53" i="36"/>
  <c r="V53" i="36"/>
  <c r="T46" i="12"/>
  <c r="S46" i="12"/>
  <c r="S54" i="17" l="1"/>
  <c r="R54" i="17"/>
  <c r="Z54" i="36"/>
  <c r="V54" i="36"/>
  <c r="U54" i="36"/>
  <c r="X54" i="36"/>
  <c r="Y54" i="36"/>
  <c r="W54" i="36"/>
  <c r="T47" i="12"/>
  <c r="S47" i="12"/>
  <c r="U55" i="36" l="1"/>
  <c r="Y55" i="36"/>
  <c r="V55" i="36"/>
  <c r="Z55" i="36"/>
  <c r="X55" i="36"/>
  <c r="W55" i="36"/>
  <c r="N48" i="54"/>
  <c r="Q48" i="54"/>
  <c r="O48" i="54"/>
  <c r="P48" i="54"/>
  <c r="L48" i="54"/>
  <c r="M48" i="54"/>
  <c r="U56" i="36" l="1"/>
  <c r="V56" i="36"/>
  <c r="Y56" i="36"/>
  <c r="X56" i="36"/>
  <c r="W56" i="36"/>
  <c r="Z56" i="36"/>
  <c r="T50" i="12"/>
  <c r="S50" i="12"/>
  <c r="Q49" i="54"/>
  <c r="L49" i="54"/>
  <c r="M49" i="54"/>
  <c r="N49" i="54"/>
  <c r="O49" i="54"/>
  <c r="P49" i="54"/>
  <c r="S58" i="17" l="1"/>
  <c r="R58" i="17"/>
  <c r="S58" i="22"/>
  <c r="R58" i="22"/>
  <c r="T51" i="12"/>
  <c r="S51" i="12"/>
  <c r="P50" i="54"/>
  <c r="L50" i="54"/>
  <c r="O50" i="54"/>
  <c r="N50" i="54"/>
  <c r="M50" i="54"/>
  <c r="Q50" i="54"/>
  <c r="U58" i="28"/>
  <c r="T58" i="28"/>
  <c r="R59" i="17" l="1"/>
  <c r="S59" i="17"/>
  <c r="R59" i="22"/>
  <c r="S59" i="22"/>
  <c r="V59" i="36"/>
  <c r="U59" i="36"/>
  <c r="Z59" i="36"/>
  <c r="Y59" i="36"/>
  <c r="X59" i="36"/>
  <c r="W59" i="36"/>
  <c r="S52" i="12"/>
  <c r="T52" i="12"/>
  <c r="Q51" i="54"/>
  <c r="L51" i="54"/>
  <c r="N51" i="54"/>
  <c r="M51" i="54"/>
  <c r="O51" i="54"/>
  <c r="P51" i="54"/>
  <c r="U59" i="28"/>
  <c r="T59" i="28"/>
  <c r="S60" i="22" l="1"/>
  <c r="R60" i="22"/>
  <c r="U60" i="36"/>
  <c r="Z60" i="36"/>
  <c r="X60" i="36"/>
  <c r="Y60" i="36"/>
  <c r="W60" i="36"/>
  <c r="V60" i="36"/>
  <c r="R60" i="17"/>
  <c r="S60" i="17"/>
  <c r="S53" i="12"/>
  <c r="T53" i="12"/>
  <c r="Q52" i="54"/>
  <c r="L52" i="54"/>
  <c r="N52" i="54"/>
  <c r="O52" i="54"/>
  <c r="M52" i="54"/>
  <c r="P52" i="54"/>
  <c r="U60" i="28"/>
  <c r="T60" i="28"/>
  <c r="S61" i="17" l="1"/>
  <c r="R61" i="17"/>
  <c r="R61" i="22"/>
  <c r="S61" i="22"/>
  <c r="Y61" i="36"/>
  <c r="V61" i="36"/>
  <c r="U61" i="36"/>
  <c r="X61" i="36"/>
  <c r="W61" i="36"/>
  <c r="Z61" i="36"/>
  <c r="S54" i="12"/>
  <c r="T54" i="12"/>
  <c r="T61" i="28"/>
  <c r="U61" i="28"/>
  <c r="Y62" i="36" l="1"/>
  <c r="X62" i="36"/>
  <c r="U62" i="36"/>
  <c r="V62" i="36"/>
  <c r="W62" i="36"/>
  <c r="Z62" i="36"/>
  <c r="S62" i="56"/>
  <c r="W62" i="56" s="1"/>
  <c r="S68" i="56"/>
  <c r="V68" i="56" s="1"/>
  <c r="S65" i="56"/>
  <c r="Y65" i="56" s="1"/>
  <c r="S61" i="56"/>
  <c r="T61" i="56" s="1"/>
  <c r="S67" i="56"/>
  <c r="U67" i="56" s="1"/>
  <c r="S66" i="56"/>
  <c r="V66" i="56" s="1"/>
  <c r="S64" i="56"/>
  <c r="T64" i="56" s="1"/>
  <c r="S63" i="56"/>
  <c r="X63" i="56" s="1"/>
  <c r="S59" i="56"/>
  <c r="Y59" i="56" s="1"/>
  <c r="S60" i="56"/>
  <c r="U60" i="56" s="1"/>
  <c r="X64" i="56" l="1"/>
  <c r="Y60" i="56"/>
  <c r="W67" i="56"/>
  <c r="W63" i="56"/>
  <c r="Y67" i="56"/>
  <c r="Y68" i="56"/>
  <c r="T63" i="56"/>
  <c r="X67" i="56"/>
  <c r="Y63" i="56"/>
  <c r="V67" i="56"/>
  <c r="X62" i="56"/>
  <c r="T67" i="56"/>
  <c r="U68" i="56"/>
  <c r="Y61" i="56"/>
  <c r="W59" i="56"/>
  <c r="U61" i="56"/>
  <c r="W68" i="56"/>
  <c r="W65" i="56"/>
  <c r="T62" i="56"/>
  <c r="X60" i="56"/>
  <c r="Y62" i="56"/>
  <c r="V60" i="56"/>
  <c r="V64" i="56"/>
  <c r="V61" i="56"/>
  <c r="X68" i="56"/>
  <c r="U62" i="56"/>
  <c r="W60" i="56"/>
  <c r="T68" i="56"/>
  <c r="U59" i="56"/>
  <c r="Y66" i="56"/>
  <c r="W64" i="56"/>
  <c r="T65" i="56"/>
  <c r="T59" i="56"/>
  <c r="T60" i="56"/>
  <c r="V63" i="56"/>
  <c r="U66" i="56"/>
  <c r="W61" i="56"/>
  <c r="X65" i="56"/>
  <c r="V62" i="56"/>
  <c r="X59" i="56"/>
  <c r="X61" i="56"/>
  <c r="V59" i="56"/>
  <c r="T66" i="56"/>
  <c r="V65" i="56"/>
  <c r="U64" i="56"/>
  <c r="W66" i="56"/>
  <c r="U65" i="56"/>
  <c r="U63" i="56"/>
  <c r="Y64" i="56"/>
  <c r="X66" i="56"/>
  <c r="M38" i="71" l="1"/>
  <c r="H67" i="71" s="1"/>
  <c r="M39" i="71"/>
  <c r="H57" i="71" l="1"/>
  <c r="H63" i="71"/>
  <c r="H59" i="71"/>
  <c r="F61" i="71"/>
  <c r="H62" i="71"/>
  <c r="H65" i="71"/>
  <c r="F66" i="71"/>
  <c r="F62" i="71"/>
  <c r="H58" i="71"/>
  <c r="F63" i="71"/>
  <c r="F65" i="71"/>
  <c r="F60" i="71"/>
  <c r="H64" i="71"/>
  <c r="F59" i="71"/>
  <c r="H60" i="71"/>
  <c r="H61" i="71"/>
  <c r="F64" i="71"/>
  <c r="F58" i="71"/>
  <c r="H66" i="71"/>
  <c r="F57" i="71"/>
  <c r="M87" i="52"/>
  <c r="Z40" i="52"/>
  <c r="AA40" i="52" s="1"/>
  <c r="Z12" i="52"/>
  <c r="AA12" i="52" s="1"/>
  <c r="Z20" i="52"/>
  <c r="AB20" i="52" s="1"/>
  <c r="Z15" i="52"/>
  <c r="AB15" i="52" s="1"/>
  <c r="Z37" i="52"/>
  <c r="AB37" i="52" s="1"/>
  <c r="Z64" i="52"/>
  <c r="AA64" i="52" s="1"/>
  <c r="Z13" i="52"/>
  <c r="AA13" i="52" s="1"/>
  <c r="Z70" i="52"/>
  <c r="AA70" i="52" s="1"/>
  <c r="AB70" i="52"/>
  <c r="Z39" i="52"/>
  <c r="AA39" i="52" s="1"/>
  <c r="Z62" i="52"/>
  <c r="AA62" i="52" s="1"/>
  <c r="Z38" i="52"/>
  <c r="AA38" i="52" s="1"/>
  <c r="Z18" i="52"/>
  <c r="AB18" i="52" s="1"/>
  <c r="Z36" i="52"/>
  <c r="AB36" i="52" s="1"/>
  <c r="Z61" i="52"/>
  <c r="AB61" i="52" s="1"/>
  <c r="Z63" i="52"/>
  <c r="AA63" i="52" s="1"/>
  <c r="Z19" i="52"/>
  <c r="AB19" i="52" s="1"/>
  <c r="Z66" i="52"/>
  <c r="AA66" i="52" s="1"/>
  <c r="Z45" i="52"/>
  <c r="AB45" i="52" s="1"/>
  <c r="Z44" i="52"/>
  <c r="AA44" i="52" s="1"/>
  <c r="Z65" i="52"/>
  <c r="AA65" i="52" s="1"/>
  <c r="Z69" i="52"/>
  <c r="AB69" i="52" s="1"/>
  <c r="Z42" i="52"/>
  <c r="AB42" i="52" s="1"/>
  <c r="Z14" i="52"/>
  <c r="AB14" i="52" s="1"/>
  <c r="Z16" i="52"/>
  <c r="AA16" i="52" s="1"/>
  <c r="Z17" i="52"/>
  <c r="AB17" i="52" s="1"/>
  <c r="Z11" i="52"/>
  <c r="AB11" i="52" s="1"/>
  <c r="Z67" i="52"/>
  <c r="AB67" i="52" s="1"/>
  <c r="Z43" i="52"/>
  <c r="AB43" i="52" s="1"/>
  <c r="Z68" i="52"/>
  <c r="AA68" i="52" s="1"/>
  <c r="Z41" i="52"/>
  <c r="AA41" i="52" s="1"/>
  <c r="AA19" i="52" l="1"/>
  <c r="I66" i="71"/>
  <c r="AA43" i="52"/>
  <c r="AB16" i="52"/>
  <c r="I65" i="71"/>
  <c r="I61" i="71"/>
  <c r="I62" i="71"/>
  <c r="I63" i="71"/>
  <c r="I60" i="71"/>
  <c r="I58" i="71"/>
  <c r="I67" i="71"/>
  <c r="I64" i="71"/>
  <c r="I59" i="71"/>
  <c r="I57" i="71"/>
  <c r="AB65" i="52"/>
  <c r="AB44" i="52"/>
  <c r="AA45" i="52"/>
  <c r="AA20" i="52"/>
  <c r="AA18" i="52"/>
  <c r="AA11" i="52"/>
  <c r="AA69" i="52"/>
  <c r="AA36" i="52"/>
  <c r="AB39" i="52"/>
  <c r="AB13" i="52"/>
  <c r="AA42" i="52"/>
  <c r="AA61" i="52"/>
  <c r="AA37" i="52"/>
  <c r="AB41" i="52"/>
  <c r="AB68" i="52"/>
  <c r="AA67" i="52"/>
  <c r="AA17" i="52"/>
  <c r="AA14" i="52"/>
  <c r="AB66" i="52"/>
  <c r="AB63" i="52"/>
  <c r="AB38" i="52"/>
  <c r="AB64" i="52"/>
  <c r="AA15" i="52"/>
  <c r="AB40" i="52"/>
  <c r="AB62" i="52"/>
  <c r="AB12" i="52"/>
  <c r="AD37" i="52"/>
  <c r="L87" i="52"/>
  <c r="D39" i="42" l="1"/>
  <c r="E39" i="42" s="1"/>
  <c r="F39" i="42" s="1"/>
  <c r="AG77" i="51"/>
  <c r="AH78" i="51"/>
  <c r="G39" i="42"/>
  <c r="AI77" i="62"/>
  <c r="AJ78" i="62"/>
  <c r="AJ79" i="62"/>
  <c r="AG79" i="51"/>
  <c r="AI79" i="62"/>
  <c r="AH77" i="51"/>
  <c r="AH77" i="62"/>
  <c r="AH78" i="62"/>
  <c r="AG78" i="51"/>
  <c r="AJ77" i="62"/>
  <c r="AG77" i="62"/>
  <c r="AH79" i="51"/>
  <c r="AG79" i="62"/>
  <c r="AG78" i="62"/>
  <c r="AH79" i="62"/>
  <c r="AI78" i="62"/>
  <c r="AF79" i="51"/>
  <c r="G37" i="42"/>
  <c r="D37" i="42"/>
  <c r="G72" i="49"/>
  <c r="D38" i="42"/>
  <c r="E38" i="42" s="1"/>
  <c r="F38" i="42" s="1"/>
  <c r="AE77" i="51"/>
  <c r="AE78" i="51"/>
  <c r="G38" i="42"/>
  <c r="AE79" i="51"/>
  <c r="G73" i="49"/>
  <c r="AF77" i="51"/>
  <c r="G71" i="49"/>
  <c r="I72" i="49"/>
  <c r="Q154" i="49" s="1"/>
  <c r="AF78" i="51"/>
  <c r="AC79" i="51"/>
  <c r="G36" i="42"/>
  <c r="AE78" i="62"/>
  <c r="C72" i="49" s="1"/>
  <c r="AD78" i="51"/>
  <c r="AC77" i="51"/>
  <c r="AF77" i="62"/>
  <c r="AD79" i="51"/>
  <c r="AC78" i="51"/>
  <c r="AE79" i="62"/>
  <c r="C73" i="49" s="1"/>
  <c r="AE77" i="62"/>
  <c r="AD77" i="51"/>
  <c r="AF79" i="62"/>
  <c r="AF78" i="62"/>
  <c r="D36" i="42"/>
  <c r="E36" i="42" s="1"/>
  <c r="F36" i="42" s="1"/>
  <c r="AJ37" i="52"/>
  <c r="AI37" i="52"/>
  <c r="AK37" i="52"/>
  <c r="AH37" i="52"/>
  <c r="AF37" i="52"/>
  <c r="AG37" i="52"/>
  <c r="AD38" i="52"/>
  <c r="AM37" i="52"/>
  <c r="AE37" i="52"/>
  <c r="AL37" i="52"/>
  <c r="A87" i="52"/>
  <c r="AD79" i="62"/>
  <c r="G32" i="42"/>
  <c r="G26" i="42"/>
  <c r="G18" i="42"/>
  <c r="G28" i="42"/>
  <c r="Y77" i="51"/>
  <c r="AC79" i="62"/>
  <c r="G19" i="42"/>
  <c r="D18" i="42"/>
  <c r="G21" i="42"/>
  <c r="G22" i="42"/>
  <c r="AB79" i="51"/>
  <c r="AD77" i="62"/>
  <c r="D19" i="42"/>
  <c r="D26" i="42"/>
  <c r="G20" i="42"/>
  <c r="G25" i="42"/>
  <c r="AB78" i="51"/>
  <c r="AD78" i="62"/>
  <c r="D34" i="42"/>
  <c r="G23" i="42"/>
  <c r="D24" i="42"/>
  <c r="D28" i="42"/>
  <c r="AA77" i="51"/>
  <c r="D35" i="42"/>
  <c r="E35" i="42" s="1"/>
  <c r="F35" i="42" s="1"/>
  <c r="D32" i="42"/>
  <c r="G24" i="42"/>
  <c r="D23" i="42"/>
  <c r="D25" i="42"/>
  <c r="Z77" i="51"/>
  <c r="AA78" i="51"/>
  <c r="D33" i="42"/>
  <c r="D31" i="42"/>
  <c r="G31" i="42"/>
  <c r="D21" i="42"/>
  <c r="G34" i="42"/>
  <c r="AA79" i="51"/>
  <c r="Y79" i="51"/>
  <c r="AC77" i="62"/>
  <c r="D22" i="42"/>
  <c r="G27" i="42"/>
  <c r="D27" i="42"/>
  <c r="D20" i="42"/>
  <c r="G29" i="42"/>
  <c r="Z79" i="51"/>
  <c r="AB77" i="51"/>
  <c r="AC78" i="62"/>
  <c r="G35" i="42"/>
  <c r="G30" i="42"/>
  <c r="D30" i="42"/>
  <c r="G33" i="42"/>
  <c r="D29" i="42"/>
  <c r="Y78" i="51"/>
  <c r="Z78" i="51"/>
  <c r="X79" i="51"/>
  <c r="G78" i="51"/>
  <c r="J78" i="51"/>
  <c r="E78" i="62"/>
  <c r="Q77" i="51"/>
  <c r="D79" i="51"/>
  <c r="I77" i="62"/>
  <c r="S79" i="51"/>
  <c r="H78" i="62"/>
  <c r="V78" i="62"/>
  <c r="N78" i="62"/>
  <c r="T79" i="51"/>
  <c r="L78" i="62"/>
  <c r="Z78" i="62"/>
  <c r="G77" i="51"/>
  <c r="AA79" i="62"/>
  <c r="T78" i="62"/>
  <c r="O77" i="62"/>
  <c r="P79" i="51"/>
  <c r="I78" i="51"/>
  <c r="Q79" i="62"/>
  <c r="S77" i="51"/>
  <c r="O79" i="51"/>
  <c r="V79" i="51"/>
  <c r="K77" i="51"/>
  <c r="R78" i="62"/>
  <c r="S78" i="62"/>
  <c r="I77" i="51"/>
  <c r="S78" i="51"/>
  <c r="M78" i="62"/>
  <c r="Q78" i="51"/>
  <c r="H79" i="51"/>
  <c r="N78" i="51"/>
  <c r="K78" i="62"/>
  <c r="U78" i="51"/>
  <c r="J78" i="62"/>
  <c r="U79" i="51"/>
  <c r="Q79" i="51"/>
  <c r="K77" i="62"/>
  <c r="U78" i="62"/>
  <c r="P78" i="62"/>
  <c r="U77" i="62"/>
  <c r="O77" i="51"/>
  <c r="I79" i="62"/>
  <c r="Y77" i="62"/>
  <c r="O78" i="51"/>
  <c r="C79" i="51"/>
  <c r="W78" i="51"/>
  <c r="W77" i="51"/>
  <c r="W78" i="62"/>
  <c r="X78" i="62"/>
  <c r="W77" i="62"/>
  <c r="C77" i="51"/>
  <c r="N79" i="51"/>
  <c r="W79" i="51"/>
  <c r="Y79" i="62"/>
  <c r="T78" i="51"/>
  <c r="Q77" i="62"/>
  <c r="R79" i="51"/>
  <c r="G79" i="62"/>
  <c r="Q78" i="62"/>
  <c r="F79" i="62"/>
  <c r="K79" i="62"/>
  <c r="E77" i="62"/>
  <c r="U77" i="51"/>
  <c r="AA77" i="62"/>
  <c r="M77" i="51"/>
  <c r="S77" i="62"/>
  <c r="K78" i="51"/>
  <c r="AA78" i="62"/>
  <c r="M79" i="51"/>
  <c r="E79" i="62"/>
  <c r="R78" i="51"/>
  <c r="M79" i="62"/>
  <c r="O79" i="62"/>
  <c r="G77" i="62"/>
  <c r="G78" i="62"/>
  <c r="W79" i="62"/>
  <c r="P78" i="51"/>
  <c r="G79" i="51"/>
  <c r="D78" i="51"/>
  <c r="AB78" i="62"/>
  <c r="I79" i="51"/>
  <c r="L78" i="51"/>
  <c r="K79" i="51"/>
  <c r="U79" i="62"/>
  <c r="Y78" i="62"/>
  <c r="F78" i="62"/>
  <c r="C78" i="51"/>
  <c r="I78" i="62"/>
  <c r="L79" i="51"/>
  <c r="X78" i="51"/>
  <c r="H78" i="51"/>
  <c r="M77" i="62"/>
  <c r="V78" i="51"/>
  <c r="S79" i="62"/>
  <c r="O78" i="62"/>
  <c r="J79" i="51"/>
  <c r="M78" i="51"/>
  <c r="D79" i="62"/>
  <c r="H79" i="62"/>
  <c r="Z79" i="62"/>
  <c r="V77" i="51"/>
  <c r="C79" i="62"/>
  <c r="E79" i="51"/>
  <c r="L77" i="51"/>
  <c r="D77" i="51"/>
  <c r="C77" i="62"/>
  <c r="X77" i="51"/>
  <c r="X79" i="62"/>
  <c r="E78" i="51"/>
  <c r="R77" i="51"/>
  <c r="F79" i="51"/>
  <c r="J77" i="51"/>
  <c r="AB79" i="62"/>
  <c r="N77" i="51"/>
  <c r="F78" i="51"/>
  <c r="E77" i="51"/>
  <c r="C78" i="62"/>
  <c r="H77" i="51"/>
  <c r="V79" i="62"/>
  <c r="P77" i="51"/>
  <c r="T77" i="51"/>
  <c r="D78" i="62"/>
  <c r="F77" i="51"/>
  <c r="F77" i="62"/>
  <c r="V77" i="62"/>
  <c r="AB77" i="62"/>
  <c r="Z77" i="62"/>
  <c r="H77" i="62"/>
  <c r="X77" i="62"/>
  <c r="D77" i="62"/>
  <c r="T77" i="62"/>
  <c r="T79" i="62"/>
  <c r="R79" i="62"/>
  <c r="R77" i="62"/>
  <c r="P77" i="62"/>
  <c r="P79" i="62"/>
  <c r="N77" i="62"/>
  <c r="N79" i="62"/>
  <c r="L79" i="62"/>
  <c r="L77" i="62"/>
  <c r="J79" i="62"/>
  <c r="J77" i="62"/>
  <c r="AK79" i="51" l="1"/>
  <c r="AL79" i="51"/>
  <c r="AK77" i="51"/>
  <c r="AL77" i="51"/>
  <c r="AK78" i="51"/>
  <c r="AL78" i="51"/>
  <c r="AH80" i="51"/>
  <c r="AH95" i="51" s="1"/>
  <c r="H39" i="42"/>
  <c r="K39" i="42" s="1"/>
  <c r="AJ80" i="62"/>
  <c r="AJ93" i="62" s="1"/>
  <c r="AH80" i="62"/>
  <c r="AH95" i="62" s="1"/>
  <c r="AH93" i="62" s="1"/>
  <c r="E72" i="49"/>
  <c r="O154" i="49" s="1"/>
  <c r="E73" i="49"/>
  <c r="O152" i="49" s="1"/>
  <c r="H38" i="42"/>
  <c r="C71" i="49"/>
  <c r="E71" i="49"/>
  <c r="AF80" i="51"/>
  <c r="AF95" i="51" s="1"/>
  <c r="AF93" i="51" s="1"/>
  <c r="E37" i="42"/>
  <c r="F37" i="42" s="1"/>
  <c r="H37" i="42" s="1"/>
  <c r="I71" i="49"/>
  <c r="I73" i="49"/>
  <c r="Q152" i="49" s="1"/>
  <c r="Q21" i="49" s="1"/>
  <c r="AF80" i="62"/>
  <c r="AF95" i="62" s="1"/>
  <c r="AF93" i="62" s="1"/>
  <c r="AD80" i="51"/>
  <c r="AD95" i="51" s="1"/>
  <c r="H36" i="42"/>
  <c r="AD80" i="62"/>
  <c r="AJ38" i="52"/>
  <c r="AM38" i="52"/>
  <c r="AK38" i="52"/>
  <c r="AF38" i="52"/>
  <c r="AE38" i="52"/>
  <c r="AD39" i="52"/>
  <c r="AL38" i="52"/>
  <c r="AI38" i="52"/>
  <c r="AH38" i="52"/>
  <c r="AG38" i="52"/>
  <c r="H35" i="42"/>
  <c r="AB80" i="51"/>
  <c r="AB95" i="51" s="1"/>
  <c r="AB93" i="51" s="1"/>
  <c r="P80" i="51"/>
  <c r="P95" i="51" s="1"/>
  <c r="P93" i="51" s="1"/>
  <c r="Z80" i="51"/>
  <c r="B74" i="42"/>
  <c r="B54" i="42"/>
  <c r="B79" i="42"/>
  <c r="B85" i="42"/>
  <c r="B67" i="42"/>
  <c r="B65" i="42"/>
  <c r="B89" i="42"/>
  <c r="B62" i="42"/>
  <c r="B77" i="42"/>
  <c r="B59" i="42"/>
  <c r="B57" i="42"/>
  <c r="B81" i="42"/>
  <c r="B66" i="42"/>
  <c r="B68" i="42"/>
  <c r="B51" i="42"/>
  <c r="B88" i="42"/>
  <c r="B73" i="42"/>
  <c r="B86" i="42"/>
  <c r="B60" i="42"/>
  <c r="B83" i="42"/>
  <c r="B72" i="42"/>
  <c r="B64" i="42"/>
  <c r="B78" i="42"/>
  <c r="B52" i="42"/>
  <c r="B75" i="42"/>
  <c r="B55" i="42"/>
  <c r="B56" i="42"/>
  <c r="B70" i="42"/>
  <c r="B58" i="42"/>
  <c r="B50" i="42"/>
  <c r="B69" i="42"/>
  <c r="B87" i="42"/>
  <c r="B80" i="42"/>
  <c r="B61" i="42"/>
  <c r="B84" i="42"/>
  <c r="B82" i="42"/>
  <c r="B71" i="42"/>
  <c r="B63" i="42"/>
  <c r="B53" i="42"/>
  <c r="B76" i="42"/>
  <c r="T80" i="51"/>
  <c r="T95" i="51" s="1"/>
  <c r="T93" i="51" s="1"/>
  <c r="J80" i="51"/>
  <c r="J95" i="51" s="1"/>
  <c r="J93" i="51" s="1"/>
  <c r="X80" i="51"/>
  <c r="H80" i="51"/>
  <c r="H95" i="51" s="1"/>
  <c r="H93" i="51" s="1"/>
  <c r="R80" i="51"/>
  <c r="R95" i="51" s="1"/>
  <c r="R93" i="51" s="1"/>
  <c r="E21" i="42"/>
  <c r="F21" i="42" s="1"/>
  <c r="H21" i="42" s="1"/>
  <c r="E32" i="42"/>
  <c r="F32" i="42" s="1"/>
  <c r="H32" i="42" s="1"/>
  <c r="L80" i="62"/>
  <c r="L95" i="62" s="1"/>
  <c r="L93" i="62" s="1"/>
  <c r="V80" i="62"/>
  <c r="V95" i="62" s="1"/>
  <c r="V93" i="62" s="1"/>
  <c r="E22" i="42"/>
  <c r="F22" i="42" s="1"/>
  <c r="H22" i="42" s="1"/>
  <c r="V80" i="51"/>
  <c r="V95" i="51" s="1"/>
  <c r="V93" i="51" s="1"/>
  <c r="H80" i="62"/>
  <c r="H95" i="62" s="1"/>
  <c r="H93" i="62" s="1"/>
  <c r="R80" i="62"/>
  <c r="R95" i="62" s="1"/>
  <c r="R93" i="62" s="1"/>
  <c r="AB80" i="62"/>
  <c r="AB95" i="62" s="1"/>
  <c r="AB93" i="62" s="1"/>
  <c r="E27" i="42"/>
  <c r="F27" i="42" s="1"/>
  <c r="H27" i="42" s="1"/>
  <c r="T80" i="62"/>
  <c r="T95" i="62" s="1"/>
  <c r="T93" i="62" s="1"/>
  <c r="N80" i="51"/>
  <c r="N95" i="51" s="1"/>
  <c r="N93" i="51" s="1"/>
  <c r="E24" i="42"/>
  <c r="F24" i="42" s="1"/>
  <c r="H24" i="42" s="1"/>
  <c r="L80" i="51"/>
  <c r="L95" i="51" s="1"/>
  <c r="L93" i="51" s="1"/>
  <c r="E23" i="42"/>
  <c r="F23" i="42" s="1"/>
  <c r="H23" i="42" s="1"/>
  <c r="P80" i="62"/>
  <c r="P95" i="62" s="1"/>
  <c r="P93" i="62" s="1"/>
  <c r="F80" i="51"/>
  <c r="F95" i="51" s="1"/>
  <c r="F93" i="51" s="1"/>
  <c r="J80" i="62"/>
  <c r="J95" i="62" s="1"/>
  <c r="J93" i="62" s="1"/>
  <c r="D80" i="51"/>
  <c r="E31" i="42"/>
  <c r="F31" i="42" s="1"/>
  <c r="H31" i="42" s="1"/>
  <c r="E18" i="42"/>
  <c r="F18" i="42" s="1"/>
  <c r="H18" i="42" s="1"/>
  <c r="N80" i="62"/>
  <c r="N95" i="62" s="1"/>
  <c r="N93" i="62" s="1"/>
  <c r="D80" i="62"/>
  <c r="E20" i="42"/>
  <c r="F20" i="42" s="1"/>
  <c r="H20" i="42" s="1"/>
  <c r="E28" i="42"/>
  <c r="F28" i="42" s="1"/>
  <c r="H28" i="42" s="1"/>
  <c r="E34" i="42"/>
  <c r="F34" i="42" s="1"/>
  <c r="H34" i="42" s="1"/>
  <c r="Z80" i="62"/>
  <c r="Z95" i="62" s="1"/>
  <c r="Z93" i="62" s="1"/>
  <c r="E19" i="42"/>
  <c r="F19" i="42" s="1"/>
  <c r="H19" i="42" s="1"/>
  <c r="E30" i="42"/>
  <c r="F30" i="42" s="1"/>
  <c r="H30" i="42" s="1"/>
  <c r="F80" i="62"/>
  <c r="F95" i="62" s="1"/>
  <c r="F93" i="62" s="1"/>
  <c r="E26" i="42"/>
  <c r="F26" i="42" s="1"/>
  <c r="H26" i="42" s="1"/>
  <c r="X80" i="62"/>
  <c r="X95" i="62" s="1"/>
  <c r="X93" i="62" s="1"/>
  <c r="E33" i="42"/>
  <c r="F33" i="42" s="1"/>
  <c r="H33" i="42" s="1"/>
  <c r="E25" i="42"/>
  <c r="F25" i="42" s="1"/>
  <c r="H25" i="42" s="1"/>
  <c r="E29" i="42"/>
  <c r="F29" i="42" s="1"/>
  <c r="H29" i="42" s="1"/>
  <c r="O21" i="49" l="1"/>
  <c r="Q15" i="49"/>
  <c r="Q16" i="49"/>
  <c r="O15" i="49"/>
  <c r="O16" i="49"/>
  <c r="E88" i="42"/>
  <c r="C88" i="42"/>
  <c r="E89" i="42"/>
  <c r="C89" i="42"/>
  <c r="I39" i="42"/>
  <c r="AL80" i="51"/>
  <c r="AH93" i="51"/>
  <c r="K38" i="42"/>
  <c r="AD95" i="62"/>
  <c r="AD93" i="62" s="1"/>
  <c r="E74" i="49"/>
  <c r="O26" i="49" s="1"/>
  <c r="E89" i="49"/>
  <c r="O27" i="49" s="1"/>
  <c r="I74" i="49"/>
  <c r="Q26" i="49" s="1"/>
  <c r="I38" i="42"/>
  <c r="K37" i="42"/>
  <c r="I29" i="42"/>
  <c r="I34" i="42"/>
  <c r="I24" i="42"/>
  <c r="I22" i="42"/>
  <c r="X95" i="51"/>
  <c r="X93" i="51" s="1"/>
  <c r="Z95" i="51"/>
  <c r="Z93" i="51" s="1"/>
  <c r="AD93" i="51"/>
  <c r="I30" i="42"/>
  <c r="I33" i="42"/>
  <c r="D95" i="62"/>
  <c r="D93" i="62" s="1"/>
  <c r="D95" i="51"/>
  <c r="D93" i="51" s="1"/>
  <c r="I27" i="42"/>
  <c r="I31" i="42"/>
  <c r="I35" i="42"/>
  <c r="I19" i="42"/>
  <c r="I32" i="42"/>
  <c r="I25" i="42"/>
  <c r="I21" i="42"/>
  <c r="I20" i="42"/>
  <c r="I36" i="42"/>
  <c r="I37" i="42"/>
  <c r="I28" i="42"/>
  <c r="I23" i="42"/>
  <c r="I26" i="42"/>
  <c r="K36" i="42"/>
  <c r="AH39" i="52"/>
  <c r="AK39" i="52"/>
  <c r="AI39" i="52"/>
  <c r="AD40" i="52"/>
  <c r="AJ39" i="52"/>
  <c r="AE39" i="52"/>
  <c r="AL39" i="52"/>
  <c r="AG39" i="52"/>
  <c r="AM39" i="52"/>
  <c r="AF39" i="52"/>
  <c r="K35" i="42"/>
  <c r="E61" i="42"/>
  <c r="D61" i="42"/>
  <c r="C61" i="42"/>
  <c r="C55" i="42"/>
  <c r="E55" i="42"/>
  <c r="D55" i="42"/>
  <c r="D86" i="42"/>
  <c r="E86" i="42"/>
  <c r="C86" i="42"/>
  <c r="E59" i="42"/>
  <c r="D59" i="42"/>
  <c r="C59" i="42"/>
  <c r="C54" i="42"/>
  <c r="E54" i="42"/>
  <c r="D54" i="42"/>
  <c r="D80" i="42"/>
  <c r="C80" i="42"/>
  <c r="E80" i="42"/>
  <c r="E75" i="42"/>
  <c r="D75" i="42"/>
  <c r="C75" i="42"/>
  <c r="D73" i="42"/>
  <c r="C73" i="42"/>
  <c r="C77" i="42"/>
  <c r="D77" i="42"/>
  <c r="E74" i="42"/>
  <c r="D74" i="42"/>
  <c r="C74" i="42"/>
  <c r="E76" i="42"/>
  <c r="D76" i="42"/>
  <c r="C76" i="42"/>
  <c r="E87" i="42"/>
  <c r="D87" i="42"/>
  <c r="C87" i="42"/>
  <c r="E52" i="42"/>
  <c r="D52" i="42"/>
  <c r="C52" i="42"/>
  <c r="D88" i="42"/>
  <c r="C62" i="42"/>
  <c r="E62" i="42"/>
  <c r="D62" i="42"/>
  <c r="E53" i="42"/>
  <c r="D53" i="42"/>
  <c r="C53" i="42"/>
  <c r="E69" i="42"/>
  <c r="D69" i="42"/>
  <c r="C69" i="42"/>
  <c r="D78" i="42"/>
  <c r="C78" i="42"/>
  <c r="E51" i="42"/>
  <c r="D51" i="42"/>
  <c r="C51" i="42"/>
  <c r="D89" i="42"/>
  <c r="E63" i="42"/>
  <c r="D63" i="42"/>
  <c r="C63" i="42"/>
  <c r="E50" i="42"/>
  <c r="D50" i="42"/>
  <c r="C50" i="42"/>
  <c r="E64" i="42"/>
  <c r="D64" i="42"/>
  <c r="C64" i="42"/>
  <c r="E68" i="42"/>
  <c r="D68" i="42"/>
  <c r="C68" i="42"/>
  <c r="E65" i="42"/>
  <c r="D65" i="42"/>
  <c r="C65" i="42"/>
  <c r="E71" i="42"/>
  <c r="D71" i="42"/>
  <c r="C71" i="42"/>
  <c r="E58" i="42"/>
  <c r="D58" i="42"/>
  <c r="C58" i="42"/>
  <c r="D72" i="42"/>
  <c r="C72" i="42"/>
  <c r="D66" i="42"/>
  <c r="C66" i="42"/>
  <c r="E66" i="42"/>
  <c r="E67" i="42"/>
  <c r="D67" i="42"/>
  <c r="C67" i="42"/>
  <c r="C82" i="42"/>
  <c r="E82" i="42"/>
  <c r="D82" i="42"/>
  <c r="C70" i="42"/>
  <c r="D70" i="42"/>
  <c r="E70" i="42"/>
  <c r="D83" i="42"/>
  <c r="C83" i="42"/>
  <c r="E83" i="42"/>
  <c r="E81" i="42"/>
  <c r="D81" i="42"/>
  <c r="C81" i="42"/>
  <c r="E85" i="42"/>
  <c r="D85" i="42"/>
  <c r="C85" i="42"/>
  <c r="E84" i="42"/>
  <c r="D84" i="42"/>
  <c r="C84" i="42"/>
  <c r="E56" i="42"/>
  <c r="D56" i="42"/>
  <c r="C56" i="42"/>
  <c r="E60" i="42"/>
  <c r="D60" i="42"/>
  <c r="C60" i="42"/>
  <c r="E57" i="42"/>
  <c r="D57" i="42"/>
  <c r="C57" i="42"/>
  <c r="E79" i="42"/>
  <c r="D79" i="42"/>
  <c r="C79" i="42"/>
  <c r="K20" i="42"/>
  <c r="K24" i="42"/>
  <c r="K21" i="42"/>
  <c r="K34" i="42"/>
  <c r="K27" i="42"/>
  <c r="K26" i="42"/>
  <c r="K22" i="42"/>
  <c r="K30" i="42"/>
  <c r="K25" i="42"/>
  <c r="I18" i="42"/>
  <c r="K18" i="42"/>
  <c r="K33" i="42"/>
  <c r="K19" i="42"/>
  <c r="K28" i="42"/>
  <c r="K23" i="42"/>
  <c r="K29" i="42"/>
  <c r="K32" i="42"/>
  <c r="K31" i="42"/>
  <c r="AN95" i="62" l="1"/>
  <c r="AN93" i="62" s="1"/>
  <c r="O25" i="49"/>
  <c r="O24" i="49" s="1"/>
  <c r="E87" i="49"/>
  <c r="AD41" i="52"/>
  <c r="AF40" i="52"/>
  <c r="AG40" i="52"/>
  <c r="AJ40" i="52"/>
  <c r="AI40" i="52"/>
  <c r="AM40" i="52"/>
  <c r="AE40" i="52"/>
  <c r="AH40" i="52"/>
  <c r="AL40" i="52"/>
  <c r="AK40" i="52"/>
  <c r="A60" i="42"/>
  <c r="A83" i="42"/>
  <c r="A76" i="42"/>
  <c r="A80" i="42"/>
  <c r="A72" i="42"/>
  <c r="A77" i="42"/>
  <c r="A75" i="42"/>
  <c r="A70" i="42"/>
  <c r="A54" i="42"/>
  <c r="A86" i="42"/>
  <c r="A57" i="42"/>
  <c r="A68" i="42"/>
  <c r="A53" i="42"/>
  <c r="A89" i="42"/>
  <c r="A84" i="42"/>
  <c r="A66" i="42"/>
  <c r="A71" i="42"/>
  <c r="A63" i="42"/>
  <c r="A73" i="42"/>
  <c r="A78" i="42"/>
  <c r="A52" i="42"/>
  <c r="A55" i="42"/>
  <c r="A64" i="42"/>
  <c r="A62" i="42"/>
  <c r="A74" i="42"/>
  <c r="A59" i="42"/>
  <c r="A85" i="42"/>
  <c r="A79" i="42"/>
  <c r="A67" i="42"/>
  <c r="A65" i="42"/>
  <c r="A69" i="42"/>
  <c r="A87" i="42"/>
  <c r="A56" i="42"/>
  <c r="A58" i="42"/>
  <c r="A50" i="42"/>
  <c r="A61" i="42"/>
  <c r="A81" i="42"/>
  <c r="A82" i="42"/>
  <c r="A51" i="42"/>
  <c r="A88" i="42"/>
  <c r="P21" i="49" l="1"/>
  <c r="P23" i="49"/>
  <c r="P22" i="49"/>
  <c r="P17" i="49"/>
  <c r="P19" i="49"/>
  <c r="P15" i="49"/>
  <c r="P14" i="49"/>
  <c r="P18" i="49"/>
  <c r="P16" i="49"/>
  <c r="P26" i="49"/>
  <c r="P20" i="49"/>
  <c r="AL41" i="52"/>
  <c r="AM41" i="52"/>
  <c r="AE41" i="52"/>
  <c r="AG41" i="52"/>
  <c r="AJ41" i="52"/>
  <c r="AD42" i="52"/>
  <c r="AK41" i="52"/>
  <c r="AI41" i="52"/>
  <c r="AH41" i="52"/>
  <c r="AF41" i="52"/>
  <c r="AK29" i="23"/>
  <c r="U30" i="23"/>
  <c r="AK30" i="23" l="1"/>
  <c r="AK31" i="23" s="1"/>
  <c r="AJ42" i="52"/>
  <c r="AL42" i="52"/>
  <c r="AM42" i="52"/>
  <c r="AI42" i="52"/>
  <c r="AH42" i="52"/>
  <c r="AE42" i="52"/>
  <c r="AG42" i="52"/>
  <c r="AD43" i="52"/>
  <c r="AK42" i="52"/>
  <c r="AF42" i="52"/>
  <c r="U31" i="23"/>
  <c r="AH43" i="52" l="1"/>
  <c r="AJ43" i="52"/>
  <c r="AK43" i="52"/>
  <c r="AG43" i="52"/>
  <c r="AD44" i="52"/>
  <c r="AI43" i="52"/>
  <c r="AF43" i="52"/>
  <c r="AM43" i="52"/>
  <c r="AE43" i="52"/>
  <c r="AL43" i="52"/>
  <c r="AD45" i="52" l="1"/>
  <c r="AF44" i="52"/>
  <c r="AG44" i="52"/>
  <c r="AM44" i="52"/>
  <c r="AE44" i="52"/>
  <c r="AL44" i="52"/>
  <c r="AI44" i="52"/>
  <c r="AK44" i="52"/>
  <c r="AJ44" i="52"/>
  <c r="AH44" i="52"/>
  <c r="AL45" i="52" l="1"/>
  <c r="AM45" i="52"/>
  <c r="AE45" i="52"/>
  <c r="AK45" i="52"/>
  <c r="AI45" i="52"/>
  <c r="AF45" i="52"/>
  <c r="AG45" i="52"/>
  <c r="AJ45" i="52"/>
  <c r="AH45" i="52"/>
  <c r="AD46" i="52"/>
  <c r="AJ46" i="52" l="1"/>
  <c r="AL46" i="52"/>
  <c r="AI46" i="52"/>
  <c r="AK46" i="52"/>
  <c r="AM46" i="52"/>
  <c r="AH46" i="52"/>
  <c r="AG46" i="52"/>
  <c r="AD47" i="52"/>
  <c r="AE46" i="52"/>
  <c r="AF46" i="52"/>
  <c r="AH47" i="52" l="1"/>
  <c r="AJ47" i="52"/>
  <c r="AK47" i="52"/>
  <c r="AG47" i="52"/>
  <c r="AD48" i="52"/>
  <c r="AI47" i="52"/>
  <c r="AF47" i="52"/>
  <c r="AM47" i="52"/>
  <c r="AE47" i="52"/>
  <c r="AL47" i="52"/>
  <c r="AD49" i="52" l="1"/>
  <c r="AF48" i="52"/>
  <c r="AG48" i="52"/>
  <c r="AM48" i="52"/>
  <c r="AE48" i="52"/>
  <c r="AL48" i="52"/>
  <c r="AK48" i="52"/>
  <c r="AJ48" i="52"/>
  <c r="AH48" i="52"/>
  <c r="AI48" i="52"/>
  <c r="AL49" i="52" l="1"/>
  <c r="AM49" i="52"/>
  <c r="AE49" i="52"/>
  <c r="AK49" i="52"/>
  <c r="AJ49" i="52"/>
  <c r="AI49" i="52"/>
  <c r="AH49" i="52"/>
  <c r="AF49" i="52"/>
  <c r="AG49" i="52"/>
  <c r="AD50" i="52"/>
  <c r="AJ50" i="52" l="1"/>
  <c r="AL50" i="52"/>
  <c r="AM50" i="52"/>
  <c r="AK50" i="52"/>
  <c r="AI50" i="52"/>
  <c r="AH50" i="52"/>
  <c r="AG50" i="52"/>
  <c r="AD51" i="52"/>
  <c r="AE50" i="52"/>
  <c r="AF50" i="52"/>
  <c r="AH51" i="52" l="1"/>
  <c r="AJ51" i="52"/>
  <c r="AG51" i="52"/>
  <c r="AI51" i="52"/>
  <c r="AD52" i="52"/>
  <c r="AF51" i="52"/>
  <c r="AK51" i="52"/>
  <c r="AM51" i="52"/>
  <c r="AE51" i="52"/>
  <c r="AL51" i="52"/>
  <c r="AD53" i="52" l="1"/>
  <c r="AD54" i="52" s="1"/>
  <c r="AD55" i="52" s="1"/>
  <c r="AD56" i="52" s="1"/>
  <c r="AD57" i="52" s="1"/>
  <c r="AD58" i="52" s="1"/>
  <c r="AF52" i="52"/>
  <c r="AG52" i="52"/>
  <c r="AM52" i="52"/>
  <c r="AE52" i="52"/>
  <c r="AL52" i="52"/>
  <c r="AI52" i="52"/>
  <c r="AJ52" i="52"/>
  <c r="AH52" i="52"/>
  <c r="AK52" i="52"/>
  <c r="AL53" i="52" l="1"/>
  <c r="AM53" i="52"/>
  <c r="AK53" i="52"/>
  <c r="AE53" i="52"/>
  <c r="AJ53" i="52"/>
  <c r="AG53" i="52"/>
  <c r="AI53" i="52"/>
  <c r="AH53" i="52"/>
  <c r="AF53" i="52"/>
  <c r="AJ54" i="52" l="1"/>
  <c r="AL54" i="52"/>
  <c r="AE54" i="52"/>
  <c r="AK54" i="52"/>
  <c r="AI54" i="52"/>
  <c r="AH54" i="52"/>
  <c r="AM54" i="52"/>
  <c r="AG54" i="52"/>
  <c r="AF54" i="52"/>
  <c r="AH55" i="52" l="1"/>
  <c r="AJ55" i="52"/>
  <c r="AI55" i="52"/>
  <c r="AG55" i="52"/>
  <c r="AF55" i="52"/>
  <c r="AK55" i="52"/>
  <c r="AM55" i="52"/>
  <c r="AE55" i="52"/>
  <c r="AL55" i="52"/>
  <c r="AF56" i="52" l="1"/>
  <c r="AG56" i="52"/>
  <c r="AM56" i="52"/>
  <c r="AE56" i="52"/>
  <c r="AL56" i="52"/>
  <c r="AI56" i="52"/>
  <c r="AK56" i="52"/>
  <c r="AH56" i="52"/>
  <c r="AJ56" i="52"/>
  <c r="AL58" i="52" l="1"/>
  <c r="AM58" i="52"/>
  <c r="AK58" i="52"/>
  <c r="AE58" i="52"/>
  <c r="AJ58" i="52"/>
  <c r="AG58" i="52"/>
  <c r="AI58" i="52"/>
  <c r="AD59" i="52"/>
  <c r="AH58" i="52"/>
  <c r="AF58" i="52"/>
  <c r="AJ59" i="52" l="1"/>
  <c r="AL59" i="52"/>
  <c r="AI59" i="52"/>
  <c r="AK59" i="52"/>
  <c r="AM59" i="52"/>
  <c r="AE59" i="52"/>
  <c r="AG59" i="52"/>
  <c r="AD60" i="52"/>
  <c r="AH59" i="52"/>
  <c r="AF59" i="52"/>
  <c r="AH60" i="52" l="1"/>
  <c r="AJ60" i="52"/>
  <c r="AG60" i="52"/>
  <c r="AI60" i="52"/>
  <c r="AD61" i="52"/>
  <c r="AF60" i="52"/>
  <c r="AK60" i="52"/>
  <c r="AM60" i="52"/>
  <c r="AE60" i="52"/>
  <c r="AL60" i="52"/>
  <c r="AD62" i="52" l="1"/>
  <c r="AF61" i="52"/>
  <c r="AG61" i="52"/>
  <c r="AI61" i="52"/>
  <c r="AM61" i="52"/>
  <c r="AE61" i="52"/>
  <c r="AL61" i="52"/>
  <c r="AK61" i="52"/>
  <c r="AJ61" i="52"/>
  <c r="AH61" i="52"/>
  <c r="AL62" i="52" l="1"/>
  <c r="AG62" i="52"/>
  <c r="AK62" i="52"/>
  <c r="AJ62" i="52"/>
  <c r="AI62" i="52"/>
  <c r="AF62" i="52"/>
  <c r="AE62" i="52"/>
  <c r="AH62" i="52"/>
  <c r="AM62" i="52"/>
  <c r="I89" i="49" l="1"/>
  <c r="I87" i="49" s="1"/>
  <c r="AL95" i="51"/>
  <c r="AL93" i="51" s="1"/>
  <c r="Q27" i="49" l="1"/>
  <c r="Q25" i="49" s="1"/>
  <c r="Q24" i="49" s="1"/>
  <c r="R26" i="49" l="1"/>
  <c r="R17" i="49"/>
  <c r="R16" i="49"/>
  <c r="R15" i="49"/>
  <c r="R22" i="49"/>
  <c r="R18" i="49"/>
  <c r="R14" i="49"/>
  <c r="R23" i="49"/>
  <c r="R21" i="49"/>
  <c r="R19" i="49"/>
  <c r="R20" i="49"/>
  <c r="P25" i="49"/>
  <c r="P24" i="49"/>
  <c r="R25" i="49"/>
  <c r="R24" i="49"/>
</calcChain>
</file>

<file path=xl/comments1.xml><?xml version="1.0" encoding="utf-8"?>
<comments xmlns="http://schemas.openxmlformats.org/spreadsheetml/2006/main">
  <authors>
    <author>Jill GREGORY</author>
    <author>SAMSON, Elliot</author>
    <author>Dept of Minerals and Energy</author>
    <author>Gregory</author>
  </authors>
  <commentList>
    <comment ref="BF7" authorId="0" shapeId="0">
      <text>
        <r>
          <rPr>
            <b/>
            <sz val="10"/>
            <color indexed="81"/>
            <rFont val="Tahoma"/>
            <family val="2"/>
          </rPr>
          <t>Note:  2005 data has been revised.  Revised data is displayed on Historic from 2006 sheet.</t>
        </r>
        <r>
          <rPr>
            <sz val="10"/>
            <color indexed="81"/>
            <rFont val="Tahoma"/>
            <family val="2"/>
          </rPr>
          <t xml:space="preserve">
</t>
        </r>
      </text>
    </comment>
    <comment ref="A12" authorId="1" shapeId="0">
      <text>
        <r>
          <rPr>
            <b/>
            <sz val="9"/>
            <color indexed="81"/>
            <rFont val="Tahoma"/>
            <family val="2"/>
          </rPr>
          <t>Incomplete</t>
        </r>
      </text>
    </comment>
    <comment ref="B34" authorId="2" shapeId="0">
      <text>
        <r>
          <rPr>
            <b/>
            <sz val="8"/>
            <color indexed="81"/>
            <rFont val="Tahoma"/>
            <family val="2"/>
          </rPr>
          <t>Contained metal</t>
        </r>
      </text>
    </comment>
    <comment ref="C34" authorId="2" shapeId="0">
      <text>
        <r>
          <rPr>
            <b/>
            <sz val="8"/>
            <color indexed="81"/>
            <rFont val="Tahoma"/>
            <family val="2"/>
          </rPr>
          <t>Content based on GSWA Mineral Resources Bulletin 13, Page 6</t>
        </r>
      </text>
    </comment>
    <comment ref="D38" authorId="2" shapeId="0">
      <text>
        <r>
          <rPr>
            <b/>
            <sz val="8"/>
            <color indexed="81"/>
            <rFont val="Tahoma"/>
            <family val="2"/>
          </rPr>
          <t>Value included in Lead value</t>
        </r>
      </text>
    </comment>
    <comment ref="A122" authorId="1" shapeId="0">
      <text>
        <r>
          <rPr>
            <b/>
            <sz val="8"/>
            <color indexed="81"/>
            <rFont val="Tahoma"/>
            <family val="2"/>
          </rPr>
          <t>Also known as Synthetic Rutile</t>
        </r>
      </text>
    </comment>
    <comment ref="A176" authorId="2" shapeId="0">
      <text>
        <r>
          <rPr>
            <sz val="8"/>
            <color indexed="81"/>
            <rFont val="Tahoma"/>
            <family val="2"/>
          </rPr>
          <t xml:space="preserve">Minor minerals of low value
</t>
        </r>
      </text>
    </comment>
    <comment ref="D226" authorId="3" shapeId="0">
      <text>
        <r>
          <rPr>
            <sz val="8"/>
            <color indexed="81"/>
            <rFont val="Tahoma"/>
            <family val="2"/>
          </rPr>
          <t>Note that this figure is different from the sum of previously reported Annual Report figures as this includes previously unavailable data for Condensate and Talc.</t>
        </r>
      </text>
    </comment>
  </commentList>
</comments>
</file>

<file path=xl/comments2.xml><?xml version="1.0" encoding="utf-8"?>
<comments xmlns="http://schemas.openxmlformats.org/spreadsheetml/2006/main">
  <authors>
    <author>SAMSON, Elliot</author>
  </authors>
  <commentList>
    <comment ref="A85" authorId="0" shapeId="0">
      <text>
        <r>
          <rPr>
            <b/>
            <sz val="8"/>
            <color indexed="81"/>
            <rFont val="Tahoma"/>
            <family val="2"/>
          </rPr>
          <t>Also known as Synthetic Rutile</t>
        </r>
        <r>
          <rPr>
            <sz val="9"/>
            <color indexed="81"/>
            <rFont val="Tahoma"/>
            <family val="2"/>
          </rPr>
          <t xml:space="preserve">
</t>
        </r>
      </text>
    </comment>
  </commentList>
</comments>
</file>

<file path=xl/sharedStrings.xml><?xml version="1.0" encoding="utf-8"?>
<sst xmlns="http://schemas.openxmlformats.org/spreadsheetml/2006/main" count="8747" uniqueCount="821">
  <si>
    <t>Alumina</t>
  </si>
  <si>
    <t>Gold</t>
  </si>
  <si>
    <t>Iron Ore</t>
  </si>
  <si>
    <t>Nickel</t>
  </si>
  <si>
    <t>Petroleum</t>
  </si>
  <si>
    <t>Uranium</t>
  </si>
  <si>
    <t>Quarter</t>
  </si>
  <si>
    <t>Quantity (Mt)</t>
  </si>
  <si>
    <t>:</t>
  </si>
  <si>
    <t>62% Fines Spot</t>
  </si>
  <si>
    <t xml:space="preserve"> 58% Fines Spot</t>
  </si>
  <si>
    <t>58% Fines Spot</t>
  </si>
  <si>
    <t>CFR China</t>
  </si>
  <si>
    <t>Tapis Crude Oil</t>
  </si>
  <si>
    <t>Sources</t>
  </si>
  <si>
    <t>Source</t>
  </si>
  <si>
    <t>Argentina</t>
  </si>
  <si>
    <t>Bahrain</t>
  </si>
  <si>
    <t>China</t>
  </si>
  <si>
    <t>Egypt</t>
  </si>
  <si>
    <t>France</t>
  </si>
  <si>
    <t>India</t>
  </si>
  <si>
    <t>Indonesia</t>
  </si>
  <si>
    <t>Japan</t>
  </si>
  <si>
    <t>Korea, Republic Of</t>
  </si>
  <si>
    <t>Malaysia</t>
  </si>
  <si>
    <t>Mozambique</t>
  </si>
  <si>
    <t>Netherlands</t>
  </si>
  <si>
    <t>New Zealand</t>
  </si>
  <si>
    <t>Qatar</t>
  </si>
  <si>
    <t>Russian Federation</t>
  </si>
  <si>
    <t>Saudi Arabia</t>
  </si>
  <si>
    <t>South Africa</t>
  </si>
  <si>
    <t>Thailand</t>
  </si>
  <si>
    <t>United Arab Emirates</t>
  </si>
  <si>
    <t>United States</t>
  </si>
  <si>
    <t>Oman</t>
  </si>
  <si>
    <t>Nation</t>
  </si>
  <si>
    <t>Rank</t>
  </si>
  <si>
    <t>Other</t>
  </si>
  <si>
    <t>% Of Total</t>
  </si>
  <si>
    <t>Year</t>
  </si>
  <si>
    <t>Last 10 years</t>
  </si>
  <si>
    <t>Last 10 Quarters</t>
  </si>
  <si>
    <t>Period</t>
  </si>
  <si>
    <t>Price (A$/tonne)</t>
  </si>
  <si>
    <t>Last 5 years</t>
  </si>
  <si>
    <t>Quantity (Kt)</t>
  </si>
  <si>
    <t>Western Australia (Mt)</t>
  </si>
  <si>
    <t>Rest of Australia (Mt)</t>
  </si>
  <si>
    <t>Western Australia (Kt)</t>
  </si>
  <si>
    <t>Rest of Australia (Kt)</t>
  </si>
  <si>
    <t>Nickel Monthly Price</t>
  </si>
  <si>
    <t>Nickel Average Annual Price</t>
  </si>
  <si>
    <t>Belgium</t>
  </si>
  <si>
    <t>Brazil</t>
  </si>
  <si>
    <t>Canada</t>
  </si>
  <si>
    <t>Finland</t>
  </si>
  <si>
    <t>Germany</t>
  </si>
  <si>
    <t>Italy</t>
  </si>
  <si>
    <t>Norway</t>
  </si>
  <si>
    <t>Singapore</t>
  </si>
  <si>
    <t>Sweden</t>
  </si>
  <si>
    <t>United Kingdom</t>
  </si>
  <si>
    <t>Chile</t>
  </si>
  <si>
    <t>Kazakhstan</t>
  </si>
  <si>
    <t>Mexico</t>
  </si>
  <si>
    <t>Pakistan</t>
  </si>
  <si>
    <t>Peru</t>
  </si>
  <si>
    <t>Philippines</t>
  </si>
  <si>
    <t>Spain</t>
  </si>
  <si>
    <t>Turkey</t>
  </si>
  <si>
    <t>Ukraine</t>
  </si>
  <si>
    <t>62% Fines Spot CFR China</t>
  </si>
  <si>
    <t>58% Fines Spot CFR China</t>
  </si>
  <si>
    <t>Uranium Monthly Price</t>
  </si>
  <si>
    <t>Uranium Average Annual Price</t>
  </si>
  <si>
    <t>Avg. Price (US$/lb)</t>
  </si>
  <si>
    <t>Price (US$/lb)</t>
  </si>
  <si>
    <t>Crude Oil</t>
  </si>
  <si>
    <t>Condensate</t>
  </si>
  <si>
    <t>Combined Total</t>
  </si>
  <si>
    <t>Quantity (GL)</t>
  </si>
  <si>
    <t>Tapis Crude Monthly Price</t>
  </si>
  <si>
    <t>Tapis Crude Average Annual Price</t>
  </si>
  <si>
    <t>Western Australia (GL)</t>
  </si>
  <si>
    <t>Rest of Australia (GL)</t>
  </si>
  <si>
    <t>t</t>
  </si>
  <si>
    <t>TOTAL PETROLEUM</t>
  </si>
  <si>
    <t>Mineral Field</t>
  </si>
  <si>
    <t>District</t>
  </si>
  <si>
    <t>Total up to and including 1989</t>
  </si>
  <si>
    <t>Cumulative Total</t>
  </si>
  <si>
    <t>Ashburton</t>
  </si>
  <si>
    <t>Broad Arrow</t>
  </si>
  <si>
    <t>Coolgardie</t>
  </si>
  <si>
    <t>Dundas</t>
  </si>
  <si>
    <t>East Coolgardie</t>
  </si>
  <si>
    <t>East Murchison</t>
  </si>
  <si>
    <t>Gascoyne</t>
  </si>
  <si>
    <t>Kimberley</t>
  </si>
  <si>
    <t>Mt Margaret</t>
  </si>
  <si>
    <t>Murchison</t>
  </si>
  <si>
    <t>North Coolgardie</t>
  </si>
  <si>
    <t>North East Coolgardie</t>
  </si>
  <si>
    <t>Peak Hill</t>
  </si>
  <si>
    <t>Phillips River</t>
  </si>
  <si>
    <t>Pilbara</t>
  </si>
  <si>
    <t>South West</t>
  </si>
  <si>
    <t>West Kimberley</t>
  </si>
  <si>
    <t>West Pilbara</t>
  </si>
  <si>
    <t>Yalgoo</t>
  </si>
  <si>
    <t>Yilgarn</t>
  </si>
  <si>
    <t>State Generally</t>
  </si>
  <si>
    <t>Total</t>
  </si>
  <si>
    <t>oz</t>
  </si>
  <si>
    <t>KG</t>
  </si>
  <si>
    <t>Gigajoules</t>
  </si>
  <si>
    <t>(GJ, 10^9 J)</t>
  </si>
  <si>
    <t>Terrajoules</t>
  </si>
  <si>
    <t>(TJ, 10^12 J)</t>
  </si>
  <si>
    <t xml:space="preserve">Value of WA </t>
  </si>
  <si>
    <t>Domestic Gas Sales</t>
  </si>
  <si>
    <t xml:space="preserve">Cubic Metres </t>
  </si>
  <si>
    <t>Natural Gas</t>
  </si>
  <si>
    <t>Papua New Guinea</t>
  </si>
  <si>
    <t>China Crude Steel Production and Iron Ore Imports</t>
  </si>
  <si>
    <t>Australia</t>
  </si>
  <si>
    <t>Iran</t>
  </si>
  <si>
    <t>Russia</t>
  </si>
  <si>
    <t>Mauritania</t>
  </si>
  <si>
    <t>Mongolia</t>
  </si>
  <si>
    <t>Venezuela</t>
  </si>
  <si>
    <t>Liberia</t>
  </si>
  <si>
    <t>Myanmar</t>
  </si>
  <si>
    <t>UAE</t>
  </si>
  <si>
    <t>Laos</t>
  </si>
  <si>
    <t>Vietnam</t>
  </si>
  <si>
    <t>USA</t>
  </si>
  <si>
    <t>Others</t>
  </si>
  <si>
    <t>Rank by Volume</t>
  </si>
  <si>
    <t>% Of Total by Volume</t>
  </si>
  <si>
    <t>All Others</t>
  </si>
  <si>
    <t>Nickel - Quantity and Value</t>
  </si>
  <si>
    <t>Nickel - Prices</t>
  </si>
  <si>
    <t>Nickel - Exports</t>
  </si>
  <si>
    <t>Gold - Cumulative Production</t>
  </si>
  <si>
    <t>Gold - Quantity and Value</t>
  </si>
  <si>
    <t>Gold - Prices</t>
  </si>
  <si>
    <t>Gold - Exports</t>
  </si>
  <si>
    <t>Iron Ore - Quantity and Value</t>
  </si>
  <si>
    <t>Iron Ore - Prices</t>
  </si>
  <si>
    <t>Iron Ore - Exports</t>
  </si>
  <si>
    <t>1886 to 1980</t>
  </si>
  <si>
    <t>COMMODITY</t>
  </si>
  <si>
    <t>UNIT</t>
  </si>
  <si>
    <t>QUANTITY</t>
  </si>
  <si>
    <t>ALUMINA/BAUXITE</t>
  </si>
  <si>
    <t>Bauxite (Crude Ore) (b)</t>
  </si>
  <si>
    <t>Gallium</t>
  </si>
  <si>
    <t>kg</t>
  </si>
  <si>
    <t>TOTAL ALUMINA/BAUXITE</t>
  </si>
  <si>
    <t>ALUNITE</t>
  </si>
  <si>
    <t>ARSENIC</t>
  </si>
  <si>
    <t>ANTIMONY</t>
  </si>
  <si>
    <t>ASBESTOS</t>
  </si>
  <si>
    <t>Anthophyllite</t>
  </si>
  <si>
    <t>Chrysotile</t>
  </si>
  <si>
    <t>Crocidolite</t>
  </si>
  <si>
    <t>Tremolite</t>
  </si>
  <si>
    <t>TOTAL ASBESTOS</t>
  </si>
  <si>
    <t>BARYTES</t>
  </si>
  <si>
    <t>BASE METALS</t>
  </si>
  <si>
    <t>Copper By-Product</t>
  </si>
  <si>
    <t>Copper Cathode</t>
  </si>
  <si>
    <t>Copper Ore &amp; Concentrates</t>
  </si>
  <si>
    <t>Copper (contained)</t>
  </si>
  <si>
    <t>Cupreous Ore &amp; Concentrates</t>
  </si>
  <si>
    <t>Zinc Ore (Fertiliser)</t>
  </si>
  <si>
    <t>TOTAL BASE METALS</t>
  </si>
  <si>
    <t>BISMUTH</t>
  </si>
  <si>
    <t>CHROMITE</t>
  </si>
  <si>
    <t>CLAYS</t>
  </si>
  <si>
    <t>Alunite</t>
  </si>
  <si>
    <t>Attapulgite</t>
  </si>
  <si>
    <t>Bentonite</t>
  </si>
  <si>
    <t>Cement Clay</t>
  </si>
  <si>
    <t>Clay Shale</t>
  </si>
  <si>
    <t>Fire Clay</t>
  </si>
  <si>
    <t>Fullers Earth</t>
  </si>
  <si>
    <t>Kaolin</t>
  </si>
  <si>
    <t>Saponite</t>
  </si>
  <si>
    <t>White Clay</t>
  </si>
  <si>
    <t>TOTAL CLAYS</t>
  </si>
  <si>
    <t>COAL</t>
  </si>
  <si>
    <t>CONSTRUCTION MATERIALS</t>
  </si>
  <si>
    <t>Sandstone</t>
  </si>
  <si>
    <t>TOTAL CONSTRUCTION MATERIALS</t>
  </si>
  <si>
    <t>DIAMONDS</t>
  </si>
  <si>
    <t>ct</t>
  </si>
  <si>
    <t>DIATOMITE</t>
  </si>
  <si>
    <t>DIMENSION STONE</t>
  </si>
  <si>
    <t>Beryl</t>
  </si>
  <si>
    <t>Black Granite</t>
  </si>
  <si>
    <t>Granite</t>
  </si>
  <si>
    <t>Jasper</t>
  </si>
  <si>
    <t>Lepidolite</t>
  </si>
  <si>
    <t>Marble</t>
  </si>
  <si>
    <t>Quartz</t>
  </si>
  <si>
    <t>Quartzite</t>
  </si>
  <si>
    <t>Slate</t>
  </si>
  <si>
    <t>TOTAL DIMENSION STONE</t>
  </si>
  <si>
    <t>GEM &amp; SEMI-PRECIOUS STONES</t>
  </si>
  <si>
    <t>Amethyst</t>
  </si>
  <si>
    <t>Chalcedony/Mookaite</t>
  </si>
  <si>
    <t>Chrysoprase</t>
  </si>
  <si>
    <t>Dravite</t>
  </si>
  <si>
    <t>Emerald</t>
  </si>
  <si>
    <t>Emerald (Cut and Rough)</t>
  </si>
  <si>
    <t>Magnesite</t>
  </si>
  <si>
    <t>Malachite</t>
  </si>
  <si>
    <t>Moss Opal</t>
  </si>
  <si>
    <t>Opal</t>
  </si>
  <si>
    <t>Opalite</t>
  </si>
  <si>
    <t>Prase</t>
  </si>
  <si>
    <t>Serpentinite</t>
  </si>
  <si>
    <t>Tiger Eye</t>
  </si>
  <si>
    <t>Tourmaline</t>
  </si>
  <si>
    <t>Variscite</t>
  </si>
  <si>
    <t>Zebra Rock</t>
  </si>
  <si>
    <t>TOTAL GEM &amp; SEMI-PRECIOUS STONES</t>
  </si>
  <si>
    <t>GLAUCONITE</t>
  </si>
  <si>
    <t>GOLD</t>
  </si>
  <si>
    <t>GRAPHITE</t>
  </si>
  <si>
    <t>GYPSUM</t>
  </si>
  <si>
    <t>HEAVY MINERAL SANDS</t>
  </si>
  <si>
    <t>n/a</t>
  </si>
  <si>
    <t>Reduced Ilmenite</t>
  </si>
  <si>
    <t>Kyanite</t>
  </si>
  <si>
    <t>Mineral Sands Concentrate</t>
  </si>
  <si>
    <t>Monazite</t>
  </si>
  <si>
    <t>Staurolite</t>
  </si>
  <si>
    <t>Xenotime</t>
  </si>
  <si>
    <t>INDUSTRIAL PEGMATITE MINERALS</t>
  </si>
  <si>
    <t>Feldspar</t>
  </si>
  <si>
    <t>Mica</t>
  </si>
  <si>
    <t>TOTAL INDUSTRIAL PEGMATITE MINERALS</t>
  </si>
  <si>
    <t>IRON ORE</t>
  </si>
  <si>
    <t>Domestic</t>
  </si>
  <si>
    <t>Exported</t>
  </si>
  <si>
    <t>Pellets</t>
  </si>
  <si>
    <t>Pig Iron</t>
  </si>
  <si>
    <t>TOTAL IRON ORE</t>
  </si>
  <si>
    <t>LIMESAND-LIMESTONE-DOLOMITE</t>
  </si>
  <si>
    <t>TOTAL LIMESAND-LIMESTONE-DOLOMITE</t>
  </si>
  <si>
    <t>MAGNESITE</t>
  </si>
  <si>
    <t>MANGANESE ORE</t>
  </si>
  <si>
    <t>MOLYBDENITE</t>
  </si>
  <si>
    <t>NICKEL INDUSTRY</t>
  </si>
  <si>
    <t>TOTAL COBALT</t>
  </si>
  <si>
    <t>Nickel Ore</t>
  </si>
  <si>
    <t>Ruthenium By-Product</t>
  </si>
  <si>
    <t>TOTAL NICKEL INDUSTRY</t>
  </si>
  <si>
    <t>OTHER</t>
  </si>
  <si>
    <t>PEAT</t>
  </si>
  <si>
    <t xml:space="preserve"> </t>
  </si>
  <si>
    <t xml:space="preserve">PETROLEUM </t>
  </si>
  <si>
    <t>kl</t>
  </si>
  <si>
    <t xml:space="preserve">TOTAL PETROLEUM </t>
  </si>
  <si>
    <t>PHOSPHATE</t>
  </si>
  <si>
    <t>PIGMENTS</t>
  </si>
  <si>
    <t>Ochre</t>
  </si>
  <si>
    <t>TOTAL PIGMENTS</t>
  </si>
  <si>
    <t>PYRITES (Gold By-Product)</t>
  </si>
  <si>
    <t>SALT</t>
  </si>
  <si>
    <t>SILICA-SILICA SAND</t>
  </si>
  <si>
    <t>Glass Sand</t>
  </si>
  <si>
    <t>TOTAL SILICA-SILICA SAND</t>
  </si>
  <si>
    <t>SILVER</t>
  </si>
  <si>
    <t>SOAPSTONE</t>
  </si>
  <si>
    <t>SPONGOLITE</t>
  </si>
  <si>
    <t>TALC</t>
  </si>
  <si>
    <t>Petalite</t>
  </si>
  <si>
    <t>TUNGSTEN</t>
  </si>
  <si>
    <t>Scheelite</t>
  </si>
  <si>
    <t>Wolfram</t>
  </si>
  <si>
    <t>TOTAL TUNGSTEN</t>
  </si>
  <si>
    <t>VANADIUM</t>
  </si>
  <si>
    <t>VERMICULITE</t>
  </si>
  <si>
    <t>VALUE</t>
  </si>
  <si>
    <t>Copper Metal</t>
  </si>
  <si>
    <t>Lead Metal</t>
  </si>
  <si>
    <t>Zinc Metal</t>
  </si>
  <si>
    <t>Aggregate</t>
  </si>
  <si>
    <t>Gravel</t>
  </si>
  <si>
    <t>Rock</t>
  </si>
  <si>
    <t>Sand</t>
  </si>
  <si>
    <t>Garnet</t>
  </si>
  <si>
    <t>Ilmenite</t>
  </si>
  <si>
    <t>Leucoxene</t>
  </si>
  <si>
    <t>Zircon</t>
  </si>
  <si>
    <t xml:space="preserve">Cobalt </t>
  </si>
  <si>
    <t>Palladium and Platinum By-Product</t>
  </si>
  <si>
    <t>LNG</t>
  </si>
  <si>
    <t>LPG - Butane and Propane</t>
  </si>
  <si>
    <t>'000m3</t>
  </si>
  <si>
    <t>Coal</t>
  </si>
  <si>
    <t>Base Metals</t>
  </si>
  <si>
    <t>Natural Gas and LPG</t>
  </si>
  <si>
    <t>Rutile</t>
  </si>
  <si>
    <t>Spodumene</t>
  </si>
  <si>
    <t>Tantalite</t>
  </si>
  <si>
    <t>Tin Metal</t>
  </si>
  <si>
    <t>Petroleum - Exports</t>
  </si>
  <si>
    <t>Petroleum - WA vs Australia</t>
  </si>
  <si>
    <t>Historic annual average prices of nickel, and recent monthly prices.</t>
  </si>
  <si>
    <t>Value of nickel exports from Western Australia by destination.</t>
  </si>
  <si>
    <t>Historic annual average prices of gold, and recent monthly prices.</t>
  </si>
  <si>
    <t>Value of gold exports from Western Australia by destination.</t>
  </si>
  <si>
    <t>US</t>
  </si>
  <si>
    <t>Colombia</t>
  </si>
  <si>
    <t>Ecuador</t>
  </si>
  <si>
    <t>Trinidad &amp; Tobago</t>
  </si>
  <si>
    <t>Other S. &amp; Cent. America</t>
  </si>
  <si>
    <t>Azerbaijan</t>
  </si>
  <si>
    <t>Denmark</t>
  </si>
  <si>
    <t>Romania</t>
  </si>
  <si>
    <t>Turkmenistan</t>
  </si>
  <si>
    <t>Uzbekistan</t>
  </si>
  <si>
    <t>Iraq</t>
  </si>
  <si>
    <t>Kuwait</t>
  </si>
  <si>
    <t>Syria</t>
  </si>
  <si>
    <t>Yemen</t>
  </si>
  <si>
    <t>Other Middle East</t>
  </si>
  <si>
    <t>Algeria</t>
  </si>
  <si>
    <t>Angola</t>
  </si>
  <si>
    <t>Chad</t>
  </si>
  <si>
    <t>Equatorial Guinea</t>
  </si>
  <si>
    <t>Gabon</t>
  </si>
  <si>
    <t>Libya</t>
  </si>
  <si>
    <t>Nigeria</t>
  </si>
  <si>
    <t>South Sudan</t>
  </si>
  <si>
    <t>Sudan</t>
  </si>
  <si>
    <t>Tunisia</t>
  </si>
  <si>
    <t>Other Africa</t>
  </si>
  <si>
    <t>Brunei</t>
  </si>
  <si>
    <t>Other Asia Pacific</t>
  </si>
  <si>
    <t>OPEC Member Nations</t>
  </si>
  <si>
    <t>Non OPEC Member Nations</t>
  </si>
  <si>
    <t>'000 million barrels End 2014</t>
  </si>
  <si>
    <t>% of Total</t>
  </si>
  <si>
    <t>OPEC Affiliation</t>
  </si>
  <si>
    <t>Quantity (t)</t>
  </si>
  <si>
    <t>Quantity (PJ)</t>
  </si>
  <si>
    <t>Petroleum - Quantity and Value (Crude Oil and Condensate)</t>
  </si>
  <si>
    <t>Top Ten Nations by Oil Reserves</t>
  </si>
  <si>
    <t>Historic annual average prices of iron ore, and recent monthly prices.</t>
  </si>
  <si>
    <t>Value of iron ore exports from Western Australia by destination.</t>
  </si>
  <si>
    <t>OPEC</t>
  </si>
  <si>
    <t>Non OPEC</t>
  </si>
  <si>
    <t>Iron ore</t>
  </si>
  <si>
    <t>Total Petroleum</t>
  </si>
  <si>
    <t>Other Minerals</t>
  </si>
  <si>
    <t>Quantity and Value</t>
  </si>
  <si>
    <t>Sources for data used in this document.</t>
  </si>
  <si>
    <t>Historic annual average Tapis crude oil prices, and recent monthly prices.</t>
  </si>
  <si>
    <t>Value of exports of petroleum products from Western Australia by destination.</t>
  </si>
  <si>
    <t>Proven global oil reserves, by country and OPEC affiliation.</t>
  </si>
  <si>
    <t>WA Treasury Corp.</t>
  </si>
  <si>
    <t>Calendar Year</t>
  </si>
  <si>
    <t>Hong Kong (SAR of China)</t>
  </si>
  <si>
    <t>Korea, Republic of</t>
  </si>
  <si>
    <t>Switzerland</t>
  </si>
  <si>
    <t>Taiwan</t>
  </si>
  <si>
    <t>Lead</t>
  </si>
  <si>
    <t>Copper</t>
  </si>
  <si>
    <t>Zinc</t>
  </si>
  <si>
    <t>Base Metals - Quantity and Value</t>
  </si>
  <si>
    <t>Base Metals - Prices</t>
  </si>
  <si>
    <t>Base Metals - Exports</t>
  </si>
  <si>
    <t>Value of base metals exports from Western Australia by destination.</t>
  </si>
  <si>
    <t>Bulgaria</t>
  </si>
  <si>
    <t>Financial Year</t>
  </si>
  <si>
    <t>Select:</t>
  </si>
  <si>
    <t>Commodity</t>
  </si>
  <si>
    <t>South Korea</t>
  </si>
  <si>
    <t>TOTAL</t>
  </si>
  <si>
    <t>Iceland</t>
  </si>
  <si>
    <t>Europe</t>
  </si>
  <si>
    <t>Asia</t>
  </si>
  <si>
    <t>North America</t>
  </si>
  <si>
    <t>Imports
(Billions of cubic metres)</t>
  </si>
  <si>
    <t>Middle East</t>
  </si>
  <si>
    <t>Percent of Asia Pacific Market supplied by WA</t>
  </si>
  <si>
    <t>Importing Nation</t>
  </si>
  <si>
    <t>Petroleum - Global LNG Trade</t>
  </si>
  <si>
    <t>Global trade in LNG, including WA and Australia's position within the global market.</t>
  </si>
  <si>
    <t>Montenegro</t>
  </si>
  <si>
    <t>Morocco</t>
  </si>
  <si>
    <t>http://www.energyquest.com.au/</t>
  </si>
  <si>
    <t>China crude steel production</t>
  </si>
  <si>
    <t>China iron ore imports</t>
  </si>
  <si>
    <t>World Steel Association</t>
  </si>
  <si>
    <t>http://www.worldsteel.org</t>
  </si>
  <si>
    <t>http://kitco.com/gold.londonfix.html</t>
  </si>
  <si>
    <t>http://www.uxc.com</t>
  </si>
  <si>
    <t>Western Australia</t>
  </si>
  <si>
    <t>Rest of Australia</t>
  </si>
  <si>
    <t>US Exchange Rate</t>
  </si>
  <si>
    <t>Palladium By-Product</t>
  </si>
  <si>
    <t>Platinum By-Product</t>
  </si>
  <si>
    <t>Red Oxide</t>
  </si>
  <si>
    <t>LPG - Butane</t>
  </si>
  <si>
    <t>LPG - Propane</t>
  </si>
  <si>
    <t>Nickel Metal</t>
  </si>
  <si>
    <t>Cobalt By-Product</t>
  </si>
  <si>
    <t>Cobalt Metal</t>
  </si>
  <si>
    <t>Cobalt Sulphide</t>
  </si>
  <si>
    <t>Silica</t>
  </si>
  <si>
    <t>Silica Sand</t>
  </si>
  <si>
    <t>Tin</t>
  </si>
  <si>
    <t xml:space="preserve">Upgraded Ilmenite (a) </t>
  </si>
  <si>
    <t xml:space="preserve">Lead </t>
  </si>
  <si>
    <r>
      <t>'000m</t>
    </r>
    <r>
      <rPr>
        <vertAlign val="superscript"/>
        <sz val="11"/>
        <rFont val="Calibri"/>
        <family val="2"/>
        <scheme val="minor"/>
      </rPr>
      <t>3</t>
    </r>
  </si>
  <si>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</si>
  <si>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</si>
  <si>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</si>
  <si>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</si>
  <si>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</si>
  <si>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</si>
  <si>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</si>
  <si>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</si>
  <si>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</si>
  <si>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</si>
  <si>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</si>
  <si>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</si>
  <si>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</si>
  <si>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</si>
  <si>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</si>
  <si>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</si>
  <si>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</si>
  <si>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</si>
  <si>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</si>
  <si>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</si>
  <si>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</si>
  <si>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</si>
  <si>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</si>
  <si>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</si>
  <si>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</si>
  <si>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Minor Commodities</t>
  </si>
  <si>
    <t>Silver</t>
  </si>
  <si>
    <t>Salt</t>
  </si>
  <si>
    <t>Diamonds</t>
  </si>
  <si>
    <t>Cobalt</t>
  </si>
  <si>
    <t>Platinum and Palladium</t>
  </si>
  <si>
    <t>Quantity (kg)</t>
  </si>
  <si>
    <t>Select Commodity:</t>
  </si>
  <si>
    <t>Mineral Sands</t>
  </si>
  <si>
    <t>Mineral Sands Average Annual Price</t>
  </si>
  <si>
    <t>Mineral Sands Monthly Price</t>
  </si>
  <si>
    <t>MINERAL SANDS</t>
  </si>
  <si>
    <t>Historic annual average prices of mineral sands, and recent monthly prices.</t>
  </si>
  <si>
    <t>Value of mineral sands exports from Western Australia by destination.</t>
  </si>
  <si>
    <t>Historic Calendar Year</t>
  </si>
  <si>
    <t>Historic Financial Year</t>
  </si>
  <si>
    <t>TOTAL MINERAL SANDS</t>
  </si>
  <si>
    <t>n.a.</t>
  </si>
  <si>
    <t>n.a</t>
  </si>
  <si>
    <t>ALUMINA AND BAUXITE</t>
  </si>
  <si>
    <t>Alumina and Bauxite</t>
  </si>
  <si>
    <t>UK</t>
  </si>
  <si>
    <t>2004-05</t>
  </si>
  <si>
    <t>Other Europe*</t>
  </si>
  <si>
    <t>Other Asia Pacific*</t>
  </si>
  <si>
    <t>*Note: Includes Re-Exports</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</si>
  <si>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</si>
  <si>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</si>
  <si>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</si>
  <si>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</si>
  <si>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</si>
  <si>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</si>
  <si>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</si>
  <si>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</si>
  <si>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</si>
  <si>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</si>
  <si>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</si>
  <si>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</si>
  <si>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</si>
  <si>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</si>
  <si>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</si>
  <si>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</si>
  <si>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</si>
  <si>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</si>
  <si>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</si>
  <si>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</si>
  <si>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2005-06</t>
  </si>
  <si>
    <t>2006-07</t>
  </si>
  <si>
    <t>2007-08</t>
  </si>
  <si>
    <t>2008-09</t>
  </si>
  <si>
    <t>2009-10</t>
  </si>
  <si>
    <t>2010-11</t>
  </si>
  <si>
    <t>2011-12</t>
  </si>
  <si>
    <t>2012-13</t>
  </si>
  <si>
    <t>2013-14</t>
  </si>
  <si>
    <t>2014-15</t>
  </si>
  <si>
    <t>2015-16</t>
  </si>
  <si>
    <t>Chart Data</t>
  </si>
  <si>
    <t xml:space="preserve">Click above to change chart data    </t>
  </si>
  <si>
    <t>Select Period:</t>
  </si>
  <si>
    <t>Price ($/GJ)</t>
  </si>
  <si>
    <t>Click here to select an option</t>
  </si>
  <si>
    <t>A menu will drop down showing your choices</t>
  </si>
  <si>
    <t>Click to Select: Click anywhere in this tab to bring up the menu</t>
  </si>
  <si>
    <t>Click above to change chart data</t>
  </si>
  <si>
    <t>Details about how to use this file, and access the information held within it.</t>
  </si>
  <si>
    <t>Data</t>
  </si>
  <si>
    <t>How to Use</t>
  </si>
  <si>
    <t>Petroleum - Gas Prices</t>
  </si>
  <si>
    <t xml:space="preserve"> $                         -  </t>
  </si>
  <si>
    <t>Monthly average prices for key Western Australian commodities.</t>
  </si>
  <si>
    <t>Historic average annual and monthly prices for copper, lead and zinc.</t>
  </si>
  <si>
    <t>Fin. Year</t>
  </si>
  <si>
    <t>FY H1</t>
  </si>
  <si>
    <t>Export Data (Calendar Year)</t>
  </si>
  <si>
    <t>Export Value</t>
  </si>
  <si>
    <t xml:space="preserve">Australian $ </t>
  </si>
  <si>
    <t>Export Data (Financial Year)</t>
  </si>
  <si>
    <t>Viet Nam</t>
  </si>
  <si>
    <t>Sri Lanka</t>
  </si>
  <si>
    <t>Nepal</t>
  </si>
  <si>
    <t>China (incl. Hong Kong)</t>
  </si>
  <si>
    <t>Macao</t>
  </si>
  <si>
    <t>Slovenia</t>
  </si>
  <si>
    <t>Base Metals Contained Gold/Silver</t>
  </si>
  <si>
    <t xml:space="preserve"> n/a </t>
  </si>
  <si>
    <t>2016-17</t>
  </si>
  <si>
    <t>Spodumene Concentrate</t>
  </si>
  <si>
    <t>Taiwan, Province Of China</t>
  </si>
  <si>
    <t>.</t>
  </si>
  <si>
    <t>https://metals.argusmedia.com/</t>
  </si>
  <si>
    <t>N/A</t>
  </si>
  <si>
    <t> China</t>
  </si>
  <si>
    <t> Japan</t>
  </si>
  <si>
    <t> Korea, Republic of</t>
  </si>
  <si>
    <t> Indonesia</t>
  </si>
  <si>
    <t>Annual historic Western Australian alumina production compared to the rest of Australia.</t>
  </si>
  <si>
    <t>Production and domestic consumption of natural gas in Western Australia, and comparison graph with the east coast.</t>
  </si>
  <si>
    <t/>
  </si>
  <si>
    <t>Alumina and Bauxite - Quantity and Value</t>
  </si>
  <si>
    <t>Alumina and Bauxite - Prices</t>
  </si>
  <si>
    <t>Alumina and Bauxite - Exports</t>
  </si>
  <si>
    <t>Bauxite</t>
  </si>
  <si>
    <t>Asia Pacific</t>
  </si>
  <si>
    <t>S. &amp; Cent. America</t>
  </si>
  <si>
    <t>Other EU</t>
  </si>
  <si>
    <t>Other CIS</t>
  </si>
  <si>
    <t>Other Europe</t>
  </si>
  <si>
    <t xml:space="preserve">Republic of Congo </t>
  </si>
  <si>
    <t>2017-18</t>
  </si>
  <si>
    <t>TOTAL ALUMINA &amp; BAUXITE</t>
  </si>
  <si>
    <t xml:space="preserve">  Hong Kong (SAR of China)</t>
  </si>
  <si>
    <t xml:space="preserve">  United Kingdom</t>
  </si>
  <si>
    <t xml:space="preserve">  China</t>
  </si>
  <si>
    <t xml:space="preserve">  Thailand</t>
  </si>
  <si>
    <t xml:space="preserve">  Singapore</t>
  </si>
  <si>
    <t xml:space="preserve">  India</t>
  </si>
  <si>
    <t xml:space="preserve">  Turkey</t>
  </si>
  <si>
    <t xml:space="preserve">  Korea, Republic of</t>
  </si>
  <si>
    <t xml:space="preserve">  Switzerland</t>
  </si>
  <si>
    <t xml:space="preserve">  Japan</t>
  </si>
  <si>
    <t>Other Americas*</t>
  </si>
  <si>
    <t>Other Middle East &amp; Africa</t>
  </si>
  <si>
    <t>2018-19</t>
  </si>
  <si>
    <t xml:space="preserve">  Viet Nam</t>
  </si>
  <si>
    <t>Lithium</t>
  </si>
  <si>
    <t>Lithium Hydroxide</t>
  </si>
  <si>
    <t>Nickel Concentrate</t>
  </si>
  <si>
    <t>Agate</t>
  </si>
  <si>
    <t>Petroleum (East Coast Gas Price)</t>
  </si>
  <si>
    <t xml:space="preserve">Petroleum (Tapis Crude Oil) </t>
  </si>
  <si>
    <t>Lithium Hydroxide - Asian Metal</t>
  </si>
  <si>
    <t>http://www.asianmetal.com/</t>
  </si>
  <si>
    <t>General Administration of Customs, China</t>
  </si>
  <si>
    <t>BP Statisitical Review of World Energy 2019</t>
  </si>
  <si>
    <t>http://english.customs.gov.cn/</t>
  </si>
  <si>
    <t>ABS</t>
  </si>
  <si>
    <t>Global oil reserves</t>
  </si>
  <si>
    <t>Global LNG trade</t>
  </si>
  <si>
    <t>Prices</t>
  </si>
  <si>
    <t>https://www.abs.gov.au/</t>
  </si>
  <si>
    <t>Link</t>
  </si>
  <si>
    <t>WA alumina and bauxite exports</t>
  </si>
  <si>
    <t>WA base metals exports</t>
  </si>
  <si>
    <t>WA gold exports</t>
  </si>
  <si>
    <t>WA nickel exports</t>
  </si>
  <si>
    <t>WA iron ore exports</t>
  </si>
  <si>
    <t>WA quantity and value of mineral sales</t>
  </si>
  <si>
    <t>WA quantity and value of petroleum production</t>
  </si>
  <si>
    <t>DMIRS</t>
  </si>
  <si>
    <t>Petroleum - Global Oil Reserves</t>
  </si>
  <si>
    <t>China Crude Steel Production &amp; Iron Ore Imports (Financial Year)</t>
  </si>
  <si>
    <t>China Crude Steel Production &amp; Iron Ore Imports (Calendar Year)</t>
  </si>
  <si>
    <t>Annual historic calendar year crude steel production and iron ore imports in China since 1980, and a detailed breakdown of iron ore imports to China, including Australia's contribution.</t>
  </si>
  <si>
    <t>Annual historic financial year crude steel production and iron ore imports in China since 1990-91, and a detailed breakdown of iron ore imports to China, including Australia's contribution.</t>
  </si>
  <si>
    <t>Historic quantity and sales value of the mineral and petroleum industry - calendar year.</t>
  </si>
  <si>
    <t>Historic quantity and sales value of the mineral and petroleum industry - calendar year (post 2003).</t>
  </si>
  <si>
    <t>Historic quantity and sales value of the mineral and petroleum industry - financial year.</t>
  </si>
  <si>
    <t>Historic quantity and sales value of the mineral and petroleum industry - financial year (post 2003-04).</t>
  </si>
  <si>
    <t>Quarterly quantity and value figures for alumina in Western Australia.</t>
  </si>
  <si>
    <t>Historical average annual and monthly alumina prices .</t>
  </si>
  <si>
    <t>Value of alumina exports from Western Australia by destination.</t>
  </si>
  <si>
    <t>Quarterly quantity and value figures for base metals in Western Australia.</t>
  </si>
  <si>
    <t>Quarterly production and value figures for crude oil and condensate in Western Australia.</t>
  </si>
  <si>
    <t>Quarterly production and value figures for natural gas, LNG and LPG (butane and propane) in Western Australia.</t>
  </si>
  <si>
    <t>Alumina and Bauxite - WA vs Australia</t>
  </si>
  <si>
    <t>Base Metals - WA vs Australia</t>
  </si>
  <si>
    <t>Nickel - WA vs Australia</t>
  </si>
  <si>
    <t>Gold - WA vs Australia</t>
  </si>
  <si>
    <t>Iron Ore - WA vs Australia</t>
  </si>
  <si>
    <t>WA petroleum exports</t>
  </si>
  <si>
    <t>DMIRS and International Trade Statistics</t>
  </si>
  <si>
    <t>Pre April 99, ABARE via Minmet.  From April 99, Ux Consulting.</t>
  </si>
  <si>
    <t>Resources and Energy Quarterly</t>
  </si>
  <si>
    <t>ABS.Stat</t>
  </si>
  <si>
    <t>BP Statistical Review of World Energy</t>
  </si>
  <si>
    <t>Copper - London Metal Exchange average monthly cash official via Argus Metals</t>
  </si>
  <si>
    <t>Lead - London Metal Exchange average monthly cash official via Argus Metals</t>
  </si>
  <si>
    <t>Zinc - London Metal Exchange average monthly cash official via Argus Metals</t>
  </si>
  <si>
    <t>US$: London Fix via Kitco Inc.</t>
  </si>
  <si>
    <t>London Metal Exchange average monthly cash official via Argus Metals</t>
  </si>
  <si>
    <t>Pre Jun 99, ABARE, Report #39. From Jun 99, Australian Bureau of Statistics (ABS).</t>
  </si>
  <si>
    <t>Petroleum (WA Domestic Gas Price)</t>
  </si>
  <si>
    <t>Exchange Rates</t>
  </si>
  <si>
    <t>https://www.watc.wa.gov.au/</t>
  </si>
  <si>
    <t>WA Treasury Corporation</t>
  </si>
  <si>
    <t>Value ($ Million)</t>
  </si>
  <si>
    <t>Western Australia ($)</t>
  </si>
  <si>
    <t>Rest of Australia ($)</t>
  </si>
  <si>
    <t>Quarterly quantity and value figures for nickel in Western Australia.</t>
  </si>
  <si>
    <t>Quarterly quantity and value figures for gold in Western Australia.</t>
  </si>
  <si>
    <t>Quarterly quantity and value figures for mineral sands in Western Australia.</t>
  </si>
  <si>
    <t>Quarterly quantity and value figures for iron ore in Western Australia.</t>
  </si>
  <si>
    <t>Quarterly quantity and value figures for coal, silver, salt, diamonds, cobalt, platinum and palladium in Western Australia.</t>
  </si>
  <si>
    <t>Quantity (000 cubic metres)</t>
  </si>
  <si>
    <t>Mineral Sands - Quantity and Value</t>
  </si>
  <si>
    <t>Mineral Sands - Prices</t>
  </si>
  <si>
    <t>Mineral Sands - Exports</t>
  </si>
  <si>
    <t>Mineral Sands - WA vs Australia</t>
  </si>
  <si>
    <t>Lithium - Prices</t>
  </si>
  <si>
    <t>Lithium - Quantity &amp; Value</t>
  </si>
  <si>
    <t>Petroleum - Oil Prices</t>
  </si>
  <si>
    <t>WA mineral sands exports</t>
  </si>
  <si>
    <t>(May include Manganese, Rare Earths, Spongolite, Talc, Vanadium, Chromite, Cesium and Feldspar)</t>
  </si>
  <si>
    <t>Quarterly quantity and value figures for lithium in Western Australia.</t>
  </si>
  <si>
    <t>Lao PDR</t>
  </si>
  <si>
    <t xml:space="preserve"> Other Europe*</t>
  </si>
  <si>
    <t>AU$: Perth mint selling price</t>
  </si>
  <si>
    <t>Synthetic Rutile</t>
  </si>
  <si>
    <t>(May include Rare Earths, Manganese, Spongolite, Talc, and Cesium)</t>
  </si>
  <si>
    <t>Iron Ore Average Annual Price</t>
  </si>
  <si>
    <t>Middle East &amp; Africa</t>
  </si>
  <si>
    <t>WA production (Million Tonnes)</t>
  </si>
  <si>
    <t>Total Asia Pacific Imports (Million Tonnes)</t>
  </si>
  <si>
    <t>Spodumene Concentrate 5% Min - Asian Metal</t>
  </si>
  <si>
    <t>Crude Oil and Condensate</t>
  </si>
  <si>
    <t>RARE EARTHS</t>
  </si>
  <si>
    <t>2019-20</t>
  </si>
  <si>
    <t>Commodity Prices</t>
  </si>
  <si>
    <t>Financial Year Q&amp;V 1984-85 to 2002-03</t>
  </si>
  <si>
    <t>Financial Year Q&amp;V 2003-04 to Now</t>
  </si>
  <si>
    <t>Calendar Year Q&amp;V 1886 to 2003</t>
  </si>
  <si>
    <t>Total Minerals</t>
  </si>
  <si>
    <t>$ Millions</t>
  </si>
  <si>
    <t>Share</t>
  </si>
  <si>
    <t>Price (A$ per tonne)</t>
  </si>
  <si>
    <t>$</t>
  </si>
  <si>
    <t>Month</t>
  </si>
  <si>
    <t>Australia Alumina Production</t>
  </si>
  <si>
    <t>Value ($)</t>
  </si>
  <si>
    <t>Western Australia (t)</t>
  </si>
  <si>
    <t>Rest of Australia (t)</t>
  </si>
  <si>
    <t>Historic Production</t>
  </si>
  <si>
    <t>US$ per tonne</t>
  </si>
  <si>
    <t>A$ per tonne</t>
  </si>
  <si>
    <t>Import Value (000s US$)</t>
  </si>
  <si>
    <t>% Of Total by Value</t>
  </si>
  <si>
    <t>Crude Steel Production, 000s t</t>
  </si>
  <si>
    <t>Iron Ore Imports, 000s t</t>
  </si>
  <si>
    <t>Value (000s US$)</t>
  </si>
  <si>
    <t>Iron Ore Monthly Prices</t>
  </si>
  <si>
    <t>Gold Monthly Prices</t>
  </si>
  <si>
    <t>Gold Average Annual Prices</t>
  </si>
  <si>
    <t>Alumina Monthly Price</t>
  </si>
  <si>
    <t>Alumina Annual Price</t>
  </si>
  <si>
    <t>Lithium Average Annual Prices</t>
  </si>
  <si>
    <t>Lithium Monthly Prices</t>
  </si>
  <si>
    <t>Quantity (Million ct)</t>
  </si>
  <si>
    <t>Cumulative historical production of gold on a calendar year basis.</t>
  </si>
  <si>
    <t>Historic average annual and monthly prices for lithium hydroxide and spodumene concentrate.</t>
  </si>
  <si>
    <t>US$ per oz</t>
  </si>
  <si>
    <t>A$ per oz</t>
  </si>
  <si>
    <t>Base Metals Monthly Prices</t>
  </si>
  <si>
    <t>Base Metals Average Annual Prices</t>
  </si>
  <si>
    <t>Last 5 Years</t>
  </si>
  <si>
    <t>Australia Nickel Production</t>
  </si>
  <si>
    <t>Australia Iron Ore Production</t>
  </si>
  <si>
    <t>Australia Gold Production</t>
  </si>
  <si>
    <t>Australia Base Metals Production</t>
  </si>
  <si>
    <t>Australian Nickel Production</t>
  </si>
  <si>
    <t>Australia Mineral Sands Production</t>
  </si>
  <si>
    <t>Last 10 Years</t>
  </si>
  <si>
    <t>Australia Mineral Sands Production Value</t>
  </si>
  <si>
    <t>LNG Quantity and Value</t>
  </si>
  <si>
    <t>Quarterly Domestic Gas Price</t>
  </si>
  <si>
    <t>A$ per GJ</t>
  </si>
  <si>
    <t>US$ per GJ</t>
  </si>
  <si>
    <t>US$:A$ Exchange Rate</t>
  </si>
  <si>
    <t>WA Domestic Gas Price (A$ per GJ)</t>
  </si>
  <si>
    <t>East Coast Domestic Gas Price (A$ per GJ)</t>
  </si>
  <si>
    <t>US$ per bbl</t>
  </si>
  <si>
    <t>% Change in per GJ</t>
  </si>
  <si>
    <t>Australia Crude Oil and Condensate Production</t>
  </si>
  <si>
    <t>Total Proved Oil Reserves</t>
  </si>
  <si>
    <t>Exports 
(Billion cubic metres)</t>
  </si>
  <si>
    <t>Imports
(Billion cubic metres)</t>
  </si>
  <si>
    <t>Country</t>
  </si>
  <si>
    <t>Region</t>
  </si>
  <si>
    <t>Petroleum - Quantity and Value (LNG, LPG - Butane and Propane, and Natural Gas)</t>
  </si>
  <si>
    <t>Domestic Use and Prices</t>
  </si>
  <si>
    <t>Calendar Year Q&amp;V 2004 to Now</t>
  </si>
  <si>
    <t>Q&amp;V Summary 2-years</t>
  </si>
  <si>
    <t>US$ vs A$</t>
  </si>
  <si>
    <t>US$ per pound</t>
  </si>
  <si>
    <t>US$ per barrel</t>
  </si>
  <si>
    <t>Cumulative Value $</t>
  </si>
  <si>
    <t>Cumulative Quantity</t>
  </si>
  <si>
    <t>TOTAL ALUMINA AND BAUXITE</t>
  </si>
  <si>
    <t>Pre 2019-20, DMIRS. From 2019-20, ABS</t>
  </si>
  <si>
    <t>Liquified Natural Gas, Liquified Petroleum Gas - Butane and Propane, and Natural Gas</t>
  </si>
  <si>
    <t>Two-year comparison of the value of the mineral and petroleum industry.</t>
  </si>
  <si>
    <t>Historic Quantity And Value Of Minerals And Petroleum Calendar Year</t>
  </si>
  <si>
    <t>Historic Quantity And Value Of Minerals And Petroleum Financial Year</t>
  </si>
  <si>
    <t>Quantity And Value Of Minerals And Petroleum Financial Year</t>
  </si>
  <si>
    <t>Quantity And Value Of Minerals And Petroleum Calendar Year</t>
  </si>
  <si>
    <t>Quantity And Value By Quarter</t>
  </si>
  <si>
    <t>Alumina And Bauxite Quantity And Value</t>
  </si>
  <si>
    <t>Alumina And Bauxite</t>
  </si>
  <si>
    <t>Base Metals Quantity And Value</t>
  </si>
  <si>
    <t>Gold Quantity And Value</t>
  </si>
  <si>
    <t>Iron Ore Quantity And Value</t>
  </si>
  <si>
    <t>Mineral Sands Quantity And Value</t>
  </si>
  <si>
    <t>Nickel Quantity And Value</t>
  </si>
  <si>
    <t>Crude Oil And Condensate</t>
  </si>
  <si>
    <t>Crude Oil And Condensate Quantity And Value</t>
  </si>
  <si>
    <t>LPG - Butane And Propane</t>
  </si>
  <si>
    <t>Natural Gas Quantity And Value</t>
  </si>
  <si>
    <t>LPG (Butane and Propane) Quantity And Value</t>
  </si>
  <si>
    <t>Total Contained Gold/Silver</t>
  </si>
  <si>
    <t>United States Of America</t>
  </si>
  <si>
    <t xml:space="preserve">  United States Of America</t>
  </si>
  <si>
    <t> Taiwan, Province Of China</t>
  </si>
  <si>
    <t xml:space="preserve">  Taiwan, Province Of China</t>
  </si>
  <si>
    <t>DMIRS and EnergyQuest</t>
  </si>
  <si>
    <t>EnergyQuest and ABS</t>
  </si>
  <si>
    <t>Australia mineral sands production</t>
  </si>
  <si>
    <t>Australia iron ore production</t>
  </si>
  <si>
    <t>Australia alumina production</t>
  </si>
  <si>
    <t>Australia base metals production</t>
  </si>
  <si>
    <t>Australia nickel production</t>
  </si>
  <si>
    <t>Australia crude oil and condensate production</t>
  </si>
  <si>
    <t>Australia gold production</t>
  </si>
  <si>
    <t>Office of the Chief Economist (OoCE), Department of Industry, Science, Energy and Resources (DISER)</t>
  </si>
  <si>
    <t>Pre 2016, DMIRS and National Offshore Petroleum Titles Administrator. From 2016, DMIRS, EnergyQuest, and Woodside</t>
  </si>
  <si>
    <t>OoCE, DISER</t>
  </si>
  <si>
    <t>Other (may include Garnet, Monazite, Rutile, Staurolite)</t>
  </si>
  <si>
    <t>Other (may include Garnet, Rutile and Staurolite)</t>
  </si>
  <si>
    <t>Other (may include Garnet, Staurolite and Monazite)</t>
  </si>
  <si>
    <t>TOTAL MINERALS</t>
  </si>
  <si>
    <t>TOTAL MINERALS AND PETROLEUM</t>
  </si>
  <si>
    <t>Total Minerals and Petroleum</t>
  </si>
  <si>
    <t>LITHIUM INDUSTRY</t>
  </si>
  <si>
    <t>TOTAL LITHIUM INDUSTRY</t>
  </si>
  <si>
    <t>LITHUM INDUSTRY</t>
  </si>
  <si>
    <t>Other Commodities</t>
  </si>
  <si>
    <t>Other Commodities - Quantity and Value</t>
  </si>
  <si>
    <t>nfp</t>
  </si>
  <si>
    <t>n/a is not available</t>
  </si>
  <si>
    <t>nfp is not for publication due to confidentiality</t>
  </si>
  <si>
    <t>Dolomite</t>
  </si>
  <si>
    <t>Limesand-Limestone</t>
  </si>
  <si>
    <t xml:space="preserve">Nickel </t>
  </si>
  <si>
    <t>(May include Diamonds, Feldspar, Red Oxide, Spongolite, Talc and Vanadium)</t>
  </si>
  <si>
    <t>TiO2 Pigment</t>
  </si>
  <si>
    <t>Rank by Value</t>
  </si>
  <si>
    <t>Import Value (000 US$)</t>
  </si>
  <si>
    <t>Korea, Rep.</t>
  </si>
  <si>
    <t>Guinea</t>
  </si>
  <si>
    <t>China Iron Ore Imports by Source 2020</t>
  </si>
  <si>
    <t>Quantity And Value Of Minerals And Petroleum</t>
  </si>
  <si>
    <t>Brunei Darussalam</t>
  </si>
  <si>
    <t>United States of America</t>
  </si>
  <si>
    <t>Pre Oct 2014, The Steel Index (TSI) spot prices for CFR China.  From Oct 2014, Argus Metals CFR China.</t>
  </si>
  <si>
    <t>Annual historic base metals production in Western Australia compared to the rest of the country.</t>
  </si>
  <si>
    <t>Annual historic gold production in Western Australia compared to the rest of the country.</t>
  </si>
  <si>
    <t>Annual historic iron ore production in Western Australia compared to the rest of the country.</t>
  </si>
  <si>
    <t>Annual historic mineral sands production in Western Australia compared to the rest of the country.</t>
  </si>
  <si>
    <t>Annual historic nickel production in Western Australia compared to the rest of the country.</t>
  </si>
  <si>
    <t>Annual historic crude oil and condensate production in Western Australia compared to the rest of the country.</t>
  </si>
  <si>
    <t>2020-21</t>
  </si>
  <si>
    <t>Global LNG Exports 2020</t>
  </si>
  <si>
    <t>Global LNG Imports by Region 2020</t>
  </si>
  <si>
    <t>Asia Pacific Region Imports by Country 2020</t>
  </si>
  <si>
    <t>'000 million barrels End 2020</t>
  </si>
  <si>
    <t>Western Australia's Contribution to Asia Pacific Region 2020</t>
  </si>
  <si>
    <t>Global LNG Imports 2020</t>
  </si>
  <si>
    <t>'000 million barrels End 2000</t>
  </si>
  <si>
    <t>'000 million barrels End 2010</t>
  </si>
  <si>
    <t>Sierra Leone</t>
  </si>
  <si>
    <t>China Iron Ore Imports by Source 2020-21</t>
  </si>
  <si>
    <t xml:space="preserve"> US</t>
  </si>
  <si>
    <t>Rest of Europe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</si>
</sst>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6" formatCode="&quot;$&quot;#,##0;[Red]\-&quot;$&quot;#,##0"/>
    <numFmt numFmtId="8" formatCode="&quot;$&quot;#,##0.00;[Red]\-&quot;$&quot;#,##0.00"/>
    <numFmt numFmtId="44" formatCode="_-&quot;$&quot;* #,##0.00_-;\-&quot;$&quot;* #,##0.00_-;_-&quot;$&quot;* &quot;-&quot;??_-;_-@_-"/>
    <numFmt numFmtId="43" formatCode="_-* #,##0.00_-;\-* #,##0.00_-;_-* &quot;-&quot;??_-;_-@_-"/>
    <numFmt numFmtId="164" formatCode="0.000"/>
    <numFmt numFmtId="165" formatCode="_(* #,##0.00_);_(* \(#,##0.00\);_(* &quot;-&quot;??_);_(@_)"/>
    <numFmt numFmtId="166" formatCode="_-* #,##0_-;\-* #,##0_-;_-* &quot;-&quot;??_-;_-@_-"/>
    <numFmt numFmtId="167" formatCode="0.0%"/>
    <numFmt numFmtId="168" formatCode="yyyy"/>
    <numFmt numFmtId="169" formatCode="&quot;$&quot;#,##0.00"/>
    <numFmt numFmtId="170" formatCode="&quot;$&quot;#,##0"/>
    <numFmt numFmtId="171" formatCode="#,##0.000"/>
    <numFmt numFmtId="172" formatCode="_-* #,##0.000_-;\-* #,##0.000_-;_-* &quot;-&quot;??_-;_-@_-"/>
    <numFmt numFmtId="173" formatCode="#,##0.0000"/>
    <numFmt numFmtId="174" formatCode="#,##0.0%;[Red]\-#,##0.0%"/>
    <numFmt numFmtId="175" formatCode="#,##0\ \(\r\)"/>
    <numFmt numFmtId="176" formatCode="0.0"/>
    <numFmt numFmtId="177" formatCode="0.0000"/>
    <numFmt numFmtId="178" formatCode="_-&quot;$&quot;* #,##0_-;\-&quot;$&quot;* #,##0_-;_-&quot;$&quot;* &quot;-&quot;??_-;_-@_-"/>
    <numFmt numFmtId="179" formatCode="_(* #,##0.0_);_(* \(#,##0.0\);_(* &quot;-&quot;??_);_(@_)"/>
    <numFmt numFmtId="180" formatCode="0.0000%"/>
    <numFmt numFmtId="181" formatCode="&quot;$&quot;#,##0.00;[Red]&quot;$&quot;#,##0.00"/>
    <numFmt numFmtId="182" formatCode="[$-C09]dd\-mmm\-yy;@"/>
    <numFmt numFmtId="183" formatCode="&quot;$&quot;#,##0.00_);[Red]\(&quot;$&quot;#,##0.00\)"/>
    <numFmt numFmtId="184" formatCode="mmm\ dd\,\ yyyy"/>
    <numFmt numFmtId="185" formatCode="&quot;$&quot;#,##0.000"/>
    <numFmt numFmtId="186" formatCode="0_ ;[Red]\-0\ "/>
    <numFmt numFmtId="187" formatCode="[&gt;0.05]0.0;[=0]\-;\†"/>
    <numFmt numFmtId="188" formatCode="0_ ;\-0\ "/>
    <numFmt numFmtId="189" formatCode="#,##0.00_ ;\-#,##0.00\ "/>
    <numFmt numFmtId="190" formatCode="#,##0_ ;\-#,##0\ "/>
    <numFmt numFmtId="191" formatCode="#,##0.0"/>
    <numFmt numFmtId="192" formatCode="#,##0.00_);\-#,##0.00_);\-_)"/>
    <numFmt numFmtId="193" formatCode="#,##0.0_);\-#,##0.0_);\-_)"/>
    <numFmt numFmtId="194" formatCode="#,##0_);\-#,##0_);\-_)"/>
    <numFmt numFmtId="195" formatCode="#,##0_ ;[Red]\(#,##0\)\ "/>
    <numFmt numFmtId="196" formatCode="#,##0_ ;[Red]\-#,##0\ "/>
    <numFmt numFmtId="197" formatCode="0.000000"/>
  </numFmts>
  <fonts count="175">
    <font>
      <sz val="11"/>
      <color theme="1"/>
      <name val="Calibri"/>
      <family val="2"/>
      <scheme val="minor"/>
    </font>
    <font>
      <sz val="11"/>
      <color theme="1"/>
      <name val="Calibri"/>
      <family val="2"/>
      <scheme val="minor"/>
    </font>
    <font>
      <sz val="10"/>
      <name val="Arial"/>
      <family val="2"/>
    </font>
    <font>
      <b/>
      <sz val="10"/>
      <name val="Arial"/>
      <family val="2"/>
    </font>
    <font>
      <u/>
      <sz val="10"/>
      <color theme="10"/>
      <name val="Arial"/>
      <family val="2"/>
    </font>
    <font>
      <b/>
      <sz val="11"/>
      <color theme="1"/>
      <name val="Calibri"/>
      <family val="2"/>
      <scheme val="minor"/>
    </font>
    <font>
      <sz val="11"/>
      <name val="Calibri"/>
      <family val="2"/>
      <scheme val="minor"/>
    </font>
    <font>
      <b/>
      <sz val="11"/>
      <color theme="0"/>
      <name val="Calibri"/>
      <family val="2"/>
      <scheme val="minor"/>
    </font>
    <font>
      <sz val="11"/>
      <color rgb="FFFF0000"/>
      <name val="Calibri"/>
      <family val="2"/>
      <scheme val="minor"/>
    </font>
    <font>
      <b/>
      <sz val="11"/>
      <name val="Calibri"/>
      <family val="2"/>
      <scheme val="minor"/>
    </font>
    <font>
      <sz val="9"/>
      <name val="Arial"/>
      <family val="2"/>
    </font>
    <font>
      <sz val="11"/>
      <color theme="0"/>
      <name val="Calibri"/>
      <family val="2"/>
      <scheme val="minor"/>
    </font>
    <font>
      <b/>
      <sz val="10"/>
      <color indexed="12"/>
      <name val="Arial"/>
      <family val="2"/>
    </font>
    <font>
      <sz val="10"/>
      <color theme="0"/>
      <name val="Arial"/>
      <family val="2"/>
    </font>
    <font>
      <sz val="9"/>
      <name val="Calibri"/>
      <family val="2"/>
      <scheme val="minor"/>
    </font>
    <font>
      <sz val="11"/>
      <color indexed="8"/>
      <name val="Calibri"/>
      <family val="2"/>
      <scheme val="minor"/>
    </font>
    <font>
      <b/>
      <sz val="8"/>
      <color indexed="81"/>
      <name val="Tahoma"/>
      <family val="2"/>
    </font>
    <font>
      <b/>
      <sz val="10"/>
      <color indexed="81"/>
      <name val="Tahoma"/>
      <family val="2"/>
    </font>
    <font>
      <sz val="10"/>
      <color indexed="81"/>
      <name val="Tahoma"/>
      <family val="2"/>
    </font>
    <font>
      <sz val="8"/>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color theme="1"/>
      <name val="Calibri"/>
      <family val="2"/>
      <scheme val="minor"/>
    </font>
    <font>
      <b/>
      <sz val="11"/>
      <color indexed="8"/>
      <name val="Calibri"/>
      <family val="2"/>
      <scheme val="minor"/>
    </font>
    <font>
      <b/>
      <sz val="11"/>
      <color rgb="FFFF0000"/>
      <name val="Calibri"/>
      <family val="2"/>
      <scheme val="minor"/>
    </font>
    <font>
      <b/>
      <sz val="11"/>
      <color indexed="12"/>
      <name val="Calibri"/>
      <family val="2"/>
      <scheme val="minor"/>
    </font>
    <font>
      <sz val="11"/>
      <color indexed="16"/>
      <name val="Calibri"/>
      <family val="2"/>
      <scheme val="minor"/>
    </font>
    <font>
      <sz val="11"/>
      <color indexed="17"/>
      <name val="Calibri"/>
      <family val="2"/>
      <scheme val="minor"/>
    </font>
    <font>
      <sz val="11"/>
      <color indexed="21"/>
      <name val="Calibri"/>
      <family val="2"/>
      <scheme val="minor"/>
    </font>
    <font>
      <sz val="11"/>
      <color indexed="12"/>
      <name val="Calibri"/>
      <family val="2"/>
      <scheme val="minor"/>
    </font>
    <font>
      <sz val="11"/>
      <color indexed="10"/>
      <name val="Calibri"/>
      <family val="2"/>
      <scheme val="minor"/>
    </font>
    <font>
      <b/>
      <sz val="11"/>
      <color indexed="10"/>
      <name val="Calibri"/>
      <family val="2"/>
      <scheme val="minor"/>
    </font>
    <font>
      <vertAlign val="superscript"/>
      <sz val="11"/>
      <name val="Calibri"/>
      <family val="2"/>
      <scheme val="minor"/>
    </font>
    <font>
      <i/>
      <sz val="11"/>
      <name val="Calibri"/>
      <family val="2"/>
      <scheme val="minor"/>
    </font>
    <font>
      <b/>
      <sz val="22"/>
      <color theme="1"/>
      <name val="Calibri"/>
      <family val="2"/>
      <scheme val="minor"/>
    </font>
    <font>
      <sz val="11"/>
      <name val="Calibri"/>
      <family val="2"/>
    </font>
    <font>
      <b/>
      <sz val="1"/>
      <color theme="0"/>
      <name val="Calibri"/>
      <family val="2"/>
      <scheme val="minor"/>
    </font>
    <font>
      <sz val="2"/>
      <color theme="0"/>
      <name val="Calibri"/>
      <family val="2"/>
      <scheme val="minor"/>
    </font>
    <font>
      <sz val="11"/>
      <color theme="5"/>
      <name val="Calibri"/>
      <family val="2"/>
      <scheme val="minor"/>
    </font>
    <font>
      <b/>
      <sz val="11"/>
      <color theme="9" tint="-0.499984740745262"/>
      <name val="Calibri"/>
      <family val="2"/>
      <scheme val="minor"/>
    </font>
    <font>
      <sz val="11"/>
      <color theme="9" tint="-0.249977111117893"/>
      <name val="Calibri"/>
      <family val="2"/>
      <scheme val="minor"/>
    </font>
    <font>
      <sz val="11"/>
      <color theme="5" tint="-0.499984740745262"/>
      <name val="Calibri"/>
      <family val="2"/>
      <scheme val="minor"/>
    </font>
    <font>
      <i/>
      <sz val="11"/>
      <color rgb="FFFF0000"/>
      <name val="Calibri"/>
      <family val="2"/>
      <scheme val="minor"/>
    </font>
    <font>
      <sz val="11"/>
      <color rgb="FF000000"/>
      <name val="Calibri"/>
      <family val="2"/>
      <scheme val="minor"/>
    </font>
    <font>
      <sz val="9"/>
      <name val="Microsoft Sans Serif"/>
      <family val="2"/>
    </font>
    <font>
      <sz val="11"/>
      <color indexed="8"/>
      <name val="Calibri"/>
      <family val="2"/>
    </font>
    <font>
      <sz val="9"/>
      <color indexed="12"/>
      <name val="Calibri"/>
      <family val="2"/>
      <scheme val="minor"/>
    </font>
    <font>
      <sz val="9"/>
      <color indexed="21"/>
      <name val="Calibri"/>
      <family val="2"/>
      <scheme val="minor"/>
    </font>
    <font>
      <b/>
      <sz val="9"/>
      <name val="Calibri"/>
      <family val="2"/>
      <scheme val="minor"/>
    </font>
    <font>
      <sz val="10"/>
      <name val="Calibri"/>
      <family val="2"/>
      <scheme val="minor"/>
    </font>
    <font>
      <b/>
      <sz val="9"/>
      <color indexed="12"/>
      <name val="Calibri"/>
      <family val="2"/>
      <scheme val="minor"/>
    </font>
    <font>
      <sz val="9"/>
      <color rgb="FF002060"/>
      <name val="Calibri"/>
      <family val="2"/>
      <scheme val="minor"/>
    </font>
    <font>
      <b/>
      <sz val="9"/>
      <color rgb="FFFF0000"/>
      <name val="Calibri"/>
      <family val="2"/>
      <scheme val="minor"/>
    </font>
    <font>
      <i/>
      <sz val="8"/>
      <name val="Calibri"/>
      <family val="2"/>
      <scheme val="minor"/>
    </font>
    <font>
      <i/>
      <sz val="11"/>
      <color theme="1"/>
      <name val="Calibri"/>
      <family val="2"/>
      <scheme val="minor"/>
    </font>
    <font>
      <sz val="10"/>
      <name val="MS Sans Serif"/>
      <family val="2"/>
    </font>
    <font>
      <sz val="10"/>
      <color indexed="8"/>
      <name val="Arial"/>
      <family val="2"/>
    </font>
    <font>
      <sz val="10"/>
      <color indexed="10"/>
      <name val="Arial"/>
      <family val="2"/>
    </font>
    <font>
      <sz val="10"/>
      <color indexed="9"/>
      <name val="Arial"/>
      <family val="2"/>
    </font>
    <font>
      <b/>
      <sz val="10"/>
      <color indexed="52"/>
      <name val="Arial"/>
      <family val="2"/>
    </font>
    <font>
      <sz val="10"/>
      <color indexed="52"/>
      <name val="Arial"/>
      <family val="2"/>
    </font>
    <font>
      <sz val="10"/>
      <name val="Geneva"/>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b/>
      <sz val="10"/>
      <color theme="0"/>
      <name val="Arial"/>
      <family val="2"/>
    </font>
    <font>
      <i/>
      <sz val="11"/>
      <color theme="0"/>
      <name val="Calibri"/>
      <family val="2"/>
      <scheme val="minor"/>
    </font>
    <font>
      <u/>
      <sz val="10"/>
      <color indexed="12"/>
      <name val="Arial"/>
      <family val="2"/>
    </font>
    <font>
      <i/>
      <sz val="9"/>
      <color theme="5"/>
      <name val="Calibri"/>
      <family val="2"/>
      <scheme val="minor"/>
    </font>
    <font>
      <sz val="3"/>
      <color theme="0"/>
      <name val="Calibri"/>
      <family val="2"/>
      <scheme val="minor"/>
    </font>
    <font>
      <sz val="9"/>
      <color indexed="16"/>
      <name val="Calibri"/>
      <family val="2"/>
      <scheme val="minor"/>
    </font>
    <font>
      <sz val="9"/>
      <color rgb="FFFF0000"/>
      <name val="Calibri"/>
      <family val="2"/>
      <scheme val="minor"/>
    </font>
    <font>
      <sz val="10"/>
      <color theme="0"/>
      <name val="Calibri"/>
      <family val="2"/>
      <scheme val="minor"/>
    </font>
    <font>
      <b/>
      <sz val="11"/>
      <color rgb="FFDAEEF3"/>
      <name val="Calibri"/>
      <family val="2"/>
      <scheme val="minor"/>
    </font>
    <font>
      <b/>
      <sz val="11"/>
      <color rgb="FFFFFFCC"/>
      <name val="Calibri"/>
      <family val="2"/>
      <scheme val="minor"/>
    </font>
    <font>
      <sz val="12"/>
      <color rgb="FFFF0000"/>
      <name val="Calibri"/>
      <family val="2"/>
      <scheme val="minor"/>
    </font>
    <font>
      <sz val="10"/>
      <name val="Arial"/>
      <family val="2"/>
    </font>
    <font>
      <b/>
      <sz val="20"/>
      <color rgb="FFFF0000"/>
      <name val="Calibri"/>
      <family val="2"/>
      <scheme val="minor"/>
    </font>
    <font>
      <b/>
      <sz val="22"/>
      <color rgb="FFFF0000"/>
      <name val="Calibri"/>
      <family val="2"/>
      <scheme val="minor"/>
    </font>
    <font>
      <b/>
      <sz val="12"/>
      <color rgb="FFFF0000"/>
      <name val="Calibri"/>
      <family val="2"/>
      <scheme val="minor"/>
    </font>
    <font>
      <b/>
      <sz val="16"/>
      <color rgb="FFFF0000"/>
      <name val="Calibri"/>
      <family val="2"/>
      <scheme val="minor"/>
    </font>
    <font>
      <sz val="10"/>
      <name val="Arial"/>
      <family val="2"/>
    </font>
    <font>
      <sz val="9"/>
      <color indexed="81"/>
      <name val="Tahoma"/>
      <family val="2"/>
    </font>
    <font>
      <b/>
      <sz val="9"/>
      <color indexed="81"/>
      <name val="Tahoma"/>
      <family val="2"/>
    </font>
    <font>
      <sz val="11"/>
      <name val="Arial"/>
      <family val="2"/>
    </font>
    <font>
      <sz val="8"/>
      <name val="Arial"/>
      <family val="2"/>
    </font>
    <font>
      <sz val="8"/>
      <name val="Arial"/>
      <family val="2"/>
    </font>
    <font>
      <sz val="9"/>
      <name val="Geneva"/>
    </font>
    <font>
      <sz val="7"/>
      <name val="Arial"/>
      <family val="2"/>
    </font>
    <font>
      <sz val="8"/>
      <color indexed="8"/>
      <name val="Arial"/>
      <family val="2"/>
    </font>
    <font>
      <sz val="6"/>
      <name val="Arial"/>
      <family val="2"/>
    </font>
    <font>
      <sz val="7"/>
      <color indexed="8"/>
      <name val="Arial"/>
      <family val="2"/>
    </font>
    <font>
      <b/>
      <sz val="7"/>
      <color indexed="9"/>
      <name val="Arial"/>
      <family val="2"/>
    </font>
    <font>
      <sz val="6.5"/>
      <name val="Arial"/>
      <family val="2"/>
    </font>
    <font>
      <b/>
      <sz val="8.5"/>
      <color indexed="50"/>
      <name val="Arial"/>
      <family val="2"/>
    </font>
    <font>
      <b/>
      <sz val="7"/>
      <name val="Arial"/>
      <family val="2"/>
    </font>
    <font>
      <sz val="14"/>
      <color indexed="50"/>
      <name val="Arial"/>
      <family val="2"/>
    </font>
    <font>
      <sz val="11"/>
      <color rgb="FF0000FF"/>
      <name val="Calibri"/>
      <family val="2"/>
    </font>
    <font>
      <sz val="8"/>
      <name val="Arial"/>
      <family val="2"/>
    </font>
    <font>
      <u/>
      <sz val="8"/>
      <color indexed="12"/>
      <name val="Arial"/>
      <family val="2"/>
    </font>
    <font>
      <sz val="10"/>
      <name val="Arial"/>
      <family val="2"/>
    </font>
    <font>
      <sz val="11"/>
      <color rgb="FF00B050"/>
      <name val="Calibri"/>
      <family val="2"/>
      <scheme val="minor"/>
    </font>
    <font>
      <i/>
      <sz val="9"/>
      <color theme="1"/>
      <name val="Calibri"/>
      <family val="2"/>
      <scheme val="minor"/>
    </font>
    <font>
      <b/>
      <sz val="11"/>
      <color rgb="FF00B050"/>
      <name val="Calibri"/>
      <family val="2"/>
      <scheme val="minor"/>
    </font>
    <font>
      <b/>
      <sz val="11"/>
      <color theme="9" tint="-0.249977111117893"/>
      <name val="Calibri"/>
      <family val="2"/>
      <scheme val="minor"/>
    </font>
    <font>
      <i/>
      <sz val="11"/>
      <color rgb="FF0070C0"/>
      <name val="Calibri"/>
      <family val="2"/>
      <scheme val="minor"/>
    </font>
    <font>
      <u/>
      <sz val="11"/>
      <color theme="3" tint="0.39997558519241921"/>
      <name val="Calibri"/>
      <family val="2"/>
      <scheme val="minor"/>
    </font>
    <font>
      <sz val="11"/>
      <color theme="3" tint="0.39997558519241921"/>
      <name val="Calibri"/>
      <family val="2"/>
      <scheme val="minor"/>
    </font>
    <font>
      <u/>
      <sz val="11"/>
      <color theme="3" tint="0.39997558519241921"/>
      <name val="Calibri"/>
      <family val="2"/>
    </font>
    <font>
      <sz val="11"/>
      <color theme="3" tint="0.39997558519241921"/>
      <name val="Calibri"/>
      <family val="2"/>
    </font>
    <font>
      <sz val="11"/>
      <color rgb="FFFFFF00"/>
      <name val="Calibri"/>
      <family val="2"/>
      <scheme val="minor"/>
    </font>
    <font>
      <b/>
      <sz val="10"/>
      <color rgb="FF00B050"/>
      <name val="Arial"/>
      <family val="2"/>
    </font>
    <font>
      <sz val="18"/>
      <color theme="3"/>
      <name val="Cambria"/>
      <family val="2"/>
      <scheme val="major"/>
    </font>
    <font>
      <u/>
      <sz val="11"/>
      <color theme="10"/>
      <name val="Calibri"/>
      <family val="2"/>
      <scheme val="minor"/>
    </font>
    <font>
      <b/>
      <sz val="12"/>
      <name val="Arial"/>
      <family val="2"/>
    </font>
    <font>
      <sz val="10"/>
      <name val="Arial"/>
      <family val="2"/>
    </font>
    <font>
      <b/>
      <sz val="9"/>
      <name val="Arial"/>
      <family val="2"/>
    </font>
    <font>
      <b/>
      <sz val="9"/>
      <color indexed="18"/>
      <name val="Arial"/>
      <family val="2"/>
    </font>
    <font>
      <b/>
      <sz val="8"/>
      <color indexed="18"/>
      <name val="Arial"/>
      <family val="2"/>
    </font>
    <font>
      <b/>
      <sz val="12"/>
      <color indexed="18"/>
      <name val="Arial"/>
      <family val="2"/>
    </font>
    <font>
      <b/>
      <sz val="14"/>
      <color indexed="8"/>
      <name val="Arial"/>
      <family val="2"/>
    </font>
    <font>
      <b/>
      <sz val="16"/>
      <name val="Arial"/>
      <family val="2"/>
    </font>
    <font>
      <sz val="10"/>
      <name val="Arial"/>
      <family val="2"/>
      <charset val="204"/>
    </font>
    <font>
      <sz val="8"/>
      <name val="Arial"/>
      <family val="2"/>
      <charset val="204"/>
    </font>
    <font>
      <b/>
      <u/>
      <sz val="8"/>
      <name val="Tahoma"/>
      <family val="2"/>
      <charset val="204"/>
    </font>
    <font>
      <b/>
      <u/>
      <sz val="9"/>
      <name val="Arial Cyr"/>
      <family val="2"/>
      <charset val="204"/>
    </font>
    <font>
      <u/>
      <sz val="10"/>
      <name val="Arial"/>
      <family val="2"/>
      <charset val="204"/>
    </font>
    <font>
      <b/>
      <sz val="8"/>
      <name val="Tahoma"/>
      <family val="2"/>
      <charset val="204"/>
    </font>
    <font>
      <b/>
      <sz val="9"/>
      <name val="Arial Cyr"/>
      <family val="2"/>
      <charset val="204"/>
    </font>
    <font>
      <i/>
      <sz val="10"/>
      <name val="Arial"/>
      <family val="2"/>
      <charset val="204"/>
    </font>
    <font>
      <sz val="10"/>
      <name val="Arial Cyr"/>
      <family val="2"/>
      <charset val="204"/>
    </font>
    <font>
      <sz val="8"/>
      <name val="Tahoma"/>
      <family val="2"/>
      <charset val="204"/>
    </font>
    <font>
      <sz val="9"/>
      <name val="Arial Cyr"/>
      <family val="2"/>
      <charset val="204"/>
    </font>
    <font>
      <u/>
      <sz val="8"/>
      <name val="Tahoma"/>
      <family val="2"/>
      <charset val="204"/>
    </font>
    <font>
      <u/>
      <sz val="9"/>
      <name val="Arial"/>
      <family val="2"/>
      <charset val="204"/>
    </font>
    <font>
      <sz val="9"/>
      <name val="Arial"/>
      <family val="2"/>
      <charset val="204"/>
    </font>
    <font>
      <u/>
      <sz val="8"/>
      <color theme="10"/>
      <name val="Arial"/>
      <family val="2"/>
    </font>
    <font>
      <sz val="11"/>
      <color theme="1"/>
      <name val="Arial"/>
      <family val="2"/>
    </font>
    <font>
      <sz val="10"/>
      <name val="Arial"/>
      <family val="2"/>
    </font>
    <font>
      <b/>
      <i/>
      <sz val="11"/>
      <name val="Calibri"/>
      <family val="2"/>
      <scheme val="minor"/>
    </font>
    <font>
      <sz val="11"/>
      <color rgb="FF00B0F0"/>
      <name val="Calibri"/>
      <family val="2"/>
      <scheme val="minor"/>
    </font>
    <font>
      <sz val="12"/>
      <name val="Arial"/>
      <family val="2"/>
    </font>
    <font>
      <sz val="8"/>
      <color theme="0"/>
      <name val="Calibri"/>
      <family val="2"/>
      <scheme val="minor"/>
    </font>
    <font>
      <b/>
      <i/>
      <sz val="11"/>
      <color rgb="FF00B050"/>
      <name val="Calibri"/>
      <family val="2"/>
      <scheme val="minor"/>
    </font>
    <font>
      <sz val="12"/>
      <name val="Calibri"/>
      <family val="2"/>
      <scheme val="minor"/>
    </font>
    <font>
      <sz val="12"/>
      <color rgb="FF00B050"/>
      <name val="Calibri"/>
      <family val="2"/>
      <scheme val="minor"/>
    </font>
    <font>
      <sz val="11"/>
      <color theme="2" tint="-0.499984740745262"/>
      <name val="Calibri"/>
      <family val="2"/>
      <scheme val="minor"/>
    </font>
    <font>
      <b/>
      <sz val="11"/>
      <color theme="2" tint="-0.499984740745262"/>
      <name val="Calibri"/>
      <family val="2"/>
      <scheme val="minor"/>
    </font>
    <font>
      <sz val="16"/>
      <name val="Calibri"/>
      <family val="2"/>
      <scheme val="minor"/>
    </font>
    <font>
      <sz val="8"/>
      <color rgb="FFFF0000"/>
      <name val="Calibri"/>
      <family val="2"/>
      <scheme val="minor"/>
    </font>
    <font>
      <b/>
      <sz val="8"/>
      <color theme="0"/>
      <name val="Calibri"/>
      <family val="2"/>
      <scheme val="minor"/>
    </font>
    <font>
      <sz val="18"/>
      <color rgb="FFFF0000"/>
      <name val="Calibri"/>
      <family val="2"/>
      <scheme val="minor"/>
    </font>
    <font>
      <sz val="12"/>
      <color theme="0"/>
      <name val="Calibri"/>
      <family val="2"/>
      <scheme val="minor"/>
    </font>
    <font>
      <b/>
      <sz val="11"/>
      <color rgb="FF0070C0"/>
      <name val="Calibri"/>
      <family val="2"/>
      <scheme val="minor"/>
    </font>
    <font>
      <sz val="11"/>
      <color rgb="FF0070C0"/>
      <name val="Calibri"/>
      <family val="2"/>
      <scheme val="minor"/>
    </font>
    <font>
      <b/>
      <sz val="11"/>
      <color theme="8" tint="0.79998168889431442"/>
      <name val="Calibri"/>
      <family val="2"/>
      <scheme val="minor"/>
    </font>
  </fonts>
  <fills count="140">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theme="6" tint="0.79998168889431442"/>
        <bgColor indexed="64"/>
      </patternFill>
    </fill>
    <fill>
      <patternFill patternType="solid">
        <fgColor theme="0"/>
        <bgColor indexed="64"/>
      </patternFill>
    </fill>
    <fill>
      <patternFill patternType="solid">
        <fgColor theme="6"/>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79998168889431442"/>
        <bgColor theme="6" tint="0.79998168889431442"/>
      </patternFill>
    </fill>
    <fill>
      <patternFill patternType="solid">
        <fgColor theme="4"/>
        <bgColor theme="6"/>
      </patternFill>
    </fill>
    <fill>
      <patternFill patternType="solid">
        <fgColor theme="5" tint="0.79998168889431442"/>
        <bgColor indexed="64"/>
      </patternFill>
    </fill>
    <fill>
      <patternFill patternType="solid">
        <fgColor rgb="FFFFC000"/>
        <bgColor indexed="64"/>
      </patternFill>
    </fill>
    <fill>
      <patternFill patternType="solid">
        <fgColor rgb="FFFFFF99"/>
        <bgColor indexed="64"/>
      </patternFill>
    </fill>
    <fill>
      <patternFill patternType="solid">
        <fgColor rgb="FFFFFF99"/>
        <bgColor theme="6" tint="0.79998168889431442"/>
      </patternFill>
    </fill>
    <fill>
      <patternFill patternType="solid">
        <fgColor theme="7"/>
        <bgColor indexed="64"/>
      </patternFill>
    </fill>
    <fill>
      <patternFill patternType="solid">
        <fgColor theme="7"/>
        <bgColor theme="6"/>
      </patternFill>
    </fill>
    <fill>
      <patternFill patternType="solid">
        <fgColor theme="7" tint="0.79998168889431442"/>
        <bgColor theme="6" tint="0.79998168889431442"/>
      </patternFill>
    </fill>
    <fill>
      <patternFill patternType="solid">
        <fgColor theme="2" tint="-0.499984740745262"/>
        <bgColor theme="6"/>
      </patternFill>
    </fill>
    <fill>
      <patternFill patternType="solid">
        <fgColor theme="5"/>
        <bgColor indexed="64"/>
      </patternFill>
    </fill>
    <fill>
      <patternFill patternType="solid">
        <fgColor theme="5"/>
        <bgColor theme="6"/>
      </patternFill>
    </fill>
    <fill>
      <patternFill patternType="solid">
        <fgColor rgb="FFD6D1B8"/>
        <bgColor theme="6" tint="0.79998168889431442"/>
      </patternFill>
    </fill>
    <fill>
      <patternFill patternType="solid">
        <fgColor theme="8"/>
        <bgColor indexed="64"/>
      </patternFill>
    </fill>
    <fill>
      <patternFill patternType="solid">
        <fgColor theme="8" tint="0.79998168889431442"/>
        <bgColor theme="6" tint="0.79998168889431442"/>
      </patternFill>
    </fill>
    <fill>
      <patternFill patternType="solid">
        <fgColor theme="8"/>
        <bgColor theme="6"/>
      </patternFill>
    </fill>
    <fill>
      <patternFill patternType="solid">
        <fgColor rgb="FFFFFFCC"/>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F66CC"/>
        <bgColor theme="6"/>
      </patternFill>
    </fill>
    <fill>
      <patternFill patternType="solid">
        <fgColor rgb="FFFAD6F2"/>
        <bgColor theme="6" tint="0.79998168889431442"/>
      </patternFill>
    </fill>
    <fill>
      <patternFill patternType="solid">
        <fgColor rgb="FFFAD6F2"/>
        <bgColor indexed="64"/>
      </patternFill>
    </fill>
    <fill>
      <patternFill patternType="solid">
        <fgColor rgb="FFFF66C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C89600"/>
        <bgColor indexed="64"/>
      </patternFill>
    </fill>
    <fill>
      <patternFill patternType="solid">
        <fgColor rgb="FFC89600"/>
        <bgColor theme="6"/>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theme="6"/>
      </patternFill>
    </fill>
    <fill>
      <patternFill patternType="solid">
        <fgColor theme="0" tint="-0.14999847407452621"/>
        <bgColor theme="6" tint="0.79998168889431442"/>
      </patternFill>
    </fill>
    <fill>
      <patternFill patternType="solid">
        <fgColor indexed="2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5" tint="-0.499984740745262"/>
        <bgColor indexed="64"/>
      </patternFill>
    </fill>
    <fill>
      <patternFill patternType="solid">
        <fgColor rgb="FFDAEEF3"/>
        <bgColor indexed="64"/>
      </patternFill>
    </fill>
    <fill>
      <patternFill patternType="solid">
        <fgColor rgb="FFC8E6EE"/>
        <bgColor indexed="64"/>
      </patternFill>
    </fill>
    <fill>
      <patternFill patternType="solid">
        <fgColor rgb="FFFFE7CF"/>
        <bgColor indexed="64"/>
      </patternFill>
    </fill>
    <fill>
      <patternFill patternType="solid">
        <fgColor rgb="FFFF870F"/>
        <bgColor indexed="64"/>
      </patternFill>
    </fill>
    <fill>
      <patternFill patternType="solid">
        <fgColor rgb="FFFF870F"/>
        <bgColor theme="6"/>
      </patternFill>
    </fill>
    <fill>
      <patternFill patternType="solid">
        <fgColor rgb="FFFFE7CF"/>
        <bgColor theme="6" tint="0.79998168889431442"/>
      </patternFill>
    </fill>
    <fill>
      <patternFill patternType="solid">
        <fgColor rgb="FFC5D9F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FF870F"/>
        <bgColor theme="6" tint="0.79998168889431442"/>
      </patternFill>
    </fill>
    <fill>
      <patternFill patternType="solid">
        <fgColor rgb="FFC89600"/>
        <bgColor theme="6" tint="0.79998168889431442"/>
      </patternFill>
    </fill>
    <fill>
      <patternFill patternType="solid">
        <fgColor rgb="FFFF66CC"/>
        <bgColor theme="6" tint="0.79998168889431442"/>
      </patternFill>
    </fill>
    <fill>
      <patternFill patternType="solid">
        <fgColor rgb="FF9BBB59"/>
        <bgColor theme="6"/>
      </patternFill>
    </fill>
    <fill>
      <patternFill patternType="solid">
        <fgColor rgb="FF9BBB59"/>
        <bgColor theme="6" tint="0.79998168889431442"/>
      </patternFill>
    </fill>
    <fill>
      <patternFill patternType="solid">
        <fgColor rgb="FF9BBB59"/>
        <bgColor indexed="64"/>
      </patternFill>
    </fill>
    <fill>
      <patternFill patternType="solid">
        <fgColor rgb="FFC0504D"/>
        <bgColor indexed="64"/>
      </patternFill>
    </fill>
    <fill>
      <patternFill patternType="solid">
        <fgColor rgb="FFC0504D"/>
        <bgColor theme="6" tint="0.79998168889431442"/>
      </patternFill>
    </fill>
    <fill>
      <patternFill patternType="solid">
        <fgColor rgb="FF8064A2"/>
        <bgColor theme="6"/>
      </patternFill>
    </fill>
    <fill>
      <patternFill patternType="solid">
        <fgColor rgb="FF8064A2"/>
        <bgColor theme="6" tint="0.79998168889431442"/>
      </patternFill>
    </fill>
    <fill>
      <patternFill patternType="solid">
        <fgColor rgb="FF8064A2"/>
        <bgColor indexed="64"/>
      </patternFill>
    </fill>
    <fill>
      <patternFill patternType="solid">
        <fgColor rgb="FF4F81BD"/>
        <bgColor theme="6"/>
      </patternFill>
    </fill>
    <fill>
      <patternFill patternType="solid">
        <fgColor rgb="FF4F81BD"/>
        <bgColor theme="6" tint="0.79998168889431442"/>
      </patternFill>
    </fill>
    <fill>
      <patternFill patternType="solid">
        <fgColor rgb="FF4F81BD"/>
        <bgColor indexed="64"/>
      </patternFill>
    </fill>
    <fill>
      <patternFill patternType="solid">
        <fgColor rgb="FF4BACC6"/>
        <bgColor theme="6"/>
      </patternFill>
    </fill>
    <fill>
      <patternFill patternType="solid">
        <fgColor rgb="FF4BACC6"/>
        <bgColor theme="6" tint="0.79998168889431442"/>
      </patternFill>
    </fill>
    <fill>
      <patternFill patternType="solid">
        <fgColor rgb="FF4BACC6"/>
        <bgColor indexed="64"/>
      </patternFill>
    </fill>
    <fill>
      <patternFill patternType="solid">
        <fgColor rgb="FF948A54"/>
        <bgColor theme="6"/>
      </patternFill>
    </fill>
    <fill>
      <patternFill patternType="solid">
        <fgColor rgb="FF948A54"/>
        <bgColor theme="6" tint="0.79998168889431442"/>
      </patternFill>
    </fill>
    <fill>
      <patternFill patternType="solid">
        <fgColor rgb="FF948A54"/>
        <bgColor indexed="64"/>
      </patternFill>
    </fill>
    <fill>
      <patternFill patternType="solid">
        <fgColor theme="8" tint="0.39997558519241921"/>
        <bgColor indexed="64"/>
      </patternFill>
    </fill>
    <fill>
      <patternFill patternType="solid">
        <fgColor indexed="42"/>
        <bgColor indexed="64"/>
      </patternFill>
    </fill>
    <fill>
      <patternFill patternType="mediumGray">
        <fgColor indexed="9"/>
        <bgColor indexed="26"/>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mediumGray">
        <fgColor indexed="9"/>
        <bgColor indexed="42"/>
      </patternFill>
    </fill>
    <fill>
      <patternFill patternType="lightGray">
        <fgColor indexed="43"/>
        <bgColor indexed="9"/>
      </patternFill>
    </fill>
    <fill>
      <patternFill patternType="solid">
        <fgColor theme="0"/>
        <bgColor theme="6" tint="0.79998168889431442"/>
      </patternFill>
    </fill>
  </fills>
  <borders count="96">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theme="6" tint="0.39997558519241921"/>
      </top>
      <bottom/>
      <diagonal/>
    </border>
    <border>
      <left style="thin">
        <color indexed="64"/>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style="medium">
        <color indexed="64"/>
      </right>
      <top/>
      <bottom style="double">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top/>
      <bottom style="thin">
        <color indexed="50"/>
      </bottom>
      <diagonal/>
    </border>
    <border>
      <left/>
      <right style="medium">
        <color indexed="64"/>
      </right>
      <top style="double">
        <color indexed="64"/>
      </top>
      <bottom style="medium">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theme="6" tint="0.39997558519241921"/>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8"/>
      </left>
      <right style="thin">
        <color indexed="8"/>
      </right>
      <top style="thin">
        <color indexed="8"/>
      </top>
      <bottom style="thin">
        <color indexed="8"/>
      </bottom>
      <diagonal/>
    </border>
  </borders>
  <cellStyleXfs count="45609">
    <xf numFmtId="0" fontId="0" fillId="0" borderId="0"/>
    <xf numFmtId="0" fontId="4" fillId="0" borderId="0" applyNumberFormat="0" applyFill="0" applyBorder="0" applyAlignment="0" applyProtection="0"/>
    <xf numFmtId="0" fontId="20" fillId="0" borderId="0" applyNumberFormat="0" applyFill="0" applyBorder="0" applyAlignment="0" applyProtection="0"/>
    <xf numFmtId="0" fontId="21" fillId="0" borderId="45" applyNumberFormat="0" applyFill="0" applyAlignment="0" applyProtection="0"/>
    <xf numFmtId="0" fontId="22" fillId="0" borderId="46" applyNumberFormat="0" applyFill="0" applyAlignment="0" applyProtection="0"/>
    <xf numFmtId="0" fontId="23" fillId="0" borderId="47" applyNumberFormat="0" applyFill="0" applyAlignment="0" applyProtection="0"/>
    <xf numFmtId="0" fontId="23" fillId="0" borderId="0" applyNumberFormat="0" applyFill="0" applyBorder="0" applyAlignment="0" applyProtection="0"/>
    <xf numFmtId="0" fontId="24" fillId="32" borderId="0" applyNumberFormat="0" applyBorder="0" applyAlignment="0" applyProtection="0"/>
    <xf numFmtId="0" fontId="25" fillId="33" borderId="0" applyNumberFormat="0" applyBorder="0" applyAlignment="0" applyProtection="0"/>
    <xf numFmtId="0" fontId="26" fillId="34" borderId="0" applyNumberFormat="0" applyBorder="0" applyAlignment="0" applyProtection="0"/>
    <xf numFmtId="0" fontId="27" fillId="35" borderId="48" applyNumberFormat="0" applyAlignment="0" applyProtection="0"/>
    <xf numFmtId="0" fontId="28" fillId="36" borderId="49" applyNumberFormat="0" applyAlignment="0" applyProtection="0"/>
    <xf numFmtId="0" fontId="29" fillId="36" borderId="48" applyNumberFormat="0" applyAlignment="0" applyProtection="0"/>
    <xf numFmtId="0" fontId="30" fillId="0" borderId="50" applyNumberFormat="0" applyFill="0" applyAlignment="0" applyProtection="0"/>
    <xf numFmtId="0" fontId="7" fillId="37" borderId="51" applyNumberFormat="0" applyAlignment="0" applyProtection="0"/>
    <xf numFmtId="0" fontId="8" fillId="0" borderId="0" applyNumberFormat="0" applyFill="0" applyBorder="0" applyAlignment="0" applyProtection="0"/>
    <xf numFmtId="0" fontId="31" fillId="0" borderId="0" applyNumberFormat="0" applyFill="0" applyBorder="0" applyAlignment="0" applyProtection="0"/>
    <xf numFmtId="0" fontId="5" fillId="0" borderId="52" applyNumberFormat="0" applyFill="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0" fontId="2" fillId="0" borderId="0"/>
    <xf numFmtId="0" fontId="2" fillId="0" borderId="0"/>
    <xf numFmtId="0" fontId="54" fillId="0" borderId="0"/>
    <xf numFmtId="0" fontId="54" fillId="0" borderId="0"/>
    <xf numFmtId="0" fontId="54" fillId="0" borderId="0"/>
    <xf numFmtId="0" fontId="54"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55" fillId="78" borderId="0" applyNumberFormat="0" applyBorder="0" applyAlignment="0" applyProtection="0"/>
    <xf numFmtId="0" fontId="55" fillId="84" borderId="0" applyNumberFormat="0" applyBorder="0" applyAlignment="0" applyProtection="0"/>
    <xf numFmtId="182" fontId="1" fillId="65" borderId="0" applyNumberFormat="0" applyBorder="0" applyAlignment="0" applyProtection="0"/>
    <xf numFmtId="0" fontId="55" fillId="79" borderId="0" applyNumberFormat="0" applyBorder="0" applyAlignment="0" applyProtection="0"/>
    <xf numFmtId="0" fontId="55" fillId="85" borderId="0" applyNumberFormat="0" applyBorder="0" applyAlignment="0" applyProtection="0"/>
    <xf numFmtId="182" fontId="1" fillId="67" borderId="0" applyNumberFormat="0" applyBorder="0" applyAlignment="0" applyProtection="0"/>
    <xf numFmtId="0" fontId="55" fillId="80" borderId="0" applyNumberFormat="0" applyBorder="0" applyAlignment="0" applyProtection="0"/>
    <xf numFmtId="0" fontId="55" fillId="88" borderId="0" applyNumberFormat="0" applyBorder="0" applyAlignment="0" applyProtection="0"/>
    <xf numFmtId="182" fontId="1" fillId="69" borderId="0" applyNumberFormat="0" applyBorder="0" applyAlignment="0" applyProtection="0"/>
    <xf numFmtId="0" fontId="55" fillId="81" borderId="0" applyNumberFormat="0" applyBorder="0" applyAlignment="0" applyProtection="0"/>
    <xf numFmtId="0" fontId="55" fillId="83" borderId="0" applyNumberFormat="0" applyBorder="0" applyAlignment="0" applyProtection="0"/>
    <xf numFmtId="182" fontId="1" fillId="71" borderId="0" applyNumberFormat="0" applyBorder="0" applyAlignment="0" applyProtection="0"/>
    <xf numFmtId="0" fontId="55" fillId="82" borderId="0" applyNumberFormat="0" applyBorder="0" applyAlignment="0" applyProtection="0"/>
    <xf numFmtId="182" fontId="1" fillId="73" borderId="0" applyNumberFormat="0" applyBorder="0" applyAlignment="0" applyProtection="0"/>
    <xf numFmtId="0" fontId="55" fillId="83" borderId="0" applyNumberFormat="0" applyBorder="0" applyAlignment="0" applyProtection="0"/>
    <xf numFmtId="0" fontId="55" fillId="88" borderId="0" applyNumberFormat="0" applyBorder="0" applyAlignment="0" applyProtection="0"/>
    <xf numFmtId="182" fontId="1" fillId="75" borderId="0" applyNumberFormat="0" applyBorder="0" applyAlignment="0" applyProtection="0"/>
    <xf numFmtId="0" fontId="55" fillId="84" borderId="0" applyNumberFormat="0" applyBorder="0" applyAlignment="0" applyProtection="0"/>
    <xf numFmtId="0" fontId="55" fillId="82" borderId="0" applyNumberFormat="0" applyBorder="0" applyAlignment="0" applyProtection="0"/>
    <xf numFmtId="182" fontId="1" fillId="66" borderId="0" applyNumberFormat="0" applyBorder="0" applyAlignment="0" applyProtection="0"/>
    <xf numFmtId="0" fontId="55" fillId="85" borderId="0" applyNumberFormat="0" applyBorder="0" applyAlignment="0" applyProtection="0"/>
    <xf numFmtId="182" fontId="1" fillId="68" borderId="0" applyNumberFormat="0" applyBorder="0" applyAlignment="0" applyProtection="0"/>
    <xf numFmtId="0" fontId="55" fillId="86" borderId="0" applyNumberFormat="0" applyBorder="0" applyAlignment="0" applyProtection="0"/>
    <xf numFmtId="0" fontId="55" fillId="89" borderId="0" applyNumberFormat="0" applyBorder="0" applyAlignment="0" applyProtection="0"/>
    <xf numFmtId="182" fontId="1" fillId="70" borderId="0" applyNumberFormat="0" applyBorder="0" applyAlignment="0" applyProtection="0"/>
    <xf numFmtId="0" fontId="55" fillId="81" borderId="0" applyNumberFormat="0" applyBorder="0" applyAlignment="0" applyProtection="0"/>
    <xf numFmtId="0" fontId="55" fillId="79" borderId="0" applyNumberFormat="0" applyBorder="0" applyAlignment="0" applyProtection="0"/>
    <xf numFmtId="182" fontId="1" fillId="72" borderId="0" applyNumberFormat="0" applyBorder="0" applyAlignment="0" applyProtection="0"/>
    <xf numFmtId="0" fontId="55" fillId="84" borderId="0" applyNumberFormat="0" applyBorder="0" applyAlignment="0" applyProtection="0"/>
    <xf numFmtId="0" fontId="55" fillId="82" borderId="0" applyNumberFormat="0" applyBorder="0" applyAlignment="0" applyProtection="0"/>
    <xf numFmtId="182" fontId="1" fillId="74" borderId="0" applyNumberFormat="0" applyBorder="0" applyAlignment="0" applyProtection="0"/>
    <xf numFmtId="0" fontId="55" fillId="87" borderId="0" applyNumberFormat="0" applyBorder="0" applyAlignment="0" applyProtection="0"/>
    <xf numFmtId="0" fontId="55" fillId="88" borderId="0" applyNumberFormat="0" applyBorder="0" applyAlignment="0" applyProtection="0"/>
    <xf numFmtId="182" fontId="1" fillId="76" borderId="0" applyNumberFormat="0" applyBorder="0" applyAlignment="0" applyProtection="0"/>
    <xf numFmtId="182" fontId="1" fillId="77" borderId="56" applyNumberFormat="0" applyFont="0" applyAlignment="0" applyProtection="0"/>
    <xf numFmtId="0" fontId="55" fillId="82" borderId="0" applyNumberFormat="0" applyBorder="0" applyAlignment="0" applyProtection="0"/>
    <xf numFmtId="0" fontId="55" fillId="85" borderId="0" applyNumberFormat="0" applyBorder="0" applyAlignment="0" applyProtection="0"/>
    <xf numFmtId="44" fontId="53" fillId="0" borderId="0" applyFont="0" applyFill="0" applyBorder="0" applyAlignment="0" applyProtection="0"/>
    <xf numFmtId="9" fontId="2" fillId="0" borderId="0" applyFont="0" applyFill="0" applyBorder="0" applyAlignment="0" applyProtection="0"/>
    <xf numFmtId="4" fontId="65" fillId="0" borderId="0" applyFont="0" applyFill="0" applyBorder="0" applyAlignment="0" applyProtection="0"/>
    <xf numFmtId="183" fontId="65" fillId="0" borderId="0" applyFont="0" applyFill="0" applyBorder="0" applyAlignment="0" applyProtection="0"/>
    <xf numFmtId="9" fontId="65" fillId="0" borderId="0" applyFont="0" applyFill="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53" fillId="0" borderId="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53" fillId="0" borderId="0" applyFont="0" applyFill="0" applyBorder="0" applyAlignment="0" applyProtection="0"/>
    <xf numFmtId="4" fontId="65" fillId="0" borderId="0" applyFont="0" applyFill="0" applyBorder="0" applyAlignment="0" applyProtection="0"/>
    <xf numFmtId="183" fontId="65" fillId="0" borderId="0" applyFont="0" applyFill="0" applyBorder="0" applyAlignment="0" applyProtection="0"/>
    <xf numFmtId="0" fontId="4" fillId="0" borderId="0" applyNumberFormat="0" applyFill="0" applyBorder="0" applyAlignment="0" applyProtection="0"/>
    <xf numFmtId="0" fontId="2" fillId="0" borderId="0"/>
    <xf numFmtId="9" fontId="65"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66" fillId="84" borderId="0" applyNumberFormat="0" applyBorder="0" applyAlignment="0" applyProtection="0"/>
    <xf numFmtId="43" fontId="1" fillId="0" borderId="0" applyFont="0" applyFill="0" applyBorder="0" applyAlignment="0" applyProtection="0"/>
    <xf numFmtId="4" fontId="65" fillId="0" borderId="0" applyFont="0" applyFill="0" applyBorder="0" applyAlignment="0" applyProtection="0"/>
    <xf numFmtId="0" fontId="66" fillId="81" borderId="0" applyNumberFormat="0" applyBorder="0" applyAlignment="0" applyProtection="0"/>
    <xf numFmtId="43" fontId="1" fillId="0" borderId="0" applyFont="0" applyFill="0" applyBorder="0" applyAlignment="0" applyProtection="0"/>
    <xf numFmtId="0" fontId="68" fillId="9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91" borderId="0" applyNumberFormat="0" applyBorder="0" applyAlignment="0" applyProtection="0"/>
    <xf numFmtId="0" fontId="68" fillId="91" borderId="0" applyNumberFormat="0" applyBorder="0" applyAlignment="0" applyProtection="0"/>
    <xf numFmtId="43" fontId="1" fillId="0" borderId="0" applyFont="0" applyFill="0" applyBorder="0" applyAlignment="0" applyProtection="0"/>
    <xf numFmtId="0" fontId="70" fillId="0" borderId="60" applyNumberFormat="0" applyFill="0" applyAlignment="0" applyProtection="0"/>
    <xf numFmtId="0" fontId="66" fillId="82" borderId="0" applyNumberFormat="0" applyBorder="0" applyAlignment="0" applyProtection="0"/>
    <xf numFmtId="165" fontId="71" fillId="0" borderId="0" applyFont="0" applyFill="0" applyBorder="0" applyAlignment="0" applyProtection="0"/>
    <xf numFmtId="0" fontId="68" fillId="96" borderId="0" applyNumberFormat="0" applyBorder="0" applyAlignment="0" applyProtection="0"/>
    <xf numFmtId="0" fontId="67" fillId="0" borderId="0" applyNumberFormat="0" applyFill="0" applyBorder="0" applyAlignment="0" applyProtection="0"/>
    <xf numFmtId="43" fontId="1" fillId="0" borderId="0" applyFont="0" applyFill="0" applyBorder="0" applyAlignment="0" applyProtection="0"/>
    <xf numFmtId="0" fontId="66" fillId="86"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6" fillId="8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6" fillId="8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98" borderId="5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92" borderId="0" applyNumberFormat="0" applyBorder="0" applyAlignment="0" applyProtection="0"/>
    <xf numFmtId="0" fontId="66" fillId="84" borderId="0" applyNumberFormat="0" applyBorder="0" applyAlignment="0" applyProtection="0"/>
    <xf numFmtId="43" fontId="1" fillId="0" borderId="0" applyFont="0" applyFill="0" applyBorder="0" applyAlignment="0" applyProtection="0"/>
    <xf numFmtId="0" fontId="68" fillId="9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0" fontId="66" fillId="85" borderId="0" applyNumberFormat="0" applyBorder="0" applyAlignment="0" applyProtection="0"/>
    <xf numFmtId="0" fontId="66" fillId="87" borderId="0" applyNumberFormat="0" applyBorder="0" applyAlignment="0" applyProtection="0"/>
    <xf numFmtId="43" fontId="1" fillId="0" borderId="0" applyFont="0" applyFill="0" applyBorder="0" applyAlignment="0" applyProtection="0"/>
    <xf numFmtId="0" fontId="68" fillId="9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2" fillId="0" borderId="0" applyFill="0" applyBorder="0" applyAlignment="0" applyProtection="0">
      <alignment wrapText="1"/>
    </xf>
    <xf numFmtId="43" fontId="1" fillId="0" borderId="0" applyFont="0" applyFill="0" applyBorder="0" applyAlignment="0" applyProtection="0"/>
    <xf numFmtId="43" fontId="1" fillId="0" borderId="0" applyFont="0" applyFill="0" applyBorder="0" applyAlignment="0" applyProtection="0"/>
    <xf numFmtId="0" fontId="66" fillId="7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6" fillId="83" borderId="0" applyNumberFormat="0" applyBorder="0" applyAlignment="0" applyProtection="0"/>
    <xf numFmtId="0" fontId="68" fillId="97" borderId="0" applyNumberFormat="0" applyBorder="0" applyAlignment="0" applyProtection="0"/>
    <xf numFmtId="0" fontId="68" fillId="90" borderId="0" applyNumberFormat="0" applyBorder="0" applyAlignment="0" applyProtection="0"/>
    <xf numFmtId="43" fontId="1" fillId="0" borderId="0" applyFont="0" applyFill="0" applyBorder="0" applyAlignment="0" applyProtection="0"/>
    <xf numFmtId="0" fontId="68" fillId="9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86" borderId="0" applyNumberFormat="0" applyBorder="0" applyAlignment="0" applyProtection="0"/>
    <xf numFmtId="0" fontId="68" fillId="8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6" fillId="7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66" fillId="88" borderId="61" applyNumberFormat="0" applyFont="0" applyAlignment="0" applyProtection="0"/>
    <xf numFmtId="44" fontId="2" fillId="0" borderId="0" applyFont="0" applyFill="0" applyBorder="0" applyAlignment="0" applyProtection="0"/>
    <xf numFmtId="0" fontId="72" fillId="83" borderId="59" applyNumberFormat="0" applyAlignment="0" applyProtection="0"/>
    <xf numFmtId="0" fontId="73" fillId="79" borderId="0" applyNumberFormat="0" applyBorder="0" applyAlignment="0" applyProtection="0"/>
    <xf numFmtId="0" fontId="74" fillId="8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3"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2" fillId="0" borderId="0"/>
    <xf numFmtId="0" fontId="2" fillId="0" borderId="0"/>
    <xf numFmtId="0" fontId="65" fillId="0" borderId="0"/>
    <xf numFmtId="0" fontId="2" fillId="0" borderId="0"/>
    <xf numFmtId="0" fontId="71" fillId="0" borderId="0"/>
    <xf numFmtId="0" fontId="65" fillId="0" borderId="0"/>
    <xf numFmtId="4" fontId="65" fillId="0" borderId="0" applyFont="0" applyFill="0" applyBorder="0" applyAlignment="0" applyProtection="0"/>
    <xf numFmtId="0" fontId="2" fillId="0" borderId="0"/>
    <xf numFmtId="0" fontId="65" fillId="0" borderId="0"/>
    <xf numFmtId="0" fontId="2" fillId="0" borderId="0"/>
    <xf numFmtId="0" fontId="2" fillId="0" borderId="0"/>
    <xf numFmtId="0" fontId="65" fillId="0" borderId="0"/>
    <xf numFmtId="0" fontId="2" fillId="0" borderId="0"/>
    <xf numFmtId="0" fontId="2" fillId="0" borderId="0"/>
    <xf numFmtId="0" fontId="7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5" fillId="80" borderId="0" applyNumberFormat="0" applyBorder="0" applyAlignment="0" applyProtection="0"/>
    <xf numFmtId="0" fontId="76" fillId="98" borderId="62" applyNumberFormat="0" applyAlignment="0" applyProtection="0"/>
    <xf numFmtId="184"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77" fillId="0" borderId="0" applyNumberFormat="0" applyFill="0" applyBorder="0" applyAlignment="0" applyProtection="0"/>
    <xf numFmtId="0" fontId="78" fillId="0" borderId="0" applyNumberFormat="0" applyFill="0" applyBorder="0" applyAlignment="0" applyProtection="0"/>
    <xf numFmtId="0" fontId="79" fillId="0" borderId="63" applyNumberFormat="0" applyFill="0" applyAlignment="0" applyProtection="0"/>
    <xf numFmtId="0" fontId="80" fillId="0" borderId="64" applyNumberFormat="0" applyFill="0" applyAlignment="0" applyProtection="0"/>
    <xf numFmtId="0" fontId="81" fillId="0" borderId="65" applyNumberFormat="0" applyFill="0" applyAlignment="0" applyProtection="0"/>
    <xf numFmtId="0" fontId="81" fillId="0" borderId="0" applyNumberFormat="0" applyFill="0" applyBorder="0" applyAlignment="0" applyProtection="0"/>
    <xf numFmtId="0" fontId="82" fillId="0" borderId="66" applyNumberFormat="0" applyFill="0" applyAlignment="0" applyProtection="0"/>
    <xf numFmtId="0" fontId="83" fillId="99" borderId="6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5" fillId="0" borderId="0" applyFont="0" applyFill="0" applyBorder="0" applyAlignment="0" applyProtection="0"/>
    <xf numFmtId="165" fontId="1" fillId="0" borderId="0" applyFont="0" applyFill="0" applyBorder="0" applyAlignment="0" applyProtection="0"/>
    <xf numFmtId="4" fontId="65" fillId="0" borderId="0" applyFont="0" applyFill="0" applyBorder="0" applyAlignment="0" applyProtection="0"/>
    <xf numFmtId="43" fontId="1" fillId="0" borderId="0" applyFont="0" applyFill="0" applyBorder="0" applyAlignment="0" applyProtection="0"/>
    <xf numFmtId="165" fontId="71" fillId="0" borderId="0" applyFont="0" applyFill="0" applyBorder="0" applyAlignment="0" applyProtection="0"/>
    <xf numFmtId="43" fontId="5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 fontId="6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65" fillId="0" borderId="0" applyFont="0" applyFill="0" applyBorder="0" applyAlignment="0" applyProtection="0"/>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5" fillId="0" borderId="0"/>
    <xf numFmtId="0" fontId="2" fillId="0" borderId="0"/>
    <xf numFmtId="0" fontId="2" fillId="0" borderId="0"/>
    <xf numFmtId="0" fontId="2" fillId="0" borderId="0"/>
    <xf numFmtId="0" fontId="2" fillId="0" borderId="0"/>
    <xf numFmtId="0" fontId="2"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4" fillId="0" borderId="0"/>
    <xf numFmtId="0" fontId="2" fillId="0" borderId="0"/>
    <xf numFmtId="0" fontId="65"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4" fillId="0" borderId="0"/>
    <xf numFmtId="0" fontId="71" fillId="0" borderId="0"/>
    <xf numFmtId="0" fontId="65" fillId="0" borderId="0"/>
    <xf numFmtId="0" fontId="7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54" fillId="0" borderId="0"/>
    <xf numFmtId="0" fontId="71" fillId="0" borderId="0"/>
    <xf numFmtId="0" fontId="65" fillId="0" borderId="0"/>
    <xf numFmtId="0" fontId="7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71" fillId="0" borderId="0"/>
    <xf numFmtId="0" fontId="65"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2" fillId="0" borderId="0"/>
    <xf numFmtId="0" fontId="53"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71" fillId="0" borderId="0"/>
    <xf numFmtId="0" fontId="1" fillId="0" borderId="0"/>
    <xf numFmtId="0" fontId="1" fillId="0" borderId="0"/>
    <xf numFmtId="0" fontId="7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4" fillId="0" borderId="0"/>
    <xf numFmtId="0" fontId="2" fillId="0" borderId="0"/>
    <xf numFmtId="0" fontId="2" fillId="0" borderId="0"/>
    <xf numFmtId="0" fontId="2" fillId="0" borderId="0" applyNumberFormat="0" applyFill="0" applyBorder="0" applyAlignment="0" applyProtection="0"/>
    <xf numFmtId="0" fontId="54" fillId="0" borderId="0"/>
    <xf numFmtId="0" fontId="2" fillId="0" borderId="0"/>
    <xf numFmtId="0" fontId="2" fillId="0" borderId="0"/>
    <xf numFmtId="0" fontId="2" fillId="0" borderId="0" applyNumberFormat="0" applyFill="0" applyBorder="0" applyAlignment="0" applyProtection="0"/>
    <xf numFmtId="0" fontId="54" fillId="0" borderId="0"/>
    <xf numFmtId="0" fontId="2" fillId="0" borderId="0"/>
    <xf numFmtId="0" fontId="2" fillId="0" borderId="0"/>
    <xf numFmtId="0" fontId="2" fillId="0" borderId="0" applyNumberFormat="0" applyFill="0" applyBorder="0" applyAlignment="0" applyProtection="0"/>
    <xf numFmtId="0" fontId="54" fillId="0" borderId="0"/>
    <xf numFmtId="0" fontId="2" fillId="0" borderId="0"/>
    <xf numFmtId="0" fontId="2" fillId="0" borderId="0"/>
    <xf numFmtId="0" fontId="2" fillId="0" borderId="0" applyNumberFormat="0" applyFill="0" applyBorder="0" applyAlignment="0" applyProtection="0"/>
    <xf numFmtId="0" fontId="54" fillId="0" borderId="0"/>
    <xf numFmtId="0" fontId="2" fillId="0" borderId="0"/>
    <xf numFmtId="0" fontId="2" fillId="0" borderId="0"/>
    <xf numFmtId="0" fontId="2" fillId="0" borderId="0"/>
    <xf numFmtId="0" fontId="54" fillId="0" borderId="0"/>
    <xf numFmtId="0" fontId="2" fillId="0" borderId="0"/>
    <xf numFmtId="0" fontId="2" fillId="0" borderId="0"/>
    <xf numFmtId="0" fontId="2" fillId="0" borderId="0"/>
    <xf numFmtId="0" fontId="2" fillId="0" borderId="0"/>
    <xf numFmtId="0" fontId="54" fillId="0" borderId="0"/>
    <xf numFmtId="0" fontId="2" fillId="0" borderId="0"/>
    <xf numFmtId="0" fontId="71" fillId="0" borderId="0"/>
    <xf numFmtId="0" fontId="7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2" fillId="0" borderId="0" applyNumberFormat="0" applyFill="0" applyBorder="0" applyAlignment="0" applyProtection="0"/>
    <xf numFmtId="0" fontId="54"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71" fillId="0" borderId="0"/>
    <xf numFmtId="0" fontId="2" fillId="0" borderId="0"/>
    <xf numFmtId="0" fontId="2" fillId="0" borderId="0"/>
    <xf numFmtId="0" fontId="2" fillId="0" borderId="0"/>
    <xf numFmtId="0" fontId="2"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4"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71" fillId="0" borderId="0"/>
    <xf numFmtId="0" fontId="2" fillId="0" borderId="0" applyNumberFormat="0" applyFill="0" applyBorder="0" applyAlignment="0" applyProtection="0"/>
    <xf numFmtId="0" fontId="71" fillId="0" borderId="0"/>
    <xf numFmtId="0" fontId="2" fillId="0" borderId="0" applyNumberFormat="0" applyFill="0" applyBorder="0" applyAlignment="0" applyProtection="0"/>
    <xf numFmtId="0" fontId="2" fillId="0" borderId="0"/>
    <xf numFmtId="0" fontId="2" fillId="0" borderId="0"/>
    <xf numFmtId="0" fontId="54" fillId="0" borderId="0"/>
    <xf numFmtId="0" fontId="2" fillId="0" borderId="0"/>
    <xf numFmtId="0" fontId="2" fillId="0" borderId="0"/>
    <xf numFmtId="0" fontId="1" fillId="0" borderId="0"/>
    <xf numFmtId="0" fontId="2" fillId="0" borderId="0" applyNumberFormat="0" applyFill="0" applyBorder="0" applyAlignment="0" applyProtection="0"/>
    <xf numFmtId="0" fontId="71" fillId="0" borderId="0"/>
    <xf numFmtId="0" fontId="2" fillId="0" borderId="0" applyNumberFormat="0" applyFill="0" applyBorder="0" applyAlignment="0" applyProtection="0"/>
    <xf numFmtId="0" fontId="7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71" fillId="0" borderId="0"/>
    <xf numFmtId="0" fontId="2" fillId="0" borderId="0" applyNumberFormat="0" applyFill="0" applyBorder="0" applyAlignment="0" applyProtection="0"/>
    <xf numFmtId="0" fontId="71" fillId="0" borderId="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71" fillId="0" borderId="0"/>
    <xf numFmtId="0" fontId="2" fillId="0" borderId="0"/>
    <xf numFmtId="0" fontId="71" fillId="0" borderId="0"/>
    <xf numFmtId="0" fontId="2" fillId="0" borderId="0"/>
    <xf numFmtId="0" fontId="2" fillId="0" borderId="0"/>
    <xf numFmtId="0" fontId="2" fillId="0" borderId="0"/>
    <xf numFmtId="0" fontId="2" fillId="0" borderId="0"/>
    <xf numFmtId="0" fontId="71"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184"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1" fillId="65" borderId="0" applyNumberFormat="0" applyBorder="0" applyAlignment="0" applyProtection="0"/>
    <xf numFmtId="0" fontId="1" fillId="6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4" fontId="65" fillId="0" borderId="0" applyFont="0" applyFill="0" applyBorder="0" applyAlignment="0" applyProtection="0"/>
    <xf numFmtId="0" fontId="1" fillId="0" borderId="0"/>
    <xf numFmtId="0" fontId="1" fillId="77" borderId="56" applyNumberFormat="0" applyFont="0" applyAlignment="0" applyProtection="0"/>
    <xf numFmtId="0" fontId="1" fillId="77" borderId="5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69" borderId="0" applyNumberFormat="0" applyBorder="0" applyAlignment="0" applyProtection="0"/>
    <xf numFmtId="0" fontId="1" fillId="7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5"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3" borderId="0" applyNumberFormat="0" applyBorder="0" applyAlignment="0" applyProtection="0"/>
    <xf numFmtId="0" fontId="1" fillId="76" borderId="0" applyNumberFormat="0" applyBorder="0" applyAlignment="0" applyProtection="0"/>
    <xf numFmtId="0" fontId="1" fillId="74" borderId="0" applyNumberFormat="0" applyBorder="0" applyAlignment="0" applyProtection="0"/>
    <xf numFmtId="0" fontId="1" fillId="72"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68" borderId="0" applyNumberFormat="0" applyBorder="0" applyAlignment="0" applyProtection="0"/>
    <xf numFmtId="44" fontId="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54" fillId="0" borderId="0"/>
    <xf numFmtId="0" fontId="54" fillId="0" borderId="0"/>
    <xf numFmtId="43" fontId="1" fillId="0" borderId="0" applyFont="0" applyFill="0" applyBorder="0" applyAlignment="0" applyProtection="0"/>
    <xf numFmtId="0" fontId="54" fillId="0" borderId="0"/>
    <xf numFmtId="0" fontId="54" fillId="0" borderId="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54" fillId="0" borderId="0"/>
    <xf numFmtId="0" fontId="2" fillId="0" borderId="0"/>
    <xf numFmtId="0" fontId="53"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71" borderId="0" applyNumberFormat="0" applyBorder="0" applyAlignment="0" applyProtection="0"/>
    <xf numFmtId="0" fontId="1" fillId="65" borderId="0" applyNumberFormat="0" applyBorder="0" applyAlignment="0" applyProtection="0"/>
    <xf numFmtId="0" fontId="1" fillId="69" borderId="0" applyNumberFormat="0" applyBorder="0" applyAlignment="0" applyProtection="0"/>
    <xf numFmtId="0" fontId="1" fillId="67" borderId="0" applyNumberFormat="0" applyBorder="0" applyAlignment="0" applyProtection="0"/>
    <xf numFmtId="0" fontId="1" fillId="70" borderId="0" applyNumberFormat="0" applyBorder="0" applyAlignment="0" applyProtection="0"/>
    <xf numFmtId="0" fontId="1" fillId="75" borderId="0" applyNumberFormat="0" applyBorder="0" applyAlignment="0" applyProtection="0"/>
    <xf numFmtId="0" fontId="1" fillId="73" borderId="0" applyNumberFormat="0" applyBorder="0" applyAlignment="0" applyProtection="0"/>
    <xf numFmtId="0" fontId="1" fillId="66" borderId="0" applyNumberFormat="0" applyBorder="0" applyAlignment="0" applyProtection="0"/>
    <xf numFmtId="0" fontId="1" fillId="68"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6" borderId="0" applyNumberFormat="0" applyBorder="0" applyAlignment="0" applyProtection="0"/>
    <xf numFmtId="0" fontId="1" fillId="0" borderId="0"/>
    <xf numFmtId="0" fontId="1" fillId="0" borderId="0"/>
    <xf numFmtId="0" fontId="55" fillId="0" borderId="0"/>
    <xf numFmtId="0" fontId="55" fillId="0" borderId="0"/>
    <xf numFmtId="0" fontId="55" fillId="0" borderId="0"/>
    <xf numFmtId="0" fontId="55" fillId="0" borderId="0"/>
    <xf numFmtId="0" fontId="55" fillId="0" borderId="0"/>
    <xf numFmtId="0" fontId="55" fillId="0" borderId="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8" fontId="65" fillId="0" borderId="0" applyFont="0" applyFill="0" applyBorder="0" applyAlignment="0" applyProtection="0"/>
    <xf numFmtId="0" fontId="2" fillId="0" borderId="0"/>
    <xf numFmtId="43" fontId="53" fillId="0" borderId="0" applyFont="0" applyFill="0" applyBorder="0" applyAlignment="0" applyProtection="0"/>
    <xf numFmtId="8" fontId="65"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4" fillId="0" borderId="0"/>
    <xf numFmtId="182" fontId="1" fillId="65" borderId="0" applyNumberFormat="0" applyBorder="0" applyAlignment="0" applyProtection="0"/>
    <xf numFmtId="182" fontId="1" fillId="67" borderId="0" applyNumberFormat="0" applyBorder="0" applyAlignment="0" applyProtection="0"/>
    <xf numFmtId="182" fontId="1" fillId="69" borderId="0" applyNumberFormat="0" applyBorder="0" applyAlignment="0" applyProtection="0"/>
    <xf numFmtId="182" fontId="1" fillId="71" borderId="0" applyNumberFormat="0" applyBorder="0" applyAlignment="0" applyProtection="0"/>
    <xf numFmtId="182" fontId="1" fillId="75" borderId="0" applyNumberFormat="0" applyBorder="0" applyAlignment="0" applyProtection="0"/>
    <xf numFmtId="182" fontId="1" fillId="66" borderId="0" applyNumberFormat="0" applyBorder="0" applyAlignment="0" applyProtection="0"/>
    <xf numFmtId="182" fontId="1" fillId="70" borderId="0" applyNumberFormat="0" applyBorder="0" applyAlignment="0" applyProtection="0"/>
    <xf numFmtId="182" fontId="1" fillId="72" borderId="0" applyNumberFormat="0" applyBorder="0" applyAlignment="0" applyProtection="0"/>
    <xf numFmtId="182" fontId="1" fillId="74" borderId="0" applyNumberFormat="0" applyBorder="0" applyAlignment="0" applyProtection="0"/>
    <xf numFmtId="182" fontId="1" fillId="76" borderId="0" applyNumberFormat="0" applyBorder="0" applyAlignment="0" applyProtection="0"/>
    <xf numFmtId="0" fontId="55" fillId="82" borderId="0" applyNumberFormat="0" applyBorder="0" applyAlignment="0" applyProtection="0"/>
    <xf numFmtId="0" fontId="55" fillId="85"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43" fontId="1" fillId="0" borderId="0" applyFont="0" applyFill="0" applyBorder="0" applyAlignment="0" applyProtection="0"/>
    <xf numFmtId="43" fontId="1" fillId="0" borderId="0" applyFont="0" applyFill="0" applyBorder="0" applyAlignment="0" applyProtection="0"/>
    <xf numFmtId="0" fontId="54" fillId="0" borderId="0"/>
    <xf numFmtId="0" fontId="1" fillId="0" borderId="0"/>
    <xf numFmtId="0" fontId="1" fillId="0" borderId="0"/>
    <xf numFmtId="0" fontId="1" fillId="0" borderId="0"/>
    <xf numFmtId="0" fontId="1" fillId="0" borderId="0"/>
    <xf numFmtId="0" fontId="1"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5"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2" fillId="0" borderId="0"/>
    <xf numFmtId="0" fontId="2"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9"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182" fontId="1" fillId="65" borderId="0" applyNumberFormat="0" applyBorder="0" applyAlignment="0" applyProtection="0"/>
    <xf numFmtId="182" fontId="1" fillId="67" borderId="0" applyNumberFormat="0" applyBorder="0" applyAlignment="0" applyProtection="0"/>
    <xf numFmtId="182" fontId="1" fillId="69" borderId="0" applyNumberFormat="0" applyBorder="0" applyAlignment="0" applyProtection="0"/>
    <xf numFmtId="182" fontId="1" fillId="71" borderId="0" applyNumberFormat="0" applyBorder="0" applyAlignment="0" applyProtection="0"/>
    <xf numFmtId="182" fontId="1" fillId="75" borderId="0" applyNumberFormat="0" applyBorder="0" applyAlignment="0" applyProtection="0"/>
    <xf numFmtId="182" fontId="1" fillId="66" borderId="0" applyNumberFormat="0" applyBorder="0" applyAlignment="0" applyProtection="0"/>
    <xf numFmtId="182" fontId="1" fillId="70" borderId="0" applyNumberFormat="0" applyBorder="0" applyAlignment="0" applyProtection="0"/>
    <xf numFmtId="182" fontId="1" fillId="72" borderId="0" applyNumberFormat="0" applyBorder="0" applyAlignment="0" applyProtection="0"/>
    <xf numFmtId="182" fontId="1" fillId="74" borderId="0" applyNumberFormat="0" applyBorder="0" applyAlignment="0" applyProtection="0"/>
    <xf numFmtId="182"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8" fontId="65" fillId="0" borderId="0" applyFont="0" applyFill="0" applyBorder="0" applyAlignment="0" applyProtection="0"/>
    <xf numFmtId="9" fontId="65" fillId="0" borderId="0" applyFont="0" applyFill="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53"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77" borderId="56" applyNumberFormat="0" applyFont="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53"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9" fontId="1"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182" fontId="1" fillId="65" borderId="0" applyNumberFormat="0" applyBorder="0" applyAlignment="0" applyProtection="0"/>
    <xf numFmtId="182" fontId="1" fillId="67" borderId="0" applyNumberFormat="0" applyBorder="0" applyAlignment="0" applyProtection="0"/>
    <xf numFmtId="182" fontId="1" fillId="69" borderId="0" applyNumberFormat="0" applyBorder="0" applyAlignment="0" applyProtection="0"/>
    <xf numFmtId="182" fontId="1" fillId="71" borderId="0" applyNumberFormat="0" applyBorder="0" applyAlignment="0" applyProtection="0"/>
    <xf numFmtId="182" fontId="1" fillId="75" borderId="0" applyNumberFormat="0" applyBorder="0" applyAlignment="0" applyProtection="0"/>
    <xf numFmtId="182" fontId="1" fillId="66" borderId="0" applyNumberFormat="0" applyBorder="0" applyAlignment="0" applyProtection="0"/>
    <xf numFmtId="182" fontId="1" fillId="70" borderId="0" applyNumberFormat="0" applyBorder="0" applyAlignment="0" applyProtection="0"/>
    <xf numFmtId="182" fontId="1" fillId="72" borderId="0" applyNumberFormat="0" applyBorder="0" applyAlignment="0" applyProtection="0"/>
    <xf numFmtId="182" fontId="1" fillId="74" borderId="0" applyNumberFormat="0" applyBorder="0" applyAlignment="0" applyProtection="0"/>
    <xf numFmtId="182"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53"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 fillId="77" borderId="56" applyNumberFormat="0" applyFont="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2" fillId="0" borderId="0" applyFont="0" applyFill="0" applyBorder="0" applyAlignment="0" applyProtection="0"/>
    <xf numFmtId="43" fontId="2" fillId="0" borderId="0" applyFont="0" applyFill="0" applyBorder="0" applyAlignment="0" applyProtection="0"/>
    <xf numFmtId="0" fontId="53"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54" fillId="0" borderId="0"/>
    <xf numFmtId="0" fontId="54" fillId="0" borderId="0"/>
    <xf numFmtId="0" fontId="54" fillId="0" borderId="0"/>
    <xf numFmtId="0" fontId="95" fillId="0" borderId="0"/>
    <xf numFmtId="43" fontId="2" fillId="0" borderId="0" applyFont="0" applyFill="0" applyBorder="0" applyAlignment="0" applyProtection="0"/>
    <xf numFmtId="44" fontId="2" fillId="0" borderId="0" applyFont="0" applyFill="0" applyBorder="0" applyAlignment="0" applyProtection="0"/>
    <xf numFmtId="0" fontId="95" fillId="0" borderId="0"/>
    <xf numFmtId="43" fontId="5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95" fillId="0" borderId="0"/>
    <xf numFmtId="43" fontId="2" fillId="0" borderId="0" applyFont="0" applyFill="0" applyBorder="0" applyAlignment="0" applyProtection="0"/>
    <xf numFmtId="44" fontId="2" fillId="0" borderId="0" applyFont="0" applyFill="0" applyBorder="0" applyAlignment="0" applyProtection="0"/>
    <xf numFmtId="0" fontId="54" fillId="0" borderId="0"/>
    <xf numFmtId="43" fontId="2" fillId="0" borderId="0" applyFont="0" applyFill="0" applyBorder="0" applyAlignment="0" applyProtection="0"/>
    <xf numFmtId="0" fontId="53" fillId="0" borderId="0"/>
    <xf numFmtId="0" fontId="53" fillId="0" borderId="0"/>
    <xf numFmtId="0" fontId="1" fillId="0" borderId="0"/>
    <xf numFmtId="0" fontId="54" fillId="0" borderId="0"/>
    <xf numFmtId="0" fontId="100" fillId="0" borderId="0"/>
    <xf numFmtId="43" fontId="2" fillId="0" borderId="0" applyFont="0" applyFill="0" applyBorder="0" applyAlignment="0" applyProtection="0"/>
    <xf numFmtId="44" fontId="2" fillId="0" borderId="0" applyFont="0" applyFill="0" applyBorder="0" applyAlignment="0" applyProtection="0"/>
    <xf numFmtId="0" fontId="100" fillId="0" borderId="0"/>
    <xf numFmtId="43" fontId="5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54" fillId="0" borderId="0"/>
    <xf numFmtId="0" fontId="54"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0" fontId="54" fillId="0" borderId="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5" fillId="0" borderId="0" applyFill="0" applyBorder="0"/>
    <xf numFmtId="0" fontId="115" fillId="0" borderId="0"/>
    <xf numFmtId="0" fontId="109" fillId="0" borderId="0">
      <alignment horizontal="right"/>
    </xf>
    <xf numFmtId="0" fontId="113" fillId="0" borderId="0"/>
    <xf numFmtId="0" fontId="108" fillId="0" borderId="0"/>
    <xf numFmtId="0" fontId="111" fillId="0" borderId="0"/>
    <xf numFmtId="0" fontId="114" fillId="0" borderId="70" applyNumberFormat="0" applyAlignment="0"/>
    <xf numFmtId="0" fontId="107" fillId="0" borderId="0" applyAlignment="0">
      <alignment horizontal="left"/>
    </xf>
    <xf numFmtId="0" fontId="107" fillId="0" borderId="0">
      <alignment horizontal="right"/>
    </xf>
    <xf numFmtId="167" fontId="107" fillId="0" borderId="0">
      <alignment horizontal="right"/>
    </xf>
    <xf numFmtId="176" fontId="110" fillId="0" borderId="0">
      <alignment horizontal="right"/>
    </xf>
    <xf numFmtId="0" fontId="112" fillId="0" borderId="0"/>
    <xf numFmtId="43" fontId="106" fillId="0" borderId="0" applyFont="0" applyFill="0" applyBorder="0" applyAlignment="0" applyProtection="0"/>
    <xf numFmtId="167" fontId="106"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04" fillId="0" borderId="0" applyFill="0" applyBorder="0"/>
    <xf numFmtId="167" fontId="106" fillId="0" borderId="0" applyFont="0" applyFill="0" applyBorder="0" applyAlignment="0" applyProtection="0"/>
    <xf numFmtId="0" fontId="104" fillId="0" borderId="0" applyFill="0" applyBorder="0"/>
    <xf numFmtId="167" fontId="106" fillId="0" borderId="0" applyFont="0" applyFill="0" applyBorder="0" applyAlignment="0" applyProtection="0"/>
    <xf numFmtId="0" fontId="104" fillId="0" borderId="0" applyFill="0" applyBorder="0"/>
    <xf numFmtId="167" fontId="106" fillId="0" borderId="0" applyFont="0" applyFill="0" applyBorder="0" applyAlignment="0" applyProtection="0"/>
    <xf numFmtId="0" fontId="104" fillId="0" borderId="0" applyFill="0" applyBorder="0"/>
    <xf numFmtId="0" fontId="3" fillId="0" borderId="0"/>
    <xf numFmtId="0" fontId="104" fillId="0" borderId="0" applyFill="0" applyBorder="0"/>
    <xf numFmtId="0" fontId="104" fillId="0" borderId="0" applyFill="0" applyBorder="0"/>
    <xf numFmtId="0" fontId="117" fillId="0" borderId="0" applyFill="0" applyBorder="0"/>
    <xf numFmtId="0" fontId="118" fillId="0" borderId="0" applyNumberFormat="0" applyFill="0" applyBorder="0" applyAlignment="0" applyProtection="0">
      <alignment vertical="top"/>
      <protection locked="0"/>
    </xf>
    <xf numFmtId="43" fontId="55" fillId="0" borderId="0" applyFont="0" applyFill="0" applyBorder="0" applyAlignment="0" applyProtection="0"/>
    <xf numFmtId="0" fontId="119" fillId="0" borderId="0"/>
    <xf numFmtId="0" fontId="1" fillId="0" borderId="0"/>
    <xf numFmtId="0" fontId="2" fillId="0" borderId="0"/>
    <xf numFmtId="43" fontId="5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4" fillId="0" borderId="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31" fillId="0" borderId="0" applyNumberFormat="0" applyFill="0" applyBorder="0" applyAlignment="0" applyProtection="0"/>
    <xf numFmtId="0" fontId="1" fillId="0" borderId="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2"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32" fillId="0" borderId="0" applyNumberFormat="0" applyFill="0" applyBorder="0" applyAlignment="0" applyProtection="0"/>
    <xf numFmtId="0" fontId="1" fillId="0" borderId="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34" fillId="0" borderId="0"/>
    <xf numFmtId="0" fontId="134" fillId="0" borderId="0"/>
    <xf numFmtId="0" fontId="1" fillId="0" borderId="0"/>
    <xf numFmtId="0" fontId="134" fillId="0" borderId="0"/>
    <xf numFmtId="0" fontId="1" fillId="0" borderId="0"/>
    <xf numFmtId="0" fontId="1" fillId="0" borderId="0"/>
    <xf numFmtId="0" fontId="1" fillId="0" borderId="0"/>
    <xf numFmtId="0" fontId="1" fillId="0" borderId="0"/>
    <xf numFmtId="193" fontId="104" fillId="0" borderId="0"/>
    <xf numFmtId="1" fontId="136" fillId="0" borderId="43">
      <alignment vertical="top"/>
    </xf>
    <xf numFmtId="43" fontId="141" fillId="0" borderId="0" applyFont="0" applyFill="0" applyBorder="0" applyAlignment="0" applyProtection="0"/>
    <xf numFmtId="43" fontId="141" fillId="0" borderId="0" applyFont="0" applyFill="0" applyBorder="0" applyAlignment="0" applyProtection="0"/>
    <xf numFmtId="43" fontId="2" fillId="0" borderId="0" applyFont="0" applyFill="0" applyBorder="0" applyAlignment="0" applyProtection="0"/>
    <xf numFmtId="191" fontId="139" fillId="0" borderId="0"/>
    <xf numFmtId="191" fontId="104" fillId="0" borderId="0"/>
    <xf numFmtId="193" fontId="155" fillId="0" borderId="0" applyNumberFormat="0" applyFill="0" applyBorder="0" applyAlignment="0" applyProtection="0"/>
    <xf numFmtId="194" fontId="104" fillId="0" borderId="0"/>
    <xf numFmtId="192" fontId="104" fillId="0" borderId="0"/>
    <xf numFmtId="193" fontId="104" fillId="0" borderId="0"/>
    <xf numFmtId="0" fontId="156" fillId="0" borderId="0"/>
    <xf numFmtId="0" fontId="1" fillId="0" borderId="0"/>
    <xf numFmtId="0" fontId="142" fillId="0" borderId="0"/>
    <xf numFmtId="0" fontId="141" fillId="0" borderId="0"/>
    <xf numFmtId="0" fontId="104" fillId="0" borderId="0"/>
    <xf numFmtId="0" fontId="104" fillId="0" borderId="0"/>
    <xf numFmtId="0" fontId="104" fillId="0" borderId="0"/>
    <xf numFmtId="0" fontId="104" fillId="0" borderId="0"/>
    <xf numFmtId="9" fontId="142" fillId="0" borderId="0" applyFont="0" applyFill="0" applyBorder="0" applyAlignment="0" applyProtection="0"/>
    <xf numFmtId="9" fontId="104" fillId="0" borderId="0" applyFont="0" applyFill="0" applyBorder="0" applyAlignment="0" applyProtection="0"/>
    <xf numFmtId="193" fontId="137" fillId="0" borderId="0"/>
    <xf numFmtId="49" fontId="143" fillId="132" borderId="94">
      <alignment horizontal="center"/>
    </xf>
    <xf numFmtId="0" fontId="144" fillId="131" borderId="0"/>
    <xf numFmtId="49" fontId="145" fillId="133" borderId="94">
      <alignment horizontal="center"/>
    </xf>
    <xf numFmtId="49" fontId="146" fillId="132" borderId="94">
      <alignment horizontal="center"/>
    </xf>
    <xf numFmtId="0" fontId="147" fillId="131" borderId="0"/>
    <xf numFmtId="49" fontId="141" fillId="133" borderId="94">
      <alignment horizontal="center"/>
    </xf>
    <xf numFmtId="49" fontId="148" fillId="0" borderId="0"/>
    <xf numFmtId="0" fontId="149" fillId="134" borderId="95"/>
    <xf numFmtId="0" fontId="149" fillId="135" borderId="95"/>
    <xf numFmtId="38" fontId="150" fillId="136" borderId="95"/>
    <xf numFmtId="195" fontId="151" fillId="136" borderId="95"/>
    <xf numFmtId="0" fontId="149" fillId="136" borderId="95"/>
    <xf numFmtId="49" fontId="152" fillId="132" borderId="94">
      <alignment vertical="center"/>
    </xf>
    <xf numFmtId="49" fontId="153" fillId="137" borderId="94">
      <alignment horizontal="left" vertical="center"/>
    </xf>
    <xf numFmtId="49" fontId="145" fillId="133" borderId="94">
      <alignment vertical="center"/>
    </xf>
    <xf numFmtId="49" fontId="150" fillId="132" borderId="94">
      <alignment vertical="center"/>
    </xf>
    <xf numFmtId="49" fontId="154" fillId="137" borderId="94">
      <alignment horizontal="left" vertical="center"/>
    </xf>
    <xf numFmtId="49" fontId="141" fillId="133" borderId="94">
      <alignment vertical="center"/>
    </xf>
    <xf numFmtId="49" fontId="150" fillId="0" borderId="0">
      <alignment horizontal="right"/>
    </xf>
    <xf numFmtId="49" fontId="142" fillId="0" borderId="94">
      <alignment horizontal="right" vertical="center"/>
    </xf>
    <xf numFmtId="49" fontId="141" fillId="0" borderId="0">
      <alignment horizontal="right"/>
    </xf>
    <xf numFmtId="0" fontId="149" fillId="138" borderId="95"/>
    <xf numFmtId="0" fontId="2" fillId="0" borderId="0"/>
    <xf numFmtId="193" fontId="138" fillId="0" borderId="0"/>
    <xf numFmtId="191" fontId="133" fillId="0" borderId="0"/>
    <xf numFmtId="191" fontId="140" fillId="0" borderId="0"/>
    <xf numFmtId="193" fontId="136" fillId="0" borderId="16" applyAlignment="0">
      <alignment horizontal="right"/>
    </xf>
    <xf numFmtId="194" fontId="136" fillId="0" borderId="16" applyAlignment="0"/>
    <xf numFmtId="192" fontId="136" fillId="0" borderId="16" applyAlignment="0"/>
    <xf numFmtId="0" fontId="135" fillId="0" borderId="16" applyFont="0" applyFill="0" applyBorder="0" applyAlignment="0" applyProtection="0"/>
    <xf numFmtId="0" fontId="2" fillId="0" borderId="0"/>
    <xf numFmtId="43" fontId="5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4" fillId="0" borderId="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4" fillId="0" borderId="0"/>
    <xf numFmtId="0" fontId="2" fillId="0" borderId="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57" fillId="0" borderId="0"/>
    <xf numFmtId="0" fontId="157" fillId="0" borderId="0"/>
    <xf numFmtId="0" fontId="157" fillId="0" borderId="0"/>
    <xf numFmtId="43" fontId="141" fillId="0" borderId="0" applyFont="0" applyFill="0" applyBorder="0" applyAlignment="0" applyProtection="0"/>
    <xf numFmtId="43" fontId="141" fillId="0" borderId="0" applyFont="0" applyFill="0" applyBorder="0" applyAlignment="0" applyProtection="0"/>
    <xf numFmtId="43" fontId="2" fillId="0" borderId="0" applyFont="0" applyFill="0" applyBorder="0" applyAlignment="0" applyProtection="0"/>
    <xf numFmtId="0" fontId="54" fillId="0" borderId="0"/>
    <xf numFmtId="0" fontId="2" fillId="0" borderId="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0" fontId="54" fillId="0" borderId="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 fillId="0" borderId="0"/>
    <xf numFmtId="0" fontId="160" fillId="0" borderId="0"/>
    <xf numFmtId="0" fontId="160" fillId="0" borderId="0"/>
    <xf numFmtId="0" fontId="160" fillId="0" borderId="0"/>
    <xf numFmtId="0" fontId="2" fillId="0" borderId="0"/>
    <xf numFmtId="0" fontId="160" fillId="0" borderId="0"/>
    <xf numFmtId="0" fontId="66" fillId="0" borderId="0">
      <alignment vertical="top"/>
    </xf>
    <xf numFmtId="0" fontId="160" fillId="0" borderId="0"/>
    <xf numFmtId="0" fontId="160" fillId="0" borderId="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cellStyleXfs>
  <cellXfs count="2083">
    <xf numFmtId="0" fontId="0" fillId="0" borderId="0" xfId="0"/>
    <xf numFmtId="181" fontId="0" fillId="0" borderId="0" xfId="0" applyNumberFormat="1"/>
    <xf numFmtId="17" fontId="0" fillId="0" borderId="0" xfId="0" applyNumberFormat="1"/>
    <xf numFmtId="0" fontId="6" fillId="0" borderId="0" xfId="0" applyFont="1"/>
    <xf numFmtId="0" fontId="0" fillId="0" borderId="0" xfId="0"/>
    <xf numFmtId="0" fontId="0" fillId="0" borderId="0" xfId="0"/>
    <xf numFmtId="0" fontId="5" fillId="0" borderId="0" xfId="0" applyFont="1"/>
    <xf numFmtId="3" fontId="0" fillId="0" borderId="0" xfId="0" applyNumberFormat="1"/>
    <xf numFmtId="17" fontId="0" fillId="0" borderId="0" xfId="0" applyNumberFormat="1" applyFill="1"/>
    <xf numFmtId="0" fontId="7" fillId="8" borderId="18" xfId="0" applyFont="1" applyFill="1" applyBorder="1"/>
    <xf numFmtId="0" fontId="0" fillId="0" borderId="0" xfId="0" applyFont="1"/>
    <xf numFmtId="169" fontId="0" fillId="0" borderId="25" xfId="0" applyNumberFormat="1" applyFont="1" applyFill="1" applyBorder="1"/>
    <xf numFmtId="169" fontId="0" fillId="0" borderId="24" xfId="0" applyNumberFormat="1" applyFont="1" applyFill="1" applyBorder="1"/>
    <xf numFmtId="0" fontId="1" fillId="0" borderId="0" xfId="0" applyFont="1"/>
    <xf numFmtId="0" fontId="7" fillId="9" borderId="18" xfId="0" applyFont="1" applyFill="1" applyBorder="1"/>
    <xf numFmtId="0" fontId="0" fillId="0" borderId="0" xfId="0"/>
    <xf numFmtId="0" fontId="0" fillId="0" borderId="0" xfId="0"/>
    <xf numFmtId="169" fontId="0" fillId="0" borderId="0" xfId="0" applyNumberFormat="1"/>
    <xf numFmtId="169" fontId="0" fillId="0" borderId="0" xfId="0" applyNumberFormat="1" applyFont="1" applyFill="1" applyBorder="1"/>
    <xf numFmtId="0" fontId="0" fillId="0" borderId="0" xfId="0"/>
    <xf numFmtId="0" fontId="0" fillId="0" borderId="0" xfId="0"/>
    <xf numFmtId="0" fontId="0" fillId="0" borderId="0" xfId="0"/>
    <xf numFmtId="0" fontId="7" fillId="17" borderId="20" xfId="0" applyFont="1" applyFill="1" applyBorder="1"/>
    <xf numFmtId="0" fontId="7" fillId="17" borderId="19" xfId="0" applyFont="1" applyFill="1" applyBorder="1"/>
    <xf numFmtId="0" fontId="7" fillId="17" borderId="18" xfId="0" applyFont="1" applyFill="1" applyBorder="1"/>
    <xf numFmtId="0" fontId="0" fillId="0" borderId="0" xfId="0" applyFill="1"/>
    <xf numFmtId="0" fontId="7" fillId="20" borderId="18" xfId="0" applyFont="1" applyFill="1" applyBorder="1"/>
    <xf numFmtId="0" fontId="7" fillId="20" borderId="22" xfId="0" applyFont="1" applyFill="1" applyBorder="1"/>
    <xf numFmtId="166" fontId="2" fillId="0" borderId="0" xfId="0" applyNumberFormat="1" applyFont="1" applyFill="1"/>
    <xf numFmtId="166" fontId="0" fillId="0" borderId="0" xfId="0" applyNumberFormat="1" applyFill="1"/>
    <xf numFmtId="0" fontId="7" fillId="21" borderId="18" xfId="0" applyFont="1" applyFill="1" applyBorder="1"/>
    <xf numFmtId="169" fontId="0" fillId="23" borderId="24" xfId="0" applyNumberFormat="1" applyFont="1" applyFill="1" applyBorder="1"/>
    <xf numFmtId="0" fontId="7" fillId="24" borderId="18" xfId="0" applyFont="1" applyFill="1" applyBorder="1"/>
    <xf numFmtId="0" fontId="7" fillId="24" borderId="19" xfId="0"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2" fillId="0" borderId="0" xfId="0" applyFont="1"/>
    <xf numFmtId="3" fontId="0" fillId="0" borderId="0" xfId="0" applyNumberFormat="1"/>
    <xf numFmtId="3" fontId="0" fillId="0" borderId="0" xfId="0" applyNumberFormat="1"/>
    <xf numFmtId="171" fontId="0" fillId="0" borderId="0" xfId="0" applyNumberFormat="1"/>
    <xf numFmtId="0" fontId="0" fillId="0" borderId="0" xfId="0" applyAlignment="1">
      <alignment horizontal="left" indent="1"/>
    </xf>
    <xf numFmtId="172" fontId="0" fillId="0" borderId="0" xfId="0" applyNumberFormat="1"/>
    <xf numFmtId="0" fontId="9" fillId="0" borderId="0" xfId="0" applyFont="1"/>
    <xf numFmtId="0" fontId="6" fillId="0" borderId="0" xfId="0" applyFont="1"/>
    <xf numFmtId="0" fontId="11" fillId="14" borderId="34" xfId="0" applyFont="1" applyFill="1" applyBorder="1" applyAlignment="1">
      <alignment vertical="center"/>
    </xf>
    <xf numFmtId="0" fontId="14" fillId="0" borderId="0" xfId="0" applyFont="1"/>
    <xf numFmtId="0" fontId="6" fillId="15" borderId="0" xfId="0" applyFont="1" applyFill="1" applyBorder="1"/>
    <xf numFmtId="171" fontId="6" fillId="0" borderId="0" xfId="0" applyNumberFormat="1" applyFont="1" applyBorder="1"/>
    <xf numFmtId="171" fontId="6" fillId="15" borderId="0" xfId="0" applyNumberFormat="1" applyFont="1" applyFill="1" applyBorder="1"/>
    <xf numFmtId="0" fontId="9" fillId="0" borderId="0" xfId="0" applyFont="1"/>
    <xf numFmtId="0" fontId="6" fillId="0" borderId="0" xfId="0" applyFont="1"/>
    <xf numFmtId="0" fontId="11" fillId="24" borderId="23" xfId="0" applyFont="1" applyFill="1" applyBorder="1" applyAlignment="1">
      <alignment wrapText="1"/>
    </xf>
    <xf numFmtId="0" fontId="11" fillId="24" borderId="3" xfId="0" applyFont="1" applyFill="1" applyBorder="1" applyAlignment="1">
      <alignment wrapText="1"/>
    </xf>
    <xf numFmtId="0" fontId="6" fillId="0" borderId="0" xfId="0" applyFont="1" applyAlignment="1">
      <alignment wrapText="1"/>
    </xf>
    <xf numFmtId="0" fontId="7" fillId="24" borderId="17" xfId="0" applyFont="1" applyFill="1" applyBorder="1" applyAlignment="1">
      <alignment horizontal="center" vertical="top" wrapText="1"/>
    </xf>
    <xf numFmtId="0" fontId="7" fillId="24" borderId="34" xfId="0" applyFont="1" applyFill="1" applyBorder="1" applyAlignment="1">
      <alignment horizontal="center" vertical="top" wrapText="1"/>
    </xf>
    <xf numFmtId="0" fontId="7" fillId="24" borderId="8" xfId="0" applyFont="1" applyFill="1" applyBorder="1" applyAlignment="1">
      <alignment horizontal="center" vertical="top" wrapText="1"/>
    </xf>
    <xf numFmtId="0" fontId="7" fillId="24" borderId="4" xfId="0" applyFont="1" applyFill="1" applyBorder="1" applyAlignment="1">
      <alignment horizontal="center" vertical="top" wrapText="1"/>
    </xf>
    <xf numFmtId="0" fontId="0" fillId="0" borderId="0" xfId="0"/>
    <xf numFmtId="0" fontId="7" fillId="21" borderId="37" xfId="0" applyFont="1" applyFill="1" applyBorder="1"/>
    <xf numFmtId="3" fontId="15" fillId="0" borderId="0" xfId="0" applyNumberFormat="1" applyFont="1" applyFill="1" applyBorder="1" applyAlignment="1">
      <alignment horizontal="right" vertical="center" wrapText="1"/>
    </xf>
    <xf numFmtId="0" fontId="15"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xf>
    <xf numFmtId="0" fontId="7" fillId="21" borderId="19" xfId="0" applyFont="1" applyFill="1" applyBorder="1" applyAlignment="1">
      <alignment horizontal="center"/>
    </xf>
    <xf numFmtId="0" fontId="7" fillId="21" borderId="35" xfId="0" applyFont="1" applyFill="1" applyBorder="1" applyAlignment="1">
      <alignment horizontal="center"/>
    </xf>
    <xf numFmtId="3" fontId="15" fillId="13" borderId="39" xfId="0" applyNumberFormat="1" applyFont="1" applyFill="1" applyBorder="1" applyAlignment="1">
      <alignment horizontal="right" vertical="center" wrapText="1"/>
    </xf>
    <xf numFmtId="3" fontId="15" fillId="0" borderId="40" xfId="0" applyNumberFormat="1" applyFont="1" applyFill="1" applyBorder="1" applyAlignment="1">
      <alignment horizontal="right" vertical="center" wrapText="1"/>
    </xf>
    <xf numFmtId="3" fontId="15" fillId="13" borderId="40" xfId="0" applyNumberFormat="1" applyFont="1" applyFill="1" applyBorder="1" applyAlignment="1">
      <alignment horizontal="right" vertical="center" wrapText="1"/>
    </xf>
    <xf numFmtId="0" fontId="0" fillId="13" borderId="31" xfId="0" applyFill="1" applyBorder="1"/>
    <xf numFmtId="0" fontId="0" fillId="7" borderId="31" xfId="0" applyFill="1" applyBorder="1"/>
    <xf numFmtId="0" fontId="0" fillId="13" borderId="32" xfId="0" applyFill="1" applyBorder="1"/>
    <xf numFmtId="0" fontId="2" fillId="0" borderId="0" xfId="0" applyFont="1"/>
    <xf numFmtId="0" fontId="0" fillId="0" borderId="0" xfId="0" applyFill="1"/>
    <xf numFmtId="0" fontId="3" fillId="0" borderId="0" xfId="0" applyFont="1" applyFill="1"/>
    <xf numFmtId="0" fontId="2" fillId="0" borderId="0" xfId="0" applyFont="1" applyFill="1"/>
    <xf numFmtId="0" fontId="2" fillId="0" borderId="0" xfId="0" applyFont="1" applyFill="1" applyBorder="1"/>
    <xf numFmtId="0" fontId="0" fillId="0" borderId="0" xfId="0" applyFill="1" applyBorder="1"/>
    <xf numFmtId="0" fontId="0" fillId="0" borderId="0" xfId="0" applyBorder="1"/>
    <xf numFmtId="3" fontId="0" fillId="0" borderId="0" xfId="0" applyNumberFormat="1" applyBorder="1"/>
    <xf numFmtId="0" fontId="2" fillId="0" borderId="0" xfId="0" applyFont="1" applyFill="1" applyAlignment="1">
      <alignment horizontal="center"/>
    </xf>
    <xf numFmtId="0" fontId="2" fillId="0" borderId="0" xfId="0" applyFont="1" applyFill="1" applyBorder="1" applyAlignment="1">
      <alignment horizontal="center"/>
    </xf>
    <xf numFmtId="0" fontId="2" fillId="0" borderId="0" xfId="0" applyFont="1" applyAlignment="1">
      <alignment horizontal="center"/>
    </xf>
    <xf numFmtId="0" fontId="0" fillId="0" borderId="0" xfId="0" applyFont="1" applyFill="1"/>
    <xf numFmtId="0" fontId="0" fillId="0" borderId="0" xfId="0" applyFont="1" applyFill="1" applyAlignment="1">
      <alignment horizontal="right"/>
    </xf>
    <xf numFmtId="177" fontId="0" fillId="0" borderId="0" xfId="0" applyNumberFormat="1"/>
    <xf numFmtId="0" fontId="7" fillId="24" borderId="26" xfId="0" applyFont="1" applyFill="1" applyBorder="1"/>
    <xf numFmtId="169" fontId="5" fillId="0" borderId="0" xfId="0" applyNumberFormat="1" applyFont="1"/>
    <xf numFmtId="0" fontId="7" fillId="24" borderId="41" xfId="0" applyFont="1" applyFill="1" applyBorder="1"/>
    <xf numFmtId="0" fontId="0" fillId="0" borderId="0" xfId="0" applyFont="1" applyBorder="1"/>
    <xf numFmtId="169" fontId="6" fillId="2" borderId="2" xfId="0" applyNumberFormat="1" applyFont="1" applyFill="1" applyBorder="1"/>
    <xf numFmtId="169" fontId="6" fillId="0" borderId="2" xfId="0" applyNumberFormat="1" applyFont="1" applyFill="1" applyBorder="1"/>
    <xf numFmtId="0" fontId="7" fillId="0" borderId="0" xfId="0" applyFont="1" applyFill="1" applyBorder="1"/>
    <xf numFmtId="0" fontId="7" fillId="0" borderId="0" xfId="0" applyFont="1" applyFill="1" applyBorder="1" applyAlignment="1">
      <alignment horizontal="center"/>
    </xf>
    <xf numFmtId="0" fontId="6" fillId="0" borderId="0" xfId="0" applyNumberFormat="1" applyFont="1" applyFill="1" applyBorder="1"/>
    <xf numFmtId="0" fontId="6" fillId="0" borderId="0" xfId="0" applyNumberFormat="1" applyFont="1" applyFill="1" applyBorder="1"/>
    <xf numFmtId="0" fontId="6" fillId="0" borderId="0" xfId="0" applyNumberFormat="1" applyFont="1" applyFill="1" applyBorder="1"/>
    <xf numFmtId="169" fontId="0" fillId="0" borderId="0" xfId="0" applyNumberFormat="1" applyFill="1"/>
    <xf numFmtId="0" fontId="9" fillId="0" borderId="0" xfId="0" applyFont="1" applyFill="1" applyAlignment="1">
      <alignment horizontal="center"/>
    </xf>
    <xf numFmtId="0" fontId="9" fillId="0" borderId="0" xfId="0" applyFont="1" applyFill="1" applyBorder="1" applyAlignment="1">
      <alignment horizontal="center"/>
    </xf>
    <xf numFmtId="0" fontId="0" fillId="0" borderId="1" xfId="0" applyBorder="1"/>
    <xf numFmtId="0" fontId="0" fillId="0" borderId="0" xfId="0" applyAlignment="1"/>
    <xf numFmtId="17" fontId="0" fillId="0" borderId="13" xfId="0" applyNumberFormat="1" applyFont="1" applyBorder="1" applyProtection="1"/>
    <xf numFmtId="17" fontId="0" fillId="5" borderId="13" xfId="0" applyNumberFormat="1" applyFont="1" applyFill="1" applyBorder="1" applyProtection="1"/>
    <xf numFmtId="0" fontId="0" fillId="0" borderId="0" xfId="0"/>
    <xf numFmtId="3" fontId="0" fillId="0" borderId="0" xfId="0" applyNumberFormat="1"/>
    <xf numFmtId="0" fontId="7" fillId="53" borderId="17" xfId="0" applyFont="1" applyFill="1" applyBorder="1" applyAlignment="1">
      <alignment horizontal="center"/>
    </xf>
    <xf numFmtId="0" fontId="5" fillId="53" borderId="23" xfId="0" applyFont="1" applyFill="1" applyBorder="1" applyAlignment="1">
      <alignment horizontal="center"/>
    </xf>
    <xf numFmtId="0" fontId="7" fillId="50" borderId="8" xfId="0" applyFont="1" applyFill="1" applyBorder="1" applyAlignment="1">
      <alignment horizontal="center"/>
    </xf>
    <xf numFmtId="0" fontId="7" fillId="53" borderId="28" xfId="0" applyFont="1" applyFill="1" applyBorder="1" applyAlignment="1">
      <alignment horizontal="center"/>
    </xf>
    <xf numFmtId="164" fontId="0" fillId="0" borderId="0" xfId="0" applyNumberFormat="1"/>
    <xf numFmtId="37" fontId="10" fillId="0" borderId="0" xfId="0" applyNumberFormat="1" applyFont="1" applyFill="1" applyBorder="1" applyProtection="1"/>
    <xf numFmtId="0" fontId="0" fillId="0" borderId="0" xfId="0" applyBorder="1"/>
    <xf numFmtId="37" fontId="10" fillId="0" borderId="0" xfId="0" applyNumberFormat="1" applyFont="1" applyFill="1" applyBorder="1" applyProtection="1">
      <protection hidden="1"/>
    </xf>
    <xf numFmtId="37" fontId="0" fillId="0" borderId="0" xfId="0" applyNumberFormat="1" applyBorder="1"/>
    <xf numFmtId="3" fontId="0" fillId="0" borderId="0" xfId="0" applyNumberFormat="1" applyBorder="1"/>
    <xf numFmtId="0" fontId="11" fillId="0" borderId="0" xfId="0" applyFont="1"/>
    <xf numFmtId="49" fontId="0" fillId="0" borderId="0" xfId="0" applyNumberFormat="1"/>
    <xf numFmtId="0" fontId="7" fillId="24" borderId="23" xfId="0" applyFont="1" applyFill="1" applyBorder="1" applyAlignment="1" applyProtection="1">
      <alignment horizontal="center"/>
    </xf>
    <xf numFmtId="0" fontId="7" fillId="26" borderId="53" xfId="0" applyFont="1" applyFill="1" applyBorder="1" applyAlignment="1" applyProtection="1">
      <alignment horizontal="center"/>
    </xf>
    <xf numFmtId="0" fontId="7" fillId="26" borderId="15" xfId="0" applyFont="1" applyFill="1" applyBorder="1" applyAlignment="1" applyProtection="1">
      <alignment horizontal="center"/>
    </xf>
    <xf numFmtId="0" fontId="7" fillId="26" borderId="16" xfId="0" applyFont="1" applyFill="1" applyBorder="1" applyAlignment="1" applyProtection="1">
      <alignment horizontal="center"/>
    </xf>
    <xf numFmtId="0" fontId="7" fillId="26" borderId="10" xfId="0" applyFont="1" applyFill="1" applyBorder="1" applyAlignment="1" applyProtection="1">
      <alignment horizontal="center"/>
    </xf>
    <xf numFmtId="0" fontId="7" fillId="50" borderId="25" xfId="0" applyFont="1" applyFill="1" applyBorder="1" applyAlignment="1">
      <alignment horizontal="center"/>
    </xf>
    <xf numFmtId="2" fontId="0" fillId="0" borderId="0" xfId="0" applyNumberFormat="1"/>
    <xf numFmtId="0" fontId="0" fillId="0" borderId="0" xfId="0"/>
    <xf numFmtId="0" fontId="0" fillId="0" borderId="0" xfId="0" applyFont="1"/>
    <xf numFmtId="0" fontId="0" fillId="0" borderId="0" xfId="0"/>
    <xf numFmtId="0" fontId="0" fillId="0" borderId="0" xfId="0" applyFont="1" applyFill="1"/>
    <xf numFmtId="0" fontId="0" fillId="0" borderId="0" xfId="0" applyFont="1" applyFill="1" applyBorder="1"/>
    <xf numFmtId="4" fontId="9" fillId="0" borderId="0" xfId="0" applyNumberFormat="1" applyFont="1" applyFill="1" applyAlignment="1">
      <alignment horizontal="center"/>
    </xf>
    <xf numFmtId="4" fontId="9" fillId="0" borderId="0" xfId="0" applyNumberFormat="1" applyFont="1" applyFill="1" applyAlignment="1">
      <alignment horizontal="center"/>
    </xf>
    <xf numFmtId="0" fontId="5" fillId="0" borderId="0" xfId="0" applyFont="1" applyAlignment="1">
      <alignment horizontal="center" vertical="center"/>
    </xf>
    <xf numFmtId="2" fontId="9" fillId="0" borderId="0" xfId="0" applyNumberFormat="1" applyFont="1" applyFill="1" applyAlignment="1">
      <alignment horizontal="center"/>
    </xf>
    <xf numFmtId="0" fontId="6" fillId="0" borderId="0" xfId="0" applyFont="1"/>
    <xf numFmtId="0" fontId="6" fillId="0" borderId="0" xfId="0" applyFont="1" applyAlignment="1">
      <alignment horizontal="right"/>
    </xf>
    <xf numFmtId="0" fontId="6" fillId="0" borderId="0" xfId="0" applyFont="1" applyBorder="1"/>
    <xf numFmtId="0" fontId="6" fillId="0" borderId="0" xfId="0" applyFont="1" applyFill="1" applyBorder="1"/>
    <xf numFmtId="0" fontId="11" fillId="0" borderId="0" xfId="0" applyFont="1"/>
    <xf numFmtId="0" fontId="0" fillId="6" borderId="0" xfId="0" applyFont="1" applyFill="1"/>
    <xf numFmtId="0" fontId="0" fillId="52" borderId="0" xfId="0" applyFont="1" applyFill="1"/>
    <xf numFmtId="0" fontId="0" fillId="10" borderId="0" xfId="0" applyFont="1" applyFill="1"/>
    <xf numFmtId="0" fontId="0" fillId="27" borderId="0" xfId="0" applyFont="1" applyFill="1"/>
    <xf numFmtId="0" fontId="0" fillId="3" borderId="0" xfId="0" applyFont="1" applyFill="1"/>
    <xf numFmtId="0" fontId="0" fillId="13" borderId="0" xfId="0" applyFont="1" applyFill="1"/>
    <xf numFmtId="0" fontId="0" fillId="2" borderId="0" xfId="0" applyFont="1" applyFill="1"/>
    <xf numFmtId="0" fontId="32" fillId="0" borderId="0" xfId="0" applyFont="1"/>
    <xf numFmtId="0" fontId="6" fillId="0" borderId="0" xfId="0" applyFont="1" applyFill="1" applyBorder="1" applyAlignment="1">
      <alignment horizontal="left"/>
    </xf>
    <xf numFmtId="2" fontId="6" fillId="0" borderId="0" xfId="0" applyNumberFormat="1" applyFont="1" applyFill="1" applyBorder="1" applyAlignment="1">
      <alignment horizontal="right"/>
    </xf>
    <xf numFmtId="0" fontId="6" fillId="0" borderId="0" xfId="0" applyFont="1" applyFill="1" applyBorder="1" applyAlignment="1">
      <alignment horizontal="left" wrapText="1"/>
    </xf>
    <xf numFmtId="0" fontId="33" fillId="0" borderId="0" xfId="0" applyFont="1" applyFill="1" applyBorder="1" applyAlignment="1">
      <alignment horizontal="left" wrapText="1"/>
    </xf>
    <xf numFmtId="0" fontId="6" fillId="0" borderId="0" xfId="0" applyFont="1"/>
    <xf numFmtId="0" fontId="6" fillId="0" borderId="0" xfId="0" applyFont="1"/>
    <xf numFmtId="0" fontId="15" fillId="0" borderId="0" xfId="0" applyFont="1" applyFill="1" applyBorder="1" applyAlignment="1">
      <alignment horizontal="left" vertical="top"/>
    </xf>
    <xf numFmtId="179" fontId="33" fillId="0" borderId="0" xfId="0" applyNumberFormat="1" applyFont="1" applyFill="1" applyBorder="1" applyAlignment="1">
      <alignment horizontal="left" vertical="top"/>
    </xf>
    <xf numFmtId="2" fontId="8" fillId="0" borderId="0" xfId="0" applyNumberFormat="1" applyFont="1" applyFill="1" applyBorder="1"/>
    <xf numFmtId="0" fontId="8" fillId="0" borderId="0" xfId="0" applyFont="1" applyFill="1" applyBorder="1" applyAlignment="1">
      <alignment horizontal="left" vertical="top"/>
    </xf>
    <xf numFmtId="179" fontId="34" fillId="0" borderId="0" xfId="0" applyNumberFormat="1" applyFont="1" applyFill="1" applyBorder="1" applyAlignment="1">
      <alignment horizontal="left" vertical="top"/>
    </xf>
    <xf numFmtId="0" fontId="34" fillId="0" borderId="0" xfId="0" applyFont="1" applyFill="1" applyBorder="1" applyAlignment="1">
      <alignment horizontal="left" vertical="top"/>
    </xf>
    <xf numFmtId="0" fontId="6" fillId="0" borderId="0" xfId="0" applyFont="1" applyBorder="1"/>
    <xf numFmtId="0" fontId="6" fillId="29" borderId="5" xfId="0" applyFont="1" applyFill="1" applyBorder="1"/>
    <xf numFmtId="0" fontId="0" fillId="0" borderId="0" xfId="0"/>
    <xf numFmtId="166" fontId="8" fillId="0" borderId="0" xfId="0" applyNumberFormat="1" applyFont="1" applyFill="1"/>
    <xf numFmtId="0" fontId="8" fillId="0" borderId="0" xfId="0" applyFont="1"/>
    <xf numFmtId="2" fontId="0" fillId="0" borderId="0" xfId="0" applyNumberFormat="1" applyFont="1" applyFill="1" applyBorder="1"/>
    <xf numFmtId="0" fontId="8" fillId="0" borderId="0" xfId="0" applyFont="1"/>
    <xf numFmtId="2" fontId="0" fillId="0" borderId="0" xfId="0" applyNumberFormat="1" applyFill="1"/>
    <xf numFmtId="0" fontId="8" fillId="0" borderId="0" xfId="0" applyFont="1"/>
    <xf numFmtId="0" fontId="6" fillId="0" borderId="0" xfId="0" applyFont="1" applyFill="1"/>
    <xf numFmtId="0" fontId="6" fillId="2" borderId="0" xfId="0" applyFont="1" applyFill="1"/>
    <xf numFmtId="0" fontId="6" fillId="0" borderId="0" xfId="0" applyFont="1" applyFill="1"/>
    <xf numFmtId="0" fontId="6" fillId="27" borderId="0" xfId="0" applyFont="1" applyFill="1"/>
    <xf numFmtId="0" fontId="0" fillId="31" borderId="0" xfId="0" applyFont="1" applyFill="1"/>
    <xf numFmtId="0" fontId="6" fillId="28" borderId="0" xfId="0" applyFont="1" applyFill="1"/>
    <xf numFmtId="0" fontId="6" fillId="52" borderId="0" xfId="0" applyFont="1" applyFill="1"/>
    <xf numFmtId="0" fontId="6" fillId="55" borderId="0" xfId="0" applyFont="1" applyFill="1"/>
    <xf numFmtId="0" fontId="0" fillId="57" borderId="0" xfId="0" applyFont="1" applyFill="1"/>
    <xf numFmtId="0" fontId="6" fillId="31" borderId="0" xfId="0" applyFont="1" applyFill="1"/>
    <xf numFmtId="0" fontId="6" fillId="6" borderId="0" xfId="0" applyFont="1" applyFill="1"/>
    <xf numFmtId="0" fontId="0" fillId="55" borderId="0" xfId="0" applyFont="1" applyFill="1"/>
    <xf numFmtId="0" fontId="0" fillId="28" borderId="0" xfId="0" applyFont="1" applyFill="1" applyAlignment="1">
      <alignment wrapText="1"/>
    </xf>
    <xf numFmtId="0" fontId="6" fillId="57" borderId="0" xfId="0" applyFont="1" applyFill="1"/>
    <xf numFmtId="0" fontId="6" fillId="13" borderId="0" xfId="0" applyFont="1" applyFill="1"/>
    <xf numFmtId="0" fontId="6" fillId="0" borderId="0" xfId="0" applyFont="1"/>
    <xf numFmtId="0" fontId="6" fillId="3" borderId="0" xfId="0" applyFont="1" applyFill="1"/>
    <xf numFmtId="0" fontId="9" fillId="0" borderId="0" xfId="0" applyFont="1"/>
    <xf numFmtId="0" fontId="6" fillId="0" borderId="0" xfId="0" applyFont="1" applyAlignment="1">
      <alignment horizontal="center"/>
    </xf>
    <xf numFmtId="166" fontId="1" fillId="0" borderId="0" xfId="0" applyNumberFormat="1" applyFont="1" applyFill="1"/>
    <xf numFmtId="0" fontId="9" fillId="0" borderId="0" xfId="0" applyFont="1" applyFill="1"/>
    <xf numFmtId="0" fontId="6" fillId="0" borderId="0" xfId="0" applyFont="1" applyFill="1" applyAlignment="1">
      <alignment horizontal="center"/>
    </xf>
    <xf numFmtId="0" fontId="9" fillId="2" borderId="0" xfId="0" applyFont="1" applyFill="1" applyBorder="1" applyAlignment="1" applyProtection="1">
      <alignment horizontal="left"/>
    </xf>
    <xf numFmtId="0" fontId="9" fillId="2" borderId="0" xfId="0" applyFont="1" applyFill="1" applyBorder="1" applyAlignment="1" applyProtection="1">
      <alignment horizontal="center"/>
    </xf>
    <xf numFmtId="0" fontId="35" fillId="2" borderId="0" xfId="0" applyFont="1" applyFill="1" applyBorder="1" applyAlignment="1" applyProtection="1">
      <alignment horizontal="left"/>
      <protection locked="0"/>
    </xf>
    <xf numFmtId="0" fontId="6" fillId="2" borderId="0" xfId="0" applyFont="1" applyFill="1" applyBorder="1" applyAlignment="1" applyProtection="1">
      <alignment horizontal="center"/>
    </xf>
    <xf numFmtId="3" fontId="6" fillId="2" borderId="0" xfId="0" applyNumberFormat="1" applyFont="1" applyFill="1" applyBorder="1"/>
    <xf numFmtId="3" fontId="6" fillId="2" borderId="0" xfId="0" applyNumberFormat="1" applyFont="1" applyFill="1" applyBorder="1" applyAlignment="1">
      <alignment horizontal="center"/>
    </xf>
    <xf numFmtId="3" fontId="6" fillId="2" borderId="0" xfId="0" applyNumberFormat="1" applyFont="1" applyFill="1" applyBorder="1" applyAlignment="1" applyProtection="1">
      <alignment horizontal="right"/>
    </xf>
    <xf numFmtId="22" fontId="36" fillId="0" borderId="0" xfId="0" applyNumberFormat="1" applyFont="1" applyFill="1" applyBorder="1"/>
    <xf numFmtId="3" fontId="6" fillId="0" borderId="0" xfId="0" applyNumberFormat="1" applyFont="1" applyFill="1" applyBorder="1"/>
    <xf numFmtId="3" fontId="6" fillId="0" borderId="0" xfId="0" applyNumberFormat="1" applyFont="1" applyFill="1" applyBorder="1" applyAlignment="1">
      <alignment horizontal="center"/>
    </xf>
    <xf numFmtId="3" fontId="6" fillId="0" borderId="0" xfId="0" applyNumberFormat="1" applyFont="1" applyFill="1" applyBorder="1"/>
    <xf numFmtId="3" fontId="6" fillId="0" borderId="0" xfId="0" applyNumberFormat="1" applyFont="1" applyFill="1" applyBorder="1"/>
    <xf numFmtId="0" fontId="35" fillId="0" borderId="0" xfId="0" applyFont="1" applyFill="1" applyBorder="1" applyAlignment="1" applyProtection="1">
      <alignment horizontal="left"/>
      <protection locked="0"/>
    </xf>
    <xf numFmtId="0" fontId="6" fillId="0" borderId="0" xfId="0" applyFont="1" applyFill="1" applyBorder="1" applyAlignment="1">
      <alignment horizontal="right"/>
    </xf>
    <xf numFmtId="0" fontId="37" fillId="0" borderId="0" xfId="0" applyFont="1" applyFill="1" applyBorder="1" applyAlignment="1" applyProtection="1">
      <alignment horizontal="left"/>
    </xf>
    <xf numFmtId="0" fontId="6" fillId="0" borderId="0" xfId="0" applyFont="1" applyFill="1" applyBorder="1" applyAlignment="1" applyProtection="1">
      <alignment horizontal="center"/>
    </xf>
    <xf numFmtId="3" fontId="6" fillId="0" borderId="0" xfId="0" applyNumberFormat="1" applyFont="1" applyFill="1" applyBorder="1" applyAlignment="1" applyProtection="1">
      <alignment horizontal="right"/>
    </xf>
    <xf numFmtId="0" fontId="38" fillId="0" borderId="0" xfId="0" applyFont="1" applyFill="1" applyBorder="1" applyAlignment="1" applyProtection="1">
      <alignment horizontal="left"/>
      <protection locked="0"/>
    </xf>
    <xf numFmtId="3" fontId="8" fillId="0" borderId="0" xfId="0" applyNumberFormat="1" applyFont="1" applyFill="1" applyBorder="1"/>
    <xf numFmtId="3" fontId="6" fillId="2" borderId="0" xfId="0" applyNumberFormat="1" applyFont="1" applyFill="1" applyBorder="1" applyAlignment="1">
      <alignment horizontal="right"/>
    </xf>
    <xf numFmtId="0" fontId="39" fillId="0" borderId="0" xfId="0" applyFont="1" applyFill="1" applyBorder="1" applyAlignment="1" applyProtection="1">
      <alignment horizontal="left"/>
      <protection locked="0"/>
    </xf>
    <xf numFmtId="0" fontId="6" fillId="2" borderId="0" xfId="0" applyFont="1" applyFill="1" applyBorder="1" applyAlignment="1">
      <alignment horizontal="center"/>
    </xf>
    <xf numFmtId="0" fontId="39" fillId="2" borderId="0" xfId="0" applyFont="1" applyFill="1" applyBorder="1" applyAlignment="1" applyProtection="1">
      <alignment horizontal="left"/>
      <protection locked="0"/>
    </xf>
    <xf numFmtId="0" fontId="6" fillId="2" borderId="0" xfId="0" applyFont="1" applyFill="1" applyBorder="1"/>
    <xf numFmtId="0" fontId="6" fillId="0" borderId="0" xfId="0" applyFont="1" applyFill="1" applyBorder="1" applyAlignment="1" applyProtection="1">
      <alignment horizontal="right"/>
    </xf>
    <xf numFmtId="166" fontId="6" fillId="0" borderId="0" xfId="0" applyNumberFormat="1" applyFont="1" applyFill="1" applyBorder="1"/>
    <xf numFmtId="166" fontId="8" fillId="0" borderId="0" xfId="0" applyNumberFormat="1" applyFont="1" applyFill="1" applyBorder="1"/>
    <xf numFmtId="3" fontId="6" fillId="0" borderId="0" xfId="0" applyNumberFormat="1" applyFont="1" applyFill="1" applyBorder="1" applyAlignment="1">
      <alignment horizontal="right"/>
    </xf>
    <xf numFmtId="0" fontId="38" fillId="2" borderId="0" xfId="0" applyFont="1" applyFill="1" applyBorder="1" applyAlignment="1" applyProtection="1">
      <alignment horizontal="left"/>
      <protection locked="0"/>
    </xf>
    <xf numFmtId="0" fontId="6" fillId="2" borderId="0" xfId="0" applyFont="1" applyFill="1" applyBorder="1" applyAlignment="1">
      <alignment horizontal="right"/>
    </xf>
    <xf numFmtId="0" fontId="37" fillId="2" borderId="0" xfId="0" applyFont="1" applyFill="1" applyBorder="1" applyAlignment="1" applyProtection="1">
      <alignment horizontal="left"/>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3" fontId="6" fillId="2" borderId="0" xfId="0" quotePrefix="1" applyNumberFormat="1" applyFont="1" applyFill="1" applyBorder="1" applyAlignment="1">
      <alignment horizontal="left"/>
    </xf>
    <xf numFmtId="3" fontId="6" fillId="2" borderId="0" xfId="0" applyNumberFormat="1" applyFont="1" applyFill="1" applyBorder="1" applyProtection="1"/>
    <xf numFmtId="3" fontId="6" fillId="2" borderId="0" xfId="0" applyNumberFormat="1" applyFont="1" applyFill="1" applyBorder="1" applyAlignment="1" applyProtection="1">
      <alignment horizontal="center"/>
    </xf>
    <xf numFmtId="0" fontId="6" fillId="0" borderId="0" xfId="0" applyFont="1" applyBorder="1" applyAlignment="1">
      <alignment horizontal="center"/>
    </xf>
    <xf numFmtId="3" fontId="6" fillId="0" borderId="0" xfId="0" applyNumberFormat="1" applyFont="1"/>
    <xf numFmtId="3" fontId="6" fillId="0" borderId="0" xfId="0" applyNumberFormat="1" applyFont="1" applyFill="1" applyBorder="1" applyProtection="1"/>
    <xf numFmtId="3" fontId="6" fillId="0" borderId="0" xfId="0" applyNumberFormat="1" applyFont="1" applyFill="1"/>
    <xf numFmtId="3" fontId="6" fillId="0" borderId="0" xfId="0" quotePrefix="1" applyNumberFormat="1" applyFont="1" applyFill="1" applyBorder="1" applyAlignment="1">
      <alignment horizontal="left"/>
    </xf>
    <xf numFmtId="3" fontId="6" fillId="0" borderId="0" xfId="0" applyNumberFormat="1" applyFont="1" applyBorder="1"/>
    <xf numFmtId="166" fontId="6" fillId="0" borderId="0" xfId="0" applyNumberFormat="1" applyFont="1" applyAlignment="1">
      <alignment horizontal="right"/>
    </xf>
    <xf numFmtId="3" fontId="6" fillId="0" borderId="0" xfId="0" applyNumberFormat="1" applyFont="1" applyAlignment="1">
      <alignment horizontal="right"/>
    </xf>
    <xf numFmtId="0" fontId="40" fillId="0" borderId="0" xfId="0" applyFont="1" applyAlignment="1">
      <alignment horizontal="right"/>
    </xf>
    <xf numFmtId="0" fontId="6" fillId="0" borderId="0" xfId="0" applyFont="1"/>
    <xf numFmtId="3" fontId="6" fillId="0" borderId="0" xfId="0" applyNumberFormat="1" applyFont="1"/>
    <xf numFmtId="166" fontId="6" fillId="0" borderId="0" xfId="0" applyNumberFormat="1" applyFont="1"/>
    <xf numFmtId="166" fontId="6" fillId="0" borderId="0" xfId="0" applyNumberFormat="1" applyFont="1" applyFill="1" applyAlignment="1">
      <alignment horizontal="right"/>
    </xf>
    <xf numFmtId="166" fontId="6" fillId="0" borderId="0" xfId="0" applyNumberFormat="1" applyFont="1" applyFill="1"/>
    <xf numFmtId="3" fontId="6" fillId="0" borderId="0" xfId="0" applyNumberFormat="1" applyFont="1" applyFill="1" applyAlignment="1">
      <alignment horizontal="right"/>
    </xf>
    <xf numFmtId="0" fontId="40" fillId="0" borderId="0" xfId="0" applyFont="1" applyFill="1" applyAlignment="1">
      <alignment horizontal="right"/>
    </xf>
    <xf numFmtId="0" fontId="6" fillId="0" borderId="0" xfId="0" applyFont="1" applyFill="1" applyBorder="1" applyAlignment="1">
      <alignment horizontal="center"/>
    </xf>
    <xf numFmtId="166" fontId="6" fillId="0" borderId="0" xfId="0" applyNumberFormat="1" applyFont="1" applyFill="1" applyBorder="1" applyAlignment="1">
      <alignment horizontal="right"/>
    </xf>
    <xf numFmtId="3" fontId="9" fillId="0" borderId="0" xfId="0" applyNumberFormat="1" applyFont="1" applyFill="1" applyBorder="1" applyAlignment="1" applyProtection="1">
      <alignment horizontal="right"/>
    </xf>
    <xf numFmtId="3" fontId="9" fillId="0" borderId="0" xfId="0" applyNumberFormat="1" applyFont="1" applyFill="1" applyBorder="1" applyAlignment="1">
      <alignment horizontal="center"/>
    </xf>
    <xf numFmtId="3" fontId="41" fillId="0" borderId="0" xfId="0" applyNumberFormat="1" applyFont="1" applyFill="1" applyBorder="1" applyAlignment="1">
      <alignment horizontal="right"/>
    </xf>
    <xf numFmtId="3" fontId="9" fillId="0" borderId="0" xfId="0" applyNumberFormat="1" applyFont="1" applyFill="1" applyBorder="1" applyAlignment="1">
      <alignment horizontal="right"/>
    </xf>
    <xf numFmtId="166" fontId="6" fillId="2" borderId="0" xfId="0" applyNumberFormat="1" applyFont="1" applyFill="1" applyBorder="1" applyAlignment="1" applyProtection="1">
      <alignment horizontal="right"/>
    </xf>
    <xf numFmtId="3" fontId="9" fillId="2" borderId="0" xfId="0" applyNumberFormat="1" applyFont="1" applyFill="1" applyBorder="1" applyAlignment="1" applyProtection="1">
      <alignment horizontal="center"/>
    </xf>
    <xf numFmtId="3" fontId="9" fillId="2" borderId="0" xfId="0" applyNumberFormat="1" applyFont="1" applyFill="1" applyBorder="1" applyAlignment="1">
      <alignment horizontal="center"/>
    </xf>
    <xf numFmtId="3" fontId="9" fillId="2" borderId="0" xfId="0" applyNumberFormat="1" applyFont="1" applyFill="1" applyBorder="1" applyAlignment="1" applyProtection="1">
      <alignment horizontal="centerContinuous"/>
    </xf>
    <xf numFmtId="3" fontId="9" fillId="2" borderId="0" xfId="0" applyNumberFormat="1" applyFont="1" applyFill="1" applyBorder="1" applyAlignment="1">
      <alignment horizontal="centerContinuous"/>
    </xf>
    <xf numFmtId="3" fontId="41" fillId="2" borderId="0" xfId="0" applyNumberFormat="1" applyFont="1" applyFill="1" applyBorder="1" applyAlignment="1">
      <alignment horizontal="right"/>
    </xf>
    <xf numFmtId="3" fontId="9" fillId="2" borderId="0" xfId="0" applyNumberFormat="1" applyFont="1" applyFill="1" applyBorder="1" applyAlignment="1">
      <alignment horizontal="right"/>
    </xf>
    <xf numFmtId="0" fontId="6" fillId="2" borderId="0" xfId="0" applyFont="1" applyFill="1"/>
    <xf numFmtId="3" fontId="6" fillId="2" borderId="0" xfId="0" applyNumberFormat="1" applyFont="1" applyFill="1" applyBorder="1" applyAlignment="1" applyProtection="1">
      <alignment horizontal="right"/>
    </xf>
    <xf numFmtId="3" fontId="6" fillId="2" borderId="0" xfId="0" applyNumberFormat="1" applyFont="1" applyFill="1" applyBorder="1" applyAlignment="1">
      <alignment horizontal="right"/>
    </xf>
    <xf numFmtId="3" fontId="6" fillId="2" borderId="0" xfId="0" applyNumberFormat="1" applyFont="1" applyFill="1" applyBorder="1"/>
    <xf numFmtId="3" fontId="15" fillId="2" borderId="0" xfId="0" applyNumberFormat="1" applyFont="1" applyFill="1" applyBorder="1"/>
    <xf numFmtId="3" fontId="9" fillId="2" borderId="0" xfId="0" applyNumberFormat="1" applyFont="1" applyFill="1" applyBorder="1"/>
    <xf numFmtId="3" fontId="6" fillId="2" borderId="0" xfId="0" applyNumberFormat="1" applyFont="1" applyFill="1" applyBorder="1" applyAlignment="1" applyProtection="1">
      <alignment horizontal="left"/>
    </xf>
    <xf numFmtId="3" fontId="40" fillId="2" borderId="0" xfId="0" applyNumberFormat="1" applyFont="1" applyFill="1"/>
    <xf numFmtId="3" fontId="40" fillId="2" borderId="0" xfId="0" applyNumberFormat="1" applyFont="1" applyFill="1" applyBorder="1" applyAlignment="1" applyProtection="1">
      <alignment horizontal="right"/>
    </xf>
    <xf numFmtId="3" fontId="6" fillId="2" borderId="0" xfId="0" quotePrefix="1" applyNumberFormat="1" applyFont="1" applyFill="1" applyBorder="1" applyAlignment="1">
      <alignment horizontal="right"/>
    </xf>
    <xf numFmtId="3" fontId="33" fillId="2" borderId="0" xfId="0" applyNumberFormat="1" applyFont="1" applyFill="1" applyBorder="1"/>
    <xf numFmtId="3" fontId="6"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center"/>
    </xf>
    <xf numFmtId="3" fontId="6" fillId="0" borderId="0" xfId="0" applyNumberFormat="1" applyFont="1" applyFill="1" applyBorder="1"/>
    <xf numFmtId="3" fontId="6" fillId="0" borderId="0" xfId="0" quotePrefix="1" applyNumberFormat="1" applyFont="1" applyFill="1" applyBorder="1" applyAlignment="1">
      <alignment horizontal="left"/>
    </xf>
    <xf numFmtId="3" fontId="33" fillId="0" borderId="0" xfId="0" applyNumberFormat="1" applyFont="1" applyFill="1" applyBorder="1"/>
    <xf numFmtId="3" fontId="15" fillId="0" borderId="0" xfId="0" applyNumberFormat="1" applyFont="1" applyFill="1" applyBorder="1"/>
    <xf numFmtId="3" fontId="40" fillId="0" borderId="0" xfId="0" applyNumberFormat="1" applyFont="1" applyFill="1" applyBorder="1" applyAlignment="1" applyProtection="1">
      <alignment horizontal="right"/>
    </xf>
    <xf numFmtId="0" fontId="40" fillId="0" borderId="0" xfId="0" applyFont="1" applyFill="1" applyBorder="1" applyAlignment="1" applyProtection="1">
      <alignment horizontal="right"/>
    </xf>
    <xf numFmtId="3" fontId="6" fillId="0" borderId="0" xfId="0" applyNumberFormat="1" applyFont="1" applyFill="1" applyBorder="1" applyAlignment="1" applyProtection="1">
      <alignment horizontal="left"/>
    </xf>
    <xf numFmtId="3" fontId="40" fillId="0" borderId="0" xfId="0" applyNumberFormat="1" applyFont="1" applyFill="1" applyBorder="1" applyAlignment="1">
      <alignment horizontal="right"/>
    </xf>
    <xf numFmtId="3" fontId="6" fillId="0" borderId="0" xfId="0" applyNumberFormat="1" applyFont="1" applyFill="1" applyBorder="1" applyAlignment="1">
      <alignment horizontal="right"/>
    </xf>
    <xf numFmtId="3" fontId="6" fillId="0" borderId="0" xfId="0" quotePrefix="1" applyNumberFormat="1" applyFont="1" applyFill="1" applyBorder="1" applyAlignment="1">
      <alignment horizontal="right"/>
    </xf>
    <xf numFmtId="22" fontId="6" fillId="0" borderId="0" xfId="0" applyNumberFormat="1" applyFont="1" applyFill="1" applyBorder="1"/>
    <xf numFmtId="3" fontId="6" fillId="0" borderId="0" xfId="0" applyNumberFormat="1" applyFont="1" applyFill="1" applyBorder="1" applyAlignment="1">
      <alignment horizontal="right"/>
    </xf>
    <xf numFmtId="3" fontId="9" fillId="0" borderId="0" xfId="0" applyNumberFormat="1" applyFont="1" applyFill="1" applyBorder="1" applyAlignment="1" applyProtection="1">
      <alignment horizontal="left"/>
    </xf>
    <xf numFmtId="3" fontId="9" fillId="0" borderId="0" xfId="0" applyNumberFormat="1" applyFont="1" applyFill="1" applyBorder="1"/>
    <xf numFmtId="3" fontId="6" fillId="2" borderId="0" xfId="0" applyNumberFormat="1" applyFont="1" applyFill="1" applyBorder="1" applyAlignment="1">
      <alignment horizontal="right"/>
    </xf>
    <xf numFmtId="3" fontId="9" fillId="2" borderId="0" xfId="0" applyNumberFormat="1" applyFont="1" applyFill="1" applyBorder="1" applyAlignment="1" applyProtection="1">
      <alignment horizontal="left"/>
    </xf>
    <xf numFmtId="3" fontId="9" fillId="2" borderId="0" xfId="0" applyNumberFormat="1" applyFont="1" applyFill="1" applyBorder="1" applyAlignment="1" applyProtection="1">
      <alignment horizontal="right"/>
    </xf>
    <xf numFmtId="175" fontId="6" fillId="2" borderId="0" xfId="0" applyNumberFormat="1" applyFont="1" applyFill="1" applyBorder="1" applyAlignment="1" applyProtection="1">
      <alignment horizontal="right"/>
    </xf>
    <xf numFmtId="3" fontId="6" fillId="2" borderId="0" xfId="0" applyNumberFormat="1" applyFont="1" applyFill="1" applyBorder="1"/>
    <xf numFmtId="3" fontId="6" fillId="0" borderId="0" xfId="0" applyNumberFormat="1" applyFont="1" applyFill="1" applyBorder="1"/>
    <xf numFmtId="3" fontId="41" fillId="0" borderId="0" xfId="0" applyNumberFormat="1" applyFont="1" applyFill="1" applyBorder="1" applyAlignment="1" applyProtection="1">
      <alignment horizontal="right"/>
    </xf>
    <xf numFmtId="3" fontId="6" fillId="2" borderId="0" xfId="0" applyNumberFormat="1" applyFont="1" applyFill="1"/>
    <xf numFmtId="3" fontId="40" fillId="0" borderId="0" xfId="0" quotePrefix="1" applyNumberFormat="1" applyFont="1" applyFill="1" applyBorder="1" applyAlignment="1">
      <alignment horizontal="right"/>
    </xf>
    <xf numFmtId="171" fontId="6" fillId="0" borderId="0" xfId="0" applyNumberFormat="1" applyFont="1" applyFill="1" applyBorder="1" applyAlignment="1" applyProtection="1">
      <alignment horizontal="right"/>
    </xf>
    <xf numFmtId="171" fontId="6" fillId="0" borderId="0" xfId="0" applyNumberFormat="1" applyFont="1" applyFill="1" applyBorder="1" applyAlignment="1">
      <alignment horizontal="right"/>
    </xf>
    <xf numFmtId="173" fontId="6" fillId="0" borderId="0" xfId="0" applyNumberFormat="1" applyFont="1" applyFill="1" applyBorder="1"/>
    <xf numFmtId="171" fontId="6" fillId="0" borderId="0" xfId="0" applyNumberFormat="1" applyFont="1" applyFill="1" applyBorder="1" applyProtection="1"/>
    <xf numFmtId="3" fontId="40" fillId="2" borderId="0" xfId="0" applyNumberFormat="1" applyFont="1" applyFill="1" applyBorder="1" applyAlignment="1">
      <alignment horizontal="right"/>
    </xf>
    <xf numFmtId="3" fontId="6" fillId="2" borderId="0" xfId="0" quotePrefix="1" applyNumberFormat="1" applyFont="1" applyFill="1" applyBorder="1" applyAlignment="1" applyProtection="1">
      <alignment horizontal="right"/>
    </xf>
    <xf numFmtId="0" fontId="37" fillId="2" borderId="0" xfId="0" quotePrefix="1" applyFont="1" applyFill="1" applyBorder="1" applyAlignment="1" applyProtection="1">
      <alignment horizontal="left"/>
    </xf>
    <xf numFmtId="3" fontId="6" fillId="0" borderId="0" xfId="0" applyNumberFormat="1" applyFont="1" applyFill="1" applyBorder="1" applyProtection="1"/>
    <xf numFmtId="3" fontId="9" fillId="2" borderId="0" xfId="0" applyNumberFormat="1" applyFont="1" applyFill="1" applyBorder="1" applyProtection="1"/>
    <xf numFmtId="3" fontId="6" fillId="2" borderId="0" xfId="0" applyNumberFormat="1" applyFont="1" applyFill="1" applyBorder="1" applyProtection="1"/>
    <xf numFmtId="3" fontId="40" fillId="2" borderId="0" xfId="0" quotePrefix="1" applyNumberFormat="1" applyFont="1" applyFill="1" applyBorder="1" applyAlignment="1">
      <alignment horizontal="right"/>
    </xf>
    <xf numFmtId="3" fontId="40" fillId="0" borderId="0" xfId="0" applyNumberFormat="1" applyFont="1" applyAlignment="1">
      <alignment horizontal="right"/>
    </xf>
    <xf numFmtId="0" fontId="6" fillId="0" borderId="0" xfId="0" quotePrefix="1" applyFont="1" applyFill="1" applyBorder="1" applyAlignment="1" applyProtection="1">
      <alignment horizontal="center"/>
    </xf>
    <xf numFmtId="0" fontId="40" fillId="0" borderId="0" xfId="0" applyFont="1" applyFill="1" applyBorder="1" applyAlignment="1">
      <alignment horizontal="right"/>
    </xf>
    <xf numFmtId="3" fontId="6" fillId="0" borderId="0" xfId="0" applyNumberFormat="1" applyFont="1" applyBorder="1" applyAlignment="1">
      <alignment horizontal="right"/>
    </xf>
    <xf numFmtId="0" fontId="40" fillId="0" borderId="0" xfId="0" applyFont="1" applyBorder="1" applyAlignment="1">
      <alignment horizontal="right"/>
    </xf>
    <xf numFmtId="0" fontId="6" fillId="0" borderId="0" xfId="0" applyFont="1" applyBorder="1" applyAlignment="1">
      <alignment horizontal="right"/>
    </xf>
    <xf numFmtId="3" fontId="6" fillId="0" borderId="0" xfId="0" quotePrefix="1" applyNumberFormat="1" applyFont="1" applyFill="1" applyBorder="1" applyAlignment="1" applyProtection="1">
      <alignment horizontal="center"/>
    </xf>
    <xf numFmtId="0" fontId="7" fillId="58" borderId="23" xfId="0" applyFont="1" applyFill="1" applyBorder="1" applyAlignment="1">
      <alignment vertical="center"/>
    </xf>
    <xf numFmtId="0" fontId="7" fillId="58" borderId="26" xfId="0" applyFont="1" applyFill="1" applyBorder="1" applyAlignment="1">
      <alignment vertical="center"/>
    </xf>
    <xf numFmtId="0" fontId="7" fillId="58" borderId="34" xfId="0" applyFont="1" applyFill="1" applyBorder="1" applyAlignment="1">
      <alignment vertical="center"/>
    </xf>
    <xf numFmtId="0" fontId="6" fillId="0" borderId="0" xfId="0" applyFont="1" applyAlignment="1">
      <alignment horizontal="center"/>
    </xf>
    <xf numFmtId="0" fontId="7" fillId="58" borderId="18" xfId="0" applyFont="1" applyFill="1" applyBorder="1"/>
    <xf numFmtId="0" fontId="7" fillId="58" borderId="10" xfId="0" applyFont="1" applyFill="1" applyBorder="1"/>
    <xf numFmtId="49" fontId="7" fillId="8" borderId="34" xfId="0" applyNumberFormat="1" applyFont="1" applyFill="1" applyBorder="1" applyAlignment="1">
      <alignment horizontal="center"/>
    </xf>
    <xf numFmtId="49" fontId="7" fillId="8" borderId="0" xfId="0" applyNumberFormat="1" applyFont="1" applyFill="1" applyBorder="1" applyAlignment="1">
      <alignment horizontal="center"/>
    </xf>
    <xf numFmtId="17" fontId="7" fillId="60" borderId="1" xfId="0" applyNumberFormat="1" applyFont="1" applyFill="1" applyBorder="1"/>
    <xf numFmtId="17" fontId="7" fillId="60" borderId="1" xfId="0" applyNumberFormat="1" applyFont="1" applyFill="1" applyBorder="1"/>
    <xf numFmtId="0" fontId="6" fillId="0" borderId="0" xfId="0" applyNumberFormat="1" applyFont="1" applyFill="1" applyBorder="1" applyAlignment="1">
      <alignment horizontal="center" vertical="center"/>
    </xf>
    <xf numFmtId="0" fontId="11" fillId="0" borderId="0" xfId="0" applyFont="1" applyBorder="1" applyAlignment="1"/>
    <xf numFmtId="0" fontId="11" fillId="0" borderId="0" xfId="0" applyFont="1" applyFill="1" applyBorder="1" applyAlignment="1"/>
    <xf numFmtId="0" fontId="6" fillId="0" borderId="0" xfId="0" applyNumberFormat="1" applyFont="1" applyFill="1" applyBorder="1" applyAlignment="1">
      <alignment vertical="center"/>
    </xf>
    <xf numFmtId="17" fontId="7" fillId="60" borderId="1" xfId="0" applyNumberFormat="1" applyFont="1" applyFill="1" applyBorder="1" applyAlignment="1">
      <alignment vertical="center"/>
    </xf>
    <xf numFmtId="0" fontId="0" fillId="7" borderId="0" xfId="0" applyFill="1"/>
    <xf numFmtId="166" fontId="6" fillId="0" borderId="0" xfId="0" applyNumberFormat="1" applyFont="1" applyFill="1" applyBorder="1" applyAlignment="1" applyProtection="1">
      <alignment horizontal="center"/>
    </xf>
    <xf numFmtId="166" fontId="6" fillId="2" borderId="0" xfId="0" applyNumberFormat="1" applyFont="1" applyFill="1" applyBorder="1" applyAlignment="1" applyProtection="1">
      <alignment horizontal="center"/>
    </xf>
    <xf numFmtId="166" fontId="6" fillId="0" borderId="0" xfId="0" applyNumberFormat="1" applyFont="1" applyAlignment="1">
      <alignment horizontal="center"/>
    </xf>
    <xf numFmtId="0" fontId="6" fillId="0" borderId="0" xfId="0" applyFont="1" applyFill="1" applyBorder="1"/>
    <xf numFmtId="0" fontId="0" fillId="61" borderId="0" xfId="0" applyFont="1" applyFill="1"/>
    <xf numFmtId="0" fontId="0" fillId="0" borderId="0" xfId="0" applyNumberFormat="1" applyFill="1"/>
    <xf numFmtId="0" fontId="0" fillId="0" borderId="0" xfId="0"/>
    <xf numFmtId="0" fontId="9" fillId="0" borderId="0" xfId="0" applyFont="1" applyFill="1" applyBorder="1" applyAlignment="1">
      <alignment horizontal="center"/>
    </xf>
    <xf numFmtId="0" fontId="9" fillId="0" borderId="0" xfId="0" applyFont="1" applyFill="1" applyAlignment="1">
      <alignment horizontal="center"/>
    </xf>
    <xf numFmtId="17" fontId="0" fillId="0" borderId="0" xfId="0" applyNumberFormat="1" applyFont="1"/>
    <xf numFmtId="2" fontId="0" fillId="0" borderId="0" xfId="0" applyNumberFormat="1" applyFont="1"/>
    <xf numFmtId="8" fontId="0" fillId="0" borderId="0" xfId="0" applyNumberFormat="1" applyFont="1"/>
    <xf numFmtId="169" fontId="0" fillId="0" borderId="0" xfId="0" applyNumberFormat="1" applyFont="1"/>
    <xf numFmtId="169" fontId="0" fillId="0" borderId="0" xfId="0" applyNumberFormat="1" applyFont="1" applyFill="1"/>
    <xf numFmtId="0" fontId="46" fillId="0" borderId="0" xfId="0" applyFont="1" applyAlignment="1"/>
    <xf numFmtId="0" fontId="47" fillId="0" borderId="0" xfId="0" applyFont="1" applyAlignment="1"/>
    <xf numFmtId="0" fontId="48" fillId="0" borderId="0" xfId="0" applyFont="1"/>
    <xf numFmtId="0" fontId="6" fillId="0" borderId="0" xfId="0" applyFont="1" applyAlignment="1">
      <alignment horizontal="center"/>
    </xf>
    <xf numFmtId="166" fontId="0" fillId="0" borderId="0" xfId="0" applyNumberFormat="1" applyFont="1"/>
    <xf numFmtId="3" fontId="0" fillId="0" borderId="0" xfId="0" applyNumberFormat="1" applyFont="1" applyFill="1" applyBorder="1"/>
    <xf numFmtId="0" fontId="0" fillId="0" borderId="0" xfId="0" applyFont="1" applyBorder="1"/>
    <xf numFmtId="3" fontId="0" fillId="0" borderId="0" xfId="0" applyNumberFormat="1" applyFont="1" applyBorder="1"/>
    <xf numFmtId="0" fontId="6" fillId="64" borderId="0" xfId="0" applyFont="1" applyFill="1" applyBorder="1"/>
    <xf numFmtId="0" fontId="6" fillId="64" borderId="0" xfId="0" applyFont="1" applyFill="1" applyBorder="1" applyAlignment="1" applyProtection="1">
      <alignment horizontal="center"/>
    </xf>
    <xf numFmtId="0" fontId="6" fillId="27" borderId="0" xfId="0" applyFont="1" applyFill="1" applyBorder="1"/>
    <xf numFmtId="0" fontId="35" fillId="27" borderId="0" xfId="0" applyFont="1" applyFill="1" applyBorder="1" applyAlignment="1" applyProtection="1">
      <alignment horizontal="left"/>
      <protection locked="0"/>
    </xf>
    <xf numFmtId="0" fontId="6" fillId="27" borderId="0" xfId="0" applyFont="1" applyFill="1" applyBorder="1" applyAlignment="1" applyProtection="1">
      <alignment horizontal="center"/>
    </xf>
    <xf numFmtId="0" fontId="9" fillId="27" borderId="0" xfId="0" applyFont="1" applyFill="1" applyBorder="1" applyAlignment="1" applyProtection="1">
      <alignment horizontal="center"/>
    </xf>
    <xf numFmtId="0" fontId="38" fillId="27" borderId="0" xfId="0" applyFont="1" applyFill="1" applyBorder="1" applyAlignment="1" applyProtection="1">
      <alignment horizontal="left"/>
      <protection locked="0"/>
    </xf>
    <xf numFmtId="0" fontId="6" fillId="0" borderId="0" xfId="0" applyFont="1" applyBorder="1"/>
    <xf numFmtId="3" fontId="6" fillId="0" borderId="0" xfId="0" applyNumberFormat="1" applyFont="1" applyBorder="1"/>
    <xf numFmtId="0" fontId="0" fillId="27" borderId="0" xfId="0" applyFont="1" applyFill="1" applyBorder="1"/>
    <xf numFmtId="0" fontId="0" fillId="0" borderId="0" xfId="0" applyFont="1" applyFill="1" applyBorder="1"/>
    <xf numFmtId="0" fontId="9" fillId="27" borderId="0" xfId="0" applyFont="1" applyFill="1" applyBorder="1" applyAlignment="1" applyProtection="1">
      <alignment horizontal="left"/>
    </xf>
    <xf numFmtId="0" fontId="6" fillId="27" borderId="0" xfId="0" applyFont="1" applyFill="1" applyBorder="1" applyAlignment="1">
      <alignment horizontal="center"/>
    </xf>
    <xf numFmtId="0" fontId="39" fillId="27" borderId="0" xfId="0" applyFont="1" applyFill="1" applyBorder="1" applyAlignment="1" applyProtection="1">
      <alignment horizontal="left"/>
      <protection locked="0"/>
    </xf>
    <xf numFmtId="0" fontId="6" fillId="27" borderId="0" xfId="0" quotePrefix="1" applyFont="1" applyFill="1" applyBorder="1" applyAlignment="1" applyProtection="1">
      <alignment horizontal="center"/>
    </xf>
    <xf numFmtId="0" fontId="6" fillId="27" borderId="0" xfId="0" applyFont="1" applyFill="1" applyBorder="1" applyAlignment="1" applyProtection="1">
      <alignment horizontal="left"/>
    </xf>
    <xf numFmtId="0" fontId="49" fillId="27" borderId="0" xfId="0" applyFont="1" applyFill="1" applyBorder="1" applyAlignment="1" applyProtection="1">
      <alignment horizontal="left"/>
      <protection locked="0"/>
    </xf>
    <xf numFmtId="0" fontId="49" fillId="0" borderId="0" xfId="0" applyFont="1" applyFill="1" applyBorder="1" applyAlignment="1" applyProtection="1">
      <alignment horizontal="left"/>
      <protection locked="0"/>
    </xf>
    <xf numFmtId="0" fontId="50" fillId="0" borderId="0" xfId="0" applyFont="1" applyFill="1" applyBorder="1" applyAlignment="1" applyProtection="1">
      <alignment horizontal="left"/>
    </xf>
    <xf numFmtId="0" fontId="50" fillId="27" borderId="0" xfId="0" applyFont="1" applyFill="1" applyBorder="1" applyAlignment="1" applyProtection="1">
      <alignment horizontal="left"/>
    </xf>
    <xf numFmtId="0" fontId="51" fillId="27" borderId="0" xfId="0" applyFont="1" applyFill="1" applyBorder="1" applyAlignment="1" applyProtection="1">
      <alignment horizontal="left"/>
      <protection locked="0"/>
    </xf>
    <xf numFmtId="0" fontId="51" fillId="0" borderId="0" xfId="0" applyFont="1" applyFill="1" applyBorder="1" applyAlignment="1" applyProtection="1">
      <alignment horizontal="left"/>
      <protection locked="0"/>
    </xf>
    <xf numFmtId="0" fontId="9" fillId="0" borderId="0" xfId="0" applyFont="1" applyFill="1" applyBorder="1" applyAlignment="1">
      <alignment horizontal="center"/>
    </xf>
    <xf numFmtId="0" fontId="9" fillId="0" borderId="0" xfId="0" applyFont="1" applyFill="1" applyAlignment="1">
      <alignment horizontal="center"/>
    </xf>
    <xf numFmtId="0" fontId="0" fillId="0" borderId="0" xfId="0" applyFont="1"/>
    <xf numFmtId="168" fontId="0" fillId="52" borderId="23" xfId="0" applyNumberFormat="1" applyFont="1" applyFill="1" applyBorder="1"/>
    <xf numFmtId="168" fontId="0" fillId="52" borderId="1" xfId="0" applyNumberFormat="1" applyFont="1" applyFill="1" applyBorder="1"/>
    <xf numFmtId="168" fontId="0" fillId="52" borderId="3" xfId="0" applyNumberFormat="1" applyFont="1" applyFill="1" applyBorder="1"/>
    <xf numFmtId="0" fontId="36" fillId="0" borderId="0" xfId="0" applyFont="1" applyFill="1" applyBorder="1" applyAlignment="1">
      <alignment horizontal="center"/>
    </xf>
    <xf numFmtId="166" fontId="45" fillId="0" borderId="0" xfId="0" applyNumberFormat="1" applyFont="1" applyFill="1" applyBorder="1" applyAlignment="1">
      <alignment horizontal="center"/>
    </xf>
    <xf numFmtId="166" fontId="6" fillId="0" borderId="0" xfId="0" applyNumberFormat="1" applyFont="1" applyFill="1" applyBorder="1" applyAlignment="1">
      <alignment horizontal="center"/>
    </xf>
    <xf numFmtId="170" fontId="6" fillId="0" borderId="0" xfId="0" applyNumberFormat="1" applyFont="1" applyFill="1" applyBorder="1" applyAlignment="1">
      <alignment horizontal="right"/>
    </xf>
    <xf numFmtId="170" fontId="6" fillId="0" borderId="0" xfId="0" applyNumberFormat="1" applyFont="1" applyBorder="1" applyAlignment="1">
      <alignment horizontal="right"/>
    </xf>
    <xf numFmtId="170" fontId="6" fillId="0" borderId="0" xfId="0" applyNumberFormat="1" applyFont="1" applyAlignment="1">
      <alignment horizontal="right"/>
    </xf>
    <xf numFmtId="6" fontId="6" fillId="0" borderId="0" xfId="0" applyNumberFormat="1" applyFont="1"/>
    <xf numFmtId="3" fontId="6" fillId="0" borderId="0" xfId="0" applyNumberFormat="1" applyFont="1" applyAlignment="1">
      <alignment horizontal="center"/>
    </xf>
    <xf numFmtId="0" fontId="1" fillId="0" borderId="0" xfId="0" applyFont="1" applyFill="1"/>
    <xf numFmtId="0" fontId="0" fillId="0" borderId="0" xfId="0"/>
    <xf numFmtId="0" fontId="0" fillId="0" borderId="0" xfId="0" applyFill="1"/>
    <xf numFmtId="9" fontId="0" fillId="0" borderId="0" xfId="90" applyFont="1"/>
    <xf numFmtId="3" fontId="15" fillId="0" borderId="41" xfId="0" applyNumberFormat="1" applyFont="1" applyFill="1" applyBorder="1" applyAlignment="1">
      <alignment horizontal="right" vertical="center" wrapText="1"/>
    </xf>
    <xf numFmtId="169" fontId="8" fillId="0" borderId="2" xfId="0" applyNumberFormat="1" applyFont="1" applyFill="1" applyBorder="1"/>
    <xf numFmtId="169" fontId="8" fillId="2" borderId="5" xfId="0" applyNumberFormat="1" applyFont="1" applyFill="1" applyBorder="1"/>
    <xf numFmtId="0" fontId="61" fillId="0" borderId="1" xfId="0" applyFont="1" applyFill="1" applyBorder="1" applyAlignment="1" applyProtection="1">
      <alignment horizontal="left"/>
      <protection locked="0"/>
    </xf>
    <xf numFmtId="0" fontId="61" fillId="0" borderId="1" xfId="0" applyFont="1" applyFill="1" applyBorder="1" applyAlignment="1" applyProtection="1">
      <alignment horizontal="left"/>
    </xf>
    <xf numFmtId="0" fontId="60" fillId="0" borderId="1" xfId="0" applyFont="1" applyFill="1" applyBorder="1" applyAlignment="1" applyProtection="1">
      <alignment horizontal="left"/>
      <protection locked="0"/>
    </xf>
    <xf numFmtId="3" fontId="14" fillId="0" borderId="0" xfId="0" applyNumberFormat="1" applyFont="1" applyFill="1" applyBorder="1"/>
    <xf numFmtId="3" fontId="14" fillId="0" borderId="0" xfId="0" applyNumberFormat="1" applyFont="1" applyFill="1" applyBorder="1" applyAlignment="1">
      <alignment horizontal="right"/>
    </xf>
    <xf numFmtId="0" fontId="63" fillId="0" borderId="0" xfId="0" applyFont="1" applyAlignment="1">
      <alignment horizontal="left" vertical="top"/>
    </xf>
    <xf numFmtId="0" fontId="9" fillId="0" borderId="0" xfId="0" applyFont="1" applyFill="1" applyBorder="1" applyAlignment="1">
      <alignment horizontal="center"/>
    </xf>
    <xf numFmtId="0" fontId="9" fillId="0" borderId="0" xfId="0" applyFont="1" applyFill="1" applyAlignment="1">
      <alignment horizontal="center"/>
    </xf>
    <xf numFmtId="0" fontId="0" fillId="8" borderId="26" xfId="0" applyFont="1" applyFill="1" applyBorder="1"/>
    <xf numFmtId="0" fontId="7" fillId="8" borderId="37" xfId="0" applyFont="1" applyFill="1" applyBorder="1"/>
    <xf numFmtId="0" fontId="7" fillId="9" borderId="37" xfId="0" applyFont="1" applyFill="1" applyBorder="1" applyAlignment="1">
      <alignment horizontal="left"/>
    </xf>
    <xf numFmtId="0" fontId="7" fillId="17" borderId="37" xfId="0" applyFont="1" applyFill="1" applyBorder="1"/>
    <xf numFmtId="0" fontId="7" fillId="60" borderId="23" xfId="0" applyFont="1" applyFill="1" applyBorder="1"/>
    <xf numFmtId="0" fontId="7" fillId="60" borderId="3" xfId="0" applyFont="1" applyFill="1" applyBorder="1"/>
    <xf numFmtId="0" fontId="7" fillId="24" borderId="18" xfId="0" applyFont="1" applyFill="1" applyBorder="1" applyAlignment="1">
      <alignment horizontal="right"/>
    </xf>
    <xf numFmtId="8" fontId="0" fillId="0" borderId="0" xfId="0" applyNumberFormat="1"/>
    <xf numFmtId="180" fontId="0" fillId="0" borderId="0" xfId="90" applyNumberFormat="1" applyFont="1"/>
    <xf numFmtId="169" fontId="2" fillId="0" borderId="0" xfId="43" applyNumberFormat="1" applyFont="1"/>
    <xf numFmtId="0" fontId="6" fillId="0" borderId="0" xfId="0" quotePrefix="1" applyFont="1"/>
    <xf numFmtId="0" fontId="6" fillId="0" borderId="0" xfId="0" quotePrefix="1" applyFont="1" applyFill="1" applyBorder="1"/>
    <xf numFmtId="0" fontId="6" fillId="0" borderId="26" xfId="0" applyFont="1" applyBorder="1"/>
    <xf numFmtId="0" fontId="7" fillId="24" borderId="26" xfId="0" applyFont="1" applyFill="1" applyBorder="1" applyAlignment="1"/>
    <xf numFmtId="1" fontId="0" fillId="0" borderId="0" xfId="0" applyNumberFormat="1"/>
    <xf numFmtId="0" fontId="7" fillId="24" borderId="19" xfId="0" applyFont="1" applyFill="1" applyBorder="1" applyAlignment="1"/>
    <xf numFmtId="0" fontId="7" fillId="24" borderId="18" xfId="0" applyFont="1" applyFill="1" applyBorder="1" applyAlignment="1"/>
    <xf numFmtId="169" fontId="6" fillId="0" borderId="0" xfId="0" applyNumberFormat="1" applyFont="1" applyFill="1" applyBorder="1"/>
    <xf numFmtId="0" fontId="6" fillId="0" borderId="18" xfId="0" applyFont="1" applyBorder="1"/>
    <xf numFmtId="0" fontId="7" fillId="24" borderId="1" xfId="0" applyFont="1" applyFill="1" applyBorder="1" applyAlignment="1">
      <alignment horizontal="center"/>
    </xf>
    <xf numFmtId="0" fontId="47" fillId="0" borderId="0" xfId="0" applyFont="1"/>
    <xf numFmtId="0" fontId="7" fillId="24" borderId="19" xfId="0" applyFont="1" applyFill="1" applyBorder="1" applyAlignment="1">
      <alignment horizontal="center" vertical="center" wrapText="1"/>
    </xf>
    <xf numFmtId="0" fontId="7" fillId="24" borderId="38" xfId="0" applyFont="1" applyFill="1" applyBorder="1" applyAlignment="1">
      <alignment horizontal="center" vertical="center" wrapText="1"/>
    </xf>
    <xf numFmtId="14" fontId="6" fillId="0" borderId="0" xfId="0" applyNumberFormat="1" applyFont="1"/>
    <xf numFmtId="183" fontId="2" fillId="0" borderId="0" xfId="137" applyFont="1"/>
    <xf numFmtId="0" fontId="64" fillId="0" borderId="0" xfId="0" applyFont="1" applyFill="1" applyBorder="1" applyAlignment="1"/>
    <xf numFmtId="0" fontId="47" fillId="0" borderId="0" xfId="0" applyFont="1" applyFill="1"/>
    <xf numFmtId="0" fontId="0" fillId="0" borderId="0" xfId="0"/>
    <xf numFmtId="3" fontId="0" fillId="0" borderId="0" xfId="0" applyNumberFormat="1"/>
    <xf numFmtId="0" fontId="0" fillId="0" borderId="0" xfId="0"/>
    <xf numFmtId="3" fontId="0" fillId="0" borderId="0" xfId="0" applyNumberFormat="1"/>
    <xf numFmtId="0" fontId="0" fillId="0" borderId="0" xfId="0" applyFill="1"/>
    <xf numFmtId="0" fontId="0" fillId="0" borderId="0" xfId="0"/>
    <xf numFmtId="6" fontId="0" fillId="0" borderId="0" xfId="0" applyNumberFormat="1"/>
    <xf numFmtId="0" fontId="0" fillId="0" borderId="0" xfId="0"/>
    <xf numFmtId="0" fontId="0" fillId="0" borderId="0" xfId="0" applyFont="1" applyAlignment="1">
      <alignment horizontal="center" vertical="center"/>
    </xf>
    <xf numFmtId="0" fontId="5" fillId="0" borderId="0" xfId="0" applyFont="1" applyFill="1" applyBorder="1"/>
    <xf numFmtId="0" fontId="8" fillId="0" borderId="0" xfId="0" applyFont="1" applyFill="1"/>
    <xf numFmtId="0" fontId="88" fillId="0" borderId="0" xfId="0" applyFont="1"/>
    <xf numFmtId="0" fontId="88" fillId="0" borderId="0" xfId="0" applyFont="1" applyFill="1"/>
    <xf numFmtId="10" fontId="0" fillId="0" borderId="0" xfId="90" applyNumberFormat="1" applyFont="1"/>
    <xf numFmtId="3" fontId="15" fillId="0" borderId="34" xfId="0" applyNumberFormat="1" applyFont="1" applyFill="1" applyBorder="1" applyAlignment="1">
      <alignment horizontal="right" vertical="center" wrapText="1"/>
    </xf>
    <xf numFmtId="0" fontId="7" fillId="0" borderId="34" xfId="0" applyFont="1" applyFill="1" applyBorder="1" applyAlignment="1">
      <alignment horizontal="left" vertical="center"/>
    </xf>
    <xf numFmtId="167" fontId="0" fillId="0" borderId="0" xfId="90" applyNumberFormat="1" applyFont="1"/>
    <xf numFmtId="9" fontId="6" fillId="0" borderId="0" xfId="90" applyFont="1" applyFill="1" applyBorder="1"/>
    <xf numFmtId="167" fontId="6" fillId="0" borderId="0" xfId="90" applyNumberFormat="1" applyFont="1" applyFill="1" applyBorder="1"/>
    <xf numFmtId="0" fontId="0" fillId="8" borderId="0" xfId="0" applyFill="1"/>
    <xf numFmtId="0" fontId="7" fillId="53" borderId="18" xfId="0" applyFont="1" applyFill="1" applyBorder="1"/>
    <xf numFmtId="0" fontId="0" fillId="0" borderId="0" xfId="0" applyFill="1" applyBorder="1"/>
    <xf numFmtId="170" fontId="0" fillId="0" borderId="0" xfId="0" applyNumberFormat="1"/>
    <xf numFmtId="0" fontId="0" fillId="0" borderId="0" xfId="0"/>
    <xf numFmtId="3" fontId="0" fillId="0" borderId="0" xfId="0" applyNumberFormat="1"/>
    <xf numFmtId="0" fontId="0" fillId="0" borderId="0" xfId="0" applyBorder="1"/>
    <xf numFmtId="168" fontId="0" fillId="0" borderId="1" xfId="0" applyNumberFormat="1" applyFont="1" applyFill="1" applyBorder="1"/>
    <xf numFmtId="0" fontId="7" fillId="50" borderId="18" xfId="0" applyFont="1" applyFill="1" applyBorder="1"/>
    <xf numFmtId="169" fontId="8" fillId="2" borderId="2" xfId="0" applyNumberFormat="1" applyFont="1" applyFill="1" applyBorder="1"/>
    <xf numFmtId="166" fontId="6" fillId="0" borderId="0" xfId="42" applyNumberFormat="1" applyFont="1" applyFill="1" applyBorder="1" applyAlignment="1" applyProtection="1">
      <alignment horizontal="right"/>
    </xf>
    <xf numFmtId="9" fontId="0" fillId="0" borderId="0" xfId="90" applyNumberFormat="1" applyFont="1"/>
    <xf numFmtId="167" fontId="6" fillId="0" borderId="0" xfId="90" applyNumberFormat="1" applyFont="1"/>
    <xf numFmtId="0" fontId="0" fillId="0" borderId="0" xfId="0"/>
    <xf numFmtId="169" fontId="0" fillId="0" borderId="0" xfId="0" applyNumberFormat="1"/>
    <xf numFmtId="171" fontId="6" fillId="0" borderId="0" xfId="0" applyNumberFormat="1" applyFont="1"/>
    <xf numFmtId="171" fontId="11" fillId="0" borderId="0" xfId="0" applyNumberFormat="1" applyFont="1"/>
    <xf numFmtId="183" fontId="13" fillId="0" borderId="0" xfId="137" applyFont="1"/>
    <xf numFmtId="0" fontId="58" fillId="29" borderId="23" xfId="0" applyFont="1" applyFill="1" applyBorder="1" applyAlignment="1" applyProtection="1">
      <alignment horizontal="left"/>
    </xf>
    <xf numFmtId="0" fontId="58" fillId="29" borderId="1" xfId="0" applyFont="1" applyFill="1" applyBorder="1" applyAlignment="1" applyProtection="1">
      <alignment horizontal="left"/>
    </xf>
    <xf numFmtId="0" fontId="58" fillId="29" borderId="0" xfId="0" applyFont="1" applyFill="1" applyBorder="1" applyAlignment="1" applyProtection="1">
      <alignment horizontal="right"/>
    </xf>
    <xf numFmtId="0" fontId="58" fillId="29" borderId="3" xfId="0" applyFont="1" applyFill="1" applyBorder="1" applyAlignment="1" applyProtection="1">
      <alignment horizontal="left"/>
    </xf>
    <xf numFmtId="0" fontId="58" fillId="29" borderId="3" xfId="0" applyFont="1" applyFill="1" applyBorder="1" applyAlignment="1" applyProtection="1">
      <alignment horizontal="center"/>
    </xf>
    <xf numFmtId="0" fontId="58" fillId="29" borderId="4" xfId="0" applyFont="1" applyFill="1" applyBorder="1" applyAlignment="1" applyProtection="1">
      <alignment horizontal="center"/>
    </xf>
    <xf numFmtId="0" fontId="58" fillId="29" borderId="5" xfId="0" applyFont="1" applyFill="1" applyBorder="1" applyAlignment="1" applyProtection="1">
      <alignment horizontal="center"/>
    </xf>
    <xf numFmtId="0" fontId="60" fillId="2" borderId="1" xfId="0" applyFont="1" applyFill="1" applyBorder="1" applyAlignment="1" applyProtection="1">
      <alignment horizontal="left"/>
      <protection locked="0"/>
    </xf>
    <xf numFmtId="3" fontId="14" fillId="2" borderId="0" xfId="0" applyNumberFormat="1" applyFont="1" applyFill="1" applyBorder="1"/>
    <xf numFmtId="3" fontId="14" fillId="7" borderId="0" xfId="0" applyNumberFormat="1" applyFont="1" applyFill="1" applyBorder="1"/>
    <xf numFmtId="0" fontId="56" fillId="2" borderId="1" xfId="0" applyFont="1" applyFill="1" applyBorder="1" applyAlignment="1" applyProtection="1">
      <alignment horizontal="left"/>
      <protection locked="0"/>
    </xf>
    <xf numFmtId="3" fontId="62" fillId="0" borderId="0" xfId="0" applyNumberFormat="1" applyFont="1" applyFill="1" applyBorder="1"/>
    <xf numFmtId="0" fontId="57" fillId="2" borderId="1" xfId="0" applyFont="1" applyFill="1" applyBorder="1" applyAlignment="1" applyProtection="1">
      <alignment horizontal="left"/>
      <protection locked="0"/>
    </xf>
    <xf numFmtId="0" fontId="61" fillId="2" borderId="1" xfId="0" applyFont="1" applyFill="1" applyBorder="1" applyAlignment="1" applyProtection="1">
      <alignment horizontal="left"/>
    </xf>
    <xf numFmtId="0" fontId="60" fillId="29" borderId="1" xfId="0" applyFont="1" applyFill="1" applyBorder="1" applyAlignment="1" applyProtection="1">
      <alignment horizontal="left"/>
      <protection locked="0"/>
    </xf>
    <xf numFmtId="0" fontId="0" fillId="29" borderId="3" xfId="0" applyFill="1" applyBorder="1"/>
    <xf numFmtId="0" fontId="0" fillId="102" borderId="18" xfId="0" applyFill="1" applyBorder="1"/>
    <xf numFmtId="0" fontId="0" fillId="103" borderId="0" xfId="0" applyFont="1" applyFill="1"/>
    <xf numFmtId="0" fontId="0" fillId="0" borderId="3" xfId="0" applyBorder="1"/>
    <xf numFmtId="0" fontId="0" fillId="0" borderId="5" xfId="0" applyBorder="1"/>
    <xf numFmtId="0" fontId="5" fillId="104" borderId="23" xfId="0" applyFont="1" applyFill="1" applyBorder="1" applyAlignment="1">
      <alignment horizontal="center"/>
    </xf>
    <xf numFmtId="0" fontId="7" fillId="104" borderId="17" xfId="0" applyFont="1" applyFill="1" applyBorder="1" applyAlignment="1">
      <alignment horizontal="center"/>
    </xf>
    <xf numFmtId="0" fontId="0" fillId="0" borderId="0" xfId="0" applyNumberFormat="1"/>
    <xf numFmtId="37" fontId="58" fillId="29" borderId="0" xfId="0" applyNumberFormat="1" applyFont="1" applyFill="1" applyBorder="1" applyAlignment="1" applyProtection="1">
      <alignment horizontal="center"/>
    </xf>
    <xf numFmtId="0" fontId="58" fillId="29" borderId="0" xfId="0" applyFont="1" applyFill="1" applyBorder="1" applyAlignment="1" applyProtection="1">
      <alignment horizontal="center"/>
    </xf>
    <xf numFmtId="3" fontId="90" fillId="0" borderId="0" xfId="0" applyNumberFormat="1" applyFont="1" applyFill="1" applyBorder="1"/>
    <xf numFmtId="0" fontId="7" fillId="21" borderId="17" xfId="0" applyFont="1" applyFill="1" applyBorder="1" applyAlignment="1">
      <alignment horizontal="center" vertical="center"/>
    </xf>
    <xf numFmtId="0" fontId="0" fillId="0" borderId="0" xfId="0" applyBorder="1"/>
    <xf numFmtId="0" fontId="0" fillId="0" borderId="0" xfId="0"/>
    <xf numFmtId="0" fontId="7" fillId="21" borderId="1" xfId="0" applyFont="1" applyFill="1" applyBorder="1"/>
    <xf numFmtId="44" fontId="0" fillId="0" borderId="0" xfId="89" applyFont="1"/>
    <xf numFmtId="44" fontId="0" fillId="0" borderId="0" xfId="0" applyNumberFormat="1"/>
    <xf numFmtId="164" fontId="6" fillId="0" borderId="0" xfId="0" applyNumberFormat="1" applyFont="1" applyFill="1" applyBorder="1"/>
    <xf numFmtId="0" fontId="7" fillId="104" borderId="18" xfId="0" applyFont="1" applyFill="1" applyBorder="1"/>
    <xf numFmtId="9" fontId="11" fillId="0" borderId="0" xfId="90" applyFont="1"/>
    <xf numFmtId="2" fontId="11" fillId="0" borderId="0" xfId="0" applyNumberFormat="1" applyFont="1"/>
    <xf numFmtId="0" fontId="91" fillId="58" borderId="3" xfId="0" applyFont="1" applyFill="1" applyBorder="1"/>
    <xf numFmtId="0" fontId="91" fillId="58" borderId="4" xfId="0" applyFont="1" applyFill="1" applyBorder="1"/>
    <xf numFmtId="0" fontId="91" fillId="14" borderId="4" xfId="0" applyFont="1" applyFill="1" applyBorder="1"/>
    <xf numFmtId="166" fontId="0" fillId="0" borderId="0" xfId="42" applyNumberFormat="1" applyFont="1" applyFill="1" applyBorder="1"/>
    <xf numFmtId="170" fontId="0" fillId="0" borderId="0" xfId="90" applyNumberFormat="1" applyFont="1"/>
    <xf numFmtId="0" fontId="6" fillId="0" borderId="0" xfId="1" applyFont="1" applyFill="1"/>
    <xf numFmtId="0" fontId="6" fillId="10" borderId="0" xfId="1" applyFont="1" applyFill="1"/>
    <xf numFmtId="0" fontId="6" fillId="3" borderId="0" xfId="1" applyFont="1" applyFill="1"/>
    <xf numFmtId="0" fontId="6" fillId="13" borderId="0" xfId="1" applyFont="1" applyFill="1"/>
    <xf numFmtId="0" fontId="6" fillId="61" borderId="0" xfId="1" applyFont="1" applyFill="1"/>
    <xf numFmtId="0" fontId="6" fillId="54" borderId="0" xfId="1" applyFont="1" applyFill="1"/>
    <xf numFmtId="0" fontId="6" fillId="2" borderId="0" xfId="1" applyFont="1" applyFill="1"/>
    <xf numFmtId="0" fontId="9" fillId="0" borderId="0" xfId="0" applyFont="1" applyAlignment="1" applyProtection="1"/>
    <xf numFmtId="0" fontId="9" fillId="8" borderId="0" xfId="0" applyFont="1" applyFill="1" applyBorder="1" applyAlignment="1">
      <alignment horizontal="center"/>
    </xf>
    <xf numFmtId="0" fontId="7" fillId="4" borderId="53" xfId="0" applyFont="1" applyFill="1" applyBorder="1" applyAlignment="1" applyProtection="1">
      <alignment horizontal="center"/>
    </xf>
    <xf numFmtId="0" fontId="7" fillId="4" borderId="15" xfId="0" applyFont="1" applyFill="1" applyBorder="1" applyAlignment="1" applyProtection="1">
      <alignment horizontal="center"/>
    </xf>
    <xf numFmtId="0" fontId="7" fillId="8" borderId="0" xfId="0" applyFont="1" applyFill="1" applyBorder="1"/>
    <xf numFmtId="0" fontId="9" fillId="0" borderId="0" xfId="0" applyFont="1" applyBorder="1" applyAlignment="1" applyProtection="1"/>
    <xf numFmtId="0" fontId="9" fillId="27" borderId="0" xfId="0" applyFont="1" applyFill="1" applyBorder="1" applyAlignment="1" applyProtection="1">
      <alignment horizontal="center"/>
    </xf>
    <xf numFmtId="166" fontId="0" fillId="0" borderId="0" xfId="42" applyNumberFormat="1" applyFont="1"/>
    <xf numFmtId="0" fontId="0" fillId="0" borderId="0" xfId="90" applyNumberFormat="1" applyFont="1"/>
    <xf numFmtId="0" fontId="58" fillId="29" borderId="69" xfId="0" applyFont="1" applyFill="1" applyBorder="1" applyAlignment="1" applyProtection="1">
      <alignment horizontal="center"/>
    </xf>
    <xf numFmtId="0" fontId="58" fillId="29" borderId="32" xfId="0" applyFont="1" applyFill="1" applyBorder="1" applyAlignment="1" applyProtection="1">
      <alignment horizontal="center"/>
    </xf>
    <xf numFmtId="0" fontId="14" fillId="2" borderId="31" xfId="0" applyFont="1" applyFill="1" applyBorder="1" applyAlignment="1" applyProtection="1">
      <alignment horizontal="center"/>
    </xf>
    <xf numFmtId="0" fontId="14" fillId="0" borderId="31" xfId="0" applyFont="1" applyFill="1" applyBorder="1" applyAlignment="1" applyProtection="1">
      <alignment horizontal="center"/>
    </xf>
    <xf numFmtId="0" fontId="96" fillId="0" borderId="0" xfId="0" applyFont="1"/>
    <xf numFmtId="0" fontId="97" fillId="0" borderId="0" xfId="0" applyFont="1"/>
    <xf numFmtId="0" fontId="98" fillId="0" borderId="0" xfId="0" applyFont="1"/>
    <xf numFmtId="0" fontId="99" fillId="0" borderId="0" xfId="0" applyFont="1"/>
    <xf numFmtId="0" fontId="6" fillId="0" borderId="0" xfId="0" applyFont="1" applyBorder="1" applyAlignment="1"/>
    <xf numFmtId="176" fontId="0" fillId="0" borderId="0" xfId="0" applyNumberFormat="1"/>
    <xf numFmtId="0" fontId="6" fillId="0" borderId="0" xfId="0" applyFont="1" applyAlignment="1">
      <alignment vertical="center"/>
    </xf>
    <xf numFmtId="0" fontId="47" fillId="7" borderId="0" xfId="0" applyFont="1" applyFill="1"/>
    <xf numFmtId="0" fontId="94" fillId="7" borderId="0" xfId="0" applyFont="1" applyFill="1"/>
    <xf numFmtId="178" fontId="0" fillId="7" borderId="0" xfId="0" applyNumberFormat="1" applyFill="1"/>
    <xf numFmtId="0" fontId="0" fillId="0" borderId="0" xfId="0"/>
    <xf numFmtId="0" fontId="0" fillId="0" borderId="0" xfId="0" applyBorder="1"/>
    <xf numFmtId="0" fontId="34" fillId="0" borderId="0" xfId="0" applyFont="1"/>
    <xf numFmtId="0" fontId="5" fillId="0" borderId="0" xfId="0" applyFont="1" applyAlignment="1">
      <alignment horizontal="center"/>
    </xf>
    <xf numFmtId="0" fontId="5" fillId="0" borderId="0" xfId="0" applyFont="1" applyBorder="1" applyAlignment="1">
      <alignment horizontal="center"/>
    </xf>
    <xf numFmtId="0" fontId="64" fillId="0" borderId="0" xfId="0" applyFont="1" applyBorder="1" applyAlignment="1">
      <alignment horizontal="center"/>
    </xf>
    <xf numFmtId="0" fontId="6" fillId="103" borderId="0" xfId="0" applyFont="1" applyFill="1"/>
    <xf numFmtId="0" fontId="0" fillId="107" borderId="0" xfId="0" applyFont="1" applyFill="1"/>
    <xf numFmtId="169" fontId="0" fillId="0" borderId="0" xfId="0" applyNumberFormat="1" applyFill="1" applyBorder="1"/>
    <xf numFmtId="0" fontId="43" fillId="0" borderId="0" xfId="0" applyFont="1" applyFill="1"/>
    <xf numFmtId="0" fontId="49" fillId="64" borderId="0" xfId="0" applyFont="1" applyFill="1" applyBorder="1" applyAlignment="1" applyProtection="1">
      <alignment horizontal="left"/>
      <protection locked="0"/>
    </xf>
    <xf numFmtId="0" fontId="50" fillId="64" borderId="0" xfId="0" applyFont="1" applyFill="1" applyBorder="1" applyAlignment="1" applyProtection="1">
      <alignment horizontal="left"/>
    </xf>
    <xf numFmtId="0" fontId="51" fillId="64" borderId="0" xfId="0" applyFont="1" applyFill="1" applyBorder="1" applyAlignment="1" applyProtection="1">
      <alignment horizontal="left"/>
      <protection locked="0"/>
    </xf>
    <xf numFmtId="0" fontId="7" fillId="0" borderId="0" xfId="0" applyFont="1" applyFill="1" applyBorder="1" applyAlignment="1">
      <alignment wrapText="1"/>
    </xf>
    <xf numFmtId="0" fontId="0" fillId="0" borderId="0" xfId="0" applyAlignment="1">
      <alignment wrapText="1"/>
    </xf>
    <xf numFmtId="0" fontId="7" fillId="0" borderId="4" xfId="0" applyFont="1" applyFill="1" applyBorder="1"/>
    <xf numFmtId="0" fontId="64" fillId="0" borderId="4" xfId="0" applyFont="1" applyFill="1" applyBorder="1" applyAlignment="1"/>
    <xf numFmtId="0" fontId="7" fillId="104" borderId="21" xfId="0" applyFont="1" applyFill="1" applyBorder="1" applyAlignment="1">
      <alignment horizontal="center"/>
    </xf>
    <xf numFmtId="0" fontId="6" fillId="109" borderId="0" xfId="0" applyFont="1" applyFill="1"/>
    <xf numFmtId="0" fontId="61" fillId="7" borderId="1" xfId="0" applyFont="1" applyFill="1" applyBorder="1" applyAlignment="1" applyProtection="1">
      <alignment horizontal="left"/>
    </xf>
    <xf numFmtId="22" fontId="89" fillId="2" borderId="1" xfId="0" applyNumberFormat="1" applyFont="1" applyFill="1" applyBorder="1"/>
    <xf numFmtId="0" fontId="60" fillId="7" borderId="1" xfId="0" applyFont="1" applyFill="1" applyBorder="1" applyAlignment="1" applyProtection="1">
      <alignment horizontal="left"/>
      <protection locked="0"/>
    </xf>
    <xf numFmtId="0" fontId="56" fillId="7" borderId="1" xfId="0" applyFont="1" applyFill="1" applyBorder="1" applyAlignment="1" applyProtection="1">
      <alignment horizontal="left"/>
      <protection locked="0"/>
    </xf>
    <xf numFmtId="0" fontId="14" fillId="7" borderId="31" xfId="0" applyFont="1" applyFill="1" applyBorder="1" applyAlignment="1">
      <alignment horizontal="center"/>
    </xf>
    <xf numFmtId="0" fontId="14" fillId="7" borderId="31" xfId="0" applyFont="1" applyFill="1" applyBorder="1" applyAlignment="1" applyProtection="1">
      <alignment horizontal="center"/>
    </xf>
    <xf numFmtId="0" fontId="57" fillId="7" borderId="1" xfId="0" applyFont="1" applyFill="1" applyBorder="1" applyAlignment="1" applyProtection="1">
      <alignment horizontal="left"/>
      <protection locked="0"/>
    </xf>
    <xf numFmtId="0" fontId="14" fillId="7" borderId="1" xfId="0" applyFont="1" applyFill="1" applyBorder="1" applyAlignment="1" applyProtection="1">
      <alignment horizontal="left"/>
    </xf>
    <xf numFmtId="17" fontId="7" fillId="53" borderId="1" xfId="0" applyNumberFormat="1" applyFont="1" applyFill="1" applyBorder="1"/>
    <xf numFmtId="3" fontId="103" fillId="0" borderId="0" xfId="0" applyNumberFormat="1" applyFont="1" applyFill="1" applyAlignment="1"/>
    <xf numFmtId="186" fontId="0" fillId="0" borderId="0" xfId="0" applyNumberFormat="1" applyFill="1"/>
    <xf numFmtId="4" fontId="6" fillId="0" borderId="0" xfId="0" applyNumberFormat="1" applyFont="1" applyFill="1" applyBorder="1"/>
    <xf numFmtId="1" fontId="103" fillId="0" borderId="0" xfId="0" applyNumberFormat="1" applyFont="1" applyFill="1" applyBorder="1" applyAlignment="1"/>
    <xf numFmtId="2" fontId="0" fillId="0" borderId="0" xfId="0" applyNumberFormat="1" applyFill="1" applyBorder="1"/>
    <xf numFmtId="1" fontId="0" fillId="0" borderId="0" xfId="0" applyNumberFormat="1" applyFill="1" applyBorder="1"/>
    <xf numFmtId="2" fontId="6" fillId="0" borderId="0" xfId="0" applyNumberFormat="1" applyFont="1" applyFill="1" applyBorder="1"/>
    <xf numFmtId="0" fontId="7" fillId="0" borderId="0" xfId="0" applyNumberFormat="1" applyFont="1" applyFill="1" applyBorder="1"/>
    <xf numFmtId="0" fontId="0" fillId="0" borderId="1" xfId="0" applyFill="1" applyBorder="1"/>
    <xf numFmtId="17" fontId="7" fillId="0" borderId="0" xfId="0" applyNumberFormat="1" applyFont="1" applyFill="1" applyBorder="1"/>
    <xf numFmtId="0" fontId="0" fillId="0" borderId="0" xfId="0" applyFill="1"/>
    <xf numFmtId="3" fontId="104" fillId="0" borderId="0" xfId="0" applyNumberFormat="1" applyFont="1" applyAlignment="1">
      <alignment horizontal="left"/>
    </xf>
    <xf numFmtId="0" fontId="7" fillId="58" borderId="37" xfId="0" applyFont="1" applyFill="1" applyBorder="1"/>
    <xf numFmtId="0" fontId="7" fillId="50" borderId="30" xfId="0" applyFont="1" applyFill="1" applyBorder="1"/>
    <xf numFmtId="0" fontId="7" fillId="53" borderId="39" xfId="0" applyFont="1" applyFill="1" applyBorder="1" applyAlignment="1" applyProtection="1">
      <alignment horizontal="center"/>
    </xf>
    <xf numFmtId="0" fontId="7" fillId="53" borderId="35" xfId="0" applyFont="1" applyFill="1" applyBorder="1"/>
    <xf numFmtId="0" fontId="8" fillId="0" borderId="0" xfId="0" applyFont="1" applyAlignment="1">
      <alignment vertical="top"/>
    </xf>
    <xf numFmtId="0" fontId="0" fillId="6" borderId="31" xfId="0" applyFill="1" applyBorder="1"/>
    <xf numFmtId="170" fontId="9" fillId="0" borderId="0" xfId="0" applyNumberFormat="1" applyFont="1" applyFill="1" applyBorder="1" applyAlignment="1" applyProtection="1">
      <alignment horizontal="right"/>
    </xf>
    <xf numFmtId="0" fontId="116" fillId="57" borderId="0" xfId="0" applyFont="1" applyFill="1"/>
    <xf numFmtId="0" fontId="5" fillId="0" borderId="0" xfId="0" applyFont="1" applyFill="1" applyAlignment="1">
      <alignment horizontal="center"/>
    </xf>
    <xf numFmtId="0" fontId="5" fillId="0" borderId="0" xfId="0" applyFont="1" applyFill="1" applyBorder="1" applyAlignment="1">
      <alignment horizontal="center"/>
    </xf>
    <xf numFmtId="0" fontId="14" fillId="2" borderId="31" xfId="0" applyFont="1" applyFill="1" applyBorder="1" applyAlignment="1">
      <alignment horizontal="center"/>
    </xf>
    <xf numFmtId="3" fontId="15" fillId="0" borderId="1" xfId="0" applyNumberFormat="1" applyFont="1" applyFill="1" applyBorder="1" applyAlignment="1">
      <alignment horizontal="right" vertical="center" wrapText="1"/>
    </xf>
    <xf numFmtId="3" fontId="15" fillId="13" borderId="1" xfId="0" applyNumberFormat="1" applyFont="1" applyFill="1" applyBorder="1" applyAlignment="1">
      <alignment horizontal="right" vertical="center" wrapText="1"/>
    </xf>
    <xf numFmtId="0" fontId="7" fillId="0" borderId="0" xfId="0" applyFont="1" applyFill="1" applyBorder="1" applyAlignment="1">
      <alignment horizontal="left" vertical="center"/>
    </xf>
    <xf numFmtId="0" fontId="7" fillId="0" borderId="34" xfId="0" applyFont="1" applyFill="1" applyBorder="1"/>
    <xf numFmtId="166" fontId="0" fillId="0" borderId="34" xfId="42" applyNumberFormat="1" applyFont="1" applyFill="1" applyBorder="1"/>
    <xf numFmtId="0" fontId="5" fillId="0" borderId="0" xfId="0" applyFont="1" applyAlignment="1"/>
    <xf numFmtId="0" fontId="5" fillId="0" borderId="0" xfId="0" applyFont="1" applyBorder="1" applyAlignment="1"/>
    <xf numFmtId="0" fontId="7" fillId="0" borderId="1" xfId="0" applyFont="1" applyFill="1" applyBorder="1" applyAlignment="1"/>
    <xf numFmtId="0" fontId="5" fillId="0" borderId="1" xfId="0" applyFont="1" applyFill="1" applyBorder="1" applyAlignment="1"/>
    <xf numFmtId="17" fontId="7" fillId="9" borderId="31" xfId="0" applyNumberFormat="1" applyFont="1" applyFill="1" applyBorder="1"/>
    <xf numFmtId="0" fontId="7" fillId="9" borderId="32" xfId="0" applyNumberFormat="1" applyFont="1" applyFill="1" applyBorder="1"/>
    <xf numFmtId="0" fontId="7" fillId="58" borderId="31" xfId="0" applyNumberFormat="1" applyFont="1" applyFill="1" applyBorder="1"/>
    <xf numFmtId="0" fontId="7" fillId="58" borderId="32" xfId="0" applyNumberFormat="1" applyFont="1" applyFill="1" applyBorder="1"/>
    <xf numFmtId="17" fontId="7" fillId="112" borderId="1" xfId="0" applyNumberFormat="1" applyFont="1" applyFill="1" applyBorder="1"/>
    <xf numFmtId="0" fontId="7" fillId="8" borderId="30" xfId="0" applyNumberFormat="1" applyFont="1" applyFill="1" applyBorder="1"/>
    <xf numFmtId="0" fontId="7" fillId="8" borderId="31" xfId="0" applyNumberFormat="1" applyFont="1" applyFill="1" applyBorder="1"/>
    <xf numFmtId="0" fontId="7" fillId="8" borderId="32" xfId="0" applyNumberFormat="1" applyFont="1" applyFill="1" applyBorder="1"/>
    <xf numFmtId="17" fontId="7" fillId="114" borderId="1" xfId="0" applyNumberFormat="1" applyFont="1" applyFill="1" applyBorder="1"/>
    <xf numFmtId="17" fontId="7" fillId="115" borderId="1" xfId="0" applyNumberFormat="1" applyFont="1" applyFill="1" applyBorder="1"/>
    <xf numFmtId="17" fontId="0" fillId="5" borderId="72" xfId="0" applyNumberFormat="1" applyFont="1" applyFill="1" applyBorder="1" applyProtection="1"/>
    <xf numFmtId="17" fontId="7" fillId="58" borderId="31" xfId="0" applyNumberFormat="1" applyFont="1" applyFill="1" applyBorder="1"/>
    <xf numFmtId="17" fontId="7" fillId="58" borderId="32" xfId="0" applyNumberFormat="1" applyFont="1" applyFill="1" applyBorder="1"/>
    <xf numFmtId="17" fontId="7" fillId="21" borderId="31" xfId="0" applyNumberFormat="1" applyFont="1" applyFill="1" applyBorder="1"/>
    <xf numFmtId="17" fontId="7" fillId="21" borderId="32" xfId="0" applyNumberFormat="1" applyFont="1" applyFill="1" applyBorder="1"/>
    <xf numFmtId="17" fontId="7" fillId="119" borderId="1" xfId="0" applyNumberFormat="1" applyFont="1" applyFill="1" applyBorder="1"/>
    <xf numFmtId="17" fontId="7" fillId="120" borderId="1" xfId="0" applyNumberFormat="1" applyFont="1" applyFill="1" applyBorder="1"/>
    <xf numFmtId="17" fontId="7" fillId="60" borderId="32" xfId="0" applyNumberFormat="1" applyFont="1" applyFill="1" applyBorder="1"/>
    <xf numFmtId="17" fontId="7" fillId="125" borderId="27" xfId="0" applyNumberFormat="1" applyFont="1" applyFill="1" applyBorder="1"/>
    <xf numFmtId="17" fontId="7" fillId="126" borderId="14" xfId="0" applyNumberFormat="1" applyFont="1" applyFill="1" applyBorder="1"/>
    <xf numFmtId="17" fontId="7" fillId="125" borderId="14" xfId="0" applyNumberFormat="1" applyFont="1" applyFill="1" applyBorder="1"/>
    <xf numFmtId="17" fontId="7" fillId="126" borderId="11" xfId="0" applyNumberFormat="1" applyFont="1" applyFill="1" applyBorder="1"/>
    <xf numFmtId="17" fontId="7" fillId="125" borderId="1" xfId="0" applyNumberFormat="1" applyFont="1" applyFill="1" applyBorder="1"/>
    <xf numFmtId="17" fontId="7" fillId="126" borderId="1" xfId="0" applyNumberFormat="1" applyFont="1" applyFill="1" applyBorder="1"/>
    <xf numFmtId="0" fontId="7" fillId="127" borderId="18" xfId="0" applyFont="1" applyFill="1" applyBorder="1"/>
    <xf numFmtId="17" fontId="7" fillId="128" borderId="1" xfId="0" applyNumberFormat="1" applyFont="1" applyFill="1" applyBorder="1"/>
    <xf numFmtId="17" fontId="7" fillId="129" borderId="1" xfId="0" applyNumberFormat="1" applyFont="1" applyFill="1" applyBorder="1"/>
    <xf numFmtId="17" fontId="7" fillId="129" borderId="3" xfId="0" applyNumberFormat="1" applyFont="1" applyFill="1" applyBorder="1"/>
    <xf numFmtId="0" fontId="7" fillId="129" borderId="1" xfId="0" applyNumberFormat="1" applyFont="1" applyFill="1" applyBorder="1"/>
    <xf numFmtId="0" fontId="7" fillId="128" borderId="1" xfId="0" applyNumberFormat="1" applyFont="1" applyFill="1" applyBorder="1"/>
    <xf numFmtId="0" fontId="7" fillId="129" borderId="3" xfId="0" applyNumberFormat="1" applyFont="1" applyFill="1" applyBorder="1"/>
    <xf numFmtId="0" fontId="14" fillId="2" borderId="1" xfId="0" applyFont="1" applyFill="1" applyBorder="1" applyAlignment="1" applyProtection="1">
      <alignment horizontal="left"/>
    </xf>
    <xf numFmtId="0" fontId="59" fillId="7" borderId="0" xfId="0" applyFont="1" applyFill="1" applyBorder="1"/>
    <xf numFmtId="0" fontId="5" fillId="0" borderId="0" xfId="0" applyFont="1" applyAlignment="1">
      <alignment horizontal="center"/>
    </xf>
    <xf numFmtId="0" fontId="9" fillId="0" borderId="0" xfId="0" applyFont="1" applyAlignment="1">
      <alignment horizontal="center"/>
    </xf>
    <xf numFmtId="0" fontId="0" fillId="0" borderId="0" xfId="0" applyAlignment="1">
      <alignment horizontal="center"/>
    </xf>
    <xf numFmtId="0" fontId="0" fillId="0" borderId="0" xfId="0" applyFont="1" applyAlignment="1">
      <alignment horizontal="center"/>
    </xf>
    <xf numFmtId="169" fontId="0" fillId="0" borderId="0" xfId="0" applyNumberFormat="1" applyAlignment="1">
      <alignment horizontal="center"/>
    </xf>
    <xf numFmtId="3" fontId="0" fillId="0" borderId="0" xfId="0" applyNumberFormat="1" applyAlignment="1">
      <alignment horizontal="center"/>
    </xf>
    <xf numFmtId="169" fontId="0" fillId="0" borderId="0" xfId="0" applyNumberFormat="1" applyFill="1" applyBorder="1" applyAlignment="1">
      <alignment horizontal="center"/>
    </xf>
    <xf numFmtId="0" fontId="6" fillId="56" borderId="0" xfId="0" applyFont="1" applyFill="1" applyAlignment="1">
      <alignment horizontal="center"/>
    </xf>
    <xf numFmtId="43" fontId="0" fillId="0" borderId="0" xfId="42" applyFont="1" applyAlignment="1">
      <alignment horizontal="center"/>
    </xf>
    <xf numFmtId="169" fontId="0" fillId="0" borderId="0" xfId="89" applyNumberFormat="1" applyFont="1" applyAlignment="1">
      <alignment horizontal="center"/>
    </xf>
    <xf numFmtId="14" fontId="6" fillId="0" borderId="0" xfId="0" applyNumberFormat="1" applyFont="1" applyFill="1" applyBorder="1"/>
    <xf numFmtId="169" fontId="6" fillId="0" borderId="0" xfId="0" applyNumberFormat="1" applyFont="1" applyBorder="1" applyAlignment="1">
      <alignment horizontal="center"/>
    </xf>
    <xf numFmtId="174" fontId="1" fillId="2" borderId="0" xfId="0" applyNumberFormat="1" applyFont="1" applyFill="1" applyBorder="1" applyAlignment="1">
      <alignment horizontal="center"/>
    </xf>
    <xf numFmtId="174" fontId="1" fillId="0" borderId="0" xfId="0" applyNumberFormat="1" applyFont="1" applyBorder="1" applyAlignment="1">
      <alignment horizontal="center"/>
    </xf>
    <xf numFmtId="174" fontId="1" fillId="0" borderId="9" xfId="0" applyNumberFormat="1" applyFont="1" applyBorder="1" applyAlignment="1">
      <alignment horizontal="center"/>
    </xf>
    <xf numFmtId="166" fontId="6" fillId="0" borderId="4" xfId="0" applyNumberFormat="1" applyFont="1" applyFill="1" applyBorder="1" applyAlignment="1">
      <alignment horizontal="center"/>
    </xf>
    <xf numFmtId="6" fontId="6" fillId="0" borderId="4" xfId="0" applyNumberFormat="1" applyFont="1" applyFill="1" applyBorder="1" applyAlignment="1">
      <alignment horizontal="center"/>
    </xf>
    <xf numFmtId="8" fontId="6" fillId="0" borderId="4" xfId="0" applyNumberFormat="1" applyFont="1" applyFill="1" applyBorder="1" applyAlignment="1">
      <alignment horizontal="center"/>
    </xf>
    <xf numFmtId="171" fontId="0" fillId="0" borderId="0" xfId="0" applyNumberFormat="1" applyFill="1" applyBorder="1" applyAlignment="1">
      <alignment horizontal="center"/>
    </xf>
    <xf numFmtId="169" fontId="6" fillId="0" borderId="0" xfId="89" applyNumberFormat="1" applyFont="1" applyFill="1" applyBorder="1" applyAlignment="1">
      <alignment horizontal="center"/>
    </xf>
    <xf numFmtId="0" fontId="7" fillId="4" borderId="19" xfId="0" applyFont="1" applyFill="1" applyBorder="1" applyAlignment="1">
      <alignment horizontal="center"/>
    </xf>
    <xf numFmtId="0" fontId="0" fillId="0" borderId="0" xfId="0" applyAlignment="1">
      <alignment horizontal="center"/>
    </xf>
    <xf numFmtId="0" fontId="9" fillId="0" borderId="4" xfId="0" applyFont="1" applyBorder="1" applyAlignment="1">
      <alignment horizontal="center"/>
    </xf>
    <xf numFmtId="0" fontId="7" fillId="24" borderId="26" xfId="0" applyFont="1" applyFill="1" applyBorder="1" applyAlignment="1">
      <alignment horizontal="center"/>
    </xf>
    <xf numFmtId="0" fontId="7" fillId="24" borderId="19" xfId="0" applyFont="1" applyFill="1" applyBorder="1" applyAlignment="1">
      <alignment horizontal="center"/>
    </xf>
    <xf numFmtId="0" fontId="7" fillId="4" borderId="68" xfId="0" applyFont="1" applyFill="1" applyBorder="1" applyAlignment="1" applyProtection="1">
      <alignment horizontal="center"/>
    </xf>
    <xf numFmtId="0" fontId="11" fillId="0" borderId="0" xfId="0" applyFont="1" applyFill="1" applyBorder="1"/>
    <xf numFmtId="0" fontId="47" fillId="0" borderId="0" xfId="0" applyFont="1" applyFill="1" applyBorder="1"/>
    <xf numFmtId="49" fontId="7" fillId="0" borderId="0" xfId="0" applyNumberFormat="1" applyFont="1" applyFill="1" applyBorder="1" applyAlignment="1">
      <alignment horizontal="center"/>
    </xf>
    <xf numFmtId="164" fontId="0" fillId="0" borderId="0" xfId="0" applyNumberFormat="1" applyFont="1" applyFill="1" applyBorder="1"/>
    <xf numFmtId="49" fontId="7" fillId="0" borderId="34" xfId="0" applyNumberFormat="1" applyFont="1" applyFill="1" applyBorder="1" applyAlignment="1">
      <alignment horizontal="center"/>
    </xf>
    <xf numFmtId="1" fontId="7" fillId="0" borderId="0" xfId="0" applyNumberFormat="1" applyFont="1" applyFill="1" applyBorder="1" applyAlignment="1">
      <alignment horizontal="center"/>
    </xf>
    <xf numFmtId="0" fontId="7" fillId="0" borderId="0" xfId="0" applyNumberFormat="1" applyFont="1" applyFill="1" applyBorder="1" applyAlignment="1">
      <alignment horizontal="center"/>
    </xf>
    <xf numFmtId="0" fontId="7" fillId="8" borderId="26" xfId="0" applyFont="1" applyFill="1" applyBorder="1" applyAlignment="1" applyProtection="1">
      <alignment horizontal="center"/>
    </xf>
    <xf numFmtId="0" fontId="7" fillId="8" borderId="20" xfId="0" applyFont="1" applyFill="1" applyBorder="1" applyAlignment="1" applyProtection="1">
      <alignment horizontal="center"/>
    </xf>
    <xf numFmtId="0" fontId="7" fillId="8" borderId="19" xfId="0" applyFont="1" applyFill="1" applyBorder="1" applyAlignment="1" applyProtection="1">
      <alignment horizontal="center"/>
    </xf>
    <xf numFmtId="2" fontId="0" fillId="0" borderId="34" xfId="0" applyNumberFormat="1" applyFont="1" applyBorder="1" applyAlignment="1">
      <alignment horizontal="center"/>
    </xf>
    <xf numFmtId="169" fontId="0" fillId="0" borderId="28" xfId="0" applyNumberFormat="1" applyFont="1" applyBorder="1" applyAlignment="1">
      <alignment horizontal="center"/>
    </xf>
    <xf numFmtId="2" fontId="0" fillId="6" borderId="0" xfId="0" applyNumberFormat="1" applyFont="1" applyFill="1" applyBorder="1" applyAlignment="1">
      <alignment horizontal="center"/>
    </xf>
    <xf numFmtId="169" fontId="0" fillId="6" borderId="2" xfId="0" applyNumberFormat="1" applyFont="1" applyFill="1" applyBorder="1" applyAlignment="1">
      <alignment horizontal="center"/>
    </xf>
    <xf numFmtId="2" fontId="0" fillId="0" borderId="0" xfId="0" applyNumberFormat="1" applyFont="1" applyBorder="1" applyAlignment="1">
      <alignment horizontal="center"/>
    </xf>
    <xf numFmtId="169" fontId="0" fillId="0" borderId="2" xfId="0" applyNumberFormat="1" applyFont="1" applyBorder="1" applyAlignment="1">
      <alignment horizontal="center"/>
    </xf>
    <xf numFmtId="17" fontId="7" fillId="114" borderId="1" xfId="0" applyNumberFormat="1" applyFont="1" applyFill="1" applyBorder="1" applyAlignment="1">
      <alignment horizontal="right"/>
    </xf>
    <xf numFmtId="17" fontId="7" fillId="115" borderId="1" xfId="0" applyNumberFormat="1" applyFont="1" applyFill="1" applyBorder="1" applyAlignment="1">
      <alignment horizontal="right"/>
    </xf>
    <xf numFmtId="0" fontId="7" fillId="8" borderId="18" xfId="0" applyFont="1" applyFill="1" applyBorder="1" applyAlignment="1" applyProtection="1">
      <alignment horizontal="right"/>
    </xf>
    <xf numFmtId="1" fontId="7" fillId="0" borderId="34" xfId="0" applyNumberFormat="1" applyFont="1" applyFill="1" applyBorder="1" applyAlignment="1">
      <alignment horizontal="right"/>
    </xf>
    <xf numFmtId="164" fontId="11" fillId="0" borderId="34" xfId="0" applyNumberFormat="1" applyFont="1" applyFill="1" applyBorder="1" applyAlignment="1">
      <alignment horizontal="center"/>
    </xf>
    <xf numFmtId="169" fontId="11" fillId="0" borderId="34" xfId="0" applyNumberFormat="1" applyFont="1" applyFill="1" applyBorder="1" applyAlignment="1">
      <alignment horizontal="center"/>
    </xf>
    <xf numFmtId="167" fontId="2" fillId="0" borderId="2" xfId="0" applyNumberFormat="1" applyFont="1" applyBorder="1" applyAlignment="1">
      <alignment horizontal="center"/>
    </xf>
    <xf numFmtId="167" fontId="2" fillId="0" borderId="2" xfId="0" applyNumberFormat="1" applyFont="1" applyFill="1" applyBorder="1" applyAlignment="1">
      <alignment horizontal="center"/>
    </xf>
    <xf numFmtId="167" fontId="2" fillId="102" borderId="19" xfId="0" applyNumberFormat="1" applyFont="1" applyFill="1" applyBorder="1" applyAlignment="1">
      <alignment horizontal="center"/>
    </xf>
    <xf numFmtId="0" fontId="0" fillId="29" borderId="5" xfId="0" applyFill="1" applyBorder="1" applyAlignment="1">
      <alignment horizontal="center"/>
    </xf>
    <xf numFmtId="0" fontId="0" fillId="29" borderId="39" xfId="0" applyFill="1" applyBorder="1"/>
    <xf numFmtId="188" fontId="3" fillId="29" borderId="3" xfId="0" applyNumberFormat="1" applyFont="1" applyFill="1" applyBorder="1" applyAlignment="1">
      <alignment horizontal="center"/>
    </xf>
    <xf numFmtId="188" fontId="3" fillId="29" borderId="5" xfId="0" applyNumberFormat="1" applyFont="1" applyFill="1" applyBorder="1" applyAlignment="1">
      <alignment horizontal="center"/>
    </xf>
    <xf numFmtId="0" fontId="58" fillId="29" borderId="2" xfId="0" applyFont="1" applyFill="1" applyBorder="1" applyAlignment="1" applyProtection="1">
      <alignment horizontal="center"/>
    </xf>
    <xf numFmtId="0" fontId="58" fillId="29" borderId="1" xfId="0" applyFont="1" applyFill="1" applyBorder="1" applyAlignment="1" applyProtection="1">
      <alignment horizontal="center"/>
    </xf>
    <xf numFmtId="3" fontId="14" fillId="2" borderId="0" xfId="0" applyNumberFormat="1" applyFont="1" applyFill="1" applyBorder="1" applyAlignment="1">
      <alignment horizontal="center"/>
    </xf>
    <xf numFmtId="3" fontId="14" fillId="2" borderId="1" xfId="0" applyNumberFormat="1" applyFont="1" applyFill="1" applyBorder="1" applyAlignment="1">
      <alignment horizontal="center"/>
    </xf>
    <xf numFmtId="3" fontId="14" fillId="2" borderId="2" xfId="0" applyNumberFormat="1" applyFont="1" applyFill="1" applyBorder="1" applyAlignment="1">
      <alignment horizontal="center"/>
    </xf>
    <xf numFmtId="0" fontId="14" fillId="0" borderId="31" xfId="0" applyFont="1" applyFill="1" applyBorder="1" applyAlignment="1">
      <alignment horizontal="center"/>
    </xf>
    <xf numFmtId="3" fontId="14" fillId="0" borderId="0" xfId="0" applyNumberFormat="1" applyFont="1" applyFill="1" applyBorder="1" applyAlignment="1">
      <alignment horizontal="center"/>
    </xf>
    <xf numFmtId="3" fontId="14" fillId="7" borderId="0" xfId="0" applyNumberFormat="1" applyFont="1" applyFill="1" applyBorder="1" applyAlignment="1">
      <alignment horizontal="center"/>
    </xf>
    <xf numFmtId="3" fontId="14" fillId="7" borderId="1" xfId="0" applyNumberFormat="1" applyFont="1" applyFill="1" applyBorder="1" applyAlignment="1">
      <alignment horizontal="center"/>
    </xf>
    <xf numFmtId="3" fontId="14" fillId="7" borderId="2" xfId="0" applyNumberFormat="1" applyFont="1" applyFill="1" applyBorder="1" applyAlignment="1">
      <alignment horizontal="center"/>
    </xf>
    <xf numFmtId="3" fontId="62" fillId="2" borderId="0" xfId="0" applyNumberFormat="1" applyFont="1" applyFill="1" applyBorder="1" applyAlignment="1">
      <alignment horizontal="center"/>
    </xf>
    <xf numFmtId="0" fontId="14" fillId="29" borderId="31" xfId="0" applyFont="1" applyFill="1" applyBorder="1" applyAlignment="1">
      <alignment horizontal="center"/>
    </xf>
    <xf numFmtId="188" fontId="58" fillId="29" borderId="44" xfId="0" applyNumberFormat="1" applyFont="1" applyFill="1" applyBorder="1" applyAlignment="1" applyProtection="1"/>
    <xf numFmtId="0" fontId="7" fillId="0" borderId="34" xfId="0" applyNumberFormat="1" applyFont="1" applyFill="1" applyBorder="1" applyAlignment="1">
      <alignment horizontal="center"/>
    </xf>
    <xf numFmtId="0" fontId="7" fillId="114" borderId="1" xfId="0" applyNumberFormat="1" applyFont="1" applyFill="1" applyBorder="1" applyAlignment="1">
      <alignment horizontal="right"/>
    </xf>
    <xf numFmtId="0" fontId="7" fillId="115" borderId="1" xfId="0" applyNumberFormat="1" applyFont="1" applyFill="1" applyBorder="1" applyAlignment="1">
      <alignment horizontal="right"/>
    </xf>
    <xf numFmtId="4" fontId="6" fillId="0" borderId="2" xfId="0" applyNumberFormat="1" applyFont="1" applyFill="1" applyBorder="1" applyAlignment="1" applyProtection="1">
      <alignment horizontal="center"/>
    </xf>
    <xf numFmtId="4" fontId="6" fillId="0" borderId="7" xfId="0" applyNumberFormat="1" applyFont="1" applyFill="1" applyBorder="1" applyAlignment="1" applyProtection="1">
      <alignment horizontal="center"/>
    </xf>
    <xf numFmtId="4" fontId="6" fillId="6" borderId="2" xfId="0" applyNumberFormat="1" applyFont="1" applyFill="1" applyBorder="1" applyAlignment="1" applyProtection="1">
      <alignment horizontal="center"/>
    </xf>
    <xf numFmtId="4" fontId="6" fillId="6" borderId="7" xfId="0" applyNumberFormat="1" applyFont="1" applyFill="1" applyBorder="1" applyAlignment="1" applyProtection="1">
      <alignment horizontal="center"/>
    </xf>
    <xf numFmtId="4" fontId="6" fillId="6" borderId="2" xfId="0" applyNumberFormat="1" applyFont="1" applyFill="1" applyBorder="1" applyAlignment="1">
      <alignment horizontal="center"/>
    </xf>
    <xf numFmtId="4" fontId="6" fillId="6" borderId="7" xfId="0" applyNumberFormat="1" applyFont="1" applyFill="1" applyBorder="1" applyAlignment="1">
      <alignment horizontal="center"/>
    </xf>
    <xf numFmtId="4" fontId="6" fillId="0" borderId="2" xfId="0" applyNumberFormat="1" applyFont="1" applyFill="1" applyBorder="1" applyAlignment="1">
      <alignment horizontal="center"/>
    </xf>
    <xf numFmtId="4" fontId="6" fillId="0" borderId="7" xfId="0" applyNumberFormat="1" applyFont="1" applyFill="1" applyBorder="1" applyAlignment="1">
      <alignment horizontal="center"/>
    </xf>
    <xf numFmtId="4" fontId="6" fillId="6" borderId="7" xfId="22882" applyNumberFormat="1" applyFont="1" applyFill="1" applyBorder="1" applyAlignment="1">
      <alignment horizontal="center"/>
    </xf>
    <xf numFmtId="4" fontId="6" fillId="6" borderId="2" xfId="22882" applyNumberFormat="1" applyFont="1" applyFill="1" applyBorder="1" applyAlignment="1">
      <alignment horizontal="center"/>
    </xf>
    <xf numFmtId="4" fontId="6" fillId="0" borderId="7" xfId="22882" applyNumberFormat="1" applyFont="1" applyFill="1" applyBorder="1" applyAlignment="1">
      <alignment horizontal="center"/>
    </xf>
    <xf numFmtId="4" fontId="6" fillId="0" borderId="2" xfId="22882" applyNumberFormat="1" applyFont="1" applyFill="1" applyBorder="1" applyAlignment="1">
      <alignment horizontal="center"/>
    </xf>
    <xf numFmtId="4" fontId="6" fillId="6" borderId="24" xfId="22882" applyNumberFormat="1" applyFont="1" applyFill="1" applyBorder="1" applyAlignment="1">
      <alignment horizontal="center"/>
    </xf>
    <xf numFmtId="4" fontId="6" fillId="6" borderId="31" xfId="0" applyNumberFormat="1" applyFont="1" applyFill="1" applyBorder="1" applyAlignment="1">
      <alignment horizontal="center"/>
    </xf>
    <xf numFmtId="4" fontId="6" fillId="0" borderId="24" xfId="22882" applyNumberFormat="1" applyFont="1" applyFill="1" applyBorder="1" applyAlignment="1">
      <alignment horizontal="center"/>
    </xf>
    <xf numFmtId="4" fontId="6" fillId="0" borderId="31" xfId="0" applyNumberFormat="1" applyFont="1" applyFill="1" applyBorder="1" applyAlignment="1">
      <alignment horizontal="center"/>
    </xf>
    <xf numFmtId="4" fontId="6" fillId="6" borderId="7" xfId="21900" applyNumberFormat="1" applyFont="1" applyFill="1" applyBorder="1" applyAlignment="1">
      <alignment horizontal="center"/>
    </xf>
    <xf numFmtId="4" fontId="6" fillId="0" borderId="7" xfId="21900" applyNumberFormat="1" applyFont="1" applyFill="1" applyBorder="1" applyAlignment="1">
      <alignment horizontal="center"/>
    </xf>
    <xf numFmtId="0" fontId="7" fillId="4" borderId="74" xfId="0" applyFont="1" applyFill="1" applyBorder="1" applyAlignment="1" applyProtection="1">
      <alignment horizontal="center"/>
    </xf>
    <xf numFmtId="17" fontId="0" fillId="0" borderId="75" xfId="0" applyNumberFormat="1" applyFont="1" applyBorder="1" applyProtection="1"/>
    <xf numFmtId="0" fontId="7" fillId="4" borderId="76" xfId="0" applyFont="1" applyFill="1" applyBorder="1" applyAlignment="1" applyProtection="1">
      <alignment horizontal="right"/>
    </xf>
    <xf numFmtId="0" fontId="7" fillId="4" borderId="77" xfId="0" applyFont="1" applyFill="1" applyBorder="1" applyProtection="1"/>
    <xf numFmtId="0" fontId="7" fillId="4" borderId="77" xfId="0" applyFont="1" applyFill="1" applyBorder="1" applyAlignment="1" applyProtection="1">
      <alignment horizontal="center"/>
    </xf>
    <xf numFmtId="0" fontId="7" fillId="4" borderId="58" xfId="0" applyFont="1" applyFill="1" applyBorder="1" applyAlignment="1" applyProtection="1">
      <alignment horizontal="center"/>
    </xf>
    <xf numFmtId="4" fontId="0" fillId="5" borderId="24" xfId="0" applyNumberFormat="1" applyFont="1" applyFill="1" applyBorder="1" applyAlignment="1">
      <alignment horizontal="center"/>
    </xf>
    <xf numFmtId="4" fontId="0" fillId="0" borderId="24" xfId="0" applyNumberFormat="1" applyFont="1" applyFill="1" applyBorder="1" applyAlignment="1">
      <alignment horizontal="center"/>
    </xf>
    <xf numFmtId="4" fontId="0" fillId="0" borderId="25" xfId="0" applyNumberFormat="1" applyFont="1" applyFill="1" applyBorder="1" applyAlignment="1">
      <alignment horizontal="center"/>
    </xf>
    <xf numFmtId="4" fontId="0" fillId="0" borderId="21" xfId="0" applyNumberFormat="1" applyFont="1" applyFill="1" applyBorder="1" applyAlignment="1">
      <alignment horizontal="center"/>
    </xf>
    <xf numFmtId="0" fontId="7" fillId="8" borderId="20" xfId="0" applyFont="1" applyFill="1" applyBorder="1" applyAlignment="1">
      <alignment horizontal="center"/>
    </xf>
    <xf numFmtId="2" fontId="6" fillId="0" borderId="7" xfId="0" applyNumberFormat="1" applyFont="1" applyFill="1" applyBorder="1" applyAlignment="1">
      <alignment horizontal="center"/>
    </xf>
    <xf numFmtId="2" fontId="6" fillId="0" borderId="2" xfId="0" applyNumberFormat="1" applyFont="1" applyFill="1" applyBorder="1" applyAlignment="1">
      <alignment horizontal="center"/>
    </xf>
    <xf numFmtId="2" fontId="6" fillId="6" borderId="7" xfId="0" applyNumberFormat="1" applyFont="1" applyFill="1" applyBorder="1" applyAlignment="1">
      <alignment horizontal="center"/>
    </xf>
    <xf numFmtId="2" fontId="6" fillId="6" borderId="2" xfId="0" applyNumberFormat="1" applyFont="1" applyFill="1" applyBorder="1" applyAlignment="1">
      <alignment horizontal="center"/>
    </xf>
    <xf numFmtId="2" fontId="6" fillId="6" borderId="0" xfId="0" applyNumberFormat="1" applyFont="1" applyFill="1" applyBorder="1" applyAlignment="1">
      <alignment horizontal="center"/>
    </xf>
    <xf numFmtId="2" fontId="6" fillId="6" borderId="24" xfId="0" applyNumberFormat="1" applyFont="1" applyFill="1" applyBorder="1" applyAlignment="1">
      <alignment horizontal="center"/>
    </xf>
    <xf numFmtId="2" fontId="6" fillId="7" borderId="0" xfId="0" applyNumberFormat="1" applyFont="1" applyFill="1" applyBorder="1" applyAlignment="1">
      <alignment horizontal="center"/>
    </xf>
    <xf numFmtId="2" fontId="6" fillId="7" borderId="24" xfId="0" applyNumberFormat="1" applyFont="1" applyFill="1" applyBorder="1" applyAlignment="1">
      <alignment horizontal="center"/>
    </xf>
    <xf numFmtId="0" fontId="7" fillId="4" borderId="18" xfId="0" applyFont="1" applyFill="1" applyBorder="1" applyAlignment="1">
      <alignment horizontal="right" vertical="center"/>
    </xf>
    <xf numFmtId="0" fontId="7" fillId="4" borderId="26" xfId="0" applyFont="1" applyFill="1" applyBorder="1" applyAlignment="1">
      <alignment horizontal="center"/>
    </xf>
    <xf numFmtId="2" fontId="0" fillId="5" borderId="17" xfId="0" applyNumberFormat="1" applyFont="1" applyFill="1" applyBorder="1" applyAlignment="1">
      <alignment horizontal="center"/>
    </xf>
    <xf numFmtId="2" fontId="0" fillId="5" borderId="28" xfId="0" applyNumberFormat="1" applyFont="1" applyFill="1" applyBorder="1" applyAlignment="1">
      <alignment horizontal="center"/>
    </xf>
    <xf numFmtId="2" fontId="0" fillId="0" borderId="9" xfId="0" applyNumberFormat="1" applyFont="1" applyBorder="1" applyAlignment="1">
      <alignment horizontal="center"/>
    </xf>
    <xf numFmtId="2" fontId="0" fillId="0" borderId="2" xfId="0" applyNumberFormat="1" applyFont="1" applyBorder="1" applyAlignment="1">
      <alignment horizontal="center"/>
    </xf>
    <xf numFmtId="2" fontId="0" fillId="5" borderId="9" xfId="0" applyNumberFormat="1" applyFont="1" applyFill="1" applyBorder="1" applyAlignment="1">
      <alignment horizontal="center"/>
    </xf>
    <xf numFmtId="2" fontId="0" fillId="5" borderId="2" xfId="0" applyNumberFormat="1" applyFont="1" applyFill="1" applyBorder="1" applyAlignment="1">
      <alignment horizontal="center"/>
    </xf>
    <xf numFmtId="2" fontId="0" fillId="0" borderId="8" xfId="0" applyNumberFormat="1" applyFont="1" applyBorder="1" applyAlignment="1">
      <alignment horizontal="center"/>
    </xf>
    <xf numFmtId="2" fontId="0" fillId="0" borderId="5" xfId="0" applyNumberFormat="1" applyFill="1" applyBorder="1" applyAlignment="1">
      <alignment horizontal="center"/>
    </xf>
    <xf numFmtId="2" fontId="0" fillId="7" borderId="34" xfId="0" applyNumberFormat="1" applyFont="1" applyFill="1" applyBorder="1" applyAlignment="1">
      <alignment horizontal="center"/>
    </xf>
    <xf numFmtId="2" fontId="0" fillId="7" borderId="0" xfId="0" applyNumberFormat="1" applyFont="1" applyFill="1" applyBorder="1" applyAlignment="1">
      <alignment horizontal="center"/>
    </xf>
    <xf numFmtId="164" fontId="11" fillId="0" borderId="0" xfId="0" applyNumberFormat="1" applyFont="1" applyFill="1" applyBorder="1"/>
    <xf numFmtId="49" fontId="7" fillId="0" borderId="34" xfId="0" applyNumberFormat="1" applyFont="1" applyFill="1" applyBorder="1" applyAlignment="1">
      <alignment horizontal="right"/>
    </xf>
    <xf numFmtId="0" fontId="11" fillId="0" borderId="34" xfId="0" applyFont="1" applyFill="1" applyBorder="1" applyAlignment="1">
      <alignment horizontal="center"/>
    </xf>
    <xf numFmtId="4" fontId="0" fillId="7" borderId="34" xfId="0" applyNumberFormat="1" applyFont="1" applyFill="1" applyBorder="1" applyAlignment="1">
      <alignment horizontal="center"/>
    </xf>
    <xf numFmtId="4" fontId="0" fillId="7" borderId="28" xfId="0" applyNumberFormat="1" applyFont="1" applyFill="1" applyBorder="1" applyAlignment="1">
      <alignment horizontal="center"/>
    </xf>
    <xf numFmtId="4" fontId="0" fillId="7" borderId="0" xfId="0" applyNumberFormat="1" applyFont="1" applyFill="1" applyBorder="1" applyAlignment="1">
      <alignment horizontal="center"/>
    </xf>
    <xf numFmtId="4" fontId="0" fillId="7" borderId="2" xfId="0" applyNumberFormat="1" applyFont="1" applyFill="1" applyBorder="1" applyAlignment="1">
      <alignment horizontal="center"/>
    </xf>
    <xf numFmtId="4" fontId="0" fillId="0" borderId="7" xfId="0" applyNumberFormat="1" applyFont="1" applyBorder="1" applyAlignment="1" applyProtection="1">
      <alignment horizontal="center"/>
    </xf>
    <xf numFmtId="4" fontId="0" fillId="0" borderId="24" xfId="0" applyNumberFormat="1" applyFont="1" applyBorder="1" applyAlignment="1" applyProtection="1">
      <alignment horizontal="center"/>
    </xf>
    <xf numFmtId="4" fontId="0" fillId="0" borderId="31" xfId="0" applyNumberFormat="1" applyFont="1" applyBorder="1" applyAlignment="1" applyProtection="1">
      <alignment horizontal="center"/>
    </xf>
    <xf numFmtId="4" fontId="0" fillId="51" borderId="7" xfId="0" applyNumberFormat="1" applyFont="1" applyFill="1" applyBorder="1" applyAlignment="1" applyProtection="1">
      <alignment horizontal="center"/>
    </xf>
    <xf numFmtId="4" fontId="0" fillId="51" borderId="24" xfId="0" applyNumberFormat="1" applyFont="1" applyFill="1" applyBorder="1" applyAlignment="1" applyProtection="1">
      <alignment horizontal="center"/>
    </xf>
    <xf numFmtId="4" fontId="0" fillId="51" borderId="31" xfId="0" applyNumberFormat="1" applyFont="1" applyFill="1" applyBorder="1" applyAlignment="1" applyProtection="1">
      <alignment horizontal="center"/>
    </xf>
    <xf numFmtId="4" fontId="0" fillId="0" borderId="6" xfId="0" applyNumberFormat="1" applyFont="1" applyBorder="1" applyAlignment="1" applyProtection="1">
      <alignment horizontal="center"/>
    </xf>
    <xf numFmtId="4" fontId="0" fillId="0" borderId="25" xfId="0" applyNumberFormat="1" applyFont="1" applyBorder="1" applyAlignment="1" applyProtection="1">
      <alignment horizontal="center"/>
    </xf>
    <xf numFmtId="4" fontId="0" fillId="0" borderId="32" xfId="0" applyNumberFormat="1" applyFont="1" applyBorder="1" applyAlignment="1" applyProtection="1">
      <alignment horizontal="center"/>
    </xf>
    <xf numFmtId="4" fontId="6" fillId="52" borderId="7" xfId="0" applyNumberFormat="1" applyFont="1" applyFill="1" applyBorder="1" applyAlignment="1" applyProtection="1">
      <alignment horizontal="center"/>
    </xf>
    <xf numFmtId="4" fontId="6" fillId="52" borderId="2" xfId="0" applyNumberFormat="1" applyFont="1" applyFill="1" applyBorder="1" applyAlignment="1" applyProtection="1">
      <alignment horizontal="center"/>
    </xf>
    <xf numFmtId="4" fontId="6" fillId="52" borderId="31" xfId="0" applyNumberFormat="1" applyFont="1" applyFill="1" applyBorder="1" applyAlignment="1" applyProtection="1">
      <alignment horizontal="center"/>
    </xf>
    <xf numFmtId="4" fontId="6" fillId="52" borderId="24" xfId="0" applyNumberFormat="1" applyFont="1" applyFill="1" applyBorder="1" applyAlignment="1" applyProtection="1">
      <alignment horizontal="center"/>
    </xf>
    <xf numFmtId="4" fontId="6" fillId="0" borderId="24" xfId="0" applyNumberFormat="1" applyFont="1" applyFill="1" applyBorder="1" applyAlignment="1" applyProtection="1">
      <alignment horizontal="center"/>
    </xf>
    <xf numFmtId="4" fontId="0" fillId="52" borderId="7" xfId="0" applyNumberFormat="1" applyFont="1" applyFill="1" applyBorder="1" applyAlignment="1">
      <alignment horizontal="center"/>
    </xf>
    <xf numFmtId="4" fontId="0" fillId="52" borderId="24" xfId="0" applyNumberFormat="1" applyFont="1" applyFill="1" applyBorder="1" applyAlignment="1">
      <alignment horizontal="center"/>
    </xf>
    <xf numFmtId="4" fontId="0" fillId="7" borderId="7" xfId="0" applyNumberFormat="1" applyFont="1" applyFill="1" applyBorder="1" applyAlignment="1">
      <alignment horizontal="center"/>
    </xf>
    <xf numFmtId="4" fontId="0" fillId="7" borderId="24" xfId="0" applyNumberFormat="1" applyFont="1" applyFill="1" applyBorder="1" applyAlignment="1">
      <alignment horizontal="center"/>
    </xf>
    <xf numFmtId="4" fontId="0" fillId="52" borderId="25" xfId="0" applyNumberFormat="1" applyFont="1" applyFill="1" applyBorder="1" applyAlignment="1">
      <alignment horizontal="center"/>
    </xf>
    <xf numFmtId="0" fontId="7" fillId="112" borderId="1" xfId="0" applyNumberFormat="1" applyFont="1" applyFill="1" applyBorder="1" applyAlignment="1">
      <alignment horizontal="right"/>
    </xf>
    <xf numFmtId="0" fontId="7" fillId="53" borderId="1" xfId="0" applyNumberFormat="1" applyFont="1" applyFill="1" applyBorder="1" applyAlignment="1">
      <alignment horizontal="right"/>
    </xf>
    <xf numFmtId="0" fontId="0" fillId="0" borderId="0" xfId="0" applyFont="1" applyAlignment="1">
      <alignment horizontal="right"/>
    </xf>
    <xf numFmtId="0" fontId="0" fillId="0" borderId="0" xfId="0" applyAlignment="1">
      <alignment horizontal="right"/>
    </xf>
    <xf numFmtId="4" fontId="0" fillId="51" borderId="14" xfId="0" applyNumberFormat="1" applyFont="1" applyFill="1" applyBorder="1" applyAlignment="1">
      <alignment horizontal="center"/>
    </xf>
    <xf numFmtId="4" fontId="0" fillId="51" borderId="21" xfId="0" applyNumberFormat="1" applyFont="1" applyFill="1" applyBorder="1" applyAlignment="1">
      <alignment horizontal="center"/>
    </xf>
    <xf numFmtId="4" fontId="0" fillId="0" borderId="14" xfId="0" applyNumberFormat="1" applyFont="1" applyFill="1" applyBorder="1" applyAlignment="1">
      <alignment horizontal="center"/>
    </xf>
    <xf numFmtId="4" fontId="0" fillId="51" borderId="24" xfId="0" applyNumberFormat="1" applyFont="1" applyFill="1" applyBorder="1" applyAlignment="1">
      <alignment horizontal="center"/>
    </xf>
    <xf numFmtId="0" fontId="7" fillId="0" borderId="34" xfId="0" applyNumberFormat="1" applyFont="1" applyFill="1" applyBorder="1" applyAlignment="1">
      <alignment horizontal="right"/>
    </xf>
    <xf numFmtId="169" fontId="11" fillId="0" borderId="34" xfId="0" applyNumberFormat="1" applyFont="1" applyFill="1" applyBorder="1" applyAlignment="1">
      <alignment horizontal="right"/>
    </xf>
    <xf numFmtId="4" fontId="6" fillId="6" borderId="6" xfId="0" applyNumberFormat="1" applyFont="1" applyFill="1" applyBorder="1" applyAlignment="1" applyProtection="1">
      <alignment horizontal="center"/>
    </xf>
    <xf numFmtId="4" fontId="6" fillId="6" borderId="5" xfId="0" applyNumberFormat="1" applyFont="1" applyFill="1" applyBorder="1" applyAlignment="1" applyProtection="1">
      <alignment horizontal="center"/>
    </xf>
    <xf numFmtId="0" fontId="0" fillId="0" borderId="31" xfId="0" applyFill="1" applyBorder="1"/>
    <xf numFmtId="4" fontId="0" fillId="0" borderId="9" xfId="0" applyNumberFormat="1" applyFill="1" applyBorder="1" applyAlignment="1">
      <alignment horizontal="center"/>
    </xf>
    <xf numFmtId="0" fontId="7" fillId="8" borderId="22" xfId="0" applyFont="1" applyFill="1" applyBorder="1" applyAlignment="1">
      <alignment horizontal="center"/>
    </xf>
    <xf numFmtId="0" fontId="0" fillId="0" borderId="9" xfId="0" applyFill="1" applyBorder="1" applyAlignment="1">
      <alignment horizontal="center"/>
    </xf>
    <xf numFmtId="167" fontId="0" fillId="0" borderId="24" xfId="0" applyNumberFormat="1" applyFill="1" applyBorder="1" applyAlignment="1">
      <alignment horizontal="center"/>
    </xf>
    <xf numFmtId="0" fontId="0" fillId="6" borderId="9" xfId="0" applyFill="1" applyBorder="1" applyAlignment="1">
      <alignment horizontal="center"/>
    </xf>
    <xf numFmtId="167" fontId="0" fillId="6" borderId="24" xfId="0" applyNumberFormat="1" applyFill="1" applyBorder="1" applyAlignment="1">
      <alignment horizontal="center"/>
    </xf>
    <xf numFmtId="0" fontId="5" fillId="7" borderId="18" xfId="0" applyFont="1" applyFill="1" applyBorder="1"/>
    <xf numFmtId="0" fontId="5" fillId="7" borderId="26" xfId="0" applyFont="1" applyFill="1" applyBorder="1" applyAlignment="1">
      <alignment horizontal="center"/>
    </xf>
    <xf numFmtId="4" fontId="5" fillId="7" borderId="26" xfId="0" applyNumberFormat="1" applyFont="1" applyFill="1" applyBorder="1" applyAlignment="1">
      <alignment horizontal="center"/>
    </xf>
    <xf numFmtId="0" fontId="5" fillId="7" borderId="19" xfId="0" applyFont="1" applyFill="1" applyBorder="1" applyAlignment="1">
      <alignment horizontal="center"/>
    </xf>
    <xf numFmtId="4" fontId="6" fillId="52" borderId="7" xfId="0" applyNumberFormat="1" applyFont="1" applyFill="1" applyBorder="1" applyAlignment="1">
      <alignment horizontal="center"/>
    </xf>
    <xf numFmtId="4" fontId="6" fillId="52" borderId="2" xfId="0" applyNumberFormat="1" applyFont="1" applyFill="1" applyBorder="1" applyAlignment="1">
      <alignment horizontal="center"/>
    </xf>
    <xf numFmtId="4" fontId="6" fillId="7" borderId="2" xfId="0" applyNumberFormat="1" applyFont="1" applyFill="1" applyBorder="1" applyAlignment="1">
      <alignment horizontal="center"/>
    </xf>
    <xf numFmtId="4" fontId="6" fillId="7" borderId="7" xfId="0" applyNumberFormat="1" applyFont="1" applyFill="1" applyBorder="1" applyAlignment="1">
      <alignment horizontal="center"/>
    </xf>
    <xf numFmtId="4" fontId="6" fillId="52" borderId="6" xfId="0" applyNumberFormat="1" applyFont="1" applyFill="1" applyBorder="1" applyAlignment="1">
      <alignment horizontal="center"/>
    </xf>
    <xf numFmtId="4" fontId="6" fillId="52" borderId="5" xfId="0" applyNumberFormat="1" applyFont="1" applyFill="1" applyBorder="1" applyAlignment="1">
      <alignment horizontal="center"/>
    </xf>
    <xf numFmtId="0" fontId="7" fillId="58" borderId="19" xfId="0" applyFont="1" applyFill="1" applyBorder="1" applyAlignment="1">
      <alignment horizontal="center"/>
    </xf>
    <xf numFmtId="4" fontId="6" fillId="15" borderId="7" xfId="0" applyNumberFormat="1" applyFont="1" applyFill="1" applyBorder="1" applyAlignment="1">
      <alignment horizontal="center"/>
    </xf>
    <xf numFmtId="4" fontId="6" fillId="15" borderId="2" xfId="0" applyNumberFormat="1" applyFont="1" applyFill="1" applyBorder="1" applyAlignment="1">
      <alignment horizontal="center"/>
    </xf>
    <xf numFmtId="4" fontId="6" fillId="0" borderId="24" xfId="0" applyNumberFormat="1" applyFont="1" applyFill="1" applyBorder="1" applyAlignment="1">
      <alignment horizontal="center"/>
    </xf>
    <xf numFmtId="49" fontId="5" fillId="0" borderId="0" xfId="0" applyNumberFormat="1" applyFont="1" applyFill="1" applyBorder="1" applyAlignment="1">
      <alignment horizontal="center"/>
    </xf>
    <xf numFmtId="2" fontId="11" fillId="0" borderId="34" xfId="0" applyNumberFormat="1" applyFont="1" applyFill="1" applyBorder="1"/>
    <xf numFmtId="2" fontId="0" fillId="15" borderId="9" xfId="0" applyNumberFormat="1" applyFont="1" applyFill="1" applyBorder="1" applyAlignment="1">
      <alignment horizontal="center"/>
    </xf>
    <xf numFmtId="2" fontId="0" fillId="15" borderId="24" xfId="0" applyNumberFormat="1" applyFont="1" applyFill="1" applyBorder="1" applyAlignment="1">
      <alignment horizontal="center"/>
    </xf>
    <xf numFmtId="2" fontId="0" fillId="0" borderId="24" xfId="0" applyNumberFormat="1" applyFont="1" applyBorder="1" applyAlignment="1">
      <alignment horizontal="center"/>
    </xf>
    <xf numFmtId="2" fontId="0" fillId="15" borderId="8" xfId="0" applyNumberFormat="1" applyFont="1" applyFill="1" applyBorder="1" applyAlignment="1">
      <alignment horizontal="center"/>
    </xf>
    <xf numFmtId="2" fontId="0" fillId="15" borderId="25" xfId="0" applyNumberFormat="1" applyFont="1" applyFill="1" applyBorder="1" applyAlignment="1">
      <alignment horizontal="center"/>
    </xf>
    <xf numFmtId="4" fontId="0" fillId="0" borderId="34" xfId="0" applyNumberFormat="1" applyFont="1" applyBorder="1" applyAlignment="1">
      <alignment horizontal="center"/>
    </xf>
    <xf numFmtId="4" fontId="0" fillId="0" borderId="28" xfId="0" applyNumberFormat="1" applyFont="1" applyBorder="1" applyAlignment="1">
      <alignment horizontal="center"/>
    </xf>
    <xf numFmtId="4" fontId="0" fillId="15" borderId="0" xfId="0" applyNumberFormat="1" applyFont="1" applyFill="1" applyBorder="1" applyAlignment="1">
      <alignment horizontal="center"/>
    </xf>
    <xf numFmtId="4" fontId="0" fillId="15" borderId="2" xfId="0" applyNumberFormat="1" applyFont="1" applyFill="1" applyBorder="1" applyAlignment="1">
      <alignment horizontal="center"/>
    </xf>
    <xf numFmtId="4" fontId="0" fillId="0" borderId="0" xfId="0" applyNumberFormat="1" applyFont="1" applyBorder="1" applyAlignment="1">
      <alignment horizontal="center"/>
    </xf>
    <xf numFmtId="4" fontId="0" fillId="0" borderId="2" xfId="0" applyNumberFormat="1" applyFont="1" applyBorder="1" applyAlignment="1">
      <alignment horizontal="center"/>
    </xf>
    <xf numFmtId="4" fontId="0" fillId="0" borderId="0" xfId="0" applyNumberFormat="1" applyFont="1" applyFill="1" applyBorder="1" applyAlignment="1">
      <alignment horizontal="center"/>
    </xf>
    <xf numFmtId="4" fontId="0" fillId="0" borderId="2" xfId="0" applyNumberFormat="1" applyFont="1" applyFill="1" applyBorder="1" applyAlignment="1">
      <alignment horizontal="center"/>
    </xf>
    <xf numFmtId="0" fontId="7" fillId="50" borderId="20" xfId="0" applyFont="1" applyFill="1" applyBorder="1" applyAlignment="1">
      <alignment horizontal="center"/>
    </xf>
    <xf numFmtId="0" fontId="7" fillId="50" borderId="22" xfId="0" applyFont="1" applyFill="1" applyBorder="1" applyAlignment="1">
      <alignment horizontal="center"/>
    </xf>
    <xf numFmtId="0" fontId="0" fillId="52" borderId="21" xfId="0" applyNumberFormat="1" applyFont="1" applyFill="1" applyBorder="1" applyAlignment="1">
      <alignment horizontal="center"/>
    </xf>
    <xf numFmtId="167" fontId="0" fillId="52" borderId="21" xfId="0" applyNumberFormat="1" applyFont="1" applyFill="1" applyBorder="1" applyAlignment="1">
      <alignment horizontal="center"/>
    </xf>
    <xf numFmtId="0" fontId="0" fillId="0" borderId="24" xfId="0" applyNumberFormat="1" applyFont="1" applyFill="1" applyBorder="1" applyAlignment="1">
      <alignment horizontal="center"/>
    </xf>
    <xf numFmtId="167" fontId="0" fillId="0" borderId="24" xfId="0" applyNumberFormat="1" applyFont="1" applyFill="1" applyBorder="1" applyAlignment="1">
      <alignment horizontal="center"/>
    </xf>
    <xf numFmtId="0" fontId="0" fillId="52" borderId="24" xfId="0" applyNumberFormat="1" applyFont="1" applyFill="1" applyBorder="1" applyAlignment="1">
      <alignment horizontal="center"/>
    </xf>
    <xf numFmtId="167" fontId="0" fillId="52" borderId="24" xfId="0" applyNumberFormat="1" applyFont="1" applyFill="1" applyBorder="1" applyAlignment="1">
      <alignment horizontal="center"/>
    </xf>
    <xf numFmtId="0" fontId="0" fillId="52" borderId="25" xfId="0" applyNumberFormat="1" applyFont="1" applyFill="1" applyBorder="1" applyAlignment="1">
      <alignment horizontal="center"/>
    </xf>
    <xf numFmtId="167" fontId="0" fillId="52" borderId="25" xfId="0" applyNumberFormat="1" applyFont="1" applyFill="1" applyBorder="1" applyAlignment="1">
      <alignment horizontal="center"/>
    </xf>
    <xf numFmtId="4" fontId="0" fillId="52" borderId="21" xfId="0" applyNumberFormat="1" applyFont="1" applyFill="1" applyBorder="1" applyAlignment="1">
      <alignment horizontal="center"/>
    </xf>
    <xf numFmtId="0" fontId="5" fillId="7" borderId="38" xfId="0" applyFont="1" applyFill="1" applyBorder="1"/>
    <xf numFmtId="0" fontId="5" fillId="7" borderId="26" xfId="0" applyFont="1" applyFill="1" applyBorder="1"/>
    <xf numFmtId="4" fontId="5" fillId="7" borderId="26" xfId="0" applyNumberFormat="1" applyFont="1" applyFill="1" applyBorder="1"/>
    <xf numFmtId="0" fontId="5" fillId="7" borderId="33" xfId="0" applyFont="1" applyFill="1" applyBorder="1"/>
    <xf numFmtId="169" fontId="11" fillId="0" borderId="34" xfId="0" applyNumberFormat="1" applyFont="1" applyFill="1" applyBorder="1"/>
    <xf numFmtId="0" fontId="0" fillId="15" borderId="9" xfId="0" applyFill="1" applyBorder="1" applyAlignment="1">
      <alignment horizontal="left"/>
    </xf>
    <xf numFmtId="0" fontId="0" fillId="7" borderId="9" xfId="0" applyFill="1" applyBorder="1" applyAlignment="1">
      <alignment horizontal="left"/>
    </xf>
    <xf numFmtId="0" fontId="0" fillId="15" borderId="8" xfId="0" applyFill="1" applyBorder="1" applyAlignment="1">
      <alignment horizontal="left"/>
    </xf>
    <xf numFmtId="0" fontId="7" fillId="0" borderId="0" xfId="0" applyFont="1"/>
    <xf numFmtId="0" fontId="7" fillId="58" borderId="33" xfId="0" applyFont="1" applyFill="1" applyBorder="1" applyAlignment="1">
      <alignment horizontal="center"/>
    </xf>
    <xf numFmtId="0" fontId="7" fillId="58" borderId="22" xfId="0" applyFont="1" applyFill="1" applyBorder="1" applyAlignment="1">
      <alignment horizontal="center"/>
    </xf>
    <xf numFmtId="0" fontId="0" fillId="15" borderId="7" xfId="0" applyFill="1" applyBorder="1" applyAlignment="1">
      <alignment horizontal="center"/>
    </xf>
    <xf numFmtId="4" fontId="0" fillId="15" borderId="9" xfId="0" applyNumberFormat="1" applyFill="1" applyBorder="1" applyAlignment="1">
      <alignment horizontal="center"/>
    </xf>
    <xf numFmtId="167" fontId="0" fillId="15" borderId="24" xfId="0" applyNumberFormat="1" applyFill="1" applyBorder="1" applyAlignment="1">
      <alignment horizontal="center"/>
    </xf>
    <xf numFmtId="0" fontId="0" fillId="7" borderId="7" xfId="0" applyFill="1" applyBorder="1" applyAlignment="1">
      <alignment horizontal="center"/>
    </xf>
    <xf numFmtId="4" fontId="0" fillId="7" borderId="9" xfId="0" applyNumberFormat="1" applyFill="1" applyBorder="1" applyAlignment="1">
      <alignment horizontal="center"/>
    </xf>
    <xf numFmtId="167" fontId="0" fillId="7" borderId="24" xfId="0" applyNumberFormat="1" applyFill="1" applyBorder="1" applyAlignment="1">
      <alignment horizontal="center"/>
    </xf>
    <xf numFmtId="0" fontId="0" fillId="15" borderId="6" xfId="0" applyFill="1" applyBorder="1" applyAlignment="1">
      <alignment horizontal="center"/>
    </xf>
    <xf numFmtId="4" fontId="0" fillId="15" borderId="8" xfId="0" applyNumberFormat="1" applyFill="1" applyBorder="1" applyAlignment="1">
      <alignment horizontal="center"/>
    </xf>
    <xf numFmtId="167" fontId="0" fillId="15" borderId="25" xfId="0" applyNumberFormat="1" applyFill="1" applyBorder="1" applyAlignment="1">
      <alignment horizontal="center"/>
    </xf>
    <xf numFmtId="4" fontId="0" fillId="0" borderId="9" xfId="0" applyNumberFormat="1" applyFont="1" applyBorder="1" applyAlignment="1">
      <alignment horizontal="center"/>
    </xf>
    <xf numFmtId="4" fontId="0" fillId="16" borderId="9" xfId="0" applyNumberFormat="1" applyFont="1" applyFill="1" applyBorder="1" applyAlignment="1">
      <alignment horizontal="center"/>
    </xf>
    <xf numFmtId="4" fontId="0" fillId="16" borderId="2" xfId="0" applyNumberFormat="1" applyFont="1" applyFill="1" applyBorder="1" applyAlignment="1">
      <alignment horizontal="center"/>
    </xf>
    <xf numFmtId="4" fontId="0" fillId="0" borderId="8" xfId="0" applyNumberFormat="1" applyFont="1" applyBorder="1" applyAlignment="1">
      <alignment horizontal="center"/>
    </xf>
    <xf numFmtId="4" fontId="0" fillId="0" borderId="5" xfId="0" applyNumberFormat="1" applyFont="1" applyBorder="1" applyAlignment="1">
      <alignment horizontal="center"/>
    </xf>
    <xf numFmtId="0" fontId="7" fillId="58" borderId="26" xfId="0" applyFont="1" applyFill="1" applyBorder="1" applyAlignment="1">
      <alignment horizontal="center" vertical="center"/>
    </xf>
    <xf numFmtId="0" fontId="7" fillId="58" borderId="19" xfId="0" applyFont="1" applyFill="1" applyBorder="1" applyAlignment="1">
      <alignment horizontal="center" vertical="center"/>
    </xf>
    <xf numFmtId="3" fontId="6" fillId="15" borderId="0" xfId="0" applyNumberFormat="1" applyFont="1" applyFill="1" applyBorder="1" applyAlignment="1">
      <alignment horizontal="center"/>
    </xf>
    <xf numFmtId="3" fontId="6" fillId="15" borderId="21" xfId="0" applyNumberFormat="1" applyFont="1" applyFill="1" applyBorder="1" applyAlignment="1">
      <alignment horizontal="center"/>
    </xf>
    <xf numFmtId="3" fontId="6" fillId="0" borderId="0" xfId="0" applyNumberFormat="1" applyFont="1" applyBorder="1" applyAlignment="1">
      <alignment horizontal="center"/>
    </xf>
    <xf numFmtId="3" fontId="6" fillId="0" borderId="24" xfId="0" applyNumberFormat="1" applyFont="1" applyBorder="1" applyAlignment="1">
      <alignment horizontal="center"/>
    </xf>
    <xf numFmtId="3" fontId="6" fillId="15" borderId="24" xfId="0" applyNumberFormat="1" applyFont="1" applyFill="1" applyBorder="1" applyAlignment="1">
      <alignment horizontal="center"/>
    </xf>
    <xf numFmtId="3" fontId="6" fillId="15" borderId="25" xfId="0" applyNumberFormat="1" applyFont="1" applyFill="1" applyBorder="1" applyAlignment="1">
      <alignment horizontal="center"/>
    </xf>
    <xf numFmtId="3" fontId="7" fillId="58" borderId="34" xfId="0" applyNumberFormat="1" applyFont="1" applyFill="1" applyBorder="1" applyAlignment="1">
      <alignment horizontal="center" vertical="center"/>
    </xf>
    <xf numFmtId="3" fontId="7" fillId="58" borderId="28" xfId="0" applyNumberFormat="1" applyFont="1" applyFill="1" applyBorder="1" applyAlignment="1">
      <alignment horizontal="center" vertical="center"/>
    </xf>
    <xf numFmtId="166" fontId="91" fillId="58" borderId="4" xfId="0" applyNumberFormat="1" applyFont="1" applyFill="1" applyBorder="1" applyAlignment="1">
      <alignment horizontal="center"/>
    </xf>
    <xf numFmtId="0" fontId="7" fillId="58" borderId="26" xfId="0" applyFont="1" applyFill="1" applyBorder="1" applyAlignment="1">
      <alignment horizontal="center" vertical="center" wrapText="1"/>
    </xf>
    <xf numFmtId="0" fontId="7" fillId="58" borderId="18" xfId="0" applyFont="1" applyFill="1" applyBorder="1" applyAlignment="1">
      <alignment horizontal="left" vertical="center"/>
    </xf>
    <xf numFmtId="0" fontId="7" fillId="58" borderId="1" xfId="0" applyFont="1" applyFill="1" applyBorder="1" applyAlignment="1">
      <alignment horizontal="left"/>
    </xf>
    <xf numFmtId="0" fontId="7" fillId="21" borderId="20" xfId="0" applyFont="1" applyFill="1" applyBorder="1" applyAlignment="1">
      <alignment horizontal="center"/>
    </xf>
    <xf numFmtId="4" fontId="6" fillId="13" borderId="7" xfId="0" applyNumberFormat="1" applyFont="1" applyFill="1" applyBorder="1" applyAlignment="1">
      <alignment horizontal="center"/>
    </xf>
    <xf numFmtId="4" fontId="6" fillId="13" borderId="2" xfId="0" applyNumberFormat="1" applyFont="1" applyFill="1" applyBorder="1" applyAlignment="1">
      <alignment horizontal="center"/>
    </xf>
    <xf numFmtId="0" fontId="7" fillId="22" borderId="26" xfId="0" applyFont="1" applyFill="1" applyBorder="1" applyAlignment="1">
      <alignment horizontal="center"/>
    </xf>
    <xf numFmtId="4" fontId="0" fillId="13" borderId="0" xfId="0" applyNumberFormat="1" applyFont="1" applyFill="1" applyBorder="1" applyAlignment="1">
      <alignment horizontal="center"/>
    </xf>
    <xf numFmtId="4" fontId="0" fillId="13" borderId="2" xfId="0" applyNumberFormat="1" applyFont="1" applyFill="1" applyBorder="1" applyAlignment="1">
      <alignment horizontal="center"/>
    </xf>
    <xf numFmtId="164" fontId="11" fillId="0" borderId="34" xfId="0" applyNumberFormat="1" applyFont="1" applyFill="1" applyBorder="1"/>
    <xf numFmtId="169" fontId="11" fillId="0" borderId="0" xfId="0" applyNumberFormat="1" applyFont="1" applyFill="1" applyBorder="1"/>
    <xf numFmtId="4" fontId="0" fillId="0" borderId="9" xfId="0" applyNumberFormat="1" applyFont="1" applyFill="1" applyBorder="1" applyAlignment="1">
      <alignment horizontal="center"/>
    </xf>
    <xf numFmtId="4" fontId="0" fillId="0" borderId="8" xfId="0" applyNumberFormat="1" applyFont="1" applyFill="1" applyBorder="1" applyAlignment="1">
      <alignment horizontal="center"/>
    </xf>
    <xf numFmtId="0" fontId="7" fillId="22" borderId="22" xfId="0" applyFont="1" applyFill="1" applyBorder="1" applyAlignment="1">
      <alignment horizontal="center"/>
    </xf>
    <xf numFmtId="4" fontId="6" fillId="13" borderId="6" xfId="0" applyNumberFormat="1" applyFont="1" applyFill="1" applyBorder="1" applyAlignment="1">
      <alignment horizontal="center"/>
    </xf>
    <xf numFmtId="4" fontId="6" fillId="13" borderId="5" xfId="0" applyNumberFormat="1" applyFont="1" applyFill="1" applyBorder="1" applyAlignment="1">
      <alignment horizontal="center"/>
    </xf>
    <xf numFmtId="0" fontId="0" fillId="13" borderId="7" xfId="0" applyFill="1" applyBorder="1" applyAlignment="1">
      <alignment horizontal="center"/>
    </xf>
    <xf numFmtId="167" fontId="0" fillId="13" borderId="2" xfId="0" applyNumberFormat="1" applyFill="1" applyBorder="1" applyAlignment="1">
      <alignment horizontal="center"/>
    </xf>
    <xf numFmtId="0" fontId="0" fillId="0" borderId="7" xfId="0" applyFill="1" applyBorder="1" applyAlignment="1">
      <alignment horizontal="center"/>
    </xf>
    <xf numFmtId="167" fontId="0" fillId="0" borderId="2" xfId="0" applyNumberFormat="1" applyFill="1" applyBorder="1" applyAlignment="1">
      <alignment horizontal="center"/>
    </xf>
    <xf numFmtId="0" fontId="0" fillId="0" borderId="6" xfId="0" applyFill="1" applyBorder="1" applyAlignment="1">
      <alignment horizontal="center"/>
    </xf>
    <xf numFmtId="167" fontId="0" fillId="0" borderId="5" xfId="0" applyNumberFormat="1" applyFill="1" applyBorder="1" applyAlignment="1">
      <alignment horizontal="center"/>
    </xf>
    <xf numFmtId="4" fontId="0" fillId="13" borderId="9" xfId="0" applyNumberFormat="1" applyFill="1" applyBorder="1" applyAlignment="1">
      <alignment horizontal="center"/>
    </xf>
    <xf numFmtId="4" fontId="0" fillId="0" borderId="8" xfId="0" applyNumberFormat="1" applyFill="1" applyBorder="1" applyAlignment="1">
      <alignment horizontal="center"/>
    </xf>
    <xf numFmtId="2" fontId="6" fillId="13" borderId="7" xfId="0" applyNumberFormat="1" applyFont="1" applyFill="1" applyBorder="1" applyAlignment="1">
      <alignment horizontal="center"/>
    </xf>
    <xf numFmtId="2" fontId="6" fillId="13" borderId="2" xfId="0" applyNumberFormat="1" applyFont="1" applyFill="1" applyBorder="1" applyAlignment="1">
      <alignment horizontal="center"/>
    </xf>
    <xf numFmtId="2" fontId="6" fillId="13" borderId="6" xfId="0" applyNumberFormat="1" applyFont="1" applyFill="1" applyBorder="1" applyAlignment="1">
      <alignment horizontal="center"/>
    </xf>
    <xf numFmtId="2" fontId="6" fillId="13" borderId="5" xfId="0" applyNumberFormat="1" applyFont="1" applyFill="1" applyBorder="1" applyAlignment="1">
      <alignment horizontal="center"/>
    </xf>
    <xf numFmtId="0" fontId="7" fillId="21" borderId="32" xfId="0" applyNumberFormat="1" applyFont="1" applyFill="1" applyBorder="1" applyAlignment="1">
      <alignment horizontal="right"/>
    </xf>
    <xf numFmtId="3" fontId="6" fillId="13" borderId="7" xfId="0" applyNumberFormat="1" applyFont="1" applyFill="1" applyBorder="1" applyAlignment="1">
      <alignment horizontal="center"/>
    </xf>
    <xf numFmtId="3" fontId="6" fillId="13" borderId="2" xfId="0" applyNumberFormat="1" applyFont="1" applyFill="1" applyBorder="1" applyAlignment="1">
      <alignment horizontal="center"/>
    </xf>
    <xf numFmtId="3" fontId="6" fillId="0" borderId="7" xfId="0" applyNumberFormat="1" applyFont="1" applyFill="1" applyBorder="1" applyAlignment="1">
      <alignment horizontal="center"/>
    </xf>
    <xf numFmtId="3" fontId="6" fillId="0" borderId="2" xfId="0" applyNumberFormat="1" applyFont="1" applyFill="1" applyBorder="1" applyAlignment="1">
      <alignment horizontal="center"/>
    </xf>
    <xf numFmtId="0" fontId="7" fillId="21" borderId="33" xfId="0" applyFont="1" applyFill="1" applyBorder="1" applyAlignment="1">
      <alignment horizontal="center"/>
    </xf>
    <xf numFmtId="3" fontId="0" fillId="13" borderId="7" xfId="0" applyNumberFormat="1" applyFill="1" applyBorder="1" applyAlignment="1">
      <alignment horizontal="center"/>
    </xf>
    <xf numFmtId="3" fontId="0" fillId="7" borderId="7" xfId="0" applyNumberFormat="1" applyFill="1" applyBorder="1" applyAlignment="1">
      <alignment horizontal="center"/>
    </xf>
    <xf numFmtId="167" fontId="0" fillId="7" borderId="2" xfId="0" applyNumberFormat="1" applyFill="1" applyBorder="1" applyAlignment="1">
      <alignment horizontal="center"/>
    </xf>
    <xf numFmtId="0" fontId="0" fillId="13" borderId="6" xfId="0" applyFill="1" applyBorder="1" applyAlignment="1">
      <alignment horizontal="center"/>
    </xf>
    <xf numFmtId="3" fontId="0" fillId="13" borderId="6" xfId="0" applyNumberFormat="1" applyFill="1" applyBorder="1" applyAlignment="1">
      <alignment horizontal="center"/>
    </xf>
    <xf numFmtId="167" fontId="0" fillId="13" borderId="5" xfId="0" applyNumberFormat="1" applyFill="1" applyBorder="1" applyAlignment="1">
      <alignment horizontal="center"/>
    </xf>
    <xf numFmtId="0" fontId="0" fillId="13" borderId="31" xfId="0" applyFill="1" applyBorder="1" applyAlignment="1">
      <alignment horizontal="left"/>
    </xf>
    <xf numFmtId="0" fontId="0" fillId="7" borderId="31" xfId="0" applyFill="1" applyBorder="1" applyAlignment="1">
      <alignment horizontal="left"/>
    </xf>
    <xf numFmtId="0" fontId="0" fillId="13" borderId="32" xfId="0" applyFill="1" applyBorder="1" applyAlignment="1">
      <alignment horizontal="left"/>
    </xf>
    <xf numFmtId="4" fontId="6" fillId="0" borderId="0" xfId="0" applyNumberFormat="1" applyFont="1" applyFill="1" applyBorder="1" applyAlignment="1">
      <alignment horizontal="center"/>
    </xf>
    <xf numFmtId="4" fontId="6" fillId="13" borderId="0" xfId="0" applyNumberFormat="1" applyFont="1" applyFill="1" applyBorder="1" applyAlignment="1">
      <alignment horizontal="center"/>
    </xf>
    <xf numFmtId="4" fontId="6" fillId="7" borderId="0" xfId="0" applyNumberFormat="1" applyFont="1" applyFill="1" applyBorder="1" applyAlignment="1">
      <alignment horizontal="center"/>
    </xf>
    <xf numFmtId="3" fontId="6" fillId="0" borderId="9" xfId="0" applyNumberFormat="1" applyFont="1" applyFill="1" applyBorder="1" applyAlignment="1">
      <alignment horizontal="center"/>
    </xf>
    <xf numFmtId="3" fontId="6" fillId="13" borderId="9" xfId="0" applyNumberFormat="1" applyFont="1" applyFill="1" applyBorder="1" applyAlignment="1">
      <alignment horizontal="center"/>
    </xf>
    <xf numFmtId="4" fontId="6" fillId="13" borderId="24" xfId="0" applyNumberFormat="1" applyFont="1" applyFill="1" applyBorder="1" applyAlignment="1">
      <alignment horizontal="center"/>
    </xf>
    <xf numFmtId="4" fontId="6" fillId="0" borderId="25" xfId="0" applyNumberFormat="1" applyFont="1" applyFill="1" applyBorder="1" applyAlignment="1">
      <alignment horizontal="center"/>
    </xf>
    <xf numFmtId="3" fontId="6" fillId="0" borderId="24" xfId="0" applyNumberFormat="1" applyFont="1" applyFill="1" applyBorder="1" applyAlignment="1">
      <alignment horizontal="center"/>
    </xf>
    <xf numFmtId="3" fontId="6" fillId="13" borderId="24" xfId="0" applyNumberFormat="1" applyFont="1" applyFill="1" applyBorder="1" applyAlignment="1">
      <alignment horizontal="center"/>
    </xf>
    <xf numFmtId="0" fontId="7" fillId="21" borderId="1" xfId="0" applyFont="1" applyFill="1" applyBorder="1" applyAlignment="1">
      <alignment horizontal="right"/>
    </xf>
    <xf numFmtId="4" fontId="6" fillId="103" borderId="7" xfId="0" applyNumberFormat="1" applyFont="1" applyFill="1" applyBorder="1" applyAlignment="1">
      <alignment horizontal="center"/>
    </xf>
    <xf numFmtId="4" fontId="6" fillId="103" borderId="2" xfId="0" applyNumberFormat="1" applyFont="1" applyFill="1" applyBorder="1" applyAlignment="1">
      <alignment horizontal="center"/>
    </xf>
    <xf numFmtId="4" fontId="0" fillId="103" borderId="7" xfId="0" applyNumberFormat="1" applyFont="1" applyFill="1" applyBorder="1" applyAlignment="1">
      <alignment horizontal="center"/>
    </xf>
    <xf numFmtId="4" fontId="0" fillId="103" borderId="2" xfId="0" applyNumberFormat="1" applyFont="1" applyFill="1" applyBorder="1" applyAlignment="1">
      <alignment horizontal="center"/>
    </xf>
    <xf numFmtId="4" fontId="0" fillId="0" borderId="7" xfId="0" applyNumberFormat="1" applyFont="1" applyFill="1" applyBorder="1" applyAlignment="1">
      <alignment horizontal="center"/>
    </xf>
    <xf numFmtId="4" fontId="6" fillId="103" borderId="0" xfId="0" applyNumberFormat="1" applyFont="1" applyFill="1" applyBorder="1" applyAlignment="1">
      <alignment horizontal="center"/>
    </xf>
    <xf numFmtId="4" fontId="6" fillId="103" borderId="24" xfId="0" applyNumberFormat="1" applyFont="1" applyFill="1" applyBorder="1" applyAlignment="1">
      <alignment horizontal="center"/>
    </xf>
    <xf numFmtId="4" fontId="6" fillId="103" borderId="6" xfId="0" applyNumberFormat="1" applyFont="1" applyFill="1" applyBorder="1" applyAlignment="1">
      <alignment horizontal="center"/>
    </xf>
    <xf numFmtId="4" fontId="6" fillId="103" borderId="5" xfId="0" applyNumberFormat="1" applyFont="1" applyFill="1" applyBorder="1" applyAlignment="1">
      <alignment horizontal="center"/>
    </xf>
    <xf numFmtId="0" fontId="7" fillId="104" borderId="1" xfId="0" applyNumberFormat="1" applyFont="1" applyFill="1" applyBorder="1" applyAlignment="1">
      <alignment horizontal="right"/>
    </xf>
    <xf numFmtId="4" fontId="6" fillId="0" borderId="36" xfId="0" applyNumberFormat="1" applyFont="1" applyFill="1" applyBorder="1" applyAlignment="1">
      <alignment horizontal="center"/>
    </xf>
    <xf numFmtId="4" fontId="6" fillId="0" borderId="28" xfId="0" applyNumberFormat="1" applyFont="1" applyFill="1" applyBorder="1" applyAlignment="1">
      <alignment horizontal="center"/>
    </xf>
    <xf numFmtId="0" fontId="7" fillId="4" borderId="41" xfId="0" applyFont="1" applyFill="1" applyBorder="1" applyAlignment="1" applyProtection="1">
      <alignment horizontal="right"/>
    </xf>
    <xf numFmtId="0" fontId="7" fillId="0" borderId="34" xfId="0" applyNumberFormat="1" applyFont="1" applyFill="1" applyBorder="1"/>
    <xf numFmtId="0" fontId="7" fillId="110" borderId="1" xfId="0" applyNumberFormat="1" applyFont="1" applyFill="1" applyBorder="1" applyAlignment="1">
      <alignment horizontal="right"/>
    </xf>
    <xf numFmtId="4" fontId="0" fillId="106" borderId="24" xfId="0" applyNumberFormat="1" applyFont="1" applyFill="1" applyBorder="1" applyAlignment="1">
      <alignment horizontal="center"/>
    </xf>
    <xf numFmtId="4" fontId="11" fillId="0" borderId="34" xfId="0" applyNumberFormat="1" applyFont="1" applyFill="1" applyBorder="1" applyAlignment="1">
      <alignment horizontal="center"/>
    </xf>
    <xf numFmtId="4" fontId="6" fillId="3" borderId="7" xfId="0" applyNumberFormat="1" applyFont="1" applyFill="1" applyBorder="1" applyAlignment="1">
      <alignment horizontal="center"/>
    </xf>
    <xf numFmtId="4" fontId="6" fillId="3" borderId="2" xfId="0" applyNumberFormat="1" applyFont="1" applyFill="1" applyBorder="1" applyAlignment="1">
      <alignment horizontal="center"/>
    </xf>
    <xf numFmtId="4" fontId="6" fillId="3" borderId="6" xfId="0" applyNumberFormat="1" applyFont="1" applyFill="1" applyBorder="1" applyAlignment="1">
      <alignment horizontal="center"/>
    </xf>
    <xf numFmtId="4" fontId="6" fillId="3" borderId="5" xfId="0" applyNumberFormat="1" applyFont="1" applyFill="1" applyBorder="1" applyAlignment="1">
      <alignment horizontal="center"/>
    </xf>
    <xf numFmtId="2" fontId="11" fillId="0" borderId="0" xfId="0" applyNumberFormat="1" applyFont="1" applyFill="1" applyBorder="1"/>
    <xf numFmtId="0" fontId="7" fillId="17" borderId="20" xfId="0" applyFont="1" applyFill="1" applyBorder="1" applyAlignment="1" applyProtection="1">
      <alignment horizontal="center"/>
    </xf>
    <xf numFmtId="0" fontId="7" fillId="17" borderId="19" xfId="0" applyFont="1" applyFill="1" applyBorder="1" applyAlignment="1" applyProtection="1">
      <alignment horizontal="center"/>
    </xf>
    <xf numFmtId="4" fontId="0" fillId="3" borderId="0" xfId="0" applyNumberFormat="1" applyFont="1" applyFill="1" applyBorder="1" applyAlignment="1">
      <alignment horizontal="center"/>
    </xf>
    <xf numFmtId="4" fontId="0" fillId="3" borderId="2" xfId="0" applyNumberFormat="1" applyFont="1" applyFill="1" applyBorder="1" applyAlignment="1">
      <alignment horizontal="center"/>
    </xf>
    <xf numFmtId="0" fontId="7" fillId="18" borderId="20" xfId="0" applyFont="1" applyFill="1" applyBorder="1"/>
    <xf numFmtId="0" fontId="7" fillId="18" borderId="22" xfId="0" applyFont="1" applyFill="1" applyBorder="1"/>
    <xf numFmtId="4" fontId="0" fillId="19" borderId="24" xfId="0" applyNumberFormat="1" applyFont="1" applyFill="1" applyBorder="1" applyAlignment="1">
      <alignment horizontal="center"/>
    </xf>
    <xf numFmtId="4" fontId="0" fillId="19" borderId="2" xfId="0" applyNumberFormat="1" applyFont="1" applyFill="1" applyBorder="1" applyAlignment="1">
      <alignment horizontal="center"/>
    </xf>
    <xf numFmtId="0" fontId="7" fillId="118" borderId="23" xfId="0" applyFont="1" applyFill="1" applyBorder="1" applyAlignment="1">
      <alignment horizontal="center"/>
    </xf>
    <xf numFmtId="0" fontId="7" fillId="18" borderId="17" xfId="0" applyFont="1" applyFill="1" applyBorder="1" applyAlignment="1">
      <alignment horizontal="center"/>
    </xf>
    <xf numFmtId="0" fontId="7" fillId="18" borderId="21" xfId="0" applyFont="1" applyFill="1" applyBorder="1" applyAlignment="1">
      <alignment horizontal="center"/>
    </xf>
    <xf numFmtId="0" fontId="7" fillId="18" borderId="8" xfId="0" applyFont="1" applyFill="1" applyBorder="1" applyAlignment="1">
      <alignment horizontal="center"/>
    </xf>
    <xf numFmtId="0" fontId="7" fillId="18" borderId="25" xfId="0" applyFont="1" applyFill="1" applyBorder="1" applyAlignment="1">
      <alignment horizontal="center"/>
    </xf>
    <xf numFmtId="4" fontId="0" fillId="19" borderId="9" xfId="0" applyNumberFormat="1" applyFont="1" applyFill="1" applyBorder="1" applyAlignment="1">
      <alignment horizontal="center"/>
    </xf>
    <xf numFmtId="0" fontId="7" fillId="18" borderId="18" xfId="0" applyFont="1" applyFill="1" applyBorder="1" applyAlignment="1">
      <alignment horizontal="right"/>
    </xf>
    <xf numFmtId="0" fontId="7" fillId="119" borderId="1" xfId="0" applyNumberFormat="1" applyFont="1" applyFill="1" applyBorder="1" applyAlignment="1">
      <alignment horizontal="right"/>
    </xf>
    <xf numFmtId="0" fontId="7" fillId="120" borderId="1" xfId="0" applyNumberFormat="1" applyFont="1" applyFill="1" applyBorder="1" applyAlignment="1">
      <alignment horizontal="right"/>
    </xf>
    <xf numFmtId="0" fontId="7" fillId="18" borderId="30" xfId="0" applyFont="1" applyFill="1" applyBorder="1" applyAlignment="1">
      <alignment horizontal="right"/>
    </xf>
    <xf numFmtId="0" fontId="7" fillId="18" borderId="32" xfId="0" applyFont="1" applyFill="1" applyBorder="1" applyAlignment="1">
      <alignment horizontal="right"/>
    </xf>
    <xf numFmtId="4" fontId="0" fillId="0" borderId="17" xfId="0" applyNumberFormat="1" applyFont="1" applyFill="1" applyBorder="1" applyAlignment="1">
      <alignment horizontal="center"/>
    </xf>
    <xf numFmtId="0" fontId="0" fillId="3" borderId="7" xfId="0" applyFill="1" applyBorder="1" applyAlignment="1">
      <alignment horizontal="center"/>
    </xf>
    <xf numFmtId="0" fontId="0" fillId="3" borderId="6" xfId="0" applyFill="1" applyBorder="1" applyAlignment="1">
      <alignment horizontal="center"/>
    </xf>
    <xf numFmtId="4" fontId="0" fillId="3" borderId="9" xfId="0" applyNumberFormat="1" applyFill="1" applyBorder="1" applyAlignment="1">
      <alignment horizontal="center"/>
    </xf>
    <xf numFmtId="4" fontId="0" fillId="3" borderId="8" xfId="0" applyNumberFormat="1" applyFill="1" applyBorder="1" applyAlignment="1">
      <alignment horizontal="center"/>
    </xf>
    <xf numFmtId="170" fontId="6" fillId="0" borderId="2" xfId="0" applyNumberFormat="1" applyFont="1" applyFill="1" applyBorder="1" applyAlignment="1">
      <alignment horizontal="center"/>
    </xf>
    <xf numFmtId="170" fontId="6" fillId="3" borderId="2" xfId="0" applyNumberFormat="1" applyFont="1" applyFill="1" applyBorder="1" applyAlignment="1">
      <alignment horizontal="center"/>
    </xf>
    <xf numFmtId="0" fontId="7" fillId="17" borderId="20" xfId="0" applyFont="1" applyFill="1" applyBorder="1" applyAlignment="1">
      <alignment horizontal="center"/>
    </xf>
    <xf numFmtId="0" fontId="7" fillId="17" borderId="19" xfId="0" applyFont="1" applyFill="1" applyBorder="1" applyAlignment="1">
      <alignment horizontal="center"/>
    </xf>
    <xf numFmtId="4" fontId="6" fillId="0" borderId="6" xfId="0" applyNumberFormat="1" applyFont="1" applyFill="1" applyBorder="1" applyAlignment="1">
      <alignment horizontal="center"/>
    </xf>
    <xf numFmtId="4" fontId="0" fillId="19" borderId="17" xfId="0" applyNumberFormat="1" applyFont="1" applyFill="1" applyBorder="1" applyAlignment="1">
      <alignment horizontal="center"/>
    </xf>
    <xf numFmtId="4" fontId="0" fillId="0" borderId="7" xfId="0" applyNumberFormat="1" applyFont="1" applyBorder="1" applyAlignment="1">
      <alignment horizontal="center"/>
    </xf>
    <xf numFmtId="0" fontId="7" fillId="17" borderId="1" xfId="0" applyNumberFormat="1" applyFont="1" applyFill="1" applyBorder="1" applyAlignment="1">
      <alignment horizontal="right"/>
    </xf>
    <xf numFmtId="0" fontId="7" fillId="17" borderId="32" xfId="0" applyNumberFormat="1" applyFont="1" applyFill="1" applyBorder="1" applyAlignment="1">
      <alignment horizontal="right"/>
    </xf>
    <xf numFmtId="4" fontId="6" fillId="61" borderId="31" xfId="0" applyNumberFormat="1" applyFont="1" applyFill="1" applyBorder="1" applyAlignment="1">
      <alignment horizontal="center"/>
    </xf>
    <xf numFmtId="4" fontId="6" fillId="61" borderId="2" xfId="0" applyNumberFormat="1" applyFont="1" applyFill="1" applyBorder="1" applyAlignment="1">
      <alignment horizontal="center"/>
    </xf>
    <xf numFmtId="4" fontId="6" fillId="61" borderId="31" xfId="0" applyNumberFormat="1" applyFont="1" applyFill="1" applyBorder="1" applyAlignment="1">
      <alignment horizontal="center" vertical="center"/>
    </xf>
    <xf numFmtId="4" fontId="6" fillId="61" borderId="2" xfId="0" applyNumberFormat="1" applyFont="1" applyFill="1" applyBorder="1" applyAlignment="1">
      <alignment horizontal="center" vertical="center"/>
    </xf>
    <xf numFmtId="0" fontId="0" fillId="0" borderId="0" xfId="0" applyAlignment="1">
      <alignment vertical="center"/>
    </xf>
    <xf numFmtId="2" fontId="0" fillId="63" borderId="17" xfId="0" applyNumberFormat="1" applyFont="1" applyFill="1" applyBorder="1" applyAlignment="1">
      <alignment horizontal="center"/>
    </xf>
    <xf numFmtId="2" fontId="0" fillId="63" borderId="9" xfId="0" applyNumberFormat="1" applyFont="1" applyFill="1" applyBorder="1" applyAlignment="1">
      <alignment horizontal="center"/>
    </xf>
    <xf numFmtId="0" fontId="7" fillId="62" borderId="20" xfId="0" applyFont="1" applyFill="1" applyBorder="1" applyAlignment="1">
      <alignment horizontal="center"/>
    </xf>
    <xf numFmtId="0" fontId="7" fillId="62" borderId="22" xfId="0" applyFont="1" applyFill="1" applyBorder="1" applyAlignment="1">
      <alignment horizontal="center"/>
    </xf>
    <xf numFmtId="17" fontId="7" fillId="60" borderId="31" xfId="0" applyNumberFormat="1" applyFont="1" applyFill="1" applyBorder="1"/>
    <xf numFmtId="2" fontId="0" fillId="63" borderId="21" xfId="0" applyNumberFormat="1" applyFont="1" applyFill="1" applyBorder="1" applyAlignment="1">
      <alignment horizontal="center"/>
    </xf>
    <xf numFmtId="2" fontId="0" fillId="63" borderId="24" xfId="0" applyNumberFormat="1" applyFont="1" applyFill="1" applyBorder="1" applyAlignment="1">
      <alignment horizontal="center"/>
    </xf>
    <xf numFmtId="2" fontId="0" fillId="0" borderId="25" xfId="0" applyNumberFormat="1" applyFont="1" applyBorder="1" applyAlignment="1">
      <alignment horizontal="center"/>
    </xf>
    <xf numFmtId="0" fontId="44" fillId="0" borderId="0" xfId="0" applyFont="1" applyFill="1" applyAlignment="1"/>
    <xf numFmtId="0" fontId="5" fillId="0" borderId="0" xfId="0" applyFont="1" applyFill="1" applyBorder="1" applyAlignment="1"/>
    <xf numFmtId="0" fontId="0" fillId="0" borderId="0" xfId="0" applyFill="1" applyAlignment="1"/>
    <xf numFmtId="0" fontId="44" fillId="0" borderId="0" xfId="0" applyFont="1" applyFill="1" applyAlignment="1">
      <alignment vertical="center"/>
    </xf>
    <xf numFmtId="4" fontId="0" fillId="61" borderId="0" xfId="0" applyNumberFormat="1" applyFont="1" applyFill="1" applyBorder="1" applyAlignment="1">
      <alignment horizontal="center"/>
    </xf>
    <xf numFmtId="4" fontId="0" fillId="61" borderId="2" xfId="0" applyNumberFormat="1" applyFont="1" applyFill="1" applyBorder="1" applyAlignment="1">
      <alignment horizontal="center"/>
    </xf>
    <xf numFmtId="0" fontId="7" fillId="60" borderId="20" xfId="0" applyFont="1" applyFill="1" applyBorder="1" applyAlignment="1" applyProtection="1">
      <alignment horizontal="center"/>
    </xf>
    <xf numFmtId="0" fontId="7" fillId="60" borderId="19" xfId="0" applyFont="1" applyFill="1" applyBorder="1" applyAlignment="1" applyProtection="1">
      <alignment horizontal="center"/>
    </xf>
    <xf numFmtId="0" fontId="7" fillId="60" borderId="53" xfId="0" applyFont="1" applyFill="1" applyBorder="1" applyAlignment="1">
      <alignment horizontal="center" vertical="center" wrapText="1"/>
    </xf>
    <xf numFmtId="0" fontId="7" fillId="60" borderId="58" xfId="0" applyFont="1" applyFill="1" applyBorder="1" applyAlignment="1">
      <alignment horizontal="center" vertical="center" wrapText="1"/>
    </xf>
    <xf numFmtId="0" fontId="7" fillId="60" borderId="39" xfId="0" applyFont="1" applyFill="1" applyBorder="1" applyAlignment="1">
      <alignment horizontal="center" vertical="center"/>
    </xf>
    <xf numFmtId="4" fontId="6" fillId="10" borderId="7" xfId="0" applyNumberFormat="1" applyFont="1" applyFill="1" applyBorder="1" applyAlignment="1">
      <alignment horizontal="center"/>
    </xf>
    <xf numFmtId="4" fontId="6" fillId="10" borderId="2" xfId="0" applyNumberFormat="1" applyFont="1" applyFill="1" applyBorder="1" applyAlignment="1">
      <alignment horizontal="center"/>
    </xf>
    <xf numFmtId="0" fontId="11" fillId="0" borderId="34" xfId="0" applyFont="1" applyFill="1" applyBorder="1"/>
    <xf numFmtId="4" fontId="6" fillId="0" borderId="9" xfId="0" applyNumberFormat="1" applyFont="1" applyFill="1" applyBorder="1" applyAlignment="1">
      <alignment horizontal="center"/>
    </xf>
    <xf numFmtId="4" fontId="6" fillId="10" borderId="9" xfId="0" applyNumberFormat="1" applyFont="1" applyFill="1" applyBorder="1" applyAlignment="1">
      <alignment horizontal="center"/>
    </xf>
    <xf numFmtId="4" fontId="6" fillId="10" borderId="24" xfId="0" applyNumberFormat="1" applyFont="1" applyFill="1" applyBorder="1" applyAlignment="1">
      <alignment horizontal="center"/>
    </xf>
    <xf numFmtId="0" fontId="7" fillId="9" borderId="20" xfId="0" applyFont="1" applyFill="1" applyBorder="1" applyAlignment="1" applyProtection="1">
      <alignment horizontal="center"/>
    </xf>
    <xf numFmtId="0" fontId="7" fillId="9" borderId="19" xfId="0" applyFont="1" applyFill="1" applyBorder="1" applyAlignment="1" applyProtection="1">
      <alignment horizontal="center"/>
    </xf>
    <xf numFmtId="2" fontId="0" fillId="10" borderId="0" xfId="0" applyNumberFormat="1" applyFont="1" applyFill="1" applyBorder="1" applyAlignment="1">
      <alignment horizontal="center"/>
    </xf>
    <xf numFmtId="0" fontId="7" fillId="12" borderId="22" xfId="0" applyFont="1" applyFill="1" applyBorder="1" applyAlignment="1">
      <alignment horizontal="center"/>
    </xf>
    <xf numFmtId="4" fontId="0" fillId="11" borderId="24" xfId="0" applyNumberFormat="1" applyFont="1" applyFill="1" applyBorder="1" applyAlignment="1">
      <alignment horizontal="center"/>
    </xf>
    <xf numFmtId="0" fontId="7" fillId="12" borderId="20" xfId="0" applyFont="1" applyFill="1" applyBorder="1" applyAlignment="1">
      <alignment horizontal="center"/>
    </xf>
    <xf numFmtId="17" fontId="7" fillId="122" borderId="31" xfId="0" applyNumberFormat="1" applyFont="1" applyFill="1" applyBorder="1"/>
    <xf numFmtId="4" fontId="0" fillId="11" borderId="9" xfId="0" applyNumberFormat="1" applyFont="1" applyFill="1" applyBorder="1" applyAlignment="1">
      <alignment horizontal="center"/>
    </xf>
    <xf numFmtId="17" fontId="7" fillId="123" borderId="31" xfId="0" applyNumberFormat="1" applyFont="1" applyFill="1" applyBorder="1"/>
    <xf numFmtId="17" fontId="7" fillId="104" borderId="31" xfId="0" applyNumberFormat="1" applyFont="1" applyFill="1" applyBorder="1"/>
    <xf numFmtId="4" fontId="0" fillId="106" borderId="9" xfId="0" applyNumberFormat="1" applyFont="1" applyFill="1" applyBorder="1" applyAlignment="1">
      <alignment horizontal="center"/>
    </xf>
    <xf numFmtId="17" fontId="7" fillId="104" borderId="32" xfId="0" applyNumberFormat="1" applyFont="1" applyFill="1" applyBorder="1"/>
    <xf numFmtId="0" fontId="7" fillId="21" borderId="21" xfId="0" applyFont="1" applyFill="1" applyBorder="1" applyAlignment="1">
      <alignment horizontal="center" vertical="center"/>
    </xf>
    <xf numFmtId="0" fontId="7" fillId="21" borderId="30" xfId="0" applyFont="1" applyFill="1" applyBorder="1" applyAlignment="1">
      <alignment horizontal="center" vertical="center"/>
    </xf>
    <xf numFmtId="0" fontId="7" fillId="122" borderId="1" xfId="0" applyNumberFormat="1" applyFont="1" applyFill="1" applyBorder="1" applyAlignment="1">
      <alignment horizontal="right"/>
    </xf>
    <xf numFmtId="0" fontId="7" fillId="123" borderId="1" xfId="0" applyNumberFormat="1" applyFont="1" applyFill="1" applyBorder="1" applyAlignment="1">
      <alignment horizontal="right"/>
    </xf>
    <xf numFmtId="0" fontId="0" fillId="10" borderId="7" xfId="0" applyFill="1" applyBorder="1" applyAlignment="1">
      <alignment horizontal="center"/>
    </xf>
    <xf numFmtId="4" fontId="0" fillId="10" borderId="9" xfId="0" applyNumberFormat="1" applyFill="1" applyBorder="1" applyAlignment="1">
      <alignment horizontal="center"/>
    </xf>
    <xf numFmtId="0" fontId="0" fillId="10" borderId="6" xfId="0" applyFill="1" applyBorder="1" applyAlignment="1">
      <alignment horizontal="center"/>
    </xf>
    <xf numFmtId="4" fontId="0" fillId="10" borderId="8" xfId="0" applyNumberFormat="1" applyFill="1" applyBorder="1" applyAlignment="1">
      <alignment horizontal="center"/>
    </xf>
    <xf numFmtId="0" fontId="7" fillId="9" borderId="37" xfId="0" applyFont="1" applyFill="1" applyBorder="1"/>
    <xf numFmtId="0" fontId="7" fillId="9" borderId="33" xfId="0" applyFont="1" applyFill="1" applyBorder="1" applyAlignment="1">
      <alignment horizontal="center"/>
    </xf>
    <xf numFmtId="0" fontId="7" fillId="9" borderId="20" xfId="0" applyFont="1" applyFill="1" applyBorder="1" applyAlignment="1">
      <alignment horizontal="center"/>
    </xf>
    <xf numFmtId="0" fontId="7" fillId="9" borderId="19" xfId="0" applyFont="1" applyFill="1" applyBorder="1" applyAlignment="1">
      <alignment horizontal="center"/>
    </xf>
    <xf numFmtId="0" fontId="0" fillId="10" borderId="31" xfId="0" applyFill="1" applyBorder="1"/>
    <xf numFmtId="10" fontId="0" fillId="10" borderId="2" xfId="0" applyNumberFormat="1" applyFill="1" applyBorder="1" applyAlignment="1">
      <alignment horizontal="center"/>
    </xf>
    <xf numFmtId="167" fontId="0" fillId="10" borderId="2" xfId="0" applyNumberFormat="1" applyFill="1" applyBorder="1" applyAlignment="1">
      <alignment horizontal="center"/>
    </xf>
    <xf numFmtId="0" fontId="0" fillId="10" borderId="32" xfId="0" applyFill="1" applyBorder="1"/>
    <xf numFmtId="167" fontId="0" fillId="10" borderId="5" xfId="0" applyNumberFormat="1" applyFill="1" applyBorder="1" applyAlignment="1">
      <alignment horizontal="center"/>
    </xf>
    <xf numFmtId="0" fontId="7" fillId="17" borderId="33" xfId="0" applyFont="1" applyFill="1" applyBorder="1" applyAlignment="1">
      <alignment horizontal="center"/>
    </xf>
    <xf numFmtId="4" fontId="7" fillId="17" borderId="20" xfId="0" applyNumberFormat="1" applyFont="1" applyFill="1" applyBorder="1" applyAlignment="1">
      <alignment horizontal="center"/>
    </xf>
    <xf numFmtId="0" fontId="0" fillId="3" borderId="31" xfId="0" applyFill="1" applyBorder="1"/>
    <xf numFmtId="167" fontId="0" fillId="3" borderId="2" xfId="0" applyNumberFormat="1" applyFill="1" applyBorder="1" applyAlignment="1">
      <alignment horizontal="center"/>
    </xf>
    <xf numFmtId="0" fontId="0" fillId="3" borderId="32" xfId="0" applyFill="1" applyBorder="1"/>
    <xf numFmtId="167" fontId="0" fillId="3" borderId="5" xfId="0" applyNumberFormat="1" applyFill="1" applyBorder="1" applyAlignment="1">
      <alignment horizontal="center"/>
    </xf>
    <xf numFmtId="0" fontId="5" fillId="7" borderId="3" xfId="0" applyFont="1" applyFill="1" applyBorder="1"/>
    <xf numFmtId="0" fontId="5" fillId="7" borderId="4" xfId="0" applyFont="1" applyFill="1" applyBorder="1" applyAlignment="1">
      <alignment horizontal="center"/>
    </xf>
    <xf numFmtId="4" fontId="5" fillId="7" borderId="4" xfId="0" applyNumberFormat="1" applyFont="1" applyFill="1" applyBorder="1" applyAlignment="1">
      <alignment horizontal="center"/>
    </xf>
    <xf numFmtId="0" fontId="5" fillId="7" borderId="5" xfId="0" applyFont="1" applyFill="1" applyBorder="1" applyAlignment="1">
      <alignment horizontal="center"/>
    </xf>
    <xf numFmtId="0" fontId="0" fillId="0" borderId="32" xfId="0" applyFill="1" applyBorder="1"/>
    <xf numFmtId="2" fontId="0" fillId="11" borderId="17" xfId="0" applyNumberFormat="1" applyFont="1" applyFill="1" applyBorder="1" applyAlignment="1">
      <alignment horizontal="center"/>
    </xf>
    <xf numFmtId="2" fontId="0" fillId="11" borderId="9" xfId="0" applyNumberFormat="1" applyFont="1" applyFill="1" applyBorder="1" applyAlignment="1">
      <alignment horizontal="center"/>
    </xf>
    <xf numFmtId="0" fontId="0" fillId="11" borderId="21" xfId="0" applyFont="1" applyFill="1" applyBorder="1" applyAlignment="1">
      <alignment horizontal="center"/>
    </xf>
    <xf numFmtId="0" fontId="7" fillId="9" borderId="31" xfId="0" applyNumberFormat="1" applyFont="1" applyFill="1" applyBorder="1"/>
    <xf numFmtId="0" fontId="0" fillId="0" borderId="24" xfId="0" applyFont="1" applyBorder="1" applyAlignment="1">
      <alignment horizontal="center"/>
    </xf>
    <xf numFmtId="0" fontId="0" fillId="11" borderId="24" xfId="0" applyFont="1" applyFill="1" applyBorder="1" applyAlignment="1">
      <alignment horizontal="center"/>
    </xf>
    <xf numFmtId="0" fontId="0" fillId="0" borderId="25" xfId="0" applyFont="1" applyBorder="1" applyAlignment="1">
      <alignment horizontal="center"/>
    </xf>
    <xf numFmtId="0" fontId="7" fillId="18" borderId="26" xfId="0" applyFont="1" applyFill="1" applyBorder="1" applyAlignment="1">
      <alignment horizontal="center"/>
    </xf>
    <xf numFmtId="0" fontId="7" fillId="18" borderId="19" xfId="0" applyFont="1" applyFill="1" applyBorder="1" applyAlignment="1">
      <alignment horizontal="center"/>
    </xf>
    <xf numFmtId="4" fontId="0" fillId="19" borderId="28" xfId="0" applyNumberFormat="1" applyFont="1" applyFill="1" applyBorder="1" applyAlignment="1">
      <alignment horizontal="center"/>
    </xf>
    <xf numFmtId="170" fontId="0" fillId="0" borderId="2" xfId="0" applyNumberFormat="1" applyFont="1" applyBorder="1" applyAlignment="1">
      <alignment horizontal="center"/>
    </xf>
    <xf numFmtId="170" fontId="0" fillId="19" borderId="2" xfId="0" applyNumberFormat="1" applyFont="1" applyFill="1" applyBorder="1" applyAlignment="1">
      <alignment horizontal="center"/>
    </xf>
    <xf numFmtId="170" fontId="0" fillId="0" borderId="5" xfId="0" applyNumberFormat="1" applyFont="1" applyBorder="1" applyAlignment="1">
      <alignment horizontal="center"/>
    </xf>
    <xf numFmtId="0" fontId="7" fillId="24" borderId="33" xfId="0" applyFont="1" applyFill="1" applyBorder="1" applyAlignment="1">
      <alignment horizontal="center"/>
    </xf>
    <xf numFmtId="0" fontId="7" fillId="24" borderId="20" xfId="0" applyFont="1" applyFill="1" applyBorder="1" applyAlignment="1">
      <alignment horizontal="center"/>
    </xf>
    <xf numFmtId="4" fontId="6" fillId="0" borderId="30" xfId="0" applyNumberFormat="1" applyFont="1" applyFill="1" applyBorder="1" applyAlignment="1">
      <alignment horizontal="center"/>
    </xf>
    <xf numFmtId="4" fontId="6" fillId="2" borderId="7" xfId="0" applyNumberFormat="1" applyFont="1" applyFill="1" applyBorder="1" applyAlignment="1">
      <alignment horizontal="center"/>
    </xf>
    <xf numFmtId="4" fontId="6" fillId="2" borderId="2" xfId="0" applyNumberFormat="1" applyFont="1" applyFill="1" applyBorder="1" applyAlignment="1">
      <alignment horizontal="center"/>
    </xf>
    <xf numFmtId="4" fontId="6" fillId="2" borderId="31" xfId="0" applyNumberFormat="1" applyFont="1" applyFill="1" applyBorder="1" applyAlignment="1">
      <alignment horizontal="center"/>
    </xf>
    <xf numFmtId="0" fontId="7" fillId="26" borderId="54" xfId="0" applyFont="1" applyFill="1" applyBorder="1" applyAlignment="1" applyProtection="1">
      <alignment horizontal="right"/>
    </xf>
    <xf numFmtId="49" fontId="7" fillId="24" borderId="23" xfId="0" applyNumberFormat="1" applyFont="1" applyFill="1" applyBorder="1" applyAlignment="1">
      <alignment horizontal="right"/>
    </xf>
    <xf numFmtId="49" fontId="7" fillId="24" borderId="1" xfId="0" applyNumberFormat="1" applyFont="1" applyFill="1" applyBorder="1" applyAlignment="1">
      <alignment horizontal="right"/>
    </xf>
    <xf numFmtId="0" fontId="7" fillId="26" borderId="18" xfId="0" applyFont="1" applyFill="1" applyBorder="1" applyAlignment="1">
      <alignment horizontal="right"/>
    </xf>
    <xf numFmtId="0" fontId="7" fillId="26" borderId="37" xfId="0" applyFont="1" applyFill="1" applyBorder="1" applyAlignment="1">
      <alignment horizontal="right"/>
    </xf>
    <xf numFmtId="17" fontId="7" fillId="24" borderId="30" xfId="0" applyNumberFormat="1" applyFont="1" applyFill="1" applyBorder="1"/>
    <xf numFmtId="17" fontId="7" fillId="24" borderId="31" xfId="0" applyNumberFormat="1" applyFont="1" applyFill="1" applyBorder="1"/>
    <xf numFmtId="17" fontId="7" fillId="24" borderId="32" xfId="0" applyNumberFormat="1" applyFont="1" applyFill="1" applyBorder="1"/>
    <xf numFmtId="0" fontId="9" fillId="24" borderId="30" xfId="0" applyFont="1" applyFill="1" applyBorder="1" applyAlignment="1">
      <alignment horizontal="center"/>
    </xf>
    <xf numFmtId="0" fontId="7" fillId="24" borderId="78" xfId="0" applyFont="1" applyFill="1" applyBorder="1" applyAlignment="1">
      <alignment horizontal="right"/>
    </xf>
    <xf numFmtId="4" fontId="6" fillId="2" borderId="6" xfId="0" applyNumberFormat="1" applyFont="1" applyFill="1" applyBorder="1" applyAlignment="1">
      <alignment horizontal="center"/>
    </xf>
    <xf numFmtId="4" fontId="6" fillId="2" borderId="5" xfId="0" applyNumberFormat="1" applyFont="1" applyFill="1" applyBorder="1" applyAlignment="1">
      <alignment horizontal="center"/>
    </xf>
    <xf numFmtId="0" fontId="7" fillId="124" borderId="37" xfId="0" applyFont="1" applyFill="1" applyBorder="1" applyAlignment="1">
      <alignment horizontal="right"/>
    </xf>
    <xf numFmtId="0" fontId="7" fillId="26" borderId="20" xfId="0" applyFont="1" applyFill="1" applyBorder="1" applyAlignment="1">
      <alignment horizontal="center"/>
    </xf>
    <xf numFmtId="0" fontId="7" fillId="26" borderId="22" xfId="0" applyFont="1" applyFill="1" applyBorder="1" applyAlignment="1">
      <alignment horizontal="center"/>
    </xf>
    <xf numFmtId="4" fontId="0" fillId="25" borderId="17" xfId="42" applyNumberFormat="1" applyFont="1" applyFill="1" applyBorder="1" applyAlignment="1">
      <alignment horizontal="center"/>
    </xf>
    <xf numFmtId="4" fontId="0" fillId="0" borderId="9" xfId="42" applyNumberFormat="1" applyFont="1" applyBorder="1" applyAlignment="1">
      <alignment horizontal="center"/>
    </xf>
    <xf numFmtId="4" fontId="0" fillId="25" borderId="9" xfId="42" applyNumberFormat="1" applyFont="1" applyFill="1" applyBorder="1" applyAlignment="1">
      <alignment horizontal="center"/>
    </xf>
    <xf numFmtId="17" fontId="7" fillId="125" borderId="30" xfId="0" applyNumberFormat="1" applyFont="1" applyFill="1" applyBorder="1"/>
    <xf numFmtId="17" fontId="7" fillId="126" borderId="31" xfId="0" applyNumberFormat="1" applyFont="1" applyFill="1" applyBorder="1"/>
    <xf numFmtId="17" fontId="7" fillId="125" borderId="31" xfId="0" applyNumberFormat="1" applyFont="1" applyFill="1" applyBorder="1"/>
    <xf numFmtId="17" fontId="7" fillId="126" borderId="32" xfId="0" applyNumberFormat="1" applyFont="1" applyFill="1" applyBorder="1"/>
    <xf numFmtId="189" fontId="0" fillId="0" borderId="17" xfId="0" applyNumberFormat="1" applyFont="1" applyBorder="1" applyAlignment="1">
      <alignment horizontal="center"/>
    </xf>
    <xf numFmtId="189" fontId="0" fillId="0" borderId="21" xfId="0" applyNumberFormat="1" applyFont="1" applyBorder="1" applyAlignment="1">
      <alignment horizontal="center"/>
    </xf>
    <xf numFmtId="189" fontId="0" fillId="2" borderId="9" xfId="0" applyNumberFormat="1" applyFont="1" applyFill="1" applyBorder="1" applyAlignment="1">
      <alignment horizontal="center"/>
    </xf>
    <xf numFmtId="189" fontId="0" fillId="2" borderId="24" xfId="0" applyNumberFormat="1" applyFont="1" applyFill="1" applyBorder="1" applyAlignment="1">
      <alignment horizontal="center"/>
    </xf>
    <xf numFmtId="189" fontId="0" fillId="0" borderId="9" xfId="0" applyNumberFormat="1" applyFont="1" applyBorder="1" applyAlignment="1">
      <alignment horizontal="center"/>
    </xf>
    <xf numFmtId="189" fontId="0" fillId="0" borderId="24" xfId="0" applyNumberFormat="1" applyFont="1" applyBorder="1" applyAlignment="1">
      <alignment horizontal="center"/>
    </xf>
    <xf numFmtId="189" fontId="0" fillId="2" borderId="8" xfId="0" applyNumberFormat="1" applyFont="1" applyFill="1" applyBorder="1" applyAlignment="1">
      <alignment horizontal="center"/>
    </xf>
    <xf numFmtId="189" fontId="0" fillId="2" borderId="25" xfId="0" applyNumberFormat="1" applyFont="1" applyFill="1" applyBorder="1" applyAlignment="1">
      <alignment horizontal="center"/>
    </xf>
    <xf numFmtId="4" fontId="0" fillId="2" borderId="0" xfId="0" applyNumberFormat="1" applyFont="1" applyFill="1" applyBorder="1" applyAlignment="1">
      <alignment horizontal="center"/>
    </xf>
    <xf numFmtId="4" fontId="0" fillId="2" borderId="2" xfId="0" applyNumberFormat="1" applyFont="1" applyFill="1" applyBorder="1" applyAlignment="1">
      <alignment horizontal="center"/>
    </xf>
    <xf numFmtId="166" fontId="11" fillId="0" borderId="34" xfId="0" applyNumberFormat="1" applyFont="1" applyFill="1" applyBorder="1"/>
    <xf numFmtId="166" fontId="11" fillId="0" borderId="0" xfId="0" applyNumberFormat="1" applyFont="1" applyFill="1" applyBorder="1"/>
    <xf numFmtId="4" fontId="0" fillId="25" borderId="36" xfId="0" applyNumberFormat="1" applyFont="1" applyFill="1" applyBorder="1" applyAlignment="1">
      <alignment horizontal="center"/>
    </xf>
    <xf numFmtId="4" fontId="0" fillId="25" borderId="7" xfId="0" applyNumberFormat="1" applyFont="1" applyFill="1" applyBorder="1" applyAlignment="1">
      <alignment horizontal="center"/>
    </xf>
    <xf numFmtId="4" fontId="0" fillId="0" borderId="55" xfId="42" applyNumberFormat="1" applyFont="1" applyBorder="1" applyAlignment="1">
      <alignment horizontal="center"/>
    </xf>
    <xf numFmtId="4" fontId="0" fillId="0" borderId="12" xfId="0" applyNumberFormat="1" applyFont="1" applyBorder="1" applyAlignment="1">
      <alignment horizontal="center"/>
    </xf>
    <xf numFmtId="4" fontId="6" fillId="0" borderId="14" xfId="89" applyNumberFormat="1" applyFont="1" applyBorder="1" applyAlignment="1">
      <alignment horizontal="center"/>
    </xf>
    <xf numFmtId="4" fontId="6" fillId="0" borderId="2" xfId="89" applyNumberFormat="1" applyFont="1" applyBorder="1" applyAlignment="1">
      <alignment horizontal="center"/>
    </xf>
    <xf numFmtId="4" fontId="6" fillId="2" borderId="14" xfId="89" applyNumberFormat="1" applyFont="1" applyFill="1" applyBorder="1" applyAlignment="1">
      <alignment horizontal="center"/>
    </xf>
    <xf numFmtId="4" fontId="6" fillId="2" borderId="2" xfId="89" applyNumberFormat="1" applyFont="1" applyFill="1" applyBorder="1" applyAlignment="1">
      <alignment horizontal="center"/>
    </xf>
    <xf numFmtId="0" fontId="7" fillId="24" borderId="18" xfId="0" applyFont="1" applyFill="1" applyBorder="1" applyAlignment="1">
      <alignment horizontal="right" vertical="center"/>
    </xf>
    <xf numFmtId="0" fontId="7" fillId="24" borderId="1" xfId="0" applyFont="1" applyFill="1" applyBorder="1" applyAlignment="1">
      <alignment horizontal="right"/>
    </xf>
    <xf numFmtId="0" fontId="7" fillId="24" borderId="3" xfId="0" applyFont="1" applyFill="1" applyBorder="1" applyAlignment="1">
      <alignment horizontal="right"/>
    </xf>
    <xf numFmtId="4" fontId="6" fillId="0" borderId="9" xfId="0" applyNumberFormat="1" applyFont="1" applyBorder="1" applyAlignment="1">
      <alignment horizontal="center"/>
    </xf>
    <xf numFmtId="4" fontId="6" fillId="0" borderId="0" xfId="0" applyNumberFormat="1" applyFont="1" applyBorder="1" applyAlignment="1">
      <alignment horizontal="center"/>
    </xf>
    <xf numFmtId="4" fontId="6" fillId="2" borderId="9" xfId="0" applyNumberFormat="1" applyFont="1" applyFill="1" applyBorder="1" applyAlignment="1">
      <alignment horizontal="center"/>
    </xf>
    <xf numFmtId="4" fontId="6" fillId="2" borderId="0" xfId="0" applyNumberFormat="1" applyFont="1" applyFill="1" applyBorder="1" applyAlignment="1">
      <alignment horizontal="center"/>
    </xf>
    <xf numFmtId="4" fontId="1" fillId="0" borderId="9" xfId="0" applyNumberFormat="1" applyFont="1" applyBorder="1" applyAlignment="1">
      <alignment horizontal="center"/>
    </xf>
    <xf numFmtId="4" fontId="6" fillId="0" borderId="2" xfId="0" applyNumberFormat="1" applyFont="1" applyBorder="1" applyAlignment="1">
      <alignment horizontal="center"/>
    </xf>
    <xf numFmtId="4" fontId="1" fillId="2" borderId="9" xfId="0" applyNumberFormat="1" applyFont="1" applyFill="1" applyBorder="1" applyAlignment="1">
      <alignment horizontal="center"/>
    </xf>
    <xf numFmtId="4" fontId="0" fillId="2" borderId="9" xfId="0" applyNumberFormat="1" applyFill="1" applyBorder="1" applyAlignment="1">
      <alignment horizontal="center"/>
    </xf>
    <xf numFmtId="4" fontId="0" fillId="2" borderId="2" xfId="0" applyNumberFormat="1" applyFill="1" applyBorder="1" applyAlignment="1">
      <alignment horizontal="center"/>
    </xf>
    <xf numFmtId="4" fontId="0" fillId="0" borderId="2" xfId="0" applyNumberFormat="1" applyFill="1" applyBorder="1" applyAlignment="1">
      <alignment horizontal="center"/>
    </xf>
    <xf numFmtId="4" fontId="0" fillId="2" borderId="8" xfId="0" applyNumberFormat="1" applyFill="1" applyBorder="1" applyAlignment="1">
      <alignment horizontal="center"/>
    </xf>
    <xf numFmtId="4" fontId="0" fillId="25" borderId="24" xfId="0" applyNumberFormat="1" applyFont="1" applyFill="1" applyBorder="1" applyAlignment="1">
      <alignment horizontal="center"/>
    </xf>
    <xf numFmtId="0" fontId="7" fillId="126" borderId="1" xfId="0" applyNumberFormat="1" applyFont="1" applyFill="1" applyBorder="1" applyAlignment="1">
      <alignment horizontal="right"/>
    </xf>
    <xf numFmtId="0" fontId="7" fillId="125" borderId="1" xfId="0" applyNumberFormat="1" applyFont="1" applyFill="1" applyBorder="1" applyAlignment="1">
      <alignment horizontal="right"/>
    </xf>
    <xf numFmtId="0" fontId="0" fillId="2" borderId="7" xfId="0" applyFill="1" applyBorder="1" applyAlignment="1">
      <alignment horizontal="center"/>
    </xf>
    <xf numFmtId="0" fontId="0" fillId="2" borderId="6" xfId="0" applyFill="1" applyBorder="1" applyAlignment="1">
      <alignment horizontal="center"/>
    </xf>
    <xf numFmtId="0" fontId="7" fillId="24" borderId="37" xfId="0" applyFont="1" applyFill="1" applyBorder="1"/>
    <xf numFmtId="0" fontId="0" fillId="2" borderId="31" xfId="0" applyFill="1" applyBorder="1"/>
    <xf numFmtId="167" fontId="0" fillId="2" borderId="2" xfId="0" applyNumberFormat="1" applyFill="1" applyBorder="1" applyAlignment="1">
      <alignment horizontal="center"/>
    </xf>
    <xf numFmtId="0" fontId="0" fillId="2" borderId="32" xfId="0" applyFill="1" applyBorder="1"/>
    <xf numFmtId="167" fontId="0" fillId="2" borderId="25" xfId="90" applyNumberFormat="1" applyFont="1" applyFill="1" applyBorder="1" applyAlignment="1">
      <alignment horizontal="center"/>
    </xf>
    <xf numFmtId="0" fontId="0" fillId="7" borderId="5" xfId="0" applyFill="1" applyBorder="1" applyAlignment="1">
      <alignment horizontal="center"/>
    </xf>
    <xf numFmtId="4" fontId="6" fillId="101" borderId="7" xfId="0" applyNumberFormat="1" applyFont="1" applyFill="1" applyBorder="1" applyAlignment="1">
      <alignment horizontal="center"/>
    </xf>
    <xf numFmtId="0" fontId="7" fillId="125" borderId="23" xfId="0" applyNumberFormat="1" applyFont="1" applyFill="1" applyBorder="1"/>
    <xf numFmtId="0" fontId="7" fillId="126" borderId="1" xfId="0" applyNumberFormat="1" applyFont="1" applyFill="1" applyBorder="1"/>
    <xf numFmtId="0" fontId="7" fillId="125" borderId="1" xfId="0" applyNumberFormat="1" applyFont="1" applyFill="1" applyBorder="1"/>
    <xf numFmtId="0" fontId="7" fillId="126" borderId="3" xfId="0" applyNumberFormat="1" applyFont="1" applyFill="1" applyBorder="1"/>
    <xf numFmtId="0" fontId="7" fillId="30" borderId="19" xfId="0" applyFont="1" applyFill="1" applyBorder="1" applyAlignment="1">
      <alignment horizontal="center"/>
    </xf>
    <xf numFmtId="4" fontId="7" fillId="30" borderId="26" xfId="0" applyNumberFormat="1" applyFont="1" applyFill="1" applyBorder="1" applyAlignment="1">
      <alignment horizontal="center"/>
    </xf>
    <xf numFmtId="4" fontId="0" fillId="2" borderId="7" xfId="0" applyNumberFormat="1" applyFont="1" applyFill="1" applyBorder="1" applyAlignment="1">
      <alignment horizontal="center"/>
    </xf>
    <xf numFmtId="0" fontId="7" fillId="30" borderId="18" xfId="0" applyFont="1" applyFill="1" applyBorder="1" applyAlignment="1">
      <alignment horizontal="right"/>
    </xf>
    <xf numFmtId="0" fontId="7" fillId="24" borderId="23" xfId="0" applyFont="1" applyFill="1" applyBorder="1" applyAlignment="1">
      <alignment horizontal="right" wrapText="1"/>
    </xf>
    <xf numFmtId="0" fontId="7" fillId="24" borderId="1" xfId="0" applyFont="1" applyFill="1" applyBorder="1" applyAlignment="1">
      <alignment horizontal="right" wrapText="1"/>
    </xf>
    <xf numFmtId="0" fontId="7" fillId="24" borderId="3" xfId="0" applyFont="1" applyFill="1" applyBorder="1" applyAlignment="1">
      <alignment horizontal="right" wrapText="1"/>
    </xf>
    <xf numFmtId="179" fontId="7" fillId="24" borderId="1" xfId="0" applyNumberFormat="1" applyFont="1" applyFill="1" applyBorder="1" applyAlignment="1">
      <alignment horizontal="right"/>
    </xf>
    <xf numFmtId="179" fontId="7" fillId="24" borderId="1" xfId="0" applyNumberFormat="1" applyFont="1" applyFill="1" applyBorder="1" applyAlignment="1">
      <alignment horizontal="right" wrapText="1"/>
    </xf>
    <xf numFmtId="167" fontId="6" fillId="29" borderId="71" xfId="0" applyNumberFormat="1" applyFont="1" applyFill="1" applyBorder="1" applyAlignment="1">
      <alignment horizontal="center"/>
    </xf>
    <xf numFmtId="0" fontId="7" fillId="24" borderId="1" xfId="0" applyFont="1" applyFill="1" applyBorder="1" applyAlignment="1">
      <alignment horizontal="right" indent="1"/>
    </xf>
    <xf numFmtId="187" fontId="104" fillId="0" borderId="0" xfId="0" applyNumberFormat="1" applyFont="1" applyFill="1" applyBorder="1" applyAlignment="1">
      <alignment horizontal="right"/>
    </xf>
    <xf numFmtId="0" fontId="63" fillId="0" borderId="0" xfId="0" applyFont="1" applyFill="1" applyAlignment="1">
      <alignment horizontal="left" vertical="top"/>
    </xf>
    <xf numFmtId="0" fontId="123" fillId="0" borderId="0" xfId="0" applyFont="1"/>
    <xf numFmtId="0" fontId="122" fillId="0" borderId="0" xfId="0" applyFont="1"/>
    <xf numFmtId="0" fontId="124" fillId="0" borderId="0" xfId="0" applyFont="1"/>
    <xf numFmtId="0" fontId="9" fillId="0" borderId="0" xfId="0" applyFont="1" applyAlignment="1">
      <alignment horizontal="center"/>
    </xf>
    <xf numFmtId="0" fontId="9" fillId="2" borderId="0" xfId="0" applyFont="1" applyFill="1" applyBorder="1" applyAlignment="1" applyProtection="1">
      <alignment horizontal="center"/>
    </xf>
    <xf numFmtId="0" fontId="9" fillId="27" borderId="0" xfId="0" applyFont="1" applyFill="1" applyBorder="1" applyAlignment="1" applyProtection="1">
      <alignment horizontal="center"/>
    </xf>
    <xf numFmtId="0" fontId="5" fillId="0" borderId="0" xfId="0" applyFont="1" applyAlignment="1">
      <alignment horizontal="center" vertical="center"/>
    </xf>
    <xf numFmtId="4" fontId="0" fillId="6" borderId="0" xfId="0" applyNumberFormat="1" applyFont="1" applyFill="1" applyAlignment="1">
      <alignment horizontal="center"/>
    </xf>
    <xf numFmtId="4" fontId="6" fillId="27" borderId="0" xfId="0" applyNumberFormat="1" applyFont="1" applyFill="1" applyAlignment="1">
      <alignment horizontal="center"/>
    </xf>
    <xf numFmtId="4" fontId="6" fillId="13" borderId="0" xfId="0" applyNumberFormat="1" applyFont="1" applyFill="1" applyAlignment="1">
      <alignment horizontal="center"/>
    </xf>
    <xf numFmtId="4" fontId="0" fillId="13" borderId="0" xfId="0" applyNumberFormat="1" applyFont="1" applyFill="1" applyAlignment="1">
      <alignment horizontal="center"/>
    </xf>
    <xf numFmtId="4" fontId="6" fillId="52" borderId="0" xfId="0" applyNumberFormat="1" applyFont="1" applyFill="1" applyBorder="1" applyAlignment="1" applyProtection="1">
      <alignment horizontal="center"/>
    </xf>
    <xf numFmtId="4" fontId="0" fillId="28" borderId="0" xfId="0" applyNumberFormat="1" applyFont="1" applyFill="1" applyAlignment="1">
      <alignment horizontal="center"/>
    </xf>
    <xf numFmtId="4" fontId="0" fillId="3" borderId="0" xfId="0" applyNumberFormat="1" applyFont="1" applyFill="1" applyAlignment="1">
      <alignment horizontal="center"/>
    </xf>
    <xf numFmtId="4" fontId="0" fillId="61" borderId="0" xfId="0" applyNumberFormat="1" applyFont="1" applyFill="1" applyAlignment="1">
      <alignment horizontal="center"/>
    </xf>
    <xf numFmtId="4" fontId="0" fillId="103" borderId="0" xfId="0" applyNumberFormat="1" applyFont="1" applyFill="1" applyAlignment="1">
      <alignment horizontal="center"/>
    </xf>
    <xf numFmtId="4" fontId="0" fillId="0" borderId="0" xfId="0" applyNumberFormat="1" applyFont="1" applyFill="1" applyAlignment="1">
      <alignment horizontal="center"/>
    </xf>
    <xf numFmtId="4" fontId="6" fillId="0" borderId="0" xfId="0" applyNumberFormat="1" applyFont="1" applyFill="1" applyAlignment="1">
      <alignment horizontal="center"/>
    </xf>
    <xf numFmtId="4" fontId="6" fillId="0" borderId="0" xfId="0" applyNumberFormat="1" applyFont="1" applyFill="1" applyBorder="1" applyAlignment="1" applyProtection="1">
      <alignment horizontal="center"/>
    </xf>
    <xf numFmtId="4" fontId="0" fillId="0" borderId="0" xfId="0" applyNumberFormat="1" applyFill="1" applyBorder="1" applyAlignment="1">
      <alignment horizontal="center"/>
    </xf>
    <xf numFmtId="4" fontId="0" fillId="0" borderId="0" xfId="0" applyNumberFormat="1" applyAlignment="1">
      <alignment horizontal="center"/>
    </xf>
    <xf numFmtId="4" fontId="0" fillId="0" borderId="0" xfId="0" applyNumberFormat="1" applyFill="1" applyAlignment="1">
      <alignment horizontal="center"/>
    </xf>
    <xf numFmtId="4" fontId="0" fillId="52" borderId="0" xfId="0" applyNumberFormat="1" applyFill="1" applyAlignment="1">
      <alignment horizontal="center"/>
    </xf>
    <xf numFmtId="17" fontId="5" fillId="0" borderId="0" xfId="0" applyNumberFormat="1" applyFont="1" applyFill="1" applyAlignment="1">
      <alignment horizontal="right"/>
    </xf>
    <xf numFmtId="17" fontId="9" fillId="0" borderId="0" xfId="0" applyNumberFormat="1" applyFont="1" applyFill="1" applyAlignment="1">
      <alignment horizontal="right" vertical="center"/>
    </xf>
    <xf numFmtId="3" fontId="9" fillId="27" borderId="0" xfId="0" applyNumberFormat="1" applyFont="1" applyFill="1" applyBorder="1" applyAlignment="1" applyProtection="1">
      <alignment horizontal="center"/>
    </xf>
    <xf numFmtId="3" fontId="9" fillId="27" borderId="0" xfId="0" applyNumberFormat="1" applyFont="1" applyFill="1" applyBorder="1" applyAlignment="1">
      <alignment horizontal="center"/>
    </xf>
    <xf numFmtId="3" fontId="9" fillId="27" borderId="0" xfId="0" applyNumberFormat="1" applyFont="1" applyFill="1" applyBorder="1" applyAlignment="1" applyProtection="1">
      <alignment horizontal="right"/>
    </xf>
    <xf numFmtId="0" fontId="37" fillId="27" borderId="0" xfId="0" applyFont="1" applyFill="1" applyBorder="1" applyAlignment="1" applyProtection="1">
      <alignment horizontal="left"/>
    </xf>
    <xf numFmtId="0" fontId="120" fillId="0" borderId="0" xfId="0" applyFont="1" applyFill="1"/>
    <xf numFmtId="3" fontId="92" fillId="2" borderId="0" xfId="0" applyNumberFormat="1" applyFont="1" applyFill="1" applyBorder="1" applyAlignment="1" applyProtection="1">
      <alignment horizontal="center"/>
    </xf>
    <xf numFmtId="0" fontId="9" fillId="2" borderId="0" xfId="0" applyFont="1" applyFill="1" applyAlignment="1">
      <alignment horizontal="center"/>
    </xf>
    <xf numFmtId="166" fontId="9" fillId="2" borderId="0" xfId="0" applyNumberFormat="1" applyFont="1" applyFill="1" applyAlignment="1">
      <alignment horizontal="right"/>
    </xf>
    <xf numFmtId="166" fontId="9" fillId="2" borderId="0" xfId="0" applyNumberFormat="1" applyFont="1" applyFill="1" applyBorder="1" applyAlignment="1" applyProtection="1">
      <alignment horizontal="right"/>
    </xf>
    <xf numFmtId="0" fontId="40" fillId="2" borderId="0" xfId="0" applyFont="1" applyFill="1" applyBorder="1" applyAlignment="1" applyProtection="1">
      <alignment horizontal="right"/>
    </xf>
    <xf numFmtId="3" fontId="41" fillId="2" borderId="0" xfId="0" applyNumberFormat="1" applyFont="1" applyFill="1" applyBorder="1" applyAlignment="1" applyProtection="1">
      <alignment horizontal="right"/>
    </xf>
    <xf numFmtId="3" fontId="6" fillId="2" borderId="0" xfId="0" applyNumberFormat="1" applyFont="1" applyFill="1" applyAlignment="1">
      <alignment horizontal="right"/>
    </xf>
    <xf numFmtId="166" fontId="40" fillId="2" borderId="0" xfId="0" applyNumberFormat="1" applyFont="1" applyFill="1" applyBorder="1" applyAlignment="1" applyProtection="1">
      <alignment horizontal="right"/>
    </xf>
    <xf numFmtId="4" fontId="2" fillId="0" borderId="1" xfId="0" applyNumberFormat="1" applyFont="1" applyBorder="1" applyAlignment="1">
      <alignment horizontal="center"/>
    </xf>
    <xf numFmtId="4" fontId="2" fillId="0" borderId="1" xfId="0" applyNumberFormat="1" applyFont="1" applyFill="1" applyBorder="1" applyAlignment="1">
      <alignment horizontal="center"/>
    </xf>
    <xf numFmtId="4" fontId="2" fillId="102" borderId="18" xfId="0" applyNumberFormat="1" applyFont="1" applyFill="1" applyBorder="1" applyAlignment="1">
      <alignment horizontal="center"/>
    </xf>
    <xf numFmtId="4" fontId="2" fillId="29" borderId="3" xfId="0" applyNumberFormat="1" applyFont="1" applyFill="1" applyBorder="1" applyAlignment="1">
      <alignment horizontal="center"/>
    </xf>
    <xf numFmtId="4" fontId="2" fillId="0" borderId="0" xfId="0" applyNumberFormat="1" applyFont="1" applyBorder="1" applyAlignment="1">
      <alignment horizontal="center"/>
    </xf>
    <xf numFmtId="4" fontId="2" fillId="0" borderId="0" xfId="0" applyNumberFormat="1" applyFont="1" applyFill="1" applyBorder="1" applyAlignment="1">
      <alignment horizontal="center"/>
    </xf>
    <xf numFmtId="4" fontId="2" fillId="102" borderId="26" xfId="0" applyNumberFormat="1" applyFont="1" applyFill="1" applyBorder="1" applyAlignment="1">
      <alignment horizontal="center"/>
    </xf>
    <xf numFmtId="4" fontId="2" fillId="29" borderId="4" xfId="0" applyNumberFormat="1" applyFont="1" applyFill="1" applyBorder="1" applyAlignment="1">
      <alignment horizontal="center"/>
    </xf>
    <xf numFmtId="2" fontId="0" fillId="25" borderId="17" xfId="0" applyNumberFormat="1" applyFont="1" applyFill="1" applyBorder="1" applyAlignment="1">
      <alignment horizontal="center"/>
    </xf>
    <xf numFmtId="2" fontId="0" fillId="25" borderId="9" xfId="0" applyNumberFormat="1" applyFont="1" applyFill="1" applyBorder="1" applyAlignment="1">
      <alignment horizontal="center"/>
    </xf>
    <xf numFmtId="2" fontId="0" fillId="25" borderId="28" xfId="0" applyNumberFormat="1" applyFont="1" applyFill="1" applyBorder="1" applyAlignment="1">
      <alignment horizontal="center"/>
    </xf>
    <xf numFmtId="2" fontId="0" fillId="25" borderId="2" xfId="0" applyNumberFormat="1" applyFont="1" applyFill="1" applyBorder="1" applyAlignment="1">
      <alignment horizontal="center"/>
    </xf>
    <xf numFmtId="2" fontId="0" fillId="0" borderId="5" xfId="0" applyNumberFormat="1" applyFont="1" applyBorder="1" applyAlignment="1">
      <alignment horizontal="center"/>
    </xf>
    <xf numFmtId="10" fontId="0" fillId="2" borderId="2" xfId="0" applyNumberFormat="1" applyFont="1" applyFill="1" applyBorder="1" applyAlignment="1">
      <alignment horizontal="center"/>
    </xf>
    <xf numFmtId="10" fontId="0" fillId="0" borderId="2" xfId="0" applyNumberFormat="1" applyFont="1" applyFill="1" applyBorder="1" applyAlignment="1">
      <alignment horizontal="center"/>
    </xf>
    <xf numFmtId="10" fontId="0" fillId="0" borderId="5" xfId="0" applyNumberFormat="1" applyFont="1" applyFill="1" applyBorder="1" applyAlignment="1">
      <alignment horizontal="center"/>
    </xf>
    <xf numFmtId="10" fontId="0" fillId="7" borderId="2" xfId="90" applyNumberFormat="1" applyFont="1" applyFill="1" applyBorder="1" applyAlignment="1">
      <alignment horizontal="center"/>
    </xf>
    <xf numFmtId="10" fontId="0" fillId="2" borderId="5" xfId="90" applyNumberFormat="1" applyFont="1" applyFill="1" applyBorder="1" applyAlignment="1">
      <alignment horizontal="center"/>
    </xf>
    <xf numFmtId="0" fontId="7" fillId="8" borderId="39" xfId="0" quotePrefix="1" applyFont="1" applyFill="1" applyBorder="1" applyAlignment="1" applyProtection="1">
      <alignment horizontal="center"/>
    </xf>
    <xf numFmtId="168" fontId="0" fillId="0" borderId="1" xfId="0" applyNumberFormat="1" applyFont="1" applyFill="1" applyBorder="1" applyAlignment="1">
      <alignment horizontal="left"/>
    </xf>
    <xf numFmtId="168" fontId="0" fillId="52" borderId="1" xfId="0" applyNumberFormat="1" applyFont="1" applyFill="1" applyBorder="1" applyAlignment="1">
      <alignment horizontal="left"/>
    </xf>
    <xf numFmtId="4" fontId="8" fillId="0" borderId="19" xfId="0" applyNumberFormat="1" applyFont="1" applyBorder="1" applyAlignment="1"/>
    <xf numFmtId="4" fontId="8" fillId="0" borderId="26" xfId="0" applyNumberFormat="1" applyFont="1" applyBorder="1" applyAlignment="1">
      <alignment horizontal="center"/>
    </xf>
    <xf numFmtId="0" fontId="125" fillId="6" borderId="0" xfId="1" applyFont="1" applyFill="1"/>
    <xf numFmtId="0" fontId="125" fillId="52" borderId="0" xfId="1" applyFont="1" applyFill="1"/>
    <xf numFmtId="0" fontId="125" fillId="109" borderId="0" xfId="1" applyFont="1" applyFill="1"/>
    <xf numFmtId="0" fontId="125" fillId="0" borderId="0" xfId="1" applyFont="1"/>
    <xf numFmtId="0" fontId="125" fillId="27" borderId="0" xfId="1" applyFont="1" applyFill="1"/>
    <xf numFmtId="0" fontId="126" fillId="27" borderId="0" xfId="0" applyFont="1" applyFill="1"/>
    <xf numFmtId="0" fontId="125" fillId="13" borderId="0" xfId="1" applyFont="1" applyFill="1"/>
    <xf numFmtId="0" fontId="125" fillId="103" borderId="0" xfId="1" applyFont="1" applyFill="1"/>
    <xf numFmtId="0" fontId="125" fillId="3" borderId="0" xfId="1" applyFont="1" applyFill="1"/>
    <xf numFmtId="0" fontId="125" fillId="31" borderId="0" xfId="1" applyFont="1" applyFill="1"/>
    <xf numFmtId="0" fontId="125" fillId="2" borderId="0" xfId="1" applyFont="1" applyFill="1"/>
    <xf numFmtId="0" fontId="126" fillId="2" borderId="0" xfId="0" applyFont="1" applyFill="1"/>
    <xf numFmtId="0" fontId="125" fillId="28" borderId="0" xfId="1" applyFont="1" applyFill="1" applyAlignment="1">
      <alignment wrapText="1"/>
    </xf>
    <xf numFmtId="0" fontId="127" fillId="57" borderId="0" xfId="1" applyFont="1" applyFill="1" applyBorder="1" applyAlignment="1" applyProtection="1">
      <alignment horizontal="left"/>
    </xf>
    <xf numFmtId="0" fontId="128" fillId="52" borderId="0" xfId="0" applyFont="1" applyFill="1"/>
    <xf numFmtId="0" fontId="127" fillId="108" borderId="0" xfId="1" applyFont="1" applyFill="1" applyBorder="1" applyAlignment="1" applyProtection="1">
      <alignment horizontal="left"/>
    </xf>
    <xf numFmtId="0" fontId="127" fillId="27" borderId="0" xfId="1" applyFont="1" applyFill="1"/>
    <xf numFmtId="0" fontId="127" fillId="27" borderId="0" xfId="1" applyFont="1" applyFill="1" applyBorder="1" applyAlignment="1" applyProtection="1">
      <alignment horizontal="left"/>
    </xf>
    <xf numFmtId="0" fontId="127" fillId="13" borderId="0" xfId="1" applyFont="1" applyFill="1"/>
    <xf numFmtId="0" fontId="127" fillId="13" borderId="0" xfId="1" applyFont="1" applyFill="1" applyBorder="1" applyAlignment="1" applyProtection="1">
      <alignment horizontal="left"/>
    </xf>
    <xf numFmtId="0" fontId="127" fillId="55" borderId="0" xfId="1" applyFont="1" applyFill="1"/>
    <xf numFmtId="0" fontId="127" fillId="55" borderId="0" xfId="1" applyFont="1" applyFill="1" applyBorder="1" applyAlignment="1" applyProtection="1">
      <alignment horizontal="left"/>
    </xf>
    <xf numFmtId="0" fontId="127" fillId="107" borderId="0" xfId="1" applyFont="1" applyFill="1"/>
    <xf numFmtId="0" fontId="127" fillId="107" borderId="0" xfId="1" applyFont="1" applyFill="1" applyBorder="1" applyAlignment="1" applyProtection="1">
      <alignment horizontal="left"/>
    </xf>
    <xf numFmtId="0" fontId="128" fillId="2" borderId="0" xfId="0" applyFont="1" applyFill="1"/>
    <xf numFmtId="0" fontId="127" fillId="2" borderId="0" xfId="1" applyFont="1" applyFill="1"/>
    <xf numFmtId="0" fontId="126" fillId="0" borderId="0" xfId="0" applyFont="1"/>
    <xf numFmtId="3" fontId="0" fillId="0" borderId="9" xfId="0" applyNumberFormat="1" applyFill="1" applyBorder="1" applyAlignment="1">
      <alignment horizontal="center"/>
    </xf>
    <xf numFmtId="3" fontId="0" fillId="6" borderId="9" xfId="0" applyNumberFormat="1" applyFill="1" applyBorder="1" applyAlignment="1">
      <alignment horizontal="center"/>
    </xf>
    <xf numFmtId="3" fontId="14" fillId="7" borderId="0" xfId="0" applyNumberFormat="1" applyFont="1" applyFill="1" applyBorder="1" applyAlignment="1">
      <alignment horizontal="right"/>
    </xf>
    <xf numFmtId="3" fontId="14" fillId="2" borderId="0" xfId="0" applyNumberFormat="1" applyFont="1" applyFill="1" applyBorder="1" applyAlignment="1">
      <alignment horizontal="right"/>
    </xf>
    <xf numFmtId="3" fontId="14" fillId="29" borderId="0" xfId="0" applyNumberFormat="1" applyFont="1" applyFill="1" applyBorder="1" applyAlignment="1">
      <alignment horizontal="right"/>
    </xf>
    <xf numFmtId="3" fontId="14" fillId="7" borderId="1" xfId="0" applyNumberFormat="1" applyFont="1" applyFill="1" applyBorder="1" applyAlignment="1">
      <alignment horizontal="right"/>
    </xf>
    <xf numFmtId="3" fontId="14" fillId="2" borderId="1" xfId="0" applyNumberFormat="1" applyFont="1" applyFill="1" applyBorder="1" applyAlignment="1">
      <alignment horizontal="right"/>
    </xf>
    <xf numFmtId="3" fontId="14" fillId="29" borderId="1" xfId="0" applyNumberFormat="1" applyFont="1" applyFill="1" applyBorder="1" applyAlignment="1">
      <alignment horizontal="right"/>
    </xf>
    <xf numFmtId="3" fontId="14" fillId="2" borderId="2" xfId="0" applyNumberFormat="1" applyFont="1" applyFill="1" applyBorder="1" applyAlignment="1">
      <alignment horizontal="right"/>
    </xf>
    <xf numFmtId="3" fontId="14" fillId="0" borderId="2" xfId="0" applyNumberFormat="1" applyFont="1" applyFill="1" applyBorder="1" applyAlignment="1">
      <alignment horizontal="right"/>
    </xf>
    <xf numFmtId="3" fontId="14" fillId="7" borderId="2" xfId="0" applyNumberFormat="1" applyFont="1" applyFill="1" applyBorder="1" applyAlignment="1">
      <alignment horizontal="right"/>
    </xf>
    <xf numFmtId="3" fontId="62" fillId="2" borderId="2" xfId="0" applyNumberFormat="1" applyFont="1" applyFill="1" applyBorder="1" applyAlignment="1">
      <alignment horizontal="right"/>
    </xf>
    <xf numFmtId="3" fontId="45" fillId="0" borderId="0" xfId="0" applyNumberFormat="1" applyFont="1" applyFill="1" applyBorder="1" applyAlignment="1">
      <alignment horizontal="right"/>
    </xf>
    <xf numFmtId="3" fontId="6" fillId="2" borderId="0" xfId="42" applyNumberFormat="1" applyFont="1" applyFill="1" applyBorder="1" applyAlignment="1">
      <alignment horizontal="right"/>
    </xf>
    <xf numFmtId="3" fontId="36" fillId="0" borderId="0" xfId="0" applyNumberFormat="1" applyFont="1" applyFill="1" applyBorder="1" applyAlignment="1">
      <alignment horizontal="right"/>
    </xf>
    <xf numFmtId="166" fontId="1" fillId="0" borderId="0" xfId="0" applyNumberFormat="1" applyFont="1" applyFill="1" applyAlignment="1">
      <alignment horizontal="right"/>
    </xf>
    <xf numFmtId="3" fontId="6" fillId="2" borderId="0" xfId="0" applyNumberFormat="1" applyFont="1" applyFill="1" applyBorder="1" applyAlignment="1">
      <alignment horizontal="right" vertical="center"/>
    </xf>
    <xf numFmtId="3" fontId="6" fillId="0" borderId="0" xfId="42" applyNumberFormat="1" applyFont="1" applyFill="1" applyBorder="1" applyAlignment="1">
      <alignment horizontal="right"/>
    </xf>
    <xf numFmtId="0" fontId="6" fillId="0" borderId="0" xfId="0" applyFont="1" applyFill="1" applyAlignment="1">
      <alignment horizontal="right"/>
    </xf>
    <xf numFmtId="3" fontId="6" fillId="0" borderId="0" xfId="49" applyNumberFormat="1" applyFont="1" applyFill="1" applyBorder="1" applyAlignment="1" applyProtection="1">
      <alignment horizontal="right"/>
    </xf>
    <xf numFmtId="3" fontId="6" fillId="0" borderId="0" xfId="42" applyNumberFormat="1" applyFont="1" applyFill="1" applyBorder="1" applyAlignment="1" applyProtection="1">
      <alignment horizontal="right"/>
    </xf>
    <xf numFmtId="3" fontId="6" fillId="0" borderId="0" xfId="6534" applyNumberFormat="1" applyFont="1" applyFill="1" applyBorder="1" applyAlignment="1" applyProtection="1">
      <alignment horizontal="right"/>
    </xf>
    <xf numFmtId="3" fontId="1" fillId="0" borderId="0" xfId="6534" applyNumberFormat="1" applyFont="1" applyFill="1" applyBorder="1" applyAlignment="1" applyProtection="1">
      <alignment horizontal="right"/>
    </xf>
    <xf numFmtId="3" fontId="0" fillId="0" borderId="0" xfId="0" applyNumberFormat="1" applyFont="1" applyFill="1" applyAlignment="1">
      <alignment horizontal="right"/>
    </xf>
    <xf numFmtId="3" fontId="2" fillId="0" borderId="0" xfId="0" applyNumberFormat="1" applyFont="1" applyAlignment="1">
      <alignment horizontal="right"/>
    </xf>
    <xf numFmtId="3" fontId="2" fillId="0" borderId="0" xfId="42" applyNumberFormat="1" applyFont="1" applyAlignment="1">
      <alignment horizontal="right"/>
    </xf>
    <xf numFmtId="3" fontId="6" fillId="2" borderId="0" xfId="49" applyNumberFormat="1" applyFont="1" applyFill="1" applyBorder="1" applyAlignment="1" applyProtection="1">
      <alignment horizontal="right"/>
    </xf>
    <xf numFmtId="3" fontId="6" fillId="2" borderId="0" xfId="42" applyNumberFormat="1" applyFont="1" applyFill="1" applyBorder="1" applyAlignment="1" applyProtection="1">
      <alignment horizontal="right"/>
    </xf>
    <xf numFmtId="3" fontId="1" fillId="0" borderId="0" xfId="42" applyNumberFormat="1" applyFont="1" applyFill="1" applyBorder="1" applyAlignment="1">
      <alignment horizontal="right"/>
    </xf>
    <xf numFmtId="3" fontId="34" fillId="0" borderId="0" xfId="0" applyNumberFormat="1" applyFont="1" applyFill="1" applyBorder="1" applyAlignment="1">
      <alignment horizontal="right"/>
    </xf>
    <xf numFmtId="3" fontId="34" fillId="0" borderId="0" xfId="42" applyNumberFormat="1" applyFont="1" applyFill="1" applyBorder="1" applyAlignment="1">
      <alignment horizontal="right"/>
    </xf>
    <xf numFmtId="3" fontId="9" fillId="0" borderId="0" xfId="42" applyNumberFormat="1" applyFont="1" applyFill="1" applyBorder="1" applyAlignment="1">
      <alignment horizontal="right"/>
    </xf>
    <xf numFmtId="3" fontId="1" fillId="2" borderId="0" xfId="42" applyNumberFormat="1" applyFont="1" applyFill="1" applyBorder="1" applyAlignment="1" applyProtection="1">
      <alignment horizontal="right"/>
    </xf>
    <xf numFmtId="3" fontId="8" fillId="0" borderId="0" xfId="0" applyNumberFormat="1" applyFont="1" applyFill="1" applyBorder="1" applyAlignment="1">
      <alignment horizontal="right"/>
    </xf>
    <xf numFmtId="3" fontId="8" fillId="0" borderId="0" xfId="42" applyNumberFormat="1" applyFont="1" applyFill="1" applyBorder="1" applyAlignment="1">
      <alignment horizontal="right"/>
    </xf>
    <xf numFmtId="3" fontId="1" fillId="0" borderId="0" xfId="42" applyNumberFormat="1" applyFont="1" applyFill="1" applyBorder="1" applyAlignment="1" applyProtection="1">
      <alignment horizontal="right"/>
    </xf>
    <xf numFmtId="3" fontId="0" fillId="2" borderId="0" xfId="0" applyNumberFormat="1" applyFont="1" applyFill="1" applyBorder="1" applyAlignment="1">
      <alignment horizontal="right"/>
    </xf>
    <xf numFmtId="3" fontId="0" fillId="0" borderId="0" xfId="0" applyNumberFormat="1" applyFont="1" applyFill="1" applyBorder="1" applyAlignment="1">
      <alignment horizontal="right"/>
    </xf>
    <xf numFmtId="3" fontId="8" fillId="2" borderId="0" xfId="0" applyNumberFormat="1" applyFont="1" applyFill="1" applyBorder="1" applyAlignment="1">
      <alignment horizontal="right"/>
    </xf>
    <xf numFmtId="3" fontId="6" fillId="2" borderId="0" xfId="6534" applyNumberFormat="1" applyFont="1" applyFill="1" applyBorder="1" applyAlignment="1" applyProtection="1">
      <alignment horizontal="right"/>
    </xf>
    <xf numFmtId="3" fontId="6" fillId="27" borderId="0" xfId="0" applyNumberFormat="1" applyFont="1" applyFill="1" applyBorder="1" applyAlignment="1" applyProtection="1">
      <alignment horizontal="right"/>
    </xf>
    <xf numFmtId="3" fontId="6" fillId="27" borderId="0" xfId="0" applyNumberFormat="1" applyFont="1" applyFill="1" applyBorder="1" applyAlignment="1">
      <alignment horizontal="right"/>
    </xf>
    <xf numFmtId="3" fontId="9" fillId="27" borderId="0" xfId="0" applyNumberFormat="1" applyFont="1" applyFill="1" applyBorder="1" applyAlignment="1">
      <alignment horizontal="right"/>
    </xf>
    <xf numFmtId="3" fontId="0" fillId="27" borderId="0" xfId="0" applyNumberFormat="1" applyFont="1" applyFill="1" applyBorder="1" applyAlignment="1">
      <alignment horizontal="right"/>
    </xf>
    <xf numFmtId="3" fontId="6" fillId="0" borderId="0" xfId="0" applyNumberFormat="1" applyFont="1" applyBorder="1" applyAlignment="1" applyProtection="1">
      <alignment horizontal="right"/>
    </xf>
    <xf numFmtId="3" fontId="6" fillId="64" borderId="0" xfId="0" applyNumberFormat="1" applyFont="1" applyFill="1" applyBorder="1" applyAlignment="1">
      <alignment horizontal="right"/>
    </xf>
    <xf numFmtId="3" fontId="9" fillId="64" borderId="0" xfId="0" applyNumberFormat="1" applyFont="1" applyFill="1" applyBorder="1" applyAlignment="1">
      <alignment horizontal="right"/>
    </xf>
    <xf numFmtId="3" fontId="6" fillId="64" borderId="0" xfId="0" applyNumberFormat="1" applyFont="1" applyFill="1" applyBorder="1" applyAlignment="1" applyProtection="1">
      <alignment horizontal="right"/>
    </xf>
    <xf numFmtId="3" fontId="6" fillId="27" borderId="0" xfId="0" quotePrefix="1" applyNumberFormat="1" applyFont="1" applyFill="1" applyBorder="1" applyAlignment="1" applyProtection="1">
      <alignment horizontal="right"/>
    </xf>
    <xf numFmtId="3" fontId="93" fillId="27" borderId="0" xfId="0" applyNumberFormat="1" applyFont="1" applyFill="1" applyBorder="1" applyAlignment="1" applyProtection="1">
      <alignment horizontal="right"/>
    </xf>
    <xf numFmtId="3" fontId="0" fillId="27" borderId="0" xfId="0" applyNumberFormat="1" applyFill="1" applyAlignment="1">
      <alignment horizontal="right"/>
    </xf>
    <xf numFmtId="3" fontId="0" fillId="27" borderId="0" xfId="42" applyNumberFormat="1" applyFont="1" applyFill="1" applyAlignment="1">
      <alignment horizontal="right"/>
    </xf>
    <xf numFmtId="3" fontId="6" fillId="27" borderId="0" xfId="42" applyNumberFormat="1" applyFont="1" applyFill="1" applyBorder="1" applyAlignment="1" applyProtection="1">
      <alignment horizontal="right"/>
    </xf>
    <xf numFmtId="3" fontId="1" fillId="27" borderId="0" xfId="0" applyNumberFormat="1" applyFont="1" applyFill="1" applyBorder="1" applyAlignment="1" applyProtection="1">
      <alignment horizontal="right"/>
    </xf>
    <xf numFmtId="3" fontId="9" fillId="27" borderId="0" xfId="42" applyNumberFormat="1" applyFont="1" applyFill="1" applyBorder="1" applyAlignment="1" applyProtection="1">
      <alignment horizontal="right"/>
    </xf>
    <xf numFmtId="3" fontId="0" fillId="0" borderId="0" xfId="0" applyNumberFormat="1" applyFont="1" applyAlignment="1">
      <alignment horizontal="right"/>
    </xf>
    <xf numFmtId="3" fontId="0" fillId="0" borderId="0" xfId="0" applyNumberFormat="1" applyAlignment="1">
      <alignment horizontal="right"/>
    </xf>
    <xf numFmtId="3" fontId="0" fillId="0" borderId="0" xfId="42" applyNumberFormat="1" applyFont="1" applyAlignment="1">
      <alignment horizontal="right"/>
    </xf>
    <xf numFmtId="3" fontId="0" fillId="0" borderId="0" xfId="0" applyNumberFormat="1" applyFont="1" applyFill="1" applyBorder="1" applyAlignment="1" applyProtection="1">
      <alignment horizontal="right"/>
    </xf>
    <xf numFmtId="3" fontId="0" fillId="0" borderId="0" xfId="42" applyNumberFormat="1" applyFont="1" applyFill="1" applyAlignment="1">
      <alignment horizontal="right"/>
    </xf>
    <xf numFmtId="3" fontId="0" fillId="0" borderId="0" xfId="0" applyNumberFormat="1" applyFill="1" applyAlignment="1">
      <alignment horizontal="right"/>
    </xf>
    <xf numFmtId="3" fontId="8" fillId="0" borderId="0" xfId="42" applyNumberFormat="1" applyFont="1" applyFill="1" applyAlignment="1">
      <alignment horizontal="right"/>
    </xf>
    <xf numFmtId="3" fontId="0" fillId="27" borderId="0" xfId="0" applyNumberFormat="1" applyFont="1" applyFill="1" applyAlignment="1">
      <alignment horizontal="right"/>
    </xf>
    <xf numFmtId="3" fontId="6" fillId="27" borderId="0" xfId="0" applyNumberFormat="1" applyFont="1" applyFill="1" applyAlignment="1">
      <alignment horizontal="right"/>
    </xf>
    <xf numFmtId="3" fontId="6" fillId="27" borderId="0" xfId="42" applyNumberFormat="1" applyFont="1" applyFill="1" applyAlignment="1">
      <alignment horizontal="right"/>
    </xf>
    <xf numFmtId="4" fontId="6" fillId="0" borderId="2" xfId="0" applyNumberFormat="1" applyFont="1" applyFill="1" applyBorder="1" applyAlignment="1" applyProtection="1">
      <alignment horizontal="center" vertical="center"/>
    </xf>
    <xf numFmtId="4" fontId="6" fillId="6" borderId="2" xfId="0" applyNumberFormat="1" applyFont="1" applyFill="1" applyBorder="1" applyAlignment="1" applyProtection="1">
      <alignment horizontal="center" vertical="center"/>
    </xf>
    <xf numFmtId="4" fontId="6" fillId="6" borderId="2" xfId="0" applyNumberFormat="1" applyFont="1" applyFill="1" applyBorder="1" applyAlignment="1">
      <alignment horizontal="center" vertical="center"/>
    </xf>
    <xf numFmtId="4" fontId="6" fillId="0" borderId="2" xfId="0" applyNumberFormat="1" applyFont="1" applyFill="1" applyBorder="1" applyAlignment="1">
      <alignment horizontal="center" vertical="center"/>
    </xf>
    <xf numFmtId="4" fontId="6" fillId="6" borderId="2" xfId="21900" applyNumberFormat="1" applyFont="1" applyFill="1" applyBorder="1" applyAlignment="1">
      <alignment horizontal="center" vertical="center"/>
    </xf>
    <xf numFmtId="4" fontId="6" fillId="0" borderId="2" xfId="21900" applyNumberFormat="1" applyFont="1" applyFill="1" applyBorder="1" applyAlignment="1">
      <alignment horizontal="center" vertical="center"/>
    </xf>
    <xf numFmtId="17" fontId="7" fillId="8" borderId="31" xfId="0" applyNumberFormat="1" applyFont="1" applyFill="1" applyBorder="1" applyProtection="1"/>
    <xf numFmtId="17" fontId="7" fillId="8" borderId="31" xfId="0" applyNumberFormat="1" applyFont="1" applyFill="1" applyBorder="1"/>
    <xf numFmtId="17" fontId="7" fillId="8" borderId="31" xfId="21900" applyNumberFormat="1" applyFont="1" applyFill="1" applyBorder="1"/>
    <xf numFmtId="17" fontId="7" fillId="8" borderId="30" xfId="0" applyNumberFormat="1" applyFont="1" applyFill="1" applyBorder="1" applyProtection="1"/>
    <xf numFmtId="17" fontId="7" fillId="8" borderId="69" xfId="0" applyNumberFormat="1" applyFont="1" applyFill="1" applyBorder="1" applyProtection="1"/>
    <xf numFmtId="17" fontId="7" fillId="8" borderId="32" xfId="0" applyNumberFormat="1" applyFont="1" applyFill="1" applyBorder="1" applyProtection="1"/>
    <xf numFmtId="0" fontId="7" fillId="8" borderId="30" xfId="0" applyNumberFormat="1" applyFont="1" applyFill="1" applyBorder="1" applyAlignment="1">
      <alignment horizontal="right"/>
    </xf>
    <xf numFmtId="0" fontId="7" fillId="8" borderId="31" xfId="0" applyNumberFormat="1" applyFont="1" applyFill="1" applyBorder="1" applyAlignment="1">
      <alignment horizontal="right"/>
    </xf>
    <xf numFmtId="1" fontId="7" fillId="8" borderId="31" xfId="0" applyNumberFormat="1" applyFont="1" applyFill="1" applyBorder="1" applyAlignment="1">
      <alignment horizontal="right"/>
    </xf>
    <xf numFmtId="0" fontId="7" fillId="8" borderId="7" xfId="0" applyNumberFormat="1" applyFont="1" applyFill="1" applyBorder="1"/>
    <xf numFmtId="17" fontId="7" fillId="53" borderId="31" xfId="0" applyNumberFormat="1" applyFont="1" applyFill="1" applyBorder="1" applyProtection="1"/>
    <xf numFmtId="17" fontId="7" fillId="53" borderId="32" xfId="0" applyNumberFormat="1" applyFont="1" applyFill="1" applyBorder="1" applyProtection="1"/>
    <xf numFmtId="49" fontId="7" fillId="53" borderId="31" xfId="0" applyNumberFormat="1" applyFont="1" applyFill="1" applyBorder="1" applyAlignment="1">
      <alignment horizontal="right"/>
    </xf>
    <xf numFmtId="17" fontId="7" fillId="53" borderId="31" xfId="0" applyNumberFormat="1" applyFont="1" applyFill="1" applyBorder="1"/>
    <xf numFmtId="0" fontId="7" fillId="53" borderId="31" xfId="0" applyNumberFormat="1" applyFont="1" applyFill="1" applyBorder="1"/>
    <xf numFmtId="0" fontId="7" fillId="53" borderId="32" xfId="0" applyNumberFormat="1" applyFont="1" applyFill="1" applyBorder="1"/>
    <xf numFmtId="49" fontId="7" fillId="58" borderId="31" xfId="0" applyNumberFormat="1" applyFont="1" applyFill="1" applyBorder="1" applyAlignment="1">
      <alignment horizontal="right"/>
    </xf>
    <xf numFmtId="0" fontId="7" fillId="58" borderId="31" xfId="0" applyNumberFormat="1" applyFont="1" applyFill="1" applyBorder="1" applyAlignment="1">
      <alignment horizontal="right"/>
    </xf>
    <xf numFmtId="0" fontId="7" fillId="111" borderId="31" xfId="0" applyNumberFormat="1" applyFont="1" applyFill="1" applyBorder="1" applyAlignment="1">
      <alignment horizontal="right"/>
    </xf>
    <xf numFmtId="0" fontId="7" fillId="58" borderId="36" xfId="0" applyFont="1" applyFill="1" applyBorder="1" applyAlignment="1">
      <alignment horizontal="left"/>
    </xf>
    <xf numFmtId="0" fontId="7" fillId="58" borderId="7" xfId="0" applyFont="1" applyFill="1" applyBorder="1" applyAlignment="1">
      <alignment horizontal="left"/>
    </xf>
    <xf numFmtId="0" fontId="7" fillId="58" borderId="6" xfId="0" applyFont="1" applyFill="1" applyBorder="1" applyAlignment="1">
      <alignment horizontal="left"/>
    </xf>
    <xf numFmtId="49" fontId="7" fillId="21" borderId="31" xfId="0" applyNumberFormat="1" applyFont="1" applyFill="1" applyBorder="1" applyAlignment="1">
      <alignment horizontal="right"/>
    </xf>
    <xf numFmtId="0" fontId="7" fillId="116" borderId="31" xfId="0" applyNumberFormat="1" applyFont="1" applyFill="1" applyBorder="1" applyAlignment="1">
      <alignment horizontal="right"/>
    </xf>
    <xf numFmtId="0" fontId="7" fillId="117" borderId="31" xfId="0" applyNumberFormat="1" applyFont="1" applyFill="1" applyBorder="1" applyAlignment="1">
      <alignment horizontal="right"/>
    </xf>
    <xf numFmtId="17" fontId="7" fillId="116" borderId="31" xfId="0" applyNumberFormat="1" applyFont="1" applyFill="1" applyBorder="1"/>
    <xf numFmtId="17" fontId="7" fillId="117" borderId="31" xfId="0" applyNumberFormat="1" applyFont="1" applyFill="1" applyBorder="1"/>
    <xf numFmtId="0" fontId="7" fillId="21" borderId="31" xfId="0" applyFont="1" applyFill="1" applyBorder="1"/>
    <xf numFmtId="0" fontId="7" fillId="21" borderId="31" xfId="0" applyNumberFormat="1" applyFont="1" applyFill="1" applyBorder="1"/>
    <xf numFmtId="0" fontId="7" fillId="21" borderId="31" xfId="0" applyNumberFormat="1" applyFont="1" applyFill="1" applyBorder="1" applyAlignment="1">
      <alignment horizontal="right"/>
    </xf>
    <xf numFmtId="0" fontId="7" fillId="21" borderId="31" xfId="0" applyFont="1" applyFill="1" applyBorder="1" applyAlignment="1">
      <alignment horizontal="left" vertical="center"/>
    </xf>
    <xf numFmtId="0" fontId="7" fillId="21" borderId="32" xfId="0" applyFont="1" applyFill="1" applyBorder="1" applyAlignment="1">
      <alignment horizontal="left" vertical="center"/>
    </xf>
    <xf numFmtId="17" fontId="7" fillId="104" borderId="7" xfId="0" applyNumberFormat="1" applyFont="1" applyFill="1" applyBorder="1"/>
    <xf numFmtId="0" fontId="7" fillId="104" borderId="31" xfId="0" applyNumberFormat="1" applyFont="1" applyFill="1" applyBorder="1" applyAlignment="1">
      <alignment horizontal="right"/>
    </xf>
    <xf numFmtId="17" fontId="7" fillId="17" borderId="31" xfId="0" applyNumberFormat="1" applyFont="1" applyFill="1" applyBorder="1"/>
    <xf numFmtId="17" fontId="7" fillId="17" borderId="32" xfId="0" applyNumberFormat="1" applyFont="1" applyFill="1" applyBorder="1"/>
    <xf numFmtId="49" fontId="7" fillId="17" borderId="31" xfId="0" applyNumberFormat="1" applyFont="1" applyFill="1" applyBorder="1" applyAlignment="1">
      <alignment horizontal="right"/>
    </xf>
    <xf numFmtId="0" fontId="7" fillId="17" borderId="31" xfId="0" applyNumberFormat="1" applyFont="1" applyFill="1" applyBorder="1"/>
    <xf numFmtId="49" fontId="7" fillId="60" borderId="31" xfId="0" applyNumberFormat="1" applyFont="1" applyFill="1" applyBorder="1" applyAlignment="1">
      <alignment horizontal="right"/>
    </xf>
    <xf numFmtId="49" fontId="7" fillId="9" borderId="31" xfId="0" applyNumberFormat="1" applyFont="1" applyFill="1" applyBorder="1" applyAlignment="1">
      <alignment horizontal="right"/>
    </xf>
    <xf numFmtId="49" fontId="7" fillId="9" borderId="32" xfId="0" applyNumberFormat="1" applyFont="1" applyFill="1" applyBorder="1" applyAlignment="1">
      <alignment horizontal="right"/>
    </xf>
    <xf numFmtId="17" fontId="7" fillId="24" borderId="7" xfId="0" applyNumberFormat="1" applyFont="1" applyFill="1" applyBorder="1"/>
    <xf numFmtId="49" fontId="7" fillId="24" borderId="30" xfId="0" applyNumberFormat="1" applyFont="1" applyFill="1" applyBorder="1" applyAlignment="1">
      <alignment horizontal="right"/>
    </xf>
    <xf numFmtId="49" fontId="7" fillId="24" borderId="31" xfId="0" applyNumberFormat="1" applyFont="1" applyFill="1" applyBorder="1" applyAlignment="1">
      <alignment horizontal="right"/>
    </xf>
    <xf numFmtId="17" fontId="7" fillId="24" borderId="69" xfId="0" applyNumberFormat="1" applyFont="1" applyFill="1" applyBorder="1"/>
    <xf numFmtId="0" fontId="7" fillId="26" borderId="29" xfId="0" applyFont="1" applyFill="1" applyBorder="1" applyAlignment="1">
      <alignment horizontal="right"/>
    </xf>
    <xf numFmtId="0" fontId="7" fillId="26" borderId="4" xfId="0" applyFont="1" applyFill="1" applyBorder="1"/>
    <xf numFmtId="0" fontId="7" fillId="26" borderId="6" xfId="0" applyFont="1" applyFill="1" applyBorder="1"/>
    <xf numFmtId="0" fontId="7" fillId="24" borderId="30" xfId="0" applyFont="1" applyFill="1" applyBorder="1" applyAlignment="1">
      <alignment horizontal="center" vertical="center"/>
    </xf>
    <xf numFmtId="0" fontId="7" fillId="24" borderId="31" xfId="0" applyFont="1" applyFill="1" applyBorder="1" applyAlignment="1">
      <alignment horizontal="center" vertical="center"/>
    </xf>
    <xf numFmtId="0" fontId="7" fillId="24" borderId="0" xfId="0" applyFont="1" applyFill="1" applyBorder="1" applyAlignment="1">
      <alignment horizontal="center" vertical="center"/>
    </xf>
    <xf numFmtId="0" fontId="7" fillId="24" borderId="20" xfId="0" applyFont="1" applyFill="1" applyBorder="1" applyAlignment="1">
      <alignment horizontal="center" vertical="center"/>
    </xf>
    <xf numFmtId="0" fontId="7" fillId="24" borderId="30" xfId="0" applyNumberFormat="1" applyFont="1" applyFill="1" applyBorder="1"/>
    <xf numFmtId="0" fontId="7" fillId="24" borderId="31" xfId="0" applyNumberFormat="1" applyFont="1" applyFill="1" applyBorder="1"/>
    <xf numFmtId="0" fontId="7" fillId="24" borderId="40" xfId="0" applyFont="1" applyFill="1" applyBorder="1" applyAlignment="1">
      <alignment horizontal="center"/>
    </xf>
    <xf numFmtId="0" fontId="0" fillId="0" borderId="14" xfId="0" applyFont="1" applyFill="1" applyBorder="1"/>
    <xf numFmtId="0" fontId="0" fillId="2" borderId="14" xfId="0" applyFont="1" applyFill="1" applyBorder="1"/>
    <xf numFmtId="0" fontId="0" fillId="0" borderId="29" xfId="0" applyFont="1" applyFill="1" applyBorder="1"/>
    <xf numFmtId="4" fontId="0" fillId="2" borderId="9" xfId="0" applyNumberFormat="1" applyFont="1" applyFill="1" applyBorder="1" applyAlignment="1">
      <alignment horizontal="center"/>
    </xf>
    <xf numFmtId="4" fontId="0" fillId="7" borderId="9" xfId="0" applyNumberFormat="1" applyFont="1" applyFill="1" applyBorder="1" applyAlignment="1">
      <alignment horizontal="center"/>
    </xf>
    <xf numFmtId="4" fontId="0" fillId="2" borderId="8" xfId="0" applyNumberFormat="1" applyFont="1" applyFill="1" applyBorder="1" applyAlignment="1">
      <alignment horizontal="center"/>
    </xf>
    <xf numFmtId="4" fontId="7" fillId="30" borderId="20" xfId="0" applyNumberFormat="1" applyFont="1" applyFill="1" applyBorder="1" applyAlignment="1">
      <alignment horizontal="center"/>
    </xf>
    <xf numFmtId="4" fontId="6" fillId="29" borderId="8" xfId="0" applyNumberFormat="1" applyFont="1" applyFill="1" applyBorder="1" applyAlignment="1">
      <alignment horizontal="center"/>
    </xf>
    <xf numFmtId="4" fontId="6" fillId="29" borderId="80" xfId="0" applyNumberFormat="1" applyFont="1" applyFill="1" applyBorder="1" applyAlignment="1">
      <alignment horizontal="center"/>
    </xf>
    <xf numFmtId="2" fontId="0" fillId="2" borderId="21" xfId="0" applyNumberFormat="1" applyFont="1" applyFill="1" applyBorder="1" applyAlignment="1">
      <alignment horizontal="center"/>
    </xf>
    <xf numFmtId="2" fontId="0" fillId="7" borderId="24" xfId="0" applyNumberFormat="1" applyFont="1" applyFill="1" applyBorder="1" applyAlignment="1">
      <alignment horizontal="center"/>
    </xf>
    <xf numFmtId="0" fontId="7" fillId="24" borderId="42" xfId="0" applyFont="1" applyFill="1" applyBorder="1" applyAlignment="1">
      <alignment horizontal="right"/>
    </xf>
    <xf numFmtId="0" fontId="7" fillId="24" borderId="77" xfId="0" applyFont="1" applyFill="1" applyBorder="1" applyAlignment="1">
      <alignment horizontal="center" wrapText="1"/>
    </xf>
    <xf numFmtId="0" fontId="7" fillId="24" borderId="44" xfId="0" applyFont="1" applyFill="1" applyBorder="1" applyAlignment="1">
      <alignment horizontal="center"/>
    </xf>
    <xf numFmtId="0" fontId="7" fillId="24" borderId="74" xfId="0" applyFont="1" applyFill="1" applyBorder="1" applyAlignment="1">
      <alignment horizontal="center"/>
    </xf>
    <xf numFmtId="0" fontId="7" fillId="24" borderId="53" xfId="0" applyFont="1" applyFill="1" applyBorder="1" applyAlignment="1">
      <alignment horizontal="right"/>
    </xf>
    <xf numFmtId="179" fontId="7" fillId="24" borderId="53" xfId="0" applyNumberFormat="1" applyFont="1" applyFill="1" applyBorder="1" applyAlignment="1">
      <alignment horizontal="right"/>
    </xf>
    <xf numFmtId="0" fontId="6" fillId="29" borderId="82" xfId="0" applyFont="1" applyFill="1" applyBorder="1"/>
    <xf numFmtId="0" fontId="7" fillId="24" borderId="53" xfId="0" applyFont="1" applyFill="1" applyBorder="1" applyAlignment="1">
      <alignment horizontal="right" indent="1"/>
    </xf>
    <xf numFmtId="0" fontId="7" fillId="24" borderId="84" xfId="0" applyFont="1" applyFill="1" applyBorder="1" applyAlignment="1">
      <alignment horizontal="right" vertical="center"/>
    </xf>
    <xf numFmtId="0" fontId="7" fillId="24" borderId="81" xfId="0" applyFont="1" applyFill="1" applyBorder="1" applyAlignment="1">
      <alignment horizontal="center" vertical="center"/>
    </xf>
    <xf numFmtId="0" fontId="7" fillId="24" borderId="42" xfId="0" applyFont="1" applyFill="1" applyBorder="1" applyAlignment="1">
      <alignment horizontal="right" vertical="center"/>
    </xf>
    <xf numFmtId="0" fontId="7" fillId="24" borderId="86" xfId="0" applyFont="1" applyFill="1" applyBorder="1" applyAlignment="1">
      <alignment horizontal="center" vertical="center"/>
    </xf>
    <xf numFmtId="0" fontId="7" fillId="24" borderId="77" xfId="0" quotePrefix="1" applyFont="1" applyFill="1" applyBorder="1" applyAlignment="1">
      <alignment horizontal="center" vertical="center" wrapText="1"/>
    </xf>
    <xf numFmtId="0" fontId="7" fillId="24" borderId="74" xfId="0" applyFont="1" applyFill="1" applyBorder="1" applyAlignment="1">
      <alignment horizontal="center" vertical="center"/>
    </xf>
    <xf numFmtId="0" fontId="7" fillId="24" borderId="87" xfId="0" applyFont="1" applyFill="1" applyBorder="1" applyAlignment="1">
      <alignment horizontal="center" vertical="center"/>
    </xf>
    <xf numFmtId="0" fontId="7" fillId="24" borderId="32" xfId="0" applyFont="1" applyFill="1" applyBorder="1" applyAlignment="1">
      <alignment horizontal="center"/>
    </xf>
    <xf numFmtId="0" fontId="7" fillId="24" borderId="5" xfId="0" applyFont="1" applyFill="1" applyBorder="1" applyAlignment="1">
      <alignment horizontal="center"/>
    </xf>
    <xf numFmtId="0" fontId="7" fillId="24" borderId="8" xfId="0" applyFont="1" applyFill="1" applyBorder="1" applyAlignment="1">
      <alignment horizontal="center"/>
    </xf>
    <xf numFmtId="0" fontId="7" fillId="26" borderId="77" xfId="0" applyFont="1" applyFill="1" applyBorder="1" applyAlignment="1">
      <alignment horizontal="center"/>
    </xf>
    <xf numFmtId="0" fontId="7" fillId="26" borderId="74" xfId="0" applyFont="1" applyFill="1" applyBorder="1" applyAlignment="1">
      <alignment horizontal="center"/>
    </xf>
    <xf numFmtId="0" fontId="7" fillId="24" borderId="89" xfId="0" applyFont="1" applyFill="1" applyBorder="1"/>
    <xf numFmtId="0" fontId="9" fillId="24" borderId="28" xfId="0" applyFont="1" applyFill="1" applyBorder="1" applyAlignment="1">
      <alignment horizontal="center"/>
    </xf>
    <xf numFmtId="0" fontId="7" fillId="9" borderId="76" xfId="0" applyFont="1" applyFill="1" applyBorder="1" applyAlignment="1">
      <alignment horizontal="right"/>
    </xf>
    <xf numFmtId="0" fontId="7" fillId="12" borderId="76" xfId="0" applyFont="1" applyFill="1" applyBorder="1" applyAlignment="1">
      <alignment horizontal="right"/>
    </xf>
    <xf numFmtId="0" fontId="7" fillId="121" borderId="76" xfId="0" applyFont="1" applyFill="1" applyBorder="1" applyAlignment="1">
      <alignment horizontal="right"/>
    </xf>
    <xf numFmtId="0" fontId="7" fillId="9" borderId="76" xfId="0" applyFont="1" applyFill="1" applyBorder="1" applyAlignment="1" applyProtection="1">
      <alignment horizontal="right"/>
    </xf>
    <xf numFmtId="0" fontId="7" fillId="9" borderId="77" xfId="0" applyFont="1" applyFill="1" applyBorder="1"/>
    <xf numFmtId="0" fontId="7" fillId="9" borderId="44" xfId="0" applyFont="1" applyFill="1" applyBorder="1"/>
    <xf numFmtId="0" fontId="7" fillId="12" borderId="77" xfId="0" applyFont="1" applyFill="1" applyBorder="1"/>
    <xf numFmtId="0" fontId="7" fillId="12" borderId="74" xfId="0" applyFont="1" applyFill="1" applyBorder="1"/>
    <xf numFmtId="0" fontId="7" fillId="60" borderId="89" xfId="0" applyFont="1" applyFill="1" applyBorder="1" applyAlignment="1">
      <alignment horizontal="center" vertical="center"/>
    </xf>
    <xf numFmtId="0" fontId="7" fillId="62" borderId="76" xfId="0" applyFont="1" applyFill="1" applyBorder="1" applyAlignment="1">
      <alignment horizontal="right"/>
    </xf>
    <xf numFmtId="0" fontId="7" fillId="60" borderId="76" xfId="0" applyFont="1" applyFill="1" applyBorder="1" applyAlignment="1" applyProtection="1">
      <alignment horizontal="right"/>
    </xf>
    <xf numFmtId="0" fontId="7" fillId="17" borderId="76" xfId="0" applyFont="1" applyFill="1" applyBorder="1" applyAlignment="1">
      <alignment horizontal="right"/>
    </xf>
    <xf numFmtId="0" fontId="7" fillId="18" borderId="78" xfId="0" applyFont="1" applyFill="1" applyBorder="1" applyAlignment="1">
      <alignment horizontal="right"/>
    </xf>
    <xf numFmtId="0" fontId="7" fillId="18" borderId="76" xfId="0" applyFont="1" applyFill="1" applyBorder="1" applyAlignment="1">
      <alignment horizontal="right"/>
    </xf>
    <xf numFmtId="0" fontId="7" fillId="17" borderId="76" xfId="0" applyFont="1" applyFill="1" applyBorder="1" applyAlignment="1" applyProtection="1">
      <alignment horizontal="right"/>
    </xf>
    <xf numFmtId="0" fontId="7" fillId="105" borderId="78" xfId="0" applyFont="1" applyFill="1" applyBorder="1"/>
    <xf numFmtId="0" fontId="7" fillId="105" borderId="78" xfId="0" applyFont="1" applyFill="1" applyBorder="1" applyAlignment="1">
      <alignment horizontal="right"/>
    </xf>
    <xf numFmtId="0" fontId="7" fillId="104" borderId="76" xfId="0" applyFont="1" applyFill="1" applyBorder="1" applyAlignment="1">
      <alignment horizontal="right"/>
    </xf>
    <xf numFmtId="0" fontId="7" fillId="104" borderId="77" xfId="0" applyFont="1" applyFill="1" applyBorder="1" applyAlignment="1">
      <alignment horizontal="center"/>
    </xf>
    <xf numFmtId="0" fontId="7" fillId="104" borderId="74" xfId="0" applyFont="1" applyFill="1" applyBorder="1" applyAlignment="1">
      <alignment horizontal="center"/>
    </xf>
    <xf numFmtId="0" fontId="7" fillId="104" borderId="77" xfId="0" applyFont="1" applyFill="1" applyBorder="1" applyAlignment="1"/>
    <xf numFmtId="0" fontId="7" fillId="104" borderId="74" xfId="0" applyFont="1" applyFill="1" applyBorder="1" applyAlignment="1"/>
    <xf numFmtId="0" fontId="7" fillId="105" borderId="55" xfId="0" applyFont="1" applyFill="1" applyBorder="1" applyAlignment="1">
      <alignment horizontal="center"/>
    </xf>
    <xf numFmtId="0" fontId="7" fillId="105" borderId="73" xfId="0" applyFont="1" applyFill="1" applyBorder="1" applyAlignment="1">
      <alignment horizontal="center"/>
    </xf>
    <xf numFmtId="4" fontId="0" fillId="106" borderId="14" xfId="0" applyNumberFormat="1" applyFont="1" applyFill="1" applyBorder="1" applyAlignment="1">
      <alignment horizontal="center"/>
    </xf>
    <xf numFmtId="4" fontId="0" fillId="0" borderId="90" xfId="0" applyNumberFormat="1" applyFont="1" applyFill="1" applyBorder="1" applyAlignment="1">
      <alignment horizontal="center"/>
    </xf>
    <xf numFmtId="0" fontId="7" fillId="21" borderId="76" xfId="0" applyFont="1" applyFill="1" applyBorder="1" applyAlignment="1">
      <alignment horizontal="right"/>
    </xf>
    <xf numFmtId="0" fontId="7" fillId="21" borderId="77" xfId="0" applyFont="1" applyFill="1" applyBorder="1" applyAlignment="1">
      <alignment horizontal="center"/>
    </xf>
    <xf numFmtId="0" fontId="7" fillId="21" borderId="74" xfId="0" applyFont="1" applyFill="1" applyBorder="1" applyAlignment="1">
      <alignment horizontal="center"/>
    </xf>
    <xf numFmtId="0" fontId="7" fillId="21" borderId="76" xfId="0" applyFont="1" applyFill="1" applyBorder="1"/>
    <xf numFmtId="0" fontId="7" fillId="21" borderId="91" xfId="0" applyFont="1" applyFill="1" applyBorder="1" applyAlignment="1">
      <alignment horizontal="center"/>
    </xf>
    <xf numFmtId="0" fontId="7" fillId="21" borderId="86" xfId="0" applyFont="1" applyFill="1" applyBorder="1" applyAlignment="1">
      <alignment horizontal="center"/>
    </xf>
    <xf numFmtId="0" fontId="7" fillId="21" borderId="44" xfId="0" applyFont="1" applyFill="1" applyBorder="1"/>
    <xf numFmtId="0" fontId="7" fillId="21" borderId="76" xfId="0" applyFont="1" applyFill="1" applyBorder="1" applyAlignment="1">
      <alignment horizontal="left"/>
    </xf>
    <xf numFmtId="0" fontId="7" fillId="21" borderId="44" xfId="0" applyFont="1" applyFill="1" applyBorder="1" applyAlignment="1">
      <alignment horizontal="center"/>
    </xf>
    <xf numFmtId="0" fontId="7" fillId="21" borderId="77" xfId="0" applyFont="1" applyFill="1" applyBorder="1" applyAlignment="1">
      <alignment horizontal="right"/>
    </xf>
    <xf numFmtId="0" fontId="7" fillId="22" borderId="76" xfId="0" applyFont="1" applyFill="1" applyBorder="1" applyAlignment="1">
      <alignment horizontal="right" vertical="center"/>
    </xf>
    <xf numFmtId="0" fontId="7" fillId="116" borderId="30" xfId="0" applyFont="1" applyFill="1" applyBorder="1" applyAlignment="1">
      <alignment horizontal="center"/>
    </xf>
    <xf numFmtId="0" fontId="7" fillId="22" borderId="78" xfId="0" applyFont="1" applyFill="1" applyBorder="1" applyAlignment="1">
      <alignment horizontal="right"/>
    </xf>
    <xf numFmtId="0" fontId="7" fillId="22" borderId="76" xfId="0" applyFont="1" applyFill="1" applyBorder="1" applyAlignment="1">
      <alignment horizontal="right"/>
    </xf>
    <xf numFmtId="0" fontId="7" fillId="22" borderId="74" xfId="0" applyFont="1" applyFill="1" applyBorder="1" applyAlignment="1">
      <alignment horizontal="center"/>
    </xf>
    <xf numFmtId="0" fontId="7" fillId="21" borderId="55" xfId="0" applyFont="1" applyFill="1" applyBorder="1" applyAlignment="1">
      <alignment horizontal="center" vertical="center"/>
    </xf>
    <xf numFmtId="0" fontId="7" fillId="21" borderId="73" xfId="0" applyFont="1" applyFill="1" applyBorder="1" applyAlignment="1">
      <alignment horizontal="center" vertical="center"/>
    </xf>
    <xf numFmtId="0" fontId="7" fillId="21" borderId="78" xfId="0" applyFont="1" applyFill="1" applyBorder="1" applyAlignment="1">
      <alignment horizontal="center" vertical="center"/>
    </xf>
    <xf numFmtId="0" fontId="7" fillId="21" borderId="42" xfId="0" applyFont="1" applyFill="1" applyBorder="1"/>
    <xf numFmtId="4" fontId="7" fillId="21" borderId="77" xfId="0" applyNumberFormat="1" applyFont="1" applyFill="1" applyBorder="1" applyAlignment="1">
      <alignment horizontal="center"/>
    </xf>
    <xf numFmtId="4" fontId="7" fillId="21" borderId="44" xfId="0" applyNumberFormat="1" applyFont="1" applyFill="1" applyBorder="1" applyAlignment="1">
      <alignment horizontal="center"/>
    </xf>
    <xf numFmtId="0" fontId="7" fillId="22" borderId="77" xfId="0" applyFont="1" applyFill="1" applyBorder="1" applyAlignment="1">
      <alignment horizontal="center"/>
    </xf>
    <xf numFmtId="0" fontId="7" fillId="22" borderId="44" xfId="0" applyFont="1" applyFill="1" applyBorder="1" applyAlignment="1">
      <alignment horizontal="center"/>
    </xf>
    <xf numFmtId="0" fontId="7" fillId="21" borderId="42" xfId="0" applyFont="1" applyFill="1" applyBorder="1" applyAlignment="1" applyProtection="1">
      <alignment horizontal="right"/>
    </xf>
    <xf numFmtId="0" fontId="7" fillId="21" borderId="77" xfId="0" applyFont="1" applyFill="1" applyBorder="1" applyAlignment="1" applyProtection="1">
      <alignment horizontal="center"/>
    </xf>
    <xf numFmtId="0" fontId="7" fillId="21" borderId="44" xfId="0" applyFont="1" applyFill="1" applyBorder="1" applyAlignment="1" applyProtection="1">
      <alignment horizontal="center"/>
    </xf>
    <xf numFmtId="0" fontId="7" fillId="21" borderId="35" xfId="0" applyFont="1" applyFill="1" applyBorder="1"/>
    <xf numFmtId="0" fontId="7" fillId="58" borderId="42" xfId="0" applyFont="1" applyFill="1" applyBorder="1" applyAlignment="1">
      <alignment horizontal="right"/>
    </xf>
    <xf numFmtId="0" fontId="7" fillId="58" borderId="77" xfId="0" applyFont="1" applyFill="1" applyBorder="1" applyAlignment="1">
      <alignment horizontal="center"/>
    </xf>
    <xf numFmtId="0" fontId="7" fillId="58" borderId="44" xfId="0" applyFont="1" applyFill="1" applyBorder="1" applyAlignment="1">
      <alignment horizontal="center"/>
    </xf>
    <xf numFmtId="0" fontId="7" fillId="59" borderId="76" xfId="0" applyFont="1" applyFill="1" applyBorder="1" applyAlignment="1">
      <alignment horizontal="right"/>
    </xf>
    <xf numFmtId="0" fontId="7" fillId="59" borderId="77" xfId="0" applyFont="1" applyFill="1" applyBorder="1" applyAlignment="1">
      <alignment horizontal="center"/>
    </xf>
    <xf numFmtId="0" fontId="7" fillId="59" borderId="74" xfId="0" applyFont="1" applyFill="1" applyBorder="1" applyAlignment="1">
      <alignment horizontal="center"/>
    </xf>
    <xf numFmtId="4" fontId="7" fillId="58" borderId="77" xfId="0" applyNumberFormat="1" applyFont="1" applyFill="1" applyBorder="1" applyAlignment="1">
      <alignment horizontal="center"/>
    </xf>
    <xf numFmtId="4" fontId="7" fillId="58" borderId="44" xfId="0" applyNumberFormat="1" applyFont="1" applyFill="1" applyBorder="1" applyAlignment="1">
      <alignment horizontal="center"/>
    </xf>
    <xf numFmtId="0" fontId="7" fillId="58" borderId="42" xfId="0" applyFont="1" applyFill="1" applyBorder="1" applyAlignment="1" applyProtection="1">
      <alignment horizontal="right"/>
    </xf>
    <xf numFmtId="4" fontId="7" fillId="58" borderId="77" xfId="0" applyNumberFormat="1" applyFont="1" applyFill="1" applyBorder="1" applyAlignment="1" applyProtection="1">
      <alignment horizontal="center"/>
    </xf>
    <xf numFmtId="4" fontId="7" fillId="58" borderId="44" xfId="0" applyNumberFormat="1" applyFont="1" applyFill="1" applyBorder="1" applyAlignment="1" applyProtection="1">
      <alignment horizontal="center"/>
    </xf>
    <xf numFmtId="0" fontId="7" fillId="59" borderId="42" xfId="0" applyFont="1" applyFill="1" applyBorder="1" applyAlignment="1">
      <alignment horizontal="right"/>
    </xf>
    <xf numFmtId="0" fontId="7" fillId="59" borderId="44" xfId="0" applyFont="1" applyFill="1" applyBorder="1" applyAlignment="1">
      <alignment horizontal="center"/>
    </xf>
    <xf numFmtId="0" fontId="7" fillId="53" borderId="85" xfId="0" applyFont="1" applyFill="1" applyBorder="1" applyAlignment="1">
      <alignment horizontal="center"/>
    </xf>
    <xf numFmtId="0" fontId="7" fillId="53" borderId="92" xfId="0" applyFont="1" applyFill="1" applyBorder="1" applyAlignment="1">
      <alignment horizontal="center"/>
    </xf>
    <xf numFmtId="0" fontId="7" fillId="50" borderId="78" xfId="0" applyFont="1" applyFill="1" applyBorder="1" applyAlignment="1">
      <alignment horizontal="right"/>
    </xf>
    <xf numFmtId="0" fontId="7" fillId="53" borderId="88" xfId="0" applyFont="1" applyFill="1" applyBorder="1" applyAlignment="1">
      <alignment horizontal="center"/>
    </xf>
    <xf numFmtId="0" fontId="7" fillId="50" borderId="78" xfId="0" applyFont="1" applyFill="1" applyBorder="1" applyAlignment="1">
      <alignment horizontal="right" vertical="center"/>
    </xf>
    <xf numFmtId="0" fontId="7" fillId="50" borderId="89" xfId="0" applyFont="1" applyFill="1" applyBorder="1" applyAlignment="1" applyProtection="1">
      <alignment horizontal="right"/>
    </xf>
    <xf numFmtId="0" fontId="7" fillId="50" borderId="83" xfId="0" applyFont="1" applyFill="1" applyBorder="1" applyAlignment="1" applyProtection="1">
      <alignment horizontal="center"/>
    </xf>
    <xf numFmtId="0" fontId="7" fillId="50" borderId="93" xfId="0" applyFont="1" applyFill="1" applyBorder="1" applyAlignment="1" applyProtection="1">
      <alignment horizontal="center"/>
    </xf>
    <xf numFmtId="0" fontId="7" fillId="50" borderId="87" xfId="0" applyFont="1" applyFill="1" applyBorder="1" applyAlignment="1" applyProtection="1">
      <alignment horizontal="center"/>
    </xf>
    <xf numFmtId="0" fontId="7" fillId="8" borderId="42" xfId="0" applyFont="1" applyFill="1" applyBorder="1" applyAlignment="1">
      <alignment horizontal="right"/>
    </xf>
    <xf numFmtId="0" fontId="7" fillId="8" borderId="77" xfId="0" applyFont="1" applyFill="1" applyBorder="1" applyAlignment="1">
      <alignment horizontal="center"/>
    </xf>
    <xf numFmtId="0" fontId="7" fillId="8" borderId="44" xfId="0" applyFont="1" applyFill="1" applyBorder="1" applyAlignment="1">
      <alignment horizontal="center"/>
    </xf>
    <xf numFmtId="0" fontId="7" fillId="113" borderId="42" xfId="0" applyFont="1" applyFill="1" applyBorder="1" applyAlignment="1">
      <alignment horizontal="right"/>
    </xf>
    <xf numFmtId="0" fontId="7" fillId="4" borderId="74" xfId="0" applyFont="1" applyFill="1" applyBorder="1" applyAlignment="1">
      <alignment horizontal="center"/>
    </xf>
    <xf numFmtId="0" fontId="7" fillId="4" borderId="42" xfId="0" applyFont="1" applyFill="1" applyBorder="1" applyAlignment="1">
      <alignment horizontal="right"/>
    </xf>
    <xf numFmtId="0" fontId="58" fillId="29" borderId="76" xfId="0" applyFont="1" applyFill="1" applyBorder="1" applyAlignment="1" applyProtection="1">
      <alignment horizontal="left"/>
    </xf>
    <xf numFmtId="3" fontId="14" fillId="0" borderId="1" xfId="0" applyNumberFormat="1" applyFont="1" applyFill="1" applyBorder="1" applyAlignment="1">
      <alignment horizontal="right"/>
    </xf>
    <xf numFmtId="3" fontId="62" fillId="2" borderId="1" xfId="0" applyNumberFormat="1" applyFont="1" applyFill="1" applyBorder="1" applyAlignment="1">
      <alignment horizontal="right"/>
    </xf>
    <xf numFmtId="2" fontId="0" fillId="0" borderId="0" xfId="0" applyNumberFormat="1" applyFont="1" applyFill="1" applyBorder="1" applyAlignment="1">
      <alignment horizontal="center"/>
    </xf>
    <xf numFmtId="0" fontId="35" fillId="7" borderId="0" xfId="0" applyFont="1" applyFill="1" applyBorder="1" applyAlignment="1" applyProtection="1">
      <alignment horizontal="left"/>
      <protection locked="0"/>
    </xf>
    <xf numFmtId="0" fontId="6" fillId="7" borderId="0" xfId="0" applyFont="1" applyFill="1" applyBorder="1"/>
    <xf numFmtId="3" fontId="9" fillId="7" borderId="0" xfId="0" applyNumberFormat="1" applyFont="1" applyFill="1" applyBorder="1" applyAlignment="1">
      <alignment horizontal="right"/>
    </xf>
    <xf numFmtId="3" fontId="9" fillId="7" borderId="0" xfId="0" applyNumberFormat="1" applyFont="1" applyFill="1" applyBorder="1"/>
    <xf numFmtId="3" fontId="9" fillId="7" borderId="0" xfId="0" applyNumberFormat="1" applyFont="1" applyFill="1" applyBorder="1" applyAlignment="1" applyProtection="1">
      <alignment horizontal="right"/>
    </xf>
    <xf numFmtId="3" fontId="9" fillId="7" borderId="0" xfId="0" applyNumberFormat="1" applyFont="1" applyFill="1" applyBorder="1" applyAlignment="1" applyProtection="1">
      <alignment horizontal="left"/>
    </xf>
    <xf numFmtId="3" fontId="6" fillId="7" borderId="0" xfId="0" applyNumberFormat="1" applyFont="1" applyFill="1" applyBorder="1" applyAlignment="1">
      <alignment horizontal="right"/>
    </xf>
    <xf numFmtId="0" fontId="49" fillId="15" borderId="0" xfId="0" applyFont="1" applyFill="1" applyBorder="1" applyAlignment="1" applyProtection="1">
      <alignment horizontal="left"/>
      <protection locked="0"/>
    </xf>
    <xf numFmtId="0" fontId="6" fillId="15" borderId="0" xfId="0" applyFont="1" applyFill="1" applyBorder="1" applyAlignment="1">
      <alignment horizontal="center"/>
    </xf>
    <xf numFmtId="3" fontId="6" fillId="15" borderId="0" xfId="0" applyNumberFormat="1" applyFont="1" applyFill="1" applyBorder="1" applyAlignment="1">
      <alignment horizontal="right"/>
    </xf>
    <xf numFmtId="3" fontId="6" fillId="15" borderId="0" xfId="0" applyNumberFormat="1" applyFont="1" applyFill="1" applyBorder="1" applyAlignment="1" applyProtection="1">
      <alignment horizontal="right"/>
    </xf>
    <xf numFmtId="3" fontId="0" fillId="15" borderId="0" xfId="0" applyNumberFormat="1" applyFont="1" applyFill="1" applyBorder="1" applyAlignment="1">
      <alignment horizontal="right"/>
    </xf>
    <xf numFmtId="0" fontId="35" fillId="15" borderId="0" xfId="0" applyFont="1" applyFill="1" applyBorder="1" applyAlignment="1" applyProtection="1">
      <alignment horizontal="left"/>
      <protection locked="0"/>
    </xf>
    <xf numFmtId="0" fontId="49" fillId="7" borderId="0" xfId="0" applyFont="1" applyFill="1" applyBorder="1" applyAlignment="1" applyProtection="1">
      <alignment horizontal="left"/>
      <protection locked="0"/>
    </xf>
    <xf numFmtId="0" fontId="6" fillId="7" borderId="0" xfId="0" applyFont="1" applyFill="1" applyBorder="1" applyAlignment="1">
      <alignment horizontal="center"/>
    </xf>
    <xf numFmtId="3" fontId="9" fillId="7" borderId="0" xfId="42" applyNumberFormat="1" applyFont="1" applyFill="1" applyBorder="1" applyAlignment="1" applyProtection="1">
      <alignment horizontal="right"/>
    </xf>
    <xf numFmtId="3" fontId="6" fillId="7" borderId="0" xfId="42" applyNumberFormat="1" applyFont="1" applyFill="1" applyBorder="1" applyAlignment="1" applyProtection="1">
      <alignment horizontal="right"/>
    </xf>
    <xf numFmtId="3" fontId="14" fillId="29" borderId="0" xfId="0" applyNumberFormat="1" applyFont="1" applyFill="1" applyBorder="1" applyAlignment="1">
      <alignment horizontal="center"/>
    </xf>
    <xf numFmtId="3" fontId="14" fillId="29" borderId="2" xfId="0" applyNumberFormat="1" applyFont="1" applyFill="1" applyBorder="1" applyAlignment="1">
      <alignment horizontal="center"/>
    </xf>
    <xf numFmtId="3" fontId="14" fillId="29" borderId="2" xfId="0" applyNumberFormat="1" applyFont="1" applyFill="1" applyBorder="1" applyAlignment="1">
      <alignment horizontal="right"/>
    </xf>
    <xf numFmtId="0" fontId="60" fillId="29" borderId="3" xfId="0" applyFont="1" applyFill="1" applyBorder="1" applyAlignment="1" applyProtection="1">
      <alignment horizontal="left"/>
      <protection locked="0"/>
    </xf>
    <xf numFmtId="0" fontId="14" fillId="29" borderId="32" xfId="0" applyFont="1" applyFill="1" applyBorder="1" applyAlignment="1">
      <alignment horizontal="center"/>
    </xf>
    <xf numFmtId="3" fontId="14" fillId="29" borderId="4" xfId="0" quotePrefix="1" applyNumberFormat="1" applyFont="1" applyFill="1" applyBorder="1" applyAlignment="1">
      <alignment horizontal="center"/>
    </xf>
    <xf numFmtId="3" fontId="14" fillId="29" borderId="4" xfId="0" applyNumberFormat="1" applyFont="1" applyFill="1" applyBorder="1" applyAlignment="1">
      <alignment horizontal="right"/>
    </xf>
    <xf numFmtId="3" fontId="14" fillId="29" borderId="5" xfId="0" quotePrefix="1" applyNumberFormat="1" applyFont="1" applyFill="1" applyBorder="1" applyAlignment="1">
      <alignment horizontal="center"/>
    </xf>
    <xf numFmtId="3" fontId="14" fillId="29" borderId="3" xfId="0" applyNumberFormat="1" applyFont="1" applyFill="1" applyBorder="1" applyAlignment="1">
      <alignment horizontal="right"/>
    </xf>
    <xf numFmtId="3" fontId="14" fillId="29" borderId="5" xfId="0" applyNumberFormat="1" applyFont="1" applyFill="1" applyBorder="1" applyAlignment="1" applyProtection="1">
      <alignment horizontal="right"/>
    </xf>
    <xf numFmtId="0" fontId="14" fillId="2" borderId="31" xfId="0" quotePrefix="1" applyFont="1" applyFill="1" applyBorder="1" applyAlignment="1" applyProtection="1">
      <alignment horizontal="center"/>
    </xf>
    <xf numFmtId="0" fontId="6" fillId="7" borderId="0" xfId="0" applyFont="1" applyFill="1" applyBorder="1" applyAlignment="1" applyProtection="1">
      <alignment horizontal="center"/>
    </xf>
    <xf numFmtId="3" fontId="6" fillId="7" borderId="0" xfId="0" applyNumberFormat="1" applyFont="1" applyFill="1" applyBorder="1" applyAlignment="1" applyProtection="1">
      <alignment horizontal="right"/>
    </xf>
    <xf numFmtId="3" fontId="6" fillId="7" borderId="0" xfId="0" applyNumberFormat="1" applyFont="1" applyFill="1" applyBorder="1" applyAlignment="1" applyProtection="1">
      <alignment horizontal="center"/>
    </xf>
    <xf numFmtId="166" fontId="6" fillId="7" borderId="0" xfId="0" applyNumberFormat="1" applyFont="1" applyFill="1" applyBorder="1" applyAlignment="1" applyProtection="1">
      <alignment horizontal="right"/>
    </xf>
    <xf numFmtId="0" fontId="39" fillId="7" borderId="0" xfId="0" applyFont="1" applyFill="1" applyBorder="1" applyAlignment="1" applyProtection="1">
      <alignment horizontal="left"/>
      <protection locked="0"/>
    </xf>
    <xf numFmtId="3" fontId="6" fillId="7" borderId="0" xfId="0" applyNumberFormat="1" applyFont="1" applyFill="1" applyBorder="1"/>
    <xf numFmtId="3" fontId="6" fillId="7" borderId="0" xfId="0" applyNumberFormat="1" applyFont="1" applyFill="1" applyBorder="1" applyProtection="1"/>
    <xf numFmtId="3" fontId="41" fillId="7" borderId="0" xfId="0" applyNumberFormat="1" applyFont="1" applyFill="1" applyBorder="1" applyAlignment="1">
      <alignment horizontal="right"/>
    </xf>
    <xf numFmtId="3" fontId="41" fillId="7" borderId="0" xfId="0" applyNumberFormat="1" applyFont="1" applyFill="1" applyBorder="1" applyAlignment="1" applyProtection="1">
      <alignment horizontal="right"/>
    </xf>
    <xf numFmtId="0" fontId="38" fillId="7" borderId="0" xfId="0" applyFont="1" applyFill="1" applyBorder="1" applyAlignment="1" applyProtection="1">
      <alignment horizontal="left"/>
      <protection locked="0"/>
    </xf>
    <xf numFmtId="3" fontId="6" fillId="7" borderId="0" xfId="0" applyNumberFormat="1" applyFont="1" applyFill="1" applyBorder="1" applyAlignment="1">
      <alignment horizontal="center"/>
    </xf>
    <xf numFmtId="3" fontId="6" fillId="7" borderId="0" xfId="0" quotePrefix="1" applyNumberFormat="1" applyFont="1" applyFill="1" applyBorder="1" applyAlignment="1">
      <alignment horizontal="right"/>
    </xf>
    <xf numFmtId="3" fontId="6" fillId="7" borderId="0" xfId="0" quotePrefix="1" applyNumberFormat="1" applyFont="1" applyFill="1" applyBorder="1" applyAlignment="1">
      <alignment horizontal="left"/>
    </xf>
    <xf numFmtId="0" fontId="37" fillId="7" borderId="0" xfId="0" applyFont="1" applyFill="1" applyBorder="1" applyAlignment="1" applyProtection="1">
      <alignment horizontal="left"/>
    </xf>
    <xf numFmtId="3" fontId="15" fillId="7" borderId="0" xfId="0" applyNumberFormat="1" applyFont="1" applyFill="1" applyBorder="1"/>
    <xf numFmtId="3" fontId="6" fillId="7" borderId="0" xfId="0" applyNumberFormat="1" applyFont="1" applyFill="1" applyBorder="1" applyAlignment="1" applyProtection="1">
      <alignment horizontal="left"/>
    </xf>
    <xf numFmtId="0" fontId="6" fillId="7" borderId="0" xfId="0" quotePrefix="1" applyFont="1" applyFill="1" applyBorder="1" applyAlignment="1" applyProtection="1">
      <alignment horizontal="center"/>
    </xf>
    <xf numFmtId="3" fontId="6" fillId="7" borderId="0" xfId="0" quotePrefix="1" applyNumberFormat="1" applyFont="1" applyFill="1" applyBorder="1" applyAlignment="1" applyProtection="1">
      <alignment horizontal="right"/>
    </xf>
    <xf numFmtId="3" fontId="40" fillId="7" borderId="0" xfId="0" applyNumberFormat="1" applyFont="1" applyFill="1" applyBorder="1" applyAlignment="1" applyProtection="1">
      <alignment horizontal="right"/>
    </xf>
    <xf numFmtId="0" fontId="6" fillId="7" borderId="0" xfId="0" applyFont="1" applyFill="1" applyBorder="1" applyAlignment="1" applyProtection="1">
      <alignment horizontal="left"/>
    </xf>
    <xf numFmtId="3" fontId="6" fillId="7" borderId="0" xfId="0" applyNumberFormat="1" applyFont="1" applyFill="1"/>
    <xf numFmtId="0" fontId="6" fillId="7" borderId="0" xfId="0" applyFont="1" applyFill="1" applyBorder="1" applyAlignment="1" applyProtection="1">
      <alignment horizontal="right"/>
    </xf>
    <xf numFmtId="0" fontId="6" fillId="7" borderId="0" xfId="0" applyFont="1" applyFill="1" applyBorder="1" applyAlignment="1">
      <alignment horizontal="right"/>
    </xf>
    <xf numFmtId="3" fontId="40" fillId="7" borderId="0" xfId="0" quotePrefix="1" applyNumberFormat="1" applyFont="1" applyFill="1" applyBorder="1" applyAlignment="1">
      <alignment horizontal="right"/>
    </xf>
    <xf numFmtId="0" fontId="35" fillId="130" borderId="0" xfId="0" applyFont="1" applyFill="1" applyBorder="1" applyAlignment="1" applyProtection="1">
      <alignment horizontal="left"/>
      <protection locked="0"/>
    </xf>
    <xf numFmtId="0" fontId="6" fillId="130" borderId="0" xfId="0" applyFont="1" applyFill="1" applyBorder="1" applyAlignment="1">
      <alignment horizontal="center"/>
    </xf>
    <xf numFmtId="3" fontId="6" fillId="130" borderId="0" xfId="0" applyNumberFormat="1" applyFont="1" applyFill="1" applyBorder="1" applyAlignment="1">
      <alignment horizontal="right"/>
    </xf>
    <xf numFmtId="3" fontId="9" fillId="130" borderId="0" xfId="0" applyNumberFormat="1" applyFont="1" applyFill="1" applyBorder="1" applyAlignment="1">
      <alignment horizontal="right"/>
    </xf>
    <xf numFmtId="3" fontId="5" fillId="130" borderId="0" xfId="0" applyNumberFormat="1" applyFont="1" applyFill="1" applyBorder="1" applyAlignment="1">
      <alignment horizontal="right"/>
    </xf>
    <xf numFmtId="3" fontId="6" fillId="130" borderId="0" xfId="0" applyNumberFormat="1" applyFont="1" applyFill="1" applyBorder="1"/>
    <xf numFmtId="3" fontId="5" fillId="130" borderId="0" xfId="0" applyNumberFormat="1" applyFont="1" applyFill="1" applyBorder="1"/>
    <xf numFmtId="3" fontId="6" fillId="130" borderId="0" xfId="0" applyNumberFormat="1" applyFont="1" applyFill="1" applyBorder="1" applyProtection="1"/>
    <xf numFmtId="3" fontId="5" fillId="130" borderId="0" xfId="0" applyNumberFormat="1" applyFont="1" applyFill="1" applyBorder="1" applyProtection="1"/>
    <xf numFmtId="3" fontId="6" fillId="130" borderId="0" xfId="0" quotePrefix="1" applyNumberFormat="1" applyFont="1" applyFill="1" applyBorder="1" applyAlignment="1">
      <alignment horizontal="right"/>
    </xf>
    <xf numFmtId="3" fontId="5" fillId="130" borderId="0" xfId="0" quotePrefix="1" applyNumberFormat="1" applyFont="1" applyFill="1" applyBorder="1" applyAlignment="1">
      <alignment horizontal="right"/>
    </xf>
    <xf numFmtId="3" fontId="40" fillId="130" borderId="0" xfId="0" quotePrefix="1" applyNumberFormat="1" applyFont="1" applyFill="1" applyBorder="1" applyAlignment="1">
      <alignment horizontal="right"/>
    </xf>
    <xf numFmtId="3" fontId="6" fillId="130" borderId="0" xfId="0" quotePrefix="1" applyNumberFormat="1" applyFont="1" applyFill="1" applyBorder="1" applyAlignment="1">
      <alignment horizontal="left"/>
    </xf>
    <xf numFmtId="0" fontId="6" fillId="130" borderId="0" xfId="0" applyFont="1" applyFill="1" applyBorder="1"/>
    <xf numFmtId="3" fontId="9" fillId="130" borderId="0" xfId="0" applyNumberFormat="1" applyFont="1" applyFill="1" applyBorder="1"/>
    <xf numFmtId="3" fontId="9" fillId="130" borderId="0" xfId="0" quotePrefix="1" applyNumberFormat="1" applyFont="1" applyFill="1" applyBorder="1" applyAlignment="1" applyProtection="1">
      <alignment horizontal="center"/>
    </xf>
    <xf numFmtId="3" fontId="9" fillId="130" borderId="0" xfId="0" applyNumberFormat="1" applyFont="1" applyFill="1" applyBorder="1" applyAlignment="1" applyProtection="1">
      <alignment horizontal="right"/>
    </xf>
    <xf numFmtId="3" fontId="9" fillId="130" borderId="0" xfId="0" applyNumberFormat="1" applyFont="1" applyFill="1" applyBorder="1" applyProtection="1"/>
    <xf numFmtId="3" fontId="9" fillId="130" borderId="0" xfId="0" quotePrefix="1" applyNumberFormat="1" applyFont="1" applyFill="1" applyBorder="1" applyAlignment="1">
      <alignment horizontal="left"/>
    </xf>
    <xf numFmtId="3" fontId="9" fillId="130" borderId="0" xfId="0" quotePrefix="1" applyNumberFormat="1" applyFont="1" applyFill="1" applyBorder="1" applyAlignment="1">
      <alignment horizontal="right"/>
    </xf>
    <xf numFmtId="3" fontId="41" fillId="130" borderId="0" xfId="0" quotePrefix="1" applyNumberFormat="1" applyFont="1" applyFill="1" applyBorder="1" applyAlignment="1">
      <alignment horizontal="right"/>
    </xf>
    <xf numFmtId="3" fontId="9" fillId="130" borderId="0" xfId="0" applyNumberFormat="1" applyFont="1" applyFill="1" applyBorder="1" applyAlignment="1" applyProtection="1">
      <alignment horizontal="left"/>
    </xf>
    <xf numFmtId="0" fontId="6" fillId="130" borderId="0" xfId="0" applyFont="1" applyFill="1"/>
    <xf numFmtId="3" fontId="6" fillId="130" borderId="0" xfId="0" applyNumberFormat="1" applyFont="1" applyFill="1"/>
    <xf numFmtId="3" fontId="6" fillId="130" borderId="0" xfId="0" applyNumberFormat="1" applyFont="1" applyFill="1" applyAlignment="1">
      <alignment horizontal="right"/>
    </xf>
    <xf numFmtId="0" fontId="40" fillId="130" borderId="0" xfId="0" applyFont="1" applyFill="1" applyAlignment="1">
      <alignment horizontal="right"/>
    </xf>
    <xf numFmtId="3" fontId="6" fillId="130" borderId="0" xfId="0" applyNumberFormat="1" applyFont="1" applyFill="1" applyBorder="1" applyAlignment="1" applyProtection="1">
      <alignment horizontal="right"/>
    </xf>
    <xf numFmtId="0" fontId="6" fillId="130" borderId="0" xfId="0" applyFont="1" applyFill="1" applyAlignment="1">
      <alignment horizontal="right"/>
    </xf>
    <xf numFmtId="0" fontId="35" fillId="29" borderId="0" xfId="0" applyFont="1" applyFill="1" applyBorder="1" applyAlignment="1" applyProtection="1">
      <alignment horizontal="left"/>
      <protection locked="0"/>
    </xf>
    <xf numFmtId="0" fontId="6" fillId="29" borderId="0" xfId="0" applyFont="1" applyFill="1" applyBorder="1" applyAlignment="1">
      <alignment horizontal="center"/>
    </xf>
    <xf numFmtId="3" fontId="6" fillId="29" borderId="0" xfId="0" applyNumberFormat="1" applyFont="1" applyFill="1" applyBorder="1" applyAlignment="1">
      <alignment horizontal="right"/>
    </xf>
    <xf numFmtId="3" fontId="9" fillId="29" borderId="0" xfId="0" applyNumberFormat="1" applyFont="1" applyFill="1" applyBorder="1" applyAlignment="1">
      <alignment horizontal="right"/>
    </xf>
    <xf numFmtId="3" fontId="6" fillId="29" borderId="0" xfId="0" quotePrefix="1" applyNumberFormat="1" applyFont="1" applyFill="1" applyBorder="1" applyAlignment="1">
      <alignment horizontal="left"/>
    </xf>
    <xf numFmtId="0" fontId="6" fillId="29" borderId="0" xfId="0" applyFont="1" applyFill="1" applyBorder="1"/>
    <xf numFmtId="166" fontId="6" fillId="2" borderId="0" xfId="0" applyNumberFormat="1" applyFont="1" applyFill="1" applyBorder="1" applyAlignment="1">
      <alignment horizontal="right"/>
    </xf>
    <xf numFmtId="3" fontId="1" fillId="2" borderId="0" xfId="49" applyNumberFormat="1" applyFont="1" applyFill="1" applyBorder="1" applyAlignment="1" applyProtection="1">
      <alignment horizontal="right"/>
    </xf>
    <xf numFmtId="3" fontId="0" fillId="2" borderId="0" xfId="49" applyNumberFormat="1" applyFont="1" applyFill="1" applyBorder="1" applyAlignment="1" applyProtection="1">
      <alignment horizontal="right"/>
    </xf>
    <xf numFmtId="3" fontId="6" fillId="7" borderId="0" xfId="49" applyNumberFormat="1" applyFont="1" applyFill="1" applyBorder="1" applyAlignment="1" applyProtection="1">
      <alignment horizontal="right"/>
    </xf>
    <xf numFmtId="3" fontId="1" fillId="7" borderId="0" xfId="42" applyNumberFormat="1" applyFont="1" applyFill="1" applyBorder="1" applyAlignment="1" applyProtection="1">
      <alignment horizontal="right"/>
    </xf>
    <xf numFmtId="0" fontId="9" fillId="7" borderId="0" xfId="0" applyFont="1" applyFill="1" applyBorder="1" applyAlignment="1" applyProtection="1">
      <alignment horizontal="left"/>
    </xf>
    <xf numFmtId="0" fontId="9" fillId="7" borderId="0" xfId="0" applyFont="1" applyFill="1" applyBorder="1" applyAlignment="1" applyProtection="1">
      <alignment horizontal="center"/>
    </xf>
    <xf numFmtId="3" fontId="6" fillId="7" borderId="0" xfId="42" applyNumberFormat="1" applyFont="1" applyFill="1" applyBorder="1" applyAlignment="1">
      <alignment horizontal="right"/>
    </xf>
    <xf numFmtId="3" fontId="0" fillId="7" borderId="0" xfId="0" applyNumberFormat="1" applyFont="1" applyFill="1" applyBorder="1" applyAlignment="1">
      <alignment horizontal="right"/>
    </xf>
    <xf numFmtId="3" fontId="8" fillId="7" borderId="0" xfId="0" applyNumberFormat="1" applyFont="1" applyFill="1" applyBorder="1" applyAlignment="1">
      <alignment horizontal="right"/>
    </xf>
    <xf numFmtId="0" fontId="6" fillId="29" borderId="0" xfId="0" applyFont="1" applyFill="1" applyBorder="1" applyAlignment="1">
      <alignment horizontal="right"/>
    </xf>
    <xf numFmtId="170" fontId="6" fillId="29" borderId="0" xfId="0" applyNumberFormat="1" applyFont="1" applyFill="1" applyBorder="1" applyAlignment="1">
      <alignment horizontal="right"/>
    </xf>
    <xf numFmtId="0" fontId="50" fillId="7" borderId="0" xfId="0" applyFont="1" applyFill="1" applyBorder="1" applyAlignment="1" applyProtection="1">
      <alignment horizontal="left"/>
    </xf>
    <xf numFmtId="0" fontId="50" fillId="7" borderId="0" xfId="0" quotePrefix="1" applyFont="1" applyFill="1" applyBorder="1" applyAlignment="1" applyProtection="1">
      <alignment horizontal="left"/>
    </xf>
    <xf numFmtId="0" fontId="51" fillId="7" borderId="0" xfId="0" applyFont="1" applyFill="1" applyBorder="1" applyAlignment="1" applyProtection="1">
      <alignment horizontal="left"/>
      <protection locked="0"/>
    </xf>
    <xf numFmtId="3" fontId="9" fillId="15" borderId="0" xfId="0" applyNumberFormat="1" applyFont="1" applyFill="1" applyBorder="1" applyAlignment="1">
      <alignment horizontal="right"/>
    </xf>
    <xf numFmtId="3" fontId="9" fillId="15" borderId="0" xfId="0" applyNumberFormat="1" applyFont="1" applyFill="1" applyBorder="1" applyAlignment="1" applyProtection="1">
      <alignment horizontal="right"/>
    </xf>
    <xf numFmtId="3" fontId="5" fillId="15" borderId="0" xfId="0" applyNumberFormat="1" applyFont="1" applyFill="1" applyBorder="1" applyAlignment="1">
      <alignment horizontal="right"/>
    </xf>
    <xf numFmtId="3" fontId="9" fillId="15" borderId="0" xfId="0" quotePrefix="1" applyNumberFormat="1" applyFont="1" applyFill="1" applyBorder="1" applyAlignment="1" applyProtection="1">
      <alignment horizontal="right"/>
    </xf>
    <xf numFmtId="3" fontId="9" fillId="15" borderId="0" xfId="0" quotePrefix="1" applyNumberFormat="1" applyFont="1" applyFill="1" applyBorder="1" applyAlignment="1">
      <alignment horizontal="right"/>
    </xf>
    <xf numFmtId="3" fontId="6" fillId="15" borderId="0" xfId="0" applyNumberFormat="1" applyFont="1" applyFill="1" applyBorder="1"/>
    <xf numFmtId="3" fontId="6" fillId="15" borderId="0" xfId="0" applyNumberFormat="1" applyFont="1" applyFill="1" applyBorder="1" applyProtection="1"/>
    <xf numFmtId="0" fontId="0" fillId="15" borderId="0" xfId="0" applyFont="1" applyFill="1" applyBorder="1"/>
    <xf numFmtId="3" fontId="0" fillId="7" borderId="0" xfId="0" applyNumberFormat="1" applyFont="1" applyFill="1" applyAlignment="1">
      <alignment horizontal="right"/>
    </xf>
    <xf numFmtId="3" fontId="0" fillId="7" borderId="0" xfId="0" applyNumberFormat="1" applyFill="1" applyAlignment="1">
      <alignment horizontal="right"/>
    </xf>
    <xf numFmtId="3" fontId="0" fillId="7" borderId="0" xfId="42" applyNumberFormat="1" applyFont="1" applyFill="1" applyAlignment="1">
      <alignment horizontal="right"/>
    </xf>
    <xf numFmtId="3" fontId="9" fillId="15" borderId="0" xfId="42" applyNumberFormat="1" applyFont="1" applyFill="1" applyBorder="1" applyAlignment="1" applyProtection="1">
      <alignment horizontal="right"/>
    </xf>
    <xf numFmtId="166" fontId="9" fillId="15" borderId="0" xfId="0" applyNumberFormat="1" applyFont="1" applyFill="1" applyBorder="1" applyAlignment="1" applyProtection="1">
      <alignment horizontal="right"/>
    </xf>
    <xf numFmtId="170" fontId="9" fillId="15" borderId="0" xfId="0" applyNumberFormat="1" applyFont="1" applyFill="1" applyBorder="1" applyAlignment="1" applyProtection="1">
      <alignment horizontal="right"/>
    </xf>
    <xf numFmtId="166" fontId="9" fillId="15" borderId="0" xfId="42" applyNumberFormat="1" applyFont="1" applyFill="1" applyBorder="1" applyAlignment="1" applyProtection="1">
      <alignment horizontal="right"/>
    </xf>
    <xf numFmtId="0" fontId="5" fillId="29" borderId="37" xfId="0" applyFont="1" applyFill="1" applyBorder="1"/>
    <xf numFmtId="3" fontId="0" fillId="0" borderId="0" xfId="42" applyNumberFormat="1" applyFont="1" applyFill="1" applyBorder="1" applyAlignment="1" applyProtection="1">
      <alignment horizontal="right"/>
    </xf>
    <xf numFmtId="190" fontId="6" fillId="2" borderId="0" xfId="0" applyNumberFormat="1" applyFont="1" applyFill="1" applyBorder="1" applyAlignment="1" applyProtection="1">
      <alignment horizontal="right"/>
    </xf>
    <xf numFmtId="4" fontId="6" fillId="52" borderId="24" xfId="0" applyNumberFormat="1" applyFont="1" applyFill="1" applyBorder="1" applyAlignment="1">
      <alignment horizontal="center"/>
    </xf>
    <xf numFmtId="4" fontId="0" fillId="0" borderId="0" xfId="0" applyNumberFormat="1" applyFont="1" applyBorder="1" applyAlignment="1" applyProtection="1">
      <alignment horizontal="center"/>
    </xf>
    <xf numFmtId="17" fontId="7" fillId="0" borderId="0" xfId="0" applyNumberFormat="1" applyFont="1" applyFill="1" applyBorder="1" applyProtection="1"/>
    <xf numFmtId="0" fontId="7" fillId="0" borderId="0" xfId="0" applyNumberFormat="1" applyFont="1" applyFill="1" applyBorder="1" applyAlignment="1">
      <alignment horizontal="right"/>
    </xf>
    <xf numFmtId="2" fontId="6" fillId="0" borderId="0" xfId="0" applyNumberFormat="1" applyFont="1" applyFill="1" applyBorder="1" applyAlignment="1">
      <alignment horizontal="center"/>
    </xf>
    <xf numFmtId="0" fontId="7" fillId="21" borderId="7" xfId="0" applyFont="1" applyFill="1" applyBorder="1"/>
    <xf numFmtId="4" fontId="6" fillId="2" borderId="24" xfId="0" applyNumberFormat="1" applyFont="1" applyFill="1" applyBorder="1" applyAlignment="1">
      <alignment horizontal="center"/>
    </xf>
    <xf numFmtId="166" fontId="130" fillId="0" borderId="0" xfId="26220" applyNumberFormat="1" applyFont="1" applyFill="1"/>
    <xf numFmtId="0" fontId="0" fillId="0" borderId="0" xfId="0" applyFill="1" applyAlignment="1">
      <alignment horizontal="center"/>
    </xf>
    <xf numFmtId="0" fontId="5" fillId="0" borderId="0" xfId="0" applyFont="1" applyAlignment="1">
      <alignment horizontal="center"/>
    </xf>
    <xf numFmtId="169" fontId="11" fillId="0" borderId="0" xfId="0" applyNumberFormat="1" applyFont="1" applyFill="1" applyBorder="1" applyAlignment="1">
      <alignment horizontal="right"/>
    </xf>
    <xf numFmtId="0" fontId="9" fillId="0" borderId="0" xfId="0" applyFont="1" applyFill="1" applyAlignment="1">
      <alignment horizontal="center"/>
    </xf>
    <xf numFmtId="4" fontId="6" fillId="15" borderId="5" xfId="0" applyNumberFormat="1" applyFont="1" applyFill="1" applyBorder="1" applyAlignment="1">
      <alignment horizontal="center"/>
    </xf>
    <xf numFmtId="0" fontId="129" fillId="0" borderId="0" xfId="0" applyFont="1" applyFill="1" applyAlignment="1">
      <alignment horizontal="center"/>
    </xf>
    <xf numFmtId="4" fontId="6" fillId="15" borderId="6" xfId="0" applyNumberFormat="1" applyFont="1" applyFill="1" applyBorder="1" applyAlignment="1">
      <alignment horizontal="center"/>
    </xf>
    <xf numFmtId="4" fontId="6" fillId="5" borderId="25" xfId="0" applyNumberFormat="1" applyFont="1" applyFill="1" applyBorder="1" applyAlignment="1">
      <alignment horizontal="center"/>
    </xf>
    <xf numFmtId="0" fontId="7" fillId="8" borderId="6" xfId="0" applyNumberFormat="1" applyFont="1" applyFill="1" applyBorder="1"/>
    <xf numFmtId="2" fontId="6" fillId="0" borderId="29" xfId="0" applyNumberFormat="1" applyFont="1" applyFill="1" applyBorder="1" applyAlignment="1">
      <alignment horizontal="center"/>
    </xf>
    <xf numFmtId="2" fontId="6" fillId="0" borderId="25" xfId="0" applyNumberFormat="1" applyFont="1" applyFill="1" applyBorder="1" applyAlignment="1">
      <alignment horizontal="center"/>
    </xf>
    <xf numFmtId="4" fontId="6" fillId="0" borderId="8" xfId="0" applyNumberFormat="1" applyFont="1" applyFill="1" applyBorder="1" applyAlignment="1">
      <alignment horizontal="center"/>
    </xf>
    <xf numFmtId="17" fontId="7" fillId="123" borderId="32" xfId="0" applyNumberFormat="1" applyFont="1" applyFill="1" applyBorder="1"/>
    <xf numFmtId="170" fontId="6" fillId="3" borderId="5" xfId="0" applyNumberFormat="1" applyFont="1" applyFill="1" applyBorder="1" applyAlignment="1">
      <alignment horizontal="center"/>
    </xf>
    <xf numFmtId="0" fontId="7" fillId="17" borderId="32" xfId="0" applyNumberFormat="1" applyFont="1" applyFill="1" applyBorder="1"/>
    <xf numFmtId="4" fontId="6" fillId="10" borderId="25" xfId="0" applyNumberFormat="1" applyFont="1" applyFill="1" applyBorder="1" applyAlignment="1">
      <alignment horizontal="center"/>
    </xf>
    <xf numFmtId="0" fontId="43" fillId="0" borderId="0" xfId="0" applyFont="1"/>
    <xf numFmtId="166" fontId="0" fillId="0" borderId="0" xfId="0" applyNumberFormat="1" applyFont="1" applyFill="1" applyAlignment="1">
      <alignment horizontal="right"/>
    </xf>
    <xf numFmtId="3" fontId="6" fillId="0" borderId="29" xfId="0" applyNumberFormat="1" applyFont="1" applyFill="1" applyBorder="1" applyAlignment="1">
      <alignment horizontal="center"/>
    </xf>
    <xf numFmtId="0" fontId="0" fillId="0" borderId="2" xfId="0" applyBorder="1"/>
    <xf numFmtId="0" fontId="9" fillId="2" borderId="0" xfId="0" applyFont="1" applyFill="1" applyBorder="1" applyAlignment="1" applyProtection="1">
      <alignment horizontal="center"/>
    </xf>
    <xf numFmtId="0" fontId="64" fillId="0" borderId="0" xfId="0" applyFont="1" applyBorder="1" applyAlignment="1">
      <alignment horizontal="center"/>
    </xf>
    <xf numFmtId="4" fontId="6" fillId="7" borderId="8" xfId="0" applyNumberFormat="1" applyFont="1" applyFill="1" applyBorder="1" applyAlignment="1">
      <alignment horizontal="center"/>
    </xf>
    <xf numFmtId="4" fontId="6" fillId="7" borderId="4" xfId="0" applyNumberFormat="1" applyFont="1" applyFill="1" applyBorder="1" applyAlignment="1">
      <alignment horizontal="center"/>
    </xf>
    <xf numFmtId="174" fontId="1" fillId="7" borderId="4" xfId="0" applyNumberFormat="1" applyFont="1" applyFill="1" applyBorder="1" applyAlignment="1">
      <alignment horizontal="center"/>
    </xf>
    <xf numFmtId="4" fontId="0" fillId="7" borderId="8" xfId="0" applyNumberFormat="1" applyFill="1" applyBorder="1" applyAlignment="1">
      <alignment horizontal="center"/>
    </xf>
    <xf numFmtId="4" fontId="0" fillId="7" borderId="5" xfId="0" applyNumberFormat="1" applyFill="1" applyBorder="1" applyAlignment="1">
      <alignment horizontal="center"/>
    </xf>
    <xf numFmtId="4" fontId="0" fillId="139" borderId="24" xfId="0" applyNumberFormat="1" applyFont="1" applyFill="1" applyBorder="1" applyAlignment="1">
      <alignment horizontal="center"/>
    </xf>
    <xf numFmtId="4" fontId="6" fillId="10" borderId="8" xfId="0" applyNumberFormat="1" applyFont="1" applyFill="1" applyBorder="1" applyAlignment="1">
      <alignment horizontal="center"/>
    </xf>
    <xf numFmtId="2" fontId="0" fillId="0" borderId="4" xfId="0" applyNumberFormat="1" applyFont="1" applyFill="1" applyBorder="1" applyAlignment="1">
      <alignment horizontal="center"/>
    </xf>
    <xf numFmtId="169" fontId="0" fillId="0" borderId="5" xfId="0" applyNumberFormat="1" applyFont="1" applyFill="1" applyBorder="1" applyAlignment="1">
      <alignment horizontal="center"/>
    </xf>
    <xf numFmtId="4" fontId="0" fillId="54" borderId="14" xfId="0" applyNumberFormat="1" applyFont="1" applyFill="1" applyBorder="1" applyAlignment="1">
      <alignment horizontal="center"/>
    </xf>
    <xf numFmtId="4" fontId="0" fillId="54" borderId="24" xfId="0" applyNumberFormat="1" applyFont="1" applyFill="1" applyBorder="1" applyAlignment="1">
      <alignment horizontal="center"/>
    </xf>
    <xf numFmtId="0" fontId="7" fillId="18" borderId="27" xfId="0" applyFont="1" applyFill="1" applyBorder="1" applyAlignment="1">
      <alignment horizontal="center"/>
    </xf>
    <xf numFmtId="0" fontId="7" fillId="18" borderId="29" xfId="0" applyFont="1" applyFill="1" applyBorder="1" applyAlignment="1">
      <alignment horizontal="center"/>
    </xf>
    <xf numFmtId="4" fontId="0" fillId="19" borderId="14" xfId="0" applyNumberFormat="1" applyFont="1" applyFill="1" applyBorder="1" applyAlignment="1">
      <alignment horizontal="center"/>
    </xf>
    <xf numFmtId="4" fontId="6" fillId="19" borderId="14" xfId="0" applyNumberFormat="1" applyFont="1" applyFill="1" applyBorder="1" applyAlignment="1">
      <alignment horizontal="center"/>
    </xf>
    <xf numFmtId="4" fontId="0" fillId="19" borderId="21" xfId="0" applyNumberFormat="1" applyFont="1" applyFill="1" applyBorder="1" applyAlignment="1">
      <alignment horizontal="center"/>
    </xf>
    <xf numFmtId="4" fontId="0" fillId="0" borderId="27" xfId="0" applyNumberFormat="1" applyFont="1" applyFill="1" applyBorder="1" applyAlignment="1">
      <alignment horizontal="center"/>
    </xf>
    <xf numFmtId="0" fontId="129" fillId="0" borderId="0" xfId="0" applyFont="1" applyFill="1"/>
    <xf numFmtId="0" fontId="158" fillId="0" borderId="0" xfId="0" applyFont="1"/>
    <xf numFmtId="0" fontId="7" fillId="24" borderId="32" xfId="0" applyNumberFormat="1" applyFont="1" applyFill="1" applyBorder="1"/>
    <xf numFmtId="0" fontId="9" fillId="2" borderId="0" xfId="0" applyFont="1" applyFill="1" applyBorder="1" applyAlignment="1" applyProtection="1">
      <alignment horizontal="center"/>
    </xf>
    <xf numFmtId="0" fontId="64" fillId="0" borderId="34" xfId="0" applyFont="1" applyBorder="1" applyAlignment="1">
      <alignment horizontal="center"/>
    </xf>
    <xf numFmtId="170" fontId="159" fillId="0" borderId="0" xfId="0" applyNumberFormat="1" applyFont="1"/>
    <xf numFmtId="4" fontId="6" fillId="0" borderId="0" xfId="0" applyNumberFormat="1" applyFont="1" applyAlignment="1">
      <alignment horizontal="center"/>
    </xf>
    <xf numFmtId="0" fontId="7" fillId="53" borderId="3" xfId="0" applyNumberFormat="1" applyFont="1" applyFill="1" applyBorder="1" applyAlignment="1">
      <alignment horizontal="right"/>
    </xf>
    <xf numFmtId="0" fontId="64" fillId="0" borderId="34" xfId="0" applyFont="1" applyBorder="1" applyAlignment="1"/>
    <xf numFmtId="4" fontId="6" fillId="19" borderId="9" xfId="0" applyNumberFormat="1" applyFont="1" applyFill="1" applyBorder="1" applyAlignment="1">
      <alignment horizontal="center"/>
    </xf>
    <xf numFmtId="3" fontId="11" fillId="58" borderId="5" xfId="0" applyNumberFormat="1" applyFont="1" applyFill="1" applyBorder="1" applyAlignment="1">
      <alignment horizontal="center" vertical="top"/>
    </xf>
    <xf numFmtId="176" fontId="6" fillId="0" borderId="0" xfId="90" applyNumberFormat="1" applyFont="1"/>
    <xf numFmtId="196" fontId="6" fillId="0" borderId="0" xfId="0" applyNumberFormat="1" applyFont="1"/>
    <xf numFmtId="0" fontId="13" fillId="0" borderId="0" xfId="0" applyFont="1"/>
    <xf numFmtId="0" fontId="5" fillId="27" borderId="0" xfId="0" applyFont="1" applyFill="1" applyBorder="1" applyAlignment="1" applyProtection="1">
      <alignment horizontal="center"/>
    </xf>
    <xf numFmtId="3" fontId="5" fillId="27" borderId="0" xfId="0" applyNumberFormat="1" applyFont="1" applyFill="1" applyBorder="1" applyAlignment="1" applyProtection="1">
      <alignment horizontal="right"/>
    </xf>
    <xf numFmtId="0" fontId="11" fillId="0" borderId="0" xfId="0" applyFont="1"/>
    <xf numFmtId="4" fontId="0" fillId="0" borderId="5" xfId="0" applyNumberFormat="1" applyFont="1" applyFill="1" applyBorder="1" applyAlignment="1">
      <alignment horizontal="center"/>
    </xf>
    <xf numFmtId="4" fontId="0" fillId="10" borderId="6" xfId="0" applyNumberFormat="1" applyFont="1" applyFill="1" applyBorder="1" applyAlignment="1">
      <alignment horizontal="center"/>
    </xf>
    <xf numFmtId="4" fontId="0" fillId="10" borderId="5" xfId="0" applyNumberFormat="1" applyFont="1" applyFill="1" applyBorder="1" applyAlignment="1">
      <alignment horizontal="center"/>
    </xf>
    <xf numFmtId="4" fontId="0" fillId="0" borderId="6" xfId="0" applyNumberFormat="1" applyFont="1" applyFill="1" applyBorder="1" applyAlignment="1">
      <alignment horizontal="center"/>
    </xf>
    <xf numFmtId="0" fontId="161" fillId="0" borderId="0" xfId="0" applyFont="1" applyFill="1"/>
    <xf numFmtId="0" fontId="161" fillId="0" borderId="0" xfId="0" applyFont="1"/>
    <xf numFmtId="17" fontId="7" fillId="0" borderId="1" xfId="0" applyNumberFormat="1" applyFont="1" applyFill="1" applyBorder="1"/>
    <xf numFmtId="0" fontId="162" fillId="0" borderId="0" xfId="0" applyFont="1" applyFill="1"/>
    <xf numFmtId="0" fontId="7" fillId="21" borderId="6" xfId="0" applyFont="1" applyFill="1" applyBorder="1"/>
    <xf numFmtId="0" fontId="0" fillId="0" borderId="0" xfId="0" applyAlignment="1">
      <alignment horizontal="center" vertical="center"/>
    </xf>
    <xf numFmtId="0" fontId="9" fillId="0" borderId="0" xfId="0" applyFont="1" applyAlignment="1">
      <alignment horizontal="center" vertical="center"/>
    </xf>
    <xf numFmtId="4" fontId="0" fillId="11" borderId="0" xfId="0" applyNumberFormat="1" applyFont="1" applyFill="1" applyBorder="1" applyAlignment="1">
      <alignment horizontal="center" vertical="center"/>
    </xf>
    <xf numFmtId="4" fontId="0" fillId="0" borderId="0" xfId="0" applyNumberFormat="1" applyFont="1" applyFill="1" applyBorder="1" applyAlignment="1">
      <alignment horizontal="center" vertical="center"/>
    </xf>
    <xf numFmtId="4" fontId="0" fillId="0" borderId="0" xfId="0" applyNumberFormat="1" applyAlignment="1">
      <alignment horizontal="center" vertical="center"/>
    </xf>
    <xf numFmtId="0" fontId="0" fillId="0" borderId="0" xfId="0" applyFill="1" applyAlignment="1">
      <alignment horizontal="center" vertical="center"/>
    </xf>
    <xf numFmtId="4" fontId="0" fillId="2" borderId="0" xfId="0" applyNumberFormat="1" applyFont="1" applyFill="1" applyAlignment="1">
      <alignment horizontal="center" vertical="center"/>
    </xf>
    <xf numFmtId="4" fontId="0" fillId="0" borderId="0" xfId="0" applyNumberFormat="1" applyFont="1" applyFill="1" applyAlignment="1">
      <alignment horizontal="center" vertical="center"/>
    </xf>
    <xf numFmtId="3" fontId="0" fillId="0" borderId="0" xfId="0" applyNumberFormat="1" applyAlignment="1">
      <alignment horizontal="center" vertical="center"/>
    </xf>
    <xf numFmtId="4" fontId="6" fillId="51" borderId="14" xfId="0" applyNumberFormat="1" applyFont="1" applyFill="1" applyBorder="1" applyAlignment="1">
      <alignment horizontal="center"/>
    </xf>
    <xf numFmtId="4" fontId="6" fillId="51" borderId="24" xfId="0" applyNumberFormat="1" applyFont="1" applyFill="1" applyBorder="1" applyAlignment="1">
      <alignment horizontal="center"/>
    </xf>
    <xf numFmtId="4" fontId="6" fillId="0" borderId="14" xfId="0" applyNumberFormat="1" applyFont="1" applyFill="1" applyBorder="1" applyAlignment="1">
      <alignment horizontal="center"/>
    </xf>
    <xf numFmtId="4" fontId="6" fillId="0" borderId="29" xfId="0" applyNumberFormat="1" applyFont="1" applyFill="1" applyBorder="1" applyAlignment="1">
      <alignment horizontal="center"/>
    </xf>
    <xf numFmtId="17" fontId="7" fillId="116" borderId="32" xfId="0" applyNumberFormat="1" applyFont="1" applyFill="1" applyBorder="1"/>
    <xf numFmtId="17" fontId="7" fillId="53" borderId="32" xfId="0" applyNumberFormat="1" applyFont="1" applyFill="1" applyBorder="1"/>
    <xf numFmtId="17" fontId="7" fillId="114" borderId="32" xfId="0" applyNumberFormat="1" applyFont="1" applyFill="1" applyBorder="1"/>
    <xf numFmtId="17" fontId="7" fillId="119" borderId="32" xfId="0" applyNumberFormat="1" applyFont="1" applyFill="1" applyBorder="1"/>
    <xf numFmtId="3" fontId="0" fillId="0" borderId="8" xfId="0" applyNumberFormat="1" applyFont="1" applyFill="1" applyBorder="1" applyAlignment="1">
      <alignment horizontal="center"/>
    </xf>
    <xf numFmtId="3" fontId="0" fillId="0" borderId="5" xfId="0" applyNumberFormat="1" applyFont="1" applyFill="1" applyBorder="1" applyAlignment="1">
      <alignment horizontal="center"/>
    </xf>
    <xf numFmtId="4" fontId="6" fillId="6" borderId="32" xfId="0" applyNumberFormat="1" applyFont="1" applyFill="1" applyBorder="1" applyAlignment="1">
      <alignment horizontal="center"/>
    </xf>
    <xf numFmtId="4" fontId="6" fillId="6" borderId="5" xfId="0" applyNumberFormat="1" applyFont="1" applyFill="1" applyBorder="1" applyAlignment="1">
      <alignment horizontal="center"/>
    </xf>
    <xf numFmtId="0" fontId="7" fillId="24" borderId="32" xfId="0" applyFont="1" applyFill="1" applyBorder="1" applyAlignment="1">
      <alignment horizontal="center" vertical="center"/>
    </xf>
    <xf numFmtId="0" fontId="7" fillId="24" borderId="4" xfId="0" applyFont="1" applyFill="1" applyBorder="1" applyAlignment="1">
      <alignment horizontal="center" vertical="center"/>
    </xf>
    <xf numFmtId="0" fontId="163" fillId="0" borderId="0" xfId="0" applyFont="1"/>
    <xf numFmtId="0" fontId="9" fillId="27" borderId="0" xfId="0" applyFont="1" applyFill="1" applyBorder="1" applyAlignment="1" applyProtection="1">
      <alignment horizontal="center"/>
    </xf>
    <xf numFmtId="0" fontId="120" fillId="0" borderId="0" xfId="0" applyFont="1"/>
    <xf numFmtId="3" fontId="120" fillId="27" borderId="0" xfId="0" applyNumberFormat="1" applyFont="1" applyFill="1" applyAlignment="1">
      <alignment horizontal="right"/>
    </xf>
    <xf numFmtId="170" fontId="122" fillId="15" borderId="0" xfId="0" applyNumberFormat="1" applyFont="1" applyFill="1" applyBorder="1" applyAlignment="1" applyProtection="1">
      <alignment horizontal="right"/>
    </xf>
    <xf numFmtId="170" fontId="120" fillId="0" borderId="0" xfId="0" applyNumberFormat="1" applyFont="1"/>
    <xf numFmtId="0" fontId="164" fillId="7" borderId="0" xfId="0" applyFont="1" applyFill="1"/>
    <xf numFmtId="3" fontId="6" fillId="0" borderId="0" xfId="42" applyNumberFormat="1" applyFont="1" applyAlignment="1">
      <alignment horizontal="right"/>
    </xf>
    <xf numFmtId="3" fontId="6" fillId="0" borderId="0" xfId="42" applyNumberFormat="1" applyFont="1" applyFill="1" applyAlignment="1">
      <alignment horizontal="right"/>
    </xf>
    <xf numFmtId="3" fontId="6" fillId="7" borderId="0" xfId="42" applyNumberFormat="1" applyFont="1" applyFill="1" applyAlignment="1">
      <alignment horizontal="right"/>
    </xf>
    <xf numFmtId="170" fontId="6" fillId="0" borderId="0" xfId="0" applyNumberFormat="1" applyFont="1"/>
    <xf numFmtId="2" fontId="6" fillId="0" borderId="0" xfId="0" applyNumberFormat="1" applyFont="1"/>
    <xf numFmtId="3" fontId="6" fillId="7" borderId="0" xfId="0" applyNumberFormat="1" applyFont="1" applyFill="1" applyAlignment="1">
      <alignment horizontal="right"/>
    </xf>
    <xf numFmtId="3" fontId="6" fillId="0" borderId="0" xfId="42" applyNumberFormat="1" applyFont="1" applyBorder="1" applyAlignment="1">
      <alignment horizontal="right"/>
    </xf>
    <xf numFmtId="3" fontId="6" fillId="27" borderId="0" xfId="42" applyNumberFormat="1" applyFont="1" applyFill="1" applyBorder="1" applyAlignment="1">
      <alignment horizontal="right"/>
    </xf>
    <xf numFmtId="0" fontId="9" fillId="27" borderId="0" xfId="0" applyFont="1" applyFill="1" applyBorder="1" applyAlignment="1" applyProtection="1">
      <alignment horizontal="center"/>
    </xf>
    <xf numFmtId="43" fontId="6" fillId="15" borderId="0" xfId="42" applyFont="1" applyFill="1" applyBorder="1" applyAlignment="1" applyProtection="1">
      <alignment horizontal="right"/>
    </xf>
    <xf numFmtId="0" fontId="9" fillId="15" borderId="0" xfId="0" applyFont="1" applyFill="1" applyBorder="1" applyAlignment="1" applyProtection="1">
      <alignment horizontal="right"/>
    </xf>
    <xf numFmtId="2" fontId="6" fillId="0" borderId="0" xfId="0" applyNumberFormat="1" applyFont="1" applyAlignment="1">
      <alignment horizontal="center"/>
    </xf>
    <xf numFmtId="0" fontId="7" fillId="24" borderId="84" xfId="0" applyFont="1" applyFill="1" applyBorder="1" applyAlignment="1">
      <alignment horizontal="center" vertical="center" wrapText="1"/>
    </xf>
    <xf numFmtId="169" fontId="129" fillId="0" borderId="0" xfId="89" applyNumberFormat="1" applyFont="1" applyFill="1" applyBorder="1" applyAlignment="1">
      <alignment horizontal="center"/>
    </xf>
    <xf numFmtId="4" fontId="6" fillId="0" borderId="14" xfId="89" applyNumberFormat="1" applyFont="1" applyFill="1" applyBorder="1" applyAlignment="1">
      <alignment horizontal="center"/>
    </xf>
    <xf numFmtId="4" fontId="6" fillId="2" borderId="29" xfId="89" applyNumberFormat="1" applyFont="1" applyFill="1" applyBorder="1" applyAlignment="1">
      <alignment horizontal="center"/>
    </xf>
    <xf numFmtId="4" fontId="6" fillId="2" borderId="5" xfId="89" applyNumberFormat="1" applyFont="1" applyFill="1" applyBorder="1" applyAlignment="1">
      <alignment horizontal="center"/>
    </xf>
    <xf numFmtId="170" fontId="159" fillId="0" borderId="0" xfId="0" applyNumberFormat="1" applyFont="1" applyFill="1"/>
    <xf numFmtId="0" fontId="9" fillId="27" borderId="0" xfId="0" applyFont="1" applyFill="1" applyBorder="1" applyAlignment="1" applyProtection="1">
      <alignment horizontal="center"/>
    </xf>
    <xf numFmtId="3" fontId="165" fillId="0" borderId="0" xfId="0" applyNumberFormat="1" applyFont="1" applyFill="1" applyBorder="1" applyAlignment="1" applyProtection="1">
      <alignment horizontal="right"/>
    </xf>
    <xf numFmtId="3" fontId="165" fillId="0" borderId="0" xfId="0" applyNumberFormat="1" applyFont="1" applyFill="1" applyAlignment="1">
      <alignment horizontal="right"/>
    </xf>
    <xf numFmtId="3" fontId="165" fillId="27" borderId="0" xfId="0" applyNumberFormat="1" applyFont="1" applyFill="1" applyAlignment="1">
      <alignment horizontal="right"/>
    </xf>
    <xf numFmtId="3" fontId="165" fillId="0" borderId="0" xfId="42" applyNumberFormat="1" applyFont="1" applyBorder="1" applyAlignment="1">
      <alignment horizontal="right"/>
    </xf>
    <xf numFmtId="0" fontId="165" fillId="0" borderId="0" xfId="0" applyFont="1"/>
    <xf numFmtId="3" fontId="5" fillId="0" borderId="0" xfId="0" applyNumberFormat="1" applyFont="1"/>
    <xf numFmtId="4" fontId="0" fillId="0" borderId="0" xfId="0" applyNumberFormat="1"/>
    <xf numFmtId="3" fontId="0" fillId="0" borderId="0" xfId="0" applyNumberFormat="1" applyFill="1"/>
    <xf numFmtId="3" fontId="159" fillId="0" borderId="0" xfId="0" applyNumberFormat="1" applyFont="1" applyFill="1"/>
    <xf numFmtId="170" fontId="166" fillId="15" borderId="0" xfId="0" applyNumberFormat="1" applyFont="1" applyFill="1" applyBorder="1" applyAlignment="1" applyProtection="1">
      <alignment horizontal="right"/>
    </xf>
    <xf numFmtId="197" fontId="0" fillId="0" borderId="0" xfId="0" applyNumberFormat="1" applyFill="1"/>
    <xf numFmtId="170" fontId="6" fillId="0" borderId="0" xfId="0" applyNumberFormat="1" applyFont="1" applyBorder="1"/>
    <xf numFmtId="3" fontId="9" fillId="0" borderId="0" xfId="42" applyNumberFormat="1" applyFont="1" applyAlignment="1">
      <alignment horizontal="right"/>
    </xf>
    <xf numFmtId="3" fontId="9" fillId="0" borderId="0" xfId="0" applyNumberFormat="1" applyFont="1" applyAlignment="1">
      <alignment horizontal="right"/>
    </xf>
    <xf numFmtId="3" fontId="9" fillId="7" borderId="0" xfId="42" applyNumberFormat="1" applyFont="1" applyFill="1" applyAlignment="1">
      <alignment horizontal="right"/>
    </xf>
    <xf numFmtId="3" fontId="9" fillId="7" borderId="0" xfId="0" applyNumberFormat="1" applyFont="1" applyFill="1" applyAlignment="1">
      <alignment horizontal="right"/>
    </xf>
    <xf numFmtId="0" fontId="167" fillId="0" borderId="0" xfId="0" applyFont="1"/>
    <xf numFmtId="0" fontId="11" fillId="0" borderId="0" xfId="0" applyFont="1" applyFill="1"/>
    <xf numFmtId="4" fontId="6" fillId="13" borderId="25" xfId="0" applyNumberFormat="1" applyFont="1" applyFill="1" applyBorder="1" applyAlignment="1">
      <alignment horizontal="center"/>
    </xf>
    <xf numFmtId="3" fontId="6" fillId="0" borderId="8" xfId="0" applyNumberFormat="1" applyFont="1" applyFill="1" applyBorder="1" applyAlignment="1">
      <alignment horizontal="center"/>
    </xf>
    <xf numFmtId="3" fontId="6" fillId="0" borderId="25" xfId="0" applyNumberFormat="1" applyFont="1" applyFill="1" applyBorder="1" applyAlignment="1">
      <alignment horizontal="center"/>
    </xf>
    <xf numFmtId="4" fontId="6" fillId="10" borderId="6" xfId="0" applyNumberFormat="1" applyFont="1" applyFill="1" applyBorder="1" applyAlignment="1">
      <alignment horizontal="center"/>
    </xf>
    <xf numFmtId="4" fontId="6" fillId="109" borderId="31" xfId="0" applyNumberFormat="1" applyFont="1" applyFill="1" applyBorder="1" applyAlignment="1">
      <alignment horizontal="center"/>
    </xf>
    <xf numFmtId="4" fontId="6" fillId="109" borderId="2" xfId="0" applyNumberFormat="1" applyFont="1" applyFill="1" applyBorder="1" applyAlignment="1">
      <alignment horizontal="center"/>
    </xf>
    <xf numFmtId="4" fontId="6" fillId="109" borderId="32" xfId="0" applyNumberFormat="1" applyFont="1" applyFill="1" applyBorder="1" applyAlignment="1">
      <alignment horizontal="center"/>
    </xf>
    <xf numFmtId="4" fontId="6" fillId="109" borderId="5" xfId="0" applyNumberFormat="1" applyFont="1" applyFill="1" applyBorder="1" applyAlignment="1">
      <alignment horizontal="center"/>
    </xf>
    <xf numFmtId="0" fontId="7" fillId="0" borderId="0" xfId="0" applyFont="1" applyFill="1" applyAlignment="1">
      <alignment horizontal="center"/>
    </xf>
    <xf numFmtId="0" fontId="11" fillId="0" borderId="0" xfId="0" applyNumberFormat="1" applyFont="1" applyFill="1" applyBorder="1" applyAlignment="1">
      <alignment horizontal="center" vertical="center"/>
    </xf>
    <xf numFmtId="0" fontId="11" fillId="0" borderId="0" xfId="0" applyNumberFormat="1" applyFont="1" applyFill="1" applyBorder="1"/>
    <xf numFmtId="0" fontId="11" fillId="0" borderId="0" xfId="0" applyNumberFormat="1" applyFont="1" applyFill="1" applyBorder="1" applyAlignment="1">
      <alignment vertical="center"/>
    </xf>
    <xf numFmtId="169" fontId="11" fillId="0" borderId="0" xfId="0" applyNumberFormat="1" applyFont="1" applyFill="1"/>
    <xf numFmtId="3" fontId="6" fillId="0" borderId="9" xfId="0" applyNumberFormat="1" applyFont="1" applyBorder="1" applyAlignment="1">
      <alignment horizontal="center"/>
    </xf>
    <xf numFmtId="10" fontId="6" fillId="0" borderId="24" xfId="0" applyNumberFormat="1" applyFont="1" applyBorder="1" applyAlignment="1">
      <alignment horizontal="center"/>
    </xf>
    <xf numFmtId="3" fontId="6" fillId="2" borderId="9" xfId="0" applyNumberFormat="1" applyFont="1" applyFill="1" applyBorder="1" applyAlignment="1">
      <alignment horizontal="center"/>
    </xf>
    <xf numFmtId="10" fontId="6" fillId="2" borderId="24" xfId="0" applyNumberFormat="1" applyFont="1" applyFill="1" applyBorder="1" applyAlignment="1">
      <alignment horizontal="center"/>
    </xf>
    <xf numFmtId="167" fontId="6" fillId="0" borderId="2" xfId="0" applyNumberFormat="1" applyFont="1" applyBorder="1" applyAlignment="1">
      <alignment horizontal="center"/>
    </xf>
    <xf numFmtId="167" fontId="6" fillId="2" borderId="2" xfId="0" applyNumberFormat="1" applyFont="1" applyFill="1" applyBorder="1" applyAlignment="1">
      <alignment horizontal="center"/>
    </xf>
    <xf numFmtId="167" fontId="6" fillId="0" borderId="2" xfId="0" applyNumberFormat="1" applyFont="1" applyFill="1" applyBorder="1" applyAlignment="1">
      <alignment horizontal="center"/>
    </xf>
    <xf numFmtId="4" fontId="6" fillId="0" borderId="9" xfId="0" applyNumberFormat="1" applyFont="1" applyFill="1" applyBorder="1" applyAlignment="1">
      <alignment horizontal="center" vertical="top"/>
    </xf>
    <xf numFmtId="4" fontId="6" fillId="2" borderId="9" xfId="0" applyNumberFormat="1" applyFont="1" applyFill="1" applyBorder="1" applyAlignment="1">
      <alignment horizontal="center" vertical="top"/>
    </xf>
    <xf numFmtId="4" fontId="6" fillId="0" borderId="79" xfId="0" applyNumberFormat="1" applyFont="1" applyFill="1" applyBorder="1" applyAlignment="1">
      <alignment horizontal="center" vertical="top"/>
    </xf>
    <xf numFmtId="167" fontId="6" fillId="0" borderId="24" xfId="0" applyNumberFormat="1" applyFont="1" applyBorder="1" applyAlignment="1">
      <alignment horizontal="center"/>
    </xf>
    <xf numFmtId="167" fontId="6" fillId="2" borderId="24" xfId="0" applyNumberFormat="1" applyFont="1" applyFill="1" applyBorder="1" applyAlignment="1">
      <alignment horizontal="center"/>
    </xf>
    <xf numFmtId="167" fontId="6" fillId="0" borderId="24" xfId="0" applyNumberFormat="1" applyFont="1" applyFill="1" applyBorder="1" applyAlignment="1">
      <alignment horizontal="center"/>
    </xf>
    <xf numFmtId="4" fontId="6" fillId="7" borderId="9" xfId="0" applyNumberFormat="1" applyFont="1" applyFill="1" applyBorder="1" applyAlignment="1">
      <alignment horizontal="center" vertical="top"/>
    </xf>
    <xf numFmtId="167" fontId="6" fillId="7" borderId="2" xfId="0" applyNumberFormat="1" applyFont="1" applyFill="1" applyBorder="1" applyAlignment="1">
      <alignment horizontal="center"/>
    </xf>
    <xf numFmtId="167" fontId="6" fillId="0" borderId="57" xfId="0" applyNumberFormat="1" applyFont="1" applyFill="1" applyBorder="1" applyAlignment="1">
      <alignment horizontal="center"/>
    </xf>
    <xf numFmtId="4" fontId="6" fillId="0" borderId="31" xfId="0" applyNumberFormat="1" applyFont="1" applyFill="1" applyBorder="1" applyAlignment="1" applyProtection="1">
      <alignment horizontal="center"/>
    </xf>
    <xf numFmtId="4" fontId="6" fillId="52" borderId="9" xfId="0" applyNumberFormat="1" applyFont="1" applyFill="1" applyBorder="1" applyAlignment="1" applyProtection="1">
      <alignment horizontal="center"/>
    </xf>
    <xf numFmtId="4" fontId="6" fillId="52" borderId="8" xfId="0" applyNumberFormat="1" applyFont="1" applyFill="1" applyBorder="1" applyAlignment="1" applyProtection="1">
      <alignment horizontal="center"/>
    </xf>
    <xf numFmtId="4" fontId="6" fillId="52" borderId="25" xfId="0" applyNumberFormat="1" applyFont="1" applyFill="1" applyBorder="1" applyAlignment="1" applyProtection="1">
      <alignment horizontal="center"/>
    </xf>
    <xf numFmtId="4" fontId="6" fillId="52" borderId="6" xfId="0" applyNumberFormat="1" applyFont="1" applyFill="1" applyBorder="1" applyAlignment="1" applyProtection="1">
      <alignment horizontal="center"/>
    </xf>
    <xf numFmtId="4" fontId="6" fillId="52" borderId="5" xfId="0" applyNumberFormat="1" applyFont="1" applyFill="1" applyBorder="1" applyAlignment="1" applyProtection="1">
      <alignment horizontal="center"/>
    </xf>
    <xf numFmtId="4" fontId="6" fillId="6" borderId="6" xfId="21900" applyNumberFormat="1" applyFont="1" applyFill="1" applyBorder="1" applyAlignment="1">
      <alignment horizontal="center"/>
    </xf>
    <xf numFmtId="4" fontId="6" fillId="6" borderId="5" xfId="21900" applyNumberFormat="1" applyFont="1" applyFill="1" applyBorder="1" applyAlignment="1">
      <alignment horizontal="center" vertical="center"/>
    </xf>
    <xf numFmtId="4" fontId="6" fillId="6" borderId="6" xfId="22882" applyNumberFormat="1" applyFont="1" applyFill="1" applyBorder="1" applyAlignment="1">
      <alignment horizontal="center"/>
    </xf>
    <xf numFmtId="4" fontId="6" fillId="6" borderId="25" xfId="22882" applyNumberFormat="1" applyFont="1" applyFill="1" applyBorder="1" applyAlignment="1">
      <alignment horizontal="center"/>
    </xf>
    <xf numFmtId="0" fontId="161" fillId="0" borderId="0" xfId="0" applyFont="1" applyBorder="1"/>
    <xf numFmtId="6" fontId="161" fillId="0" borderId="0" xfId="0" applyNumberFormat="1" applyFont="1"/>
    <xf numFmtId="4" fontId="6" fillId="0" borderId="0" xfId="0" applyNumberFormat="1" applyFont="1" applyFill="1" applyBorder="1" applyAlignment="1">
      <alignment horizontal="center" vertical="center"/>
    </xf>
    <xf numFmtId="4" fontId="6" fillId="0" borderId="0" xfId="0" applyNumberFormat="1" applyFont="1" applyFill="1" applyAlignment="1">
      <alignment horizontal="center" vertical="center"/>
    </xf>
    <xf numFmtId="4" fontId="6" fillId="6" borderId="0" xfId="0" applyNumberFormat="1" applyFont="1" applyFill="1" applyAlignment="1">
      <alignment horizontal="center"/>
    </xf>
    <xf numFmtId="4" fontId="6" fillId="11" borderId="0" xfId="0" applyNumberFormat="1" applyFont="1" applyFill="1" applyBorder="1" applyAlignment="1">
      <alignment horizontal="center" vertical="center"/>
    </xf>
    <xf numFmtId="4" fontId="6" fillId="2" borderId="0" xfId="0" applyNumberFormat="1" applyFont="1" applyFill="1" applyAlignment="1">
      <alignment horizontal="center" vertical="center"/>
    </xf>
    <xf numFmtId="4" fontId="6" fillId="28" borderId="0" xfId="0" applyNumberFormat="1" applyFont="1" applyFill="1" applyAlignment="1">
      <alignment horizontal="center"/>
    </xf>
    <xf numFmtId="4" fontId="6" fillId="3" borderId="0" xfId="0" applyNumberFormat="1" applyFont="1" applyFill="1" applyAlignment="1">
      <alignment horizontal="center"/>
    </xf>
    <xf numFmtId="4" fontId="6" fillId="61" borderId="0" xfId="0" applyNumberFormat="1" applyFont="1" applyFill="1" applyAlignment="1">
      <alignment horizontal="center"/>
    </xf>
    <xf numFmtId="4" fontId="6" fillId="103" borderId="0" xfId="0" applyNumberFormat="1" applyFont="1" applyFill="1" applyAlignment="1">
      <alignment horizontal="center"/>
    </xf>
    <xf numFmtId="4" fontId="6" fillId="52" borderId="0" xfId="0" applyNumberFormat="1" applyFont="1" applyFill="1" applyAlignment="1">
      <alignment horizontal="center"/>
    </xf>
    <xf numFmtId="4" fontId="6" fillId="0" borderId="0" xfId="0" applyNumberFormat="1" applyFont="1" applyAlignment="1">
      <alignment horizontal="center" vertical="center"/>
    </xf>
    <xf numFmtId="4" fontId="6" fillId="56" borderId="0" xfId="0" applyNumberFormat="1" applyFont="1" applyFill="1" applyAlignment="1">
      <alignment horizontal="center"/>
    </xf>
    <xf numFmtId="4" fontId="6" fillId="6" borderId="0" xfId="0" applyNumberFormat="1" applyFont="1" applyFill="1" applyAlignment="1">
      <alignment horizontal="center" vertical="center"/>
    </xf>
    <xf numFmtId="4" fontId="6" fillId="27" borderId="0" xfId="0" applyNumberFormat="1" applyFont="1" applyFill="1" applyAlignment="1">
      <alignment horizontal="center" vertical="center"/>
    </xf>
    <xf numFmtId="4" fontId="6" fillId="13" borderId="0" xfId="0" applyNumberFormat="1" applyFont="1" applyFill="1" applyAlignment="1">
      <alignment horizontal="center" vertical="center"/>
    </xf>
    <xf numFmtId="4" fontId="6" fillId="52" borderId="0" xfId="0" applyNumberFormat="1" applyFont="1" applyFill="1" applyAlignment="1">
      <alignment horizontal="center" vertical="center"/>
    </xf>
    <xf numFmtId="4" fontId="6" fillId="28" borderId="0" xfId="0" applyNumberFormat="1" applyFont="1" applyFill="1" applyAlignment="1">
      <alignment horizontal="center" vertical="center"/>
    </xf>
    <xf numFmtId="4" fontId="6" fillId="3" borderId="0" xfId="0" applyNumberFormat="1" applyFont="1" applyFill="1" applyAlignment="1">
      <alignment horizontal="center" vertical="center"/>
    </xf>
    <xf numFmtId="4" fontId="6" fillId="61" borderId="0" xfId="0" applyNumberFormat="1" applyFont="1" applyFill="1" applyAlignment="1">
      <alignment horizontal="center" vertical="center"/>
    </xf>
    <xf numFmtId="4" fontId="6" fillId="103" borderId="0" xfId="0" applyNumberFormat="1" applyFont="1" applyFill="1" applyAlignment="1">
      <alignment horizontal="center" vertical="center"/>
    </xf>
    <xf numFmtId="4" fontId="2" fillId="0" borderId="0" xfId="26220" applyNumberFormat="1" applyFont="1" applyFill="1" applyAlignment="1">
      <alignment horizontal="center" vertical="center"/>
    </xf>
    <xf numFmtId="0" fontId="168" fillId="0" borderId="0" xfId="0" applyFont="1"/>
    <xf numFmtId="0" fontId="168" fillId="0" borderId="0" xfId="0" applyFont="1" applyBorder="1"/>
    <xf numFmtId="0" fontId="168" fillId="0" borderId="0" xfId="0" applyFont="1" applyFill="1"/>
    <xf numFmtId="185" fontId="168" fillId="0" borderId="0" xfId="0" applyNumberFormat="1" applyFont="1" applyFill="1" applyBorder="1"/>
    <xf numFmtId="9" fontId="168" fillId="0" borderId="0" xfId="90" applyFont="1"/>
    <xf numFmtId="6" fontId="168" fillId="0" borderId="0" xfId="0" applyNumberFormat="1" applyFont="1"/>
    <xf numFmtId="17" fontId="7" fillId="104" borderId="6" xfId="0" applyNumberFormat="1" applyFont="1" applyFill="1" applyBorder="1"/>
    <xf numFmtId="17" fontId="7" fillId="9" borderId="32" xfId="0" applyNumberFormat="1" applyFont="1" applyFill="1" applyBorder="1"/>
    <xf numFmtId="17" fontId="7" fillId="24" borderId="6" xfId="0" applyNumberFormat="1" applyFont="1" applyFill="1" applyBorder="1"/>
    <xf numFmtId="0" fontId="161" fillId="0" borderId="0" xfId="0" applyFont="1" applyAlignment="1">
      <alignment horizontal="right"/>
    </xf>
    <xf numFmtId="10" fontId="161" fillId="0" borderId="0" xfId="90" applyNumberFormat="1" applyFont="1"/>
    <xf numFmtId="10" fontId="161" fillId="0" borderId="0" xfId="0" applyNumberFormat="1" applyFont="1"/>
    <xf numFmtId="0" fontId="169" fillId="0" borderId="0" xfId="0" applyFont="1"/>
    <xf numFmtId="0" fontId="169" fillId="0" borderId="0" xfId="0" applyFont="1" applyAlignment="1">
      <alignment horizontal="right" vertical="center"/>
    </xf>
    <xf numFmtId="0" fontId="169" fillId="0" borderId="0" xfId="0" applyFont="1" applyAlignment="1">
      <alignment horizontal="right"/>
    </xf>
    <xf numFmtId="0" fontId="169" fillId="0" borderId="0" xfId="0" applyFont="1" applyAlignment="1">
      <alignment horizontal="center"/>
    </xf>
    <xf numFmtId="10" fontId="169" fillId="0" borderId="0" xfId="90" applyNumberFormat="1" applyFont="1"/>
    <xf numFmtId="10" fontId="169" fillId="0" borderId="0" xfId="0" applyNumberFormat="1" applyFont="1"/>
    <xf numFmtId="0" fontId="161" fillId="0" borderId="0" xfId="0" applyFont="1" applyFill="1" applyBorder="1"/>
    <xf numFmtId="170" fontId="161" fillId="0" borderId="0" xfId="0" applyNumberFormat="1" applyFont="1" applyFill="1" applyBorder="1"/>
    <xf numFmtId="10" fontId="161" fillId="0" borderId="0" xfId="90" applyNumberFormat="1" applyFont="1" applyFill="1" applyBorder="1"/>
    <xf numFmtId="10" fontId="161" fillId="0" borderId="0" xfId="0" applyNumberFormat="1" applyFont="1" applyFill="1" applyBorder="1"/>
    <xf numFmtId="0" fontId="161" fillId="0" borderId="0" xfId="0" applyFont="1" applyBorder="1" applyAlignment="1">
      <alignment horizontal="right"/>
    </xf>
    <xf numFmtId="0" fontId="161" fillId="0" borderId="0" xfId="0" applyFont="1" applyFill="1" applyBorder="1" applyAlignment="1">
      <alignment horizontal="right"/>
    </xf>
    <xf numFmtId="0" fontId="161" fillId="0" borderId="0" xfId="6400" applyFont="1" applyBorder="1"/>
    <xf numFmtId="0" fontId="161" fillId="0" borderId="0" xfId="6400" applyFont="1" applyBorder="1" applyAlignment="1">
      <alignment horizontal="right"/>
    </xf>
    <xf numFmtId="170" fontId="161" fillId="0" borderId="0" xfId="6400" applyNumberFormat="1" applyFont="1" applyBorder="1"/>
    <xf numFmtId="10" fontId="161" fillId="0" borderId="0" xfId="90" applyNumberFormat="1" applyFont="1" applyBorder="1"/>
    <xf numFmtId="0" fontId="161" fillId="0" borderId="0" xfId="6397" applyFont="1" applyBorder="1"/>
    <xf numFmtId="0" fontId="161" fillId="0" borderId="0" xfId="6397" applyFont="1" applyBorder="1" applyAlignment="1">
      <alignment horizontal="right"/>
    </xf>
    <xf numFmtId="170" fontId="161" fillId="0" borderId="0" xfId="6397" applyNumberFormat="1" applyFont="1" applyBorder="1"/>
    <xf numFmtId="0" fontId="161" fillId="0" borderId="0" xfId="6398" applyFont="1" applyBorder="1"/>
    <xf numFmtId="0" fontId="161" fillId="0" borderId="0" xfId="6398" applyFont="1" applyBorder="1" applyAlignment="1">
      <alignment horizontal="right"/>
    </xf>
    <xf numFmtId="170" fontId="161" fillId="0" borderId="0" xfId="6398" applyNumberFormat="1" applyFont="1" applyBorder="1"/>
    <xf numFmtId="0" fontId="161" fillId="0" borderId="0" xfId="6399" applyFont="1" applyBorder="1"/>
    <xf numFmtId="0" fontId="161" fillId="0" borderId="0" xfId="6399" applyFont="1" applyBorder="1" applyAlignment="1">
      <alignment horizontal="right"/>
    </xf>
    <xf numFmtId="170" fontId="161" fillId="0" borderId="0" xfId="6399" applyNumberFormat="1" applyFont="1" applyBorder="1"/>
    <xf numFmtId="0" fontId="161" fillId="0" borderId="0" xfId="6395" applyFont="1" applyBorder="1"/>
    <xf numFmtId="0" fontId="161" fillId="0" borderId="0" xfId="6395" applyFont="1" applyBorder="1" applyAlignment="1">
      <alignment horizontal="right"/>
    </xf>
    <xf numFmtId="170" fontId="161" fillId="0" borderId="0" xfId="6395" applyNumberFormat="1" applyFont="1" applyBorder="1"/>
    <xf numFmtId="0" fontId="161" fillId="0" borderId="0" xfId="6411" applyFont="1" applyBorder="1"/>
    <xf numFmtId="0" fontId="161" fillId="0" borderId="0" xfId="6411" applyFont="1" applyBorder="1" applyAlignment="1">
      <alignment horizontal="right"/>
    </xf>
    <xf numFmtId="170" fontId="161" fillId="0" borderId="0" xfId="6411" applyNumberFormat="1" applyFont="1" applyBorder="1"/>
    <xf numFmtId="0" fontId="161" fillId="0" borderId="0" xfId="6418" applyFont="1" applyBorder="1"/>
    <xf numFmtId="0" fontId="161" fillId="0" borderId="0" xfId="6418" applyFont="1" applyBorder="1" applyAlignment="1">
      <alignment horizontal="right"/>
    </xf>
    <xf numFmtId="170" fontId="161" fillId="0" borderId="0" xfId="6418" applyNumberFormat="1" applyFont="1" applyBorder="1"/>
    <xf numFmtId="0" fontId="161" fillId="0" borderId="0" xfId="6410" applyFont="1" applyBorder="1"/>
    <xf numFmtId="0" fontId="161" fillId="0" borderId="0" xfId="6410" applyFont="1" applyBorder="1" applyAlignment="1">
      <alignment horizontal="right"/>
    </xf>
    <xf numFmtId="170" fontId="161" fillId="0" borderId="0" xfId="6410" applyNumberFormat="1" applyFont="1" applyBorder="1"/>
    <xf numFmtId="0" fontId="161" fillId="0" borderId="0" xfId="6417" applyFont="1" applyBorder="1"/>
    <xf numFmtId="0" fontId="161" fillId="0" borderId="0" xfId="6417" applyFont="1" applyBorder="1" applyAlignment="1">
      <alignment horizontal="right"/>
    </xf>
    <xf numFmtId="170" fontId="161" fillId="0" borderId="0" xfId="6417" applyNumberFormat="1" applyFont="1" applyBorder="1"/>
    <xf numFmtId="0" fontId="161" fillId="0" borderId="0" xfId="6409" applyFont="1" applyBorder="1"/>
    <xf numFmtId="0" fontId="161" fillId="0" borderId="0" xfId="6409" applyFont="1" applyBorder="1" applyAlignment="1">
      <alignment horizontal="right"/>
    </xf>
    <xf numFmtId="170" fontId="161" fillId="0" borderId="0" xfId="6409" applyNumberFormat="1" applyFont="1" applyBorder="1"/>
    <xf numFmtId="0" fontId="161" fillId="0" borderId="0" xfId="6412" applyFont="1" applyBorder="1"/>
    <xf numFmtId="0" fontId="161" fillId="0" borderId="0" xfId="6412" applyFont="1" applyBorder="1" applyAlignment="1">
      <alignment horizontal="right"/>
    </xf>
    <xf numFmtId="170" fontId="161" fillId="0" borderId="0" xfId="6412" applyNumberFormat="1" applyFont="1" applyBorder="1"/>
    <xf numFmtId="0" fontId="161" fillId="0" borderId="0" xfId="6394" applyFont="1" applyBorder="1"/>
    <xf numFmtId="0" fontId="161" fillId="0" borderId="0" xfId="6394" applyFont="1" applyBorder="1" applyAlignment="1">
      <alignment horizontal="right"/>
    </xf>
    <xf numFmtId="170" fontId="161" fillId="0" borderId="0" xfId="6394" applyNumberFormat="1" applyFont="1" applyBorder="1"/>
    <xf numFmtId="0" fontId="161" fillId="0" borderId="0" xfId="6392" applyFont="1" applyBorder="1"/>
    <xf numFmtId="170" fontId="161" fillId="0" borderId="0" xfId="6392" applyNumberFormat="1" applyFont="1" applyBorder="1"/>
    <xf numFmtId="10" fontId="161" fillId="0" borderId="0" xfId="5498" applyNumberFormat="1" applyFont="1" applyBorder="1"/>
    <xf numFmtId="0" fontId="161" fillId="0" borderId="0" xfId="6415" applyFont="1" applyBorder="1"/>
    <xf numFmtId="0" fontId="161" fillId="0" borderId="0" xfId="6415" applyFont="1" applyBorder="1" applyAlignment="1">
      <alignment horizontal="right"/>
    </xf>
    <xf numFmtId="170" fontId="161" fillId="0" borderId="0" xfId="6415" applyNumberFormat="1" applyFont="1" applyBorder="1"/>
    <xf numFmtId="0" fontId="161" fillId="0" borderId="0" xfId="6403" applyFont="1" applyBorder="1"/>
    <xf numFmtId="170" fontId="161" fillId="0" borderId="0" xfId="6403" applyNumberFormat="1" applyFont="1" applyBorder="1"/>
    <xf numFmtId="0" fontId="161" fillId="0" borderId="0" xfId="6422" applyFont="1" applyBorder="1"/>
    <xf numFmtId="0" fontId="161" fillId="0" borderId="0" xfId="6422" applyFont="1" applyBorder="1" applyAlignment="1">
      <alignment horizontal="right"/>
    </xf>
    <xf numFmtId="170" fontId="161" fillId="0" borderId="0" xfId="6422" applyNumberFormat="1" applyFont="1" applyBorder="1"/>
    <xf numFmtId="0" fontId="161" fillId="0" borderId="0" xfId="6396" applyFont="1" applyBorder="1"/>
    <xf numFmtId="170" fontId="161" fillId="0" borderId="0" xfId="6396" applyNumberFormat="1" applyFont="1" applyBorder="1"/>
    <xf numFmtId="0" fontId="161" fillId="0" borderId="0" xfId="6422" applyFont="1" applyFill="1" applyBorder="1"/>
    <xf numFmtId="0" fontId="161" fillId="0" borderId="0" xfId="6422" applyFont="1" applyFill="1" applyBorder="1" applyAlignment="1">
      <alignment horizontal="right"/>
    </xf>
    <xf numFmtId="6" fontId="161" fillId="0" borderId="0" xfId="0" applyNumberFormat="1" applyFont="1" applyBorder="1"/>
    <xf numFmtId="0" fontId="161" fillId="0" borderId="0" xfId="6402" applyFont="1" applyBorder="1"/>
    <xf numFmtId="170" fontId="161" fillId="0" borderId="0" xfId="6402" applyNumberFormat="1" applyFont="1" applyBorder="1"/>
    <xf numFmtId="0" fontId="161" fillId="0" borderId="0" xfId="6393" applyFont="1" applyBorder="1"/>
    <xf numFmtId="170" fontId="161" fillId="0" borderId="0" xfId="6393" applyNumberFormat="1" applyFont="1" applyBorder="1"/>
    <xf numFmtId="0" fontId="161" fillId="0" borderId="0" xfId="6413" applyFont="1" applyBorder="1"/>
    <xf numFmtId="170" fontId="161" fillId="0" borderId="0" xfId="6413" applyNumberFormat="1" applyFont="1" applyBorder="1"/>
    <xf numFmtId="0" fontId="161" fillId="0" borderId="0" xfId="6421" applyFont="1" applyBorder="1"/>
    <xf numFmtId="170" fontId="161" fillId="0" borderId="0" xfId="6421" applyNumberFormat="1" applyFont="1" applyBorder="1"/>
    <xf numFmtId="0" fontId="161" fillId="0" borderId="0" xfId="6420" applyFont="1" applyBorder="1"/>
    <xf numFmtId="170" fontId="161" fillId="0" borderId="0" xfId="6420" applyNumberFormat="1" applyFont="1" applyBorder="1"/>
    <xf numFmtId="6" fontId="161" fillId="0" borderId="0" xfId="0" applyNumberFormat="1" applyFont="1" applyFill="1" applyBorder="1"/>
    <xf numFmtId="0" fontId="161" fillId="0" borderId="0" xfId="6416" applyFont="1" applyBorder="1"/>
    <xf numFmtId="170" fontId="161" fillId="0" borderId="0" xfId="6416" applyNumberFormat="1" applyFont="1" applyBorder="1"/>
    <xf numFmtId="0" fontId="161" fillId="0" borderId="0" xfId="6416" applyFont="1" applyFill="1" applyBorder="1"/>
    <xf numFmtId="170" fontId="161" fillId="0" borderId="0" xfId="6416" applyNumberFormat="1" applyFont="1" applyFill="1" applyBorder="1"/>
    <xf numFmtId="10" fontId="161" fillId="0" borderId="0" xfId="5498" applyNumberFormat="1" applyFont="1" applyFill="1" applyBorder="1"/>
    <xf numFmtId="0" fontId="161" fillId="0" borderId="0" xfId="6414" applyFont="1" applyFill="1" applyBorder="1"/>
    <xf numFmtId="170" fontId="161" fillId="0" borderId="0" xfId="6414" applyNumberFormat="1" applyFont="1" applyFill="1" applyBorder="1"/>
    <xf numFmtId="0" fontId="161" fillId="0" borderId="0" xfId="6407" applyFont="1" applyFill="1" applyBorder="1"/>
    <xf numFmtId="170" fontId="161" fillId="0" borderId="0" xfId="6407" applyNumberFormat="1" applyFont="1" applyFill="1" applyBorder="1"/>
    <xf numFmtId="0" fontId="161" fillId="0" borderId="0" xfId="6408" applyFont="1" applyFill="1" applyBorder="1"/>
    <xf numFmtId="170" fontId="161" fillId="0" borderId="0" xfId="6408" applyNumberFormat="1" applyFont="1" applyFill="1" applyBorder="1"/>
    <xf numFmtId="0" fontId="161" fillId="0" borderId="0" xfId="6405" applyFont="1" applyFill="1" applyBorder="1"/>
    <xf numFmtId="170" fontId="161" fillId="0" borderId="0" xfId="6405" applyNumberFormat="1" applyFont="1" applyFill="1" applyBorder="1"/>
    <xf numFmtId="0" fontId="161" fillId="0" borderId="0" xfId="6419" applyFont="1" applyFill="1" applyBorder="1"/>
    <xf numFmtId="170" fontId="161" fillId="0" borderId="0" xfId="6419" applyNumberFormat="1" applyFont="1" applyFill="1" applyBorder="1"/>
    <xf numFmtId="0" fontId="169" fillId="0" borderId="0" xfId="0" applyFont="1" applyFill="1" applyBorder="1"/>
    <xf numFmtId="8" fontId="161" fillId="0" borderId="0" xfId="0" applyNumberFormat="1" applyFont="1" applyFill="1" applyBorder="1"/>
    <xf numFmtId="10" fontId="161" fillId="0" borderId="0" xfId="0" applyNumberFormat="1" applyFont="1" applyBorder="1"/>
    <xf numFmtId="170" fontId="161" fillId="0" borderId="0" xfId="0" applyNumberFormat="1" applyFont="1" applyBorder="1"/>
    <xf numFmtId="166" fontId="161" fillId="0" borderId="0" xfId="42" applyNumberFormat="1" applyFont="1" applyBorder="1"/>
    <xf numFmtId="166" fontId="161" fillId="0" borderId="0" xfId="42" applyNumberFormat="1" applyFont="1" applyFill="1" applyBorder="1"/>
    <xf numFmtId="0" fontId="161" fillId="0" borderId="0" xfId="90" applyNumberFormat="1" applyFont="1" applyBorder="1"/>
    <xf numFmtId="0" fontId="161" fillId="0" borderId="0" xfId="0" applyFont="1" applyBorder="1" applyAlignment="1">
      <alignment horizontal="left" vertical="center"/>
    </xf>
    <xf numFmtId="0" fontId="170" fillId="0" borderId="0" xfId="0" applyFont="1"/>
    <xf numFmtId="0" fontId="170" fillId="0" borderId="0" xfId="0" applyFont="1" applyFill="1"/>
    <xf numFmtId="3" fontId="170" fillId="0" borderId="0" xfId="0" applyNumberFormat="1" applyFont="1"/>
    <xf numFmtId="169" fontId="170" fillId="0" borderId="0" xfId="0" applyNumberFormat="1" applyFont="1"/>
    <xf numFmtId="43" fontId="170" fillId="0" borderId="0" xfId="42" applyFont="1"/>
    <xf numFmtId="169" fontId="168" fillId="0" borderId="0" xfId="0" applyNumberFormat="1" applyFont="1"/>
    <xf numFmtId="3" fontId="168" fillId="0" borderId="0" xfId="0" applyNumberFormat="1" applyFont="1"/>
    <xf numFmtId="167" fontId="168" fillId="0" borderId="0" xfId="90" applyNumberFormat="1" applyFont="1"/>
    <xf numFmtId="0" fontId="171" fillId="0" borderId="0" xfId="0" applyFont="1"/>
    <xf numFmtId="0" fontId="171" fillId="0" borderId="0" xfId="0" applyFont="1" applyFill="1"/>
    <xf numFmtId="17" fontId="161" fillId="0" borderId="0" xfId="0" applyNumberFormat="1" applyFont="1"/>
    <xf numFmtId="170" fontId="161" fillId="0" borderId="0" xfId="0" applyNumberFormat="1" applyFont="1"/>
    <xf numFmtId="6" fontId="161" fillId="0" borderId="0" xfId="0" applyNumberFormat="1" applyFont="1" applyBorder="1" applyAlignment="1">
      <alignment horizontal="right"/>
    </xf>
    <xf numFmtId="0" fontId="125" fillId="0" borderId="0" xfId="1" applyFont="1" applyFill="1"/>
    <xf numFmtId="4" fontId="0" fillId="10" borderId="2" xfId="0" applyNumberFormat="1" applyFont="1" applyFill="1" applyBorder="1" applyAlignment="1">
      <alignment horizontal="center"/>
    </xf>
    <xf numFmtId="4" fontId="0" fillId="0" borderId="24" xfId="0" applyNumberFormat="1" applyFont="1" applyBorder="1" applyAlignment="1">
      <alignment horizontal="center"/>
    </xf>
    <xf numFmtId="4" fontId="0" fillId="0" borderId="25" xfId="0" applyNumberFormat="1" applyFont="1" applyBorder="1" applyAlignment="1">
      <alignment horizontal="center"/>
    </xf>
    <xf numFmtId="0" fontId="34" fillId="27" borderId="0" xfId="0" applyFont="1" applyFill="1" applyBorder="1" applyAlignment="1" applyProtection="1">
      <alignment horizontal="center"/>
    </xf>
    <xf numFmtId="3" fontId="8" fillId="27" borderId="0" xfId="0" applyNumberFormat="1" applyFont="1" applyFill="1" applyBorder="1"/>
    <xf numFmtId="0" fontId="8" fillId="27" borderId="0" xfId="0" applyFont="1" applyFill="1" applyBorder="1"/>
    <xf numFmtId="0" fontId="172" fillId="27" borderId="0" xfId="0" applyFont="1" applyFill="1" applyBorder="1" applyAlignment="1" applyProtection="1">
      <alignment horizontal="center"/>
    </xf>
    <xf numFmtId="3" fontId="172" fillId="27" borderId="0" xfId="0" applyNumberFormat="1" applyFont="1" applyFill="1" applyBorder="1" applyAlignment="1" applyProtection="1">
      <alignment horizontal="center"/>
    </xf>
    <xf numFmtId="3" fontId="172" fillId="27" borderId="0" xfId="0" applyNumberFormat="1" applyFont="1" applyFill="1" applyBorder="1" applyAlignment="1" applyProtection="1">
      <alignment horizontal="right"/>
    </xf>
    <xf numFmtId="0" fontId="173" fillId="27" borderId="0" xfId="0" applyFont="1" applyFill="1" applyBorder="1"/>
    <xf numFmtId="0" fontId="172" fillId="27" borderId="0" xfId="0" applyFont="1" applyFill="1" applyBorder="1" applyAlignment="1">
      <alignment horizontal="center"/>
    </xf>
    <xf numFmtId="0" fontId="172" fillId="27" borderId="0" xfId="0" applyFont="1" applyFill="1" applyBorder="1" applyAlignment="1" applyProtection="1">
      <alignment horizontal="centerContinuous"/>
    </xf>
    <xf numFmtId="3" fontId="174" fillId="2" borderId="0" xfId="0" applyNumberFormat="1" applyFont="1" applyFill="1" applyBorder="1" applyAlignment="1" applyProtection="1">
      <alignment horizontal="center"/>
    </xf>
    <xf numFmtId="0" fontId="84" fillId="21" borderId="18" xfId="0" applyFont="1" applyFill="1" applyBorder="1" applyAlignment="1">
      <alignment horizontal="center"/>
    </xf>
    <xf numFmtId="0" fontId="84" fillId="21" borderId="26" xfId="0" applyFont="1" applyFill="1" applyBorder="1" applyAlignment="1">
      <alignment horizontal="center"/>
    </xf>
    <xf numFmtId="0" fontId="84" fillId="21" borderId="19" xfId="0" applyFont="1" applyFill="1" applyBorder="1" applyAlignment="1">
      <alignment horizontal="center"/>
    </xf>
    <xf numFmtId="0" fontId="2" fillId="0" borderId="18" xfId="0" applyFont="1" applyFill="1" applyBorder="1" applyAlignment="1">
      <alignment horizontal="center"/>
    </xf>
    <xf numFmtId="0" fontId="2" fillId="0" borderId="26" xfId="0" applyFont="1" applyFill="1" applyBorder="1" applyAlignment="1">
      <alignment horizontal="center"/>
    </xf>
    <xf numFmtId="0" fontId="2" fillId="0" borderId="19" xfId="0" applyFont="1" applyFill="1" applyBorder="1" applyAlignment="1">
      <alignment horizontal="center"/>
    </xf>
    <xf numFmtId="0" fontId="64" fillId="0" borderId="0" xfId="0" applyFont="1" applyBorder="1" applyAlignment="1">
      <alignment horizontal="center" vertical="top"/>
    </xf>
    <xf numFmtId="0" fontId="64" fillId="6" borderId="26" xfId="0" applyFont="1" applyFill="1" applyBorder="1" applyAlignment="1">
      <alignment horizontal="center"/>
    </xf>
    <xf numFmtId="0" fontId="64" fillId="6" borderId="19" xfId="0" applyFont="1" applyFill="1" applyBorder="1" applyAlignment="1">
      <alignment horizontal="center"/>
    </xf>
    <xf numFmtId="0" fontId="85" fillId="100" borderId="1" xfId="0" applyFont="1" applyFill="1" applyBorder="1" applyAlignment="1">
      <alignment horizontal="left"/>
    </xf>
    <xf numFmtId="0" fontId="85" fillId="100" borderId="0" xfId="0" applyFont="1" applyFill="1" applyBorder="1" applyAlignment="1">
      <alignment horizontal="left"/>
    </xf>
    <xf numFmtId="0" fontId="169" fillId="0" borderId="0" xfId="0" applyFont="1" applyAlignment="1">
      <alignment horizontal="center"/>
    </xf>
    <xf numFmtId="0" fontId="64" fillId="2" borderId="38" xfId="0" applyFont="1" applyFill="1" applyBorder="1" applyAlignment="1">
      <alignment horizontal="center"/>
    </xf>
    <xf numFmtId="0" fontId="64" fillId="2" borderId="26" xfId="0" applyFont="1" applyFill="1" applyBorder="1" applyAlignment="1">
      <alignment horizontal="center"/>
    </xf>
    <xf numFmtId="0" fontId="64" fillId="2" borderId="19" xfId="0" applyFont="1" applyFill="1" applyBorder="1" applyAlignment="1">
      <alignment horizontal="center"/>
    </xf>
    <xf numFmtId="0" fontId="2" fillId="0" borderId="0" xfId="0" applyFont="1" applyFill="1" applyBorder="1" applyAlignment="1">
      <alignment horizontal="left" wrapText="1"/>
    </xf>
    <xf numFmtId="188" fontId="3" fillId="29" borderId="23" xfId="0" applyNumberFormat="1" applyFont="1" applyFill="1" applyBorder="1" applyAlignment="1">
      <alignment horizontal="center"/>
    </xf>
    <xf numFmtId="188" fontId="3" fillId="29" borderId="28" xfId="0" applyNumberFormat="1" applyFont="1" applyFill="1" applyBorder="1" applyAlignment="1">
      <alignment horizontal="center"/>
    </xf>
    <xf numFmtId="188" fontId="58" fillId="29" borderId="42" xfId="0" applyNumberFormat="1" applyFont="1" applyFill="1" applyBorder="1" applyAlignment="1" applyProtection="1">
      <alignment horizontal="center"/>
    </xf>
    <xf numFmtId="188" fontId="58" fillId="29" borderId="43" xfId="0" applyNumberFormat="1" applyFont="1" applyFill="1" applyBorder="1" applyAlignment="1" applyProtection="1">
      <alignment horizontal="center"/>
    </xf>
    <xf numFmtId="188" fontId="58" fillId="29" borderId="44" xfId="0" applyNumberFormat="1" applyFont="1" applyFill="1" applyBorder="1" applyAlignment="1" applyProtection="1">
      <alignment horizontal="center"/>
    </xf>
    <xf numFmtId="1" fontId="9" fillId="2" borderId="0" xfId="0" applyNumberFormat="1" applyFont="1" applyFill="1" applyBorder="1" applyAlignment="1">
      <alignment horizontal="center"/>
    </xf>
    <xf numFmtId="166" fontId="9" fillId="2" borderId="0" xfId="0" applyNumberFormat="1" applyFont="1" applyFill="1" applyBorder="1" applyAlignment="1">
      <alignment horizontal="center"/>
    </xf>
    <xf numFmtId="0" fontId="9" fillId="2" borderId="0" xfId="0" applyFont="1" applyFill="1" applyBorder="1" applyAlignment="1">
      <alignment horizontal="center"/>
    </xf>
    <xf numFmtId="0" fontId="9" fillId="2" borderId="0" xfId="0" applyFont="1" applyFill="1" applyBorder="1" applyAlignment="1" applyProtection="1">
      <alignment horizontal="center"/>
    </xf>
    <xf numFmtId="0" fontId="9" fillId="2" borderId="0" xfId="0" applyFont="1" applyFill="1" applyAlignment="1">
      <alignment horizontal="center"/>
    </xf>
    <xf numFmtId="3" fontId="9" fillId="27" borderId="0" xfId="0" applyNumberFormat="1" applyFont="1" applyFill="1" applyBorder="1" applyAlignment="1">
      <alignment horizontal="center"/>
    </xf>
    <xf numFmtId="0" fontId="9" fillId="27" borderId="0" xfId="0" applyFont="1" applyFill="1" applyBorder="1" applyAlignment="1" applyProtection="1">
      <alignment horizontal="center"/>
    </xf>
    <xf numFmtId="0" fontId="5" fillId="27" borderId="0" xfId="0" applyFont="1" applyFill="1" applyBorder="1" applyAlignment="1" applyProtection="1">
      <alignment horizontal="center"/>
    </xf>
    <xf numFmtId="0" fontId="9" fillId="0" borderId="0" xfId="0" applyFont="1" applyAlignment="1" applyProtection="1">
      <alignment horizontal="center"/>
    </xf>
    <xf numFmtId="0" fontId="9" fillId="0" borderId="4" xfId="0" applyFont="1" applyBorder="1" applyAlignment="1" applyProtection="1">
      <alignment horizontal="center"/>
    </xf>
    <xf numFmtId="0" fontId="5" fillId="0" borderId="0" xfId="0" applyFont="1" applyAlignment="1" applyProtection="1">
      <alignment horizontal="center"/>
    </xf>
    <xf numFmtId="0" fontId="5" fillId="0" borderId="0" xfId="0" applyFont="1" applyBorder="1" applyAlignment="1" applyProtection="1">
      <alignment horizontal="center"/>
    </xf>
    <xf numFmtId="0" fontId="5" fillId="0" borderId="18" xfId="0" applyFont="1" applyBorder="1" applyAlignment="1">
      <alignment horizontal="center"/>
    </xf>
    <xf numFmtId="0" fontId="5" fillId="0" borderId="26" xfId="0" applyFont="1" applyBorder="1" applyAlignment="1">
      <alignment horizontal="center"/>
    </xf>
    <xf numFmtId="0" fontId="5" fillId="0" borderId="19" xfId="0" applyFont="1" applyBorder="1" applyAlignment="1">
      <alignment horizontal="center"/>
    </xf>
    <xf numFmtId="0" fontId="7" fillId="8" borderId="43" xfId="0" applyFont="1" applyFill="1" applyBorder="1" applyAlignment="1" applyProtection="1">
      <alignment horizontal="center"/>
    </xf>
    <xf numFmtId="0" fontId="7" fillId="8" borderId="44" xfId="0" applyFont="1" applyFill="1" applyBorder="1" applyAlignment="1" applyProtection="1">
      <alignment horizontal="center"/>
    </xf>
    <xf numFmtId="0" fontId="7" fillId="8" borderId="42" xfId="0" applyFont="1" applyFill="1" applyBorder="1" applyAlignment="1" applyProtection="1">
      <alignment horizontal="center"/>
    </xf>
    <xf numFmtId="0" fontId="5" fillId="0" borderId="0" xfId="0" applyFont="1" applyAlignment="1">
      <alignment horizontal="center"/>
    </xf>
    <xf numFmtId="0" fontId="7" fillId="4" borderId="18" xfId="0" applyFont="1" applyFill="1" applyBorder="1" applyAlignment="1">
      <alignment horizontal="center"/>
    </xf>
    <xf numFmtId="0" fontId="7" fillId="4" borderId="19" xfId="0" applyFont="1" applyFill="1" applyBorder="1" applyAlignment="1">
      <alignment horizontal="center"/>
    </xf>
    <xf numFmtId="0" fontId="0" fillId="0" borderId="0" xfId="0" applyFont="1" applyAlignment="1">
      <alignment horizontal="left" vertical="top" wrapText="1"/>
    </xf>
    <xf numFmtId="0" fontId="5" fillId="0" borderId="3" xfId="0" applyFont="1" applyBorder="1" applyAlignment="1">
      <alignment horizontal="center"/>
    </xf>
    <xf numFmtId="0" fontId="5" fillId="0" borderId="5" xfId="0" applyFont="1" applyBorder="1" applyAlignment="1">
      <alignment horizontal="center"/>
    </xf>
    <xf numFmtId="0" fontId="64" fillId="0" borderId="34" xfId="0" applyFont="1" applyBorder="1" applyAlignment="1">
      <alignment horizontal="center"/>
    </xf>
    <xf numFmtId="0" fontId="5" fillId="0" borderId="4" xfId="0" applyFont="1" applyBorder="1" applyAlignment="1">
      <alignment horizontal="center"/>
    </xf>
    <xf numFmtId="0" fontId="64" fillId="6" borderId="18" xfId="0" applyFont="1" applyFill="1" applyBorder="1" applyAlignment="1">
      <alignment horizontal="center"/>
    </xf>
    <xf numFmtId="0" fontId="121" fillId="0" borderId="0" xfId="0" applyFont="1" applyAlignment="1">
      <alignment horizontal="left" vertical="center" wrapText="1"/>
    </xf>
    <xf numFmtId="0" fontId="87" fillId="0" borderId="0" xfId="0" applyFont="1" applyAlignment="1">
      <alignment horizontal="center" vertical="center" wrapText="1"/>
    </xf>
    <xf numFmtId="0" fontId="9" fillId="0" borderId="0" xfId="0" applyFont="1" applyAlignment="1">
      <alignment horizontal="center"/>
    </xf>
    <xf numFmtId="0" fontId="5" fillId="0" borderId="0" xfId="0" applyFont="1" applyBorder="1" applyAlignment="1">
      <alignment horizontal="center"/>
    </xf>
    <xf numFmtId="0" fontId="5" fillId="0" borderId="4" xfId="0" applyFont="1" applyBorder="1" applyAlignment="1" applyProtection="1">
      <alignment horizontal="center"/>
    </xf>
    <xf numFmtId="0" fontId="7" fillId="53" borderId="42" xfId="0" applyFont="1" applyFill="1" applyBorder="1" applyAlignment="1" applyProtection="1">
      <alignment horizontal="center"/>
    </xf>
    <xf numFmtId="0" fontId="7" fillId="53" borderId="44" xfId="0" applyFont="1" applyFill="1" applyBorder="1" applyAlignment="1" applyProtection="1">
      <alignment horizontal="center"/>
    </xf>
    <xf numFmtId="0" fontId="7" fillId="53" borderId="42" xfId="0" applyFont="1" applyFill="1" applyBorder="1" applyAlignment="1">
      <alignment horizontal="center"/>
    </xf>
    <xf numFmtId="0" fontId="7" fillId="53" borderId="44" xfId="0" applyFont="1" applyFill="1" applyBorder="1" applyAlignment="1">
      <alignment horizontal="center"/>
    </xf>
    <xf numFmtId="0" fontId="64" fillId="52" borderId="26" xfId="0" applyFont="1" applyFill="1" applyBorder="1" applyAlignment="1">
      <alignment horizontal="center"/>
    </xf>
    <xf numFmtId="0" fontId="64" fillId="52" borderId="19" xfId="0" applyFont="1" applyFill="1" applyBorder="1" applyAlignment="1">
      <alignment horizontal="center"/>
    </xf>
    <xf numFmtId="0" fontId="7" fillId="50" borderId="18" xfId="0" applyFont="1" applyFill="1" applyBorder="1" applyAlignment="1">
      <alignment horizontal="center"/>
    </xf>
    <xf numFmtId="0" fontId="7" fillId="50" borderId="26" xfId="0" applyFont="1" applyFill="1" applyBorder="1" applyAlignment="1">
      <alignment horizontal="center"/>
    </xf>
    <xf numFmtId="0" fontId="7" fillId="50" borderId="19" xfId="0" applyFont="1" applyFill="1" applyBorder="1" applyAlignment="1">
      <alignment horizontal="center"/>
    </xf>
    <xf numFmtId="0" fontId="64" fillId="52" borderId="18" xfId="0" applyFont="1" applyFill="1" applyBorder="1" applyAlignment="1">
      <alignment horizontal="center"/>
    </xf>
    <xf numFmtId="0" fontId="52" fillId="7" borderId="18" xfId="0" applyFont="1" applyFill="1" applyBorder="1" applyAlignment="1">
      <alignment horizontal="left"/>
    </xf>
    <xf numFmtId="0" fontId="52" fillId="7" borderId="26" xfId="0" applyFont="1" applyFill="1" applyBorder="1" applyAlignment="1">
      <alignment horizontal="left"/>
    </xf>
    <xf numFmtId="0" fontId="7" fillId="53" borderId="28" xfId="0" applyFont="1" applyFill="1" applyBorder="1" applyAlignment="1">
      <alignment horizontal="center"/>
    </xf>
    <xf numFmtId="0" fontId="7" fillId="53" borderId="39" xfId="0" applyFont="1" applyFill="1" applyBorder="1" applyAlignment="1">
      <alignment horizontal="center"/>
    </xf>
    <xf numFmtId="0" fontId="9" fillId="0" borderId="4" xfId="0" applyFont="1" applyBorder="1" applyAlignment="1">
      <alignment horizontal="center"/>
    </xf>
    <xf numFmtId="0" fontId="7" fillId="53" borderId="21" xfId="0" applyFont="1" applyFill="1" applyBorder="1" applyAlignment="1">
      <alignment horizontal="center"/>
    </xf>
    <xf numFmtId="0" fontId="64" fillId="27" borderId="26" xfId="0" applyFont="1" applyFill="1" applyBorder="1" applyAlignment="1">
      <alignment horizontal="center"/>
    </xf>
    <xf numFmtId="0" fontId="64" fillId="27" borderId="19" xfId="0" applyFont="1" applyFill="1" applyBorder="1" applyAlignment="1">
      <alignment horizontal="center"/>
    </xf>
    <xf numFmtId="0" fontId="64" fillId="0" borderId="0" xfId="0" applyFont="1" applyBorder="1" applyAlignment="1">
      <alignment horizontal="center"/>
    </xf>
    <xf numFmtId="0" fontId="7" fillId="59" borderId="23" xfId="0" applyFont="1" applyFill="1" applyBorder="1" applyAlignment="1">
      <alignment horizontal="center"/>
    </xf>
    <xf numFmtId="0" fontId="7" fillId="59" borderId="34" xfId="0" applyFont="1" applyFill="1" applyBorder="1" applyAlignment="1">
      <alignment horizontal="center"/>
    </xf>
    <xf numFmtId="0" fontId="7" fillId="59" borderId="28" xfId="0" applyFont="1" applyFill="1" applyBorder="1" applyAlignment="1">
      <alignment horizontal="center"/>
    </xf>
    <xf numFmtId="0" fontId="64" fillId="15" borderId="18" xfId="0" applyFont="1" applyFill="1" applyBorder="1" applyAlignment="1">
      <alignment horizontal="center"/>
    </xf>
    <xf numFmtId="0" fontId="64" fillId="15" borderId="26" xfId="0" applyFont="1" applyFill="1" applyBorder="1" applyAlignment="1">
      <alignment horizontal="center"/>
    </xf>
    <xf numFmtId="0" fontId="64" fillId="15" borderId="19" xfId="0" applyFont="1" applyFill="1" applyBorder="1" applyAlignment="1">
      <alignment horizontal="center"/>
    </xf>
    <xf numFmtId="0" fontId="64" fillId="13" borderId="26" xfId="0" applyFont="1" applyFill="1" applyBorder="1" applyAlignment="1">
      <alignment horizontal="center"/>
    </xf>
    <xf numFmtId="0" fontId="64" fillId="13" borderId="19" xfId="0" applyFont="1" applyFill="1" applyBorder="1" applyAlignment="1">
      <alignment horizontal="center"/>
    </xf>
    <xf numFmtId="0" fontId="0" fillId="0" borderId="0" xfId="0" applyFont="1" applyAlignment="1">
      <alignment horizontal="left" wrapText="1"/>
    </xf>
    <xf numFmtId="0" fontId="7" fillId="22" borderId="18" xfId="0" applyFont="1" applyFill="1" applyBorder="1" applyAlignment="1">
      <alignment horizontal="center"/>
    </xf>
    <xf numFmtId="0" fontId="7" fillId="22" borderId="19" xfId="0" applyFont="1" applyFill="1" applyBorder="1" applyAlignment="1">
      <alignment horizontal="center"/>
    </xf>
    <xf numFmtId="0" fontId="64" fillId="13" borderId="18" xfId="0" applyFont="1" applyFill="1" applyBorder="1" applyAlignment="1">
      <alignment horizontal="center"/>
    </xf>
    <xf numFmtId="0" fontId="5" fillId="0" borderId="4" xfId="0" applyFont="1" applyBorder="1" applyAlignment="1">
      <alignment horizontal="center" wrapText="1"/>
    </xf>
    <xf numFmtId="0" fontId="5" fillId="7" borderId="4" xfId="0" applyFont="1" applyFill="1" applyBorder="1" applyAlignment="1">
      <alignment horizontal="center"/>
    </xf>
    <xf numFmtId="0" fontId="5" fillId="0" borderId="4" xfId="0" applyFont="1" applyFill="1" applyBorder="1" applyAlignment="1">
      <alignment horizontal="center"/>
    </xf>
    <xf numFmtId="0" fontId="5" fillId="0" borderId="0" xfId="0" applyFont="1" applyAlignment="1">
      <alignment horizontal="center" wrapText="1"/>
    </xf>
    <xf numFmtId="0" fontId="64" fillId="54" borderId="26" xfId="0" applyFont="1" applyFill="1" applyBorder="1" applyAlignment="1">
      <alignment horizontal="center"/>
    </xf>
    <xf numFmtId="0" fontId="64" fillId="54" borderId="19" xfId="0" applyFont="1" applyFill="1" applyBorder="1" applyAlignment="1">
      <alignment horizontal="center"/>
    </xf>
    <xf numFmtId="0" fontId="7" fillId="105" borderId="18" xfId="0" applyFont="1" applyFill="1" applyBorder="1" applyAlignment="1">
      <alignment horizontal="center"/>
    </xf>
    <xf numFmtId="0" fontId="7" fillId="105" borderId="26" xfId="0" applyFont="1" applyFill="1" applyBorder="1" applyAlignment="1">
      <alignment horizontal="center"/>
    </xf>
    <xf numFmtId="0" fontId="7" fillId="105" borderId="19" xfId="0" applyFont="1" applyFill="1" applyBorder="1" applyAlignment="1">
      <alignment horizontal="center"/>
    </xf>
    <xf numFmtId="0" fontId="64" fillId="3" borderId="26" xfId="0" applyFont="1" applyFill="1" applyBorder="1" applyAlignment="1">
      <alignment horizontal="center"/>
    </xf>
    <xf numFmtId="0" fontId="64" fillId="3" borderId="19" xfId="0" applyFont="1" applyFill="1" applyBorder="1" applyAlignment="1">
      <alignment horizontal="center"/>
    </xf>
    <xf numFmtId="0" fontId="7" fillId="18" borderId="23" xfId="0" applyFont="1" applyFill="1" applyBorder="1" applyAlignment="1">
      <alignment horizontal="center"/>
    </xf>
    <xf numFmtId="0" fontId="7" fillId="18" borderId="34" xfId="0" applyFont="1" applyFill="1" applyBorder="1" applyAlignment="1">
      <alignment horizontal="center"/>
    </xf>
    <xf numFmtId="0" fontId="7" fillId="18" borderId="28" xfId="0" applyFont="1" applyFill="1" applyBorder="1" applyAlignment="1">
      <alignment horizontal="center"/>
    </xf>
    <xf numFmtId="0" fontId="64" fillId="3" borderId="18" xfId="0" applyFont="1" applyFill="1" applyBorder="1" applyAlignment="1">
      <alignment horizontal="center"/>
    </xf>
    <xf numFmtId="0" fontId="9" fillId="0" borderId="4" xfId="0" applyFont="1" applyBorder="1" applyAlignment="1">
      <alignment horizontal="center" wrapText="1"/>
    </xf>
    <xf numFmtId="0" fontId="6" fillId="10" borderId="26" xfId="0" applyFont="1" applyFill="1" applyBorder="1" applyAlignment="1">
      <alignment horizontal="center"/>
    </xf>
    <xf numFmtId="0" fontId="6" fillId="10" borderId="19" xfId="0" applyFont="1" applyFill="1" applyBorder="1" applyAlignment="1">
      <alignment horizontal="center"/>
    </xf>
    <xf numFmtId="0" fontId="7" fillId="12" borderId="18" xfId="0" applyFont="1" applyFill="1" applyBorder="1" applyAlignment="1">
      <alignment horizontal="center"/>
    </xf>
    <xf numFmtId="0" fontId="7" fillId="12" borderId="26" xfId="0" applyFont="1" applyFill="1" applyBorder="1" applyAlignment="1">
      <alignment horizontal="center"/>
    </xf>
    <xf numFmtId="0" fontId="7" fillId="12" borderId="19" xfId="0" applyFont="1" applyFill="1" applyBorder="1" applyAlignment="1">
      <alignment horizontal="center"/>
    </xf>
    <xf numFmtId="0" fontId="64" fillId="10" borderId="18" xfId="0" applyFont="1" applyFill="1" applyBorder="1" applyAlignment="1">
      <alignment horizontal="center"/>
    </xf>
    <xf numFmtId="0" fontId="64" fillId="10" borderId="26" xfId="0" applyFont="1" applyFill="1" applyBorder="1" applyAlignment="1">
      <alignment horizontal="center"/>
    </xf>
    <xf numFmtId="0" fontId="64" fillId="10" borderId="19" xfId="0" applyFont="1" applyFill="1" applyBorder="1" applyAlignment="1">
      <alignment horizontal="center"/>
    </xf>
    <xf numFmtId="0" fontId="5" fillId="0" borderId="4" xfId="0" applyFont="1" applyBorder="1" applyAlignment="1">
      <alignment horizontal="center" vertical="center"/>
    </xf>
    <xf numFmtId="0" fontId="64" fillId="61" borderId="43" xfId="0" applyFont="1" applyFill="1" applyBorder="1" applyAlignment="1">
      <alignment horizontal="center"/>
    </xf>
    <xf numFmtId="0" fontId="64" fillId="61" borderId="44" xfId="0" applyFont="1" applyFill="1" applyBorder="1" applyAlignment="1">
      <alignment horizontal="center"/>
    </xf>
    <xf numFmtId="0" fontId="64" fillId="61" borderId="16" xfId="0" applyFont="1" applyFill="1" applyBorder="1" applyAlignment="1">
      <alignment horizontal="center"/>
    </xf>
    <xf numFmtId="0" fontId="64" fillId="61" borderId="58" xfId="0" applyFont="1" applyFill="1" applyBorder="1" applyAlignment="1">
      <alignment horizontal="center"/>
    </xf>
    <xf numFmtId="0" fontId="7" fillId="60" borderId="18" xfId="0" applyFont="1" applyFill="1" applyBorder="1" applyAlignment="1">
      <alignment horizontal="center" vertical="center"/>
    </xf>
    <xf numFmtId="0" fontId="7" fillId="60" borderId="19" xfId="0" applyFont="1" applyFill="1" applyBorder="1" applyAlignment="1">
      <alignment horizontal="center" vertical="center"/>
    </xf>
    <xf numFmtId="0" fontId="5" fillId="0" borderId="0" xfId="0" applyFont="1" applyBorder="1" applyAlignment="1">
      <alignment horizontal="center" vertical="center"/>
    </xf>
    <xf numFmtId="0" fontId="7" fillId="24" borderId="42" xfId="0" applyFont="1" applyFill="1" applyBorder="1" applyAlignment="1" applyProtection="1">
      <alignment horizontal="center"/>
    </xf>
    <xf numFmtId="0" fontId="7" fillId="24" borderId="44" xfId="0" applyFont="1" applyFill="1" applyBorder="1" applyAlignment="1" applyProtection="1">
      <alignment horizontal="center"/>
    </xf>
    <xf numFmtId="0" fontId="7" fillId="24" borderId="81" xfId="0" applyFont="1" applyFill="1" applyBorder="1" applyAlignment="1">
      <alignment horizontal="center"/>
    </xf>
    <xf numFmtId="0" fontId="7" fillId="24" borderId="43" xfId="0" applyFont="1" applyFill="1" applyBorder="1" applyAlignment="1" applyProtection="1">
      <alignment horizontal="center"/>
    </xf>
    <xf numFmtId="0" fontId="7" fillId="24" borderId="38" xfId="0" applyFont="1" applyFill="1" applyBorder="1" applyAlignment="1">
      <alignment horizontal="center"/>
    </xf>
    <xf numFmtId="0" fontId="7" fillId="24" borderId="26" xfId="0" applyFont="1" applyFill="1" applyBorder="1" applyAlignment="1">
      <alignment horizontal="center"/>
    </xf>
    <xf numFmtId="0" fontId="7" fillId="24" borderId="19" xfId="0" applyFont="1" applyFill="1" applyBorder="1" applyAlignment="1">
      <alignment horizontal="center"/>
    </xf>
    <xf numFmtId="0" fontId="7" fillId="24" borderId="18" xfId="0" applyFont="1" applyFill="1" applyBorder="1" applyAlignment="1">
      <alignment horizontal="center"/>
    </xf>
    <xf numFmtId="0" fontId="7" fillId="26" borderId="18" xfId="0" applyFont="1" applyFill="1" applyBorder="1" applyAlignment="1">
      <alignment horizontal="center"/>
    </xf>
    <xf numFmtId="0" fontId="7" fillId="26" borderId="19" xfId="0" applyFont="1" applyFill="1" applyBorder="1" applyAlignment="1">
      <alignment horizontal="center"/>
    </xf>
    <xf numFmtId="0" fontId="7" fillId="24" borderId="17" xfId="0" applyFont="1" applyFill="1" applyBorder="1" applyAlignment="1">
      <alignment horizontal="center" vertical="center" wrapText="1"/>
    </xf>
    <xf numFmtId="0" fontId="7" fillId="24" borderId="8" xfId="0" applyFont="1" applyFill="1" applyBorder="1" applyAlignment="1">
      <alignment horizontal="center" vertical="center" wrapText="1"/>
    </xf>
    <xf numFmtId="0" fontId="7" fillId="24" borderId="21" xfId="0" applyFont="1" applyFill="1" applyBorder="1" applyAlignment="1">
      <alignment horizontal="center" vertical="center" wrapText="1"/>
    </xf>
    <xf numFmtId="0" fontId="7" fillId="24" borderId="25" xfId="0" applyFont="1" applyFill="1" applyBorder="1" applyAlignment="1">
      <alignment horizontal="center" vertical="center" wrapText="1"/>
    </xf>
    <xf numFmtId="0" fontId="7" fillId="26" borderId="26" xfId="0" applyFont="1" applyFill="1" applyBorder="1" applyAlignment="1">
      <alignment horizontal="center"/>
    </xf>
    <xf numFmtId="0" fontId="6" fillId="0" borderId="0" xfId="0" applyFont="1" applyAlignment="1">
      <alignment horizontal="left" wrapText="1"/>
    </xf>
    <xf numFmtId="0" fontId="64" fillId="2" borderId="18" xfId="0" applyFont="1" applyFill="1" applyBorder="1" applyAlignment="1">
      <alignment horizontal="center"/>
    </xf>
    <xf numFmtId="0" fontId="9" fillId="0" borderId="0" xfId="0" applyFont="1" applyBorder="1" applyAlignment="1">
      <alignment horizontal="left" wrapText="1"/>
    </xf>
    <xf numFmtId="0" fontId="7" fillId="30" borderId="42" xfId="0" applyFont="1" applyFill="1" applyBorder="1" applyAlignment="1">
      <alignment horizontal="center" vertical="center"/>
    </xf>
    <xf numFmtId="0" fontId="7" fillId="30" borderId="43" xfId="0" applyFont="1" applyFill="1" applyBorder="1" applyAlignment="1">
      <alignment horizontal="center" vertical="center"/>
    </xf>
    <xf numFmtId="0" fontId="7" fillId="30" borderId="44" xfId="0" applyFont="1" applyFill="1" applyBorder="1" applyAlignment="1">
      <alignment horizontal="center" vertical="center"/>
    </xf>
    <xf numFmtId="0" fontId="9" fillId="0" borderId="0" xfId="0" applyFont="1" applyFill="1" applyAlignment="1">
      <alignment horizontal="center"/>
    </xf>
    <xf numFmtId="0" fontId="52" fillId="0" borderId="34" xfId="0" applyFont="1" applyBorder="1" applyAlignment="1">
      <alignment horizontal="center"/>
    </xf>
    <xf numFmtId="0" fontId="7" fillId="20" borderId="18" xfId="0" applyFont="1" applyFill="1" applyBorder="1" applyAlignment="1">
      <alignment horizontal="center"/>
    </xf>
    <xf numFmtId="0" fontId="7" fillId="20" borderId="19" xfId="0" applyFont="1" applyFill="1" applyBorder="1" applyAlignment="1">
      <alignment horizontal="center"/>
    </xf>
  </cellXfs>
  <cellStyles count="45609">
    <cellStyle name="20 % - Accent1" xfId="269"/>
    <cellStyle name="20 % - Accent2" xfId="235"/>
    <cellStyle name="20 % - Accent3" xfId="195"/>
    <cellStyle name="20 % - Accent4" xfId="199"/>
    <cellStyle name="20 % - Accent5" xfId="185"/>
    <cellStyle name="20 % - Accent6" xfId="243"/>
    <cellStyle name="20% - Accent1" xfId="30"/>
    <cellStyle name="20% - Accent1 10" xfId="6489"/>
    <cellStyle name="20% - Accent1 10 2" xfId="14826"/>
    <cellStyle name="20% - Accent1 10 3" xfId="20747"/>
    <cellStyle name="20% - Accent1 11" xfId="6502"/>
    <cellStyle name="20% - Accent1 11 2" xfId="14839"/>
    <cellStyle name="20% - Accent1 11 3" xfId="20760"/>
    <cellStyle name="20% - Accent1 12" xfId="6522"/>
    <cellStyle name="20% - Accent1 12 2" xfId="20774"/>
    <cellStyle name="20% - Accent1 13" xfId="6559"/>
    <cellStyle name="20% - Accent1 13 2" xfId="20791"/>
    <cellStyle name="20% - Accent1 14" xfId="8912"/>
    <cellStyle name="20% - Accent1 15" xfId="8930"/>
    <cellStyle name="20% - Accent1 16" xfId="14856"/>
    <cellStyle name="20% - Accent1 17" xfId="29429"/>
    <cellStyle name="20% - Accent1 18" xfId="29472"/>
    <cellStyle name="20% - Accent1 2" xfId="52"/>
    <cellStyle name="20% - Accent1 2 2" xfId="109"/>
    <cellStyle name="20% - Accent1 2 2 2" xfId="9001"/>
    <cellStyle name="20% - Accent1 2 2 3" xfId="14973"/>
    <cellStyle name="20% - Accent1 2 3" xfId="8947"/>
    <cellStyle name="20% - Accent1 2 4" xfId="14870"/>
    <cellStyle name="20% - Accent1 2_Data - Monthly Commodity Prices" xfId="6364"/>
    <cellStyle name="20% - Accent1 3" xfId="53"/>
    <cellStyle name="20% - Accent1 3 2" xfId="123"/>
    <cellStyle name="20% - Accent1 3 2 2" xfId="9015"/>
    <cellStyle name="20% - Accent1 3 2 3" xfId="14987"/>
    <cellStyle name="20% - Accent1 3 3" xfId="8961"/>
    <cellStyle name="20% - Accent1 3 4" xfId="14884"/>
    <cellStyle name="20% - Accent1 3_Data - Monthly Commodity Prices" xfId="6365"/>
    <cellStyle name="20% - Accent1 4" xfId="54"/>
    <cellStyle name="20% - Accent1 4 2" xfId="143"/>
    <cellStyle name="20% - Accent1 4 2 2" xfId="9030"/>
    <cellStyle name="20% - Accent1 4 2 3" xfId="14999"/>
    <cellStyle name="20% - Accent1 4 2 4" xfId="7812"/>
    <cellStyle name="20% - Accent1 4 3" xfId="8973"/>
    <cellStyle name="20% - Accent1 4 4" xfId="14899"/>
    <cellStyle name="20% - Accent1 4_LNG &amp; LPG rework" xfId="6538"/>
    <cellStyle name="20% - Accent1 5" xfId="157"/>
    <cellStyle name="20% - Accent1 5 2" xfId="9044"/>
    <cellStyle name="20% - Accent1 5 3" xfId="14913"/>
    <cellStyle name="20% - Accent1 6" xfId="94"/>
    <cellStyle name="20% - Accent1 6 2" xfId="8988"/>
    <cellStyle name="20% - Accent1 6 3" xfId="14927"/>
    <cellStyle name="20% - Accent1 7" xfId="6429"/>
    <cellStyle name="20% - Accent1 7 2" xfId="14779"/>
    <cellStyle name="20% - Accent1 7 3" xfId="14941"/>
    <cellStyle name="20% - Accent1 8" xfId="6442"/>
    <cellStyle name="20% - Accent1 8 2" xfId="14792"/>
    <cellStyle name="20% - Accent1 8 3" xfId="14958"/>
    <cellStyle name="20% - Accent1 9" xfId="6456"/>
    <cellStyle name="20% - Accent1 9 2" xfId="14806"/>
    <cellStyle name="20% - Accent1 9 3" xfId="15013"/>
    <cellStyle name="20% - Accent1_LNG &amp; LPG rework" xfId="6427"/>
    <cellStyle name="20% - Accent2" xfId="32"/>
    <cellStyle name="20% - Accent2 10" xfId="6491"/>
    <cellStyle name="20% - Accent2 10 2" xfId="14828"/>
    <cellStyle name="20% - Accent2 10 3" xfId="20749"/>
    <cellStyle name="20% - Accent2 11" xfId="6504"/>
    <cellStyle name="20% - Accent2 11 2" xfId="14841"/>
    <cellStyle name="20% - Accent2 11 3" xfId="20762"/>
    <cellStyle name="20% - Accent2 12" xfId="6524"/>
    <cellStyle name="20% - Accent2 12 2" xfId="20776"/>
    <cellStyle name="20% - Accent2 13" xfId="6561"/>
    <cellStyle name="20% - Accent2 13 2" xfId="20793"/>
    <cellStyle name="20% - Accent2 14" xfId="8914"/>
    <cellStyle name="20% - Accent2 15" xfId="8932"/>
    <cellStyle name="20% - Accent2 16" xfId="14858"/>
    <cellStyle name="20% - Accent2 17" xfId="29431"/>
    <cellStyle name="20% - Accent2 18" xfId="29474"/>
    <cellStyle name="20% - Accent2 2" xfId="55"/>
    <cellStyle name="20% - Accent2 2 2" xfId="111"/>
    <cellStyle name="20% - Accent2 2 2 2" xfId="9003"/>
    <cellStyle name="20% - Accent2 2 2 3" xfId="14975"/>
    <cellStyle name="20% - Accent2 2 3" xfId="8949"/>
    <cellStyle name="20% - Accent2 2 4" xfId="14872"/>
    <cellStyle name="20% - Accent2 2_Data - Monthly Commodity Prices" xfId="6366"/>
    <cellStyle name="20% - Accent2 3" xfId="56"/>
    <cellStyle name="20% - Accent2 3 2" xfId="125"/>
    <cellStyle name="20% - Accent2 3 2 2" xfId="9017"/>
    <cellStyle name="20% - Accent2 3 2 3" xfId="14989"/>
    <cellStyle name="20% - Accent2 3 3" xfId="8963"/>
    <cellStyle name="20% - Accent2 3 4" xfId="14886"/>
    <cellStyle name="20% - Accent2 3_Data - Monthly Commodity Prices" xfId="6367"/>
    <cellStyle name="20% - Accent2 4" xfId="57"/>
    <cellStyle name="20% - Accent2 4 2" xfId="145"/>
    <cellStyle name="20% - Accent2 4 2 2" xfId="9032"/>
    <cellStyle name="20% - Accent2 4 2 3" xfId="15000"/>
    <cellStyle name="20% - Accent2 4 2 4" xfId="7813"/>
    <cellStyle name="20% - Accent2 4 3" xfId="8974"/>
    <cellStyle name="20% - Accent2 4 4" xfId="14901"/>
    <cellStyle name="20% - Accent2 4_LNG &amp; LPG rework" xfId="6540"/>
    <cellStyle name="20% - Accent2 5" xfId="159"/>
    <cellStyle name="20% - Accent2 5 2" xfId="9046"/>
    <cellStyle name="20% - Accent2 5 3" xfId="14915"/>
    <cellStyle name="20% - Accent2 6" xfId="96"/>
    <cellStyle name="20% - Accent2 6 2" xfId="8990"/>
    <cellStyle name="20% - Accent2 6 3" xfId="14929"/>
    <cellStyle name="20% - Accent2 7" xfId="6431"/>
    <cellStyle name="20% - Accent2 7 2" xfId="14781"/>
    <cellStyle name="20% - Accent2 7 3" xfId="14943"/>
    <cellStyle name="20% - Accent2 8" xfId="6444"/>
    <cellStyle name="20% - Accent2 8 2" xfId="14794"/>
    <cellStyle name="20% - Accent2 8 3" xfId="14960"/>
    <cellStyle name="20% - Accent2 9" xfId="6458"/>
    <cellStyle name="20% - Accent2 9 2" xfId="14808"/>
    <cellStyle name="20% - Accent2 9 3" xfId="15015"/>
    <cellStyle name="20% - Accent2_LNG &amp; LPG rework" xfId="6426"/>
    <cellStyle name="20% - Accent3" xfId="34"/>
    <cellStyle name="20% - Accent3 10" xfId="6493"/>
    <cellStyle name="20% - Accent3 10 2" xfId="14830"/>
    <cellStyle name="20% - Accent3 10 3" xfId="20751"/>
    <cellStyle name="20% - Accent3 11" xfId="6506"/>
    <cellStyle name="20% - Accent3 11 2" xfId="14843"/>
    <cellStyle name="20% - Accent3 11 3" xfId="20764"/>
    <cellStyle name="20% - Accent3 12" xfId="6526"/>
    <cellStyle name="20% - Accent3 12 2" xfId="20778"/>
    <cellStyle name="20% - Accent3 13" xfId="6563"/>
    <cellStyle name="20% - Accent3 13 2" xfId="20795"/>
    <cellStyle name="20% - Accent3 14" xfId="8916"/>
    <cellStyle name="20% - Accent3 15" xfId="8934"/>
    <cellStyle name="20% - Accent3 16" xfId="14860"/>
    <cellStyle name="20% - Accent3 17" xfId="29433"/>
    <cellStyle name="20% - Accent3 18" xfId="29476"/>
    <cellStyle name="20% - Accent3 2" xfId="58"/>
    <cellStyle name="20% - Accent3 2 2" xfId="113"/>
    <cellStyle name="20% - Accent3 2 2 2" xfId="9005"/>
    <cellStyle name="20% - Accent3 2 2 3" xfId="14977"/>
    <cellStyle name="20% - Accent3 2 3" xfId="8951"/>
    <cellStyle name="20% - Accent3 2 4" xfId="14874"/>
    <cellStyle name="20% - Accent3 2_Data - Monthly Commodity Prices" xfId="6368"/>
    <cellStyle name="20% - Accent3 3" xfId="59"/>
    <cellStyle name="20% - Accent3 3 2" xfId="127"/>
    <cellStyle name="20% - Accent3 3 2 2" xfId="9019"/>
    <cellStyle name="20% - Accent3 3 2 3" xfId="14991"/>
    <cellStyle name="20% - Accent3 3 3" xfId="8965"/>
    <cellStyle name="20% - Accent3 3 4" xfId="14888"/>
    <cellStyle name="20% - Accent3 3_Data - Monthly Commodity Prices" xfId="6369"/>
    <cellStyle name="20% - Accent3 4" xfId="60"/>
    <cellStyle name="20% - Accent3 4 2" xfId="147"/>
    <cellStyle name="20% - Accent3 4 2 2" xfId="9034"/>
    <cellStyle name="20% - Accent3 4 2 3" xfId="15001"/>
    <cellStyle name="20% - Accent3 4 2 4" xfId="7814"/>
    <cellStyle name="20% - Accent3 4 3" xfId="8975"/>
    <cellStyle name="20% - Accent3 4 4" xfId="14903"/>
    <cellStyle name="20% - Accent3 4_LNG &amp; LPG rework" xfId="6539"/>
    <cellStyle name="20% - Accent3 5" xfId="161"/>
    <cellStyle name="20% - Accent3 5 2" xfId="9048"/>
    <cellStyle name="20% - Accent3 5 3" xfId="14917"/>
    <cellStyle name="20% - Accent3 6" xfId="98"/>
    <cellStyle name="20% - Accent3 6 2" xfId="8992"/>
    <cellStyle name="20% - Accent3 6 3" xfId="14931"/>
    <cellStyle name="20% - Accent3 7" xfId="6433"/>
    <cellStyle name="20% - Accent3 7 2" xfId="14783"/>
    <cellStyle name="20% - Accent3 7 3" xfId="14945"/>
    <cellStyle name="20% - Accent3 8" xfId="6446"/>
    <cellStyle name="20% - Accent3 8 2" xfId="14796"/>
    <cellStyle name="20% - Accent3 8 3" xfId="14962"/>
    <cellStyle name="20% - Accent3 9" xfId="6460"/>
    <cellStyle name="20% - Accent3 9 2" xfId="14810"/>
    <cellStyle name="20% - Accent3 9 3" xfId="15017"/>
    <cellStyle name="20% - Accent3_LNG &amp; LPG rework" xfId="6423"/>
    <cellStyle name="20% - Accent4" xfId="36"/>
    <cellStyle name="20% - Accent4 10" xfId="6495"/>
    <cellStyle name="20% - Accent4 10 2" xfId="14832"/>
    <cellStyle name="20% - Accent4 10 3" xfId="20753"/>
    <cellStyle name="20% - Accent4 11" xfId="6508"/>
    <cellStyle name="20% - Accent4 11 2" xfId="14845"/>
    <cellStyle name="20% - Accent4 11 3" xfId="20766"/>
    <cellStyle name="20% - Accent4 12" xfId="6528"/>
    <cellStyle name="20% - Accent4 12 2" xfId="20780"/>
    <cellStyle name="20% - Accent4 13" xfId="6565"/>
    <cellStyle name="20% - Accent4 13 2" xfId="20797"/>
    <cellStyle name="20% - Accent4 14" xfId="8918"/>
    <cellStyle name="20% - Accent4 15" xfId="8936"/>
    <cellStyle name="20% - Accent4 16" xfId="14862"/>
    <cellStyle name="20% - Accent4 17" xfId="29435"/>
    <cellStyle name="20% - Accent4 18" xfId="29478"/>
    <cellStyle name="20% - Accent4 2" xfId="61"/>
    <cellStyle name="20% - Accent4 2 2" xfId="115"/>
    <cellStyle name="20% - Accent4 2 2 2" xfId="9007"/>
    <cellStyle name="20% - Accent4 2 2 3" xfId="14979"/>
    <cellStyle name="20% - Accent4 2 3" xfId="8953"/>
    <cellStyle name="20% - Accent4 2 4" xfId="14876"/>
    <cellStyle name="20% - Accent4 2_Data - Monthly Commodity Prices" xfId="6370"/>
    <cellStyle name="20% - Accent4 3" xfId="62"/>
    <cellStyle name="20% - Accent4 3 2" xfId="129"/>
    <cellStyle name="20% - Accent4 3 2 2" xfId="9021"/>
    <cellStyle name="20% - Accent4 3 2 3" xfId="14993"/>
    <cellStyle name="20% - Accent4 3 3" xfId="8967"/>
    <cellStyle name="20% - Accent4 3 4" xfId="14890"/>
    <cellStyle name="20% - Accent4 3_Data - Monthly Commodity Prices" xfId="6371"/>
    <cellStyle name="20% - Accent4 4" xfId="63"/>
    <cellStyle name="20% - Accent4 4 2" xfId="149"/>
    <cellStyle name="20% - Accent4 4 2 2" xfId="9036"/>
    <cellStyle name="20% - Accent4 4 2 3" xfId="15002"/>
    <cellStyle name="20% - Accent4 4 2 4" xfId="7815"/>
    <cellStyle name="20% - Accent4 4 3" xfId="8976"/>
    <cellStyle name="20% - Accent4 4 4" xfId="14905"/>
    <cellStyle name="20% - Accent4 4_LNG &amp; LPG rework" xfId="6537"/>
    <cellStyle name="20% - Accent4 5" xfId="163"/>
    <cellStyle name="20% - Accent4 5 2" xfId="9050"/>
    <cellStyle name="20% - Accent4 5 3" xfId="14919"/>
    <cellStyle name="20% - Accent4 6" xfId="100"/>
    <cellStyle name="20% - Accent4 6 2" xfId="8994"/>
    <cellStyle name="20% - Accent4 6 3" xfId="14933"/>
    <cellStyle name="20% - Accent4 7" xfId="6435"/>
    <cellStyle name="20% - Accent4 7 2" xfId="14785"/>
    <cellStyle name="20% - Accent4 7 3" xfId="14947"/>
    <cellStyle name="20% - Accent4 8" xfId="6448"/>
    <cellStyle name="20% - Accent4 8 2" xfId="14798"/>
    <cellStyle name="20% - Accent4 8 3" xfId="14964"/>
    <cellStyle name="20% - Accent4 9" xfId="6462"/>
    <cellStyle name="20% - Accent4 9 2" xfId="14812"/>
    <cellStyle name="20% - Accent4 9 3" xfId="15019"/>
    <cellStyle name="20% - Accent4_LNG &amp; LPG rework" xfId="6473"/>
    <cellStyle name="20% - Accent5" xfId="38"/>
    <cellStyle name="20% - Accent5 10" xfId="6497"/>
    <cellStyle name="20% - Accent5 10 2" xfId="14834"/>
    <cellStyle name="20% - Accent5 10 3" xfId="20755"/>
    <cellStyle name="20% - Accent5 11" xfId="6510"/>
    <cellStyle name="20% - Accent5 11 2" xfId="14847"/>
    <cellStyle name="20% - Accent5 11 3" xfId="20768"/>
    <cellStyle name="20% - Accent5 12" xfId="6530"/>
    <cellStyle name="20% - Accent5 12 2" xfId="20782"/>
    <cellStyle name="20% - Accent5 13" xfId="6567"/>
    <cellStyle name="20% - Accent5 13 2" xfId="20799"/>
    <cellStyle name="20% - Accent5 14" xfId="8920"/>
    <cellStyle name="20% - Accent5 15" xfId="8938"/>
    <cellStyle name="20% - Accent5 16" xfId="14864"/>
    <cellStyle name="20% - Accent5 17" xfId="29437"/>
    <cellStyle name="20% - Accent5 18" xfId="29480"/>
    <cellStyle name="20% - Accent5 2" xfId="64"/>
    <cellStyle name="20% - Accent5 2 2" xfId="117"/>
    <cellStyle name="20% - Accent5 2 2 2" xfId="9009"/>
    <cellStyle name="20% - Accent5 2 2 3" xfId="14981"/>
    <cellStyle name="20% - Accent5 2 3" xfId="8955"/>
    <cellStyle name="20% - Accent5 2 4" xfId="14878"/>
    <cellStyle name="20% - Accent5 2_Data - Monthly Commodity Prices" xfId="6372"/>
    <cellStyle name="20% - Accent5 3" xfId="65"/>
    <cellStyle name="20% - Accent5 3 2" xfId="131"/>
    <cellStyle name="20% - Accent5 3 2 2" xfId="9023"/>
    <cellStyle name="20% - Accent5 3 2 3" xfId="14995"/>
    <cellStyle name="20% - Accent5 3 3" xfId="8969"/>
    <cellStyle name="20% - Accent5 3 4" xfId="14892"/>
    <cellStyle name="20% - Accent5 3_LNG &amp; LPG rework" xfId="6543"/>
    <cellStyle name="20% - Accent5 4" xfId="87"/>
    <cellStyle name="20% - Accent5 4 2" xfId="151"/>
    <cellStyle name="20% - Accent5 4 2 2" xfId="9038"/>
    <cellStyle name="20% - Accent5 4 2 3" xfId="7822"/>
    <cellStyle name="20% - Accent5 4 3" xfId="14907"/>
    <cellStyle name="20% - Accent5 4_Data - Monthly Commodity Prices" xfId="6373"/>
    <cellStyle name="20% - Accent5 5" xfId="165"/>
    <cellStyle name="20% - Accent5 5 2" xfId="9052"/>
    <cellStyle name="20% - Accent5 5 3" xfId="14921"/>
    <cellStyle name="20% - Accent5 6" xfId="102"/>
    <cellStyle name="20% - Accent5 6 2" xfId="8996"/>
    <cellStyle name="20% - Accent5 6 3" xfId="14935"/>
    <cellStyle name="20% - Accent5 7" xfId="6437"/>
    <cellStyle name="20% - Accent5 7 2" xfId="14787"/>
    <cellStyle name="20% - Accent5 7 3" xfId="14949"/>
    <cellStyle name="20% - Accent5 8" xfId="6450"/>
    <cellStyle name="20% - Accent5 8 2" xfId="14800"/>
    <cellStyle name="20% - Accent5 8 3" xfId="14966"/>
    <cellStyle name="20% - Accent5 9" xfId="6464"/>
    <cellStyle name="20% - Accent5 9 2" xfId="14814"/>
    <cellStyle name="20% - Accent5 9 3" xfId="15021"/>
    <cellStyle name="20% - Accent5_LNG &amp; LPG rework" xfId="6468"/>
    <cellStyle name="20% - Accent6" xfId="40"/>
    <cellStyle name="20% - Accent6 10" xfId="6499"/>
    <cellStyle name="20% - Accent6 10 2" xfId="14836"/>
    <cellStyle name="20% - Accent6 10 3" xfId="20757"/>
    <cellStyle name="20% - Accent6 11" xfId="6512"/>
    <cellStyle name="20% - Accent6 11 2" xfId="14849"/>
    <cellStyle name="20% - Accent6 11 3" xfId="20770"/>
    <cellStyle name="20% - Accent6 12" xfId="6532"/>
    <cellStyle name="20% - Accent6 12 2" xfId="20784"/>
    <cellStyle name="20% - Accent6 13" xfId="6569"/>
    <cellStyle name="20% - Accent6 13 2" xfId="20801"/>
    <cellStyle name="20% - Accent6 14" xfId="8922"/>
    <cellStyle name="20% - Accent6 15" xfId="8940"/>
    <cellStyle name="20% - Accent6 16" xfId="14866"/>
    <cellStyle name="20% - Accent6 17" xfId="29439"/>
    <cellStyle name="20% - Accent6 18" xfId="29482"/>
    <cellStyle name="20% - Accent6 2" xfId="66"/>
    <cellStyle name="20% - Accent6 2 2" xfId="119"/>
    <cellStyle name="20% - Accent6 2 2 2" xfId="9011"/>
    <cellStyle name="20% - Accent6 2 2 3" xfId="14983"/>
    <cellStyle name="20% - Accent6 2 3" xfId="8957"/>
    <cellStyle name="20% - Accent6 2 4" xfId="14880"/>
    <cellStyle name="20% - Accent6 2_Data - Monthly Commodity Prices" xfId="6374"/>
    <cellStyle name="20% - Accent6 3" xfId="67"/>
    <cellStyle name="20% - Accent6 3 2" xfId="133"/>
    <cellStyle name="20% - Accent6 3 2 2" xfId="9025"/>
    <cellStyle name="20% - Accent6 3 2 3" xfId="14997"/>
    <cellStyle name="20% - Accent6 3 3" xfId="8971"/>
    <cellStyle name="20% - Accent6 3 4" xfId="14894"/>
    <cellStyle name="20% - Accent6 3_Data - Monthly Commodity Prices" xfId="6375"/>
    <cellStyle name="20% - Accent6 4" xfId="68"/>
    <cellStyle name="20% - Accent6 4 2" xfId="153"/>
    <cellStyle name="20% - Accent6 4 2 2" xfId="9040"/>
    <cellStyle name="20% - Accent6 4 2 3" xfId="15003"/>
    <cellStyle name="20% - Accent6 4 2 4" xfId="7816"/>
    <cellStyle name="20% - Accent6 4 3" xfId="8977"/>
    <cellStyle name="20% - Accent6 4 4" xfId="14909"/>
    <cellStyle name="20% - Accent6 4_LNG &amp; LPG rework" xfId="6542"/>
    <cellStyle name="20% - Accent6 5" xfId="167"/>
    <cellStyle name="20% - Accent6 5 2" xfId="9054"/>
    <cellStyle name="20% - Accent6 5 3" xfId="14923"/>
    <cellStyle name="20% - Accent6 6" xfId="104"/>
    <cellStyle name="20% - Accent6 6 2" xfId="8998"/>
    <cellStyle name="20% - Accent6 6 3" xfId="14937"/>
    <cellStyle name="20% - Accent6 7" xfId="6439"/>
    <cellStyle name="20% - Accent6 7 2" xfId="14789"/>
    <cellStyle name="20% - Accent6 7 3" xfId="14951"/>
    <cellStyle name="20% - Accent6 8" xfId="6452"/>
    <cellStyle name="20% - Accent6 8 2" xfId="14802"/>
    <cellStyle name="20% - Accent6 8 3" xfId="14968"/>
    <cellStyle name="20% - Accent6 9" xfId="6466"/>
    <cellStyle name="20% - Accent6 9 2" xfId="14816"/>
    <cellStyle name="20% - Accent6 9 3" xfId="15023"/>
    <cellStyle name="20% - Accent6_LNG &amp; LPG rework" xfId="6424"/>
    <cellStyle name="40 % - Accent1" xfId="169"/>
    <cellStyle name="40 % - Accent2" xfId="226"/>
    <cellStyle name="40 % - Accent3" xfId="190"/>
    <cellStyle name="40 % - Accent4" xfId="172"/>
    <cellStyle name="40 % - Accent5" xfId="213"/>
    <cellStyle name="40 % - Accent6" xfId="227"/>
    <cellStyle name="40% - Accent1" xfId="31"/>
    <cellStyle name="40% - Accent1 10" xfId="6490"/>
    <cellStyle name="40% - Accent1 10 2" xfId="14827"/>
    <cellStyle name="40% - Accent1 10 3" xfId="20748"/>
    <cellStyle name="40% - Accent1 11" xfId="6503"/>
    <cellStyle name="40% - Accent1 11 2" xfId="14840"/>
    <cellStyle name="40% - Accent1 11 3" xfId="20761"/>
    <cellStyle name="40% - Accent1 12" xfId="6523"/>
    <cellStyle name="40% - Accent1 12 2" xfId="20775"/>
    <cellStyle name="40% - Accent1 13" xfId="6560"/>
    <cellStyle name="40% - Accent1 13 2" xfId="20792"/>
    <cellStyle name="40% - Accent1 14" xfId="8913"/>
    <cellStyle name="40% - Accent1 15" xfId="8931"/>
    <cellStyle name="40% - Accent1 16" xfId="14857"/>
    <cellStyle name="40% - Accent1 17" xfId="29430"/>
    <cellStyle name="40% - Accent1 18" xfId="29473"/>
    <cellStyle name="40% - Accent1 2" xfId="69"/>
    <cellStyle name="40% - Accent1 2 2" xfId="110"/>
    <cellStyle name="40% - Accent1 2 2 2" xfId="9002"/>
    <cellStyle name="40% - Accent1 2 2 3" xfId="14974"/>
    <cellStyle name="40% - Accent1 2 3" xfId="8948"/>
    <cellStyle name="40% - Accent1 2 4" xfId="14871"/>
    <cellStyle name="40% - Accent1 2_Data - Monthly Commodity Prices" xfId="6376"/>
    <cellStyle name="40% - Accent1 3" xfId="70"/>
    <cellStyle name="40% - Accent1 3 2" xfId="124"/>
    <cellStyle name="40% - Accent1 3 2 2" xfId="9016"/>
    <cellStyle name="40% - Accent1 3 2 3" xfId="14988"/>
    <cellStyle name="40% - Accent1 3 3" xfId="8962"/>
    <cellStyle name="40% - Accent1 3 4" xfId="14885"/>
    <cellStyle name="40% - Accent1 3_Data - Monthly Commodity Prices" xfId="6377"/>
    <cellStyle name="40% - Accent1 4" xfId="71"/>
    <cellStyle name="40% - Accent1 4 2" xfId="144"/>
    <cellStyle name="40% - Accent1 4 2 2" xfId="9031"/>
    <cellStyle name="40% - Accent1 4 2 3" xfId="15004"/>
    <cellStyle name="40% - Accent1 4 2 4" xfId="7817"/>
    <cellStyle name="40% - Accent1 4 3" xfId="8978"/>
    <cellStyle name="40% - Accent1 4 4" xfId="14900"/>
    <cellStyle name="40% - Accent1 4_LNG &amp; LPG rework" xfId="6544"/>
    <cellStyle name="40% - Accent1 5" xfId="158"/>
    <cellStyle name="40% - Accent1 5 2" xfId="9045"/>
    <cellStyle name="40% - Accent1 5 3" xfId="14914"/>
    <cellStyle name="40% - Accent1 6" xfId="95"/>
    <cellStyle name="40% - Accent1 6 2" xfId="8989"/>
    <cellStyle name="40% - Accent1 6 3" xfId="14928"/>
    <cellStyle name="40% - Accent1 7" xfId="6430"/>
    <cellStyle name="40% - Accent1 7 2" xfId="14780"/>
    <cellStyle name="40% - Accent1 7 3" xfId="14942"/>
    <cellStyle name="40% - Accent1 8" xfId="6443"/>
    <cellStyle name="40% - Accent1 8 2" xfId="14793"/>
    <cellStyle name="40% - Accent1 8 3" xfId="14959"/>
    <cellStyle name="40% - Accent1 9" xfId="6457"/>
    <cellStyle name="40% - Accent1 9 2" xfId="14807"/>
    <cellStyle name="40% - Accent1 9 3" xfId="15014"/>
    <cellStyle name="40% - Accent1_LNG &amp; LPG rework" xfId="6425"/>
    <cellStyle name="40% - Accent2" xfId="33"/>
    <cellStyle name="40% - Accent2 10" xfId="6492"/>
    <cellStyle name="40% - Accent2 10 2" xfId="14829"/>
    <cellStyle name="40% - Accent2 10 3" xfId="20750"/>
    <cellStyle name="40% - Accent2 11" xfId="6505"/>
    <cellStyle name="40% - Accent2 11 2" xfId="14842"/>
    <cellStyle name="40% - Accent2 11 3" xfId="20763"/>
    <cellStyle name="40% - Accent2 12" xfId="6525"/>
    <cellStyle name="40% - Accent2 12 2" xfId="20777"/>
    <cellStyle name="40% - Accent2 13" xfId="6562"/>
    <cellStyle name="40% - Accent2 13 2" xfId="20794"/>
    <cellStyle name="40% - Accent2 14" xfId="8915"/>
    <cellStyle name="40% - Accent2 15" xfId="8933"/>
    <cellStyle name="40% - Accent2 16" xfId="14859"/>
    <cellStyle name="40% - Accent2 17" xfId="29432"/>
    <cellStyle name="40% - Accent2 18" xfId="29475"/>
    <cellStyle name="40% - Accent2 2" xfId="72"/>
    <cellStyle name="40% - Accent2 2 2" xfId="112"/>
    <cellStyle name="40% - Accent2 2 2 2" xfId="9004"/>
    <cellStyle name="40% - Accent2 2 2 3" xfId="14976"/>
    <cellStyle name="40% - Accent2 2 3" xfId="8950"/>
    <cellStyle name="40% - Accent2 2 4" xfId="14873"/>
    <cellStyle name="40% - Accent2 2_Data - Monthly Commodity Prices" xfId="6378"/>
    <cellStyle name="40% - Accent2 3" xfId="73"/>
    <cellStyle name="40% - Accent2 3 2" xfId="126"/>
    <cellStyle name="40% - Accent2 3 2 2" xfId="9018"/>
    <cellStyle name="40% - Accent2 3 2 3" xfId="14990"/>
    <cellStyle name="40% - Accent2 3 3" xfId="8964"/>
    <cellStyle name="40% - Accent2 3 4" xfId="14887"/>
    <cellStyle name="40% - Accent2 3_LNG &amp; LPG rework" xfId="6545"/>
    <cellStyle name="40% - Accent2 4" xfId="88"/>
    <cellStyle name="40% - Accent2 4 2" xfId="146"/>
    <cellStyle name="40% - Accent2 4 2 2" xfId="9033"/>
    <cellStyle name="40% - Accent2 4 2 3" xfId="7823"/>
    <cellStyle name="40% - Accent2 4 3" xfId="14902"/>
    <cellStyle name="40% - Accent2 4_Data - Monthly Commodity Prices" xfId="6379"/>
    <cellStyle name="40% - Accent2 5" xfId="160"/>
    <cellStyle name="40% - Accent2 5 2" xfId="9047"/>
    <cellStyle name="40% - Accent2 5 3" xfId="14916"/>
    <cellStyle name="40% - Accent2 6" xfId="97"/>
    <cellStyle name="40% - Accent2 6 2" xfId="8991"/>
    <cellStyle name="40% - Accent2 6 3" xfId="14930"/>
    <cellStyle name="40% - Accent2 7" xfId="6432"/>
    <cellStyle name="40% - Accent2 7 2" xfId="14782"/>
    <cellStyle name="40% - Accent2 7 3" xfId="14944"/>
    <cellStyle name="40% - Accent2 8" xfId="6445"/>
    <cellStyle name="40% - Accent2 8 2" xfId="14795"/>
    <cellStyle name="40% - Accent2 8 3" xfId="14961"/>
    <cellStyle name="40% - Accent2 9" xfId="6459"/>
    <cellStyle name="40% - Accent2 9 2" xfId="14809"/>
    <cellStyle name="40% - Accent2 9 3" xfId="15016"/>
    <cellStyle name="40% - Accent2_LNG &amp; LPG rework" xfId="6474"/>
    <cellStyle name="40% - Accent3" xfId="35"/>
    <cellStyle name="40% - Accent3 10" xfId="6494"/>
    <cellStyle name="40% - Accent3 10 2" xfId="14831"/>
    <cellStyle name="40% - Accent3 10 3" xfId="20752"/>
    <cellStyle name="40% - Accent3 11" xfId="6507"/>
    <cellStyle name="40% - Accent3 11 2" xfId="14844"/>
    <cellStyle name="40% - Accent3 11 3" xfId="20765"/>
    <cellStyle name="40% - Accent3 12" xfId="6527"/>
    <cellStyle name="40% - Accent3 12 2" xfId="20779"/>
    <cellStyle name="40% - Accent3 13" xfId="6564"/>
    <cellStyle name="40% - Accent3 13 2" xfId="20796"/>
    <cellStyle name="40% - Accent3 14" xfId="8917"/>
    <cellStyle name="40% - Accent3 15" xfId="8935"/>
    <cellStyle name="40% - Accent3 16" xfId="14861"/>
    <cellStyle name="40% - Accent3 17" xfId="29434"/>
    <cellStyle name="40% - Accent3 18" xfId="29477"/>
    <cellStyle name="40% - Accent3 2" xfId="74"/>
    <cellStyle name="40% - Accent3 2 2" xfId="114"/>
    <cellStyle name="40% - Accent3 2 2 2" xfId="9006"/>
    <cellStyle name="40% - Accent3 2 2 3" xfId="14978"/>
    <cellStyle name="40% - Accent3 2 3" xfId="8952"/>
    <cellStyle name="40% - Accent3 2 4" xfId="14875"/>
    <cellStyle name="40% - Accent3 2_Data - Monthly Commodity Prices" xfId="6380"/>
    <cellStyle name="40% - Accent3 3" xfId="75"/>
    <cellStyle name="40% - Accent3 3 2" xfId="128"/>
    <cellStyle name="40% - Accent3 3 2 2" xfId="9020"/>
    <cellStyle name="40% - Accent3 3 2 3" xfId="14992"/>
    <cellStyle name="40% - Accent3 3 3" xfId="8966"/>
    <cellStyle name="40% - Accent3 3 4" xfId="14889"/>
    <cellStyle name="40% - Accent3 3_Data - Monthly Commodity Prices" xfId="6381"/>
    <cellStyle name="40% - Accent3 4" xfId="76"/>
    <cellStyle name="40% - Accent3 4 2" xfId="148"/>
    <cellStyle name="40% - Accent3 4 2 2" xfId="9035"/>
    <cellStyle name="40% - Accent3 4 2 3" xfId="15005"/>
    <cellStyle name="40% - Accent3 4 2 4" xfId="7818"/>
    <cellStyle name="40% - Accent3 4 3" xfId="8979"/>
    <cellStyle name="40% - Accent3 4 4" xfId="14904"/>
    <cellStyle name="40% - Accent3 4_LNG &amp; LPG rework" xfId="6541"/>
    <cellStyle name="40% - Accent3 5" xfId="162"/>
    <cellStyle name="40% - Accent3 5 2" xfId="9049"/>
    <cellStyle name="40% - Accent3 5 3" xfId="14918"/>
    <cellStyle name="40% - Accent3 6" xfId="99"/>
    <cellStyle name="40% - Accent3 6 2" xfId="8993"/>
    <cellStyle name="40% - Accent3 6 3" xfId="14932"/>
    <cellStyle name="40% - Accent3 7" xfId="6434"/>
    <cellStyle name="40% - Accent3 7 2" xfId="14784"/>
    <cellStyle name="40% - Accent3 7 3" xfId="14946"/>
    <cellStyle name="40% - Accent3 8" xfId="6447"/>
    <cellStyle name="40% - Accent3 8 2" xfId="14797"/>
    <cellStyle name="40% - Accent3 8 3" xfId="14963"/>
    <cellStyle name="40% - Accent3 9" xfId="6461"/>
    <cellStyle name="40% - Accent3 9 2" xfId="14811"/>
    <cellStyle name="40% - Accent3 9 3" xfId="15018"/>
    <cellStyle name="40% - Accent3_LNG &amp; LPG rework" xfId="6472"/>
    <cellStyle name="40% - Accent4" xfId="37"/>
    <cellStyle name="40% - Accent4 10" xfId="6496"/>
    <cellStyle name="40% - Accent4 10 2" xfId="14833"/>
    <cellStyle name="40% - Accent4 10 3" xfId="20754"/>
    <cellStyle name="40% - Accent4 11" xfId="6509"/>
    <cellStyle name="40% - Accent4 11 2" xfId="14846"/>
    <cellStyle name="40% - Accent4 11 3" xfId="20767"/>
    <cellStyle name="40% - Accent4 12" xfId="6529"/>
    <cellStyle name="40% - Accent4 12 2" xfId="20781"/>
    <cellStyle name="40% - Accent4 13" xfId="6566"/>
    <cellStyle name="40% - Accent4 13 2" xfId="20798"/>
    <cellStyle name="40% - Accent4 14" xfId="8919"/>
    <cellStyle name="40% - Accent4 15" xfId="8937"/>
    <cellStyle name="40% - Accent4 16" xfId="14863"/>
    <cellStyle name="40% - Accent4 17" xfId="29436"/>
    <cellStyle name="40% - Accent4 18" xfId="29479"/>
    <cellStyle name="40% - Accent4 2" xfId="77"/>
    <cellStyle name="40% - Accent4 2 2" xfId="116"/>
    <cellStyle name="40% - Accent4 2 2 2" xfId="9008"/>
    <cellStyle name="40% - Accent4 2 2 3" xfId="14980"/>
    <cellStyle name="40% - Accent4 2 3" xfId="8954"/>
    <cellStyle name="40% - Accent4 2 4" xfId="14877"/>
    <cellStyle name="40% - Accent4 2_Data - Monthly Commodity Prices" xfId="6382"/>
    <cellStyle name="40% - Accent4 3" xfId="78"/>
    <cellStyle name="40% - Accent4 3 2" xfId="130"/>
    <cellStyle name="40% - Accent4 3 2 2" xfId="9022"/>
    <cellStyle name="40% - Accent4 3 2 3" xfId="14994"/>
    <cellStyle name="40% - Accent4 3 3" xfId="8968"/>
    <cellStyle name="40% - Accent4 3 4" xfId="14891"/>
    <cellStyle name="40% - Accent4 3_Data - Monthly Commodity Prices" xfId="6383"/>
    <cellStyle name="40% - Accent4 4" xfId="79"/>
    <cellStyle name="40% - Accent4 4 2" xfId="150"/>
    <cellStyle name="40% - Accent4 4 2 2" xfId="9037"/>
    <cellStyle name="40% - Accent4 4 2 3" xfId="15006"/>
    <cellStyle name="40% - Accent4 4 2 4" xfId="7819"/>
    <cellStyle name="40% - Accent4 4 3" xfId="8980"/>
    <cellStyle name="40% - Accent4 4 4" xfId="14906"/>
    <cellStyle name="40% - Accent4 4_LNG &amp; LPG rework" xfId="6546"/>
    <cellStyle name="40% - Accent4 5" xfId="164"/>
    <cellStyle name="40% - Accent4 5 2" xfId="9051"/>
    <cellStyle name="40% - Accent4 5 3" xfId="14920"/>
    <cellStyle name="40% - Accent4 6" xfId="101"/>
    <cellStyle name="40% - Accent4 6 2" xfId="8995"/>
    <cellStyle name="40% - Accent4 6 3" xfId="14934"/>
    <cellStyle name="40% - Accent4 7" xfId="6436"/>
    <cellStyle name="40% - Accent4 7 2" xfId="14786"/>
    <cellStyle name="40% - Accent4 7 3" xfId="14948"/>
    <cellStyle name="40% - Accent4 8" xfId="6449"/>
    <cellStyle name="40% - Accent4 8 2" xfId="14799"/>
    <cellStyle name="40% - Accent4 8 3" xfId="14965"/>
    <cellStyle name="40% - Accent4 9" xfId="6463"/>
    <cellStyle name="40% - Accent4 9 2" xfId="14813"/>
    <cellStyle name="40% - Accent4 9 3" xfId="15020"/>
    <cellStyle name="40% - Accent4_LNG &amp; LPG rework" xfId="6471"/>
    <cellStyle name="40% - Accent5" xfId="39"/>
    <cellStyle name="40% - Accent5 10" xfId="6498"/>
    <cellStyle name="40% - Accent5 10 2" xfId="14835"/>
    <cellStyle name="40% - Accent5 10 3" xfId="20756"/>
    <cellStyle name="40% - Accent5 11" xfId="6511"/>
    <cellStyle name="40% - Accent5 11 2" xfId="14848"/>
    <cellStyle name="40% - Accent5 11 3" xfId="20769"/>
    <cellStyle name="40% - Accent5 12" xfId="6531"/>
    <cellStyle name="40% - Accent5 12 2" xfId="20783"/>
    <cellStyle name="40% - Accent5 13" xfId="6568"/>
    <cellStyle name="40% - Accent5 13 2" xfId="20800"/>
    <cellStyle name="40% - Accent5 14" xfId="8921"/>
    <cellStyle name="40% - Accent5 15" xfId="8939"/>
    <cellStyle name="40% - Accent5 16" xfId="14865"/>
    <cellStyle name="40% - Accent5 17" xfId="29438"/>
    <cellStyle name="40% - Accent5 18" xfId="29481"/>
    <cellStyle name="40% - Accent5 2" xfId="80"/>
    <cellStyle name="40% - Accent5 2 2" xfId="118"/>
    <cellStyle name="40% - Accent5 2 2 2" xfId="9010"/>
    <cellStyle name="40% - Accent5 2 2 3" xfId="14982"/>
    <cellStyle name="40% - Accent5 2 3" xfId="8956"/>
    <cellStyle name="40% - Accent5 2 4" xfId="14879"/>
    <cellStyle name="40% - Accent5 2_Data - Monthly Commodity Prices" xfId="6384"/>
    <cellStyle name="40% - Accent5 3" xfId="81"/>
    <cellStyle name="40% - Accent5 3 2" xfId="132"/>
    <cellStyle name="40% - Accent5 3 2 2" xfId="9024"/>
    <cellStyle name="40% - Accent5 3 2 3" xfId="14996"/>
    <cellStyle name="40% - Accent5 3 3" xfId="8970"/>
    <cellStyle name="40% - Accent5 3 4" xfId="14893"/>
    <cellStyle name="40% - Accent5 3_Data - Monthly Commodity Prices" xfId="6385"/>
    <cellStyle name="40% - Accent5 4" xfId="82"/>
    <cellStyle name="40% - Accent5 4 2" xfId="152"/>
    <cellStyle name="40% - Accent5 4 2 2" xfId="9039"/>
    <cellStyle name="40% - Accent5 4 2 3" xfId="15007"/>
    <cellStyle name="40% - Accent5 4 2 4" xfId="7820"/>
    <cellStyle name="40% - Accent5 4 3" xfId="8981"/>
    <cellStyle name="40% - Accent5 4 4" xfId="14908"/>
    <cellStyle name="40% - Accent5 4_LNG &amp; LPG rework" xfId="6547"/>
    <cellStyle name="40% - Accent5 5" xfId="166"/>
    <cellStyle name="40% - Accent5 5 2" xfId="9053"/>
    <cellStyle name="40% - Accent5 5 3" xfId="14922"/>
    <cellStyle name="40% - Accent5 6" xfId="103"/>
    <cellStyle name="40% - Accent5 6 2" xfId="8997"/>
    <cellStyle name="40% - Accent5 6 3" xfId="14936"/>
    <cellStyle name="40% - Accent5 7" xfId="6438"/>
    <cellStyle name="40% - Accent5 7 2" xfId="14788"/>
    <cellStyle name="40% - Accent5 7 3" xfId="14950"/>
    <cellStyle name="40% - Accent5 8" xfId="6451"/>
    <cellStyle name="40% - Accent5 8 2" xfId="14801"/>
    <cellStyle name="40% - Accent5 8 3" xfId="14967"/>
    <cellStyle name="40% - Accent5 9" xfId="6465"/>
    <cellStyle name="40% - Accent5 9 2" xfId="14815"/>
    <cellStyle name="40% - Accent5 9 3" xfId="15022"/>
    <cellStyle name="40% - Accent5_LNG &amp; LPG rework" xfId="6470"/>
    <cellStyle name="40% - Accent6" xfId="41"/>
    <cellStyle name="40% - Accent6 10" xfId="6500"/>
    <cellStyle name="40% - Accent6 10 2" xfId="14837"/>
    <cellStyle name="40% - Accent6 10 3" xfId="20758"/>
    <cellStyle name="40% - Accent6 11" xfId="6513"/>
    <cellStyle name="40% - Accent6 11 2" xfId="14850"/>
    <cellStyle name="40% - Accent6 11 3" xfId="20771"/>
    <cellStyle name="40% - Accent6 12" xfId="6533"/>
    <cellStyle name="40% - Accent6 12 2" xfId="20785"/>
    <cellStyle name="40% - Accent6 13" xfId="6570"/>
    <cellStyle name="40% - Accent6 13 2" xfId="20802"/>
    <cellStyle name="40% - Accent6 14" xfId="8923"/>
    <cellStyle name="40% - Accent6 15" xfId="8941"/>
    <cellStyle name="40% - Accent6 16" xfId="14867"/>
    <cellStyle name="40% - Accent6 17" xfId="29440"/>
    <cellStyle name="40% - Accent6 18" xfId="29483"/>
    <cellStyle name="40% - Accent6 2" xfId="83"/>
    <cellStyle name="40% - Accent6 2 2" xfId="120"/>
    <cellStyle name="40% - Accent6 2 2 2" xfId="9012"/>
    <cellStyle name="40% - Accent6 2 2 3" xfId="14984"/>
    <cellStyle name="40% - Accent6 2 3" xfId="8958"/>
    <cellStyle name="40% - Accent6 2 4" xfId="14881"/>
    <cellStyle name="40% - Accent6 2_Data - Monthly Commodity Prices" xfId="6386"/>
    <cellStyle name="40% - Accent6 3" xfId="84"/>
    <cellStyle name="40% - Accent6 3 2" xfId="134"/>
    <cellStyle name="40% - Accent6 3 2 2" xfId="9026"/>
    <cellStyle name="40% - Accent6 3 2 3" xfId="14998"/>
    <cellStyle name="40% - Accent6 3 3" xfId="8972"/>
    <cellStyle name="40% - Accent6 3 4" xfId="14895"/>
    <cellStyle name="40% - Accent6 3_Data - Monthly Commodity Prices" xfId="6387"/>
    <cellStyle name="40% - Accent6 4" xfId="85"/>
    <cellStyle name="40% - Accent6 4 2" xfId="154"/>
    <cellStyle name="40% - Accent6 4 2 2" xfId="9041"/>
    <cellStyle name="40% - Accent6 4 2 3" xfId="15008"/>
    <cellStyle name="40% - Accent6 4 2 4" xfId="7821"/>
    <cellStyle name="40% - Accent6 4 3" xfId="8982"/>
    <cellStyle name="40% - Accent6 4 4" xfId="14910"/>
    <cellStyle name="40% - Accent6 4_LNG &amp; LPG rework" xfId="6548"/>
    <cellStyle name="40% - Accent6 5" xfId="168"/>
    <cellStyle name="40% - Accent6 5 2" xfId="9055"/>
    <cellStyle name="40% - Accent6 5 3" xfId="14924"/>
    <cellStyle name="40% - Accent6 6" xfId="105"/>
    <cellStyle name="40% - Accent6 6 2" xfId="8999"/>
    <cellStyle name="40% - Accent6 6 3" xfId="14938"/>
    <cellStyle name="40% - Accent6 7" xfId="6440"/>
    <cellStyle name="40% - Accent6 7 2" xfId="14790"/>
    <cellStyle name="40% - Accent6 7 3" xfId="14952"/>
    <cellStyle name="40% - Accent6 8" xfId="6453"/>
    <cellStyle name="40% - Accent6 8 2" xfId="14803"/>
    <cellStyle name="40% - Accent6 8 3" xfId="14969"/>
    <cellStyle name="40% - Accent6 9" xfId="6467"/>
    <cellStyle name="40% - Accent6 9 2" xfId="14817"/>
    <cellStyle name="40% - Accent6 9 3" xfId="15024"/>
    <cellStyle name="40% - Accent6_LNG &amp; LPG rework" xfId="6469"/>
    <cellStyle name="60 % - Accent1" xfId="245"/>
    <cellStyle name="60 % - Accent2" xfId="258"/>
    <cellStyle name="60 % - Accent3" xfId="257"/>
    <cellStyle name="60 % - Accent4" xfId="182"/>
    <cellStyle name="60 % - Accent5" xfId="215"/>
    <cellStyle name="60 % - Accent6" xfId="174"/>
    <cellStyle name="60% - Accent1" xfId="19" builtinId="32" customBuiltin="1"/>
    <cellStyle name="60% - Accent2" xfId="21" builtinId="36" customBuiltin="1"/>
    <cellStyle name="60% - Accent3" xfId="23" builtinId="40" customBuiltin="1"/>
    <cellStyle name="60% - Accent4" xfId="25" builtinId="44" customBuiltin="1"/>
    <cellStyle name="60% - Accent5" xfId="27" builtinId="48" customBuiltin="1"/>
    <cellStyle name="60% - Accent6" xfId="29" builtinId="52" customBuiltin="1"/>
    <cellStyle name="Accent1" xfId="18" builtinId="29" customBuiltin="1"/>
    <cellStyle name="Accent1 2" xfId="229"/>
    <cellStyle name="Accent2" xfId="20" builtinId="33" customBuiltin="1"/>
    <cellStyle name="Accent2 2" xfId="247"/>
    <cellStyle name="Accent3" xfId="22" builtinId="37" customBuiltin="1"/>
    <cellStyle name="Accent3 2" xfId="187"/>
    <cellStyle name="Accent4" xfId="24" builtinId="41" customBuiltin="1"/>
    <cellStyle name="Accent4 2" xfId="181"/>
    <cellStyle name="Accent5" xfId="26" builtinId="45" customBuiltin="1"/>
    <cellStyle name="Accent5 2" xfId="212"/>
    <cellStyle name="Accent6" xfId="28" builtinId="49" customBuiltin="1"/>
    <cellStyle name="Accent6 2" xfId="244"/>
    <cellStyle name="Avertissement" xfId="188"/>
    <cellStyle name="Bad" xfId="8" builtinId="27" customBuiltin="1"/>
    <cellStyle name="C01_Main head" xfId="26190"/>
    <cellStyle name="C02_Column heads" xfId="26191"/>
    <cellStyle name="C03_Sub head bold" xfId="26192"/>
    <cellStyle name="C03a_Sub head" xfId="26193"/>
    <cellStyle name="C04_Total text white bold" xfId="26194"/>
    <cellStyle name="C04a_Total text black with rule" xfId="26195"/>
    <cellStyle name="C05_Main text" xfId="26196"/>
    <cellStyle name="C06_Figs" xfId="26197"/>
    <cellStyle name="C07_Figs 1 dec percent" xfId="26198"/>
    <cellStyle name="C08_Figs 1 decimal" xfId="26199"/>
    <cellStyle name="C09_Notes" xfId="26200"/>
    <cellStyle name="Calcul" xfId="204"/>
    <cellStyle name="Calculation" xfId="12" builtinId="22" customBuiltin="1"/>
    <cellStyle name="Cellule liée" xfId="184"/>
    <cellStyle name="Check Cell" xfId="14" builtinId="23" customBuiltin="1"/>
    <cellStyle name="ColumnHeading" xfId="29502"/>
    <cellStyle name="Comma" xfId="42" builtinId="3"/>
    <cellStyle name="Comma 10" xfId="645"/>
    <cellStyle name="Comma 10 10" xfId="7840"/>
    <cellStyle name="Comma 10 10 2" xfId="42508"/>
    <cellStyle name="Comma 10 10 3" xfId="36084"/>
    <cellStyle name="Comma 10 11" xfId="20834"/>
    <cellStyle name="Comma 10 11 2" xfId="39301"/>
    <cellStyle name="Comma 10 12" xfId="21907"/>
    <cellStyle name="Comma 10 13" xfId="23079"/>
    <cellStyle name="Comma 10 14" xfId="26229"/>
    <cellStyle name="Comma 10 15" xfId="29562"/>
    <cellStyle name="Comma 10 16" xfId="32877"/>
    <cellStyle name="Comma 10 2" xfId="646"/>
    <cellStyle name="Comma 10 2 10" xfId="21908"/>
    <cellStyle name="Comma 10 2 11" xfId="23080"/>
    <cellStyle name="Comma 10 2 12" xfId="26230"/>
    <cellStyle name="Comma 10 2 13" xfId="29563"/>
    <cellStyle name="Comma 10 2 14" xfId="32878"/>
    <cellStyle name="Comma 10 2 2" xfId="647"/>
    <cellStyle name="Comma 10 2 2 10" xfId="32879"/>
    <cellStyle name="Comma 10 2 2 2" xfId="9421"/>
    <cellStyle name="Comma 10 2 2 2 2" xfId="25221"/>
    <cellStyle name="Comma 10 2 2 2 2 2" xfId="44648"/>
    <cellStyle name="Comma 10 2 2 2 2 3" xfId="38225"/>
    <cellStyle name="Comma 10 2 2 2 3" xfId="27399"/>
    <cellStyle name="Comma 10 2 2 2 3 2" xfId="41441"/>
    <cellStyle name="Comma 10 2 2 2 4" xfId="30734"/>
    <cellStyle name="Comma 10 2 2 2 5" xfId="35017"/>
    <cellStyle name="Comma 10 2 2 3" xfId="15027"/>
    <cellStyle name="Comma 10 2 2 3 2" xfId="24039"/>
    <cellStyle name="Comma 10 2 2 3 2 2" xfId="43468"/>
    <cellStyle name="Comma 10 2 2 3 2 3" xfId="37045"/>
    <cellStyle name="Comma 10 2 2 3 3" xfId="28363"/>
    <cellStyle name="Comma 10 2 2 3 3 2" xfId="40261"/>
    <cellStyle name="Comma 10 2 2 3 4" xfId="31698"/>
    <cellStyle name="Comma 10 2 2 3 5" xfId="33837"/>
    <cellStyle name="Comma 10 2 2 4" xfId="7842"/>
    <cellStyle name="Comma 10 2 2 4 2" xfId="42510"/>
    <cellStyle name="Comma 10 2 2 4 3" xfId="36086"/>
    <cellStyle name="Comma 10 2 2 5" xfId="20836"/>
    <cellStyle name="Comma 10 2 2 5 2" xfId="39303"/>
    <cellStyle name="Comma 10 2 2 6" xfId="21909"/>
    <cellStyle name="Comma 10 2 2 7" xfId="23081"/>
    <cellStyle name="Comma 10 2 2 8" xfId="26231"/>
    <cellStyle name="Comma 10 2 2 9" xfId="29564"/>
    <cellStyle name="Comma 10 2 3" xfId="648"/>
    <cellStyle name="Comma 10 2 3 10" xfId="32880"/>
    <cellStyle name="Comma 10 2 3 2" xfId="9422"/>
    <cellStyle name="Comma 10 2 3 2 2" xfId="25222"/>
    <cellStyle name="Comma 10 2 3 2 2 2" xfId="44649"/>
    <cellStyle name="Comma 10 2 3 2 2 3" xfId="38226"/>
    <cellStyle name="Comma 10 2 3 2 3" xfId="27400"/>
    <cellStyle name="Comma 10 2 3 2 3 2" xfId="41442"/>
    <cellStyle name="Comma 10 2 3 2 4" xfId="30735"/>
    <cellStyle name="Comma 10 2 3 2 5" xfId="35018"/>
    <cellStyle name="Comma 10 2 3 3" xfId="15028"/>
    <cellStyle name="Comma 10 2 3 3 2" xfId="24040"/>
    <cellStyle name="Comma 10 2 3 3 2 2" xfId="43469"/>
    <cellStyle name="Comma 10 2 3 3 2 3" xfId="37046"/>
    <cellStyle name="Comma 10 2 3 3 3" xfId="28364"/>
    <cellStyle name="Comma 10 2 3 3 3 2" xfId="40262"/>
    <cellStyle name="Comma 10 2 3 3 4" xfId="31699"/>
    <cellStyle name="Comma 10 2 3 3 5" xfId="33838"/>
    <cellStyle name="Comma 10 2 3 4" xfId="7843"/>
    <cellStyle name="Comma 10 2 3 4 2" xfId="42511"/>
    <cellStyle name="Comma 10 2 3 4 3" xfId="36087"/>
    <cellStyle name="Comma 10 2 3 5" xfId="20837"/>
    <cellStyle name="Comma 10 2 3 5 2" xfId="39304"/>
    <cellStyle name="Comma 10 2 3 6" xfId="21910"/>
    <cellStyle name="Comma 10 2 3 7" xfId="23082"/>
    <cellStyle name="Comma 10 2 3 8" xfId="26232"/>
    <cellStyle name="Comma 10 2 3 9" xfId="29565"/>
    <cellStyle name="Comma 10 2 4" xfId="649"/>
    <cellStyle name="Comma 10 2 4 10" xfId="32881"/>
    <cellStyle name="Comma 10 2 4 2" xfId="9423"/>
    <cellStyle name="Comma 10 2 4 2 2" xfId="25223"/>
    <cellStyle name="Comma 10 2 4 2 2 2" xfId="44650"/>
    <cellStyle name="Comma 10 2 4 2 2 3" xfId="38227"/>
    <cellStyle name="Comma 10 2 4 2 3" xfId="27401"/>
    <cellStyle name="Comma 10 2 4 2 3 2" xfId="41443"/>
    <cellStyle name="Comma 10 2 4 2 4" xfId="30736"/>
    <cellStyle name="Comma 10 2 4 2 5" xfId="35019"/>
    <cellStyle name="Comma 10 2 4 3" xfId="15029"/>
    <cellStyle name="Comma 10 2 4 3 2" xfId="24041"/>
    <cellStyle name="Comma 10 2 4 3 2 2" xfId="43470"/>
    <cellStyle name="Comma 10 2 4 3 2 3" xfId="37047"/>
    <cellStyle name="Comma 10 2 4 3 3" xfId="28365"/>
    <cellStyle name="Comma 10 2 4 3 3 2" xfId="40263"/>
    <cellStyle name="Comma 10 2 4 3 4" xfId="31700"/>
    <cellStyle name="Comma 10 2 4 3 5" xfId="33839"/>
    <cellStyle name="Comma 10 2 4 4" xfId="7844"/>
    <cellStyle name="Comma 10 2 4 4 2" xfId="42512"/>
    <cellStyle name="Comma 10 2 4 4 3" xfId="36088"/>
    <cellStyle name="Comma 10 2 4 5" xfId="20838"/>
    <cellStyle name="Comma 10 2 4 5 2" xfId="39305"/>
    <cellStyle name="Comma 10 2 4 6" xfId="21911"/>
    <cellStyle name="Comma 10 2 4 7" xfId="23083"/>
    <cellStyle name="Comma 10 2 4 8" xfId="26233"/>
    <cellStyle name="Comma 10 2 4 9" xfId="29566"/>
    <cellStyle name="Comma 10 2 5" xfId="650"/>
    <cellStyle name="Comma 10 2 5 10" xfId="32882"/>
    <cellStyle name="Comma 10 2 5 2" xfId="9424"/>
    <cellStyle name="Comma 10 2 5 2 2" xfId="25224"/>
    <cellStyle name="Comma 10 2 5 2 2 2" xfId="44651"/>
    <cellStyle name="Comma 10 2 5 2 2 3" xfId="38228"/>
    <cellStyle name="Comma 10 2 5 2 3" xfId="27402"/>
    <cellStyle name="Comma 10 2 5 2 3 2" xfId="41444"/>
    <cellStyle name="Comma 10 2 5 2 4" xfId="30737"/>
    <cellStyle name="Comma 10 2 5 2 5" xfId="35020"/>
    <cellStyle name="Comma 10 2 5 3" xfId="15030"/>
    <cellStyle name="Comma 10 2 5 3 2" xfId="24042"/>
    <cellStyle name="Comma 10 2 5 3 2 2" xfId="43471"/>
    <cellStyle name="Comma 10 2 5 3 2 3" xfId="37048"/>
    <cellStyle name="Comma 10 2 5 3 3" xfId="28366"/>
    <cellStyle name="Comma 10 2 5 3 3 2" xfId="40264"/>
    <cellStyle name="Comma 10 2 5 3 4" xfId="31701"/>
    <cellStyle name="Comma 10 2 5 3 5" xfId="33840"/>
    <cellStyle name="Comma 10 2 5 4" xfId="7845"/>
    <cellStyle name="Comma 10 2 5 4 2" xfId="42513"/>
    <cellStyle name="Comma 10 2 5 4 3" xfId="36089"/>
    <cellStyle name="Comma 10 2 5 5" xfId="20839"/>
    <cellStyle name="Comma 10 2 5 5 2" xfId="39306"/>
    <cellStyle name="Comma 10 2 5 6" xfId="21912"/>
    <cellStyle name="Comma 10 2 5 7" xfId="23084"/>
    <cellStyle name="Comma 10 2 5 8" xfId="26234"/>
    <cellStyle name="Comma 10 2 5 9" xfId="29567"/>
    <cellStyle name="Comma 10 2 6" xfId="9420"/>
    <cellStyle name="Comma 10 2 6 2" xfId="25220"/>
    <cellStyle name="Comma 10 2 6 2 2" xfId="44647"/>
    <cellStyle name="Comma 10 2 6 2 3" xfId="38224"/>
    <cellStyle name="Comma 10 2 6 3" xfId="27398"/>
    <cellStyle name="Comma 10 2 6 3 2" xfId="41440"/>
    <cellStyle name="Comma 10 2 6 4" xfId="30733"/>
    <cellStyle name="Comma 10 2 6 5" xfId="35016"/>
    <cellStyle name="Comma 10 2 7" xfId="15026"/>
    <cellStyle name="Comma 10 2 7 2" xfId="24038"/>
    <cellStyle name="Comma 10 2 7 2 2" xfId="43467"/>
    <cellStyle name="Comma 10 2 7 2 3" xfId="37044"/>
    <cellStyle name="Comma 10 2 7 3" xfId="28362"/>
    <cellStyle name="Comma 10 2 7 3 2" xfId="40260"/>
    <cellStyle name="Comma 10 2 7 4" xfId="31697"/>
    <cellStyle name="Comma 10 2 7 5" xfId="33836"/>
    <cellStyle name="Comma 10 2 8" xfId="7841"/>
    <cellStyle name="Comma 10 2 8 2" xfId="42509"/>
    <cellStyle name="Comma 10 2 8 3" xfId="36085"/>
    <cellStyle name="Comma 10 2 9" xfId="20835"/>
    <cellStyle name="Comma 10 2 9 2" xfId="39302"/>
    <cellStyle name="Comma 10 3" xfId="651"/>
    <cellStyle name="Comma 10 3 10" xfId="21913"/>
    <cellStyle name="Comma 10 3 11" xfId="23085"/>
    <cellStyle name="Comma 10 3 12" xfId="26235"/>
    <cellStyle name="Comma 10 3 13" xfId="29568"/>
    <cellStyle name="Comma 10 3 14" xfId="32883"/>
    <cellStyle name="Comma 10 3 2" xfId="652"/>
    <cellStyle name="Comma 10 3 2 10" xfId="32884"/>
    <cellStyle name="Comma 10 3 2 2" xfId="9426"/>
    <cellStyle name="Comma 10 3 2 2 2" xfId="25226"/>
    <cellStyle name="Comma 10 3 2 2 2 2" xfId="44653"/>
    <cellStyle name="Comma 10 3 2 2 2 3" xfId="38230"/>
    <cellStyle name="Comma 10 3 2 2 3" xfId="27404"/>
    <cellStyle name="Comma 10 3 2 2 3 2" xfId="41446"/>
    <cellStyle name="Comma 10 3 2 2 4" xfId="30739"/>
    <cellStyle name="Comma 10 3 2 2 5" xfId="35022"/>
    <cellStyle name="Comma 10 3 2 3" xfId="15032"/>
    <cellStyle name="Comma 10 3 2 3 2" xfId="24044"/>
    <cellStyle name="Comma 10 3 2 3 2 2" xfId="43473"/>
    <cellStyle name="Comma 10 3 2 3 2 3" xfId="37050"/>
    <cellStyle name="Comma 10 3 2 3 3" xfId="28368"/>
    <cellStyle name="Comma 10 3 2 3 3 2" xfId="40266"/>
    <cellStyle name="Comma 10 3 2 3 4" xfId="31703"/>
    <cellStyle name="Comma 10 3 2 3 5" xfId="33842"/>
    <cellStyle name="Comma 10 3 2 4" xfId="7847"/>
    <cellStyle name="Comma 10 3 2 4 2" xfId="42515"/>
    <cellStyle name="Comma 10 3 2 4 3" xfId="36091"/>
    <cellStyle name="Comma 10 3 2 5" xfId="20841"/>
    <cellStyle name="Comma 10 3 2 5 2" xfId="39308"/>
    <cellStyle name="Comma 10 3 2 6" xfId="21914"/>
    <cellStyle name="Comma 10 3 2 7" xfId="23086"/>
    <cellStyle name="Comma 10 3 2 8" xfId="26236"/>
    <cellStyle name="Comma 10 3 2 9" xfId="29569"/>
    <cellStyle name="Comma 10 3 3" xfId="653"/>
    <cellStyle name="Comma 10 3 3 10" xfId="32885"/>
    <cellStyle name="Comma 10 3 3 2" xfId="9427"/>
    <cellStyle name="Comma 10 3 3 2 2" xfId="25227"/>
    <cellStyle name="Comma 10 3 3 2 2 2" xfId="44654"/>
    <cellStyle name="Comma 10 3 3 2 2 3" xfId="38231"/>
    <cellStyle name="Comma 10 3 3 2 3" xfId="27405"/>
    <cellStyle name="Comma 10 3 3 2 3 2" xfId="41447"/>
    <cellStyle name="Comma 10 3 3 2 4" xfId="30740"/>
    <cellStyle name="Comma 10 3 3 2 5" xfId="35023"/>
    <cellStyle name="Comma 10 3 3 3" xfId="15033"/>
    <cellStyle name="Comma 10 3 3 3 2" xfId="24045"/>
    <cellStyle name="Comma 10 3 3 3 2 2" xfId="43474"/>
    <cellStyle name="Comma 10 3 3 3 2 3" xfId="37051"/>
    <cellStyle name="Comma 10 3 3 3 3" xfId="28369"/>
    <cellStyle name="Comma 10 3 3 3 3 2" xfId="40267"/>
    <cellStyle name="Comma 10 3 3 3 4" xfId="31704"/>
    <cellStyle name="Comma 10 3 3 3 5" xfId="33843"/>
    <cellStyle name="Comma 10 3 3 4" xfId="7848"/>
    <cellStyle name="Comma 10 3 3 4 2" xfId="42516"/>
    <cellStyle name="Comma 10 3 3 4 3" xfId="36092"/>
    <cellStyle name="Comma 10 3 3 5" xfId="20842"/>
    <cellStyle name="Comma 10 3 3 5 2" xfId="39309"/>
    <cellStyle name="Comma 10 3 3 6" xfId="21915"/>
    <cellStyle name="Comma 10 3 3 7" xfId="23087"/>
    <cellStyle name="Comma 10 3 3 8" xfId="26237"/>
    <cellStyle name="Comma 10 3 3 9" xfId="29570"/>
    <cellStyle name="Comma 10 3 4" xfId="654"/>
    <cellStyle name="Comma 10 3 4 10" xfId="32886"/>
    <cellStyle name="Comma 10 3 4 2" xfId="9428"/>
    <cellStyle name="Comma 10 3 4 2 2" xfId="25228"/>
    <cellStyle name="Comma 10 3 4 2 2 2" xfId="44655"/>
    <cellStyle name="Comma 10 3 4 2 2 3" xfId="38232"/>
    <cellStyle name="Comma 10 3 4 2 3" xfId="27406"/>
    <cellStyle name="Comma 10 3 4 2 3 2" xfId="41448"/>
    <cellStyle name="Comma 10 3 4 2 4" xfId="30741"/>
    <cellStyle name="Comma 10 3 4 2 5" xfId="35024"/>
    <cellStyle name="Comma 10 3 4 3" xfId="15034"/>
    <cellStyle name="Comma 10 3 4 3 2" xfId="24046"/>
    <cellStyle name="Comma 10 3 4 3 2 2" xfId="43475"/>
    <cellStyle name="Comma 10 3 4 3 2 3" xfId="37052"/>
    <cellStyle name="Comma 10 3 4 3 3" xfId="28370"/>
    <cellStyle name="Comma 10 3 4 3 3 2" xfId="40268"/>
    <cellStyle name="Comma 10 3 4 3 4" xfId="31705"/>
    <cellStyle name="Comma 10 3 4 3 5" xfId="33844"/>
    <cellStyle name="Comma 10 3 4 4" xfId="7849"/>
    <cellStyle name="Comma 10 3 4 4 2" xfId="42517"/>
    <cellStyle name="Comma 10 3 4 4 3" xfId="36093"/>
    <cellStyle name="Comma 10 3 4 5" xfId="20843"/>
    <cellStyle name="Comma 10 3 4 5 2" xfId="39310"/>
    <cellStyle name="Comma 10 3 4 6" xfId="21916"/>
    <cellStyle name="Comma 10 3 4 7" xfId="23088"/>
    <cellStyle name="Comma 10 3 4 8" xfId="26238"/>
    <cellStyle name="Comma 10 3 4 9" xfId="29571"/>
    <cellStyle name="Comma 10 3 5" xfId="655"/>
    <cellStyle name="Comma 10 3 5 10" xfId="32887"/>
    <cellStyle name="Comma 10 3 5 2" xfId="9429"/>
    <cellStyle name="Comma 10 3 5 2 2" xfId="25229"/>
    <cellStyle name="Comma 10 3 5 2 2 2" xfId="44656"/>
    <cellStyle name="Comma 10 3 5 2 2 3" xfId="38233"/>
    <cellStyle name="Comma 10 3 5 2 3" xfId="27407"/>
    <cellStyle name="Comma 10 3 5 2 3 2" xfId="41449"/>
    <cellStyle name="Comma 10 3 5 2 4" xfId="30742"/>
    <cellStyle name="Comma 10 3 5 2 5" xfId="35025"/>
    <cellStyle name="Comma 10 3 5 3" xfId="15035"/>
    <cellStyle name="Comma 10 3 5 3 2" xfId="24047"/>
    <cellStyle name="Comma 10 3 5 3 2 2" xfId="43476"/>
    <cellStyle name="Comma 10 3 5 3 2 3" xfId="37053"/>
    <cellStyle name="Comma 10 3 5 3 3" xfId="28371"/>
    <cellStyle name="Comma 10 3 5 3 3 2" xfId="40269"/>
    <cellStyle name="Comma 10 3 5 3 4" xfId="31706"/>
    <cellStyle name="Comma 10 3 5 3 5" xfId="33845"/>
    <cellStyle name="Comma 10 3 5 4" xfId="7850"/>
    <cellStyle name="Comma 10 3 5 4 2" xfId="42518"/>
    <cellStyle name="Comma 10 3 5 4 3" xfId="36094"/>
    <cellStyle name="Comma 10 3 5 5" xfId="20844"/>
    <cellStyle name="Comma 10 3 5 5 2" xfId="39311"/>
    <cellStyle name="Comma 10 3 5 6" xfId="21917"/>
    <cellStyle name="Comma 10 3 5 7" xfId="23089"/>
    <cellStyle name="Comma 10 3 5 8" xfId="26239"/>
    <cellStyle name="Comma 10 3 5 9" xfId="29572"/>
    <cellStyle name="Comma 10 3 6" xfId="9425"/>
    <cellStyle name="Comma 10 3 6 2" xfId="25225"/>
    <cellStyle name="Comma 10 3 6 2 2" xfId="44652"/>
    <cellStyle name="Comma 10 3 6 2 3" xfId="38229"/>
    <cellStyle name="Comma 10 3 6 3" xfId="27403"/>
    <cellStyle name="Comma 10 3 6 3 2" xfId="41445"/>
    <cellStyle name="Comma 10 3 6 4" xfId="30738"/>
    <cellStyle name="Comma 10 3 6 5" xfId="35021"/>
    <cellStyle name="Comma 10 3 7" xfId="15031"/>
    <cellStyle name="Comma 10 3 7 2" xfId="24043"/>
    <cellStyle name="Comma 10 3 7 2 2" xfId="43472"/>
    <cellStyle name="Comma 10 3 7 2 3" xfId="37049"/>
    <cellStyle name="Comma 10 3 7 3" xfId="28367"/>
    <cellStyle name="Comma 10 3 7 3 2" xfId="40265"/>
    <cellStyle name="Comma 10 3 7 4" xfId="31702"/>
    <cellStyle name="Comma 10 3 7 5" xfId="33841"/>
    <cellStyle name="Comma 10 3 8" xfId="7846"/>
    <cellStyle name="Comma 10 3 8 2" xfId="42514"/>
    <cellStyle name="Comma 10 3 8 3" xfId="36090"/>
    <cellStyle name="Comma 10 3 9" xfId="20840"/>
    <cellStyle name="Comma 10 3 9 2" xfId="39307"/>
    <cellStyle name="Comma 10 4" xfId="656"/>
    <cellStyle name="Comma 10 4 10" xfId="32888"/>
    <cellStyle name="Comma 10 4 2" xfId="9430"/>
    <cellStyle name="Comma 10 4 2 2" xfId="25230"/>
    <cellStyle name="Comma 10 4 2 2 2" xfId="44657"/>
    <cellStyle name="Comma 10 4 2 2 3" xfId="38234"/>
    <cellStyle name="Comma 10 4 2 3" xfId="27408"/>
    <cellStyle name="Comma 10 4 2 3 2" xfId="41450"/>
    <cellStyle name="Comma 10 4 2 4" xfId="30743"/>
    <cellStyle name="Comma 10 4 2 5" xfId="35026"/>
    <cellStyle name="Comma 10 4 3" xfId="15036"/>
    <cellStyle name="Comma 10 4 3 2" xfId="24048"/>
    <cellStyle name="Comma 10 4 3 2 2" xfId="43477"/>
    <cellStyle name="Comma 10 4 3 2 3" xfId="37054"/>
    <cellStyle name="Comma 10 4 3 3" xfId="28372"/>
    <cellStyle name="Comma 10 4 3 3 2" xfId="40270"/>
    <cellStyle name="Comma 10 4 3 4" xfId="31707"/>
    <cellStyle name="Comma 10 4 3 5" xfId="33846"/>
    <cellStyle name="Comma 10 4 4" xfId="7851"/>
    <cellStyle name="Comma 10 4 4 2" xfId="42519"/>
    <cellStyle name="Comma 10 4 4 3" xfId="36095"/>
    <cellStyle name="Comma 10 4 5" xfId="20845"/>
    <cellStyle name="Comma 10 4 5 2" xfId="39312"/>
    <cellStyle name="Comma 10 4 6" xfId="21918"/>
    <cellStyle name="Comma 10 4 7" xfId="23090"/>
    <cellStyle name="Comma 10 4 8" xfId="26240"/>
    <cellStyle name="Comma 10 4 9" xfId="29573"/>
    <cellStyle name="Comma 10 5" xfId="657"/>
    <cellStyle name="Comma 10 5 10" xfId="32889"/>
    <cellStyle name="Comma 10 5 2" xfId="9431"/>
    <cellStyle name="Comma 10 5 2 2" xfId="25231"/>
    <cellStyle name="Comma 10 5 2 2 2" xfId="44658"/>
    <cellStyle name="Comma 10 5 2 2 3" xfId="38235"/>
    <cellStyle name="Comma 10 5 2 3" xfId="27409"/>
    <cellStyle name="Comma 10 5 2 3 2" xfId="41451"/>
    <cellStyle name="Comma 10 5 2 4" xfId="30744"/>
    <cellStyle name="Comma 10 5 2 5" xfId="35027"/>
    <cellStyle name="Comma 10 5 3" xfId="15037"/>
    <cellStyle name="Comma 10 5 3 2" xfId="24049"/>
    <cellStyle name="Comma 10 5 3 2 2" xfId="43478"/>
    <cellStyle name="Comma 10 5 3 2 3" xfId="37055"/>
    <cellStyle name="Comma 10 5 3 3" xfId="28373"/>
    <cellStyle name="Comma 10 5 3 3 2" xfId="40271"/>
    <cellStyle name="Comma 10 5 3 4" xfId="31708"/>
    <cellStyle name="Comma 10 5 3 5" xfId="33847"/>
    <cellStyle name="Comma 10 5 4" xfId="7852"/>
    <cellStyle name="Comma 10 5 4 2" xfId="42520"/>
    <cellStyle name="Comma 10 5 4 3" xfId="36096"/>
    <cellStyle name="Comma 10 5 5" xfId="20846"/>
    <cellStyle name="Comma 10 5 5 2" xfId="39313"/>
    <cellStyle name="Comma 10 5 6" xfId="21919"/>
    <cellStyle name="Comma 10 5 7" xfId="23091"/>
    <cellStyle name="Comma 10 5 8" xfId="26241"/>
    <cellStyle name="Comma 10 5 9" xfId="29574"/>
    <cellStyle name="Comma 10 6" xfId="658"/>
    <cellStyle name="Comma 10 6 10" xfId="32890"/>
    <cellStyle name="Comma 10 6 2" xfId="9432"/>
    <cellStyle name="Comma 10 6 2 2" xfId="25232"/>
    <cellStyle name="Comma 10 6 2 2 2" xfId="44659"/>
    <cellStyle name="Comma 10 6 2 2 3" xfId="38236"/>
    <cellStyle name="Comma 10 6 2 3" xfId="27410"/>
    <cellStyle name="Comma 10 6 2 3 2" xfId="41452"/>
    <cellStyle name="Comma 10 6 2 4" xfId="30745"/>
    <cellStyle name="Comma 10 6 2 5" xfId="35028"/>
    <cellStyle name="Comma 10 6 3" xfId="15038"/>
    <cellStyle name="Comma 10 6 3 2" xfId="24050"/>
    <cellStyle name="Comma 10 6 3 2 2" xfId="43479"/>
    <cellStyle name="Comma 10 6 3 2 3" xfId="37056"/>
    <cellStyle name="Comma 10 6 3 3" xfId="28374"/>
    <cellStyle name="Comma 10 6 3 3 2" xfId="40272"/>
    <cellStyle name="Comma 10 6 3 4" xfId="31709"/>
    <cellStyle name="Comma 10 6 3 5" xfId="33848"/>
    <cellStyle name="Comma 10 6 4" xfId="7853"/>
    <cellStyle name="Comma 10 6 4 2" xfId="42521"/>
    <cellStyle name="Comma 10 6 4 3" xfId="36097"/>
    <cellStyle name="Comma 10 6 5" xfId="20847"/>
    <cellStyle name="Comma 10 6 5 2" xfId="39314"/>
    <cellStyle name="Comma 10 6 6" xfId="21920"/>
    <cellStyle name="Comma 10 6 7" xfId="23092"/>
    <cellStyle name="Comma 10 6 8" xfId="26242"/>
    <cellStyle name="Comma 10 6 9" xfId="29575"/>
    <cellStyle name="Comma 10 7" xfId="659"/>
    <cellStyle name="Comma 10 7 10" xfId="32891"/>
    <cellStyle name="Comma 10 7 2" xfId="9433"/>
    <cellStyle name="Comma 10 7 2 2" xfId="25233"/>
    <cellStyle name="Comma 10 7 2 2 2" xfId="44660"/>
    <cellStyle name="Comma 10 7 2 2 3" xfId="38237"/>
    <cellStyle name="Comma 10 7 2 3" xfId="27411"/>
    <cellStyle name="Comma 10 7 2 3 2" xfId="41453"/>
    <cellStyle name="Comma 10 7 2 4" xfId="30746"/>
    <cellStyle name="Comma 10 7 2 5" xfId="35029"/>
    <cellStyle name="Comma 10 7 3" xfId="15039"/>
    <cellStyle name="Comma 10 7 3 2" xfId="24051"/>
    <cellStyle name="Comma 10 7 3 2 2" xfId="43480"/>
    <cellStyle name="Comma 10 7 3 2 3" xfId="37057"/>
    <cellStyle name="Comma 10 7 3 3" xfId="28375"/>
    <cellStyle name="Comma 10 7 3 3 2" xfId="40273"/>
    <cellStyle name="Comma 10 7 3 4" xfId="31710"/>
    <cellStyle name="Comma 10 7 3 5" xfId="33849"/>
    <cellStyle name="Comma 10 7 4" xfId="7854"/>
    <cellStyle name="Comma 10 7 4 2" xfId="42522"/>
    <cellStyle name="Comma 10 7 4 3" xfId="36098"/>
    <cellStyle name="Comma 10 7 5" xfId="20848"/>
    <cellStyle name="Comma 10 7 5 2" xfId="39315"/>
    <cellStyle name="Comma 10 7 6" xfId="21921"/>
    <cellStyle name="Comma 10 7 7" xfId="23093"/>
    <cellStyle name="Comma 10 7 8" xfId="26243"/>
    <cellStyle name="Comma 10 7 9" xfId="29576"/>
    <cellStyle name="Comma 10 8" xfId="9419"/>
    <cellStyle name="Comma 10 8 2" xfId="25219"/>
    <cellStyle name="Comma 10 8 2 2" xfId="44646"/>
    <cellStyle name="Comma 10 8 2 3" xfId="38223"/>
    <cellStyle name="Comma 10 8 3" xfId="27397"/>
    <cellStyle name="Comma 10 8 3 2" xfId="41439"/>
    <cellStyle name="Comma 10 8 4" xfId="30732"/>
    <cellStyle name="Comma 10 8 5" xfId="35015"/>
    <cellStyle name="Comma 10 9" xfId="15025"/>
    <cellStyle name="Comma 10 9 2" xfId="24037"/>
    <cellStyle name="Comma 10 9 2 2" xfId="43466"/>
    <cellStyle name="Comma 10 9 2 3" xfId="37043"/>
    <cellStyle name="Comma 10 9 3" xfId="28361"/>
    <cellStyle name="Comma 10 9 3 2" xfId="40259"/>
    <cellStyle name="Comma 10 9 4" xfId="31696"/>
    <cellStyle name="Comma 10 9 5" xfId="33835"/>
    <cellStyle name="Comma 11" xfId="660"/>
    <cellStyle name="Comma 12" xfId="661"/>
    <cellStyle name="Comma 12 10" xfId="21922"/>
    <cellStyle name="Comma 12 11" xfId="23094"/>
    <cellStyle name="Comma 12 12" xfId="26244"/>
    <cellStyle name="Comma 12 13" xfId="29577"/>
    <cellStyle name="Comma 12 14" xfId="32892"/>
    <cellStyle name="Comma 12 2" xfId="662"/>
    <cellStyle name="Comma 12 2 10" xfId="32893"/>
    <cellStyle name="Comma 12 2 2" xfId="9435"/>
    <cellStyle name="Comma 12 2 2 2" xfId="25235"/>
    <cellStyle name="Comma 12 2 2 2 2" xfId="44662"/>
    <cellStyle name="Comma 12 2 2 2 3" xfId="38239"/>
    <cellStyle name="Comma 12 2 2 3" xfId="27413"/>
    <cellStyle name="Comma 12 2 2 3 2" xfId="41455"/>
    <cellStyle name="Comma 12 2 2 4" xfId="30748"/>
    <cellStyle name="Comma 12 2 2 5" xfId="35031"/>
    <cellStyle name="Comma 12 2 3" xfId="15041"/>
    <cellStyle name="Comma 12 2 3 2" xfId="24053"/>
    <cellStyle name="Comma 12 2 3 2 2" xfId="43482"/>
    <cellStyle name="Comma 12 2 3 2 3" xfId="37059"/>
    <cellStyle name="Comma 12 2 3 3" xfId="28377"/>
    <cellStyle name="Comma 12 2 3 3 2" xfId="40275"/>
    <cellStyle name="Comma 12 2 3 4" xfId="31712"/>
    <cellStyle name="Comma 12 2 3 5" xfId="33851"/>
    <cellStyle name="Comma 12 2 4" xfId="7856"/>
    <cellStyle name="Comma 12 2 4 2" xfId="42524"/>
    <cellStyle name="Comma 12 2 4 3" xfId="36100"/>
    <cellStyle name="Comma 12 2 5" xfId="20850"/>
    <cellStyle name="Comma 12 2 5 2" xfId="39317"/>
    <cellStyle name="Comma 12 2 6" xfId="21923"/>
    <cellStyle name="Comma 12 2 7" xfId="23095"/>
    <cellStyle name="Comma 12 2 8" xfId="26245"/>
    <cellStyle name="Comma 12 2 9" xfId="29578"/>
    <cellStyle name="Comma 12 3" xfId="663"/>
    <cellStyle name="Comma 12 3 10" xfId="32894"/>
    <cellStyle name="Comma 12 3 2" xfId="9436"/>
    <cellStyle name="Comma 12 3 2 2" xfId="25236"/>
    <cellStyle name="Comma 12 3 2 2 2" xfId="44663"/>
    <cellStyle name="Comma 12 3 2 2 3" xfId="38240"/>
    <cellStyle name="Comma 12 3 2 3" xfId="27414"/>
    <cellStyle name="Comma 12 3 2 3 2" xfId="41456"/>
    <cellStyle name="Comma 12 3 2 4" xfId="30749"/>
    <cellStyle name="Comma 12 3 2 5" xfId="35032"/>
    <cellStyle name="Comma 12 3 3" xfId="15042"/>
    <cellStyle name="Comma 12 3 3 2" xfId="24054"/>
    <cellStyle name="Comma 12 3 3 2 2" xfId="43483"/>
    <cellStyle name="Comma 12 3 3 2 3" xfId="37060"/>
    <cellStyle name="Comma 12 3 3 3" xfId="28378"/>
    <cellStyle name="Comma 12 3 3 3 2" xfId="40276"/>
    <cellStyle name="Comma 12 3 3 4" xfId="31713"/>
    <cellStyle name="Comma 12 3 3 5" xfId="33852"/>
    <cellStyle name="Comma 12 3 4" xfId="7857"/>
    <cellStyle name="Comma 12 3 4 2" xfId="42525"/>
    <cellStyle name="Comma 12 3 4 3" xfId="36101"/>
    <cellStyle name="Comma 12 3 5" xfId="20851"/>
    <cellStyle name="Comma 12 3 5 2" xfId="39318"/>
    <cellStyle name="Comma 12 3 6" xfId="21924"/>
    <cellStyle name="Comma 12 3 7" xfId="23096"/>
    <cellStyle name="Comma 12 3 8" xfId="26246"/>
    <cellStyle name="Comma 12 3 9" xfId="29579"/>
    <cellStyle name="Comma 12 4" xfId="664"/>
    <cellStyle name="Comma 12 4 10" xfId="32895"/>
    <cellStyle name="Comma 12 4 2" xfId="9437"/>
    <cellStyle name="Comma 12 4 2 2" xfId="25237"/>
    <cellStyle name="Comma 12 4 2 2 2" xfId="44664"/>
    <cellStyle name="Comma 12 4 2 2 3" xfId="38241"/>
    <cellStyle name="Comma 12 4 2 3" xfId="27415"/>
    <cellStyle name="Comma 12 4 2 3 2" xfId="41457"/>
    <cellStyle name="Comma 12 4 2 4" xfId="30750"/>
    <cellStyle name="Comma 12 4 2 5" xfId="35033"/>
    <cellStyle name="Comma 12 4 3" xfId="15043"/>
    <cellStyle name="Comma 12 4 3 2" xfId="24055"/>
    <cellStyle name="Comma 12 4 3 2 2" xfId="43484"/>
    <cellStyle name="Comma 12 4 3 2 3" xfId="37061"/>
    <cellStyle name="Comma 12 4 3 3" xfId="28379"/>
    <cellStyle name="Comma 12 4 3 3 2" xfId="40277"/>
    <cellStyle name="Comma 12 4 3 4" xfId="31714"/>
    <cellStyle name="Comma 12 4 3 5" xfId="33853"/>
    <cellStyle name="Comma 12 4 4" xfId="7858"/>
    <cellStyle name="Comma 12 4 4 2" xfId="42526"/>
    <cellStyle name="Comma 12 4 4 3" xfId="36102"/>
    <cellStyle name="Comma 12 4 5" xfId="20852"/>
    <cellStyle name="Comma 12 4 5 2" xfId="39319"/>
    <cellStyle name="Comma 12 4 6" xfId="21925"/>
    <cellStyle name="Comma 12 4 7" xfId="23097"/>
    <cellStyle name="Comma 12 4 8" xfId="26247"/>
    <cellStyle name="Comma 12 4 9" xfId="29580"/>
    <cellStyle name="Comma 12 5" xfId="665"/>
    <cellStyle name="Comma 12 5 10" xfId="32896"/>
    <cellStyle name="Comma 12 5 2" xfId="9438"/>
    <cellStyle name="Comma 12 5 2 2" xfId="25238"/>
    <cellStyle name="Comma 12 5 2 2 2" xfId="44665"/>
    <cellStyle name="Comma 12 5 2 2 3" xfId="38242"/>
    <cellStyle name="Comma 12 5 2 3" xfId="27416"/>
    <cellStyle name="Comma 12 5 2 3 2" xfId="41458"/>
    <cellStyle name="Comma 12 5 2 4" xfId="30751"/>
    <cellStyle name="Comma 12 5 2 5" xfId="35034"/>
    <cellStyle name="Comma 12 5 3" xfId="15044"/>
    <cellStyle name="Comma 12 5 3 2" xfId="24056"/>
    <cellStyle name="Comma 12 5 3 2 2" xfId="43485"/>
    <cellStyle name="Comma 12 5 3 2 3" xfId="37062"/>
    <cellStyle name="Comma 12 5 3 3" xfId="28380"/>
    <cellStyle name="Comma 12 5 3 3 2" xfId="40278"/>
    <cellStyle name="Comma 12 5 3 4" xfId="31715"/>
    <cellStyle name="Comma 12 5 3 5" xfId="33854"/>
    <cellStyle name="Comma 12 5 4" xfId="7859"/>
    <cellStyle name="Comma 12 5 4 2" xfId="42527"/>
    <cellStyle name="Comma 12 5 4 3" xfId="36103"/>
    <cellStyle name="Comma 12 5 5" xfId="20853"/>
    <cellStyle name="Comma 12 5 5 2" xfId="39320"/>
    <cellStyle name="Comma 12 5 6" xfId="21926"/>
    <cellStyle name="Comma 12 5 7" xfId="23098"/>
    <cellStyle name="Comma 12 5 8" xfId="26248"/>
    <cellStyle name="Comma 12 5 9" xfId="29581"/>
    <cellStyle name="Comma 12 6" xfId="9434"/>
    <cellStyle name="Comma 12 6 2" xfId="25234"/>
    <cellStyle name="Comma 12 6 2 2" xfId="44661"/>
    <cellStyle name="Comma 12 6 2 3" xfId="38238"/>
    <cellStyle name="Comma 12 6 3" xfId="27412"/>
    <cellStyle name="Comma 12 6 3 2" xfId="41454"/>
    <cellStyle name="Comma 12 6 4" xfId="30747"/>
    <cellStyle name="Comma 12 6 5" xfId="35030"/>
    <cellStyle name="Comma 12 7" xfId="15040"/>
    <cellStyle name="Comma 12 7 2" xfId="24052"/>
    <cellStyle name="Comma 12 7 2 2" xfId="43481"/>
    <cellStyle name="Comma 12 7 2 3" xfId="37058"/>
    <cellStyle name="Comma 12 7 3" xfId="28376"/>
    <cellStyle name="Comma 12 7 3 2" xfId="40274"/>
    <cellStyle name="Comma 12 7 4" xfId="31711"/>
    <cellStyle name="Comma 12 7 5" xfId="33850"/>
    <cellStyle name="Comma 12 8" xfId="7855"/>
    <cellStyle name="Comma 12 8 2" xfId="42523"/>
    <cellStyle name="Comma 12 8 3" xfId="36099"/>
    <cellStyle name="Comma 12 9" xfId="20849"/>
    <cellStyle name="Comma 12 9 2" xfId="39316"/>
    <cellStyle name="Comma 13" xfId="666"/>
    <cellStyle name="Comma 13 10" xfId="32897"/>
    <cellStyle name="Comma 13 2" xfId="9439"/>
    <cellStyle name="Comma 13 2 2" xfId="25239"/>
    <cellStyle name="Comma 13 2 2 2" xfId="44666"/>
    <cellStyle name="Comma 13 2 2 3" xfId="38243"/>
    <cellStyle name="Comma 13 2 3" xfId="27417"/>
    <cellStyle name="Comma 13 2 3 2" xfId="41459"/>
    <cellStyle name="Comma 13 2 4" xfId="30752"/>
    <cellStyle name="Comma 13 2 5" xfId="35035"/>
    <cellStyle name="Comma 13 3" xfId="15045"/>
    <cellStyle name="Comma 13 3 2" xfId="24057"/>
    <cellStyle name="Comma 13 3 2 2" xfId="43486"/>
    <cellStyle name="Comma 13 3 2 3" xfId="37063"/>
    <cellStyle name="Comma 13 3 3" xfId="28381"/>
    <cellStyle name="Comma 13 3 3 2" xfId="40279"/>
    <cellStyle name="Comma 13 3 4" xfId="31716"/>
    <cellStyle name="Comma 13 3 5" xfId="33855"/>
    <cellStyle name="Comma 13 4" xfId="7860"/>
    <cellStyle name="Comma 13 4 2" xfId="42528"/>
    <cellStyle name="Comma 13 4 3" xfId="36104"/>
    <cellStyle name="Comma 13 5" xfId="20854"/>
    <cellStyle name="Comma 13 5 2" xfId="39321"/>
    <cellStyle name="Comma 13 6" xfId="21927"/>
    <cellStyle name="Comma 13 7" xfId="23099"/>
    <cellStyle name="Comma 13 8" xfId="26249"/>
    <cellStyle name="Comma 13 9" xfId="29582"/>
    <cellStyle name="Comma 14" xfId="667"/>
    <cellStyle name="Comma 15" xfId="668"/>
    <cellStyle name="Comma 15 2" xfId="9440"/>
    <cellStyle name="Comma 15 2 2" xfId="25240"/>
    <cellStyle name="Comma 15 2 2 2" xfId="44667"/>
    <cellStyle name="Comma 15 2 2 3" xfId="38244"/>
    <cellStyle name="Comma 15 2 3" xfId="27418"/>
    <cellStyle name="Comma 15 2 3 2" xfId="41460"/>
    <cellStyle name="Comma 15 2 4" xfId="30753"/>
    <cellStyle name="Comma 15 2 5" xfId="35036"/>
    <cellStyle name="Comma 15 3" xfId="15046"/>
    <cellStyle name="Comma 15 3 2" xfId="24058"/>
    <cellStyle name="Comma 15 3 2 2" xfId="43487"/>
    <cellStyle name="Comma 15 3 2 3" xfId="37064"/>
    <cellStyle name="Comma 15 3 3" xfId="28382"/>
    <cellStyle name="Comma 15 3 3 2" xfId="40280"/>
    <cellStyle name="Comma 15 3 4" xfId="31717"/>
    <cellStyle name="Comma 15 3 5" xfId="33856"/>
    <cellStyle name="Comma 15 4" xfId="7861"/>
    <cellStyle name="Comma 16" xfId="6477"/>
    <cellStyle name="Comma 16 2" xfId="14820"/>
    <cellStyle name="Comma 16 2 2" xfId="26173"/>
    <cellStyle name="Comma 16 2 2 2" xfId="45600"/>
    <cellStyle name="Comma 16 2 2 3" xfId="39177"/>
    <cellStyle name="Comma 16 2 3" xfId="28351"/>
    <cellStyle name="Comma 16 2 3 2" xfId="42393"/>
    <cellStyle name="Comma 16 2 4" xfId="31686"/>
    <cellStyle name="Comma 16 2 5" xfId="35969"/>
    <cellStyle name="Comma 16 3" xfId="20741"/>
    <cellStyle name="Comma 16 3 2" xfId="25097"/>
    <cellStyle name="Comma 16 3 2 2" xfId="44526"/>
    <cellStyle name="Comma 16 3 2 3" xfId="38103"/>
    <cellStyle name="Comma 16 3 3" xfId="29417"/>
    <cellStyle name="Comma 16 3 3 2" xfId="41319"/>
    <cellStyle name="Comma 16 3 4" xfId="32752"/>
    <cellStyle name="Comma 16 3 5" xfId="34895"/>
    <cellStyle name="Comma 16 4" xfId="8907"/>
    <cellStyle name="Comma 17" xfId="6480"/>
    <cellStyle name="Comma 17 2" xfId="14823"/>
    <cellStyle name="Comma 17 2 2" xfId="26174"/>
    <cellStyle name="Comma 17 2 2 2" xfId="45601"/>
    <cellStyle name="Comma 17 2 2 3" xfId="39178"/>
    <cellStyle name="Comma 17 2 3" xfId="28352"/>
    <cellStyle name="Comma 17 2 3 2" xfId="42394"/>
    <cellStyle name="Comma 17 2 4" xfId="31687"/>
    <cellStyle name="Comma 17 2 5" xfId="35970"/>
    <cellStyle name="Comma 17 3" xfId="20744"/>
    <cellStyle name="Comma 17 3 2" xfId="25098"/>
    <cellStyle name="Comma 17 3 2 2" xfId="44527"/>
    <cellStyle name="Comma 17 3 2 3" xfId="38104"/>
    <cellStyle name="Comma 17 3 3" xfId="29418"/>
    <cellStyle name="Comma 17 3 3 2" xfId="41320"/>
    <cellStyle name="Comma 17 3 4" xfId="32753"/>
    <cellStyle name="Comma 17 3 5" xfId="34896"/>
    <cellStyle name="Comma 17 4" xfId="8908"/>
    <cellStyle name="Comma 18" xfId="6534"/>
    <cellStyle name="Comma 18 2" xfId="20786"/>
    <cellStyle name="Comma 18 2 2" xfId="29419"/>
    <cellStyle name="Comma 18 2 2 2" xfId="44528"/>
    <cellStyle name="Comma 18 2 3" xfId="32754"/>
    <cellStyle name="Comma 18 2 4" xfId="38105"/>
    <cellStyle name="Comma 18 3" xfId="7838"/>
    <cellStyle name="Comma 18 3 2" xfId="41321"/>
    <cellStyle name="Comma 18 4" xfId="21889"/>
    <cellStyle name="Comma 18 5" xfId="22962"/>
    <cellStyle name="Comma 18 6" xfId="25099"/>
    <cellStyle name="Comma 18 7" xfId="26227"/>
    <cellStyle name="Comma 18 8" xfId="29560"/>
    <cellStyle name="Comma 18 9" xfId="34897"/>
    <cellStyle name="Comma 19" xfId="8927"/>
    <cellStyle name="Comma 19 2" xfId="25104"/>
    <cellStyle name="Comma 19 2 2" xfId="44531"/>
    <cellStyle name="Comma 19 2 3" xfId="38108"/>
    <cellStyle name="Comma 19 3" xfId="27283"/>
    <cellStyle name="Comma 19 3 2" xfId="41324"/>
    <cellStyle name="Comma 19 4" xfId="30618"/>
    <cellStyle name="Comma 19 5" xfId="34900"/>
    <cellStyle name="Comma 2" xfId="49"/>
    <cellStyle name="Comma 2 10" xfId="669"/>
    <cellStyle name="Comma 2 11" xfId="670"/>
    <cellStyle name="Comma 2 11 10" xfId="32898"/>
    <cellStyle name="Comma 2 11 2" xfId="9441"/>
    <cellStyle name="Comma 2 11 2 2" xfId="25241"/>
    <cellStyle name="Comma 2 11 2 2 2" xfId="44668"/>
    <cellStyle name="Comma 2 11 2 2 3" xfId="38245"/>
    <cellStyle name="Comma 2 11 2 3" xfId="27419"/>
    <cellStyle name="Comma 2 11 2 3 2" xfId="41461"/>
    <cellStyle name="Comma 2 11 2 4" xfId="30754"/>
    <cellStyle name="Comma 2 11 2 5" xfId="35037"/>
    <cellStyle name="Comma 2 11 3" xfId="15047"/>
    <cellStyle name="Comma 2 11 3 2" xfId="24059"/>
    <cellStyle name="Comma 2 11 3 2 2" xfId="43488"/>
    <cellStyle name="Comma 2 11 3 2 3" xfId="37065"/>
    <cellStyle name="Comma 2 11 3 3" xfId="28383"/>
    <cellStyle name="Comma 2 11 3 3 2" xfId="40281"/>
    <cellStyle name="Comma 2 11 3 4" xfId="31718"/>
    <cellStyle name="Comma 2 11 3 5" xfId="33857"/>
    <cellStyle name="Comma 2 11 4" xfId="7862"/>
    <cellStyle name="Comma 2 11 4 2" xfId="42529"/>
    <cellStyle name="Comma 2 11 4 3" xfId="36105"/>
    <cellStyle name="Comma 2 11 5" xfId="20855"/>
    <cellStyle name="Comma 2 11 5 2" xfId="39322"/>
    <cellStyle name="Comma 2 11 6" xfId="21928"/>
    <cellStyle name="Comma 2 11 7" xfId="23100"/>
    <cellStyle name="Comma 2 11 8" xfId="26250"/>
    <cellStyle name="Comma 2 11 9" xfId="29583"/>
    <cellStyle name="Comma 2 12" xfId="671"/>
    <cellStyle name="Comma 2 12 2" xfId="9442"/>
    <cellStyle name="Comma 2 12 2 2" xfId="25242"/>
    <cellStyle name="Comma 2 12 2 2 2" xfId="44669"/>
    <cellStyle name="Comma 2 12 2 2 3" xfId="38246"/>
    <cellStyle name="Comma 2 12 2 3" xfId="27420"/>
    <cellStyle name="Comma 2 12 2 3 2" xfId="41462"/>
    <cellStyle name="Comma 2 12 2 4" xfId="30755"/>
    <cellStyle name="Comma 2 12 2 5" xfId="35038"/>
    <cellStyle name="Comma 2 12 3" xfId="7863"/>
    <cellStyle name="Comma 2 12 3 2" xfId="24060"/>
    <cellStyle name="Comma 2 12 3 2 2" xfId="43489"/>
    <cellStyle name="Comma 2 12 3 2 3" xfId="37066"/>
    <cellStyle name="Comma 2 12 3 3" xfId="40282"/>
    <cellStyle name="Comma 2 12 3 4" xfId="33858"/>
    <cellStyle name="Comma 2 13" xfId="672"/>
    <cellStyle name="Comma 2 13 10" xfId="32899"/>
    <cellStyle name="Comma 2 13 2" xfId="9443"/>
    <cellStyle name="Comma 2 13 2 2" xfId="25243"/>
    <cellStyle name="Comma 2 13 2 2 2" xfId="44670"/>
    <cellStyle name="Comma 2 13 2 2 3" xfId="38247"/>
    <cellStyle name="Comma 2 13 2 3" xfId="27421"/>
    <cellStyle name="Comma 2 13 2 3 2" xfId="41463"/>
    <cellStyle name="Comma 2 13 2 4" xfId="30756"/>
    <cellStyle name="Comma 2 13 2 5" xfId="35039"/>
    <cellStyle name="Comma 2 13 3" xfId="15048"/>
    <cellStyle name="Comma 2 13 3 2" xfId="24061"/>
    <cellStyle name="Comma 2 13 3 2 2" xfId="43490"/>
    <cellStyle name="Comma 2 13 3 2 3" xfId="37067"/>
    <cellStyle name="Comma 2 13 3 3" xfId="28384"/>
    <cellStyle name="Comma 2 13 3 3 2" xfId="40283"/>
    <cellStyle name="Comma 2 13 3 4" xfId="31719"/>
    <cellStyle name="Comma 2 13 3 5" xfId="33859"/>
    <cellStyle name="Comma 2 13 4" xfId="7864"/>
    <cellStyle name="Comma 2 13 4 2" xfId="42530"/>
    <cellStyle name="Comma 2 13 4 3" xfId="36106"/>
    <cellStyle name="Comma 2 13 5" xfId="20856"/>
    <cellStyle name="Comma 2 13 5 2" xfId="39323"/>
    <cellStyle name="Comma 2 13 6" xfId="21929"/>
    <cellStyle name="Comma 2 13 7" xfId="23101"/>
    <cellStyle name="Comma 2 13 8" xfId="26251"/>
    <cellStyle name="Comma 2 13 9" xfId="29584"/>
    <cellStyle name="Comma 2 14" xfId="673"/>
    <cellStyle name="Comma 2 14 2" xfId="9444"/>
    <cellStyle name="Comma 2 14 2 2" xfId="25244"/>
    <cellStyle name="Comma 2 14 2 2 2" xfId="44671"/>
    <cellStyle name="Comma 2 14 2 2 3" xfId="38248"/>
    <cellStyle name="Comma 2 14 2 3" xfId="27422"/>
    <cellStyle name="Comma 2 14 2 3 2" xfId="41464"/>
    <cellStyle name="Comma 2 14 2 4" xfId="30757"/>
    <cellStyle name="Comma 2 14 2 5" xfId="35040"/>
    <cellStyle name="Comma 2 14 3" xfId="15049"/>
    <cellStyle name="Comma 2 14 3 2" xfId="24062"/>
    <cellStyle name="Comma 2 14 3 2 2" xfId="43491"/>
    <cellStyle name="Comma 2 14 3 2 3" xfId="37068"/>
    <cellStyle name="Comma 2 14 3 3" xfId="28385"/>
    <cellStyle name="Comma 2 14 3 3 2" xfId="40284"/>
    <cellStyle name="Comma 2 14 3 4" xfId="31720"/>
    <cellStyle name="Comma 2 14 3 5" xfId="33860"/>
    <cellStyle name="Comma 2 14 4" xfId="7865"/>
    <cellStyle name="Comma 2 15" xfId="8943"/>
    <cellStyle name="Comma 2 15 2" xfId="20809"/>
    <cellStyle name="Comma 2 15 2 2" xfId="29421"/>
    <cellStyle name="Comma 2 15 2 2 2" xfId="44530"/>
    <cellStyle name="Comma 2 15 2 3" xfId="32756"/>
    <cellStyle name="Comma 2 15 2 4" xfId="38107"/>
    <cellStyle name="Comma 2 15 3" xfId="21892"/>
    <cellStyle name="Comma 2 15 3 2" xfId="41323"/>
    <cellStyle name="Comma 2 15 4" xfId="22966"/>
    <cellStyle name="Comma 2 15 5" xfId="25102"/>
    <cellStyle name="Comma 2 15 6" xfId="27285"/>
    <cellStyle name="Comma 2 15 7" xfId="30620"/>
    <cellStyle name="Comma 2 15 8" xfId="34899"/>
    <cellStyle name="Comma 2 16" xfId="14896"/>
    <cellStyle name="Comma 2 16 2" xfId="25106"/>
    <cellStyle name="Comma 2 16 2 2" xfId="44533"/>
    <cellStyle name="Comma 2 16 2 3" xfId="38110"/>
    <cellStyle name="Comma 2 16 3" xfId="28356"/>
    <cellStyle name="Comma 2 16 3 2" xfId="41326"/>
    <cellStyle name="Comma 2 16 4" xfId="31691"/>
    <cellStyle name="Comma 2 16 5" xfId="34902"/>
    <cellStyle name="Comma 2 17" xfId="7805"/>
    <cellStyle name="Comma 2 17 2" xfId="24031"/>
    <cellStyle name="Comma 2 17 2 2" xfId="43460"/>
    <cellStyle name="Comma 2 17 2 3" xfId="37037"/>
    <cellStyle name="Comma 2 17 3" xfId="29503"/>
    <cellStyle name="Comma 2 17 3 2" xfId="40253"/>
    <cellStyle name="Comma 2 17 4" xfId="32760"/>
    <cellStyle name="Comma 2 17 5" xfId="33829"/>
    <cellStyle name="Comma 2 18" xfId="20828"/>
    <cellStyle name="Comma 2 18 2" xfId="42399"/>
    <cellStyle name="Comma 2 18 3" xfId="35975"/>
    <cellStyle name="Comma 2 19" xfId="21901"/>
    <cellStyle name="Comma 2 19 2" xfId="39192"/>
    <cellStyle name="Comma 2 2" xfId="135"/>
    <cellStyle name="Comma 2 2 10" xfId="7866"/>
    <cellStyle name="Comma 2 2 10 2" xfId="29504"/>
    <cellStyle name="Comma 2 2 10 2 2" xfId="42402"/>
    <cellStyle name="Comma 2 2 10 3" xfId="32761"/>
    <cellStyle name="Comma 2 2 10 4" xfId="35978"/>
    <cellStyle name="Comma 2 2 11" xfId="20857"/>
    <cellStyle name="Comma 2 2 11 2" xfId="39195"/>
    <cellStyle name="Comma 2 2 12" xfId="21930"/>
    <cellStyle name="Comma 2 2 13" xfId="22973"/>
    <cellStyle name="Comma 2 2 14" xfId="26252"/>
    <cellStyle name="Comma 2 2 15" xfId="29585"/>
    <cellStyle name="Comma 2 2 16" xfId="32771"/>
    <cellStyle name="Comma 2 2 2" xfId="173"/>
    <cellStyle name="Comma 2 2 2 10" xfId="674"/>
    <cellStyle name="Comma 2 2 2 10 10" xfId="32900"/>
    <cellStyle name="Comma 2 2 2 10 2" xfId="9445"/>
    <cellStyle name="Comma 2 2 2 10 2 2" xfId="25245"/>
    <cellStyle name="Comma 2 2 2 10 2 2 2" xfId="44672"/>
    <cellStyle name="Comma 2 2 2 10 2 2 3" xfId="38249"/>
    <cellStyle name="Comma 2 2 2 10 2 3" xfId="27423"/>
    <cellStyle name="Comma 2 2 2 10 2 3 2" xfId="41465"/>
    <cellStyle name="Comma 2 2 2 10 2 4" xfId="30758"/>
    <cellStyle name="Comma 2 2 2 10 2 5" xfId="35041"/>
    <cellStyle name="Comma 2 2 2 10 3" xfId="15052"/>
    <cellStyle name="Comma 2 2 2 10 3 2" xfId="24065"/>
    <cellStyle name="Comma 2 2 2 10 3 2 2" xfId="43494"/>
    <cellStyle name="Comma 2 2 2 10 3 2 3" xfId="37071"/>
    <cellStyle name="Comma 2 2 2 10 3 3" xfId="28388"/>
    <cellStyle name="Comma 2 2 2 10 3 3 2" xfId="40287"/>
    <cellStyle name="Comma 2 2 2 10 3 4" xfId="31723"/>
    <cellStyle name="Comma 2 2 2 10 3 5" xfId="33863"/>
    <cellStyle name="Comma 2 2 2 10 4" xfId="7868"/>
    <cellStyle name="Comma 2 2 2 10 4 2" xfId="42531"/>
    <cellStyle name="Comma 2 2 2 10 4 3" xfId="36107"/>
    <cellStyle name="Comma 2 2 2 10 5" xfId="20859"/>
    <cellStyle name="Comma 2 2 2 10 5 2" xfId="39324"/>
    <cellStyle name="Comma 2 2 2 10 6" xfId="21932"/>
    <cellStyle name="Comma 2 2 2 10 7" xfId="23102"/>
    <cellStyle name="Comma 2 2 2 10 8" xfId="26254"/>
    <cellStyle name="Comma 2 2 2 10 9" xfId="29587"/>
    <cellStyle name="Comma 2 2 2 11" xfId="675"/>
    <cellStyle name="Comma 2 2 2 11 10" xfId="32901"/>
    <cellStyle name="Comma 2 2 2 11 2" xfId="9446"/>
    <cellStyle name="Comma 2 2 2 11 2 2" xfId="25246"/>
    <cellStyle name="Comma 2 2 2 11 2 2 2" xfId="44673"/>
    <cellStyle name="Comma 2 2 2 11 2 2 3" xfId="38250"/>
    <cellStyle name="Comma 2 2 2 11 2 3" xfId="27424"/>
    <cellStyle name="Comma 2 2 2 11 2 3 2" xfId="41466"/>
    <cellStyle name="Comma 2 2 2 11 2 4" xfId="30759"/>
    <cellStyle name="Comma 2 2 2 11 2 5" xfId="35042"/>
    <cellStyle name="Comma 2 2 2 11 3" xfId="15053"/>
    <cellStyle name="Comma 2 2 2 11 3 2" xfId="24066"/>
    <cellStyle name="Comma 2 2 2 11 3 2 2" xfId="43495"/>
    <cellStyle name="Comma 2 2 2 11 3 2 3" xfId="37072"/>
    <cellStyle name="Comma 2 2 2 11 3 3" xfId="28389"/>
    <cellStyle name="Comma 2 2 2 11 3 3 2" xfId="40288"/>
    <cellStyle name="Comma 2 2 2 11 3 4" xfId="31724"/>
    <cellStyle name="Comma 2 2 2 11 3 5" xfId="33864"/>
    <cellStyle name="Comma 2 2 2 11 4" xfId="7869"/>
    <cellStyle name="Comma 2 2 2 11 4 2" xfId="42532"/>
    <cellStyle name="Comma 2 2 2 11 4 3" xfId="36108"/>
    <cellStyle name="Comma 2 2 2 11 5" xfId="20860"/>
    <cellStyle name="Comma 2 2 2 11 5 2" xfId="39325"/>
    <cellStyle name="Comma 2 2 2 11 6" xfId="21933"/>
    <cellStyle name="Comma 2 2 2 11 7" xfId="23103"/>
    <cellStyle name="Comma 2 2 2 11 8" xfId="26255"/>
    <cellStyle name="Comma 2 2 2 11 9" xfId="29588"/>
    <cellStyle name="Comma 2 2 2 12" xfId="676"/>
    <cellStyle name="Comma 2 2 2 12 10" xfId="32902"/>
    <cellStyle name="Comma 2 2 2 12 2" xfId="9447"/>
    <cellStyle name="Comma 2 2 2 12 2 2" xfId="25247"/>
    <cellStyle name="Comma 2 2 2 12 2 2 2" xfId="44674"/>
    <cellStyle name="Comma 2 2 2 12 2 2 3" xfId="38251"/>
    <cellStyle name="Comma 2 2 2 12 2 3" xfId="27425"/>
    <cellStyle name="Comma 2 2 2 12 2 3 2" xfId="41467"/>
    <cellStyle name="Comma 2 2 2 12 2 4" xfId="30760"/>
    <cellStyle name="Comma 2 2 2 12 2 5" xfId="35043"/>
    <cellStyle name="Comma 2 2 2 12 3" xfId="15054"/>
    <cellStyle name="Comma 2 2 2 12 3 2" xfId="24067"/>
    <cellStyle name="Comma 2 2 2 12 3 2 2" xfId="43496"/>
    <cellStyle name="Comma 2 2 2 12 3 2 3" xfId="37073"/>
    <cellStyle name="Comma 2 2 2 12 3 3" xfId="28390"/>
    <cellStyle name="Comma 2 2 2 12 3 3 2" xfId="40289"/>
    <cellStyle name="Comma 2 2 2 12 3 4" xfId="31725"/>
    <cellStyle name="Comma 2 2 2 12 3 5" xfId="33865"/>
    <cellStyle name="Comma 2 2 2 12 4" xfId="7870"/>
    <cellStyle name="Comma 2 2 2 12 4 2" xfId="42533"/>
    <cellStyle name="Comma 2 2 2 12 4 3" xfId="36109"/>
    <cellStyle name="Comma 2 2 2 12 5" xfId="20861"/>
    <cellStyle name="Comma 2 2 2 12 5 2" xfId="39326"/>
    <cellStyle name="Comma 2 2 2 12 6" xfId="21934"/>
    <cellStyle name="Comma 2 2 2 12 7" xfId="23104"/>
    <cellStyle name="Comma 2 2 2 12 8" xfId="26256"/>
    <cellStyle name="Comma 2 2 2 12 9" xfId="29589"/>
    <cellStyle name="Comma 2 2 2 13" xfId="9057"/>
    <cellStyle name="Comma 2 2 2 13 2" xfId="25113"/>
    <cellStyle name="Comma 2 2 2 13 2 2" xfId="44540"/>
    <cellStyle name="Comma 2 2 2 13 2 3" xfId="38117"/>
    <cellStyle name="Comma 2 2 2 13 3" xfId="27292"/>
    <cellStyle name="Comma 2 2 2 13 3 2" xfId="41333"/>
    <cellStyle name="Comma 2 2 2 13 4" xfId="30627"/>
    <cellStyle name="Comma 2 2 2 13 5" xfId="34909"/>
    <cellStyle name="Comma 2 2 2 14" xfId="15051"/>
    <cellStyle name="Comma 2 2 2 14 2" xfId="24064"/>
    <cellStyle name="Comma 2 2 2 14 2 2" xfId="43493"/>
    <cellStyle name="Comma 2 2 2 14 2 3" xfId="37070"/>
    <cellStyle name="Comma 2 2 2 14 3" xfId="28387"/>
    <cellStyle name="Comma 2 2 2 14 3 2" xfId="40286"/>
    <cellStyle name="Comma 2 2 2 14 4" xfId="31722"/>
    <cellStyle name="Comma 2 2 2 14 5" xfId="33862"/>
    <cellStyle name="Comma 2 2 2 15" xfId="7867"/>
    <cellStyle name="Comma 2 2 2 15 2" xfId="42404"/>
    <cellStyle name="Comma 2 2 2 15 3" xfId="35980"/>
    <cellStyle name="Comma 2 2 2 16" xfId="20858"/>
    <cellStyle name="Comma 2 2 2 16 2" xfId="39197"/>
    <cellStyle name="Comma 2 2 2 17" xfId="21931"/>
    <cellStyle name="Comma 2 2 2 18" xfId="22975"/>
    <cellStyle name="Comma 2 2 2 19" xfId="26253"/>
    <cellStyle name="Comma 2 2 2 2" xfId="203"/>
    <cellStyle name="Comma 2 2 2 2 10" xfId="677"/>
    <cellStyle name="Comma 2 2 2 2 10 10" xfId="32903"/>
    <cellStyle name="Comma 2 2 2 2 10 2" xfId="9448"/>
    <cellStyle name="Comma 2 2 2 2 10 2 2" xfId="25248"/>
    <cellStyle name="Comma 2 2 2 2 10 2 2 2" xfId="44675"/>
    <cellStyle name="Comma 2 2 2 2 10 2 2 3" xfId="38252"/>
    <cellStyle name="Comma 2 2 2 2 10 2 3" xfId="27426"/>
    <cellStyle name="Comma 2 2 2 2 10 2 3 2" xfId="41468"/>
    <cellStyle name="Comma 2 2 2 2 10 2 4" xfId="30761"/>
    <cellStyle name="Comma 2 2 2 2 10 2 5" xfId="35044"/>
    <cellStyle name="Comma 2 2 2 2 10 3" xfId="15056"/>
    <cellStyle name="Comma 2 2 2 2 10 3 2" xfId="24069"/>
    <cellStyle name="Comma 2 2 2 2 10 3 2 2" xfId="43498"/>
    <cellStyle name="Comma 2 2 2 2 10 3 2 3" xfId="37075"/>
    <cellStyle name="Comma 2 2 2 2 10 3 3" xfId="28392"/>
    <cellStyle name="Comma 2 2 2 2 10 3 3 2" xfId="40291"/>
    <cellStyle name="Comma 2 2 2 2 10 3 4" xfId="31727"/>
    <cellStyle name="Comma 2 2 2 2 10 3 5" xfId="33867"/>
    <cellStyle name="Comma 2 2 2 2 10 4" xfId="7872"/>
    <cellStyle name="Comma 2 2 2 2 10 4 2" xfId="42534"/>
    <cellStyle name="Comma 2 2 2 2 10 4 3" xfId="36110"/>
    <cellStyle name="Comma 2 2 2 2 10 5" xfId="20863"/>
    <cellStyle name="Comma 2 2 2 2 10 5 2" xfId="39327"/>
    <cellStyle name="Comma 2 2 2 2 10 6" xfId="21936"/>
    <cellStyle name="Comma 2 2 2 2 10 7" xfId="23105"/>
    <cellStyle name="Comma 2 2 2 2 10 8" xfId="26258"/>
    <cellStyle name="Comma 2 2 2 2 10 9" xfId="29591"/>
    <cellStyle name="Comma 2 2 2 2 11" xfId="678"/>
    <cellStyle name="Comma 2 2 2 2 11 10" xfId="32904"/>
    <cellStyle name="Comma 2 2 2 2 11 2" xfId="9449"/>
    <cellStyle name="Comma 2 2 2 2 11 2 2" xfId="25249"/>
    <cellStyle name="Comma 2 2 2 2 11 2 2 2" xfId="44676"/>
    <cellStyle name="Comma 2 2 2 2 11 2 2 3" xfId="38253"/>
    <cellStyle name="Comma 2 2 2 2 11 2 3" xfId="27427"/>
    <cellStyle name="Comma 2 2 2 2 11 2 3 2" xfId="41469"/>
    <cellStyle name="Comma 2 2 2 2 11 2 4" xfId="30762"/>
    <cellStyle name="Comma 2 2 2 2 11 2 5" xfId="35045"/>
    <cellStyle name="Comma 2 2 2 2 11 3" xfId="15057"/>
    <cellStyle name="Comma 2 2 2 2 11 3 2" xfId="24070"/>
    <cellStyle name="Comma 2 2 2 2 11 3 2 2" xfId="43499"/>
    <cellStyle name="Comma 2 2 2 2 11 3 2 3" xfId="37076"/>
    <cellStyle name="Comma 2 2 2 2 11 3 3" xfId="28393"/>
    <cellStyle name="Comma 2 2 2 2 11 3 3 2" xfId="40292"/>
    <cellStyle name="Comma 2 2 2 2 11 3 4" xfId="31728"/>
    <cellStyle name="Comma 2 2 2 2 11 3 5" xfId="33868"/>
    <cellStyle name="Comma 2 2 2 2 11 4" xfId="7873"/>
    <cellStyle name="Comma 2 2 2 2 11 4 2" xfId="42535"/>
    <cellStyle name="Comma 2 2 2 2 11 4 3" xfId="36111"/>
    <cellStyle name="Comma 2 2 2 2 11 5" xfId="20864"/>
    <cellStyle name="Comma 2 2 2 2 11 5 2" xfId="39328"/>
    <cellStyle name="Comma 2 2 2 2 11 6" xfId="21937"/>
    <cellStyle name="Comma 2 2 2 2 11 7" xfId="23106"/>
    <cellStyle name="Comma 2 2 2 2 11 8" xfId="26259"/>
    <cellStyle name="Comma 2 2 2 2 11 9" xfId="29592"/>
    <cellStyle name="Comma 2 2 2 2 12" xfId="9077"/>
    <cellStyle name="Comma 2 2 2 2 12 2" xfId="25132"/>
    <cellStyle name="Comma 2 2 2 2 12 2 2" xfId="44559"/>
    <cellStyle name="Comma 2 2 2 2 12 2 3" xfId="38136"/>
    <cellStyle name="Comma 2 2 2 2 12 3" xfId="27311"/>
    <cellStyle name="Comma 2 2 2 2 12 3 2" xfId="41352"/>
    <cellStyle name="Comma 2 2 2 2 12 4" xfId="30646"/>
    <cellStyle name="Comma 2 2 2 2 12 5" xfId="34928"/>
    <cellStyle name="Comma 2 2 2 2 13" xfId="15055"/>
    <cellStyle name="Comma 2 2 2 2 13 2" xfId="24068"/>
    <cellStyle name="Comma 2 2 2 2 13 2 2" xfId="43497"/>
    <cellStyle name="Comma 2 2 2 2 13 2 3" xfId="37074"/>
    <cellStyle name="Comma 2 2 2 2 13 3" xfId="28391"/>
    <cellStyle name="Comma 2 2 2 2 13 3 2" xfId="40290"/>
    <cellStyle name="Comma 2 2 2 2 13 4" xfId="31726"/>
    <cellStyle name="Comma 2 2 2 2 13 5" xfId="33866"/>
    <cellStyle name="Comma 2 2 2 2 14" xfId="7871"/>
    <cellStyle name="Comma 2 2 2 2 14 2" xfId="42422"/>
    <cellStyle name="Comma 2 2 2 2 14 3" xfId="35998"/>
    <cellStyle name="Comma 2 2 2 2 15" xfId="20862"/>
    <cellStyle name="Comma 2 2 2 2 15 2" xfId="39215"/>
    <cellStyle name="Comma 2 2 2 2 16" xfId="21935"/>
    <cellStyle name="Comma 2 2 2 2 17" xfId="22993"/>
    <cellStyle name="Comma 2 2 2 2 18" xfId="26257"/>
    <cellStyle name="Comma 2 2 2 2 19" xfId="29590"/>
    <cellStyle name="Comma 2 2 2 2 2" xfId="192"/>
    <cellStyle name="Comma 2 2 2 2 2 10" xfId="679"/>
    <cellStyle name="Comma 2 2 2 2 2 10 10" xfId="32905"/>
    <cellStyle name="Comma 2 2 2 2 2 10 2" xfId="9450"/>
    <cellStyle name="Comma 2 2 2 2 2 10 2 2" xfId="25250"/>
    <cellStyle name="Comma 2 2 2 2 2 10 2 2 2" xfId="44677"/>
    <cellStyle name="Comma 2 2 2 2 2 10 2 2 3" xfId="38254"/>
    <cellStyle name="Comma 2 2 2 2 2 10 2 3" xfId="27428"/>
    <cellStyle name="Comma 2 2 2 2 2 10 2 3 2" xfId="41470"/>
    <cellStyle name="Comma 2 2 2 2 2 10 2 4" xfId="30763"/>
    <cellStyle name="Comma 2 2 2 2 2 10 2 5" xfId="35046"/>
    <cellStyle name="Comma 2 2 2 2 2 10 3" xfId="15059"/>
    <cellStyle name="Comma 2 2 2 2 2 10 3 2" xfId="24072"/>
    <cellStyle name="Comma 2 2 2 2 2 10 3 2 2" xfId="43501"/>
    <cellStyle name="Comma 2 2 2 2 2 10 3 2 3" xfId="37078"/>
    <cellStyle name="Comma 2 2 2 2 2 10 3 3" xfId="28395"/>
    <cellStyle name="Comma 2 2 2 2 2 10 3 3 2" xfId="40294"/>
    <cellStyle name="Comma 2 2 2 2 2 10 3 4" xfId="31730"/>
    <cellStyle name="Comma 2 2 2 2 2 10 3 5" xfId="33870"/>
    <cellStyle name="Comma 2 2 2 2 2 10 4" xfId="7875"/>
    <cellStyle name="Comma 2 2 2 2 2 10 4 2" xfId="42536"/>
    <cellStyle name="Comma 2 2 2 2 2 10 4 3" xfId="36112"/>
    <cellStyle name="Comma 2 2 2 2 2 10 5" xfId="20866"/>
    <cellStyle name="Comma 2 2 2 2 2 10 5 2" xfId="39329"/>
    <cellStyle name="Comma 2 2 2 2 2 10 6" xfId="21939"/>
    <cellStyle name="Comma 2 2 2 2 2 10 7" xfId="23107"/>
    <cellStyle name="Comma 2 2 2 2 2 10 8" xfId="26261"/>
    <cellStyle name="Comma 2 2 2 2 2 10 9" xfId="29594"/>
    <cellStyle name="Comma 2 2 2 2 2 11" xfId="9068"/>
    <cellStyle name="Comma 2 2 2 2 2 11 2" xfId="25123"/>
    <cellStyle name="Comma 2 2 2 2 2 11 2 2" xfId="44550"/>
    <cellStyle name="Comma 2 2 2 2 2 11 2 3" xfId="38127"/>
    <cellStyle name="Comma 2 2 2 2 2 11 3" xfId="27302"/>
    <cellStyle name="Comma 2 2 2 2 2 11 3 2" xfId="41343"/>
    <cellStyle name="Comma 2 2 2 2 2 11 4" xfId="30637"/>
    <cellStyle name="Comma 2 2 2 2 2 11 5" xfId="34919"/>
    <cellStyle name="Comma 2 2 2 2 2 12" xfId="15058"/>
    <cellStyle name="Comma 2 2 2 2 2 12 2" xfId="24071"/>
    <cellStyle name="Comma 2 2 2 2 2 12 2 2" xfId="43500"/>
    <cellStyle name="Comma 2 2 2 2 2 12 2 3" xfId="37077"/>
    <cellStyle name="Comma 2 2 2 2 2 12 3" xfId="28394"/>
    <cellStyle name="Comma 2 2 2 2 2 12 3 2" xfId="40293"/>
    <cellStyle name="Comma 2 2 2 2 2 12 4" xfId="31729"/>
    <cellStyle name="Comma 2 2 2 2 2 12 5" xfId="33869"/>
    <cellStyle name="Comma 2 2 2 2 2 13" xfId="7874"/>
    <cellStyle name="Comma 2 2 2 2 2 13 2" xfId="42413"/>
    <cellStyle name="Comma 2 2 2 2 2 13 3" xfId="35989"/>
    <cellStyle name="Comma 2 2 2 2 2 14" xfId="20865"/>
    <cellStyle name="Comma 2 2 2 2 2 14 2" xfId="39206"/>
    <cellStyle name="Comma 2 2 2 2 2 15" xfId="21938"/>
    <cellStyle name="Comma 2 2 2 2 2 16" xfId="22984"/>
    <cellStyle name="Comma 2 2 2 2 2 17" xfId="26260"/>
    <cellStyle name="Comma 2 2 2 2 2 18" xfId="29593"/>
    <cellStyle name="Comma 2 2 2 2 2 19" xfId="32782"/>
    <cellStyle name="Comma 2 2 2 2 2 2" xfId="208"/>
    <cellStyle name="Comma 2 2 2 2 2 2 10" xfId="15060"/>
    <cellStyle name="Comma 2 2 2 2 2 2 10 2" xfId="24073"/>
    <cellStyle name="Comma 2 2 2 2 2 2 10 2 2" xfId="43502"/>
    <cellStyle name="Comma 2 2 2 2 2 2 10 2 3" xfId="37079"/>
    <cellStyle name="Comma 2 2 2 2 2 2 10 3" xfId="28396"/>
    <cellStyle name="Comma 2 2 2 2 2 2 10 3 2" xfId="40295"/>
    <cellStyle name="Comma 2 2 2 2 2 2 10 4" xfId="31731"/>
    <cellStyle name="Comma 2 2 2 2 2 2 10 5" xfId="33871"/>
    <cellStyle name="Comma 2 2 2 2 2 2 11" xfId="7876"/>
    <cellStyle name="Comma 2 2 2 2 2 2 11 2" xfId="42426"/>
    <cellStyle name="Comma 2 2 2 2 2 2 11 3" xfId="36002"/>
    <cellStyle name="Comma 2 2 2 2 2 2 12" xfId="20867"/>
    <cellStyle name="Comma 2 2 2 2 2 2 12 2" xfId="39219"/>
    <cellStyle name="Comma 2 2 2 2 2 2 13" xfId="21940"/>
    <cellStyle name="Comma 2 2 2 2 2 2 14" xfId="22997"/>
    <cellStyle name="Comma 2 2 2 2 2 2 15" xfId="26262"/>
    <cellStyle name="Comma 2 2 2 2 2 2 16" xfId="29595"/>
    <cellStyle name="Comma 2 2 2 2 2 2 17" xfId="32795"/>
    <cellStyle name="Comma 2 2 2 2 2 2 2" xfId="170"/>
    <cellStyle name="Comma 2 2 2 2 2 2 2 10" xfId="20868"/>
    <cellStyle name="Comma 2 2 2 2 2 2 2 10 2" xfId="39196"/>
    <cellStyle name="Comma 2 2 2 2 2 2 2 11" xfId="21941"/>
    <cellStyle name="Comma 2 2 2 2 2 2 2 12" xfId="22974"/>
    <cellStyle name="Comma 2 2 2 2 2 2 2 13" xfId="26263"/>
    <cellStyle name="Comma 2 2 2 2 2 2 2 14" xfId="29596"/>
    <cellStyle name="Comma 2 2 2 2 2 2 2 15" xfId="32772"/>
    <cellStyle name="Comma 2 2 2 2 2 2 2 2" xfId="680"/>
    <cellStyle name="Comma 2 2 2 2 2 2 2 2 10" xfId="32906"/>
    <cellStyle name="Comma 2 2 2 2 2 2 2 2 2" xfId="9451"/>
    <cellStyle name="Comma 2 2 2 2 2 2 2 2 2 2" xfId="25251"/>
    <cellStyle name="Comma 2 2 2 2 2 2 2 2 2 2 2" xfId="44678"/>
    <cellStyle name="Comma 2 2 2 2 2 2 2 2 2 2 3" xfId="38255"/>
    <cellStyle name="Comma 2 2 2 2 2 2 2 2 2 3" xfId="27429"/>
    <cellStyle name="Comma 2 2 2 2 2 2 2 2 2 3 2" xfId="41471"/>
    <cellStyle name="Comma 2 2 2 2 2 2 2 2 2 4" xfId="30764"/>
    <cellStyle name="Comma 2 2 2 2 2 2 2 2 2 5" xfId="35047"/>
    <cellStyle name="Comma 2 2 2 2 2 2 2 2 3" xfId="15062"/>
    <cellStyle name="Comma 2 2 2 2 2 2 2 2 3 2" xfId="24075"/>
    <cellStyle name="Comma 2 2 2 2 2 2 2 2 3 2 2" xfId="43504"/>
    <cellStyle name="Comma 2 2 2 2 2 2 2 2 3 2 3" xfId="37081"/>
    <cellStyle name="Comma 2 2 2 2 2 2 2 2 3 3" xfId="28398"/>
    <cellStyle name="Comma 2 2 2 2 2 2 2 2 3 3 2" xfId="40297"/>
    <cellStyle name="Comma 2 2 2 2 2 2 2 2 3 4" xfId="31733"/>
    <cellStyle name="Comma 2 2 2 2 2 2 2 2 3 5" xfId="33873"/>
    <cellStyle name="Comma 2 2 2 2 2 2 2 2 4" xfId="7878"/>
    <cellStyle name="Comma 2 2 2 2 2 2 2 2 4 2" xfId="42537"/>
    <cellStyle name="Comma 2 2 2 2 2 2 2 2 4 3" xfId="36113"/>
    <cellStyle name="Comma 2 2 2 2 2 2 2 2 5" xfId="20869"/>
    <cellStyle name="Comma 2 2 2 2 2 2 2 2 5 2" xfId="39330"/>
    <cellStyle name="Comma 2 2 2 2 2 2 2 2 6" xfId="21942"/>
    <cellStyle name="Comma 2 2 2 2 2 2 2 2 7" xfId="23108"/>
    <cellStyle name="Comma 2 2 2 2 2 2 2 2 8" xfId="26264"/>
    <cellStyle name="Comma 2 2 2 2 2 2 2 2 9" xfId="29597"/>
    <cellStyle name="Comma 2 2 2 2 2 2 2 3" xfId="681"/>
    <cellStyle name="Comma 2 2 2 2 2 2 2 3 10" xfId="32907"/>
    <cellStyle name="Comma 2 2 2 2 2 2 2 3 2" xfId="9452"/>
    <cellStyle name="Comma 2 2 2 2 2 2 2 3 2 2" xfId="25252"/>
    <cellStyle name="Comma 2 2 2 2 2 2 2 3 2 2 2" xfId="44679"/>
    <cellStyle name="Comma 2 2 2 2 2 2 2 3 2 2 3" xfId="38256"/>
    <cellStyle name="Comma 2 2 2 2 2 2 2 3 2 3" xfId="27430"/>
    <cellStyle name="Comma 2 2 2 2 2 2 2 3 2 3 2" xfId="41472"/>
    <cellStyle name="Comma 2 2 2 2 2 2 2 3 2 4" xfId="30765"/>
    <cellStyle name="Comma 2 2 2 2 2 2 2 3 2 5" xfId="35048"/>
    <cellStyle name="Comma 2 2 2 2 2 2 2 3 3" xfId="15063"/>
    <cellStyle name="Comma 2 2 2 2 2 2 2 3 3 2" xfId="24076"/>
    <cellStyle name="Comma 2 2 2 2 2 2 2 3 3 2 2" xfId="43505"/>
    <cellStyle name="Comma 2 2 2 2 2 2 2 3 3 2 3" xfId="37082"/>
    <cellStyle name="Comma 2 2 2 2 2 2 2 3 3 3" xfId="28399"/>
    <cellStyle name="Comma 2 2 2 2 2 2 2 3 3 3 2" xfId="40298"/>
    <cellStyle name="Comma 2 2 2 2 2 2 2 3 3 4" xfId="31734"/>
    <cellStyle name="Comma 2 2 2 2 2 2 2 3 3 5" xfId="33874"/>
    <cellStyle name="Comma 2 2 2 2 2 2 2 3 4" xfId="7879"/>
    <cellStyle name="Comma 2 2 2 2 2 2 2 3 4 2" xfId="42538"/>
    <cellStyle name="Comma 2 2 2 2 2 2 2 3 4 3" xfId="36114"/>
    <cellStyle name="Comma 2 2 2 2 2 2 2 3 5" xfId="20870"/>
    <cellStyle name="Comma 2 2 2 2 2 2 2 3 5 2" xfId="39331"/>
    <cellStyle name="Comma 2 2 2 2 2 2 2 3 6" xfId="21943"/>
    <cellStyle name="Comma 2 2 2 2 2 2 2 3 7" xfId="23109"/>
    <cellStyle name="Comma 2 2 2 2 2 2 2 3 8" xfId="26265"/>
    <cellStyle name="Comma 2 2 2 2 2 2 2 3 9" xfId="29598"/>
    <cellStyle name="Comma 2 2 2 2 2 2 2 4" xfId="682"/>
    <cellStyle name="Comma 2 2 2 2 2 2 2 4 10" xfId="32908"/>
    <cellStyle name="Comma 2 2 2 2 2 2 2 4 2" xfId="9453"/>
    <cellStyle name="Comma 2 2 2 2 2 2 2 4 2 2" xfId="25253"/>
    <cellStyle name="Comma 2 2 2 2 2 2 2 4 2 2 2" xfId="44680"/>
    <cellStyle name="Comma 2 2 2 2 2 2 2 4 2 2 3" xfId="38257"/>
    <cellStyle name="Comma 2 2 2 2 2 2 2 4 2 3" xfId="27431"/>
    <cellStyle name="Comma 2 2 2 2 2 2 2 4 2 3 2" xfId="41473"/>
    <cellStyle name="Comma 2 2 2 2 2 2 2 4 2 4" xfId="30766"/>
    <cellStyle name="Comma 2 2 2 2 2 2 2 4 2 5" xfId="35049"/>
    <cellStyle name="Comma 2 2 2 2 2 2 2 4 3" xfId="15064"/>
    <cellStyle name="Comma 2 2 2 2 2 2 2 4 3 2" xfId="24077"/>
    <cellStyle name="Comma 2 2 2 2 2 2 2 4 3 2 2" xfId="43506"/>
    <cellStyle name="Comma 2 2 2 2 2 2 2 4 3 2 3" xfId="37083"/>
    <cellStyle name="Comma 2 2 2 2 2 2 2 4 3 3" xfId="28400"/>
    <cellStyle name="Comma 2 2 2 2 2 2 2 4 3 3 2" xfId="40299"/>
    <cellStyle name="Comma 2 2 2 2 2 2 2 4 3 4" xfId="31735"/>
    <cellStyle name="Comma 2 2 2 2 2 2 2 4 3 5" xfId="33875"/>
    <cellStyle name="Comma 2 2 2 2 2 2 2 4 4" xfId="7880"/>
    <cellStyle name="Comma 2 2 2 2 2 2 2 4 4 2" xfId="42539"/>
    <cellStyle name="Comma 2 2 2 2 2 2 2 4 4 3" xfId="36115"/>
    <cellStyle name="Comma 2 2 2 2 2 2 2 4 5" xfId="20871"/>
    <cellStyle name="Comma 2 2 2 2 2 2 2 4 5 2" xfId="39332"/>
    <cellStyle name="Comma 2 2 2 2 2 2 2 4 6" xfId="21944"/>
    <cellStyle name="Comma 2 2 2 2 2 2 2 4 7" xfId="23110"/>
    <cellStyle name="Comma 2 2 2 2 2 2 2 4 8" xfId="26266"/>
    <cellStyle name="Comma 2 2 2 2 2 2 2 4 9" xfId="29599"/>
    <cellStyle name="Comma 2 2 2 2 2 2 2 5" xfId="683"/>
    <cellStyle name="Comma 2 2 2 2 2 2 2 5 10" xfId="32909"/>
    <cellStyle name="Comma 2 2 2 2 2 2 2 5 2" xfId="9454"/>
    <cellStyle name="Comma 2 2 2 2 2 2 2 5 2 2" xfId="25254"/>
    <cellStyle name="Comma 2 2 2 2 2 2 2 5 2 2 2" xfId="44681"/>
    <cellStyle name="Comma 2 2 2 2 2 2 2 5 2 2 3" xfId="38258"/>
    <cellStyle name="Comma 2 2 2 2 2 2 2 5 2 3" xfId="27432"/>
    <cellStyle name="Comma 2 2 2 2 2 2 2 5 2 3 2" xfId="41474"/>
    <cellStyle name="Comma 2 2 2 2 2 2 2 5 2 4" xfId="30767"/>
    <cellStyle name="Comma 2 2 2 2 2 2 2 5 2 5" xfId="35050"/>
    <cellStyle name="Comma 2 2 2 2 2 2 2 5 3" xfId="15065"/>
    <cellStyle name="Comma 2 2 2 2 2 2 2 5 3 2" xfId="24078"/>
    <cellStyle name="Comma 2 2 2 2 2 2 2 5 3 2 2" xfId="43507"/>
    <cellStyle name="Comma 2 2 2 2 2 2 2 5 3 2 3" xfId="37084"/>
    <cellStyle name="Comma 2 2 2 2 2 2 2 5 3 3" xfId="28401"/>
    <cellStyle name="Comma 2 2 2 2 2 2 2 5 3 3 2" xfId="40300"/>
    <cellStyle name="Comma 2 2 2 2 2 2 2 5 3 4" xfId="31736"/>
    <cellStyle name="Comma 2 2 2 2 2 2 2 5 3 5" xfId="33876"/>
    <cellStyle name="Comma 2 2 2 2 2 2 2 5 4" xfId="7881"/>
    <cellStyle name="Comma 2 2 2 2 2 2 2 5 4 2" xfId="42540"/>
    <cellStyle name="Comma 2 2 2 2 2 2 2 5 4 3" xfId="36116"/>
    <cellStyle name="Comma 2 2 2 2 2 2 2 5 5" xfId="20872"/>
    <cellStyle name="Comma 2 2 2 2 2 2 2 5 5 2" xfId="39333"/>
    <cellStyle name="Comma 2 2 2 2 2 2 2 5 6" xfId="21945"/>
    <cellStyle name="Comma 2 2 2 2 2 2 2 5 7" xfId="23111"/>
    <cellStyle name="Comma 2 2 2 2 2 2 2 5 8" xfId="26267"/>
    <cellStyle name="Comma 2 2 2 2 2 2 2 5 9" xfId="29600"/>
    <cellStyle name="Comma 2 2 2 2 2 2 2 6" xfId="684"/>
    <cellStyle name="Comma 2 2 2 2 2 2 2 6 10" xfId="32910"/>
    <cellStyle name="Comma 2 2 2 2 2 2 2 6 2" xfId="9455"/>
    <cellStyle name="Comma 2 2 2 2 2 2 2 6 2 2" xfId="25255"/>
    <cellStyle name="Comma 2 2 2 2 2 2 2 6 2 2 2" xfId="44682"/>
    <cellStyle name="Comma 2 2 2 2 2 2 2 6 2 2 3" xfId="38259"/>
    <cellStyle name="Comma 2 2 2 2 2 2 2 6 2 3" xfId="27433"/>
    <cellStyle name="Comma 2 2 2 2 2 2 2 6 2 3 2" xfId="41475"/>
    <cellStyle name="Comma 2 2 2 2 2 2 2 6 2 4" xfId="30768"/>
    <cellStyle name="Comma 2 2 2 2 2 2 2 6 2 5" xfId="35051"/>
    <cellStyle name="Comma 2 2 2 2 2 2 2 6 3" xfId="15066"/>
    <cellStyle name="Comma 2 2 2 2 2 2 2 6 3 2" xfId="24079"/>
    <cellStyle name="Comma 2 2 2 2 2 2 2 6 3 2 2" xfId="43508"/>
    <cellStyle name="Comma 2 2 2 2 2 2 2 6 3 2 3" xfId="37085"/>
    <cellStyle name="Comma 2 2 2 2 2 2 2 6 3 3" xfId="28402"/>
    <cellStyle name="Comma 2 2 2 2 2 2 2 6 3 3 2" xfId="40301"/>
    <cellStyle name="Comma 2 2 2 2 2 2 2 6 3 4" xfId="31737"/>
    <cellStyle name="Comma 2 2 2 2 2 2 2 6 3 5" xfId="33877"/>
    <cellStyle name="Comma 2 2 2 2 2 2 2 6 4" xfId="7882"/>
    <cellStyle name="Comma 2 2 2 2 2 2 2 6 4 2" xfId="42541"/>
    <cellStyle name="Comma 2 2 2 2 2 2 2 6 4 3" xfId="36117"/>
    <cellStyle name="Comma 2 2 2 2 2 2 2 6 5" xfId="20873"/>
    <cellStyle name="Comma 2 2 2 2 2 2 2 6 5 2" xfId="39334"/>
    <cellStyle name="Comma 2 2 2 2 2 2 2 6 6" xfId="21946"/>
    <cellStyle name="Comma 2 2 2 2 2 2 2 6 7" xfId="23112"/>
    <cellStyle name="Comma 2 2 2 2 2 2 2 6 8" xfId="26268"/>
    <cellStyle name="Comma 2 2 2 2 2 2 2 6 9" xfId="29601"/>
    <cellStyle name="Comma 2 2 2 2 2 2 2 7" xfId="9056"/>
    <cellStyle name="Comma 2 2 2 2 2 2 2 7 2" xfId="25112"/>
    <cellStyle name="Comma 2 2 2 2 2 2 2 7 2 2" xfId="44539"/>
    <cellStyle name="Comma 2 2 2 2 2 2 2 7 2 3" xfId="38116"/>
    <cellStyle name="Comma 2 2 2 2 2 2 2 7 3" xfId="27291"/>
    <cellStyle name="Comma 2 2 2 2 2 2 2 7 3 2" xfId="41332"/>
    <cellStyle name="Comma 2 2 2 2 2 2 2 7 4" xfId="30626"/>
    <cellStyle name="Comma 2 2 2 2 2 2 2 7 5" xfId="34908"/>
    <cellStyle name="Comma 2 2 2 2 2 2 2 8" xfId="15061"/>
    <cellStyle name="Comma 2 2 2 2 2 2 2 8 2" xfId="24074"/>
    <cellStyle name="Comma 2 2 2 2 2 2 2 8 2 2" xfId="43503"/>
    <cellStyle name="Comma 2 2 2 2 2 2 2 8 2 3" xfId="37080"/>
    <cellStyle name="Comma 2 2 2 2 2 2 2 8 3" xfId="28397"/>
    <cellStyle name="Comma 2 2 2 2 2 2 2 8 3 2" xfId="40296"/>
    <cellStyle name="Comma 2 2 2 2 2 2 2 8 4" xfId="31732"/>
    <cellStyle name="Comma 2 2 2 2 2 2 2 8 5" xfId="33872"/>
    <cellStyle name="Comma 2 2 2 2 2 2 2 9" xfId="7877"/>
    <cellStyle name="Comma 2 2 2 2 2 2 2 9 2" xfId="42403"/>
    <cellStyle name="Comma 2 2 2 2 2 2 2 9 3" xfId="35979"/>
    <cellStyle name="Comma 2 2 2 2 2 2 3" xfId="685"/>
    <cellStyle name="Comma 2 2 2 2 2 2 3 10" xfId="21947"/>
    <cellStyle name="Comma 2 2 2 2 2 2 3 11" xfId="23113"/>
    <cellStyle name="Comma 2 2 2 2 2 2 3 12" xfId="26269"/>
    <cellStyle name="Comma 2 2 2 2 2 2 3 13" xfId="29602"/>
    <cellStyle name="Comma 2 2 2 2 2 2 3 14" xfId="32911"/>
    <cellStyle name="Comma 2 2 2 2 2 2 3 2" xfId="686"/>
    <cellStyle name="Comma 2 2 2 2 2 2 3 2 10" xfId="32912"/>
    <cellStyle name="Comma 2 2 2 2 2 2 3 2 2" xfId="9457"/>
    <cellStyle name="Comma 2 2 2 2 2 2 3 2 2 2" xfId="25257"/>
    <cellStyle name="Comma 2 2 2 2 2 2 3 2 2 2 2" xfId="44684"/>
    <cellStyle name="Comma 2 2 2 2 2 2 3 2 2 2 3" xfId="38261"/>
    <cellStyle name="Comma 2 2 2 2 2 2 3 2 2 3" xfId="27435"/>
    <cellStyle name="Comma 2 2 2 2 2 2 3 2 2 3 2" xfId="41477"/>
    <cellStyle name="Comma 2 2 2 2 2 2 3 2 2 4" xfId="30770"/>
    <cellStyle name="Comma 2 2 2 2 2 2 3 2 2 5" xfId="35053"/>
    <cellStyle name="Comma 2 2 2 2 2 2 3 2 3" xfId="15068"/>
    <cellStyle name="Comma 2 2 2 2 2 2 3 2 3 2" xfId="24081"/>
    <cellStyle name="Comma 2 2 2 2 2 2 3 2 3 2 2" xfId="43510"/>
    <cellStyle name="Comma 2 2 2 2 2 2 3 2 3 2 3" xfId="37087"/>
    <cellStyle name="Comma 2 2 2 2 2 2 3 2 3 3" xfId="28404"/>
    <cellStyle name="Comma 2 2 2 2 2 2 3 2 3 3 2" xfId="40303"/>
    <cellStyle name="Comma 2 2 2 2 2 2 3 2 3 4" xfId="31739"/>
    <cellStyle name="Comma 2 2 2 2 2 2 3 2 3 5" xfId="33879"/>
    <cellStyle name="Comma 2 2 2 2 2 2 3 2 4" xfId="7884"/>
    <cellStyle name="Comma 2 2 2 2 2 2 3 2 4 2" xfId="42543"/>
    <cellStyle name="Comma 2 2 2 2 2 2 3 2 4 3" xfId="36119"/>
    <cellStyle name="Comma 2 2 2 2 2 2 3 2 5" xfId="20875"/>
    <cellStyle name="Comma 2 2 2 2 2 2 3 2 5 2" xfId="39336"/>
    <cellStyle name="Comma 2 2 2 2 2 2 3 2 6" xfId="21948"/>
    <cellStyle name="Comma 2 2 2 2 2 2 3 2 7" xfId="23114"/>
    <cellStyle name="Comma 2 2 2 2 2 2 3 2 8" xfId="26270"/>
    <cellStyle name="Comma 2 2 2 2 2 2 3 2 9" xfId="29603"/>
    <cellStyle name="Comma 2 2 2 2 2 2 3 3" xfId="687"/>
    <cellStyle name="Comma 2 2 2 2 2 2 3 3 10" xfId="32913"/>
    <cellStyle name="Comma 2 2 2 2 2 2 3 3 2" xfId="9458"/>
    <cellStyle name="Comma 2 2 2 2 2 2 3 3 2 2" xfId="25258"/>
    <cellStyle name="Comma 2 2 2 2 2 2 3 3 2 2 2" xfId="44685"/>
    <cellStyle name="Comma 2 2 2 2 2 2 3 3 2 2 3" xfId="38262"/>
    <cellStyle name="Comma 2 2 2 2 2 2 3 3 2 3" xfId="27436"/>
    <cellStyle name="Comma 2 2 2 2 2 2 3 3 2 3 2" xfId="41478"/>
    <cellStyle name="Comma 2 2 2 2 2 2 3 3 2 4" xfId="30771"/>
    <cellStyle name="Comma 2 2 2 2 2 2 3 3 2 5" xfId="35054"/>
    <cellStyle name="Comma 2 2 2 2 2 2 3 3 3" xfId="15069"/>
    <cellStyle name="Comma 2 2 2 2 2 2 3 3 3 2" xfId="24082"/>
    <cellStyle name="Comma 2 2 2 2 2 2 3 3 3 2 2" xfId="43511"/>
    <cellStyle name="Comma 2 2 2 2 2 2 3 3 3 2 3" xfId="37088"/>
    <cellStyle name="Comma 2 2 2 2 2 2 3 3 3 3" xfId="28405"/>
    <cellStyle name="Comma 2 2 2 2 2 2 3 3 3 3 2" xfId="40304"/>
    <cellStyle name="Comma 2 2 2 2 2 2 3 3 3 4" xfId="31740"/>
    <cellStyle name="Comma 2 2 2 2 2 2 3 3 3 5" xfId="33880"/>
    <cellStyle name="Comma 2 2 2 2 2 2 3 3 4" xfId="7885"/>
    <cellStyle name="Comma 2 2 2 2 2 2 3 3 4 2" xfId="42544"/>
    <cellStyle name="Comma 2 2 2 2 2 2 3 3 4 3" xfId="36120"/>
    <cellStyle name="Comma 2 2 2 2 2 2 3 3 5" xfId="20876"/>
    <cellStyle name="Comma 2 2 2 2 2 2 3 3 5 2" xfId="39337"/>
    <cellStyle name="Comma 2 2 2 2 2 2 3 3 6" xfId="21949"/>
    <cellStyle name="Comma 2 2 2 2 2 2 3 3 7" xfId="23115"/>
    <cellStyle name="Comma 2 2 2 2 2 2 3 3 8" xfId="26271"/>
    <cellStyle name="Comma 2 2 2 2 2 2 3 3 9" xfId="29604"/>
    <cellStyle name="Comma 2 2 2 2 2 2 3 4" xfId="688"/>
    <cellStyle name="Comma 2 2 2 2 2 2 3 4 10" xfId="32914"/>
    <cellStyle name="Comma 2 2 2 2 2 2 3 4 2" xfId="9459"/>
    <cellStyle name="Comma 2 2 2 2 2 2 3 4 2 2" xfId="25259"/>
    <cellStyle name="Comma 2 2 2 2 2 2 3 4 2 2 2" xfId="44686"/>
    <cellStyle name="Comma 2 2 2 2 2 2 3 4 2 2 3" xfId="38263"/>
    <cellStyle name="Comma 2 2 2 2 2 2 3 4 2 3" xfId="27437"/>
    <cellStyle name="Comma 2 2 2 2 2 2 3 4 2 3 2" xfId="41479"/>
    <cellStyle name="Comma 2 2 2 2 2 2 3 4 2 4" xfId="30772"/>
    <cellStyle name="Comma 2 2 2 2 2 2 3 4 2 5" xfId="35055"/>
    <cellStyle name="Comma 2 2 2 2 2 2 3 4 3" xfId="15070"/>
    <cellStyle name="Comma 2 2 2 2 2 2 3 4 3 2" xfId="24083"/>
    <cellStyle name="Comma 2 2 2 2 2 2 3 4 3 2 2" xfId="43512"/>
    <cellStyle name="Comma 2 2 2 2 2 2 3 4 3 2 3" xfId="37089"/>
    <cellStyle name="Comma 2 2 2 2 2 2 3 4 3 3" xfId="28406"/>
    <cellStyle name="Comma 2 2 2 2 2 2 3 4 3 3 2" xfId="40305"/>
    <cellStyle name="Comma 2 2 2 2 2 2 3 4 3 4" xfId="31741"/>
    <cellStyle name="Comma 2 2 2 2 2 2 3 4 3 5" xfId="33881"/>
    <cellStyle name="Comma 2 2 2 2 2 2 3 4 4" xfId="7886"/>
    <cellStyle name="Comma 2 2 2 2 2 2 3 4 4 2" xfId="42545"/>
    <cellStyle name="Comma 2 2 2 2 2 2 3 4 4 3" xfId="36121"/>
    <cellStyle name="Comma 2 2 2 2 2 2 3 4 5" xfId="20877"/>
    <cellStyle name="Comma 2 2 2 2 2 2 3 4 5 2" xfId="39338"/>
    <cellStyle name="Comma 2 2 2 2 2 2 3 4 6" xfId="21950"/>
    <cellStyle name="Comma 2 2 2 2 2 2 3 4 7" xfId="23116"/>
    <cellStyle name="Comma 2 2 2 2 2 2 3 4 8" xfId="26272"/>
    <cellStyle name="Comma 2 2 2 2 2 2 3 4 9" xfId="29605"/>
    <cellStyle name="Comma 2 2 2 2 2 2 3 5" xfId="689"/>
    <cellStyle name="Comma 2 2 2 2 2 2 3 5 10" xfId="32915"/>
    <cellStyle name="Comma 2 2 2 2 2 2 3 5 2" xfId="9460"/>
    <cellStyle name="Comma 2 2 2 2 2 2 3 5 2 2" xfId="25260"/>
    <cellStyle name="Comma 2 2 2 2 2 2 3 5 2 2 2" xfId="44687"/>
    <cellStyle name="Comma 2 2 2 2 2 2 3 5 2 2 3" xfId="38264"/>
    <cellStyle name="Comma 2 2 2 2 2 2 3 5 2 3" xfId="27438"/>
    <cellStyle name="Comma 2 2 2 2 2 2 3 5 2 3 2" xfId="41480"/>
    <cellStyle name="Comma 2 2 2 2 2 2 3 5 2 4" xfId="30773"/>
    <cellStyle name="Comma 2 2 2 2 2 2 3 5 2 5" xfId="35056"/>
    <cellStyle name="Comma 2 2 2 2 2 2 3 5 3" xfId="15071"/>
    <cellStyle name="Comma 2 2 2 2 2 2 3 5 3 2" xfId="24084"/>
    <cellStyle name="Comma 2 2 2 2 2 2 3 5 3 2 2" xfId="43513"/>
    <cellStyle name="Comma 2 2 2 2 2 2 3 5 3 2 3" xfId="37090"/>
    <cellStyle name="Comma 2 2 2 2 2 2 3 5 3 3" xfId="28407"/>
    <cellStyle name="Comma 2 2 2 2 2 2 3 5 3 3 2" xfId="40306"/>
    <cellStyle name="Comma 2 2 2 2 2 2 3 5 3 4" xfId="31742"/>
    <cellStyle name="Comma 2 2 2 2 2 2 3 5 3 5" xfId="33882"/>
    <cellStyle name="Comma 2 2 2 2 2 2 3 5 4" xfId="7887"/>
    <cellStyle name="Comma 2 2 2 2 2 2 3 5 4 2" xfId="42546"/>
    <cellStyle name="Comma 2 2 2 2 2 2 3 5 4 3" xfId="36122"/>
    <cellStyle name="Comma 2 2 2 2 2 2 3 5 5" xfId="20878"/>
    <cellStyle name="Comma 2 2 2 2 2 2 3 5 5 2" xfId="39339"/>
    <cellStyle name="Comma 2 2 2 2 2 2 3 5 6" xfId="21951"/>
    <cellStyle name="Comma 2 2 2 2 2 2 3 5 7" xfId="23117"/>
    <cellStyle name="Comma 2 2 2 2 2 2 3 5 8" xfId="26273"/>
    <cellStyle name="Comma 2 2 2 2 2 2 3 5 9" xfId="29606"/>
    <cellStyle name="Comma 2 2 2 2 2 2 3 6" xfId="9456"/>
    <cellStyle name="Comma 2 2 2 2 2 2 3 6 2" xfId="25256"/>
    <cellStyle name="Comma 2 2 2 2 2 2 3 6 2 2" xfId="44683"/>
    <cellStyle name="Comma 2 2 2 2 2 2 3 6 2 3" xfId="38260"/>
    <cellStyle name="Comma 2 2 2 2 2 2 3 6 3" xfId="27434"/>
    <cellStyle name="Comma 2 2 2 2 2 2 3 6 3 2" xfId="41476"/>
    <cellStyle name="Comma 2 2 2 2 2 2 3 6 4" xfId="30769"/>
    <cellStyle name="Comma 2 2 2 2 2 2 3 6 5" xfId="35052"/>
    <cellStyle name="Comma 2 2 2 2 2 2 3 7" xfId="15067"/>
    <cellStyle name="Comma 2 2 2 2 2 2 3 7 2" xfId="24080"/>
    <cellStyle name="Comma 2 2 2 2 2 2 3 7 2 2" xfId="43509"/>
    <cellStyle name="Comma 2 2 2 2 2 2 3 7 2 3" xfId="37086"/>
    <cellStyle name="Comma 2 2 2 2 2 2 3 7 3" xfId="28403"/>
    <cellStyle name="Comma 2 2 2 2 2 2 3 7 3 2" xfId="40302"/>
    <cellStyle name="Comma 2 2 2 2 2 2 3 7 4" xfId="31738"/>
    <cellStyle name="Comma 2 2 2 2 2 2 3 7 5" xfId="33878"/>
    <cellStyle name="Comma 2 2 2 2 2 2 3 8" xfId="7883"/>
    <cellStyle name="Comma 2 2 2 2 2 2 3 8 2" xfId="42542"/>
    <cellStyle name="Comma 2 2 2 2 2 2 3 8 3" xfId="36118"/>
    <cellStyle name="Comma 2 2 2 2 2 2 3 9" xfId="20874"/>
    <cellStyle name="Comma 2 2 2 2 2 2 3 9 2" xfId="39335"/>
    <cellStyle name="Comma 2 2 2 2 2 2 4" xfId="690"/>
    <cellStyle name="Comma 2 2 2 2 2 2 4 10" xfId="32916"/>
    <cellStyle name="Comma 2 2 2 2 2 2 4 2" xfId="9461"/>
    <cellStyle name="Comma 2 2 2 2 2 2 4 2 2" xfId="25261"/>
    <cellStyle name="Comma 2 2 2 2 2 2 4 2 2 2" xfId="44688"/>
    <cellStyle name="Comma 2 2 2 2 2 2 4 2 2 3" xfId="38265"/>
    <cellStyle name="Comma 2 2 2 2 2 2 4 2 3" xfId="27439"/>
    <cellStyle name="Comma 2 2 2 2 2 2 4 2 3 2" xfId="41481"/>
    <cellStyle name="Comma 2 2 2 2 2 2 4 2 4" xfId="30774"/>
    <cellStyle name="Comma 2 2 2 2 2 2 4 2 5" xfId="35057"/>
    <cellStyle name="Comma 2 2 2 2 2 2 4 3" xfId="15072"/>
    <cellStyle name="Comma 2 2 2 2 2 2 4 3 2" xfId="24085"/>
    <cellStyle name="Comma 2 2 2 2 2 2 4 3 2 2" xfId="43514"/>
    <cellStyle name="Comma 2 2 2 2 2 2 4 3 2 3" xfId="37091"/>
    <cellStyle name="Comma 2 2 2 2 2 2 4 3 3" xfId="28408"/>
    <cellStyle name="Comma 2 2 2 2 2 2 4 3 3 2" xfId="40307"/>
    <cellStyle name="Comma 2 2 2 2 2 2 4 3 4" xfId="31743"/>
    <cellStyle name="Comma 2 2 2 2 2 2 4 3 5" xfId="33883"/>
    <cellStyle name="Comma 2 2 2 2 2 2 4 4" xfId="7888"/>
    <cellStyle name="Comma 2 2 2 2 2 2 4 4 2" xfId="42547"/>
    <cellStyle name="Comma 2 2 2 2 2 2 4 4 3" xfId="36123"/>
    <cellStyle name="Comma 2 2 2 2 2 2 4 5" xfId="20879"/>
    <cellStyle name="Comma 2 2 2 2 2 2 4 5 2" xfId="39340"/>
    <cellStyle name="Comma 2 2 2 2 2 2 4 6" xfId="21952"/>
    <cellStyle name="Comma 2 2 2 2 2 2 4 7" xfId="23118"/>
    <cellStyle name="Comma 2 2 2 2 2 2 4 8" xfId="26274"/>
    <cellStyle name="Comma 2 2 2 2 2 2 4 9" xfId="29607"/>
    <cellStyle name="Comma 2 2 2 2 2 2 5" xfId="691"/>
    <cellStyle name="Comma 2 2 2 2 2 2 5 10" xfId="32917"/>
    <cellStyle name="Comma 2 2 2 2 2 2 5 2" xfId="9462"/>
    <cellStyle name="Comma 2 2 2 2 2 2 5 2 2" xfId="25262"/>
    <cellStyle name="Comma 2 2 2 2 2 2 5 2 2 2" xfId="44689"/>
    <cellStyle name="Comma 2 2 2 2 2 2 5 2 2 3" xfId="38266"/>
    <cellStyle name="Comma 2 2 2 2 2 2 5 2 3" xfId="27440"/>
    <cellStyle name="Comma 2 2 2 2 2 2 5 2 3 2" xfId="41482"/>
    <cellStyle name="Comma 2 2 2 2 2 2 5 2 4" xfId="30775"/>
    <cellStyle name="Comma 2 2 2 2 2 2 5 2 5" xfId="35058"/>
    <cellStyle name="Comma 2 2 2 2 2 2 5 3" xfId="15073"/>
    <cellStyle name="Comma 2 2 2 2 2 2 5 3 2" xfId="24086"/>
    <cellStyle name="Comma 2 2 2 2 2 2 5 3 2 2" xfId="43515"/>
    <cellStyle name="Comma 2 2 2 2 2 2 5 3 2 3" xfId="37092"/>
    <cellStyle name="Comma 2 2 2 2 2 2 5 3 3" xfId="28409"/>
    <cellStyle name="Comma 2 2 2 2 2 2 5 3 3 2" xfId="40308"/>
    <cellStyle name="Comma 2 2 2 2 2 2 5 3 4" xfId="31744"/>
    <cellStyle name="Comma 2 2 2 2 2 2 5 3 5" xfId="33884"/>
    <cellStyle name="Comma 2 2 2 2 2 2 5 4" xfId="7889"/>
    <cellStyle name="Comma 2 2 2 2 2 2 5 4 2" xfId="42548"/>
    <cellStyle name="Comma 2 2 2 2 2 2 5 4 3" xfId="36124"/>
    <cellStyle name="Comma 2 2 2 2 2 2 5 5" xfId="20880"/>
    <cellStyle name="Comma 2 2 2 2 2 2 5 5 2" xfId="39341"/>
    <cellStyle name="Comma 2 2 2 2 2 2 5 6" xfId="21953"/>
    <cellStyle name="Comma 2 2 2 2 2 2 5 7" xfId="23119"/>
    <cellStyle name="Comma 2 2 2 2 2 2 5 8" xfId="26275"/>
    <cellStyle name="Comma 2 2 2 2 2 2 5 9" xfId="29608"/>
    <cellStyle name="Comma 2 2 2 2 2 2 6" xfId="692"/>
    <cellStyle name="Comma 2 2 2 2 2 2 6 10" xfId="32918"/>
    <cellStyle name="Comma 2 2 2 2 2 2 6 2" xfId="9463"/>
    <cellStyle name="Comma 2 2 2 2 2 2 6 2 2" xfId="25263"/>
    <cellStyle name="Comma 2 2 2 2 2 2 6 2 2 2" xfId="44690"/>
    <cellStyle name="Comma 2 2 2 2 2 2 6 2 2 3" xfId="38267"/>
    <cellStyle name="Comma 2 2 2 2 2 2 6 2 3" xfId="27441"/>
    <cellStyle name="Comma 2 2 2 2 2 2 6 2 3 2" xfId="41483"/>
    <cellStyle name="Comma 2 2 2 2 2 2 6 2 4" xfId="30776"/>
    <cellStyle name="Comma 2 2 2 2 2 2 6 2 5" xfId="35059"/>
    <cellStyle name="Comma 2 2 2 2 2 2 6 3" xfId="15074"/>
    <cellStyle name="Comma 2 2 2 2 2 2 6 3 2" xfId="24087"/>
    <cellStyle name="Comma 2 2 2 2 2 2 6 3 2 2" xfId="43516"/>
    <cellStyle name="Comma 2 2 2 2 2 2 6 3 2 3" xfId="37093"/>
    <cellStyle name="Comma 2 2 2 2 2 2 6 3 3" xfId="28410"/>
    <cellStyle name="Comma 2 2 2 2 2 2 6 3 3 2" xfId="40309"/>
    <cellStyle name="Comma 2 2 2 2 2 2 6 3 4" xfId="31745"/>
    <cellStyle name="Comma 2 2 2 2 2 2 6 3 5" xfId="33885"/>
    <cellStyle name="Comma 2 2 2 2 2 2 6 4" xfId="7890"/>
    <cellStyle name="Comma 2 2 2 2 2 2 6 4 2" xfId="42549"/>
    <cellStyle name="Comma 2 2 2 2 2 2 6 4 3" xfId="36125"/>
    <cellStyle name="Comma 2 2 2 2 2 2 6 5" xfId="20881"/>
    <cellStyle name="Comma 2 2 2 2 2 2 6 5 2" xfId="39342"/>
    <cellStyle name="Comma 2 2 2 2 2 2 6 6" xfId="21954"/>
    <cellStyle name="Comma 2 2 2 2 2 2 6 7" xfId="23120"/>
    <cellStyle name="Comma 2 2 2 2 2 2 6 8" xfId="26276"/>
    <cellStyle name="Comma 2 2 2 2 2 2 6 9" xfId="29609"/>
    <cellStyle name="Comma 2 2 2 2 2 2 7" xfId="693"/>
    <cellStyle name="Comma 2 2 2 2 2 2 7 10" xfId="32919"/>
    <cellStyle name="Comma 2 2 2 2 2 2 7 2" xfId="9464"/>
    <cellStyle name="Comma 2 2 2 2 2 2 7 2 2" xfId="25264"/>
    <cellStyle name="Comma 2 2 2 2 2 2 7 2 2 2" xfId="44691"/>
    <cellStyle name="Comma 2 2 2 2 2 2 7 2 2 3" xfId="38268"/>
    <cellStyle name="Comma 2 2 2 2 2 2 7 2 3" xfId="27442"/>
    <cellStyle name="Comma 2 2 2 2 2 2 7 2 3 2" xfId="41484"/>
    <cellStyle name="Comma 2 2 2 2 2 2 7 2 4" xfId="30777"/>
    <cellStyle name="Comma 2 2 2 2 2 2 7 2 5" xfId="35060"/>
    <cellStyle name="Comma 2 2 2 2 2 2 7 3" xfId="15075"/>
    <cellStyle name="Comma 2 2 2 2 2 2 7 3 2" xfId="24088"/>
    <cellStyle name="Comma 2 2 2 2 2 2 7 3 2 2" xfId="43517"/>
    <cellStyle name="Comma 2 2 2 2 2 2 7 3 2 3" xfId="37094"/>
    <cellStyle name="Comma 2 2 2 2 2 2 7 3 3" xfId="28411"/>
    <cellStyle name="Comma 2 2 2 2 2 2 7 3 3 2" xfId="40310"/>
    <cellStyle name="Comma 2 2 2 2 2 2 7 3 4" xfId="31746"/>
    <cellStyle name="Comma 2 2 2 2 2 2 7 3 5" xfId="33886"/>
    <cellStyle name="Comma 2 2 2 2 2 2 7 4" xfId="7891"/>
    <cellStyle name="Comma 2 2 2 2 2 2 7 4 2" xfId="42550"/>
    <cellStyle name="Comma 2 2 2 2 2 2 7 4 3" xfId="36126"/>
    <cellStyle name="Comma 2 2 2 2 2 2 7 5" xfId="20882"/>
    <cellStyle name="Comma 2 2 2 2 2 2 7 5 2" xfId="39343"/>
    <cellStyle name="Comma 2 2 2 2 2 2 7 6" xfId="21955"/>
    <cellStyle name="Comma 2 2 2 2 2 2 7 7" xfId="23121"/>
    <cellStyle name="Comma 2 2 2 2 2 2 7 8" xfId="26277"/>
    <cellStyle name="Comma 2 2 2 2 2 2 7 9" xfId="29610"/>
    <cellStyle name="Comma 2 2 2 2 2 2 8" xfId="694"/>
    <cellStyle name="Comma 2 2 2 2 2 2 8 10" xfId="32920"/>
    <cellStyle name="Comma 2 2 2 2 2 2 8 2" xfId="9465"/>
    <cellStyle name="Comma 2 2 2 2 2 2 8 2 2" xfId="25265"/>
    <cellStyle name="Comma 2 2 2 2 2 2 8 2 2 2" xfId="44692"/>
    <cellStyle name="Comma 2 2 2 2 2 2 8 2 2 3" xfId="38269"/>
    <cellStyle name="Comma 2 2 2 2 2 2 8 2 3" xfId="27443"/>
    <cellStyle name="Comma 2 2 2 2 2 2 8 2 3 2" xfId="41485"/>
    <cellStyle name="Comma 2 2 2 2 2 2 8 2 4" xfId="30778"/>
    <cellStyle name="Comma 2 2 2 2 2 2 8 2 5" xfId="35061"/>
    <cellStyle name="Comma 2 2 2 2 2 2 8 3" xfId="15076"/>
    <cellStyle name="Comma 2 2 2 2 2 2 8 3 2" xfId="24089"/>
    <cellStyle name="Comma 2 2 2 2 2 2 8 3 2 2" xfId="43518"/>
    <cellStyle name="Comma 2 2 2 2 2 2 8 3 2 3" xfId="37095"/>
    <cellStyle name="Comma 2 2 2 2 2 2 8 3 3" xfId="28412"/>
    <cellStyle name="Comma 2 2 2 2 2 2 8 3 3 2" xfId="40311"/>
    <cellStyle name="Comma 2 2 2 2 2 2 8 3 4" xfId="31747"/>
    <cellStyle name="Comma 2 2 2 2 2 2 8 3 5" xfId="33887"/>
    <cellStyle name="Comma 2 2 2 2 2 2 8 4" xfId="7892"/>
    <cellStyle name="Comma 2 2 2 2 2 2 8 4 2" xfId="42551"/>
    <cellStyle name="Comma 2 2 2 2 2 2 8 4 3" xfId="36127"/>
    <cellStyle name="Comma 2 2 2 2 2 2 8 5" xfId="20883"/>
    <cellStyle name="Comma 2 2 2 2 2 2 8 5 2" xfId="39344"/>
    <cellStyle name="Comma 2 2 2 2 2 2 8 6" xfId="21956"/>
    <cellStyle name="Comma 2 2 2 2 2 2 8 7" xfId="23122"/>
    <cellStyle name="Comma 2 2 2 2 2 2 8 8" xfId="26278"/>
    <cellStyle name="Comma 2 2 2 2 2 2 8 9" xfId="29611"/>
    <cellStyle name="Comma 2 2 2 2 2 2 9" xfId="9081"/>
    <cellStyle name="Comma 2 2 2 2 2 2 9 2" xfId="25136"/>
    <cellStyle name="Comma 2 2 2 2 2 2 9 2 2" xfId="44563"/>
    <cellStyle name="Comma 2 2 2 2 2 2 9 2 3" xfId="38140"/>
    <cellStyle name="Comma 2 2 2 2 2 2 9 3" xfId="27315"/>
    <cellStyle name="Comma 2 2 2 2 2 2 9 3 2" xfId="41356"/>
    <cellStyle name="Comma 2 2 2 2 2 2 9 4" xfId="30650"/>
    <cellStyle name="Comma 2 2 2 2 2 2 9 5" xfId="34932"/>
    <cellStyle name="Comma 2 2 2 2 2 3" xfId="242"/>
    <cellStyle name="Comma 2 2 2 2 2 3 10" xfId="20884"/>
    <cellStyle name="Comma 2 2 2 2 2 3 10 2" xfId="39242"/>
    <cellStyle name="Comma 2 2 2 2 2 3 11" xfId="21957"/>
    <cellStyle name="Comma 2 2 2 2 2 3 12" xfId="23020"/>
    <cellStyle name="Comma 2 2 2 2 2 3 13" xfId="26279"/>
    <cellStyle name="Comma 2 2 2 2 2 3 14" xfId="29612"/>
    <cellStyle name="Comma 2 2 2 2 2 3 15" xfId="32818"/>
    <cellStyle name="Comma 2 2 2 2 2 3 2" xfId="695"/>
    <cellStyle name="Comma 2 2 2 2 2 3 2 10" xfId="32921"/>
    <cellStyle name="Comma 2 2 2 2 2 3 2 2" xfId="9466"/>
    <cellStyle name="Comma 2 2 2 2 2 3 2 2 2" xfId="25266"/>
    <cellStyle name="Comma 2 2 2 2 2 3 2 2 2 2" xfId="44693"/>
    <cellStyle name="Comma 2 2 2 2 2 3 2 2 2 3" xfId="38270"/>
    <cellStyle name="Comma 2 2 2 2 2 3 2 2 3" xfId="27444"/>
    <cellStyle name="Comma 2 2 2 2 2 3 2 2 3 2" xfId="41486"/>
    <cellStyle name="Comma 2 2 2 2 2 3 2 2 4" xfId="30779"/>
    <cellStyle name="Comma 2 2 2 2 2 3 2 2 5" xfId="35062"/>
    <cellStyle name="Comma 2 2 2 2 2 3 2 3" xfId="15078"/>
    <cellStyle name="Comma 2 2 2 2 2 3 2 3 2" xfId="24091"/>
    <cellStyle name="Comma 2 2 2 2 2 3 2 3 2 2" xfId="43520"/>
    <cellStyle name="Comma 2 2 2 2 2 3 2 3 2 3" xfId="37097"/>
    <cellStyle name="Comma 2 2 2 2 2 3 2 3 3" xfId="28414"/>
    <cellStyle name="Comma 2 2 2 2 2 3 2 3 3 2" xfId="40313"/>
    <cellStyle name="Comma 2 2 2 2 2 3 2 3 4" xfId="31749"/>
    <cellStyle name="Comma 2 2 2 2 2 3 2 3 5" xfId="33889"/>
    <cellStyle name="Comma 2 2 2 2 2 3 2 4" xfId="7894"/>
    <cellStyle name="Comma 2 2 2 2 2 3 2 4 2" xfId="42552"/>
    <cellStyle name="Comma 2 2 2 2 2 3 2 4 3" xfId="36128"/>
    <cellStyle name="Comma 2 2 2 2 2 3 2 5" xfId="20885"/>
    <cellStyle name="Comma 2 2 2 2 2 3 2 5 2" xfId="39345"/>
    <cellStyle name="Comma 2 2 2 2 2 3 2 6" xfId="21958"/>
    <cellStyle name="Comma 2 2 2 2 2 3 2 7" xfId="23123"/>
    <cellStyle name="Comma 2 2 2 2 2 3 2 8" xfId="26280"/>
    <cellStyle name="Comma 2 2 2 2 2 3 2 9" xfId="29613"/>
    <cellStyle name="Comma 2 2 2 2 2 3 3" xfId="696"/>
    <cellStyle name="Comma 2 2 2 2 2 3 3 10" xfId="32922"/>
    <cellStyle name="Comma 2 2 2 2 2 3 3 2" xfId="9467"/>
    <cellStyle name="Comma 2 2 2 2 2 3 3 2 2" xfId="25267"/>
    <cellStyle name="Comma 2 2 2 2 2 3 3 2 2 2" xfId="44694"/>
    <cellStyle name="Comma 2 2 2 2 2 3 3 2 2 3" xfId="38271"/>
    <cellStyle name="Comma 2 2 2 2 2 3 3 2 3" xfId="27445"/>
    <cellStyle name="Comma 2 2 2 2 2 3 3 2 3 2" xfId="41487"/>
    <cellStyle name="Comma 2 2 2 2 2 3 3 2 4" xfId="30780"/>
    <cellStyle name="Comma 2 2 2 2 2 3 3 2 5" xfId="35063"/>
    <cellStyle name="Comma 2 2 2 2 2 3 3 3" xfId="15079"/>
    <cellStyle name="Comma 2 2 2 2 2 3 3 3 2" xfId="24092"/>
    <cellStyle name="Comma 2 2 2 2 2 3 3 3 2 2" xfId="43521"/>
    <cellStyle name="Comma 2 2 2 2 2 3 3 3 2 3" xfId="37098"/>
    <cellStyle name="Comma 2 2 2 2 2 3 3 3 3" xfId="28415"/>
    <cellStyle name="Comma 2 2 2 2 2 3 3 3 3 2" xfId="40314"/>
    <cellStyle name="Comma 2 2 2 2 2 3 3 3 4" xfId="31750"/>
    <cellStyle name="Comma 2 2 2 2 2 3 3 3 5" xfId="33890"/>
    <cellStyle name="Comma 2 2 2 2 2 3 3 4" xfId="7895"/>
    <cellStyle name="Comma 2 2 2 2 2 3 3 4 2" xfId="42553"/>
    <cellStyle name="Comma 2 2 2 2 2 3 3 4 3" xfId="36129"/>
    <cellStyle name="Comma 2 2 2 2 2 3 3 5" xfId="20886"/>
    <cellStyle name="Comma 2 2 2 2 2 3 3 5 2" xfId="39346"/>
    <cellStyle name="Comma 2 2 2 2 2 3 3 6" xfId="21959"/>
    <cellStyle name="Comma 2 2 2 2 2 3 3 7" xfId="23124"/>
    <cellStyle name="Comma 2 2 2 2 2 3 3 8" xfId="26281"/>
    <cellStyle name="Comma 2 2 2 2 2 3 3 9" xfId="29614"/>
    <cellStyle name="Comma 2 2 2 2 2 3 4" xfId="697"/>
    <cellStyle name="Comma 2 2 2 2 2 3 4 10" xfId="32923"/>
    <cellStyle name="Comma 2 2 2 2 2 3 4 2" xfId="9468"/>
    <cellStyle name="Comma 2 2 2 2 2 3 4 2 2" xfId="25268"/>
    <cellStyle name="Comma 2 2 2 2 2 3 4 2 2 2" xfId="44695"/>
    <cellStyle name="Comma 2 2 2 2 2 3 4 2 2 3" xfId="38272"/>
    <cellStyle name="Comma 2 2 2 2 2 3 4 2 3" xfId="27446"/>
    <cellStyle name="Comma 2 2 2 2 2 3 4 2 3 2" xfId="41488"/>
    <cellStyle name="Comma 2 2 2 2 2 3 4 2 4" xfId="30781"/>
    <cellStyle name="Comma 2 2 2 2 2 3 4 2 5" xfId="35064"/>
    <cellStyle name="Comma 2 2 2 2 2 3 4 3" xfId="15080"/>
    <cellStyle name="Comma 2 2 2 2 2 3 4 3 2" xfId="24093"/>
    <cellStyle name="Comma 2 2 2 2 2 3 4 3 2 2" xfId="43522"/>
    <cellStyle name="Comma 2 2 2 2 2 3 4 3 2 3" xfId="37099"/>
    <cellStyle name="Comma 2 2 2 2 2 3 4 3 3" xfId="28416"/>
    <cellStyle name="Comma 2 2 2 2 2 3 4 3 3 2" xfId="40315"/>
    <cellStyle name="Comma 2 2 2 2 2 3 4 3 4" xfId="31751"/>
    <cellStyle name="Comma 2 2 2 2 2 3 4 3 5" xfId="33891"/>
    <cellStyle name="Comma 2 2 2 2 2 3 4 4" xfId="7896"/>
    <cellStyle name="Comma 2 2 2 2 2 3 4 4 2" xfId="42554"/>
    <cellStyle name="Comma 2 2 2 2 2 3 4 4 3" xfId="36130"/>
    <cellStyle name="Comma 2 2 2 2 2 3 4 5" xfId="20887"/>
    <cellStyle name="Comma 2 2 2 2 2 3 4 5 2" xfId="39347"/>
    <cellStyle name="Comma 2 2 2 2 2 3 4 6" xfId="21960"/>
    <cellStyle name="Comma 2 2 2 2 2 3 4 7" xfId="23125"/>
    <cellStyle name="Comma 2 2 2 2 2 3 4 8" xfId="26282"/>
    <cellStyle name="Comma 2 2 2 2 2 3 4 9" xfId="29615"/>
    <cellStyle name="Comma 2 2 2 2 2 3 5" xfId="698"/>
    <cellStyle name="Comma 2 2 2 2 2 3 5 10" xfId="32924"/>
    <cellStyle name="Comma 2 2 2 2 2 3 5 2" xfId="9469"/>
    <cellStyle name="Comma 2 2 2 2 2 3 5 2 2" xfId="25269"/>
    <cellStyle name="Comma 2 2 2 2 2 3 5 2 2 2" xfId="44696"/>
    <cellStyle name="Comma 2 2 2 2 2 3 5 2 2 3" xfId="38273"/>
    <cellStyle name="Comma 2 2 2 2 2 3 5 2 3" xfId="27447"/>
    <cellStyle name="Comma 2 2 2 2 2 3 5 2 3 2" xfId="41489"/>
    <cellStyle name="Comma 2 2 2 2 2 3 5 2 4" xfId="30782"/>
    <cellStyle name="Comma 2 2 2 2 2 3 5 2 5" xfId="35065"/>
    <cellStyle name="Comma 2 2 2 2 2 3 5 3" xfId="15081"/>
    <cellStyle name="Comma 2 2 2 2 2 3 5 3 2" xfId="24094"/>
    <cellStyle name="Comma 2 2 2 2 2 3 5 3 2 2" xfId="43523"/>
    <cellStyle name="Comma 2 2 2 2 2 3 5 3 2 3" xfId="37100"/>
    <cellStyle name="Comma 2 2 2 2 2 3 5 3 3" xfId="28417"/>
    <cellStyle name="Comma 2 2 2 2 2 3 5 3 3 2" xfId="40316"/>
    <cellStyle name="Comma 2 2 2 2 2 3 5 3 4" xfId="31752"/>
    <cellStyle name="Comma 2 2 2 2 2 3 5 3 5" xfId="33892"/>
    <cellStyle name="Comma 2 2 2 2 2 3 5 4" xfId="7897"/>
    <cellStyle name="Comma 2 2 2 2 2 3 5 4 2" xfId="42555"/>
    <cellStyle name="Comma 2 2 2 2 2 3 5 4 3" xfId="36131"/>
    <cellStyle name="Comma 2 2 2 2 2 3 5 5" xfId="20888"/>
    <cellStyle name="Comma 2 2 2 2 2 3 5 5 2" xfId="39348"/>
    <cellStyle name="Comma 2 2 2 2 2 3 5 6" xfId="21961"/>
    <cellStyle name="Comma 2 2 2 2 2 3 5 7" xfId="23126"/>
    <cellStyle name="Comma 2 2 2 2 2 3 5 8" xfId="26283"/>
    <cellStyle name="Comma 2 2 2 2 2 3 5 9" xfId="29616"/>
    <cellStyle name="Comma 2 2 2 2 2 3 6" xfId="699"/>
    <cellStyle name="Comma 2 2 2 2 2 3 6 10" xfId="32925"/>
    <cellStyle name="Comma 2 2 2 2 2 3 6 2" xfId="9470"/>
    <cellStyle name="Comma 2 2 2 2 2 3 6 2 2" xfId="25270"/>
    <cellStyle name="Comma 2 2 2 2 2 3 6 2 2 2" xfId="44697"/>
    <cellStyle name="Comma 2 2 2 2 2 3 6 2 2 3" xfId="38274"/>
    <cellStyle name="Comma 2 2 2 2 2 3 6 2 3" xfId="27448"/>
    <cellStyle name="Comma 2 2 2 2 2 3 6 2 3 2" xfId="41490"/>
    <cellStyle name="Comma 2 2 2 2 2 3 6 2 4" xfId="30783"/>
    <cellStyle name="Comma 2 2 2 2 2 3 6 2 5" xfId="35066"/>
    <cellStyle name="Comma 2 2 2 2 2 3 6 3" xfId="15082"/>
    <cellStyle name="Comma 2 2 2 2 2 3 6 3 2" xfId="24095"/>
    <cellStyle name="Comma 2 2 2 2 2 3 6 3 2 2" xfId="43524"/>
    <cellStyle name="Comma 2 2 2 2 2 3 6 3 2 3" xfId="37101"/>
    <cellStyle name="Comma 2 2 2 2 2 3 6 3 3" xfId="28418"/>
    <cellStyle name="Comma 2 2 2 2 2 3 6 3 3 2" xfId="40317"/>
    <cellStyle name="Comma 2 2 2 2 2 3 6 3 4" xfId="31753"/>
    <cellStyle name="Comma 2 2 2 2 2 3 6 3 5" xfId="33893"/>
    <cellStyle name="Comma 2 2 2 2 2 3 6 4" xfId="7898"/>
    <cellStyle name="Comma 2 2 2 2 2 3 6 4 2" xfId="42556"/>
    <cellStyle name="Comma 2 2 2 2 2 3 6 4 3" xfId="36132"/>
    <cellStyle name="Comma 2 2 2 2 2 3 6 5" xfId="20889"/>
    <cellStyle name="Comma 2 2 2 2 2 3 6 5 2" xfId="39349"/>
    <cellStyle name="Comma 2 2 2 2 2 3 6 6" xfId="21962"/>
    <cellStyle name="Comma 2 2 2 2 2 3 6 7" xfId="23127"/>
    <cellStyle name="Comma 2 2 2 2 2 3 6 8" xfId="26284"/>
    <cellStyle name="Comma 2 2 2 2 2 3 6 9" xfId="29617"/>
    <cellStyle name="Comma 2 2 2 2 2 3 7" xfId="9105"/>
    <cellStyle name="Comma 2 2 2 2 2 3 7 2" xfId="25159"/>
    <cellStyle name="Comma 2 2 2 2 2 3 7 2 2" xfId="44586"/>
    <cellStyle name="Comma 2 2 2 2 2 3 7 2 3" xfId="38163"/>
    <cellStyle name="Comma 2 2 2 2 2 3 7 3" xfId="27338"/>
    <cellStyle name="Comma 2 2 2 2 2 3 7 3 2" xfId="41379"/>
    <cellStyle name="Comma 2 2 2 2 2 3 7 4" xfId="30673"/>
    <cellStyle name="Comma 2 2 2 2 2 3 7 5" xfId="34955"/>
    <cellStyle name="Comma 2 2 2 2 2 3 8" xfId="15077"/>
    <cellStyle name="Comma 2 2 2 2 2 3 8 2" xfId="24090"/>
    <cellStyle name="Comma 2 2 2 2 2 3 8 2 2" xfId="43519"/>
    <cellStyle name="Comma 2 2 2 2 2 3 8 2 3" xfId="37096"/>
    <cellStyle name="Comma 2 2 2 2 2 3 8 3" xfId="28413"/>
    <cellStyle name="Comma 2 2 2 2 2 3 8 3 2" xfId="40312"/>
    <cellStyle name="Comma 2 2 2 2 2 3 8 4" xfId="31748"/>
    <cellStyle name="Comma 2 2 2 2 2 3 8 5" xfId="33888"/>
    <cellStyle name="Comma 2 2 2 2 2 3 9" xfId="7893"/>
    <cellStyle name="Comma 2 2 2 2 2 3 9 2" xfId="42449"/>
    <cellStyle name="Comma 2 2 2 2 2 3 9 3" xfId="36025"/>
    <cellStyle name="Comma 2 2 2 2 2 4" xfId="700"/>
    <cellStyle name="Comma 2 2 2 2 2 4 10" xfId="21963"/>
    <cellStyle name="Comma 2 2 2 2 2 4 11" xfId="23128"/>
    <cellStyle name="Comma 2 2 2 2 2 4 12" xfId="26285"/>
    <cellStyle name="Comma 2 2 2 2 2 4 13" xfId="29618"/>
    <cellStyle name="Comma 2 2 2 2 2 4 14" xfId="32926"/>
    <cellStyle name="Comma 2 2 2 2 2 4 2" xfId="701"/>
    <cellStyle name="Comma 2 2 2 2 2 4 2 10" xfId="32927"/>
    <cellStyle name="Comma 2 2 2 2 2 4 2 2" xfId="9472"/>
    <cellStyle name="Comma 2 2 2 2 2 4 2 2 2" xfId="25272"/>
    <cellStyle name="Comma 2 2 2 2 2 4 2 2 2 2" xfId="44699"/>
    <cellStyle name="Comma 2 2 2 2 2 4 2 2 2 3" xfId="38276"/>
    <cellStyle name="Comma 2 2 2 2 2 4 2 2 3" xfId="27450"/>
    <cellStyle name="Comma 2 2 2 2 2 4 2 2 3 2" xfId="41492"/>
    <cellStyle name="Comma 2 2 2 2 2 4 2 2 4" xfId="30785"/>
    <cellStyle name="Comma 2 2 2 2 2 4 2 2 5" xfId="35068"/>
    <cellStyle name="Comma 2 2 2 2 2 4 2 3" xfId="15084"/>
    <cellStyle name="Comma 2 2 2 2 2 4 2 3 2" xfId="24097"/>
    <cellStyle name="Comma 2 2 2 2 2 4 2 3 2 2" xfId="43526"/>
    <cellStyle name="Comma 2 2 2 2 2 4 2 3 2 3" xfId="37103"/>
    <cellStyle name="Comma 2 2 2 2 2 4 2 3 3" xfId="28420"/>
    <cellStyle name="Comma 2 2 2 2 2 4 2 3 3 2" xfId="40319"/>
    <cellStyle name="Comma 2 2 2 2 2 4 2 3 4" xfId="31755"/>
    <cellStyle name="Comma 2 2 2 2 2 4 2 3 5" xfId="33895"/>
    <cellStyle name="Comma 2 2 2 2 2 4 2 4" xfId="7900"/>
    <cellStyle name="Comma 2 2 2 2 2 4 2 4 2" xfId="42558"/>
    <cellStyle name="Comma 2 2 2 2 2 4 2 4 3" xfId="36134"/>
    <cellStyle name="Comma 2 2 2 2 2 4 2 5" xfId="20891"/>
    <cellStyle name="Comma 2 2 2 2 2 4 2 5 2" xfId="39351"/>
    <cellStyle name="Comma 2 2 2 2 2 4 2 6" xfId="21964"/>
    <cellStyle name="Comma 2 2 2 2 2 4 2 7" xfId="23129"/>
    <cellStyle name="Comma 2 2 2 2 2 4 2 8" xfId="26286"/>
    <cellStyle name="Comma 2 2 2 2 2 4 2 9" xfId="29619"/>
    <cellStyle name="Comma 2 2 2 2 2 4 3" xfId="702"/>
    <cellStyle name="Comma 2 2 2 2 2 4 3 10" xfId="32928"/>
    <cellStyle name="Comma 2 2 2 2 2 4 3 2" xfId="9473"/>
    <cellStyle name="Comma 2 2 2 2 2 4 3 2 2" xfId="25273"/>
    <cellStyle name="Comma 2 2 2 2 2 4 3 2 2 2" xfId="44700"/>
    <cellStyle name="Comma 2 2 2 2 2 4 3 2 2 3" xfId="38277"/>
    <cellStyle name="Comma 2 2 2 2 2 4 3 2 3" xfId="27451"/>
    <cellStyle name="Comma 2 2 2 2 2 4 3 2 3 2" xfId="41493"/>
    <cellStyle name="Comma 2 2 2 2 2 4 3 2 4" xfId="30786"/>
    <cellStyle name="Comma 2 2 2 2 2 4 3 2 5" xfId="35069"/>
    <cellStyle name="Comma 2 2 2 2 2 4 3 3" xfId="15085"/>
    <cellStyle name="Comma 2 2 2 2 2 4 3 3 2" xfId="24098"/>
    <cellStyle name="Comma 2 2 2 2 2 4 3 3 2 2" xfId="43527"/>
    <cellStyle name="Comma 2 2 2 2 2 4 3 3 2 3" xfId="37104"/>
    <cellStyle name="Comma 2 2 2 2 2 4 3 3 3" xfId="28421"/>
    <cellStyle name="Comma 2 2 2 2 2 4 3 3 3 2" xfId="40320"/>
    <cellStyle name="Comma 2 2 2 2 2 4 3 3 4" xfId="31756"/>
    <cellStyle name="Comma 2 2 2 2 2 4 3 3 5" xfId="33896"/>
    <cellStyle name="Comma 2 2 2 2 2 4 3 4" xfId="7901"/>
    <cellStyle name="Comma 2 2 2 2 2 4 3 4 2" xfId="42559"/>
    <cellStyle name="Comma 2 2 2 2 2 4 3 4 3" xfId="36135"/>
    <cellStyle name="Comma 2 2 2 2 2 4 3 5" xfId="20892"/>
    <cellStyle name="Comma 2 2 2 2 2 4 3 5 2" xfId="39352"/>
    <cellStyle name="Comma 2 2 2 2 2 4 3 6" xfId="21965"/>
    <cellStyle name="Comma 2 2 2 2 2 4 3 7" xfId="23130"/>
    <cellStyle name="Comma 2 2 2 2 2 4 3 8" xfId="26287"/>
    <cellStyle name="Comma 2 2 2 2 2 4 3 9" xfId="29620"/>
    <cellStyle name="Comma 2 2 2 2 2 4 4" xfId="703"/>
    <cellStyle name="Comma 2 2 2 2 2 4 4 10" xfId="32929"/>
    <cellStyle name="Comma 2 2 2 2 2 4 4 2" xfId="9474"/>
    <cellStyle name="Comma 2 2 2 2 2 4 4 2 2" xfId="25274"/>
    <cellStyle name="Comma 2 2 2 2 2 4 4 2 2 2" xfId="44701"/>
    <cellStyle name="Comma 2 2 2 2 2 4 4 2 2 3" xfId="38278"/>
    <cellStyle name="Comma 2 2 2 2 2 4 4 2 3" xfId="27452"/>
    <cellStyle name="Comma 2 2 2 2 2 4 4 2 3 2" xfId="41494"/>
    <cellStyle name="Comma 2 2 2 2 2 4 4 2 4" xfId="30787"/>
    <cellStyle name="Comma 2 2 2 2 2 4 4 2 5" xfId="35070"/>
    <cellStyle name="Comma 2 2 2 2 2 4 4 3" xfId="15086"/>
    <cellStyle name="Comma 2 2 2 2 2 4 4 3 2" xfId="24099"/>
    <cellStyle name="Comma 2 2 2 2 2 4 4 3 2 2" xfId="43528"/>
    <cellStyle name="Comma 2 2 2 2 2 4 4 3 2 3" xfId="37105"/>
    <cellStyle name="Comma 2 2 2 2 2 4 4 3 3" xfId="28422"/>
    <cellStyle name="Comma 2 2 2 2 2 4 4 3 3 2" xfId="40321"/>
    <cellStyle name="Comma 2 2 2 2 2 4 4 3 4" xfId="31757"/>
    <cellStyle name="Comma 2 2 2 2 2 4 4 3 5" xfId="33897"/>
    <cellStyle name="Comma 2 2 2 2 2 4 4 4" xfId="7902"/>
    <cellStyle name="Comma 2 2 2 2 2 4 4 4 2" xfId="42560"/>
    <cellStyle name="Comma 2 2 2 2 2 4 4 4 3" xfId="36136"/>
    <cellStyle name="Comma 2 2 2 2 2 4 4 5" xfId="20893"/>
    <cellStyle name="Comma 2 2 2 2 2 4 4 5 2" xfId="39353"/>
    <cellStyle name="Comma 2 2 2 2 2 4 4 6" xfId="21966"/>
    <cellStyle name="Comma 2 2 2 2 2 4 4 7" xfId="23131"/>
    <cellStyle name="Comma 2 2 2 2 2 4 4 8" xfId="26288"/>
    <cellStyle name="Comma 2 2 2 2 2 4 4 9" xfId="29621"/>
    <cellStyle name="Comma 2 2 2 2 2 4 5" xfId="704"/>
    <cellStyle name="Comma 2 2 2 2 2 4 5 10" xfId="32930"/>
    <cellStyle name="Comma 2 2 2 2 2 4 5 2" xfId="9475"/>
    <cellStyle name="Comma 2 2 2 2 2 4 5 2 2" xfId="25275"/>
    <cellStyle name="Comma 2 2 2 2 2 4 5 2 2 2" xfId="44702"/>
    <cellStyle name="Comma 2 2 2 2 2 4 5 2 2 3" xfId="38279"/>
    <cellStyle name="Comma 2 2 2 2 2 4 5 2 3" xfId="27453"/>
    <cellStyle name="Comma 2 2 2 2 2 4 5 2 3 2" xfId="41495"/>
    <cellStyle name="Comma 2 2 2 2 2 4 5 2 4" xfId="30788"/>
    <cellStyle name="Comma 2 2 2 2 2 4 5 2 5" xfId="35071"/>
    <cellStyle name="Comma 2 2 2 2 2 4 5 3" xfId="15087"/>
    <cellStyle name="Comma 2 2 2 2 2 4 5 3 2" xfId="24100"/>
    <cellStyle name="Comma 2 2 2 2 2 4 5 3 2 2" xfId="43529"/>
    <cellStyle name="Comma 2 2 2 2 2 4 5 3 2 3" xfId="37106"/>
    <cellStyle name="Comma 2 2 2 2 2 4 5 3 3" xfId="28423"/>
    <cellStyle name="Comma 2 2 2 2 2 4 5 3 3 2" xfId="40322"/>
    <cellStyle name="Comma 2 2 2 2 2 4 5 3 4" xfId="31758"/>
    <cellStyle name="Comma 2 2 2 2 2 4 5 3 5" xfId="33898"/>
    <cellStyle name="Comma 2 2 2 2 2 4 5 4" xfId="7903"/>
    <cellStyle name="Comma 2 2 2 2 2 4 5 4 2" xfId="42561"/>
    <cellStyle name="Comma 2 2 2 2 2 4 5 4 3" xfId="36137"/>
    <cellStyle name="Comma 2 2 2 2 2 4 5 5" xfId="20894"/>
    <cellStyle name="Comma 2 2 2 2 2 4 5 5 2" xfId="39354"/>
    <cellStyle name="Comma 2 2 2 2 2 4 5 6" xfId="21967"/>
    <cellStyle name="Comma 2 2 2 2 2 4 5 7" xfId="23132"/>
    <cellStyle name="Comma 2 2 2 2 2 4 5 8" xfId="26289"/>
    <cellStyle name="Comma 2 2 2 2 2 4 5 9" xfId="29622"/>
    <cellStyle name="Comma 2 2 2 2 2 4 6" xfId="9471"/>
    <cellStyle name="Comma 2 2 2 2 2 4 6 2" xfId="25271"/>
    <cellStyle name="Comma 2 2 2 2 2 4 6 2 2" xfId="44698"/>
    <cellStyle name="Comma 2 2 2 2 2 4 6 2 3" xfId="38275"/>
    <cellStyle name="Comma 2 2 2 2 2 4 6 3" xfId="27449"/>
    <cellStyle name="Comma 2 2 2 2 2 4 6 3 2" xfId="41491"/>
    <cellStyle name="Comma 2 2 2 2 2 4 6 4" xfId="30784"/>
    <cellStyle name="Comma 2 2 2 2 2 4 6 5" xfId="35067"/>
    <cellStyle name="Comma 2 2 2 2 2 4 7" xfId="15083"/>
    <cellStyle name="Comma 2 2 2 2 2 4 7 2" xfId="24096"/>
    <cellStyle name="Comma 2 2 2 2 2 4 7 2 2" xfId="43525"/>
    <cellStyle name="Comma 2 2 2 2 2 4 7 2 3" xfId="37102"/>
    <cellStyle name="Comma 2 2 2 2 2 4 7 3" xfId="28419"/>
    <cellStyle name="Comma 2 2 2 2 2 4 7 3 2" xfId="40318"/>
    <cellStyle name="Comma 2 2 2 2 2 4 7 4" xfId="31754"/>
    <cellStyle name="Comma 2 2 2 2 2 4 7 5" xfId="33894"/>
    <cellStyle name="Comma 2 2 2 2 2 4 8" xfId="7899"/>
    <cellStyle name="Comma 2 2 2 2 2 4 8 2" xfId="42557"/>
    <cellStyle name="Comma 2 2 2 2 2 4 8 3" xfId="36133"/>
    <cellStyle name="Comma 2 2 2 2 2 4 9" xfId="20890"/>
    <cellStyle name="Comma 2 2 2 2 2 4 9 2" xfId="39350"/>
    <cellStyle name="Comma 2 2 2 2 2 5" xfId="705"/>
    <cellStyle name="Comma 2 2 2 2 2 5 10" xfId="21968"/>
    <cellStyle name="Comma 2 2 2 2 2 5 11" xfId="23133"/>
    <cellStyle name="Comma 2 2 2 2 2 5 12" xfId="26290"/>
    <cellStyle name="Comma 2 2 2 2 2 5 13" xfId="29623"/>
    <cellStyle name="Comma 2 2 2 2 2 5 14" xfId="32931"/>
    <cellStyle name="Comma 2 2 2 2 2 5 2" xfId="706"/>
    <cellStyle name="Comma 2 2 2 2 2 5 2 10" xfId="32932"/>
    <cellStyle name="Comma 2 2 2 2 2 5 2 2" xfId="9477"/>
    <cellStyle name="Comma 2 2 2 2 2 5 2 2 2" xfId="25277"/>
    <cellStyle name="Comma 2 2 2 2 2 5 2 2 2 2" xfId="44704"/>
    <cellStyle name="Comma 2 2 2 2 2 5 2 2 2 3" xfId="38281"/>
    <cellStyle name="Comma 2 2 2 2 2 5 2 2 3" xfId="27455"/>
    <cellStyle name="Comma 2 2 2 2 2 5 2 2 3 2" xfId="41497"/>
    <cellStyle name="Comma 2 2 2 2 2 5 2 2 4" xfId="30790"/>
    <cellStyle name="Comma 2 2 2 2 2 5 2 2 5" xfId="35073"/>
    <cellStyle name="Comma 2 2 2 2 2 5 2 3" xfId="15089"/>
    <cellStyle name="Comma 2 2 2 2 2 5 2 3 2" xfId="24102"/>
    <cellStyle name="Comma 2 2 2 2 2 5 2 3 2 2" xfId="43531"/>
    <cellStyle name="Comma 2 2 2 2 2 5 2 3 2 3" xfId="37108"/>
    <cellStyle name="Comma 2 2 2 2 2 5 2 3 3" xfId="28425"/>
    <cellStyle name="Comma 2 2 2 2 2 5 2 3 3 2" xfId="40324"/>
    <cellStyle name="Comma 2 2 2 2 2 5 2 3 4" xfId="31760"/>
    <cellStyle name="Comma 2 2 2 2 2 5 2 3 5" xfId="33900"/>
    <cellStyle name="Comma 2 2 2 2 2 5 2 4" xfId="7905"/>
    <cellStyle name="Comma 2 2 2 2 2 5 2 4 2" xfId="42563"/>
    <cellStyle name="Comma 2 2 2 2 2 5 2 4 3" xfId="36139"/>
    <cellStyle name="Comma 2 2 2 2 2 5 2 5" xfId="20896"/>
    <cellStyle name="Comma 2 2 2 2 2 5 2 5 2" xfId="39356"/>
    <cellStyle name="Comma 2 2 2 2 2 5 2 6" xfId="21969"/>
    <cellStyle name="Comma 2 2 2 2 2 5 2 7" xfId="23134"/>
    <cellStyle name="Comma 2 2 2 2 2 5 2 8" xfId="26291"/>
    <cellStyle name="Comma 2 2 2 2 2 5 2 9" xfId="29624"/>
    <cellStyle name="Comma 2 2 2 2 2 5 3" xfId="707"/>
    <cellStyle name="Comma 2 2 2 2 2 5 3 10" xfId="32933"/>
    <cellStyle name="Comma 2 2 2 2 2 5 3 2" xfId="9478"/>
    <cellStyle name="Comma 2 2 2 2 2 5 3 2 2" xfId="25278"/>
    <cellStyle name="Comma 2 2 2 2 2 5 3 2 2 2" xfId="44705"/>
    <cellStyle name="Comma 2 2 2 2 2 5 3 2 2 3" xfId="38282"/>
    <cellStyle name="Comma 2 2 2 2 2 5 3 2 3" xfId="27456"/>
    <cellStyle name="Comma 2 2 2 2 2 5 3 2 3 2" xfId="41498"/>
    <cellStyle name="Comma 2 2 2 2 2 5 3 2 4" xfId="30791"/>
    <cellStyle name="Comma 2 2 2 2 2 5 3 2 5" xfId="35074"/>
    <cellStyle name="Comma 2 2 2 2 2 5 3 3" xfId="15090"/>
    <cellStyle name="Comma 2 2 2 2 2 5 3 3 2" xfId="24103"/>
    <cellStyle name="Comma 2 2 2 2 2 5 3 3 2 2" xfId="43532"/>
    <cellStyle name="Comma 2 2 2 2 2 5 3 3 2 3" xfId="37109"/>
    <cellStyle name="Comma 2 2 2 2 2 5 3 3 3" xfId="28426"/>
    <cellStyle name="Comma 2 2 2 2 2 5 3 3 3 2" xfId="40325"/>
    <cellStyle name="Comma 2 2 2 2 2 5 3 3 4" xfId="31761"/>
    <cellStyle name="Comma 2 2 2 2 2 5 3 3 5" xfId="33901"/>
    <cellStyle name="Comma 2 2 2 2 2 5 3 4" xfId="7906"/>
    <cellStyle name="Comma 2 2 2 2 2 5 3 4 2" xfId="42564"/>
    <cellStyle name="Comma 2 2 2 2 2 5 3 4 3" xfId="36140"/>
    <cellStyle name="Comma 2 2 2 2 2 5 3 5" xfId="20897"/>
    <cellStyle name="Comma 2 2 2 2 2 5 3 5 2" xfId="39357"/>
    <cellStyle name="Comma 2 2 2 2 2 5 3 6" xfId="21970"/>
    <cellStyle name="Comma 2 2 2 2 2 5 3 7" xfId="23135"/>
    <cellStyle name="Comma 2 2 2 2 2 5 3 8" xfId="26292"/>
    <cellStyle name="Comma 2 2 2 2 2 5 3 9" xfId="29625"/>
    <cellStyle name="Comma 2 2 2 2 2 5 4" xfId="708"/>
    <cellStyle name="Comma 2 2 2 2 2 5 4 10" xfId="32934"/>
    <cellStyle name="Comma 2 2 2 2 2 5 4 2" xfId="9479"/>
    <cellStyle name="Comma 2 2 2 2 2 5 4 2 2" xfId="25279"/>
    <cellStyle name="Comma 2 2 2 2 2 5 4 2 2 2" xfId="44706"/>
    <cellStyle name="Comma 2 2 2 2 2 5 4 2 2 3" xfId="38283"/>
    <cellStyle name="Comma 2 2 2 2 2 5 4 2 3" xfId="27457"/>
    <cellStyle name="Comma 2 2 2 2 2 5 4 2 3 2" xfId="41499"/>
    <cellStyle name="Comma 2 2 2 2 2 5 4 2 4" xfId="30792"/>
    <cellStyle name="Comma 2 2 2 2 2 5 4 2 5" xfId="35075"/>
    <cellStyle name="Comma 2 2 2 2 2 5 4 3" xfId="15091"/>
    <cellStyle name="Comma 2 2 2 2 2 5 4 3 2" xfId="24104"/>
    <cellStyle name="Comma 2 2 2 2 2 5 4 3 2 2" xfId="43533"/>
    <cellStyle name="Comma 2 2 2 2 2 5 4 3 2 3" xfId="37110"/>
    <cellStyle name="Comma 2 2 2 2 2 5 4 3 3" xfId="28427"/>
    <cellStyle name="Comma 2 2 2 2 2 5 4 3 3 2" xfId="40326"/>
    <cellStyle name="Comma 2 2 2 2 2 5 4 3 4" xfId="31762"/>
    <cellStyle name="Comma 2 2 2 2 2 5 4 3 5" xfId="33902"/>
    <cellStyle name="Comma 2 2 2 2 2 5 4 4" xfId="7907"/>
    <cellStyle name="Comma 2 2 2 2 2 5 4 4 2" xfId="42565"/>
    <cellStyle name="Comma 2 2 2 2 2 5 4 4 3" xfId="36141"/>
    <cellStyle name="Comma 2 2 2 2 2 5 4 5" xfId="20898"/>
    <cellStyle name="Comma 2 2 2 2 2 5 4 5 2" xfId="39358"/>
    <cellStyle name="Comma 2 2 2 2 2 5 4 6" xfId="21971"/>
    <cellStyle name="Comma 2 2 2 2 2 5 4 7" xfId="23136"/>
    <cellStyle name="Comma 2 2 2 2 2 5 4 8" xfId="26293"/>
    <cellStyle name="Comma 2 2 2 2 2 5 4 9" xfId="29626"/>
    <cellStyle name="Comma 2 2 2 2 2 5 5" xfId="709"/>
    <cellStyle name="Comma 2 2 2 2 2 5 5 10" xfId="32935"/>
    <cellStyle name="Comma 2 2 2 2 2 5 5 2" xfId="9480"/>
    <cellStyle name="Comma 2 2 2 2 2 5 5 2 2" xfId="25280"/>
    <cellStyle name="Comma 2 2 2 2 2 5 5 2 2 2" xfId="44707"/>
    <cellStyle name="Comma 2 2 2 2 2 5 5 2 2 3" xfId="38284"/>
    <cellStyle name="Comma 2 2 2 2 2 5 5 2 3" xfId="27458"/>
    <cellStyle name="Comma 2 2 2 2 2 5 5 2 3 2" xfId="41500"/>
    <cellStyle name="Comma 2 2 2 2 2 5 5 2 4" xfId="30793"/>
    <cellStyle name="Comma 2 2 2 2 2 5 5 2 5" xfId="35076"/>
    <cellStyle name="Comma 2 2 2 2 2 5 5 3" xfId="15092"/>
    <cellStyle name="Comma 2 2 2 2 2 5 5 3 2" xfId="24105"/>
    <cellStyle name="Comma 2 2 2 2 2 5 5 3 2 2" xfId="43534"/>
    <cellStyle name="Comma 2 2 2 2 2 5 5 3 2 3" xfId="37111"/>
    <cellStyle name="Comma 2 2 2 2 2 5 5 3 3" xfId="28428"/>
    <cellStyle name="Comma 2 2 2 2 2 5 5 3 3 2" xfId="40327"/>
    <cellStyle name="Comma 2 2 2 2 2 5 5 3 4" xfId="31763"/>
    <cellStyle name="Comma 2 2 2 2 2 5 5 3 5" xfId="33903"/>
    <cellStyle name="Comma 2 2 2 2 2 5 5 4" xfId="7908"/>
    <cellStyle name="Comma 2 2 2 2 2 5 5 4 2" xfId="42566"/>
    <cellStyle name="Comma 2 2 2 2 2 5 5 4 3" xfId="36142"/>
    <cellStyle name="Comma 2 2 2 2 2 5 5 5" xfId="20899"/>
    <cellStyle name="Comma 2 2 2 2 2 5 5 5 2" xfId="39359"/>
    <cellStyle name="Comma 2 2 2 2 2 5 5 6" xfId="21972"/>
    <cellStyle name="Comma 2 2 2 2 2 5 5 7" xfId="23137"/>
    <cellStyle name="Comma 2 2 2 2 2 5 5 8" xfId="26294"/>
    <cellStyle name="Comma 2 2 2 2 2 5 5 9" xfId="29627"/>
    <cellStyle name="Comma 2 2 2 2 2 5 6" xfId="9476"/>
    <cellStyle name="Comma 2 2 2 2 2 5 6 2" xfId="25276"/>
    <cellStyle name="Comma 2 2 2 2 2 5 6 2 2" xfId="44703"/>
    <cellStyle name="Comma 2 2 2 2 2 5 6 2 3" xfId="38280"/>
    <cellStyle name="Comma 2 2 2 2 2 5 6 3" xfId="27454"/>
    <cellStyle name="Comma 2 2 2 2 2 5 6 3 2" xfId="41496"/>
    <cellStyle name="Comma 2 2 2 2 2 5 6 4" xfId="30789"/>
    <cellStyle name="Comma 2 2 2 2 2 5 6 5" xfId="35072"/>
    <cellStyle name="Comma 2 2 2 2 2 5 7" xfId="15088"/>
    <cellStyle name="Comma 2 2 2 2 2 5 7 2" xfId="24101"/>
    <cellStyle name="Comma 2 2 2 2 2 5 7 2 2" xfId="43530"/>
    <cellStyle name="Comma 2 2 2 2 2 5 7 2 3" xfId="37107"/>
    <cellStyle name="Comma 2 2 2 2 2 5 7 3" xfId="28424"/>
    <cellStyle name="Comma 2 2 2 2 2 5 7 3 2" xfId="40323"/>
    <cellStyle name="Comma 2 2 2 2 2 5 7 4" xfId="31759"/>
    <cellStyle name="Comma 2 2 2 2 2 5 7 5" xfId="33899"/>
    <cellStyle name="Comma 2 2 2 2 2 5 8" xfId="7904"/>
    <cellStyle name="Comma 2 2 2 2 2 5 8 2" xfId="42562"/>
    <cellStyle name="Comma 2 2 2 2 2 5 8 3" xfId="36138"/>
    <cellStyle name="Comma 2 2 2 2 2 5 9" xfId="20895"/>
    <cellStyle name="Comma 2 2 2 2 2 5 9 2" xfId="39355"/>
    <cellStyle name="Comma 2 2 2 2 2 6" xfId="710"/>
    <cellStyle name="Comma 2 2 2 2 2 6 10" xfId="32936"/>
    <cellStyle name="Comma 2 2 2 2 2 6 2" xfId="9481"/>
    <cellStyle name="Comma 2 2 2 2 2 6 2 2" xfId="25281"/>
    <cellStyle name="Comma 2 2 2 2 2 6 2 2 2" xfId="44708"/>
    <cellStyle name="Comma 2 2 2 2 2 6 2 2 3" xfId="38285"/>
    <cellStyle name="Comma 2 2 2 2 2 6 2 3" xfId="27459"/>
    <cellStyle name="Comma 2 2 2 2 2 6 2 3 2" xfId="41501"/>
    <cellStyle name="Comma 2 2 2 2 2 6 2 4" xfId="30794"/>
    <cellStyle name="Comma 2 2 2 2 2 6 2 5" xfId="35077"/>
    <cellStyle name="Comma 2 2 2 2 2 6 3" xfId="15093"/>
    <cellStyle name="Comma 2 2 2 2 2 6 3 2" xfId="24106"/>
    <cellStyle name="Comma 2 2 2 2 2 6 3 2 2" xfId="43535"/>
    <cellStyle name="Comma 2 2 2 2 2 6 3 2 3" xfId="37112"/>
    <cellStyle name="Comma 2 2 2 2 2 6 3 3" xfId="28429"/>
    <cellStyle name="Comma 2 2 2 2 2 6 3 3 2" xfId="40328"/>
    <cellStyle name="Comma 2 2 2 2 2 6 3 4" xfId="31764"/>
    <cellStyle name="Comma 2 2 2 2 2 6 3 5" xfId="33904"/>
    <cellStyle name="Comma 2 2 2 2 2 6 4" xfId="7909"/>
    <cellStyle name="Comma 2 2 2 2 2 6 4 2" xfId="42567"/>
    <cellStyle name="Comma 2 2 2 2 2 6 4 3" xfId="36143"/>
    <cellStyle name="Comma 2 2 2 2 2 6 5" xfId="20900"/>
    <cellStyle name="Comma 2 2 2 2 2 6 5 2" xfId="39360"/>
    <cellStyle name="Comma 2 2 2 2 2 6 6" xfId="21973"/>
    <cellStyle name="Comma 2 2 2 2 2 6 7" xfId="23138"/>
    <cellStyle name="Comma 2 2 2 2 2 6 8" xfId="26295"/>
    <cellStyle name="Comma 2 2 2 2 2 6 9" xfId="29628"/>
    <cellStyle name="Comma 2 2 2 2 2 7" xfId="711"/>
    <cellStyle name="Comma 2 2 2 2 2 7 10" xfId="32937"/>
    <cellStyle name="Comma 2 2 2 2 2 7 2" xfId="9482"/>
    <cellStyle name="Comma 2 2 2 2 2 7 2 2" xfId="25282"/>
    <cellStyle name="Comma 2 2 2 2 2 7 2 2 2" xfId="44709"/>
    <cellStyle name="Comma 2 2 2 2 2 7 2 2 3" xfId="38286"/>
    <cellStyle name="Comma 2 2 2 2 2 7 2 3" xfId="27460"/>
    <cellStyle name="Comma 2 2 2 2 2 7 2 3 2" xfId="41502"/>
    <cellStyle name="Comma 2 2 2 2 2 7 2 4" xfId="30795"/>
    <cellStyle name="Comma 2 2 2 2 2 7 2 5" xfId="35078"/>
    <cellStyle name="Comma 2 2 2 2 2 7 3" xfId="15094"/>
    <cellStyle name="Comma 2 2 2 2 2 7 3 2" xfId="24107"/>
    <cellStyle name="Comma 2 2 2 2 2 7 3 2 2" xfId="43536"/>
    <cellStyle name="Comma 2 2 2 2 2 7 3 2 3" xfId="37113"/>
    <cellStyle name="Comma 2 2 2 2 2 7 3 3" xfId="28430"/>
    <cellStyle name="Comma 2 2 2 2 2 7 3 3 2" xfId="40329"/>
    <cellStyle name="Comma 2 2 2 2 2 7 3 4" xfId="31765"/>
    <cellStyle name="Comma 2 2 2 2 2 7 3 5" xfId="33905"/>
    <cellStyle name="Comma 2 2 2 2 2 7 4" xfId="7910"/>
    <cellStyle name="Comma 2 2 2 2 2 7 4 2" xfId="42568"/>
    <cellStyle name="Comma 2 2 2 2 2 7 4 3" xfId="36144"/>
    <cellStyle name="Comma 2 2 2 2 2 7 5" xfId="20901"/>
    <cellStyle name="Comma 2 2 2 2 2 7 5 2" xfId="39361"/>
    <cellStyle name="Comma 2 2 2 2 2 7 6" xfId="21974"/>
    <cellStyle name="Comma 2 2 2 2 2 7 7" xfId="23139"/>
    <cellStyle name="Comma 2 2 2 2 2 7 8" xfId="26296"/>
    <cellStyle name="Comma 2 2 2 2 2 7 9" xfId="29629"/>
    <cellStyle name="Comma 2 2 2 2 2 8" xfId="712"/>
    <cellStyle name="Comma 2 2 2 2 2 8 10" xfId="32938"/>
    <cellStyle name="Comma 2 2 2 2 2 8 2" xfId="9483"/>
    <cellStyle name="Comma 2 2 2 2 2 8 2 2" xfId="25283"/>
    <cellStyle name="Comma 2 2 2 2 2 8 2 2 2" xfId="44710"/>
    <cellStyle name="Comma 2 2 2 2 2 8 2 2 3" xfId="38287"/>
    <cellStyle name="Comma 2 2 2 2 2 8 2 3" xfId="27461"/>
    <cellStyle name="Comma 2 2 2 2 2 8 2 3 2" xfId="41503"/>
    <cellStyle name="Comma 2 2 2 2 2 8 2 4" xfId="30796"/>
    <cellStyle name="Comma 2 2 2 2 2 8 2 5" xfId="35079"/>
    <cellStyle name="Comma 2 2 2 2 2 8 3" xfId="15095"/>
    <cellStyle name="Comma 2 2 2 2 2 8 3 2" xfId="24108"/>
    <cellStyle name="Comma 2 2 2 2 2 8 3 2 2" xfId="43537"/>
    <cellStyle name="Comma 2 2 2 2 2 8 3 2 3" xfId="37114"/>
    <cellStyle name="Comma 2 2 2 2 2 8 3 3" xfId="28431"/>
    <cellStyle name="Comma 2 2 2 2 2 8 3 3 2" xfId="40330"/>
    <cellStyle name="Comma 2 2 2 2 2 8 3 4" xfId="31766"/>
    <cellStyle name="Comma 2 2 2 2 2 8 3 5" xfId="33906"/>
    <cellStyle name="Comma 2 2 2 2 2 8 4" xfId="7911"/>
    <cellStyle name="Comma 2 2 2 2 2 8 4 2" xfId="42569"/>
    <cellStyle name="Comma 2 2 2 2 2 8 4 3" xfId="36145"/>
    <cellStyle name="Comma 2 2 2 2 2 8 5" xfId="20902"/>
    <cellStyle name="Comma 2 2 2 2 2 8 5 2" xfId="39362"/>
    <cellStyle name="Comma 2 2 2 2 2 8 6" xfId="21975"/>
    <cellStyle name="Comma 2 2 2 2 2 8 7" xfId="23140"/>
    <cellStyle name="Comma 2 2 2 2 2 8 8" xfId="26297"/>
    <cellStyle name="Comma 2 2 2 2 2 8 9" xfId="29630"/>
    <cellStyle name="Comma 2 2 2 2 2 9" xfId="713"/>
    <cellStyle name="Comma 2 2 2 2 2 9 10" xfId="32939"/>
    <cellStyle name="Comma 2 2 2 2 2 9 2" xfId="9484"/>
    <cellStyle name="Comma 2 2 2 2 2 9 2 2" xfId="25284"/>
    <cellStyle name="Comma 2 2 2 2 2 9 2 2 2" xfId="44711"/>
    <cellStyle name="Comma 2 2 2 2 2 9 2 2 3" xfId="38288"/>
    <cellStyle name="Comma 2 2 2 2 2 9 2 3" xfId="27462"/>
    <cellStyle name="Comma 2 2 2 2 2 9 2 3 2" xfId="41504"/>
    <cellStyle name="Comma 2 2 2 2 2 9 2 4" xfId="30797"/>
    <cellStyle name="Comma 2 2 2 2 2 9 2 5" xfId="35080"/>
    <cellStyle name="Comma 2 2 2 2 2 9 3" xfId="15096"/>
    <cellStyle name="Comma 2 2 2 2 2 9 3 2" xfId="24109"/>
    <cellStyle name="Comma 2 2 2 2 2 9 3 2 2" xfId="43538"/>
    <cellStyle name="Comma 2 2 2 2 2 9 3 2 3" xfId="37115"/>
    <cellStyle name="Comma 2 2 2 2 2 9 3 3" xfId="28432"/>
    <cellStyle name="Comma 2 2 2 2 2 9 3 3 2" xfId="40331"/>
    <cellStyle name="Comma 2 2 2 2 2 9 3 4" xfId="31767"/>
    <cellStyle name="Comma 2 2 2 2 2 9 3 5" xfId="33907"/>
    <cellStyle name="Comma 2 2 2 2 2 9 4" xfId="7912"/>
    <cellStyle name="Comma 2 2 2 2 2 9 4 2" xfId="42570"/>
    <cellStyle name="Comma 2 2 2 2 2 9 4 3" xfId="36146"/>
    <cellStyle name="Comma 2 2 2 2 2 9 5" xfId="20903"/>
    <cellStyle name="Comma 2 2 2 2 2 9 5 2" xfId="39363"/>
    <cellStyle name="Comma 2 2 2 2 2 9 6" xfId="21976"/>
    <cellStyle name="Comma 2 2 2 2 2 9 7" xfId="23141"/>
    <cellStyle name="Comma 2 2 2 2 2 9 8" xfId="26298"/>
    <cellStyle name="Comma 2 2 2 2 2 9 9" xfId="29631"/>
    <cellStyle name="Comma 2 2 2 2 20" xfId="32791"/>
    <cellStyle name="Comma 2 2 2 2 3" xfId="176"/>
    <cellStyle name="Comma 2 2 2 2 3 10" xfId="15097"/>
    <cellStyle name="Comma 2 2 2 2 3 10 2" xfId="24110"/>
    <cellStyle name="Comma 2 2 2 2 3 10 2 2" xfId="43539"/>
    <cellStyle name="Comma 2 2 2 2 3 10 2 3" xfId="37116"/>
    <cellStyle name="Comma 2 2 2 2 3 10 3" xfId="28433"/>
    <cellStyle name="Comma 2 2 2 2 3 10 3 2" xfId="40332"/>
    <cellStyle name="Comma 2 2 2 2 3 10 4" xfId="31768"/>
    <cellStyle name="Comma 2 2 2 2 3 10 5" xfId="33908"/>
    <cellStyle name="Comma 2 2 2 2 3 11" xfId="7913"/>
    <cellStyle name="Comma 2 2 2 2 3 11 2" xfId="42406"/>
    <cellStyle name="Comma 2 2 2 2 3 11 3" xfId="35982"/>
    <cellStyle name="Comma 2 2 2 2 3 12" xfId="20904"/>
    <cellStyle name="Comma 2 2 2 2 3 12 2" xfId="39199"/>
    <cellStyle name="Comma 2 2 2 2 3 13" xfId="21977"/>
    <cellStyle name="Comma 2 2 2 2 3 14" xfId="22977"/>
    <cellStyle name="Comma 2 2 2 2 3 15" xfId="26299"/>
    <cellStyle name="Comma 2 2 2 2 3 16" xfId="29632"/>
    <cellStyle name="Comma 2 2 2 2 3 17" xfId="32775"/>
    <cellStyle name="Comma 2 2 2 2 3 2" xfId="189"/>
    <cellStyle name="Comma 2 2 2 2 3 2 10" xfId="20905"/>
    <cellStyle name="Comma 2 2 2 2 3 2 10 2" xfId="39205"/>
    <cellStyle name="Comma 2 2 2 2 3 2 11" xfId="21978"/>
    <cellStyle name="Comma 2 2 2 2 3 2 12" xfId="22983"/>
    <cellStyle name="Comma 2 2 2 2 3 2 13" xfId="26300"/>
    <cellStyle name="Comma 2 2 2 2 3 2 14" xfId="29633"/>
    <cellStyle name="Comma 2 2 2 2 3 2 15" xfId="32781"/>
    <cellStyle name="Comma 2 2 2 2 3 2 2" xfId="714"/>
    <cellStyle name="Comma 2 2 2 2 3 2 2 10" xfId="32940"/>
    <cellStyle name="Comma 2 2 2 2 3 2 2 2" xfId="9485"/>
    <cellStyle name="Comma 2 2 2 2 3 2 2 2 2" xfId="25285"/>
    <cellStyle name="Comma 2 2 2 2 3 2 2 2 2 2" xfId="44712"/>
    <cellStyle name="Comma 2 2 2 2 3 2 2 2 2 3" xfId="38289"/>
    <cellStyle name="Comma 2 2 2 2 3 2 2 2 3" xfId="27463"/>
    <cellStyle name="Comma 2 2 2 2 3 2 2 2 3 2" xfId="41505"/>
    <cellStyle name="Comma 2 2 2 2 3 2 2 2 4" xfId="30798"/>
    <cellStyle name="Comma 2 2 2 2 3 2 2 2 5" xfId="35081"/>
    <cellStyle name="Comma 2 2 2 2 3 2 2 3" xfId="15099"/>
    <cellStyle name="Comma 2 2 2 2 3 2 2 3 2" xfId="24112"/>
    <cellStyle name="Comma 2 2 2 2 3 2 2 3 2 2" xfId="43541"/>
    <cellStyle name="Comma 2 2 2 2 3 2 2 3 2 3" xfId="37118"/>
    <cellStyle name="Comma 2 2 2 2 3 2 2 3 3" xfId="28435"/>
    <cellStyle name="Comma 2 2 2 2 3 2 2 3 3 2" xfId="40334"/>
    <cellStyle name="Comma 2 2 2 2 3 2 2 3 4" xfId="31770"/>
    <cellStyle name="Comma 2 2 2 2 3 2 2 3 5" xfId="33910"/>
    <cellStyle name="Comma 2 2 2 2 3 2 2 4" xfId="7915"/>
    <cellStyle name="Comma 2 2 2 2 3 2 2 4 2" xfId="42571"/>
    <cellStyle name="Comma 2 2 2 2 3 2 2 4 3" xfId="36147"/>
    <cellStyle name="Comma 2 2 2 2 3 2 2 5" xfId="20906"/>
    <cellStyle name="Comma 2 2 2 2 3 2 2 5 2" xfId="39364"/>
    <cellStyle name="Comma 2 2 2 2 3 2 2 6" xfId="21979"/>
    <cellStyle name="Comma 2 2 2 2 3 2 2 7" xfId="23142"/>
    <cellStyle name="Comma 2 2 2 2 3 2 2 8" xfId="26301"/>
    <cellStyle name="Comma 2 2 2 2 3 2 2 9" xfId="29634"/>
    <cellStyle name="Comma 2 2 2 2 3 2 3" xfId="715"/>
    <cellStyle name="Comma 2 2 2 2 3 2 3 10" xfId="32941"/>
    <cellStyle name="Comma 2 2 2 2 3 2 3 2" xfId="9486"/>
    <cellStyle name="Comma 2 2 2 2 3 2 3 2 2" xfId="25286"/>
    <cellStyle name="Comma 2 2 2 2 3 2 3 2 2 2" xfId="44713"/>
    <cellStyle name="Comma 2 2 2 2 3 2 3 2 2 3" xfId="38290"/>
    <cellStyle name="Comma 2 2 2 2 3 2 3 2 3" xfId="27464"/>
    <cellStyle name="Comma 2 2 2 2 3 2 3 2 3 2" xfId="41506"/>
    <cellStyle name="Comma 2 2 2 2 3 2 3 2 4" xfId="30799"/>
    <cellStyle name="Comma 2 2 2 2 3 2 3 2 5" xfId="35082"/>
    <cellStyle name="Comma 2 2 2 2 3 2 3 3" xfId="15100"/>
    <cellStyle name="Comma 2 2 2 2 3 2 3 3 2" xfId="24113"/>
    <cellStyle name="Comma 2 2 2 2 3 2 3 3 2 2" xfId="43542"/>
    <cellStyle name="Comma 2 2 2 2 3 2 3 3 2 3" xfId="37119"/>
    <cellStyle name="Comma 2 2 2 2 3 2 3 3 3" xfId="28436"/>
    <cellStyle name="Comma 2 2 2 2 3 2 3 3 3 2" xfId="40335"/>
    <cellStyle name="Comma 2 2 2 2 3 2 3 3 4" xfId="31771"/>
    <cellStyle name="Comma 2 2 2 2 3 2 3 3 5" xfId="33911"/>
    <cellStyle name="Comma 2 2 2 2 3 2 3 4" xfId="7916"/>
    <cellStyle name="Comma 2 2 2 2 3 2 3 4 2" xfId="42572"/>
    <cellStyle name="Comma 2 2 2 2 3 2 3 4 3" xfId="36148"/>
    <cellStyle name="Comma 2 2 2 2 3 2 3 5" xfId="20907"/>
    <cellStyle name="Comma 2 2 2 2 3 2 3 5 2" xfId="39365"/>
    <cellStyle name="Comma 2 2 2 2 3 2 3 6" xfId="21980"/>
    <cellStyle name="Comma 2 2 2 2 3 2 3 7" xfId="23143"/>
    <cellStyle name="Comma 2 2 2 2 3 2 3 8" xfId="26302"/>
    <cellStyle name="Comma 2 2 2 2 3 2 3 9" xfId="29635"/>
    <cellStyle name="Comma 2 2 2 2 3 2 4" xfId="716"/>
    <cellStyle name="Comma 2 2 2 2 3 2 4 10" xfId="32942"/>
    <cellStyle name="Comma 2 2 2 2 3 2 4 2" xfId="9487"/>
    <cellStyle name="Comma 2 2 2 2 3 2 4 2 2" xfId="25287"/>
    <cellStyle name="Comma 2 2 2 2 3 2 4 2 2 2" xfId="44714"/>
    <cellStyle name="Comma 2 2 2 2 3 2 4 2 2 3" xfId="38291"/>
    <cellStyle name="Comma 2 2 2 2 3 2 4 2 3" xfId="27465"/>
    <cellStyle name="Comma 2 2 2 2 3 2 4 2 3 2" xfId="41507"/>
    <cellStyle name="Comma 2 2 2 2 3 2 4 2 4" xfId="30800"/>
    <cellStyle name="Comma 2 2 2 2 3 2 4 2 5" xfId="35083"/>
    <cellStyle name="Comma 2 2 2 2 3 2 4 3" xfId="15101"/>
    <cellStyle name="Comma 2 2 2 2 3 2 4 3 2" xfId="24114"/>
    <cellStyle name="Comma 2 2 2 2 3 2 4 3 2 2" xfId="43543"/>
    <cellStyle name="Comma 2 2 2 2 3 2 4 3 2 3" xfId="37120"/>
    <cellStyle name="Comma 2 2 2 2 3 2 4 3 3" xfId="28437"/>
    <cellStyle name="Comma 2 2 2 2 3 2 4 3 3 2" xfId="40336"/>
    <cellStyle name="Comma 2 2 2 2 3 2 4 3 4" xfId="31772"/>
    <cellStyle name="Comma 2 2 2 2 3 2 4 3 5" xfId="33912"/>
    <cellStyle name="Comma 2 2 2 2 3 2 4 4" xfId="7917"/>
    <cellStyle name="Comma 2 2 2 2 3 2 4 4 2" xfId="42573"/>
    <cellStyle name="Comma 2 2 2 2 3 2 4 4 3" xfId="36149"/>
    <cellStyle name="Comma 2 2 2 2 3 2 4 5" xfId="20908"/>
    <cellStyle name="Comma 2 2 2 2 3 2 4 5 2" xfId="39366"/>
    <cellStyle name="Comma 2 2 2 2 3 2 4 6" xfId="21981"/>
    <cellStyle name="Comma 2 2 2 2 3 2 4 7" xfId="23144"/>
    <cellStyle name="Comma 2 2 2 2 3 2 4 8" xfId="26303"/>
    <cellStyle name="Comma 2 2 2 2 3 2 4 9" xfId="29636"/>
    <cellStyle name="Comma 2 2 2 2 3 2 5" xfId="717"/>
    <cellStyle name="Comma 2 2 2 2 3 2 5 10" xfId="32943"/>
    <cellStyle name="Comma 2 2 2 2 3 2 5 2" xfId="9488"/>
    <cellStyle name="Comma 2 2 2 2 3 2 5 2 2" xfId="25288"/>
    <cellStyle name="Comma 2 2 2 2 3 2 5 2 2 2" xfId="44715"/>
    <cellStyle name="Comma 2 2 2 2 3 2 5 2 2 3" xfId="38292"/>
    <cellStyle name="Comma 2 2 2 2 3 2 5 2 3" xfId="27466"/>
    <cellStyle name="Comma 2 2 2 2 3 2 5 2 3 2" xfId="41508"/>
    <cellStyle name="Comma 2 2 2 2 3 2 5 2 4" xfId="30801"/>
    <cellStyle name="Comma 2 2 2 2 3 2 5 2 5" xfId="35084"/>
    <cellStyle name="Comma 2 2 2 2 3 2 5 3" xfId="15102"/>
    <cellStyle name="Comma 2 2 2 2 3 2 5 3 2" xfId="24115"/>
    <cellStyle name="Comma 2 2 2 2 3 2 5 3 2 2" xfId="43544"/>
    <cellStyle name="Comma 2 2 2 2 3 2 5 3 2 3" xfId="37121"/>
    <cellStyle name="Comma 2 2 2 2 3 2 5 3 3" xfId="28438"/>
    <cellStyle name="Comma 2 2 2 2 3 2 5 3 3 2" xfId="40337"/>
    <cellStyle name="Comma 2 2 2 2 3 2 5 3 4" xfId="31773"/>
    <cellStyle name="Comma 2 2 2 2 3 2 5 3 5" xfId="33913"/>
    <cellStyle name="Comma 2 2 2 2 3 2 5 4" xfId="7918"/>
    <cellStyle name="Comma 2 2 2 2 3 2 5 4 2" xfId="42574"/>
    <cellStyle name="Comma 2 2 2 2 3 2 5 4 3" xfId="36150"/>
    <cellStyle name="Comma 2 2 2 2 3 2 5 5" xfId="20909"/>
    <cellStyle name="Comma 2 2 2 2 3 2 5 5 2" xfId="39367"/>
    <cellStyle name="Comma 2 2 2 2 3 2 5 6" xfId="21982"/>
    <cellStyle name="Comma 2 2 2 2 3 2 5 7" xfId="23145"/>
    <cellStyle name="Comma 2 2 2 2 3 2 5 8" xfId="26304"/>
    <cellStyle name="Comma 2 2 2 2 3 2 5 9" xfId="29637"/>
    <cellStyle name="Comma 2 2 2 2 3 2 6" xfId="718"/>
    <cellStyle name="Comma 2 2 2 2 3 2 6 10" xfId="32944"/>
    <cellStyle name="Comma 2 2 2 2 3 2 6 2" xfId="9489"/>
    <cellStyle name="Comma 2 2 2 2 3 2 6 2 2" xfId="25289"/>
    <cellStyle name="Comma 2 2 2 2 3 2 6 2 2 2" xfId="44716"/>
    <cellStyle name="Comma 2 2 2 2 3 2 6 2 2 3" xfId="38293"/>
    <cellStyle name="Comma 2 2 2 2 3 2 6 2 3" xfId="27467"/>
    <cellStyle name="Comma 2 2 2 2 3 2 6 2 3 2" xfId="41509"/>
    <cellStyle name="Comma 2 2 2 2 3 2 6 2 4" xfId="30802"/>
    <cellStyle name="Comma 2 2 2 2 3 2 6 2 5" xfId="35085"/>
    <cellStyle name="Comma 2 2 2 2 3 2 6 3" xfId="15103"/>
    <cellStyle name="Comma 2 2 2 2 3 2 6 3 2" xfId="24116"/>
    <cellStyle name="Comma 2 2 2 2 3 2 6 3 2 2" xfId="43545"/>
    <cellStyle name="Comma 2 2 2 2 3 2 6 3 2 3" xfId="37122"/>
    <cellStyle name="Comma 2 2 2 2 3 2 6 3 3" xfId="28439"/>
    <cellStyle name="Comma 2 2 2 2 3 2 6 3 3 2" xfId="40338"/>
    <cellStyle name="Comma 2 2 2 2 3 2 6 3 4" xfId="31774"/>
    <cellStyle name="Comma 2 2 2 2 3 2 6 3 5" xfId="33914"/>
    <cellStyle name="Comma 2 2 2 2 3 2 6 4" xfId="7919"/>
    <cellStyle name="Comma 2 2 2 2 3 2 6 4 2" xfId="42575"/>
    <cellStyle name="Comma 2 2 2 2 3 2 6 4 3" xfId="36151"/>
    <cellStyle name="Comma 2 2 2 2 3 2 6 5" xfId="20910"/>
    <cellStyle name="Comma 2 2 2 2 3 2 6 5 2" xfId="39368"/>
    <cellStyle name="Comma 2 2 2 2 3 2 6 6" xfId="21983"/>
    <cellStyle name="Comma 2 2 2 2 3 2 6 7" xfId="23146"/>
    <cellStyle name="Comma 2 2 2 2 3 2 6 8" xfId="26305"/>
    <cellStyle name="Comma 2 2 2 2 3 2 6 9" xfId="29638"/>
    <cellStyle name="Comma 2 2 2 2 3 2 7" xfId="9066"/>
    <cellStyle name="Comma 2 2 2 2 3 2 7 2" xfId="25122"/>
    <cellStyle name="Comma 2 2 2 2 3 2 7 2 2" xfId="44549"/>
    <cellStyle name="Comma 2 2 2 2 3 2 7 2 3" xfId="38126"/>
    <cellStyle name="Comma 2 2 2 2 3 2 7 3" xfId="27301"/>
    <cellStyle name="Comma 2 2 2 2 3 2 7 3 2" xfId="41342"/>
    <cellStyle name="Comma 2 2 2 2 3 2 7 4" xfId="30636"/>
    <cellStyle name="Comma 2 2 2 2 3 2 7 5" xfId="34918"/>
    <cellStyle name="Comma 2 2 2 2 3 2 8" xfId="15098"/>
    <cellStyle name="Comma 2 2 2 2 3 2 8 2" xfId="24111"/>
    <cellStyle name="Comma 2 2 2 2 3 2 8 2 2" xfId="43540"/>
    <cellStyle name="Comma 2 2 2 2 3 2 8 2 3" xfId="37117"/>
    <cellStyle name="Comma 2 2 2 2 3 2 8 3" xfId="28434"/>
    <cellStyle name="Comma 2 2 2 2 3 2 8 3 2" xfId="40333"/>
    <cellStyle name="Comma 2 2 2 2 3 2 8 4" xfId="31769"/>
    <cellStyle name="Comma 2 2 2 2 3 2 8 5" xfId="33909"/>
    <cellStyle name="Comma 2 2 2 2 3 2 9" xfId="7914"/>
    <cellStyle name="Comma 2 2 2 2 3 2 9 2" xfId="42412"/>
    <cellStyle name="Comma 2 2 2 2 3 2 9 3" xfId="35988"/>
    <cellStyle name="Comma 2 2 2 2 3 3" xfId="719"/>
    <cellStyle name="Comma 2 2 2 2 3 3 10" xfId="21984"/>
    <cellStyle name="Comma 2 2 2 2 3 3 11" xfId="23147"/>
    <cellStyle name="Comma 2 2 2 2 3 3 12" xfId="26306"/>
    <cellStyle name="Comma 2 2 2 2 3 3 13" xfId="29639"/>
    <cellStyle name="Comma 2 2 2 2 3 3 14" xfId="32945"/>
    <cellStyle name="Comma 2 2 2 2 3 3 2" xfId="720"/>
    <cellStyle name="Comma 2 2 2 2 3 3 2 10" xfId="32946"/>
    <cellStyle name="Comma 2 2 2 2 3 3 2 2" xfId="9491"/>
    <cellStyle name="Comma 2 2 2 2 3 3 2 2 2" xfId="25291"/>
    <cellStyle name="Comma 2 2 2 2 3 3 2 2 2 2" xfId="44718"/>
    <cellStyle name="Comma 2 2 2 2 3 3 2 2 2 3" xfId="38295"/>
    <cellStyle name="Comma 2 2 2 2 3 3 2 2 3" xfId="27469"/>
    <cellStyle name="Comma 2 2 2 2 3 3 2 2 3 2" xfId="41511"/>
    <cellStyle name="Comma 2 2 2 2 3 3 2 2 4" xfId="30804"/>
    <cellStyle name="Comma 2 2 2 2 3 3 2 2 5" xfId="35087"/>
    <cellStyle name="Comma 2 2 2 2 3 3 2 3" xfId="15105"/>
    <cellStyle name="Comma 2 2 2 2 3 3 2 3 2" xfId="24118"/>
    <cellStyle name="Comma 2 2 2 2 3 3 2 3 2 2" xfId="43547"/>
    <cellStyle name="Comma 2 2 2 2 3 3 2 3 2 3" xfId="37124"/>
    <cellStyle name="Comma 2 2 2 2 3 3 2 3 3" xfId="28441"/>
    <cellStyle name="Comma 2 2 2 2 3 3 2 3 3 2" xfId="40340"/>
    <cellStyle name="Comma 2 2 2 2 3 3 2 3 4" xfId="31776"/>
    <cellStyle name="Comma 2 2 2 2 3 3 2 3 5" xfId="33916"/>
    <cellStyle name="Comma 2 2 2 2 3 3 2 4" xfId="7921"/>
    <cellStyle name="Comma 2 2 2 2 3 3 2 4 2" xfId="42577"/>
    <cellStyle name="Comma 2 2 2 2 3 3 2 4 3" xfId="36153"/>
    <cellStyle name="Comma 2 2 2 2 3 3 2 5" xfId="20912"/>
    <cellStyle name="Comma 2 2 2 2 3 3 2 5 2" xfId="39370"/>
    <cellStyle name="Comma 2 2 2 2 3 3 2 6" xfId="21985"/>
    <cellStyle name="Comma 2 2 2 2 3 3 2 7" xfId="23148"/>
    <cellStyle name="Comma 2 2 2 2 3 3 2 8" xfId="26307"/>
    <cellStyle name="Comma 2 2 2 2 3 3 2 9" xfId="29640"/>
    <cellStyle name="Comma 2 2 2 2 3 3 3" xfId="721"/>
    <cellStyle name="Comma 2 2 2 2 3 3 3 10" xfId="32947"/>
    <cellStyle name="Comma 2 2 2 2 3 3 3 2" xfId="9492"/>
    <cellStyle name="Comma 2 2 2 2 3 3 3 2 2" xfId="25292"/>
    <cellStyle name="Comma 2 2 2 2 3 3 3 2 2 2" xfId="44719"/>
    <cellStyle name="Comma 2 2 2 2 3 3 3 2 2 3" xfId="38296"/>
    <cellStyle name="Comma 2 2 2 2 3 3 3 2 3" xfId="27470"/>
    <cellStyle name="Comma 2 2 2 2 3 3 3 2 3 2" xfId="41512"/>
    <cellStyle name="Comma 2 2 2 2 3 3 3 2 4" xfId="30805"/>
    <cellStyle name="Comma 2 2 2 2 3 3 3 2 5" xfId="35088"/>
    <cellStyle name="Comma 2 2 2 2 3 3 3 3" xfId="15106"/>
    <cellStyle name="Comma 2 2 2 2 3 3 3 3 2" xfId="24119"/>
    <cellStyle name="Comma 2 2 2 2 3 3 3 3 2 2" xfId="43548"/>
    <cellStyle name="Comma 2 2 2 2 3 3 3 3 2 3" xfId="37125"/>
    <cellStyle name="Comma 2 2 2 2 3 3 3 3 3" xfId="28442"/>
    <cellStyle name="Comma 2 2 2 2 3 3 3 3 3 2" xfId="40341"/>
    <cellStyle name="Comma 2 2 2 2 3 3 3 3 4" xfId="31777"/>
    <cellStyle name="Comma 2 2 2 2 3 3 3 3 5" xfId="33917"/>
    <cellStyle name="Comma 2 2 2 2 3 3 3 4" xfId="7922"/>
    <cellStyle name="Comma 2 2 2 2 3 3 3 4 2" xfId="42578"/>
    <cellStyle name="Comma 2 2 2 2 3 3 3 4 3" xfId="36154"/>
    <cellStyle name="Comma 2 2 2 2 3 3 3 5" xfId="20913"/>
    <cellStyle name="Comma 2 2 2 2 3 3 3 5 2" xfId="39371"/>
    <cellStyle name="Comma 2 2 2 2 3 3 3 6" xfId="21986"/>
    <cellStyle name="Comma 2 2 2 2 3 3 3 7" xfId="23149"/>
    <cellStyle name="Comma 2 2 2 2 3 3 3 8" xfId="26308"/>
    <cellStyle name="Comma 2 2 2 2 3 3 3 9" xfId="29641"/>
    <cellStyle name="Comma 2 2 2 2 3 3 4" xfId="722"/>
    <cellStyle name="Comma 2 2 2 2 3 3 4 10" xfId="32948"/>
    <cellStyle name="Comma 2 2 2 2 3 3 4 2" xfId="9493"/>
    <cellStyle name="Comma 2 2 2 2 3 3 4 2 2" xfId="25293"/>
    <cellStyle name="Comma 2 2 2 2 3 3 4 2 2 2" xfId="44720"/>
    <cellStyle name="Comma 2 2 2 2 3 3 4 2 2 3" xfId="38297"/>
    <cellStyle name="Comma 2 2 2 2 3 3 4 2 3" xfId="27471"/>
    <cellStyle name="Comma 2 2 2 2 3 3 4 2 3 2" xfId="41513"/>
    <cellStyle name="Comma 2 2 2 2 3 3 4 2 4" xfId="30806"/>
    <cellStyle name="Comma 2 2 2 2 3 3 4 2 5" xfId="35089"/>
    <cellStyle name="Comma 2 2 2 2 3 3 4 3" xfId="15107"/>
    <cellStyle name="Comma 2 2 2 2 3 3 4 3 2" xfId="24120"/>
    <cellStyle name="Comma 2 2 2 2 3 3 4 3 2 2" xfId="43549"/>
    <cellStyle name="Comma 2 2 2 2 3 3 4 3 2 3" xfId="37126"/>
    <cellStyle name="Comma 2 2 2 2 3 3 4 3 3" xfId="28443"/>
    <cellStyle name="Comma 2 2 2 2 3 3 4 3 3 2" xfId="40342"/>
    <cellStyle name="Comma 2 2 2 2 3 3 4 3 4" xfId="31778"/>
    <cellStyle name="Comma 2 2 2 2 3 3 4 3 5" xfId="33918"/>
    <cellStyle name="Comma 2 2 2 2 3 3 4 4" xfId="7923"/>
    <cellStyle name="Comma 2 2 2 2 3 3 4 4 2" xfId="42579"/>
    <cellStyle name="Comma 2 2 2 2 3 3 4 4 3" xfId="36155"/>
    <cellStyle name="Comma 2 2 2 2 3 3 4 5" xfId="20914"/>
    <cellStyle name="Comma 2 2 2 2 3 3 4 5 2" xfId="39372"/>
    <cellStyle name="Comma 2 2 2 2 3 3 4 6" xfId="21987"/>
    <cellStyle name="Comma 2 2 2 2 3 3 4 7" xfId="23150"/>
    <cellStyle name="Comma 2 2 2 2 3 3 4 8" xfId="26309"/>
    <cellStyle name="Comma 2 2 2 2 3 3 4 9" xfId="29642"/>
    <cellStyle name="Comma 2 2 2 2 3 3 5" xfId="723"/>
    <cellStyle name="Comma 2 2 2 2 3 3 5 10" xfId="32949"/>
    <cellStyle name="Comma 2 2 2 2 3 3 5 2" xfId="9494"/>
    <cellStyle name="Comma 2 2 2 2 3 3 5 2 2" xfId="25294"/>
    <cellStyle name="Comma 2 2 2 2 3 3 5 2 2 2" xfId="44721"/>
    <cellStyle name="Comma 2 2 2 2 3 3 5 2 2 3" xfId="38298"/>
    <cellStyle name="Comma 2 2 2 2 3 3 5 2 3" xfId="27472"/>
    <cellStyle name="Comma 2 2 2 2 3 3 5 2 3 2" xfId="41514"/>
    <cellStyle name="Comma 2 2 2 2 3 3 5 2 4" xfId="30807"/>
    <cellStyle name="Comma 2 2 2 2 3 3 5 2 5" xfId="35090"/>
    <cellStyle name="Comma 2 2 2 2 3 3 5 3" xfId="15108"/>
    <cellStyle name="Comma 2 2 2 2 3 3 5 3 2" xfId="24121"/>
    <cellStyle name="Comma 2 2 2 2 3 3 5 3 2 2" xfId="43550"/>
    <cellStyle name="Comma 2 2 2 2 3 3 5 3 2 3" xfId="37127"/>
    <cellStyle name="Comma 2 2 2 2 3 3 5 3 3" xfId="28444"/>
    <cellStyle name="Comma 2 2 2 2 3 3 5 3 3 2" xfId="40343"/>
    <cellStyle name="Comma 2 2 2 2 3 3 5 3 4" xfId="31779"/>
    <cellStyle name="Comma 2 2 2 2 3 3 5 3 5" xfId="33919"/>
    <cellStyle name="Comma 2 2 2 2 3 3 5 4" xfId="7924"/>
    <cellStyle name="Comma 2 2 2 2 3 3 5 4 2" xfId="42580"/>
    <cellStyle name="Comma 2 2 2 2 3 3 5 4 3" xfId="36156"/>
    <cellStyle name="Comma 2 2 2 2 3 3 5 5" xfId="20915"/>
    <cellStyle name="Comma 2 2 2 2 3 3 5 5 2" xfId="39373"/>
    <cellStyle name="Comma 2 2 2 2 3 3 5 6" xfId="21988"/>
    <cellStyle name="Comma 2 2 2 2 3 3 5 7" xfId="23151"/>
    <cellStyle name="Comma 2 2 2 2 3 3 5 8" xfId="26310"/>
    <cellStyle name="Comma 2 2 2 2 3 3 5 9" xfId="29643"/>
    <cellStyle name="Comma 2 2 2 2 3 3 6" xfId="9490"/>
    <cellStyle name="Comma 2 2 2 2 3 3 6 2" xfId="25290"/>
    <cellStyle name="Comma 2 2 2 2 3 3 6 2 2" xfId="44717"/>
    <cellStyle name="Comma 2 2 2 2 3 3 6 2 3" xfId="38294"/>
    <cellStyle name="Comma 2 2 2 2 3 3 6 3" xfId="27468"/>
    <cellStyle name="Comma 2 2 2 2 3 3 6 3 2" xfId="41510"/>
    <cellStyle name="Comma 2 2 2 2 3 3 6 4" xfId="30803"/>
    <cellStyle name="Comma 2 2 2 2 3 3 6 5" xfId="35086"/>
    <cellStyle name="Comma 2 2 2 2 3 3 7" xfId="15104"/>
    <cellStyle name="Comma 2 2 2 2 3 3 7 2" xfId="24117"/>
    <cellStyle name="Comma 2 2 2 2 3 3 7 2 2" xfId="43546"/>
    <cellStyle name="Comma 2 2 2 2 3 3 7 2 3" xfId="37123"/>
    <cellStyle name="Comma 2 2 2 2 3 3 7 3" xfId="28440"/>
    <cellStyle name="Comma 2 2 2 2 3 3 7 3 2" xfId="40339"/>
    <cellStyle name="Comma 2 2 2 2 3 3 7 4" xfId="31775"/>
    <cellStyle name="Comma 2 2 2 2 3 3 7 5" xfId="33915"/>
    <cellStyle name="Comma 2 2 2 2 3 3 8" xfId="7920"/>
    <cellStyle name="Comma 2 2 2 2 3 3 8 2" xfId="42576"/>
    <cellStyle name="Comma 2 2 2 2 3 3 8 3" xfId="36152"/>
    <cellStyle name="Comma 2 2 2 2 3 3 9" xfId="20911"/>
    <cellStyle name="Comma 2 2 2 2 3 3 9 2" xfId="39369"/>
    <cellStyle name="Comma 2 2 2 2 3 4" xfId="724"/>
    <cellStyle name="Comma 2 2 2 2 3 4 10" xfId="32950"/>
    <cellStyle name="Comma 2 2 2 2 3 4 2" xfId="9495"/>
    <cellStyle name="Comma 2 2 2 2 3 4 2 2" xfId="25295"/>
    <cellStyle name="Comma 2 2 2 2 3 4 2 2 2" xfId="44722"/>
    <cellStyle name="Comma 2 2 2 2 3 4 2 2 3" xfId="38299"/>
    <cellStyle name="Comma 2 2 2 2 3 4 2 3" xfId="27473"/>
    <cellStyle name="Comma 2 2 2 2 3 4 2 3 2" xfId="41515"/>
    <cellStyle name="Comma 2 2 2 2 3 4 2 4" xfId="30808"/>
    <cellStyle name="Comma 2 2 2 2 3 4 2 5" xfId="35091"/>
    <cellStyle name="Comma 2 2 2 2 3 4 3" xfId="15109"/>
    <cellStyle name="Comma 2 2 2 2 3 4 3 2" xfId="24122"/>
    <cellStyle name="Comma 2 2 2 2 3 4 3 2 2" xfId="43551"/>
    <cellStyle name="Comma 2 2 2 2 3 4 3 2 3" xfId="37128"/>
    <cellStyle name="Comma 2 2 2 2 3 4 3 3" xfId="28445"/>
    <cellStyle name="Comma 2 2 2 2 3 4 3 3 2" xfId="40344"/>
    <cellStyle name="Comma 2 2 2 2 3 4 3 4" xfId="31780"/>
    <cellStyle name="Comma 2 2 2 2 3 4 3 5" xfId="33920"/>
    <cellStyle name="Comma 2 2 2 2 3 4 4" xfId="7925"/>
    <cellStyle name="Comma 2 2 2 2 3 4 4 2" xfId="42581"/>
    <cellStyle name="Comma 2 2 2 2 3 4 4 3" xfId="36157"/>
    <cellStyle name="Comma 2 2 2 2 3 4 5" xfId="20916"/>
    <cellStyle name="Comma 2 2 2 2 3 4 5 2" xfId="39374"/>
    <cellStyle name="Comma 2 2 2 2 3 4 6" xfId="21989"/>
    <cellStyle name="Comma 2 2 2 2 3 4 7" xfId="23152"/>
    <cellStyle name="Comma 2 2 2 2 3 4 8" xfId="26311"/>
    <cellStyle name="Comma 2 2 2 2 3 4 9" xfId="29644"/>
    <cellStyle name="Comma 2 2 2 2 3 5" xfId="725"/>
    <cellStyle name="Comma 2 2 2 2 3 5 10" xfId="32951"/>
    <cellStyle name="Comma 2 2 2 2 3 5 2" xfId="9496"/>
    <cellStyle name="Comma 2 2 2 2 3 5 2 2" xfId="25296"/>
    <cellStyle name="Comma 2 2 2 2 3 5 2 2 2" xfId="44723"/>
    <cellStyle name="Comma 2 2 2 2 3 5 2 2 3" xfId="38300"/>
    <cellStyle name="Comma 2 2 2 2 3 5 2 3" xfId="27474"/>
    <cellStyle name="Comma 2 2 2 2 3 5 2 3 2" xfId="41516"/>
    <cellStyle name="Comma 2 2 2 2 3 5 2 4" xfId="30809"/>
    <cellStyle name="Comma 2 2 2 2 3 5 2 5" xfId="35092"/>
    <cellStyle name="Comma 2 2 2 2 3 5 3" xfId="15110"/>
    <cellStyle name="Comma 2 2 2 2 3 5 3 2" xfId="24123"/>
    <cellStyle name="Comma 2 2 2 2 3 5 3 2 2" xfId="43552"/>
    <cellStyle name="Comma 2 2 2 2 3 5 3 2 3" xfId="37129"/>
    <cellStyle name="Comma 2 2 2 2 3 5 3 3" xfId="28446"/>
    <cellStyle name="Comma 2 2 2 2 3 5 3 3 2" xfId="40345"/>
    <cellStyle name="Comma 2 2 2 2 3 5 3 4" xfId="31781"/>
    <cellStyle name="Comma 2 2 2 2 3 5 3 5" xfId="33921"/>
    <cellStyle name="Comma 2 2 2 2 3 5 4" xfId="7926"/>
    <cellStyle name="Comma 2 2 2 2 3 5 4 2" xfId="42582"/>
    <cellStyle name="Comma 2 2 2 2 3 5 4 3" xfId="36158"/>
    <cellStyle name="Comma 2 2 2 2 3 5 5" xfId="20917"/>
    <cellStyle name="Comma 2 2 2 2 3 5 5 2" xfId="39375"/>
    <cellStyle name="Comma 2 2 2 2 3 5 6" xfId="21990"/>
    <cellStyle name="Comma 2 2 2 2 3 5 7" xfId="23153"/>
    <cellStyle name="Comma 2 2 2 2 3 5 8" xfId="26312"/>
    <cellStyle name="Comma 2 2 2 2 3 5 9" xfId="29645"/>
    <cellStyle name="Comma 2 2 2 2 3 6" xfId="726"/>
    <cellStyle name="Comma 2 2 2 2 3 6 10" xfId="32952"/>
    <cellStyle name="Comma 2 2 2 2 3 6 2" xfId="9497"/>
    <cellStyle name="Comma 2 2 2 2 3 6 2 2" xfId="25297"/>
    <cellStyle name="Comma 2 2 2 2 3 6 2 2 2" xfId="44724"/>
    <cellStyle name="Comma 2 2 2 2 3 6 2 2 3" xfId="38301"/>
    <cellStyle name="Comma 2 2 2 2 3 6 2 3" xfId="27475"/>
    <cellStyle name="Comma 2 2 2 2 3 6 2 3 2" xfId="41517"/>
    <cellStyle name="Comma 2 2 2 2 3 6 2 4" xfId="30810"/>
    <cellStyle name="Comma 2 2 2 2 3 6 2 5" xfId="35093"/>
    <cellStyle name="Comma 2 2 2 2 3 6 3" xfId="15111"/>
    <cellStyle name="Comma 2 2 2 2 3 6 3 2" xfId="24124"/>
    <cellStyle name="Comma 2 2 2 2 3 6 3 2 2" xfId="43553"/>
    <cellStyle name="Comma 2 2 2 2 3 6 3 2 3" xfId="37130"/>
    <cellStyle name="Comma 2 2 2 2 3 6 3 3" xfId="28447"/>
    <cellStyle name="Comma 2 2 2 2 3 6 3 3 2" xfId="40346"/>
    <cellStyle name="Comma 2 2 2 2 3 6 3 4" xfId="31782"/>
    <cellStyle name="Comma 2 2 2 2 3 6 3 5" xfId="33922"/>
    <cellStyle name="Comma 2 2 2 2 3 6 4" xfId="7927"/>
    <cellStyle name="Comma 2 2 2 2 3 6 4 2" xfId="42583"/>
    <cellStyle name="Comma 2 2 2 2 3 6 4 3" xfId="36159"/>
    <cellStyle name="Comma 2 2 2 2 3 6 5" xfId="20918"/>
    <cellStyle name="Comma 2 2 2 2 3 6 5 2" xfId="39376"/>
    <cellStyle name="Comma 2 2 2 2 3 6 6" xfId="21991"/>
    <cellStyle name="Comma 2 2 2 2 3 6 7" xfId="23154"/>
    <cellStyle name="Comma 2 2 2 2 3 6 8" xfId="26313"/>
    <cellStyle name="Comma 2 2 2 2 3 6 9" xfId="29646"/>
    <cellStyle name="Comma 2 2 2 2 3 7" xfId="727"/>
    <cellStyle name="Comma 2 2 2 2 3 7 10" xfId="32953"/>
    <cellStyle name="Comma 2 2 2 2 3 7 2" xfId="9498"/>
    <cellStyle name="Comma 2 2 2 2 3 7 2 2" xfId="25298"/>
    <cellStyle name="Comma 2 2 2 2 3 7 2 2 2" xfId="44725"/>
    <cellStyle name="Comma 2 2 2 2 3 7 2 2 3" xfId="38302"/>
    <cellStyle name="Comma 2 2 2 2 3 7 2 3" xfId="27476"/>
    <cellStyle name="Comma 2 2 2 2 3 7 2 3 2" xfId="41518"/>
    <cellStyle name="Comma 2 2 2 2 3 7 2 4" xfId="30811"/>
    <cellStyle name="Comma 2 2 2 2 3 7 2 5" xfId="35094"/>
    <cellStyle name="Comma 2 2 2 2 3 7 3" xfId="15112"/>
    <cellStyle name="Comma 2 2 2 2 3 7 3 2" xfId="24125"/>
    <cellStyle name="Comma 2 2 2 2 3 7 3 2 2" xfId="43554"/>
    <cellStyle name="Comma 2 2 2 2 3 7 3 2 3" xfId="37131"/>
    <cellStyle name="Comma 2 2 2 2 3 7 3 3" xfId="28448"/>
    <cellStyle name="Comma 2 2 2 2 3 7 3 3 2" xfId="40347"/>
    <cellStyle name="Comma 2 2 2 2 3 7 3 4" xfId="31783"/>
    <cellStyle name="Comma 2 2 2 2 3 7 3 5" xfId="33923"/>
    <cellStyle name="Comma 2 2 2 2 3 7 4" xfId="7928"/>
    <cellStyle name="Comma 2 2 2 2 3 7 4 2" xfId="42584"/>
    <cellStyle name="Comma 2 2 2 2 3 7 4 3" xfId="36160"/>
    <cellStyle name="Comma 2 2 2 2 3 7 5" xfId="20919"/>
    <cellStyle name="Comma 2 2 2 2 3 7 5 2" xfId="39377"/>
    <cellStyle name="Comma 2 2 2 2 3 7 6" xfId="21992"/>
    <cellStyle name="Comma 2 2 2 2 3 7 7" xfId="23155"/>
    <cellStyle name="Comma 2 2 2 2 3 7 8" xfId="26314"/>
    <cellStyle name="Comma 2 2 2 2 3 7 9" xfId="29647"/>
    <cellStyle name="Comma 2 2 2 2 3 8" xfId="728"/>
    <cellStyle name="Comma 2 2 2 2 3 8 10" xfId="32954"/>
    <cellStyle name="Comma 2 2 2 2 3 8 2" xfId="9499"/>
    <cellStyle name="Comma 2 2 2 2 3 8 2 2" xfId="25299"/>
    <cellStyle name="Comma 2 2 2 2 3 8 2 2 2" xfId="44726"/>
    <cellStyle name="Comma 2 2 2 2 3 8 2 2 3" xfId="38303"/>
    <cellStyle name="Comma 2 2 2 2 3 8 2 3" xfId="27477"/>
    <cellStyle name="Comma 2 2 2 2 3 8 2 3 2" xfId="41519"/>
    <cellStyle name="Comma 2 2 2 2 3 8 2 4" xfId="30812"/>
    <cellStyle name="Comma 2 2 2 2 3 8 2 5" xfId="35095"/>
    <cellStyle name="Comma 2 2 2 2 3 8 3" xfId="15113"/>
    <cellStyle name="Comma 2 2 2 2 3 8 3 2" xfId="24126"/>
    <cellStyle name="Comma 2 2 2 2 3 8 3 2 2" xfId="43555"/>
    <cellStyle name="Comma 2 2 2 2 3 8 3 2 3" xfId="37132"/>
    <cellStyle name="Comma 2 2 2 2 3 8 3 3" xfId="28449"/>
    <cellStyle name="Comma 2 2 2 2 3 8 3 3 2" xfId="40348"/>
    <cellStyle name="Comma 2 2 2 2 3 8 3 4" xfId="31784"/>
    <cellStyle name="Comma 2 2 2 2 3 8 3 5" xfId="33924"/>
    <cellStyle name="Comma 2 2 2 2 3 8 4" xfId="7929"/>
    <cellStyle name="Comma 2 2 2 2 3 8 4 2" xfId="42585"/>
    <cellStyle name="Comma 2 2 2 2 3 8 4 3" xfId="36161"/>
    <cellStyle name="Comma 2 2 2 2 3 8 5" xfId="20920"/>
    <cellStyle name="Comma 2 2 2 2 3 8 5 2" xfId="39378"/>
    <cellStyle name="Comma 2 2 2 2 3 8 6" xfId="21993"/>
    <cellStyle name="Comma 2 2 2 2 3 8 7" xfId="23156"/>
    <cellStyle name="Comma 2 2 2 2 3 8 8" xfId="26315"/>
    <cellStyle name="Comma 2 2 2 2 3 8 9" xfId="29648"/>
    <cellStyle name="Comma 2 2 2 2 3 9" xfId="9059"/>
    <cellStyle name="Comma 2 2 2 2 3 9 2" xfId="25115"/>
    <cellStyle name="Comma 2 2 2 2 3 9 2 2" xfId="44542"/>
    <cellStyle name="Comma 2 2 2 2 3 9 2 3" xfId="38119"/>
    <cellStyle name="Comma 2 2 2 2 3 9 3" xfId="27294"/>
    <cellStyle name="Comma 2 2 2 2 3 9 3 2" xfId="41335"/>
    <cellStyle name="Comma 2 2 2 2 3 9 4" xfId="30629"/>
    <cellStyle name="Comma 2 2 2 2 3 9 5" xfId="34911"/>
    <cellStyle name="Comma 2 2 2 2 4" xfId="263"/>
    <cellStyle name="Comma 2 2 2 2 4 10" xfId="20921"/>
    <cellStyle name="Comma 2 2 2 2 4 10 2" xfId="39257"/>
    <cellStyle name="Comma 2 2 2 2 4 11" xfId="21994"/>
    <cellStyle name="Comma 2 2 2 2 4 12" xfId="23035"/>
    <cellStyle name="Comma 2 2 2 2 4 13" xfId="26316"/>
    <cellStyle name="Comma 2 2 2 2 4 14" xfId="29649"/>
    <cellStyle name="Comma 2 2 2 2 4 15" xfId="32833"/>
    <cellStyle name="Comma 2 2 2 2 4 2" xfId="729"/>
    <cellStyle name="Comma 2 2 2 2 4 2 10" xfId="32955"/>
    <cellStyle name="Comma 2 2 2 2 4 2 2" xfId="9500"/>
    <cellStyle name="Comma 2 2 2 2 4 2 2 2" xfId="25300"/>
    <cellStyle name="Comma 2 2 2 2 4 2 2 2 2" xfId="44727"/>
    <cellStyle name="Comma 2 2 2 2 4 2 2 2 3" xfId="38304"/>
    <cellStyle name="Comma 2 2 2 2 4 2 2 3" xfId="27478"/>
    <cellStyle name="Comma 2 2 2 2 4 2 2 3 2" xfId="41520"/>
    <cellStyle name="Comma 2 2 2 2 4 2 2 4" xfId="30813"/>
    <cellStyle name="Comma 2 2 2 2 4 2 2 5" xfId="35096"/>
    <cellStyle name="Comma 2 2 2 2 4 2 3" xfId="15115"/>
    <cellStyle name="Comma 2 2 2 2 4 2 3 2" xfId="24128"/>
    <cellStyle name="Comma 2 2 2 2 4 2 3 2 2" xfId="43557"/>
    <cellStyle name="Comma 2 2 2 2 4 2 3 2 3" xfId="37134"/>
    <cellStyle name="Comma 2 2 2 2 4 2 3 3" xfId="28451"/>
    <cellStyle name="Comma 2 2 2 2 4 2 3 3 2" xfId="40350"/>
    <cellStyle name="Comma 2 2 2 2 4 2 3 4" xfId="31786"/>
    <cellStyle name="Comma 2 2 2 2 4 2 3 5" xfId="33926"/>
    <cellStyle name="Comma 2 2 2 2 4 2 4" xfId="7931"/>
    <cellStyle name="Comma 2 2 2 2 4 2 4 2" xfId="42586"/>
    <cellStyle name="Comma 2 2 2 2 4 2 4 3" xfId="36162"/>
    <cellStyle name="Comma 2 2 2 2 4 2 5" xfId="20922"/>
    <cellStyle name="Comma 2 2 2 2 4 2 5 2" xfId="39379"/>
    <cellStyle name="Comma 2 2 2 2 4 2 6" xfId="21995"/>
    <cellStyle name="Comma 2 2 2 2 4 2 7" xfId="23157"/>
    <cellStyle name="Comma 2 2 2 2 4 2 8" xfId="26317"/>
    <cellStyle name="Comma 2 2 2 2 4 2 9" xfId="29650"/>
    <cellStyle name="Comma 2 2 2 2 4 3" xfId="730"/>
    <cellStyle name="Comma 2 2 2 2 4 3 10" xfId="32956"/>
    <cellStyle name="Comma 2 2 2 2 4 3 2" xfId="9501"/>
    <cellStyle name="Comma 2 2 2 2 4 3 2 2" xfId="25301"/>
    <cellStyle name="Comma 2 2 2 2 4 3 2 2 2" xfId="44728"/>
    <cellStyle name="Comma 2 2 2 2 4 3 2 2 3" xfId="38305"/>
    <cellStyle name="Comma 2 2 2 2 4 3 2 3" xfId="27479"/>
    <cellStyle name="Comma 2 2 2 2 4 3 2 3 2" xfId="41521"/>
    <cellStyle name="Comma 2 2 2 2 4 3 2 4" xfId="30814"/>
    <cellStyle name="Comma 2 2 2 2 4 3 2 5" xfId="35097"/>
    <cellStyle name="Comma 2 2 2 2 4 3 3" xfId="15116"/>
    <cellStyle name="Comma 2 2 2 2 4 3 3 2" xfId="24129"/>
    <cellStyle name="Comma 2 2 2 2 4 3 3 2 2" xfId="43558"/>
    <cellStyle name="Comma 2 2 2 2 4 3 3 2 3" xfId="37135"/>
    <cellStyle name="Comma 2 2 2 2 4 3 3 3" xfId="28452"/>
    <cellStyle name="Comma 2 2 2 2 4 3 3 3 2" xfId="40351"/>
    <cellStyle name="Comma 2 2 2 2 4 3 3 4" xfId="31787"/>
    <cellStyle name="Comma 2 2 2 2 4 3 3 5" xfId="33927"/>
    <cellStyle name="Comma 2 2 2 2 4 3 4" xfId="7932"/>
    <cellStyle name="Comma 2 2 2 2 4 3 4 2" xfId="42587"/>
    <cellStyle name="Comma 2 2 2 2 4 3 4 3" xfId="36163"/>
    <cellStyle name="Comma 2 2 2 2 4 3 5" xfId="20923"/>
    <cellStyle name="Comma 2 2 2 2 4 3 5 2" xfId="39380"/>
    <cellStyle name="Comma 2 2 2 2 4 3 6" xfId="21996"/>
    <cellStyle name="Comma 2 2 2 2 4 3 7" xfId="23158"/>
    <cellStyle name="Comma 2 2 2 2 4 3 8" xfId="26318"/>
    <cellStyle name="Comma 2 2 2 2 4 3 9" xfId="29651"/>
    <cellStyle name="Comma 2 2 2 2 4 4" xfId="731"/>
    <cellStyle name="Comma 2 2 2 2 4 4 10" xfId="32957"/>
    <cellStyle name="Comma 2 2 2 2 4 4 2" xfId="9502"/>
    <cellStyle name="Comma 2 2 2 2 4 4 2 2" xfId="25302"/>
    <cellStyle name="Comma 2 2 2 2 4 4 2 2 2" xfId="44729"/>
    <cellStyle name="Comma 2 2 2 2 4 4 2 2 3" xfId="38306"/>
    <cellStyle name="Comma 2 2 2 2 4 4 2 3" xfId="27480"/>
    <cellStyle name="Comma 2 2 2 2 4 4 2 3 2" xfId="41522"/>
    <cellStyle name="Comma 2 2 2 2 4 4 2 4" xfId="30815"/>
    <cellStyle name="Comma 2 2 2 2 4 4 2 5" xfId="35098"/>
    <cellStyle name="Comma 2 2 2 2 4 4 3" xfId="15117"/>
    <cellStyle name="Comma 2 2 2 2 4 4 3 2" xfId="24130"/>
    <cellStyle name="Comma 2 2 2 2 4 4 3 2 2" xfId="43559"/>
    <cellStyle name="Comma 2 2 2 2 4 4 3 2 3" xfId="37136"/>
    <cellStyle name="Comma 2 2 2 2 4 4 3 3" xfId="28453"/>
    <cellStyle name="Comma 2 2 2 2 4 4 3 3 2" xfId="40352"/>
    <cellStyle name="Comma 2 2 2 2 4 4 3 4" xfId="31788"/>
    <cellStyle name="Comma 2 2 2 2 4 4 3 5" xfId="33928"/>
    <cellStyle name="Comma 2 2 2 2 4 4 4" xfId="7933"/>
    <cellStyle name="Comma 2 2 2 2 4 4 4 2" xfId="42588"/>
    <cellStyle name="Comma 2 2 2 2 4 4 4 3" xfId="36164"/>
    <cellStyle name="Comma 2 2 2 2 4 4 5" xfId="20924"/>
    <cellStyle name="Comma 2 2 2 2 4 4 5 2" xfId="39381"/>
    <cellStyle name="Comma 2 2 2 2 4 4 6" xfId="21997"/>
    <cellStyle name="Comma 2 2 2 2 4 4 7" xfId="23159"/>
    <cellStyle name="Comma 2 2 2 2 4 4 8" xfId="26319"/>
    <cellStyle name="Comma 2 2 2 2 4 4 9" xfId="29652"/>
    <cellStyle name="Comma 2 2 2 2 4 5" xfId="732"/>
    <cellStyle name="Comma 2 2 2 2 4 5 10" xfId="32958"/>
    <cellStyle name="Comma 2 2 2 2 4 5 2" xfId="9503"/>
    <cellStyle name="Comma 2 2 2 2 4 5 2 2" xfId="25303"/>
    <cellStyle name="Comma 2 2 2 2 4 5 2 2 2" xfId="44730"/>
    <cellStyle name="Comma 2 2 2 2 4 5 2 2 3" xfId="38307"/>
    <cellStyle name="Comma 2 2 2 2 4 5 2 3" xfId="27481"/>
    <cellStyle name="Comma 2 2 2 2 4 5 2 3 2" xfId="41523"/>
    <cellStyle name="Comma 2 2 2 2 4 5 2 4" xfId="30816"/>
    <cellStyle name="Comma 2 2 2 2 4 5 2 5" xfId="35099"/>
    <cellStyle name="Comma 2 2 2 2 4 5 3" xfId="15118"/>
    <cellStyle name="Comma 2 2 2 2 4 5 3 2" xfId="24131"/>
    <cellStyle name="Comma 2 2 2 2 4 5 3 2 2" xfId="43560"/>
    <cellStyle name="Comma 2 2 2 2 4 5 3 2 3" xfId="37137"/>
    <cellStyle name="Comma 2 2 2 2 4 5 3 3" xfId="28454"/>
    <cellStyle name="Comma 2 2 2 2 4 5 3 3 2" xfId="40353"/>
    <cellStyle name="Comma 2 2 2 2 4 5 3 4" xfId="31789"/>
    <cellStyle name="Comma 2 2 2 2 4 5 3 5" xfId="33929"/>
    <cellStyle name="Comma 2 2 2 2 4 5 4" xfId="7934"/>
    <cellStyle name="Comma 2 2 2 2 4 5 4 2" xfId="42589"/>
    <cellStyle name="Comma 2 2 2 2 4 5 4 3" xfId="36165"/>
    <cellStyle name="Comma 2 2 2 2 4 5 5" xfId="20925"/>
    <cellStyle name="Comma 2 2 2 2 4 5 5 2" xfId="39382"/>
    <cellStyle name="Comma 2 2 2 2 4 5 6" xfId="21998"/>
    <cellStyle name="Comma 2 2 2 2 4 5 7" xfId="23160"/>
    <cellStyle name="Comma 2 2 2 2 4 5 8" xfId="26320"/>
    <cellStyle name="Comma 2 2 2 2 4 5 9" xfId="29653"/>
    <cellStyle name="Comma 2 2 2 2 4 6" xfId="733"/>
    <cellStyle name="Comma 2 2 2 2 4 6 10" xfId="32959"/>
    <cellStyle name="Comma 2 2 2 2 4 6 2" xfId="9504"/>
    <cellStyle name="Comma 2 2 2 2 4 6 2 2" xfId="25304"/>
    <cellStyle name="Comma 2 2 2 2 4 6 2 2 2" xfId="44731"/>
    <cellStyle name="Comma 2 2 2 2 4 6 2 2 3" xfId="38308"/>
    <cellStyle name="Comma 2 2 2 2 4 6 2 3" xfId="27482"/>
    <cellStyle name="Comma 2 2 2 2 4 6 2 3 2" xfId="41524"/>
    <cellStyle name="Comma 2 2 2 2 4 6 2 4" xfId="30817"/>
    <cellStyle name="Comma 2 2 2 2 4 6 2 5" xfId="35100"/>
    <cellStyle name="Comma 2 2 2 2 4 6 3" xfId="15119"/>
    <cellStyle name="Comma 2 2 2 2 4 6 3 2" xfId="24132"/>
    <cellStyle name="Comma 2 2 2 2 4 6 3 2 2" xfId="43561"/>
    <cellStyle name="Comma 2 2 2 2 4 6 3 2 3" xfId="37138"/>
    <cellStyle name="Comma 2 2 2 2 4 6 3 3" xfId="28455"/>
    <cellStyle name="Comma 2 2 2 2 4 6 3 3 2" xfId="40354"/>
    <cellStyle name="Comma 2 2 2 2 4 6 3 4" xfId="31790"/>
    <cellStyle name="Comma 2 2 2 2 4 6 3 5" xfId="33930"/>
    <cellStyle name="Comma 2 2 2 2 4 6 4" xfId="7935"/>
    <cellStyle name="Comma 2 2 2 2 4 6 4 2" xfId="42590"/>
    <cellStyle name="Comma 2 2 2 2 4 6 4 3" xfId="36166"/>
    <cellStyle name="Comma 2 2 2 2 4 6 5" xfId="20926"/>
    <cellStyle name="Comma 2 2 2 2 4 6 5 2" xfId="39383"/>
    <cellStyle name="Comma 2 2 2 2 4 6 6" xfId="21999"/>
    <cellStyle name="Comma 2 2 2 2 4 6 7" xfId="23161"/>
    <cellStyle name="Comma 2 2 2 2 4 6 8" xfId="26321"/>
    <cellStyle name="Comma 2 2 2 2 4 6 9" xfId="29654"/>
    <cellStyle name="Comma 2 2 2 2 4 7" xfId="9120"/>
    <cellStyle name="Comma 2 2 2 2 4 7 2" xfId="25174"/>
    <cellStyle name="Comma 2 2 2 2 4 7 2 2" xfId="44601"/>
    <cellStyle name="Comma 2 2 2 2 4 7 2 3" xfId="38178"/>
    <cellStyle name="Comma 2 2 2 2 4 7 3" xfId="27353"/>
    <cellStyle name="Comma 2 2 2 2 4 7 3 2" xfId="41394"/>
    <cellStyle name="Comma 2 2 2 2 4 7 4" xfId="30688"/>
    <cellStyle name="Comma 2 2 2 2 4 7 5" xfId="34970"/>
    <cellStyle name="Comma 2 2 2 2 4 8" xfId="15114"/>
    <cellStyle name="Comma 2 2 2 2 4 8 2" xfId="24127"/>
    <cellStyle name="Comma 2 2 2 2 4 8 2 2" xfId="43556"/>
    <cellStyle name="Comma 2 2 2 2 4 8 2 3" xfId="37133"/>
    <cellStyle name="Comma 2 2 2 2 4 8 3" xfId="28450"/>
    <cellStyle name="Comma 2 2 2 2 4 8 3 2" xfId="40349"/>
    <cellStyle name="Comma 2 2 2 2 4 8 4" xfId="31785"/>
    <cellStyle name="Comma 2 2 2 2 4 8 5" xfId="33925"/>
    <cellStyle name="Comma 2 2 2 2 4 9" xfId="7930"/>
    <cellStyle name="Comma 2 2 2 2 4 9 2" xfId="42464"/>
    <cellStyle name="Comma 2 2 2 2 4 9 3" xfId="36040"/>
    <cellStyle name="Comma 2 2 2 2 5" xfId="734"/>
    <cellStyle name="Comma 2 2 2 2 5 10" xfId="22000"/>
    <cellStyle name="Comma 2 2 2 2 5 11" xfId="23162"/>
    <cellStyle name="Comma 2 2 2 2 5 12" xfId="26322"/>
    <cellStyle name="Comma 2 2 2 2 5 13" xfId="29655"/>
    <cellStyle name="Comma 2 2 2 2 5 14" xfId="32960"/>
    <cellStyle name="Comma 2 2 2 2 5 2" xfId="735"/>
    <cellStyle name="Comma 2 2 2 2 5 2 10" xfId="32961"/>
    <cellStyle name="Comma 2 2 2 2 5 2 2" xfId="9506"/>
    <cellStyle name="Comma 2 2 2 2 5 2 2 2" xfId="25306"/>
    <cellStyle name="Comma 2 2 2 2 5 2 2 2 2" xfId="44733"/>
    <cellStyle name="Comma 2 2 2 2 5 2 2 2 3" xfId="38310"/>
    <cellStyle name="Comma 2 2 2 2 5 2 2 3" xfId="27484"/>
    <cellStyle name="Comma 2 2 2 2 5 2 2 3 2" xfId="41526"/>
    <cellStyle name="Comma 2 2 2 2 5 2 2 4" xfId="30819"/>
    <cellStyle name="Comma 2 2 2 2 5 2 2 5" xfId="35102"/>
    <cellStyle name="Comma 2 2 2 2 5 2 3" xfId="15121"/>
    <cellStyle name="Comma 2 2 2 2 5 2 3 2" xfId="24134"/>
    <cellStyle name="Comma 2 2 2 2 5 2 3 2 2" xfId="43563"/>
    <cellStyle name="Comma 2 2 2 2 5 2 3 2 3" xfId="37140"/>
    <cellStyle name="Comma 2 2 2 2 5 2 3 3" xfId="28457"/>
    <cellStyle name="Comma 2 2 2 2 5 2 3 3 2" xfId="40356"/>
    <cellStyle name="Comma 2 2 2 2 5 2 3 4" xfId="31792"/>
    <cellStyle name="Comma 2 2 2 2 5 2 3 5" xfId="33932"/>
    <cellStyle name="Comma 2 2 2 2 5 2 4" xfId="7937"/>
    <cellStyle name="Comma 2 2 2 2 5 2 4 2" xfId="42592"/>
    <cellStyle name="Comma 2 2 2 2 5 2 4 3" xfId="36168"/>
    <cellStyle name="Comma 2 2 2 2 5 2 5" xfId="20928"/>
    <cellStyle name="Comma 2 2 2 2 5 2 5 2" xfId="39385"/>
    <cellStyle name="Comma 2 2 2 2 5 2 6" xfId="22001"/>
    <cellStyle name="Comma 2 2 2 2 5 2 7" xfId="23163"/>
    <cellStyle name="Comma 2 2 2 2 5 2 8" xfId="26323"/>
    <cellStyle name="Comma 2 2 2 2 5 2 9" xfId="29656"/>
    <cellStyle name="Comma 2 2 2 2 5 3" xfId="736"/>
    <cellStyle name="Comma 2 2 2 2 5 3 10" xfId="32962"/>
    <cellStyle name="Comma 2 2 2 2 5 3 2" xfId="9507"/>
    <cellStyle name="Comma 2 2 2 2 5 3 2 2" xfId="25307"/>
    <cellStyle name="Comma 2 2 2 2 5 3 2 2 2" xfId="44734"/>
    <cellStyle name="Comma 2 2 2 2 5 3 2 2 3" xfId="38311"/>
    <cellStyle name="Comma 2 2 2 2 5 3 2 3" xfId="27485"/>
    <cellStyle name="Comma 2 2 2 2 5 3 2 3 2" xfId="41527"/>
    <cellStyle name="Comma 2 2 2 2 5 3 2 4" xfId="30820"/>
    <cellStyle name="Comma 2 2 2 2 5 3 2 5" xfId="35103"/>
    <cellStyle name="Comma 2 2 2 2 5 3 3" xfId="15122"/>
    <cellStyle name="Comma 2 2 2 2 5 3 3 2" xfId="24135"/>
    <cellStyle name="Comma 2 2 2 2 5 3 3 2 2" xfId="43564"/>
    <cellStyle name="Comma 2 2 2 2 5 3 3 2 3" xfId="37141"/>
    <cellStyle name="Comma 2 2 2 2 5 3 3 3" xfId="28458"/>
    <cellStyle name="Comma 2 2 2 2 5 3 3 3 2" xfId="40357"/>
    <cellStyle name="Comma 2 2 2 2 5 3 3 4" xfId="31793"/>
    <cellStyle name="Comma 2 2 2 2 5 3 3 5" xfId="33933"/>
    <cellStyle name="Comma 2 2 2 2 5 3 4" xfId="7938"/>
    <cellStyle name="Comma 2 2 2 2 5 3 4 2" xfId="42593"/>
    <cellStyle name="Comma 2 2 2 2 5 3 4 3" xfId="36169"/>
    <cellStyle name="Comma 2 2 2 2 5 3 5" xfId="20929"/>
    <cellStyle name="Comma 2 2 2 2 5 3 5 2" xfId="39386"/>
    <cellStyle name="Comma 2 2 2 2 5 3 6" xfId="22002"/>
    <cellStyle name="Comma 2 2 2 2 5 3 7" xfId="23164"/>
    <cellStyle name="Comma 2 2 2 2 5 3 8" xfId="26324"/>
    <cellStyle name="Comma 2 2 2 2 5 3 9" xfId="29657"/>
    <cellStyle name="Comma 2 2 2 2 5 4" xfId="737"/>
    <cellStyle name="Comma 2 2 2 2 5 4 10" xfId="32963"/>
    <cellStyle name="Comma 2 2 2 2 5 4 2" xfId="9508"/>
    <cellStyle name="Comma 2 2 2 2 5 4 2 2" xfId="25308"/>
    <cellStyle name="Comma 2 2 2 2 5 4 2 2 2" xfId="44735"/>
    <cellStyle name="Comma 2 2 2 2 5 4 2 2 3" xfId="38312"/>
    <cellStyle name="Comma 2 2 2 2 5 4 2 3" xfId="27486"/>
    <cellStyle name="Comma 2 2 2 2 5 4 2 3 2" xfId="41528"/>
    <cellStyle name="Comma 2 2 2 2 5 4 2 4" xfId="30821"/>
    <cellStyle name="Comma 2 2 2 2 5 4 2 5" xfId="35104"/>
    <cellStyle name="Comma 2 2 2 2 5 4 3" xfId="15123"/>
    <cellStyle name="Comma 2 2 2 2 5 4 3 2" xfId="24136"/>
    <cellStyle name="Comma 2 2 2 2 5 4 3 2 2" xfId="43565"/>
    <cellStyle name="Comma 2 2 2 2 5 4 3 2 3" xfId="37142"/>
    <cellStyle name="Comma 2 2 2 2 5 4 3 3" xfId="28459"/>
    <cellStyle name="Comma 2 2 2 2 5 4 3 3 2" xfId="40358"/>
    <cellStyle name="Comma 2 2 2 2 5 4 3 4" xfId="31794"/>
    <cellStyle name="Comma 2 2 2 2 5 4 3 5" xfId="33934"/>
    <cellStyle name="Comma 2 2 2 2 5 4 4" xfId="7939"/>
    <cellStyle name="Comma 2 2 2 2 5 4 4 2" xfId="42594"/>
    <cellStyle name="Comma 2 2 2 2 5 4 4 3" xfId="36170"/>
    <cellStyle name="Comma 2 2 2 2 5 4 5" xfId="20930"/>
    <cellStyle name="Comma 2 2 2 2 5 4 5 2" xfId="39387"/>
    <cellStyle name="Comma 2 2 2 2 5 4 6" xfId="22003"/>
    <cellStyle name="Comma 2 2 2 2 5 4 7" xfId="23165"/>
    <cellStyle name="Comma 2 2 2 2 5 4 8" xfId="26325"/>
    <cellStyle name="Comma 2 2 2 2 5 4 9" xfId="29658"/>
    <cellStyle name="Comma 2 2 2 2 5 5" xfId="738"/>
    <cellStyle name="Comma 2 2 2 2 5 5 10" xfId="32964"/>
    <cellStyle name="Comma 2 2 2 2 5 5 2" xfId="9509"/>
    <cellStyle name="Comma 2 2 2 2 5 5 2 2" xfId="25309"/>
    <cellStyle name="Comma 2 2 2 2 5 5 2 2 2" xfId="44736"/>
    <cellStyle name="Comma 2 2 2 2 5 5 2 2 3" xfId="38313"/>
    <cellStyle name="Comma 2 2 2 2 5 5 2 3" xfId="27487"/>
    <cellStyle name="Comma 2 2 2 2 5 5 2 3 2" xfId="41529"/>
    <cellStyle name="Comma 2 2 2 2 5 5 2 4" xfId="30822"/>
    <cellStyle name="Comma 2 2 2 2 5 5 2 5" xfId="35105"/>
    <cellStyle name="Comma 2 2 2 2 5 5 3" xfId="15124"/>
    <cellStyle name="Comma 2 2 2 2 5 5 3 2" xfId="24137"/>
    <cellStyle name="Comma 2 2 2 2 5 5 3 2 2" xfId="43566"/>
    <cellStyle name="Comma 2 2 2 2 5 5 3 2 3" xfId="37143"/>
    <cellStyle name="Comma 2 2 2 2 5 5 3 3" xfId="28460"/>
    <cellStyle name="Comma 2 2 2 2 5 5 3 3 2" xfId="40359"/>
    <cellStyle name="Comma 2 2 2 2 5 5 3 4" xfId="31795"/>
    <cellStyle name="Comma 2 2 2 2 5 5 3 5" xfId="33935"/>
    <cellStyle name="Comma 2 2 2 2 5 5 4" xfId="7940"/>
    <cellStyle name="Comma 2 2 2 2 5 5 4 2" xfId="42595"/>
    <cellStyle name="Comma 2 2 2 2 5 5 4 3" xfId="36171"/>
    <cellStyle name="Comma 2 2 2 2 5 5 5" xfId="20931"/>
    <cellStyle name="Comma 2 2 2 2 5 5 5 2" xfId="39388"/>
    <cellStyle name="Comma 2 2 2 2 5 5 6" xfId="22004"/>
    <cellStyle name="Comma 2 2 2 2 5 5 7" xfId="23166"/>
    <cellStyle name="Comma 2 2 2 2 5 5 8" xfId="26326"/>
    <cellStyle name="Comma 2 2 2 2 5 5 9" xfId="29659"/>
    <cellStyle name="Comma 2 2 2 2 5 6" xfId="9505"/>
    <cellStyle name="Comma 2 2 2 2 5 6 2" xfId="25305"/>
    <cellStyle name="Comma 2 2 2 2 5 6 2 2" xfId="44732"/>
    <cellStyle name="Comma 2 2 2 2 5 6 2 3" xfId="38309"/>
    <cellStyle name="Comma 2 2 2 2 5 6 3" xfId="27483"/>
    <cellStyle name="Comma 2 2 2 2 5 6 3 2" xfId="41525"/>
    <cellStyle name="Comma 2 2 2 2 5 6 4" xfId="30818"/>
    <cellStyle name="Comma 2 2 2 2 5 6 5" xfId="35101"/>
    <cellStyle name="Comma 2 2 2 2 5 7" xfId="15120"/>
    <cellStyle name="Comma 2 2 2 2 5 7 2" xfId="24133"/>
    <cellStyle name="Comma 2 2 2 2 5 7 2 2" xfId="43562"/>
    <cellStyle name="Comma 2 2 2 2 5 7 2 3" xfId="37139"/>
    <cellStyle name="Comma 2 2 2 2 5 7 3" xfId="28456"/>
    <cellStyle name="Comma 2 2 2 2 5 7 3 2" xfId="40355"/>
    <cellStyle name="Comma 2 2 2 2 5 7 4" xfId="31791"/>
    <cellStyle name="Comma 2 2 2 2 5 7 5" xfId="33931"/>
    <cellStyle name="Comma 2 2 2 2 5 8" xfId="7936"/>
    <cellStyle name="Comma 2 2 2 2 5 8 2" xfId="42591"/>
    <cellStyle name="Comma 2 2 2 2 5 8 3" xfId="36167"/>
    <cellStyle name="Comma 2 2 2 2 5 9" xfId="20927"/>
    <cellStyle name="Comma 2 2 2 2 5 9 2" xfId="39384"/>
    <cellStyle name="Comma 2 2 2 2 6" xfId="739"/>
    <cellStyle name="Comma 2 2 2 2 6 10" xfId="22005"/>
    <cellStyle name="Comma 2 2 2 2 6 11" xfId="23167"/>
    <cellStyle name="Comma 2 2 2 2 6 12" xfId="26327"/>
    <cellStyle name="Comma 2 2 2 2 6 13" xfId="29660"/>
    <cellStyle name="Comma 2 2 2 2 6 14" xfId="32965"/>
    <cellStyle name="Comma 2 2 2 2 6 2" xfId="740"/>
    <cellStyle name="Comma 2 2 2 2 6 2 10" xfId="32966"/>
    <cellStyle name="Comma 2 2 2 2 6 2 2" xfId="9511"/>
    <cellStyle name="Comma 2 2 2 2 6 2 2 2" xfId="25311"/>
    <cellStyle name="Comma 2 2 2 2 6 2 2 2 2" xfId="44738"/>
    <cellStyle name="Comma 2 2 2 2 6 2 2 2 3" xfId="38315"/>
    <cellStyle name="Comma 2 2 2 2 6 2 2 3" xfId="27489"/>
    <cellStyle name="Comma 2 2 2 2 6 2 2 3 2" xfId="41531"/>
    <cellStyle name="Comma 2 2 2 2 6 2 2 4" xfId="30824"/>
    <cellStyle name="Comma 2 2 2 2 6 2 2 5" xfId="35107"/>
    <cellStyle name="Comma 2 2 2 2 6 2 3" xfId="15126"/>
    <cellStyle name="Comma 2 2 2 2 6 2 3 2" xfId="24139"/>
    <cellStyle name="Comma 2 2 2 2 6 2 3 2 2" xfId="43568"/>
    <cellStyle name="Comma 2 2 2 2 6 2 3 2 3" xfId="37145"/>
    <cellStyle name="Comma 2 2 2 2 6 2 3 3" xfId="28462"/>
    <cellStyle name="Comma 2 2 2 2 6 2 3 3 2" xfId="40361"/>
    <cellStyle name="Comma 2 2 2 2 6 2 3 4" xfId="31797"/>
    <cellStyle name="Comma 2 2 2 2 6 2 3 5" xfId="33937"/>
    <cellStyle name="Comma 2 2 2 2 6 2 4" xfId="7942"/>
    <cellStyle name="Comma 2 2 2 2 6 2 4 2" xfId="42597"/>
    <cellStyle name="Comma 2 2 2 2 6 2 4 3" xfId="36173"/>
    <cellStyle name="Comma 2 2 2 2 6 2 5" xfId="20933"/>
    <cellStyle name="Comma 2 2 2 2 6 2 5 2" xfId="39390"/>
    <cellStyle name="Comma 2 2 2 2 6 2 6" xfId="22006"/>
    <cellStyle name="Comma 2 2 2 2 6 2 7" xfId="23168"/>
    <cellStyle name="Comma 2 2 2 2 6 2 8" xfId="26328"/>
    <cellStyle name="Comma 2 2 2 2 6 2 9" xfId="29661"/>
    <cellStyle name="Comma 2 2 2 2 6 3" xfId="741"/>
    <cellStyle name="Comma 2 2 2 2 6 3 10" xfId="32967"/>
    <cellStyle name="Comma 2 2 2 2 6 3 2" xfId="9512"/>
    <cellStyle name="Comma 2 2 2 2 6 3 2 2" xfId="25312"/>
    <cellStyle name="Comma 2 2 2 2 6 3 2 2 2" xfId="44739"/>
    <cellStyle name="Comma 2 2 2 2 6 3 2 2 3" xfId="38316"/>
    <cellStyle name="Comma 2 2 2 2 6 3 2 3" xfId="27490"/>
    <cellStyle name="Comma 2 2 2 2 6 3 2 3 2" xfId="41532"/>
    <cellStyle name="Comma 2 2 2 2 6 3 2 4" xfId="30825"/>
    <cellStyle name="Comma 2 2 2 2 6 3 2 5" xfId="35108"/>
    <cellStyle name="Comma 2 2 2 2 6 3 3" xfId="15127"/>
    <cellStyle name="Comma 2 2 2 2 6 3 3 2" xfId="24140"/>
    <cellStyle name="Comma 2 2 2 2 6 3 3 2 2" xfId="43569"/>
    <cellStyle name="Comma 2 2 2 2 6 3 3 2 3" xfId="37146"/>
    <cellStyle name="Comma 2 2 2 2 6 3 3 3" xfId="28463"/>
    <cellStyle name="Comma 2 2 2 2 6 3 3 3 2" xfId="40362"/>
    <cellStyle name="Comma 2 2 2 2 6 3 3 4" xfId="31798"/>
    <cellStyle name="Comma 2 2 2 2 6 3 3 5" xfId="33938"/>
    <cellStyle name="Comma 2 2 2 2 6 3 4" xfId="7943"/>
    <cellStyle name="Comma 2 2 2 2 6 3 4 2" xfId="42598"/>
    <cellStyle name="Comma 2 2 2 2 6 3 4 3" xfId="36174"/>
    <cellStyle name="Comma 2 2 2 2 6 3 5" xfId="20934"/>
    <cellStyle name="Comma 2 2 2 2 6 3 5 2" xfId="39391"/>
    <cellStyle name="Comma 2 2 2 2 6 3 6" xfId="22007"/>
    <cellStyle name="Comma 2 2 2 2 6 3 7" xfId="23169"/>
    <cellStyle name="Comma 2 2 2 2 6 3 8" xfId="26329"/>
    <cellStyle name="Comma 2 2 2 2 6 3 9" xfId="29662"/>
    <cellStyle name="Comma 2 2 2 2 6 4" xfId="742"/>
    <cellStyle name="Comma 2 2 2 2 6 4 10" xfId="32968"/>
    <cellStyle name="Comma 2 2 2 2 6 4 2" xfId="9513"/>
    <cellStyle name="Comma 2 2 2 2 6 4 2 2" xfId="25313"/>
    <cellStyle name="Comma 2 2 2 2 6 4 2 2 2" xfId="44740"/>
    <cellStyle name="Comma 2 2 2 2 6 4 2 2 3" xfId="38317"/>
    <cellStyle name="Comma 2 2 2 2 6 4 2 3" xfId="27491"/>
    <cellStyle name="Comma 2 2 2 2 6 4 2 3 2" xfId="41533"/>
    <cellStyle name="Comma 2 2 2 2 6 4 2 4" xfId="30826"/>
    <cellStyle name="Comma 2 2 2 2 6 4 2 5" xfId="35109"/>
    <cellStyle name="Comma 2 2 2 2 6 4 3" xfId="15128"/>
    <cellStyle name="Comma 2 2 2 2 6 4 3 2" xfId="24141"/>
    <cellStyle name="Comma 2 2 2 2 6 4 3 2 2" xfId="43570"/>
    <cellStyle name="Comma 2 2 2 2 6 4 3 2 3" xfId="37147"/>
    <cellStyle name="Comma 2 2 2 2 6 4 3 3" xfId="28464"/>
    <cellStyle name="Comma 2 2 2 2 6 4 3 3 2" xfId="40363"/>
    <cellStyle name="Comma 2 2 2 2 6 4 3 4" xfId="31799"/>
    <cellStyle name="Comma 2 2 2 2 6 4 3 5" xfId="33939"/>
    <cellStyle name="Comma 2 2 2 2 6 4 4" xfId="7944"/>
    <cellStyle name="Comma 2 2 2 2 6 4 4 2" xfId="42599"/>
    <cellStyle name="Comma 2 2 2 2 6 4 4 3" xfId="36175"/>
    <cellStyle name="Comma 2 2 2 2 6 4 5" xfId="20935"/>
    <cellStyle name="Comma 2 2 2 2 6 4 5 2" xfId="39392"/>
    <cellStyle name="Comma 2 2 2 2 6 4 6" xfId="22008"/>
    <cellStyle name="Comma 2 2 2 2 6 4 7" xfId="23170"/>
    <cellStyle name="Comma 2 2 2 2 6 4 8" xfId="26330"/>
    <cellStyle name="Comma 2 2 2 2 6 4 9" xfId="29663"/>
    <cellStyle name="Comma 2 2 2 2 6 5" xfId="743"/>
    <cellStyle name="Comma 2 2 2 2 6 5 10" xfId="32969"/>
    <cellStyle name="Comma 2 2 2 2 6 5 2" xfId="9514"/>
    <cellStyle name="Comma 2 2 2 2 6 5 2 2" xfId="25314"/>
    <cellStyle name="Comma 2 2 2 2 6 5 2 2 2" xfId="44741"/>
    <cellStyle name="Comma 2 2 2 2 6 5 2 2 3" xfId="38318"/>
    <cellStyle name="Comma 2 2 2 2 6 5 2 3" xfId="27492"/>
    <cellStyle name="Comma 2 2 2 2 6 5 2 3 2" xfId="41534"/>
    <cellStyle name="Comma 2 2 2 2 6 5 2 4" xfId="30827"/>
    <cellStyle name="Comma 2 2 2 2 6 5 2 5" xfId="35110"/>
    <cellStyle name="Comma 2 2 2 2 6 5 3" xfId="15129"/>
    <cellStyle name="Comma 2 2 2 2 6 5 3 2" xfId="24142"/>
    <cellStyle name="Comma 2 2 2 2 6 5 3 2 2" xfId="43571"/>
    <cellStyle name="Comma 2 2 2 2 6 5 3 2 3" xfId="37148"/>
    <cellStyle name="Comma 2 2 2 2 6 5 3 3" xfId="28465"/>
    <cellStyle name="Comma 2 2 2 2 6 5 3 3 2" xfId="40364"/>
    <cellStyle name="Comma 2 2 2 2 6 5 3 4" xfId="31800"/>
    <cellStyle name="Comma 2 2 2 2 6 5 3 5" xfId="33940"/>
    <cellStyle name="Comma 2 2 2 2 6 5 4" xfId="7945"/>
    <cellStyle name="Comma 2 2 2 2 6 5 4 2" xfId="42600"/>
    <cellStyle name="Comma 2 2 2 2 6 5 4 3" xfId="36176"/>
    <cellStyle name="Comma 2 2 2 2 6 5 5" xfId="20936"/>
    <cellStyle name="Comma 2 2 2 2 6 5 5 2" xfId="39393"/>
    <cellStyle name="Comma 2 2 2 2 6 5 6" xfId="22009"/>
    <cellStyle name="Comma 2 2 2 2 6 5 7" xfId="23171"/>
    <cellStyle name="Comma 2 2 2 2 6 5 8" xfId="26331"/>
    <cellStyle name="Comma 2 2 2 2 6 5 9" xfId="29664"/>
    <cellStyle name="Comma 2 2 2 2 6 6" xfId="9510"/>
    <cellStyle name="Comma 2 2 2 2 6 6 2" xfId="25310"/>
    <cellStyle name="Comma 2 2 2 2 6 6 2 2" xfId="44737"/>
    <cellStyle name="Comma 2 2 2 2 6 6 2 3" xfId="38314"/>
    <cellStyle name="Comma 2 2 2 2 6 6 3" xfId="27488"/>
    <cellStyle name="Comma 2 2 2 2 6 6 3 2" xfId="41530"/>
    <cellStyle name="Comma 2 2 2 2 6 6 4" xfId="30823"/>
    <cellStyle name="Comma 2 2 2 2 6 6 5" xfId="35106"/>
    <cellStyle name="Comma 2 2 2 2 6 7" xfId="15125"/>
    <cellStyle name="Comma 2 2 2 2 6 7 2" xfId="24138"/>
    <cellStyle name="Comma 2 2 2 2 6 7 2 2" xfId="43567"/>
    <cellStyle name="Comma 2 2 2 2 6 7 2 3" xfId="37144"/>
    <cellStyle name="Comma 2 2 2 2 6 7 3" xfId="28461"/>
    <cellStyle name="Comma 2 2 2 2 6 7 3 2" xfId="40360"/>
    <cellStyle name="Comma 2 2 2 2 6 7 4" xfId="31796"/>
    <cellStyle name="Comma 2 2 2 2 6 7 5" xfId="33936"/>
    <cellStyle name="Comma 2 2 2 2 6 8" xfId="7941"/>
    <cellStyle name="Comma 2 2 2 2 6 8 2" xfId="42596"/>
    <cellStyle name="Comma 2 2 2 2 6 8 3" xfId="36172"/>
    <cellStyle name="Comma 2 2 2 2 6 9" xfId="20932"/>
    <cellStyle name="Comma 2 2 2 2 6 9 2" xfId="39389"/>
    <cellStyle name="Comma 2 2 2 2 7" xfId="744"/>
    <cellStyle name="Comma 2 2 2 2 7 10" xfId="32970"/>
    <cellStyle name="Comma 2 2 2 2 7 2" xfId="9515"/>
    <cellStyle name="Comma 2 2 2 2 7 2 2" xfId="25315"/>
    <cellStyle name="Comma 2 2 2 2 7 2 2 2" xfId="44742"/>
    <cellStyle name="Comma 2 2 2 2 7 2 2 3" xfId="38319"/>
    <cellStyle name="Comma 2 2 2 2 7 2 3" xfId="27493"/>
    <cellStyle name="Comma 2 2 2 2 7 2 3 2" xfId="41535"/>
    <cellStyle name="Comma 2 2 2 2 7 2 4" xfId="30828"/>
    <cellStyle name="Comma 2 2 2 2 7 2 5" xfId="35111"/>
    <cellStyle name="Comma 2 2 2 2 7 3" xfId="15130"/>
    <cellStyle name="Comma 2 2 2 2 7 3 2" xfId="24143"/>
    <cellStyle name="Comma 2 2 2 2 7 3 2 2" xfId="43572"/>
    <cellStyle name="Comma 2 2 2 2 7 3 2 3" xfId="37149"/>
    <cellStyle name="Comma 2 2 2 2 7 3 3" xfId="28466"/>
    <cellStyle name="Comma 2 2 2 2 7 3 3 2" xfId="40365"/>
    <cellStyle name="Comma 2 2 2 2 7 3 4" xfId="31801"/>
    <cellStyle name="Comma 2 2 2 2 7 3 5" xfId="33941"/>
    <cellStyle name="Comma 2 2 2 2 7 4" xfId="7946"/>
    <cellStyle name="Comma 2 2 2 2 7 4 2" xfId="42601"/>
    <cellStyle name="Comma 2 2 2 2 7 4 3" xfId="36177"/>
    <cellStyle name="Comma 2 2 2 2 7 5" xfId="20937"/>
    <cellStyle name="Comma 2 2 2 2 7 5 2" xfId="39394"/>
    <cellStyle name="Comma 2 2 2 2 7 6" xfId="22010"/>
    <cellStyle name="Comma 2 2 2 2 7 7" xfId="23172"/>
    <cellStyle name="Comma 2 2 2 2 7 8" xfId="26332"/>
    <cellStyle name="Comma 2 2 2 2 7 9" xfId="29665"/>
    <cellStyle name="Comma 2 2 2 2 8" xfId="745"/>
    <cellStyle name="Comma 2 2 2 2 8 10" xfId="32971"/>
    <cellStyle name="Comma 2 2 2 2 8 2" xfId="9516"/>
    <cellStyle name="Comma 2 2 2 2 8 2 2" xfId="25316"/>
    <cellStyle name="Comma 2 2 2 2 8 2 2 2" xfId="44743"/>
    <cellStyle name="Comma 2 2 2 2 8 2 2 3" xfId="38320"/>
    <cellStyle name="Comma 2 2 2 2 8 2 3" xfId="27494"/>
    <cellStyle name="Comma 2 2 2 2 8 2 3 2" xfId="41536"/>
    <cellStyle name="Comma 2 2 2 2 8 2 4" xfId="30829"/>
    <cellStyle name="Comma 2 2 2 2 8 2 5" xfId="35112"/>
    <cellStyle name="Comma 2 2 2 2 8 3" xfId="15131"/>
    <cellStyle name="Comma 2 2 2 2 8 3 2" xfId="24144"/>
    <cellStyle name="Comma 2 2 2 2 8 3 2 2" xfId="43573"/>
    <cellStyle name="Comma 2 2 2 2 8 3 2 3" xfId="37150"/>
    <cellStyle name="Comma 2 2 2 2 8 3 3" xfId="28467"/>
    <cellStyle name="Comma 2 2 2 2 8 3 3 2" xfId="40366"/>
    <cellStyle name="Comma 2 2 2 2 8 3 4" xfId="31802"/>
    <cellStyle name="Comma 2 2 2 2 8 3 5" xfId="33942"/>
    <cellStyle name="Comma 2 2 2 2 8 4" xfId="7947"/>
    <cellStyle name="Comma 2 2 2 2 8 4 2" xfId="42602"/>
    <cellStyle name="Comma 2 2 2 2 8 4 3" xfId="36178"/>
    <cellStyle name="Comma 2 2 2 2 8 5" xfId="20938"/>
    <cellStyle name="Comma 2 2 2 2 8 5 2" xfId="39395"/>
    <cellStyle name="Comma 2 2 2 2 8 6" xfId="22011"/>
    <cellStyle name="Comma 2 2 2 2 8 7" xfId="23173"/>
    <cellStyle name="Comma 2 2 2 2 8 8" xfId="26333"/>
    <cellStyle name="Comma 2 2 2 2 8 9" xfId="29666"/>
    <cellStyle name="Comma 2 2 2 2 9" xfId="746"/>
    <cellStyle name="Comma 2 2 2 2 9 10" xfId="32972"/>
    <cellStyle name="Comma 2 2 2 2 9 2" xfId="9517"/>
    <cellStyle name="Comma 2 2 2 2 9 2 2" xfId="25317"/>
    <cellStyle name="Comma 2 2 2 2 9 2 2 2" xfId="44744"/>
    <cellStyle name="Comma 2 2 2 2 9 2 2 3" xfId="38321"/>
    <cellStyle name="Comma 2 2 2 2 9 2 3" xfId="27495"/>
    <cellStyle name="Comma 2 2 2 2 9 2 3 2" xfId="41537"/>
    <cellStyle name="Comma 2 2 2 2 9 2 4" xfId="30830"/>
    <cellStyle name="Comma 2 2 2 2 9 2 5" xfId="35113"/>
    <cellStyle name="Comma 2 2 2 2 9 3" xfId="15132"/>
    <cellStyle name="Comma 2 2 2 2 9 3 2" xfId="24145"/>
    <cellStyle name="Comma 2 2 2 2 9 3 2 2" xfId="43574"/>
    <cellStyle name="Comma 2 2 2 2 9 3 2 3" xfId="37151"/>
    <cellStyle name="Comma 2 2 2 2 9 3 3" xfId="28468"/>
    <cellStyle name="Comma 2 2 2 2 9 3 3 2" xfId="40367"/>
    <cellStyle name="Comma 2 2 2 2 9 3 4" xfId="31803"/>
    <cellStyle name="Comma 2 2 2 2 9 3 5" xfId="33943"/>
    <cellStyle name="Comma 2 2 2 2 9 4" xfId="7948"/>
    <cellStyle name="Comma 2 2 2 2 9 4 2" xfId="42603"/>
    <cellStyle name="Comma 2 2 2 2 9 4 3" xfId="36179"/>
    <cellStyle name="Comma 2 2 2 2 9 5" xfId="20939"/>
    <cellStyle name="Comma 2 2 2 2 9 5 2" xfId="39396"/>
    <cellStyle name="Comma 2 2 2 2 9 6" xfId="22012"/>
    <cellStyle name="Comma 2 2 2 2 9 7" xfId="23174"/>
    <cellStyle name="Comma 2 2 2 2 9 8" xfId="26334"/>
    <cellStyle name="Comma 2 2 2 2 9 9" xfId="29667"/>
    <cellStyle name="Comma 2 2 2 20" xfId="29586"/>
    <cellStyle name="Comma 2 2 2 21" xfId="32773"/>
    <cellStyle name="Comma 2 2 2 3" xfId="260"/>
    <cellStyle name="Comma 2 2 2 3 10" xfId="747"/>
    <cellStyle name="Comma 2 2 2 3 10 10" xfId="32973"/>
    <cellStyle name="Comma 2 2 2 3 10 2" xfId="9518"/>
    <cellStyle name="Comma 2 2 2 3 10 2 2" xfId="25318"/>
    <cellStyle name="Comma 2 2 2 3 10 2 2 2" xfId="44745"/>
    <cellStyle name="Comma 2 2 2 3 10 2 2 3" xfId="38322"/>
    <cellStyle name="Comma 2 2 2 3 10 2 3" xfId="27496"/>
    <cellStyle name="Comma 2 2 2 3 10 2 3 2" xfId="41538"/>
    <cellStyle name="Comma 2 2 2 3 10 2 4" xfId="30831"/>
    <cellStyle name="Comma 2 2 2 3 10 2 5" xfId="35114"/>
    <cellStyle name="Comma 2 2 2 3 10 3" xfId="15134"/>
    <cellStyle name="Comma 2 2 2 3 10 3 2" xfId="24147"/>
    <cellStyle name="Comma 2 2 2 3 10 3 2 2" xfId="43576"/>
    <cellStyle name="Comma 2 2 2 3 10 3 2 3" xfId="37153"/>
    <cellStyle name="Comma 2 2 2 3 10 3 3" xfId="28470"/>
    <cellStyle name="Comma 2 2 2 3 10 3 3 2" xfId="40369"/>
    <cellStyle name="Comma 2 2 2 3 10 3 4" xfId="31805"/>
    <cellStyle name="Comma 2 2 2 3 10 3 5" xfId="33945"/>
    <cellStyle name="Comma 2 2 2 3 10 4" xfId="7950"/>
    <cellStyle name="Comma 2 2 2 3 10 4 2" xfId="42604"/>
    <cellStyle name="Comma 2 2 2 3 10 4 3" xfId="36180"/>
    <cellStyle name="Comma 2 2 2 3 10 5" xfId="20941"/>
    <cellStyle name="Comma 2 2 2 3 10 5 2" xfId="39397"/>
    <cellStyle name="Comma 2 2 2 3 10 6" xfId="22014"/>
    <cellStyle name="Comma 2 2 2 3 10 7" xfId="23175"/>
    <cellStyle name="Comma 2 2 2 3 10 8" xfId="26336"/>
    <cellStyle name="Comma 2 2 2 3 10 9" xfId="29669"/>
    <cellStyle name="Comma 2 2 2 3 11" xfId="9117"/>
    <cellStyle name="Comma 2 2 2 3 11 2" xfId="25171"/>
    <cellStyle name="Comma 2 2 2 3 11 2 2" xfId="44598"/>
    <cellStyle name="Comma 2 2 2 3 11 2 3" xfId="38175"/>
    <cellStyle name="Comma 2 2 2 3 11 3" xfId="27350"/>
    <cellStyle name="Comma 2 2 2 3 11 3 2" xfId="41391"/>
    <cellStyle name="Comma 2 2 2 3 11 4" xfId="30685"/>
    <cellStyle name="Comma 2 2 2 3 11 5" xfId="34967"/>
    <cellStyle name="Comma 2 2 2 3 12" xfId="15133"/>
    <cellStyle name="Comma 2 2 2 3 12 2" xfId="24146"/>
    <cellStyle name="Comma 2 2 2 3 12 2 2" xfId="43575"/>
    <cellStyle name="Comma 2 2 2 3 12 2 3" xfId="37152"/>
    <cellStyle name="Comma 2 2 2 3 12 3" xfId="28469"/>
    <cellStyle name="Comma 2 2 2 3 12 3 2" xfId="40368"/>
    <cellStyle name="Comma 2 2 2 3 12 4" xfId="31804"/>
    <cellStyle name="Comma 2 2 2 3 12 5" xfId="33944"/>
    <cellStyle name="Comma 2 2 2 3 13" xfId="7949"/>
    <cellStyle name="Comma 2 2 2 3 13 2" xfId="42461"/>
    <cellStyle name="Comma 2 2 2 3 13 3" xfId="36037"/>
    <cellStyle name="Comma 2 2 2 3 14" xfId="20940"/>
    <cellStyle name="Comma 2 2 2 3 14 2" xfId="39254"/>
    <cellStyle name="Comma 2 2 2 3 15" xfId="22013"/>
    <cellStyle name="Comma 2 2 2 3 16" xfId="23032"/>
    <cellStyle name="Comma 2 2 2 3 17" xfId="26335"/>
    <cellStyle name="Comma 2 2 2 3 18" xfId="29668"/>
    <cellStyle name="Comma 2 2 2 3 19" xfId="32830"/>
    <cellStyle name="Comma 2 2 2 3 2" xfId="253"/>
    <cellStyle name="Comma 2 2 2 3 2 10" xfId="15135"/>
    <cellStyle name="Comma 2 2 2 3 2 10 2" xfId="24148"/>
    <cellStyle name="Comma 2 2 2 3 2 10 2 2" xfId="43577"/>
    <cellStyle name="Comma 2 2 2 3 2 10 2 3" xfId="37154"/>
    <cellStyle name="Comma 2 2 2 3 2 10 3" xfId="28471"/>
    <cellStyle name="Comma 2 2 2 3 2 10 3 2" xfId="40370"/>
    <cellStyle name="Comma 2 2 2 3 2 10 4" xfId="31806"/>
    <cellStyle name="Comma 2 2 2 3 2 10 5" xfId="33946"/>
    <cellStyle name="Comma 2 2 2 3 2 11" xfId="7951"/>
    <cellStyle name="Comma 2 2 2 3 2 11 2" xfId="42456"/>
    <cellStyle name="Comma 2 2 2 3 2 11 3" xfId="36032"/>
    <cellStyle name="Comma 2 2 2 3 2 12" xfId="20942"/>
    <cellStyle name="Comma 2 2 2 3 2 12 2" xfId="39249"/>
    <cellStyle name="Comma 2 2 2 3 2 13" xfId="22015"/>
    <cellStyle name="Comma 2 2 2 3 2 14" xfId="23027"/>
    <cellStyle name="Comma 2 2 2 3 2 15" xfId="26337"/>
    <cellStyle name="Comma 2 2 2 3 2 16" xfId="29670"/>
    <cellStyle name="Comma 2 2 2 3 2 17" xfId="32825"/>
    <cellStyle name="Comma 2 2 2 3 2 2" xfId="207"/>
    <cellStyle name="Comma 2 2 2 3 2 2 10" xfId="20943"/>
    <cellStyle name="Comma 2 2 2 3 2 2 10 2" xfId="39218"/>
    <cellStyle name="Comma 2 2 2 3 2 2 11" xfId="22016"/>
    <cellStyle name="Comma 2 2 2 3 2 2 12" xfId="22996"/>
    <cellStyle name="Comma 2 2 2 3 2 2 13" xfId="26338"/>
    <cellStyle name="Comma 2 2 2 3 2 2 14" xfId="29671"/>
    <cellStyle name="Comma 2 2 2 3 2 2 15" xfId="32794"/>
    <cellStyle name="Comma 2 2 2 3 2 2 2" xfId="748"/>
    <cellStyle name="Comma 2 2 2 3 2 2 2 10" xfId="32974"/>
    <cellStyle name="Comma 2 2 2 3 2 2 2 2" xfId="9519"/>
    <cellStyle name="Comma 2 2 2 3 2 2 2 2 2" xfId="25319"/>
    <cellStyle name="Comma 2 2 2 3 2 2 2 2 2 2" xfId="44746"/>
    <cellStyle name="Comma 2 2 2 3 2 2 2 2 2 3" xfId="38323"/>
    <cellStyle name="Comma 2 2 2 3 2 2 2 2 3" xfId="27497"/>
    <cellStyle name="Comma 2 2 2 3 2 2 2 2 3 2" xfId="41539"/>
    <cellStyle name="Comma 2 2 2 3 2 2 2 2 4" xfId="30832"/>
    <cellStyle name="Comma 2 2 2 3 2 2 2 2 5" xfId="35115"/>
    <cellStyle name="Comma 2 2 2 3 2 2 2 3" xfId="15137"/>
    <cellStyle name="Comma 2 2 2 3 2 2 2 3 2" xfId="24150"/>
    <cellStyle name="Comma 2 2 2 3 2 2 2 3 2 2" xfId="43579"/>
    <cellStyle name="Comma 2 2 2 3 2 2 2 3 2 3" xfId="37156"/>
    <cellStyle name="Comma 2 2 2 3 2 2 2 3 3" xfId="28473"/>
    <cellStyle name="Comma 2 2 2 3 2 2 2 3 3 2" xfId="40372"/>
    <cellStyle name="Comma 2 2 2 3 2 2 2 3 4" xfId="31808"/>
    <cellStyle name="Comma 2 2 2 3 2 2 2 3 5" xfId="33948"/>
    <cellStyle name="Comma 2 2 2 3 2 2 2 4" xfId="7953"/>
    <cellStyle name="Comma 2 2 2 3 2 2 2 4 2" xfId="42605"/>
    <cellStyle name="Comma 2 2 2 3 2 2 2 4 3" xfId="36181"/>
    <cellStyle name="Comma 2 2 2 3 2 2 2 5" xfId="20944"/>
    <cellStyle name="Comma 2 2 2 3 2 2 2 5 2" xfId="39398"/>
    <cellStyle name="Comma 2 2 2 3 2 2 2 6" xfId="22017"/>
    <cellStyle name="Comma 2 2 2 3 2 2 2 7" xfId="23176"/>
    <cellStyle name="Comma 2 2 2 3 2 2 2 8" xfId="26339"/>
    <cellStyle name="Comma 2 2 2 3 2 2 2 9" xfId="29672"/>
    <cellStyle name="Comma 2 2 2 3 2 2 3" xfId="749"/>
    <cellStyle name="Comma 2 2 2 3 2 2 3 10" xfId="32975"/>
    <cellStyle name="Comma 2 2 2 3 2 2 3 2" xfId="9520"/>
    <cellStyle name="Comma 2 2 2 3 2 2 3 2 2" xfId="25320"/>
    <cellStyle name="Comma 2 2 2 3 2 2 3 2 2 2" xfId="44747"/>
    <cellStyle name="Comma 2 2 2 3 2 2 3 2 2 3" xfId="38324"/>
    <cellStyle name="Comma 2 2 2 3 2 2 3 2 3" xfId="27498"/>
    <cellStyle name="Comma 2 2 2 3 2 2 3 2 3 2" xfId="41540"/>
    <cellStyle name="Comma 2 2 2 3 2 2 3 2 4" xfId="30833"/>
    <cellStyle name="Comma 2 2 2 3 2 2 3 2 5" xfId="35116"/>
    <cellStyle name="Comma 2 2 2 3 2 2 3 3" xfId="15138"/>
    <cellStyle name="Comma 2 2 2 3 2 2 3 3 2" xfId="24151"/>
    <cellStyle name="Comma 2 2 2 3 2 2 3 3 2 2" xfId="43580"/>
    <cellStyle name="Comma 2 2 2 3 2 2 3 3 2 3" xfId="37157"/>
    <cellStyle name="Comma 2 2 2 3 2 2 3 3 3" xfId="28474"/>
    <cellStyle name="Comma 2 2 2 3 2 2 3 3 3 2" xfId="40373"/>
    <cellStyle name="Comma 2 2 2 3 2 2 3 3 4" xfId="31809"/>
    <cellStyle name="Comma 2 2 2 3 2 2 3 3 5" xfId="33949"/>
    <cellStyle name="Comma 2 2 2 3 2 2 3 4" xfId="7954"/>
    <cellStyle name="Comma 2 2 2 3 2 2 3 4 2" xfId="42606"/>
    <cellStyle name="Comma 2 2 2 3 2 2 3 4 3" xfId="36182"/>
    <cellStyle name="Comma 2 2 2 3 2 2 3 5" xfId="20945"/>
    <cellStyle name="Comma 2 2 2 3 2 2 3 5 2" xfId="39399"/>
    <cellStyle name="Comma 2 2 2 3 2 2 3 6" xfId="22018"/>
    <cellStyle name="Comma 2 2 2 3 2 2 3 7" xfId="23177"/>
    <cellStyle name="Comma 2 2 2 3 2 2 3 8" xfId="26340"/>
    <cellStyle name="Comma 2 2 2 3 2 2 3 9" xfId="29673"/>
    <cellStyle name="Comma 2 2 2 3 2 2 4" xfId="750"/>
    <cellStyle name="Comma 2 2 2 3 2 2 4 10" xfId="32976"/>
    <cellStyle name="Comma 2 2 2 3 2 2 4 2" xfId="9521"/>
    <cellStyle name="Comma 2 2 2 3 2 2 4 2 2" xfId="25321"/>
    <cellStyle name="Comma 2 2 2 3 2 2 4 2 2 2" xfId="44748"/>
    <cellStyle name="Comma 2 2 2 3 2 2 4 2 2 3" xfId="38325"/>
    <cellStyle name="Comma 2 2 2 3 2 2 4 2 3" xfId="27499"/>
    <cellStyle name="Comma 2 2 2 3 2 2 4 2 3 2" xfId="41541"/>
    <cellStyle name="Comma 2 2 2 3 2 2 4 2 4" xfId="30834"/>
    <cellStyle name="Comma 2 2 2 3 2 2 4 2 5" xfId="35117"/>
    <cellStyle name="Comma 2 2 2 3 2 2 4 3" xfId="15139"/>
    <cellStyle name="Comma 2 2 2 3 2 2 4 3 2" xfId="24152"/>
    <cellStyle name="Comma 2 2 2 3 2 2 4 3 2 2" xfId="43581"/>
    <cellStyle name="Comma 2 2 2 3 2 2 4 3 2 3" xfId="37158"/>
    <cellStyle name="Comma 2 2 2 3 2 2 4 3 3" xfId="28475"/>
    <cellStyle name="Comma 2 2 2 3 2 2 4 3 3 2" xfId="40374"/>
    <cellStyle name="Comma 2 2 2 3 2 2 4 3 4" xfId="31810"/>
    <cellStyle name="Comma 2 2 2 3 2 2 4 3 5" xfId="33950"/>
    <cellStyle name="Comma 2 2 2 3 2 2 4 4" xfId="7955"/>
    <cellStyle name="Comma 2 2 2 3 2 2 4 4 2" xfId="42607"/>
    <cellStyle name="Comma 2 2 2 3 2 2 4 4 3" xfId="36183"/>
    <cellStyle name="Comma 2 2 2 3 2 2 4 5" xfId="20946"/>
    <cellStyle name="Comma 2 2 2 3 2 2 4 5 2" xfId="39400"/>
    <cellStyle name="Comma 2 2 2 3 2 2 4 6" xfId="22019"/>
    <cellStyle name="Comma 2 2 2 3 2 2 4 7" xfId="23178"/>
    <cellStyle name="Comma 2 2 2 3 2 2 4 8" xfId="26341"/>
    <cellStyle name="Comma 2 2 2 3 2 2 4 9" xfId="29674"/>
    <cellStyle name="Comma 2 2 2 3 2 2 5" xfId="751"/>
    <cellStyle name="Comma 2 2 2 3 2 2 5 10" xfId="32977"/>
    <cellStyle name="Comma 2 2 2 3 2 2 5 2" xfId="9522"/>
    <cellStyle name="Comma 2 2 2 3 2 2 5 2 2" xfId="25322"/>
    <cellStyle name="Comma 2 2 2 3 2 2 5 2 2 2" xfId="44749"/>
    <cellStyle name="Comma 2 2 2 3 2 2 5 2 2 3" xfId="38326"/>
    <cellStyle name="Comma 2 2 2 3 2 2 5 2 3" xfId="27500"/>
    <cellStyle name="Comma 2 2 2 3 2 2 5 2 3 2" xfId="41542"/>
    <cellStyle name="Comma 2 2 2 3 2 2 5 2 4" xfId="30835"/>
    <cellStyle name="Comma 2 2 2 3 2 2 5 2 5" xfId="35118"/>
    <cellStyle name="Comma 2 2 2 3 2 2 5 3" xfId="15140"/>
    <cellStyle name="Comma 2 2 2 3 2 2 5 3 2" xfId="24153"/>
    <cellStyle name="Comma 2 2 2 3 2 2 5 3 2 2" xfId="43582"/>
    <cellStyle name="Comma 2 2 2 3 2 2 5 3 2 3" xfId="37159"/>
    <cellStyle name="Comma 2 2 2 3 2 2 5 3 3" xfId="28476"/>
    <cellStyle name="Comma 2 2 2 3 2 2 5 3 3 2" xfId="40375"/>
    <cellStyle name="Comma 2 2 2 3 2 2 5 3 4" xfId="31811"/>
    <cellStyle name="Comma 2 2 2 3 2 2 5 3 5" xfId="33951"/>
    <cellStyle name="Comma 2 2 2 3 2 2 5 4" xfId="7956"/>
    <cellStyle name="Comma 2 2 2 3 2 2 5 4 2" xfId="42608"/>
    <cellStyle name="Comma 2 2 2 3 2 2 5 4 3" xfId="36184"/>
    <cellStyle name="Comma 2 2 2 3 2 2 5 5" xfId="20947"/>
    <cellStyle name="Comma 2 2 2 3 2 2 5 5 2" xfId="39401"/>
    <cellStyle name="Comma 2 2 2 3 2 2 5 6" xfId="22020"/>
    <cellStyle name="Comma 2 2 2 3 2 2 5 7" xfId="23179"/>
    <cellStyle name="Comma 2 2 2 3 2 2 5 8" xfId="26342"/>
    <cellStyle name="Comma 2 2 2 3 2 2 5 9" xfId="29675"/>
    <cellStyle name="Comma 2 2 2 3 2 2 6" xfId="752"/>
    <cellStyle name="Comma 2 2 2 3 2 2 6 10" xfId="32978"/>
    <cellStyle name="Comma 2 2 2 3 2 2 6 2" xfId="9523"/>
    <cellStyle name="Comma 2 2 2 3 2 2 6 2 2" xfId="25323"/>
    <cellStyle name="Comma 2 2 2 3 2 2 6 2 2 2" xfId="44750"/>
    <cellStyle name="Comma 2 2 2 3 2 2 6 2 2 3" xfId="38327"/>
    <cellStyle name="Comma 2 2 2 3 2 2 6 2 3" xfId="27501"/>
    <cellStyle name="Comma 2 2 2 3 2 2 6 2 3 2" xfId="41543"/>
    <cellStyle name="Comma 2 2 2 3 2 2 6 2 4" xfId="30836"/>
    <cellStyle name="Comma 2 2 2 3 2 2 6 2 5" xfId="35119"/>
    <cellStyle name="Comma 2 2 2 3 2 2 6 3" xfId="15141"/>
    <cellStyle name="Comma 2 2 2 3 2 2 6 3 2" xfId="24154"/>
    <cellStyle name="Comma 2 2 2 3 2 2 6 3 2 2" xfId="43583"/>
    <cellStyle name="Comma 2 2 2 3 2 2 6 3 2 3" xfId="37160"/>
    <cellStyle name="Comma 2 2 2 3 2 2 6 3 3" xfId="28477"/>
    <cellStyle name="Comma 2 2 2 3 2 2 6 3 3 2" xfId="40376"/>
    <cellStyle name="Comma 2 2 2 3 2 2 6 3 4" xfId="31812"/>
    <cellStyle name="Comma 2 2 2 3 2 2 6 3 5" xfId="33952"/>
    <cellStyle name="Comma 2 2 2 3 2 2 6 4" xfId="7957"/>
    <cellStyle name="Comma 2 2 2 3 2 2 6 4 2" xfId="42609"/>
    <cellStyle name="Comma 2 2 2 3 2 2 6 4 3" xfId="36185"/>
    <cellStyle name="Comma 2 2 2 3 2 2 6 5" xfId="20948"/>
    <cellStyle name="Comma 2 2 2 3 2 2 6 5 2" xfId="39402"/>
    <cellStyle name="Comma 2 2 2 3 2 2 6 6" xfId="22021"/>
    <cellStyle name="Comma 2 2 2 3 2 2 6 7" xfId="23180"/>
    <cellStyle name="Comma 2 2 2 3 2 2 6 8" xfId="26343"/>
    <cellStyle name="Comma 2 2 2 3 2 2 6 9" xfId="29676"/>
    <cellStyle name="Comma 2 2 2 3 2 2 7" xfId="9080"/>
    <cellStyle name="Comma 2 2 2 3 2 2 7 2" xfId="25135"/>
    <cellStyle name="Comma 2 2 2 3 2 2 7 2 2" xfId="44562"/>
    <cellStyle name="Comma 2 2 2 3 2 2 7 2 3" xfId="38139"/>
    <cellStyle name="Comma 2 2 2 3 2 2 7 3" xfId="27314"/>
    <cellStyle name="Comma 2 2 2 3 2 2 7 3 2" xfId="41355"/>
    <cellStyle name="Comma 2 2 2 3 2 2 7 4" xfId="30649"/>
    <cellStyle name="Comma 2 2 2 3 2 2 7 5" xfId="34931"/>
    <cellStyle name="Comma 2 2 2 3 2 2 8" xfId="15136"/>
    <cellStyle name="Comma 2 2 2 3 2 2 8 2" xfId="24149"/>
    <cellStyle name="Comma 2 2 2 3 2 2 8 2 2" xfId="43578"/>
    <cellStyle name="Comma 2 2 2 3 2 2 8 2 3" xfId="37155"/>
    <cellStyle name="Comma 2 2 2 3 2 2 8 3" xfId="28472"/>
    <cellStyle name="Comma 2 2 2 3 2 2 8 3 2" xfId="40371"/>
    <cellStyle name="Comma 2 2 2 3 2 2 8 4" xfId="31807"/>
    <cellStyle name="Comma 2 2 2 3 2 2 8 5" xfId="33947"/>
    <cellStyle name="Comma 2 2 2 3 2 2 9" xfId="7952"/>
    <cellStyle name="Comma 2 2 2 3 2 2 9 2" xfId="42425"/>
    <cellStyle name="Comma 2 2 2 3 2 2 9 3" xfId="36001"/>
    <cellStyle name="Comma 2 2 2 3 2 3" xfId="753"/>
    <cellStyle name="Comma 2 2 2 3 2 3 10" xfId="22022"/>
    <cellStyle name="Comma 2 2 2 3 2 3 11" xfId="23181"/>
    <cellStyle name="Comma 2 2 2 3 2 3 12" xfId="26344"/>
    <cellStyle name="Comma 2 2 2 3 2 3 13" xfId="29677"/>
    <cellStyle name="Comma 2 2 2 3 2 3 14" xfId="32979"/>
    <cellStyle name="Comma 2 2 2 3 2 3 2" xfId="754"/>
    <cellStyle name="Comma 2 2 2 3 2 3 2 10" xfId="32980"/>
    <cellStyle name="Comma 2 2 2 3 2 3 2 2" xfId="9525"/>
    <cellStyle name="Comma 2 2 2 3 2 3 2 2 2" xfId="25325"/>
    <cellStyle name="Comma 2 2 2 3 2 3 2 2 2 2" xfId="44752"/>
    <cellStyle name="Comma 2 2 2 3 2 3 2 2 2 3" xfId="38329"/>
    <cellStyle name="Comma 2 2 2 3 2 3 2 2 3" xfId="27503"/>
    <cellStyle name="Comma 2 2 2 3 2 3 2 2 3 2" xfId="41545"/>
    <cellStyle name="Comma 2 2 2 3 2 3 2 2 4" xfId="30838"/>
    <cellStyle name="Comma 2 2 2 3 2 3 2 2 5" xfId="35121"/>
    <cellStyle name="Comma 2 2 2 3 2 3 2 3" xfId="15143"/>
    <cellStyle name="Comma 2 2 2 3 2 3 2 3 2" xfId="24156"/>
    <cellStyle name="Comma 2 2 2 3 2 3 2 3 2 2" xfId="43585"/>
    <cellStyle name="Comma 2 2 2 3 2 3 2 3 2 3" xfId="37162"/>
    <cellStyle name="Comma 2 2 2 3 2 3 2 3 3" xfId="28479"/>
    <cellStyle name="Comma 2 2 2 3 2 3 2 3 3 2" xfId="40378"/>
    <cellStyle name="Comma 2 2 2 3 2 3 2 3 4" xfId="31814"/>
    <cellStyle name="Comma 2 2 2 3 2 3 2 3 5" xfId="33954"/>
    <cellStyle name="Comma 2 2 2 3 2 3 2 4" xfId="7959"/>
    <cellStyle name="Comma 2 2 2 3 2 3 2 4 2" xfId="42611"/>
    <cellStyle name="Comma 2 2 2 3 2 3 2 4 3" xfId="36187"/>
    <cellStyle name="Comma 2 2 2 3 2 3 2 5" xfId="20950"/>
    <cellStyle name="Comma 2 2 2 3 2 3 2 5 2" xfId="39404"/>
    <cellStyle name="Comma 2 2 2 3 2 3 2 6" xfId="22023"/>
    <cellStyle name="Comma 2 2 2 3 2 3 2 7" xfId="23182"/>
    <cellStyle name="Comma 2 2 2 3 2 3 2 8" xfId="26345"/>
    <cellStyle name="Comma 2 2 2 3 2 3 2 9" xfId="29678"/>
    <cellStyle name="Comma 2 2 2 3 2 3 3" xfId="755"/>
    <cellStyle name="Comma 2 2 2 3 2 3 3 10" xfId="32981"/>
    <cellStyle name="Comma 2 2 2 3 2 3 3 2" xfId="9526"/>
    <cellStyle name="Comma 2 2 2 3 2 3 3 2 2" xfId="25326"/>
    <cellStyle name="Comma 2 2 2 3 2 3 3 2 2 2" xfId="44753"/>
    <cellStyle name="Comma 2 2 2 3 2 3 3 2 2 3" xfId="38330"/>
    <cellStyle name="Comma 2 2 2 3 2 3 3 2 3" xfId="27504"/>
    <cellStyle name="Comma 2 2 2 3 2 3 3 2 3 2" xfId="41546"/>
    <cellStyle name="Comma 2 2 2 3 2 3 3 2 4" xfId="30839"/>
    <cellStyle name="Comma 2 2 2 3 2 3 3 2 5" xfId="35122"/>
    <cellStyle name="Comma 2 2 2 3 2 3 3 3" xfId="15144"/>
    <cellStyle name="Comma 2 2 2 3 2 3 3 3 2" xfId="24157"/>
    <cellStyle name="Comma 2 2 2 3 2 3 3 3 2 2" xfId="43586"/>
    <cellStyle name="Comma 2 2 2 3 2 3 3 3 2 3" xfId="37163"/>
    <cellStyle name="Comma 2 2 2 3 2 3 3 3 3" xfId="28480"/>
    <cellStyle name="Comma 2 2 2 3 2 3 3 3 3 2" xfId="40379"/>
    <cellStyle name="Comma 2 2 2 3 2 3 3 3 4" xfId="31815"/>
    <cellStyle name="Comma 2 2 2 3 2 3 3 3 5" xfId="33955"/>
    <cellStyle name="Comma 2 2 2 3 2 3 3 4" xfId="7960"/>
    <cellStyle name="Comma 2 2 2 3 2 3 3 4 2" xfId="42612"/>
    <cellStyle name="Comma 2 2 2 3 2 3 3 4 3" xfId="36188"/>
    <cellStyle name="Comma 2 2 2 3 2 3 3 5" xfId="20951"/>
    <cellStyle name="Comma 2 2 2 3 2 3 3 5 2" xfId="39405"/>
    <cellStyle name="Comma 2 2 2 3 2 3 3 6" xfId="22024"/>
    <cellStyle name="Comma 2 2 2 3 2 3 3 7" xfId="23183"/>
    <cellStyle name="Comma 2 2 2 3 2 3 3 8" xfId="26346"/>
    <cellStyle name="Comma 2 2 2 3 2 3 3 9" xfId="29679"/>
    <cellStyle name="Comma 2 2 2 3 2 3 4" xfId="756"/>
    <cellStyle name="Comma 2 2 2 3 2 3 4 10" xfId="32982"/>
    <cellStyle name="Comma 2 2 2 3 2 3 4 2" xfId="9527"/>
    <cellStyle name="Comma 2 2 2 3 2 3 4 2 2" xfId="25327"/>
    <cellStyle name="Comma 2 2 2 3 2 3 4 2 2 2" xfId="44754"/>
    <cellStyle name="Comma 2 2 2 3 2 3 4 2 2 3" xfId="38331"/>
    <cellStyle name="Comma 2 2 2 3 2 3 4 2 3" xfId="27505"/>
    <cellStyle name="Comma 2 2 2 3 2 3 4 2 3 2" xfId="41547"/>
    <cellStyle name="Comma 2 2 2 3 2 3 4 2 4" xfId="30840"/>
    <cellStyle name="Comma 2 2 2 3 2 3 4 2 5" xfId="35123"/>
    <cellStyle name="Comma 2 2 2 3 2 3 4 3" xfId="15145"/>
    <cellStyle name="Comma 2 2 2 3 2 3 4 3 2" xfId="24158"/>
    <cellStyle name="Comma 2 2 2 3 2 3 4 3 2 2" xfId="43587"/>
    <cellStyle name="Comma 2 2 2 3 2 3 4 3 2 3" xfId="37164"/>
    <cellStyle name="Comma 2 2 2 3 2 3 4 3 3" xfId="28481"/>
    <cellStyle name="Comma 2 2 2 3 2 3 4 3 3 2" xfId="40380"/>
    <cellStyle name="Comma 2 2 2 3 2 3 4 3 4" xfId="31816"/>
    <cellStyle name="Comma 2 2 2 3 2 3 4 3 5" xfId="33956"/>
    <cellStyle name="Comma 2 2 2 3 2 3 4 4" xfId="7961"/>
    <cellStyle name="Comma 2 2 2 3 2 3 4 4 2" xfId="42613"/>
    <cellStyle name="Comma 2 2 2 3 2 3 4 4 3" xfId="36189"/>
    <cellStyle name="Comma 2 2 2 3 2 3 4 5" xfId="20952"/>
    <cellStyle name="Comma 2 2 2 3 2 3 4 5 2" xfId="39406"/>
    <cellStyle name="Comma 2 2 2 3 2 3 4 6" xfId="22025"/>
    <cellStyle name="Comma 2 2 2 3 2 3 4 7" xfId="23184"/>
    <cellStyle name="Comma 2 2 2 3 2 3 4 8" xfId="26347"/>
    <cellStyle name="Comma 2 2 2 3 2 3 4 9" xfId="29680"/>
    <cellStyle name="Comma 2 2 2 3 2 3 5" xfId="757"/>
    <cellStyle name="Comma 2 2 2 3 2 3 5 10" xfId="32983"/>
    <cellStyle name="Comma 2 2 2 3 2 3 5 2" xfId="9528"/>
    <cellStyle name="Comma 2 2 2 3 2 3 5 2 2" xfId="25328"/>
    <cellStyle name="Comma 2 2 2 3 2 3 5 2 2 2" xfId="44755"/>
    <cellStyle name="Comma 2 2 2 3 2 3 5 2 2 3" xfId="38332"/>
    <cellStyle name="Comma 2 2 2 3 2 3 5 2 3" xfId="27506"/>
    <cellStyle name="Comma 2 2 2 3 2 3 5 2 3 2" xfId="41548"/>
    <cellStyle name="Comma 2 2 2 3 2 3 5 2 4" xfId="30841"/>
    <cellStyle name="Comma 2 2 2 3 2 3 5 2 5" xfId="35124"/>
    <cellStyle name="Comma 2 2 2 3 2 3 5 3" xfId="15146"/>
    <cellStyle name="Comma 2 2 2 3 2 3 5 3 2" xfId="24159"/>
    <cellStyle name="Comma 2 2 2 3 2 3 5 3 2 2" xfId="43588"/>
    <cellStyle name="Comma 2 2 2 3 2 3 5 3 2 3" xfId="37165"/>
    <cellStyle name="Comma 2 2 2 3 2 3 5 3 3" xfId="28482"/>
    <cellStyle name="Comma 2 2 2 3 2 3 5 3 3 2" xfId="40381"/>
    <cellStyle name="Comma 2 2 2 3 2 3 5 3 4" xfId="31817"/>
    <cellStyle name="Comma 2 2 2 3 2 3 5 3 5" xfId="33957"/>
    <cellStyle name="Comma 2 2 2 3 2 3 5 4" xfId="7962"/>
    <cellStyle name="Comma 2 2 2 3 2 3 5 4 2" xfId="42614"/>
    <cellStyle name="Comma 2 2 2 3 2 3 5 4 3" xfId="36190"/>
    <cellStyle name="Comma 2 2 2 3 2 3 5 5" xfId="20953"/>
    <cellStyle name="Comma 2 2 2 3 2 3 5 5 2" xfId="39407"/>
    <cellStyle name="Comma 2 2 2 3 2 3 5 6" xfId="22026"/>
    <cellStyle name="Comma 2 2 2 3 2 3 5 7" xfId="23185"/>
    <cellStyle name="Comma 2 2 2 3 2 3 5 8" xfId="26348"/>
    <cellStyle name="Comma 2 2 2 3 2 3 5 9" xfId="29681"/>
    <cellStyle name="Comma 2 2 2 3 2 3 6" xfId="9524"/>
    <cellStyle name="Comma 2 2 2 3 2 3 6 2" xfId="25324"/>
    <cellStyle name="Comma 2 2 2 3 2 3 6 2 2" xfId="44751"/>
    <cellStyle name="Comma 2 2 2 3 2 3 6 2 3" xfId="38328"/>
    <cellStyle name="Comma 2 2 2 3 2 3 6 3" xfId="27502"/>
    <cellStyle name="Comma 2 2 2 3 2 3 6 3 2" xfId="41544"/>
    <cellStyle name="Comma 2 2 2 3 2 3 6 4" xfId="30837"/>
    <cellStyle name="Comma 2 2 2 3 2 3 6 5" xfId="35120"/>
    <cellStyle name="Comma 2 2 2 3 2 3 7" xfId="15142"/>
    <cellStyle name="Comma 2 2 2 3 2 3 7 2" xfId="24155"/>
    <cellStyle name="Comma 2 2 2 3 2 3 7 2 2" xfId="43584"/>
    <cellStyle name="Comma 2 2 2 3 2 3 7 2 3" xfId="37161"/>
    <cellStyle name="Comma 2 2 2 3 2 3 7 3" xfId="28478"/>
    <cellStyle name="Comma 2 2 2 3 2 3 7 3 2" xfId="40377"/>
    <cellStyle name="Comma 2 2 2 3 2 3 7 4" xfId="31813"/>
    <cellStyle name="Comma 2 2 2 3 2 3 7 5" xfId="33953"/>
    <cellStyle name="Comma 2 2 2 3 2 3 8" xfId="7958"/>
    <cellStyle name="Comma 2 2 2 3 2 3 8 2" xfId="42610"/>
    <cellStyle name="Comma 2 2 2 3 2 3 8 3" xfId="36186"/>
    <cellStyle name="Comma 2 2 2 3 2 3 9" xfId="20949"/>
    <cellStyle name="Comma 2 2 2 3 2 3 9 2" xfId="39403"/>
    <cellStyle name="Comma 2 2 2 3 2 4" xfId="758"/>
    <cellStyle name="Comma 2 2 2 3 2 4 10" xfId="32984"/>
    <cellStyle name="Comma 2 2 2 3 2 4 2" xfId="9529"/>
    <cellStyle name="Comma 2 2 2 3 2 4 2 2" xfId="25329"/>
    <cellStyle name="Comma 2 2 2 3 2 4 2 2 2" xfId="44756"/>
    <cellStyle name="Comma 2 2 2 3 2 4 2 2 3" xfId="38333"/>
    <cellStyle name="Comma 2 2 2 3 2 4 2 3" xfId="27507"/>
    <cellStyle name="Comma 2 2 2 3 2 4 2 3 2" xfId="41549"/>
    <cellStyle name="Comma 2 2 2 3 2 4 2 4" xfId="30842"/>
    <cellStyle name="Comma 2 2 2 3 2 4 2 5" xfId="35125"/>
    <cellStyle name="Comma 2 2 2 3 2 4 3" xfId="15147"/>
    <cellStyle name="Comma 2 2 2 3 2 4 3 2" xfId="24160"/>
    <cellStyle name="Comma 2 2 2 3 2 4 3 2 2" xfId="43589"/>
    <cellStyle name="Comma 2 2 2 3 2 4 3 2 3" xfId="37166"/>
    <cellStyle name="Comma 2 2 2 3 2 4 3 3" xfId="28483"/>
    <cellStyle name="Comma 2 2 2 3 2 4 3 3 2" xfId="40382"/>
    <cellStyle name="Comma 2 2 2 3 2 4 3 4" xfId="31818"/>
    <cellStyle name="Comma 2 2 2 3 2 4 3 5" xfId="33958"/>
    <cellStyle name="Comma 2 2 2 3 2 4 4" xfId="7963"/>
    <cellStyle name="Comma 2 2 2 3 2 4 4 2" xfId="42615"/>
    <cellStyle name="Comma 2 2 2 3 2 4 4 3" xfId="36191"/>
    <cellStyle name="Comma 2 2 2 3 2 4 5" xfId="20954"/>
    <cellStyle name="Comma 2 2 2 3 2 4 5 2" xfId="39408"/>
    <cellStyle name="Comma 2 2 2 3 2 4 6" xfId="22027"/>
    <cellStyle name="Comma 2 2 2 3 2 4 7" xfId="23186"/>
    <cellStyle name="Comma 2 2 2 3 2 4 8" xfId="26349"/>
    <cellStyle name="Comma 2 2 2 3 2 4 9" xfId="29682"/>
    <cellStyle name="Comma 2 2 2 3 2 5" xfId="759"/>
    <cellStyle name="Comma 2 2 2 3 2 5 10" xfId="32985"/>
    <cellStyle name="Comma 2 2 2 3 2 5 2" xfId="9530"/>
    <cellStyle name="Comma 2 2 2 3 2 5 2 2" xfId="25330"/>
    <cellStyle name="Comma 2 2 2 3 2 5 2 2 2" xfId="44757"/>
    <cellStyle name="Comma 2 2 2 3 2 5 2 2 3" xfId="38334"/>
    <cellStyle name="Comma 2 2 2 3 2 5 2 3" xfId="27508"/>
    <cellStyle name="Comma 2 2 2 3 2 5 2 3 2" xfId="41550"/>
    <cellStyle name="Comma 2 2 2 3 2 5 2 4" xfId="30843"/>
    <cellStyle name="Comma 2 2 2 3 2 5 2 5" xfId="35126"/>
    <cellStyle name="Comma 2 2 2 3 2 5 3" xfId="15148"/>
    <cellStyle name="Comma 2 2 2 3 2 5 3 2" xfId="24161"/>
    <cellStyle name="Comma 2 2 2 3 2 5 3 2 2" xfId="43590"/>
    <cellStyle name="Comma 2 2 2 3 2 5 3 2 3" xfId="37167"/>
    <cellStyle name="Comma 2 2 2 3 2 5 3 3" xfId="28484"/>
    <cellStyle name="Comma 2 2 2 3 2 5 3 3 2" xfId="40383"/>
    <cellStyle name="Comma 2 2 2 3 2 5 3 4" xfId="31819"/>
    <cellStyle name="Comma 2 2 2 3 2 5 3 5" xfId="33959"/>
    <cellStyle name="Comma 2 2 2 3 2 5 4" xfId="7964"/>
    <cellStyle name="Comma 2 2 2 3 2 5 4 2" xfId="42616"/>
    <cellStyle name="Comma 2 2 2 3 2 5 4 3" xfId="36192"/>
    <cellStyle name="Comma 2 2 2 3 2 5 5" xfId="20955"/>
    <cellStyle name="Comma 2 2 2 3 2 5 5 2" xfId="39409"/>
    <cellStyle name="Comma 2 2 2 3 2 5 6" xfId="22028"/>
    <cellStyle name="Comma 2 2 2 3 2 5 7" xfId="23187"/>
    <cellStyle name="Comma 2 2 2 3 2 5 8" xfId="26350"/>
    <cellStyle name="Comma 2 2 2 3 2 5 9" xfId="29683"/>
    <cellStyle name="Comma 2 2 2 3 2 6" xfId="760"/>
    <cellStyle name="Comma 2 2 2 3 2 6 10" xfId="32986"/>
    <cellStyle name="Comma 2 2 2 3 2 6 2" xfId="9531"/>
    <cellStyle name="Comma 2 2 2 3 2 6 2 2" xfId="25331"/>
    <cellStyle name="Comma 2 2 2 3 2 6 2 2 2" xfId="44758"/>
    <cellStyle name="Comma 2 2 2 3 2 6 2 2 3" xfId="38335"/>
    <cellStyle name="Comma 2 2 2 3 2 6 2 3" xfId="27509"/>
    <cellStyle name="Comma 2 2 2 3 2 6 2 3 2" xfId="41551"/>
    <cellStyle name="Comma 2 2 2 3 2 6 2 4" xfId="30844"/>
    <cellStyle name="Comma 2 2 2 3 2 6 2 5" xfId="35127"/>
    <cellStyle name="Comma 2 2 2 3 2 6 3" xfId="15149"/>
    <cellStyle name="Comma 2 2 2 3 2 6 3 2" xfId="24162"/>
    <cellStyle name="Comma 2 2 2 3 2 6 3 2 2" xfId="43591"/>
    <cellStyle name="Comma 2 2 2 3 2 6 3 2 3" xfId="37168"/>
    <cellStyle name="Comma 2 2 2 3 2 6 3 3" xfId="28485"/>
    <cellStyle name="Comma 2 2 2 3 2 6 3 3 2" xfId="40384"/>
    <cellStyle name="Comma 2 2 2 3 2 6 3 4" xfId="31820"/>
    <cellStyle name="Comma 2 2 2 3 2 6 3 5" xfId="33960"/>
    <cellStyle name="Comma 2 2 2 3 2 6 4" xfId="7965"/>
    <cellStyle name="Comma 2 2 2 3 2 6 4 2" xfId="42617"/>
    <cellStyle name="Comma 2 2 2 3 2 6 4 3" xfId="36193"/>
    <cellStyle name="Comma 2 2 2 3 2 6 5" xfId="20956"/>
    <cellStyle name="Comma 2 2 2 3 2 6 5 2" xfId="39410"/>
    <cellStyle name="Comma 2 2 2 3 2 6 6" xfId="22029"/>
    <cellStyle name="Comma 2 2 2 3 2 6 7" xfId="23188"/>
    <cellStyle name="Comma 2 2 2 3 2 6 8" xfId="26351"/>
    <cellStyle name="Comma 2 2 2 3 2 6 9" xfId="29684"/>
    <cellStyle name="Comma 2 2 2 3 2 7" xfId="761"/>
    <cellStyle name="Comma 2 2 2 3 2 7 10" xfId="32987"/>
    <cellStyle name="Comma 2 2 2 3 2 7 2" xfId="9532"/>
    <cellStyle name="Comma 2 2 2 3 2 7 2 2" xfId="25332"/>
    <cellStyle name="Comma 2 2 2 3 2 7 2 2 2" xfId="44759"/>
    <cellStyle name="Comma 2 2 2 3 2 7 2 2 3" xfId="38336"/>
    <cellStyle name="Comma 2 2 2 3 2 7 2 3" xfId="27510"/>
    <cellStyle name="Comma 2 2 2 3 2 7 2 3 2" xfId="41552"/>
    <cellStyle name="Comma 2 2 2 3 2 7 2 4" xfId="30845"/>
    <cellStyle name="Comma 2 2 2 3 2 7 2 5" xfId="35128"/>
    <cellStyle name="Comma 2 2 2 3 2 7 3" xfId="15150"/>
    <cellStyle name="Comma 2 2 2 3 2 7 3 2" xfId="24163"/>
    <cellStyle name="Comma 2 2 2 3 2 7 3 2 2" xfId="43592"/>
    <cellStyle name="Comma 2 2 2 3 2 7 3 2 3" xfId="37169"/>
    <cellStyle name="Comma 2 2 2 3 2 7 3 3" xfId="28486"/>
    <cellStyle name="Comma 2 2 2 3 2 7 3 3 2" xfId="40385"/>
    <cellStyle name="Comma 2 2 2 3 2 7 3 4" xfId="31821"/>
    <cellStyle name="Comma 2 2 2 3 2 7 3 5" xfId="33961"/>
    <cellStyle name="Comma 2 2 2 3 2 7 4" xfId="7966"/>
    <cellStyle name="Comma 2 2 2 3 2 7 4 2" xfId="42618"/>
    <cellStyle name="Comma 2 2 2 3 2 7 4 3" xfId="36194"/>
    <cellStyle name="Comma 2 2 2 3 2 7 5" xfId="20957"/>
    <cellStyle name="Comma 2 2 2 3 2 7 5 2" xfId="39411"/>
    <cellStyle name="Comma 2 2 2 3 2 7 6" xfId="22030"/>
    <cellStyle name="Comma 2 2 2 3 2 7 7" xfId="23189"/>
    <cellStyle name="Comma 2 2 2 3 2 7 8" xfId="26352"/>
    <cellStyle name="Comma 2 2 2 3 2 7 9" xfId="29685"/>
    <cellStyle name="Comma 2 2 2 3 2 8" xfId="762"/>
    <cellStyle name="Comma 2 2 2 3 2 8 10" xfId="32988"/>
    <cellStyle name="Comma 2 2 2 3 2 8 2" xfId="9533"/>
    <cellStyle name="Comma 2 2 2 3 2 8 2 2" xfId="25333"/>
    <cellStyle name="Comma 2 2 2 3 2 8 2 2 2" xfId="44760"/>
    <cellStyle name="Comma 2 2 2 3 2 8 2 2 3" xfId="38337"/>
    <cellStyle name="Comma 2 2 2 3 2 8 2 3" xfId="27511"/>
    <cellStyle name="Comma 2 2 2 3 2 8 2 3 2" xfId="41553"/>
    <cellStyle name="Comma 2 2 2 3 2 8 2 4" xfId="30846"/>
    <cellStyle name="Comma 2 2 2 3 2 8 2 5" xfId="35129"/>
    <cellStyle name="Comma 2 2 2 3 2 8 3" xfId="15151"/>
    <cellStyle name="Comma 2 2 2 3 2 8 3 2" xfId="24164"/>
    <cellStyle name="Comma 2 2 2 3 2 8 3 2 2" xfId="43593"/>
    <cellStyle name="Comma 2 2 2 3 2 8 3 2 3" xfId="37170"/>
    <cellStyle name="Comma 2 2 2 3 2 8 3 3" xfId="28487"/>
    <cellStyle name="Comma 2 2 2 3 2 8 3 3 2" xfId="40386"/>
    <cellStyle name="Comma 2 2 2 3 2 8 3 4" xfId="31822"/>
    <cellStyle name="Comma 2 2 2 3 2 8 3 5" xfId="33962"/>
    <cellStyle name="Comma 2 2 2 3 2 8 4" xfId="7967"/>
    <cellStyle name="Comma 2 2 2 3 2 8 4 2" xfId="42619"/>
    <cellStyle name="Comma 2 2 2 3 2 8 4 3" xfId="36195"/>
    <cellStyle name="Comma 2 2 2 3 2 8 5" xfId="20958"/>
    <cellStyle name="Comma 2 2 2 3 2 8 5 2" xfId="39412"/>
    <cellStyle name="Comma 2 2 2 3 2 8 6" xfId="22031"/>
    <cellStyle name="Comma 2 2 2 3 2 8 7" xfId="23190"/>
    <cellStyle name="Comma 2 2 2 3 2 8 8" xfId="26353"/>
    <cellStyle name="Comma 2 2 2 3 2 8 9" xfId="29686"/>
    <cellStyle name="Comma 2 2 2 3 2 9" xfId="9112"/>
    <cellStyle name="Comma 2 2 2 3 2 9 2" xfId="25166"/>
    <cellStyle name="Comma 2 2 2 3 2 9 2 2" xfId="44593"/>
    <cellStyle name="Comma 2 2 2 3 2 9 2 3" xfId="38170"/>
    <cellStyle name="Comma 2 2 2 3 2 9 3" xfId="27345"/>
    <cellStyle name="Comma 2 2 2 3 2 9 3 2" xfId="41386"/>
    <cellStyle name="Comma 2 2 2 3 2 9 4" xfId="30680"/>
    <cellStyle name="Comma 2 2 2 3 2 9 5" xfId="34962"/>
    <cellStyle name="Comma 2 2 2 3 3" xfId="228"/>
    <cellStyle name="Comma 2 2 2 3 3 10" xfId="20959"/>
    <cellStyle name="Comma 2 2 2 3 3 10 2" xfId="39232"/>
    <cellStyle name="Comma 2 2 2 3 3 11" xfId="22032"/>
    <cellStyle name="Comma 2 2 2 3 3 12" xfId="23010"/>
    <cellStyle name="Comma 2 2 2 3 3 13" xfId="26354"/>
    <cellStyle name="Comma 2 2 2 3 3 14" xfId="29687"/>
    <cellStyle name="Comma 2 2 2 3 3 15" xfId="32808"/>
    <cellStyle name="Comma 2 2 2 3 3 2" xfId="763"/>
    <cellStyle name="Comma 2 2 2 3 3 2 10" xfId="32989"/>
    <cellStyle name="Comma 2 2 2 3 3 2 2" xfId="9534"/>
    <cellStyle name="Comma 2 2 2 3 3 2 2 2" xfId="25334"/>
    <cellStyle name="Comma 2 2 2 3 3 2 2 2 2" xfId="44761"/>
    <cellStyle name="Comma 2 2 2 3 3 2 2 2 3" xfId="38338"/>
    <cellStyle name="Comma 2 2 2 3 3 2 2 3" xfId="27512"/>
    <cellStyle name="Comma 2 2 2 3 3 2 2 3 2" xfId="41554"/>
    <cellStyle name="Comma 2 2 2 3 3 2 2 4" xfId="30847"/>
    <cellStyle name="Comma 2 2 2 3 3 2 2 5" xfId="35130"/>
    <cellStyle name="Comma 2 2 2 3 3 2 3" xfId="15153"/>
    <cellStyle name="Comma 2 2 2 3 3 2 3 2" xfId="24166"/>
    <cellStyle name="Comma 2 2 2 3 3 2 3 2 2" xfId="43595"/>
    <cellStyle name="Comma 2 2 2 3 3 2 3 2 3" xfId="37172"/>
    <cellStyle name="Comma 2 2 2 3 3 2 3 3" xfId="28489"/>
    <cellStyle name="Comma 2 2 2 3 3 2 3 3 2" xfId="40388"/>
    <cellStyle name="Comma 2 2 2 3 3 2 3 4" xfId="31824"/>
    <cellStyle name="Comma 2 2 2 3 3 2 3 5" xfId="33964"/>
    <cellStyle name="Comma 2 2 2 3 3 2 4" xfId="7969"/>
    <cellStyle name="Comma 2 2 2 3 3 2 4 2" xfId="42620"/>
    <cellStyle name="Comma 2 2 2 3 3 2 4 3" xfId="36196"/>
    <cellStyle name="Comma 2 2 2 3 3 2 5" xfId="20960"/>
    <cellStyle name="Comma 2 2 2 3 3 2 5 2" xfId="39413"/>
    <cellStyle name="Comma 2 2 2 3 3 2 6" xfId="22033"/>
    <cellStyle name="Comma 2 2 2 3 3 2 7" xfId="23191"/>
    <cellStyle name="Comma 2 2 2 3 3 2 8" xfId="26355"/>
    <cellStyle name="Comma 2 2 2 3 3 2 9" xfId="29688"/>
    <cellStyle name="Comma 2 2 2 3 3 3" xfId="764"/>
    <cellStyle name="Comma 2 2 2 3 3 3 10" xfId="32990"/>
    <cellStyle name="Comma 2 2 2 3 3 3 2" xfId="9535"/>
    <cellStyle name="Comma 2 2 2 3 3 3 2 2" xfId="25335"/>
    <cellStyle name="Comma 2 2 2 3 3 3 2 2 2" xfId="44762"/>
    <cellStyle name="Comma 2 2 2 3 3 3 2 2 3" xfId="38339"/>
    <cellStyle name="Comma 2 2 2 3 3 3 2 3" xfId="27513"/>
    <cellStyle name="Comma 2 2 2 3 3 3 2 3 2" xfId="41555"/>
    <cellStyle name="Comma 2 2 2 3 3 3 2 4" xfId="30848"/>
    <cellStyle name="Comma 2 2 2 3 3 3 2 5" xfId="35131"/>
    <cellStyle name="Comma 2 2 2 3 3 3 3" xfId="15154"/>
    <cellStyle name="Comma 2 2 2 3 3 3 3 2" xfId="24167"/>
    <cellStyle name="Comma 2 2 2 3 3 3 3 2 2" xfId="43596"/>
    <cellStyle name="Comma 2 2 2 3 3 3 3 2 3" xfId="37173"/>
    <cellStyle name="Comma 2 2 2 3 3 3 3 3" xfId="28490"/>
    <cellStyle name="Comma 2 2 2 3 3 3 3 3 2" xfId="40389"/>
    <cellStyle name="Comma 2 2 2 3 3 3 3 4" xfId="31825"/>
    <cellStyle name="Comma 2 2 2 3 3 3 3 5" xfId="33965"/>
    <cellStyle name="Comma 2 2 2 3 3 3 4" xfId="7970"/>
    <cellStyle name="Comma 2 2 2 3 3 3 4 2" xfId="42621"/>
    <cellStyle name="Comma 2 2 2 3 3 3 4 3" xfId="36197"/>
    <cellStyle name="Comma 2 2 2 3 3 3 5" xfId="20961"/>
    <cellStyle name="Comma 2 2 2 3 3 3 5 2" xfId="39414"/>
    <cellStyle name="Comma 2 2 2 3 3 3 6" xfId="22034"/>
    <cellStyle name="Comma 2 2 2 3 3 3 7" xfId="23192"/>
    <cellStyle name="Comma 2 2 2 3 3 3 8" xfId="26356"/>
    <cellStyle name="Comma 2 2 2 3 3 3 9" xfId="29689"/>
    <cellStyle name="Comma 2 2 2 3 3 4" xfId="765"/>
    <cellStyle name="Comma 2 2 2 3 3 4 10" xfId="32991"/>
    <cellStyle name="Comma 2 2 2 3 3 4 2" xfId="9536"/>
    <cellStyle name="Comma 2 2 2 3 3 4 2 2" xfId="25336"/>
    <cellStyle name="Comma 2 2 2 3 3 4 2 2 2" xfId="44763"/>
    <cellStyle name="Comma 2 2 2 3 3 4 2 2 3" xfId="38340"/>
    <cellStyle name="Comma 2 2 2 3 3 4 2 3" xfId="27514"/>
    <cellStyle name="Comma 2 2 2 3 3 4 2 3 2" xfId="41556"/>
    <cellStyle name="Comma 2 2 2 3 3 4 2 4" xfId="30849"/>
    <cellStyle name="Comma 2 2 2 3 3 4 2 5" xfId="35132"/>
    <cellStyle name="Comma 2 2 2 3 3 4 3" xfId="15155"/>
    <cellStyle name="Comma 2 2 2 3 3 4 3 2" xfId="24168"/>
    <cellStyle name="Comma 2 2 2 3 3 4 3 2 2" xfId="43597"/>
    <cellStyle name="Comma 2 2 2 3 3 4 3 2 3" xfId="37174"/>
    <cellStyle name="Comma 2 2 2 3 3 4 3 3" xfId="28491"/>
    <cellStyle name="Comma 2 2 2 3 3 4 3 3 2" xfId="40390"/>
    <cellStyle name="Comma 2 2 2 3 3 4 3 4" xfId="31826"/>
    <cellStyle name="Comma 2 2 2 3 3 4 3 5" xfId="33966"/>
    <cellStyle name="Comma 2 2 2 3 3 4 4" xfId="7971"/>
    <cellStyle name="Comma 2 2 2 3 3 4 4 2" xfId="42622"/>
    <cellStyle name="Comma 2 2 2 3 3 4 4 3" xfId="36198"/>
    <cellStyle name="Comma 2 2 2 3 3 4 5" xfId="20962"/>
    <cellStyle name="Comma 2 2 2 3 3 4 5 2" xfId="39415"/>
    <cellStyle name="Comma 2 2 2 3 3 4 6" xfId="22035"/>
    <cellStyle name="Comma 2 2 2 3 3 4 7" xfId="23193"/>
    <cellStyle name="Comma 2 2 2 3 3 4 8" xfId="26357"/>
    <cellStyle name="Comma 2 2 2 3 3 4 9" xfId="29690"/>
    <cellStyle name="Comma 2 2 2 3 3 5" xfId="766"/>
    <cellStyle name="Comma 2 2 2 3 3 5 10" xfId="32992"/>
    <cellStyle name="Comma 2 2 2 3 3 5 2" xfId="9537"/>
    <cellStyle name="Comma 2 2 2 3 3 5 2 2" xfId="25337"/>
    <cellStyle name="Comma 2 2 2 3 3 5 2 2 2" xfId="44764"/>
    <cellStyle name="Comma 2 2 2 3 3 5 2 2 3" xfId="38341"/>
    <cellStyle name="Comma 2 2 2 3 3 5 2 3" xfId="27515"/>
    <cellStyle name="Comma 2 2 2 3 3 5 2 3 2" xfId="41557"/>
    <cellStyle name="Comma 2 2 2 3 3 5 2 4" xfId="30850"/>
    <cellStyle name="Comma 2 2 2 3 3 5 2 5" xfId="35133"/>
    <cellStyle name="Comma 2 2 2 3 3 5 3" xfId="15156"/>
    <cellStyle name="Comma 2 2 2 3 3 5 3 2" xfId="24169"/>
    <cellStyle name="Comma 2 2 2 3 3 5 3 2 2" xfId="43598"/>
    <cellStyle name="Comma 2 2 2 3 3 5 3 2 3" xfId="37175"/>
    <cellStyle name="Comma 2 2 2 3 3 5 3 3" xfId="28492"/>
    <cellStyle name="Comma 2 2 2 3 3 5 3 3 2" xfId="40391"/>
    <cellStyle name="Comma 2 2 2 3 3 5 3 4" xfId="31827"/>
    <cellStyle name="Comma 2 2 2 3 3 5 3 5" xfId="33967"/>
    <cellStyle name="Comma 2 2 2 3 3 5 4" xfId="7972"/>
    <cellStyle name="Comma 2 2 2 3 3 5 4 2" xfId="42623"/>
    <cellStyle name="Comma 2 2 2 3 3 5 4 3" xfId="36199"/>
    <cellStyle name="Comma 2 2 2 3 3 5 5" xfId="20963"/>
    <cellStyle name="Comma 2 2 2 3 3 5 5 2" xfId="39416"/>
    <cellStyle name="Comma 2 2 2 3 3 5 6" xfId="22036"/>
    <cellStyle name="Comma 2 2 2 3 3 5 7" xfId="23194"/>
    <cellStyle name="Comma 2 2 2 3 3 5 8" xfId="26358"/>
    <cellStyle name="Comma 2 2 2 3 3 5 9" xfId="29691"/>
    <cellStyle name="Comma 2 2 2 3 3 6" xfId="767"/>
    <cellStyle name="Comma 2 2 2 3 3 6 10" xfId="32993"/>
    <cellStyle name="Comma 2 2 2 3 3 6 2" xfId="9538"/>
    <cellStyle name="Comma 2 2 2 3 3 6 2 2" xfId="25338"/>
    <cellStyle name="Comma 2 2 2 3 3 6 2 2 2" xfId="44765"/>
    <cellStyle name="Comma 2 2 2 3 3 6 2 2 3" xfId="38342"/>
    <cellStyle name="Comma 2 2 2 3 3 6 2 3" xfId="27516"/>
    <cellStyle name="Comma 2 2 2 3 3 6 2 3 2" xfId="41558"/>
    <cellStyle name="Comma 2 2 2 3 3 6 2 4" xfId="30851"/>
    <cellStyle name="Comma 2 2 2 3 3 6 2 5" xfId="35134"/>
    <cellStyle name="Comma 2 2 2 3 3 6 3" xfId="15157"/>
    <cellStyle name="Comma 2 2 2 3 3 6 3 2" xfId="24170"/>
    <cellStyle name="Comma 2 2 2 3 3 6 3 2 2" xfId="43599"/>
    <cellStyle name="Comma 2 2 2 3 3 6 3 2 3" xfId="37176"/>
    <cellStyle name="Comma 2 2 2 3 3 6 3 3" xfId="28493"/>
    <cellStyle name="Comma 2 2 2 3 3 6 3 3 2" xfId="40392"/>
    <cellStyle name="Comma 2 2 2 3 3 6 3 4" xfId="31828"/>
    <cellStyle name="Comma 2 2 2 3 3 6 3 5" xfId="33968"/>
    <cellStyle name="Comma 2 2 2 3 3 6 4" xfId="7973"/>
    <cellStyle name="Comma 2 2 2 3 3 6 4 2" xfId="42624"/>
    <cellStyle name="Comma 2 2 2 3 3 6 4 3" xfId="36200"/>
    <cellStyle name="Comma 2 2 2 3 3 6 5" xfId="20964"/>
    <cellStyle name="Comma 2 2 2 3 3 6 5 2" xfId="39417"/>
    <cellStyle name="Comma 2 2 2 3 3 6 6" xfId="22037"/>
    <cellStyle name="Comma 2 2 2 3 3 6 7" xfId="23195"/>
    <cellStyle name="Comma 2 2 2 3 3 6 8" xfId="26359"/>
    <cellStyle name="Comma 2 2 2 3 3 6 9" xfId="29692"/>
    <cellStyle name="Comma 2 2 2 3 3 7" xfId="9094"/>
    <cellStyle name="Comma 2 2 2 3 3 7 2" xfId="25149"/>
    <cellStyle name="Comma 2 2 2 3 3 7 2 2" xfId="44576"/>
    <cellStyle name="Comma 2 2 2 3 3 7 2 3" xfId="38153"/>
    <cellStyle name="Comma 2 2 2 3 3 7 3" xfId="27328"/>
    <cellStyle name="Comma 2 2 2 3 3 7 3 2" xfId="41369"/>
    <cellStyle name="Comma 2 2 2 3 3 7 4" xfId="30663"/>
    <cellStyle name="Comma 2 2 2 3 3 7 5" xfId="34945"/>
    <cellStyle name="Comma 2 2 2 3 3 8" xfId="15152"/>
    <cellStyle name="Comma 2 2 2 3 3 8 2" xfId="24165"/>
    <cellStyle name="Comma 2 2 2 3 3 8 2 2" xfId="43594"/>
    <cellStyle name="Comma 2 2 2 3 3 8 2 3" xfId="37171"/>
    <cellStyle name="Comma 2 2 2 3 3 8 3" xfId="28488"/>
    <cellStyle name="Comma 2 2 2 3 3 8 3 2" xfId="40387"/>
    <cellStyle name="Comma 2 2 2 3 3 8 4" xfId="31823"/>
    <cellStyle name="Comma 2 2 2 3 3 8 5" xfId="33963"/>
    <cellStyle name="Comma 2 2 2 3 3 9" xfId="7968"/>
    <cellStyle name="Comma 2 2 2 3 3 9 2" xfId="42439"/>
    <cellStyle name="Comma 2 2 2 3 3 9 3" xfId="36015"/>
    <cellStyle name="Comma 2 2 2 3 4" xfId="768"/>
    <cellStyle name="Comma 2 2 2 3 4 10" xfId="22038"/>
    <cellStyle name="Comma 2 2 2 3 4 11" xfId="23196"/>
    <cellStyle name="Comma 2 2 2 3 4 12" xfId="26360"/>
    <cellStyle name="Comma 2 2 2 3 4 13" xfId="29693"/>
    <cellStyle name="Comma 2 2 2 3 4 14" xfId="32994"/>
    <cellStyle name="Comma 2 2 2 3 4 2" xfId="769"/>
    <cellStyle name="Comma 2 2 2 3 4 2 10" xfId="32995"/>
    <cellStyle name="Comma 2 2 2 3 4 2 2" xfId="9540"/>
    <cellStyle name="Comma 2 2 2 3 4 2 2 2" xfId="25340"/>
    <cellStyle name="Comma 2 2 2 3 4 2 2 2 2" xfId="44767"/>
    <cellStyle name="Comma 2 2 2 3 4 2 2 2 3" xfId="38344"/>
    <cellStyle name="Comma 2 2 2 3 4 2 2 3" xfId="27518"/>
    <cellStyle name="Comma 2 2 2 3 4 2 2 3 2" xfId="41560"/>
    <cellStyle name="Comma 2 2 2 3 4 2 2 4" xfId="30853"/>
    <cellStyle name="Comma 2 2 2 3 4 2 2 5" xfId="35136"/>
    <cellStyle name="Comma 2 2 2 3 4 2 3" xfId="15159"/>
    <cellStyle name="Comma 2 2 2 3 4 2 3 2" xfId="24172"/>
    <cellStyle name="Comma 2 2 2 3 4 2 3 2 2" xfId="43601"/>
    <cellStyle name="Comma 2 2 2 3 4 2 3 2 3" xfId="37178"/>
    <cellStyle name="Comma 2 2 2 3 4 2 3 3" xfId="28495"/>
    <cellStyle name="Comma 2 2 2 3 4 2 3 3 2" xfId="40394"/>
    <cellStyle name="Comma 2 2 2 3 4 2 3 4" xfId="31830"/>
    <cellStyle name="Comma 2 2 2 3 4 2 3 5" xfId="33970"/>
    <cellStyle name="Comma 2 2 2 3 4 2 4" xfId="7975"/>
    <cellStyle name="Comma 2 2 2 3 4 2 4 2" xfId="42626"/>
    <cellStyle name="Comma 2 2 2 3 4 2 4 3" xfId="36202"/>
    <cellStyle name="Comma 2 2 2 3 4 2 5" xfId="20966"/>
    <cellStyle name="Comma 2 2 2 3 4 2 5 2" xfId="39419"/>
    <cellStyle name="Comma 2 2 2 3 4 2 6" xfId="22039"/>
    <cellStyle name="Comma 2 2 2 3 4 2 7" xfId="23197"/>
    <cellStyle name="Comma 2 2 2 3 4 2 8" xfId="26361"/>
    <cellStyle name="Comma 2 2 2 3 4 2 9" xfId="29694"/>
    <cellStyle name="Comma 2 2 2 3 4 3" xfId="770"/>
    <cellStyle name="Comma 2 2 2 3 4 3 10" xfId="32996"/>
    <cellStyle name="Comma 2 2 2 3 4 3 2" xfId="9541"/>
    <cellStyle name="Comma 2 2 2 3 4 3 2 2" xfId="25341"/>
    <cellStyle name="Comma 2 2 2 3 4 3 2 2 2" xfId="44768"/>
    <cellStyle name="Comma 2 2 2 3 4 3 2 2 3" xfId="38345"/>
    <cellStyle name="Comma 2 2 2 3 4 3 2 3" xfId="27519"/>
    <cellStyle name="Comma 2 2 2 3 4 3 2 3 2" xfId="41561"/>
    <cellStyle name="Comma 2 2 2 3 4 3 2 4" xfId="30854"/>
    <cellStyle name="Comma 2 2 2 3 4 3 2 5" xfId="35137"/>
    <cellStyle name="Comma 2 2 2 3 4 3 3" xfId="15160"/>
    <cellStyle name="Comma 2 2 2 3 4 3 3 2" xfId="24173"/>
    <cellStyle name="Comma 2 2 2 3 4 3 3 2 2" xfId="43602"/>
    <cellStyle name="Comma 2 2 2 3 4 3 3 2 3" xfId="37179"/>
    <cellStyle name="Comma 2 2 2 3 4 3 3 3" xfId="28496"/>
    <cellStyle name="Comma 2 2 2 3 4 3 3 3 2" xfId="40395"/>
    <cellStyle name="Comma 2 2 2 3 4 3 3 4" xfId="31831"/>
    <cellStyle name="Comma 2 2 2 3 4 3 3 5" xfId="33971"/>
    <cellStyle name="Comma 2 2 2 3 4 3 4" xfId="7976"/>
    <cellStyle name="Comma 2 2 2 3 4 3 4 2" xfId="42627"/>
    <cellStyle name="Comma 2 2 2 3 4 3 4 3" xfId="36203"/>
    <cellStyle name="Comma 2 2 2 3 4 3 5" xfId="20967"/>
    <cellStyle name="Comma 2 2 2 3 4 3 5 2" xfId="39420"/>
    <cellStyle name="Comma 2 2 2 3 4 3 6" xfId="22040"/>
    <cellStyle name="Comma 2 2 2 3 4 3 7" xfId="23198"/>
    <cellStyle name="Comma 2 2 2 3 4 3 8" xfId="26362"/>
    <cellStyle name="Comma 2 2 2 3 4 3 9" xfId="29695"/>
    <cellStyle name="Comma 2 2 2 3 4 4" xfId="771"/>
    <cellStyle name="Comma 2 2 2 3 4 4 10" xfId="32997"/>
    <cellStyle name="Comma 2 2 2 3 4 4 2" xfId="9542"/>
    <cellStyle name="Comma 2 2 2 3 4 4 2 2" xfId="25342"/>
    <cellStyle name="Comma 2 2 2 3 4 4 2 2 2" xfId="44769"/>
    <cellStyle name="Comma 2 2 2 3 4 4 2 2 3" xfId="38346"/>
    <cellStyle name="Comma 2 2 2 3 4 4 2 3" xfId="27520"/>
    <cellStyle name="Comma 2 2 2 3 4 4 2 3 2" xfId="41562"/>
    <cellStyle name="Comma 2 2 2 3 4 4 2 4" xfId="30855"/>
    <cellStyle name="Comma 2 2 2 3 4 4 2 5" xfId="35138"/>
    <cellStyle name="Comma 2 2 2 3 4 4 3" xfId="15161"/>
    <cellStyle name="Comma 2 2 2 3 4 4 3 2" xfId="24174"/>
    <cellStyle name="Comma 2 2 2 3 4 4 3 2 2" xfId="43603"/>
    <cellStyle name="Comma 2 2 2 3 4 4 3 2 3" xfId="37180"/>
    <cellStyle name="Comma 2 2 2 3 4 4 3 3" xfId="28497"/>
    <cellStyle name="Comma 2 2 2 3 4 4 3 3 2" xfId="40396"/>
    <cellStyle name="Comma 2 2 2 3 4 4 3 4" xfId="31832"/>
    <cellStyle name="Comma 2 2 2 3 4 4 3 5" xfId="33972"/>
    <cellStyle name="Comma 2 2 2 3 4 4 4" xfId="7977"/>
    <cellStyle name="Comma 2 2 2 3 4 4 4 2" xfId="42628"/>
    <cellStyle name="Comma 2 2 2 3 4 4 4 3" xfId="36204"/>
    <cellStyle name="Comma 2 2 2 3 4 4 5" xfId="20968"/>
    <cellStyle name="Comma 2 2 2 3 4 4 5 2" xfId="39421"/>
    <cellStyle name="Comma 2 2 2 3 4 4 6" xfId="22041"/>
    <cellStyle name="Comma 2 2 2 3 4 4 7" xfId="23199"/>
    <cellStyle name="Comma 2 2 2 3 4 4 8" xfId="26363"/>
    <cellStyle name="Comma 2 2 2 3 4 4 9" xfId="29696"/>
    <cellStyle name="Comma 2 2 2 3 4 5" xfId="772"/>
    <cellStyle name="Comma 2 2 2 3 4 5 10" xfId="32998"/>
    <cellStyle name="Comma 2 2 2 3 4 5 2" xfId="9543"/>
    <cellStyle name="Comma 2 2 2 3 4 5 2 2" xfId="25343"/>
    <cellStyle name="Comma 2 2 2 3 4 5 2 2 2" xfId="44770"/>
    <cellStyle name="Comma 2 2 2 3 4 5 2 2 3" xfId="38347"/>
    <cellStyle name="Comma 2 2 2 3 4 5 2 3" xfId="27521"/>
    <cellStyle name="Comma 2 2 2 3 4 5 2 3 2" xfId="41563"/>
    <cellStyle name="Comma 2 2 2 3 4 5 2 4" xfId="30856"/>
    <cellStyle name="Comma 2 2 2 3 4 5 2 5" xfId="35139"/>
    <cellStyle name="Comma 2 2 2 3 4 5 3" xfId="15162"/>
    <cellStyle name="Comma 2 2 2 3 4 5 3 2" xfId="24175"/>
    <cellStyle name="Comma 2 2 2 3 4 5 3 2 2" xfId="43604"/>
    <cellStyle name="Comma 2 2 2 3 4 5 3 2 3" xfId="37181"/>
    <cellStyle name="Comma 2 2 2 3 4 5 3 3" xfId="28498"/>
    <cellStyle name="Comma 2 2 2 3 4 5 3 3 2" xfId="40397"/>
    <cellStyle name="Comma 2 2 2 3 4 5 3 4" xfId="31833"/>
    <cellStyle name="Comma 2 2 2 3 4 5 3 5" xfId="33973"/>
    <cellStyle name="Comma 2 2 2 3 4 5 4" xfId="7978"/>
    <cellStyle name="Comma 2 2 2 3 4 5 4 2" xfId="42629"/>
    <cellStyle name="Comma 2 2 2 3 4 5 4 3" xfId="36205"/>
    <cellStyle name="Comma 2 2 2 3 4 5 5" xfId="20969"/>
    <cellStyle name="Comma 2 2 2 3 4 5 5 2" xfId="39422"/>
    <cellStyle name="Comma 2 2 2 3 4 5 6" xfId="22042"/>
    <cellStyle name="Comma 2 2 2 3 4 5 7" xfId="23200"/>
    <cellStyle name="Comma 2 2 2 3 4 5 8" xfId="26364"/>
    <cellStyle name="Comma 2 2 2 3 4 5 9" xfId="29697"/>
    <cellStyle name="Comma 2 2 2 3 4 6" xfId="9539"/>
    <cellStyle name="Comma 2 2 2 3 4 6 2" xfId="25339"/>
    <cellStyle name="Comma 2 2 2 3 4 6 2 2" xfId="44766"/>
    <cellStyle name="Comma 2 2 2 3 4 6 2 3" xfId="38343"/>
    <cellStyle name="Comma 2 2 2 3 4 6 3" xfId="27517"/>
    <cellStyle name="Comma 2 2 2 3 4 6 3 2" xfId="41559"/>
    <cellStyle name="Comma 2 2 2 3 4 6 4" xfId="30852"/>
    <cellStyle name="Comma 2 2 2 3 4 6 5" xfId="35135"/>
    <cellStyle name="Comma 2 2 2 3 4 7" xfId="15158"/>
    <cellStyle name="Comma 2 2 2 3 4 7 2" xfId="24171"/>
    <cellStyle name="Comma 2 2 2 3 4 7 2 2" xfId="43600"/>
    <cellStyle name="Comma 2 2 2 3 4 7 2 3" xfId="37177"/>
    <cellStyle name="Comma 2 2 2 3 4 7 3" xfId="28494"/>
    <cellStyle name="Comma 2 2 2 3 4 7 3 2" xfId="40393"/>
    <cellStyle name="Comma 2 2 2 3 4 7 4" xfId="31829"/>
    <cellStyle name="Comma 2 2 2 3 4 7 5" xfId="33969"/>
    <cellStyle name="Comma 2 2 2 3 4 8" xfId="7974"/>
    <cellStyle name="Comma 2 2 2 3 4 8 2" xfId="42625"/>
    <cellStyle name="Comma 2 2 2 3 4 8 3" xfId="36201"/>
    <cellStyle name="Comma 2 2 2 3 4 9" xfId="20965"/>
    <cellStyle name="Comma 2 2 2 3 4 9 2" xfId="39418"/>
    <cellStyle name="Comma 2 2 2 3 5" xfId="773"/>
    <cellStyle name="Comma 2 2 2 3 5 10" xfId="22043"/>
    <cellStyle name="Comma 2 2 2 3 5 11" xfId="23201"/>
    <cellStyle name="Comma 2 2 2 3 5 12" xfId="26365"/>
    <cellStyle name="Comma 2 2 2 3 5 13" xfId="29698"/>
    <cellStyle name="Comma 2 2 2 3 5 14" xfId="32999"/>
    <cellStyle name="Comma 2 2 2 3 5 2" xfId="774"/>
    <cellStyle name="Comma 2 2 2 3 5 2 10" xfId="33000"/>
    <cellStyle name="Comma 2 2 2 3 5 2 2" xfId="9545"/>
    <cellStyle name="Comma 2 2 2 3 5 2 2 2" xfId="25345"/>
    <cellStyle name="Comma 2 2 2 3 5 2 2 2 2" xfId="44772"/>
    <cellStyle name="Comma 2 2 2 3 5 2 2 2 3" xfId="38349"/>
    <cellStyle name="Comma 2 2 2 3 5 2 2 3" xfId="27523"/>
    <cellStyle name="Comma 2 2 2 3 5 2 2 3 2" xfId="41565"/>
    <cellStyle name="Comma 2 2 2 3 5 2 2 4" xfId="30858"/>
    <cellStyle name="Comma 2 2 2 3 5 2 2 5" xfId="35141"/>
    <cellStyle name="Comma 2 2 2 3 5 2 3" xfId="15164"/>
    <cellStyle name="Comma 2 2 2 3 5 2 3 2" xfId="24177"/>
    <cellStyle name="Comma 2 2 2 3 5 2 3 2 2" xfId="43606"/>
    <cellStyle name="Comma 2 2 2 3 5 2 3 2 3" xfId="37183"/>
    <cellStyle name="Comma 2 2 2 3 5 2 3 3" xfId="28500"/>
    <cellStyle name="Comma 2 2 2 3 5 2 3 3 2" xfId="40399"/>
    <cellStyle name="Comma 2 2 2 3 5 2 3 4" xfId="31835"/>
    <cellStyle name="Comma 2 2 2 3 5 2 3 5" xfId="33975"/>
    <cellStyle name="Comma 2 2 2 3 5 2 4" xfId="7980"/>
    <cellStyle name="Comma 2 2 2 3 5 2 4 2" xfId="42631"/>
    <cellStyle name="Comma 2 2 2 3 5 2 4 3" xfId="36207"/>
    <cellStyle name="Comma 2 2 2 3 5 2 5" xfId="20971"/>
    <cellStyle name="Comma 2 2 2 3 5 2 5 2" xfId="39424"/>
    <cellStyle name="Comma 2 2 2 3 5 2 6" xfId="22044"/>
    <cellStyle name="Comma 2 2 2 3 5 2 7" xfId="23202"/>
    <cellStyle name="Comma 2 2 2 3 5 2 8" xfId="26366"/>
    <cellStyle name="Comma 2 2 2 3 5 2 9" xfId="29699"/>
    <cellStyle name="Comma 2 2 2 3 5 3" xfId="775"/>
    <cellStyle name="Comma 2 2 2 3 5 3 10" xfId="33001"/>
    <cellStyle name="Comma 2 2 2 3 5 3 2" xfId="9546"/>
    <cellStyle name="Comma 2 2 2 3 5 3 2 2" xfId="25346"/>
    <cellStyle name="Comma 2 2 2 3 5 3 2 2 2" xfId="44773"/>
    <cellStyle name="Comma 2 2 2 3 5 3 2 2 3" xfId="38350"/>
    <cellStyle name="Comma 2 2 2 3 5 3 2 3" xfId="27524"/>
    <cellStyle name="Comma 2 2 2 3 5 3 2 3 2" xfId="41566"/>
    <cellStyle name="Comma 2 2 2 3 5 3 2 4" xfId="30859"/>
    <cellStyle name="Comma 2 2 2 3 5 3 2 5" xfId="35142"/>
    <cellStyle name="Comma 2 2 2 3 5 3 3" xfId="15165"/>
    <cellStyle name="Comma 2 2 2 3 5 3 3 2" xfId="24178"/>
    <cellStyle name="Comma 2 2 2 3 5 3 3 2 2" xfId="43607"/>
    <cellStyle name="Comma 2 2 2 3 5 3 3 2 3" xfId="37184"/>
    <cellStyle name="Comma 2 2 2 3 5 3 3 3" xfId="28501"/>
    <cellStyle name="Comma 2 2 2 3 5 3 3 3 2" xfId="40400"/>
    <cellStyle name="Comma 2 2 2 3 5 3 3 4" xfId="31836"/>
    <cellStyle name="Comma 2 2 2 3 5 3 3 5" xfId="33976"/>
    <cellStyle name="Comma 2 2 2 3 5 3 4" xfId="7981"/>
    <cellStyle name="Comma 2 2 2 3 5 3 4 2" xfId="42632"/>
    <cellStyle name="Comma 2 2 2 3 5 3 4 3" xfId="36208"/>
    <cellStyle name="Comma 2 2 2 3 5 3 5" xfId="20972"/>
    <cellStyle name="Comma 2 2 2 3 5 3 5 2" xfId="39425"/>
    <cellStyle name="Comma 2 2 2 3 5 3 6" xfId="22045"/>
    <cellStyle name="Comma 2 2 2 3 5 3 7" xfId="23203"/>
    <cellStyle name="Comma 2 2 2 3 5 3 8" xfId="26367"/>
    <cellStyle name="Comma 2 2 2 3 5 3 9" xfId="29700"/>
    <cellStyle name="Comma 2 2 2 3 5 4" xfId="776"/>
    <cellStyle name="Comma 2 2 2 3 5 4 10" xfId="33002"/>
    <cellStyle name="Comma 2 2 2 3 5 4 2" xfId="9547"/>
    <cellStyle name="Comma 2 2 2 3 5 4 2 2" xfId="25347"/>
    <cellStyle name="Comma 2 2 2 3 5 4 2 2 2" xfId="44774"/>
    <cellStyle name="Comma 2 2 2 3 5 4 2 2 3" xfId="38351"/>
    <cellStyle name="Comma 2 2 2 3 5 4 2 3" xfId="27525"/>
    <cellStyle name="Comma 2 2 2 3 5 4 2 3 2" xfId="41567"/>
    <cellStyle name="Comma 2 2 2 3 5 4 2 4" xfId="30860"/>
    <cellStyle name="Comma 2 2 2 3 5 4 2 5" xfId="35143"/>
    <cellStyle name="Comma 2 2 2 3 5 4 3" xfId="15166"/>
    <cellStyle name="Comma 2 2 2 3 5 4 3 2" xfId="24179"/>
    <cellStyle name="Comma 2 2 2 3 5 4 3 2 2" xfId="43608"/>
    <cellStyle name="Comma 2 2 2 3 5 4 3 2 3" xfId="37185"/>
    <cellStyle name="Comma 2 2 2 3 5 4 3 3" xfId="28502"/>
    <cellStyle name="Comma 2 2 2 3 5 4 3 3 2" xfId="40401"/>
    <cellStyle name="Comma 2 2 2 3 5 4 3 4" xfId="31837"/>
    <cellStyle name="Comma 2 2 2 3 5 4 3 5" xfId="33977"/>
    <cellStyle name="Comma 2 2 2 3 5 4 4" xfId="7982"/>
    <cellStyle name="Comma 2 2 2 3 5 4 4 2" xfId="42633"/>
    <cellStyle name="Comma 2 2 2 3 5 4 4 3" xfId="36209"/>
    <cellStyle name="Comma 2 2 2 3 5 4 5" xfId="20973"/>
    <cellStyle name="Comma 2 2 2 3 5 4 5 2" xfId="39426"/>
    <cellStyle name="Comma 2 2 2 3 5 4 6" xfId="22046"/>
    <cellStyle name="Comma 2 2 2 3 5 4 7" xfId="23204"/>
    <cellStyle name="Comma 2 2 2 3 5 4 8" xfId="26368"/>
    <cellStyle name="Comma 2 2 2 3 5 4 9" xfId="29701"/>
    <cellStyle name="Comma 2 2 2 3 5 5" xfId="777"/>
    <cellStyle name="Comma 2 2 2 3 5 5 10" xfId="33003"/>
    <cellStyle name="Comma 2 2 2 3 5 5 2" xfId="9548"/>
    <cellStyle name="Comma 2 2 2 3 5 5 2 2" xfId="25348"/>
    <cellStyle name="Comma 2 2 2 3 5 5 2 2 2" xfId="44775"/>
    <cellStyle name="Comma 2 2 2 3 5 5 2 2 3" xfId="38352"/>
    <cellStyle name="Comma 2 2 2 3 5 5 2 3" xfId="27526"/>
    <cellStyle name="Comma 2 2 2 3 5 5 2 3 2" xfId="41568"/>
    <cellStyle name="Comma 2 2 2 3 5 5 2 4" xfId="30861"/>
    <cellStyle name="Comma 2 2 2 3 5 5 2 5" xfId="35144"/>
    <cellStyle name="Comma 2 2 2 3 5 5 3" xfId="15167"/>
    <cellStyle name="Comma 2 2 2 3 5 5 3 2" xfId="24180"/>
    <cellStyle name="Comma 2 2 2 3 5 5 3 2 2" xfId="43609"/>
    <cellStyle name="Comma 2 2 2 3 5 5 3 2 3" xfId="37186"/>
    <cellStyle name="Comma 2 2 2 3 5 5 3 3" xfId="28503"/>
    <cellStyle name="Comma 2 2 2 3 5 5 3 3 2" xfId="40402"/>
    <cellStyle name="Comma 2 2 2 3 5 5 3 4" xfId="31838"/>
    <cellStyle name="Comma 2 2 2 3 5 5 3 5" xfId="33978"/>
    <cellStyle name="Comma 2 2 2 3 5 5 4" xfId="7983"/>
    <cellStyle name="Comma 2 2 2 3 5 5 4 2" xfId="42634"/>
    <cellStyle name="Comma 2 2 2 3 5 5 4 3" xfId="36210"/>
    <cellStyle name="Comma 2 2 2 3 5 5 5" xfId="20974"/>
    <cellStyle name="Comma 2 2 2 3 5 5 5 2" xfId="39427"/>
    <cellStyle name="Comma 2 2 2 3 5 5 6" xfId="22047"/>
    <cellStyle name="Comma 2 2 2 3 5 5 7" xfId="23205"/>
    <cellStyle name="Comma 2 2 2 3 5 5 8" xfId="26369"/>
    <cellStyle name="Comma 2 2 2 3 5 5 9" xfId="29702"/>
    <cellStyle name="Comma 2 2 2 3 5 6" xfId="9544"/>
    <cellStyle name="Comma 2 2 2 3 5 6 2" xfId="25344"/>
    <cellStyle name="Comma 2 2 2 3 5 6 2 2" xfId="44771"/>
    <cellStyle name="Comma 2 2 2 3 5 6 2 3" xfId="38348"/>
    <cellStyle name="Comma 2 2 2 3 5 6 3" xfId="27522"/>
    <cellStyle name="Comma 2 2 2 3 5 6 3 2" xfId="41564"/>
    <cellStyle name="Comma 2 2 2 3 5 6 4" xfId="30857"/>
    <cellStyle name="Comma 2 2 2 3 5 6 5" xfId="35140"/>
    <cellStyle name="Comma 2 2 2 3 5 7" xfId="15163"/>
    <cellStyle name="Comma 2 2 2 3 5 7 2" xfId="24176"/>
    <cellStyle name="Comma 2 2 2 3 5 7 2 2" xfId="43605"/>
    <cellStyle name="Comma 2 2 2 3 5 7 2 3" xfId="37182"/>
    <cellStyle name="Comma 2 2 2 3 5 7 3" xfId="28499"/>
    <cellStyle name="Comma 2 2 2 3 5 7 3 2" xfId="40398"/>
    <cellStyle name="Comma 2 2 2 3 5 7 4" xfId="31834"/>
    <cellStyle name="Comma 2 2 2 3 5 7 5" xfId="33974"/>
    <cellStyle name="Comma 2 2 2 3 5 8" xfId="7979"/>
    <cellStyle name="Comma 2 2 2 3 5 8 2" xfId="42630"/>
    <cellStyle name="Comma 2 2 2 3 5 8 3" xfId="36206"/>
    <cellStyle name="Comma 2 2 2 3 5 9" xfId="20970"/>
    <cellStyle name="Comma 2 2 2 3 5 9 2" xfId="39423"/>
    <cellStyle name="Comma 2 2 2 3 6" xfId="778"/>
    <cellStyle name="Comma 2 2 2 3 6 10" xfId="33004"/>
    <cellStyle name="Comma 2 2 2 3 6 2" xfId="9549"/>
    <cellStyle name="Comma 2 2 2 3 6 2 2" xfId="25349"/>
    <cellStyle name="Comma 2 2 2 3 6 2 2 2" xfId="44776"/>
    <cellStyle name="Comma 2 2 2 3 6 2 2 3" xfId="38353"/>
    <cellStyle name="Comma 2 2 2 3 6 2 3" xfId="27527"/>
    <cellStyle name="Comma 2 2 2 3 6 2 3 2" xfId="41569"/>
    <cellStyle name="Comma 2 2 2 3 6 2 4" xfId="30862"/>
    <cellStyle name="Comma 2 2 2 3 6 2 5" xfId="35145"/>
    <cellStyle name="Comma 2 2 2 3 6 3" xfId="15168"/>
    <cellStyle name="Comma 2 2 2 3 6 3 2" xfId="24181"/>
    <cellStyle name="Comma 2 2 2 3 6 3 2 2" xfId="43610"/>
    <cellStyle name="Comma 2 2 2 3 6 3 2 3" xfId="37187"/>
    <cellStyle name="Comma 2 2 2 3 6 3 3" xfId="28504"/>
    <cellStyle name="Comma 2 2 2 3 6 3 3 2" xfId="40403"/>
    <cellStyle name="Comma 2 2 2 3 6 3 4" xfId="31839"/>
    <cellStyle name="Comma 2 2 2 3 6 3 5" xfId="33979"/>
    <cellStyle name="Comma 2 2 2 3 6 4" xfId="7984"/>
    <cellStyle name="Comma 2 2 2 3 6 4 2" xfId="42635"/>
    <cellStyle name="Comma 2 2 2 3 6 4 3" xfId="36211"/>
    <cellStyle name="Comma 2 2 2 3 6 5" xfId="20975"/>
    <cellStyle name="Comma 2 2 2 3 6 5 2" xfId="39428"/>
    <cellStyle name="Comma 2 2 2 3 6 6" xfId="22048"/>
    <cellStyle name="Comma 2 2 2 3 6 7" xfId="23206"/>
    <cellStyle name="Comma 2 2 2 3 6 8" xfId="26370"/>
    <cellStyle name="Comma 2 2 2 3 6 9" xfId="29703"/>
    <cellStyle name="Comma 2 2 2 3 7" xfId="779"/>
    <cellStyle name="Comma 2 2 2 3 7 10" xfId="33005"/>
    <cellStyle name="Comma 2 2 2 3 7 2" xfId="9550"/>
    <cellStyle name="Comma 2 2 2 3 7 2 2" xfId="25350"/>
    <cellStyle name="Comma 2 2 2 3 7 2 2 2" xfId="44777"/>
    <cellStyle name="Comma 2 2 2 3 7 2 2 3" xfId="38354"/>
    <cellStyle name="Comma 2 2 2 3 7 2 3" xfId="27528"/>
    <cellStyle name="Comma 2 2 2 3 7 2 3 2" xfId="41570"/>
    <cellStyle name="Comma 2 2 2 3 7 2 4" xfId="30863"/>
    <cellStyle name="Comma 2 2 2 3 7 2 5" xfId="35146"/>
    <cellStyle name="Comma 2 2 2 3 7 3" xfId="15169"/>
    <cellStyle name="Comma 2 2 2 3 7 3 2" xfId="24182"/>
    <cellStyle name="Comma 2 2 2 3 7 3 2 2" xfId="43611"/>
    <cellStyle name="Comma 2 2 2 3 7 3 2 3" xfId="37188"/>
    <cellStyle name="Comma 2 2 2 3 7 3 3" xfId="28505"/>
    <cellStyle name="Comma 2 2 2 3 7 3 3 2" xfId="40404"/>
    <cellStyle name="Comma 2 2 2 3 7 3 4" xfId="31840"/>
    <cellStyle name="Comma 2 2 2 3 7 3 5" xfId="33980"/>
    <cellStyle name="Comma 2 2 2 3 7 4" xfId="7985"/>
    <cellStyle name="Comma 2 2 2 3 7 4 2" xfId="42636"/>
    <cellStyle name="Comma 2 2 2 3 7 4 3" xfId="36212"/>
    <cellStyle name="Comma 2 2 2 3 7 5" xfId="20976"/>
    <cellStyle name="Comma 2 2 2 3 7 5 2" xfId="39429"/>
    <cellStyle name="Comma 2 2 2 3 7 6" xfId="22049"/>
    <cellStyle name="Comma 2 2 2 3 7 7" xfId="23207"/>
    <cellStyle name="Comma 2 2 2 3 7 8" xfId="26371"/>
    <cellStyle name="Comma 2 2 2 3 7 9" xfId="29704"/>
    <cellStyle name="Comma 2 2 2 3 8" xfId="780"/>
    <cellStyle name="Comma 2 2 2 3 8 10" xfId="33006"/>
    <cellStyle name="Comma 2 2 2 3 8 2" xfId="9551"/>
    <cellStyle name="Comma 2 2 2 3 8 2 2" xfId="25351"/>
    <cellStyle name="Comma 2 2 2 3 8 2 2 2" xfId="44778"/>
    <cellStyle name="Comma 2 2 2 3 8 2 2 3" xfId="38355"/>
    <cellStyle name="Comma 2 2 2 3 8 2 3" xfId="27529"/>
    <cellStyle name="Comma 2 2 2 3 8 2 3 2" xfId="41571"/>
    <cellStyle name="Comma 2 2 2 3 8 2 4" xfId="30864"/>
    <cellStyle name="Comma 2 2 2 3 8 2 5" xfId="35147"/>
    <cellStyle name="Comma 2 2 2 3 8 3" xfId="15170"/>
    <cellStyle name="Comma 2 2 2 3 8 3 2" xfId="24183"/>
    <cellStyle name="Comma 2 2 2 3 8 3 2 2" xfId="43612"/>
    <cellStyle name="Comma 2 2 2 3 8 3 2 3" xfId="37189"/>
    <cellStyle name="Comma 2 2 2 3 8 3 3" xfId="28506"/>
    <cellStyle name="Comma 2 2 2 3 8 3 3 2" xfId="40405"/>
    <cellStyle name="Comma 2 2 2 3 8 3 4" xfId="31841"/>
    <cellStyle name="Comma 2 2 2 3 8 3 5" xfId="33981"/>
    <cellStyle name="Comma 2 2 2 3 8 4" xfId="7986"/>
    <cellStyle name="Comma 2 2 2 3 8 4 2" xfId="42637"/>
    <cellStyle name="Comma 2 2 2 3 8 4 3" xfId="36213"/>
    <cellStyle name="Comma 2 2 2 3 8 5" xfId="20977"/>
    <cellStyle name="Comma 2 2 2 3 8 5 2" xfId="39430"/>
    <cellStyle name="Comma 2 2 2 3 8 6" xfId="22050"/>
    <cellStyle name="Comma 2 2 2 3 8 7" xfId="23208"/>
    <cellStyle name="Comma 2 2 2 3 8 8" xfId="26372"/>
    <cellStyle name="Comma 2 2 2 3 8 9" xfId="29705"/>
    <cellStyle name="Comma 2 2 2 3 9" xfId="781"/>
    <cellStyle name="Comma 2 2 2 3 9 10" xfId="33007"/>
    <cellStyle name="Comma 2 2 2 3 9 2" xfId="9552"/>
    <cellStyle name="Comma 2 2 2 3 9 2 2" xfId="25352"/>
    <cellStyle name="Comma 2 2 2 3 9 2 2 2" xfId="44779"/>
    <cellStyle name="Comma 2 2 2 3 9 2 2 3" xfId="38356"/>
    <cellStyle name="Comma 2 2 2 3 9 2 3" xfId="27530"/>
    <cellStyle name="Comma 2 2 2 3 9 2 3 2" xfId="41572"/>
    <cellStyle name="Comma 2 2 2 3 9 2 4" xfId="30865"/>
    <cellStyle name="Comma 2 2 2 3 9 2 5" xfId="35148"/>
    <cellStyle name="Comma 2 2 2 3 9 3" xfId="15171"/>
    <cellStyle name="Comma 2 2 2 3 9 3 2" xfId="24184"/>
    <cellStyle name="Comma 2 2 2 3 9 3 2 2" xfId="43613"/>
    <cellStyle name="Comma 2 2 2 3 9 3 2 3" xfId="37190"/>
    <cellStyle name="Comma 2 2 2 3 9 3 3" xfId="28507"/>
    <cellStyle name="Comma 2 2 2 3 9 3 3 2" xfId="40406"/>
    <cellStyle name="Comma 2 2 2 3 9 3 4" xfId="31842"/>
    <cellStyle name="Comma 2 2 2 3 9 3 5" xfId="33982"/>
    <cellStyle name="Comma 2 2 2 3 9 4" xfId="7987"/>
    <cellStyle name="Comma 2 2 2 3 9 4 2" xfId="42638"/>
    <cellStyle name="Comma 2 2 2 3 9 4 3" xfId="36214"/>
    <cellStyle name="Comma 2 2 2 3 9 5" xfId="20978"/>
    <cellStyle name="Comma 2 2 2 3 9 5 2" xfId="39431"/>
    <cellStyle name="Comma 2 2 2 3 9 6" xfId="22051"/>
    <cellStyle name="Comma 2 2 2 3 9 7" xfId="23209"/>
    <cellStyle name="Comma 2 2 2 3 9 8" xfId="26373"/>
    <cellStyle name="Comma 2 2 2 3 9 9" xfId="29706"/>
    <cellStyle name="Comma 2 2 2 4" xfId="220"/>
    <cellStyle name="Comma 2 2 2 4 10" xfId="15172"/>
    <cellStyle name="Comma 2 2 2 4 10 2" xfId="24185"/>
    <cellStyle name="Comma 2 2 2 4 10 2 2" xfId="43614"/>
    <cellStyle name="Comma 2 2 2 4 10 2 3" xfId="37191"/>
    <cellStyle name="Comma 2 2 2 4 10 3" xfId="28508"/>
    <cellStyle name="Comma 2 2 2 4 10 3 2" xfId="40407"/>
    <cellStyle name="Comma 2 2 2 4 10 4" xfId="31843"/>
    <cellStyle name="Comma 2 2 2 4 10 5" xfId="33983"/>
    <cellStyle name="Comma 2 2 2 4 11" xfId="7988"/>
    <cellStyle name="Comma 2 2 2 4 11 2" xfId="42435"/>
    <cellStyle name="Comma 2 2 2 4 11 3" xfId="36011"/>
    <cellStyle name="Comma 2 2 2 4 12" xfId="20979"/>
    <cellStyle name="Comma 2 2 2 4 12 2" xfId="39228"/>
    <cellStyle name="Comma 2 2 2 4 13" xfId="22052"/>
    <cellStyle name="Comma 2 2 2 4 14" xfId="23006"/>
    <cellStyle name="Comma 2 2 2 4 15" xfId="26374"/>
    <cellStyle name="Comma 2 2 2 4 16" xfId="29707"/>
    <cellStyle name="Comma 2 2 2 4 17" xfId="32804"/>
    <cellStyle name="Comma 2 2 2 4 2" xfId="217"/>
    <cellStyle name="Comma 2 2 2 4 2 10" xfId="20980"/>
    <cellStyle name="Comma 2 2 2 4 2 10 2" xfId="39225"/>
    <cellStyle name="Comma 2 2 2 4 2 11" xfId="22053"/>
    <cellStyle name="Comma 2 2 2 4 2 12" xfId="23003"/>
    <cellStyle name="Comma 2 2 2 4 2 13" xfId="26375"/>
    <cellStyle name="Comma 2 2 2 4 2 14" xfId="29708"/>
    <cellStyle name="Comma 2 2 2 4 2 15" xfId="32801"/>
    <cellStyle name="Comma 2 2 2 4 2 2" xfId="782"/>
    <cellStyle name="Comma 2 2 2 4 2 2 10" xfId="33008"/>
    <cellStyle name="Comma 2 2 2 4 2 2 2" xfId="9553"/>
    <cellStyle name="Comma 2 2 2 4 2 2 2 2" xfId="25353"/>
    <cellStyle name="Comma 2 2 2 4 2 2 2 2 2" xfId="44780"/>
    <cellStyle name="Comma 2 2 2 4 2 2 2 2 3" xfId="38357"/>
    <cellStyle name="Comma 2 2 2 4 2 2 2 3" xfId="27531"/>
    <cellStyle name="Comma 2 2 2 4 2 2 2 3 2" xfId="41573"/>
    <cellStyle name="Comma 2 2 2 4 2 2 2 4" xfId="30866"/>
    <cellStyle name="Comma 2 2 2 4 2 2 2 5" xfId="35149"/>
    <cellStyle name="Comma 2 2 2 4 2 2 3" xfId="15174"/>
    <cellStyle name="Comma 2 2 2 4 2 2 3 2" xfId="24187"/>
    <cellStyle name="Comma 2 2 2 4 2 2 3 2 2" xfId="43616"/>
    <cellStyle name="Comma 2 2 2 4 2 2 3 2 3" xfId="37193"/>
    <cellStyle name="Comma 2 2 2 4 2 2 3 3" xfId="28510"/>
    <cellStyle name="Comma 2 2 2 4 2 2 3 3 2" xfId="40409"/>
    <cellStyle name="Comma 2 2 2 4 2 2 3 4" xfId="31845"/>
    <cellStyle name="Comma 2 2 2 4 2 2 3 5" xfId="33985"/>
    <cellStyle name="Comma 2 2 2 4 2 2 4" xfId="7990"/>
    <cellStyle name="Comma 2 2 2 4 2 2 4 2" xfId="42639"/>
    <cellStyle name="Comma 2 2 2 4 2 2 4 3" xfId="36215"/>
    <cellStyle name="Comma 2 2 2 4 2 2 5" xfId="20981"/>
    <cellStyle name="Comma 2 2 2 4 2 2 5 2" xfId="39432"/>
    <cellStyle name="Comma 2 2 2 4 2 2 6" xfId="22054"/>
    <cellStyle name="Comma 2 2 2 4 2 2 7" xfId="23210"/>
    <cellStyle name="Comma 2 2 2 4 2 2 8" xfId="26376"/>
    <cellStyle name="Comma 2 2 2 4 2 2 9" xfId="29709"/>
    <cellStyle name="Comma 2 2 2 4 2 3" xfId="783"/>
    <cellStyle name="Comma 2 2 2 4 2 3 10" xfId="33009"/>
    <cellStyle name="Comma 2 2 2 4 2 3 2" xfId="9554"/>
    <cellStyle name="Comma 2 2 2 4 2 3 2 2" xfId="25354"/>
    <cellStyle name="Comma 2 2 2 4 2 3 2 2 2" xfId="44781"/>
    <cellStyle name="Comma 2 2 2 4 2 3 2 2 3" xfId="38358"/>
    <cellStyle name="Comma 2 2 2 4 2 3 2 3" xfId="27532"/>
    <cellStyle name="Comma 2 2 2 4 2 3 2 3 2" xfId="41574"/>
    <cellStyle name="Comma 2 2 2 4 2 3 2 4" xfId="30867"/>
    <cellStyle name="Comma 2 2 2 4 2 3 2 5" xfId="35150"/>
    <cellStyle name="Comma 2 2 2 4 2 3 3" xfId="15175"/>
    <cellStyle name="Comma 2 2 2 4 2 3 3 2" xfId="24188"/>
    <cellStyle name="Comma 2 2 2 4 2 3 3 2 2" xfId="43617"/>
    <cellStyle name="Comma 2 2 2 4 2 3 3 2 3" xfId="37194"/>
    <cellStyle name="Comma 2 2 2 4 2 3 3 3" xfId="28511"/>
    <cellStyle name="Comma 2 2 2 4 2 3 3 3 2" xfId="40410"/>
    <cellStyle name="Comma 2 2 2 4 2 3 3 4" xfId="31846"/>
    <cellStyle name="Comma 2 2 2 4 2 3 3 5" xfId="33986"/>
    <cellStyle name="Comma 2 2 2 4 2 3 4" xfId="7991"/>
    <cellStyle name="Comma 2 2 2 4 2 3 4 2" xfId="42640"/>
    <cellStyle name="Comma 2 2 2 4 2 3 4 3" xfId="36216"/>
    <cellStyle name="Comma 2 2 2 4 2 3 5" xfId="20982"/>
    <cellStyle name="Comma 2 2 2 4 2 3 5 2" xfId="39433"/>
    <cellStyle name="Comma 2 2 2 4 2 3 6" xfId="22055"/>
    <cellStyle name="Comma 2 2 2 4 2 3 7" xfId="23211"/>
    <cellStyle name="Comma 2 2 2 4 2 3 8" xfId="26377"/>
    <cellStyle name="Comma 2 2 2 4 2 3 9" xfId="29710"/>
    <cellStyle name="Comma 2 2 2 4 2 4" xfId="784"/>
    <cellStyle name="Comma 2 2 2 4 2 4 10" xfId="33010"/>
    <cellStyle name="Comma 2 2 2 4 2 4 2" xfId="9555"/>
    <cellStyle name="Comma 2 2 2 4 2 4 2 2" xfId="25355"/>
    <cellStyle name="Comma 2 2 2 4 2 4 2 2 2" xfId="44782"/>
    <cellStyle name="Comma 2 2 2 4 2 4 2 2 3" xfId="38359"/>
    <cellStyle name="Comma 2 2 2 4 2 4 2 3" xfId="27533"/>
    <cellStyle name="Comma 2 2 2 4 2 4 2 3 2" xfId="41575"/>
    <cellStyle name="Comma 2 2 2 4 2 4 2 4" xfId="30868"/>
    <cellStyle name="Comma 2 2 2 4 2 4 2 5" xfId="35151"/>
    <cellStyle name="Comma 2 2 2 4 2 4 3" xfId="15176"/>
    <cellStyle name="Comma 2 2 2 4 2 4 3 2" xfId="24189"/>
    <cellStyle name="Comma 2 2 2 4 2 4 3 2 2" xfId="43618"/>
    <cellStyle name="Comma 2 2 2 4 2 4 3 2 3" xfId="37195"/>
    <cellStyle name="Comma 2 2 2 4 2 4 3 3" xfId="28512"/>
    <cellStyle name="Comma 2 2 2 4 2 4 3 3 2" xfId="40411"/>
    <cellStyle name="Comma 2 2 2 4 2 4 3 4" xfId="31847"/>
    <cellStyle name="Comma 2 2 2 4 2 4 3 5" xfId="33987"/>
    <cellStyle name="Comma 2 2 2 4 2 4 4" xfId="7992"/>
    <cellStyle name="Comma 2 2 2 4 2 4 4 2" xfId="42641"/>
    <cellStyle name="Comma 2 2 2 4 2 4 4 3" xfId="36217"/>
    <cellStyle name="Comma 2 2 2 4 2 4 5" xfId="20983"/>
    <cellStyle name="Comma 2 2 2 4 2 4 5 2" xfId="39434"/>
    <cellStyle name="Comma 2 2 2 4 2 4 6" xfId="22056"/>
    <cellStyle name="Comma 2 2 2 4 2 4 7" xfId="23212"/>
    <cellStyle name="Comma 2 2 2 4 2 4 8" xfId="26378"/>
    <cellStyle name="Comma 2 2 2 4 2 4 9" xfId="29711"/>
    <cellStyle name="Comma 2 2 2 4 2 5" xfId="785"/>
    <cellStyle name="Comma 2 2 2 4 2 5 10" xfId="33011"/>
    <cellStyle name="Comma 2 2 2 4 2 5 2" xfId="9556"/>
    <cellStyle name="Comma 2 2 2 4 2 5 2 2" xfId="25356"/>
    <cellStyle name="Comma 2 2 2 4 2 5 2 2 2" xfId="44783"/>
    <cellStyle name="Comma 2 2 2 4 2 5 2 2 3" xfId="38360"/>
    <cellStyle name="Comma 2 2 2 4 2 5 2 3" xfId="27534"/>
    <cellStyle name="Comma 2 2 2 4 2 5 2 3 2" xfId="41576"/>
    <cellStyle name="Comma 2 2 2 4 2 5 2 4" xfId="30869"/>
    <cellStyle name="Comma 2 2 2 4 2 5 2 5" xfId="35152"/>
    <cellStyle name="Comma 2 2 2 4 2 5 3" xfId="15177"/>
    <cellStyle name="Comma 2 2 2 4 2 5 3 2" xfId="24190"/>
    <cellStyle name="Comma 2 2 2 4 2 5 3 2 2" xfId="43619"/>
    <cellStyle name="Comma 2 2 2 4 2 5 3 2 3" xfId="37196"/>
    <cellStyle name="Comma 2 2 2 4 2 5 3 3" xfId="28513"/>
    <cellStyle name="Comma 2 2 2 4 2 5 3 3 2" xfId="40412"/>
    <cellStyle name="Comma 2 2 2 4 2 5 3 4" xfId="31848"/>
    <cellStyle name="Comma 2 2 2 4 2 5 3 5" xfId="33988"/>
    <cellStyle name="Comma 2 2 2 4 2 5 4" xfId="7993"/>
    <cellStyle name="Comma 2 2 2 4 2 5 4 2" xfId="42642"/>
    <cellStyle name="Comma 2 2 2 4 2 5 4 3" xfId="36218"/>
    <cellStyle name="Comma 2 2 2 4 2 5 5" xfId="20984"/>
    <cellStyle name="Comma 2 2 2 4 2 5 5 2" xfId="39435"/>
    <cellStyle name="Comma 2 2 2 4 2 5 6" xfId="22057"/>
    <cellStyle name="Comma 2 2 2 4 2 5 7" xfId="23213"/>
    <cellStyle name="Comma 2 2 2 4 2 5 8" xfId="26379"/>
    <cellStyle name="Comma 2 2 2 4 2 5 9" xfId="29712"/>
    <cellStyle name="Comma 2 2 2 4 2 6" xfId="786"/>
    <cellStyle name="Comma 2 2 2 4 2 6 10" xfId="33012"/>
    <cellStyle name="Comma 2 2 2 4 2 6 2" xfId="9557"/>
    <cellStyle name="Comma 2 2 2 4 2 6 2 2" xfId="25357"/>
    <cellStyle name="Comma 2 2 2 4 2 6 2 2 2" xfId="44784"/>
    <cellStyle name="Comma 2 2 2 4 2 6 2 2 3" xfId="38361"/>
    <cellStyle name="Comma 2 2 2 4 2 6 2 3" xfId="27535"/>
    <cellStyle name="Comma 2 2 2 4 2 6 2 3 2" xfId="41577"/>
    <cellStyle name="Comma 2 2 2 4 2 6 2 4" xfId="30870"/>
    <cellStyle name="Comma 2 2 2 4 2 6 2 5" xfId="35153"/>
    <cellStyle name="Comma 2 2 2 4 2 6 3" xfId="15178"/>
    <cellStyle name="Comma 2 2 2 4 2 6 3 2" xfId="24191"/>
    <cellStyle name="Comma 2 2 2 4 2 6 3 2 2" xfId="43620"/>
    <cellStyle name="Comma 2 2 2 4 2 6 3 2 3" xfId="37197"/>
    <cellStyle name="Comma 2 2 2 4 2 6 3 3" xfId="28514"/>
    <cellStyle name="Comma 2 2 2 4 2 6 3 3 2" xfId="40413"/>
    <cellStyle name="Comma 2 2 2 4 2 6 3 4" xfId="31849"/>
    <cellStyle name="Comma 2 2 2 4 2 6 3 5" xfId="33989"/>
    <cellStyle name="Comma 2 2 2 4 2 6 4" xfId="7994"/>
    <cellStyle name="Comma 2 2 2 4 2 6 4 2" xfId="42643"/>
    <cellStyle name="Comma 2 2 2 4 2 6 4 3" xfId="36219"/>
    <cellStyle name="Comma 2 2 2 4 2 6 5" xfId="20985"/>
    <cellStyle name="Comma 2 2 2 4 2 6 5 2" xfId="39436"/>
    <cellStyle name="Comma 2 2 2 4 2 6 6" xfId="22058"/>
    <cellStyle name="Comma 2 2 2 4 2 6 7" xfId="23214"/>
    <cellStyle name="Comma 2 2 2 4 2 6 8" xfId="26380"/>
    <cellStyle name="Comma 2 2 2 4 2 6 9" xfId="29713"/>
    <cellStyle name="Comma 2 2 2 4 2 7" xfId="9087"/>
    <cellStyle name="Comma 2 2 2 4 2 7 2" xfId="25142"/>
    <cellStyle name="Comma 2 2 2 4 2 7 2 2" xfId="44569"/>
    <cellStyle name="Comma 2 2 2 4 2 7 2 3" xfId="38146"/>
    <cellStyle name="Comma 2 2 2 4 2 7 3" xfId="27321"/>
    <cellStyle name="Comma 2 2 2 4 2 7 3 2" xfId="41362"/>
    <cellStyle name="Comma 2 2 2 4 2 7 4" xfId="30656"/>
    <cellStyle name="Comma 2 2 2 4 2 7 5" xfId="34938"/>
    <cellStyle name="Comma 2 2 2 4 2 8" xfId="15173"/>
    <cellStyle name="Comma 2 2 2 4 2 8 2" xfId="24186"/>
    <cellStyle name="Comma 2 2 2 4 2 8 2 2" xfId="43615"/>
    <cellStyle name="Comma 2 2 2 4 2 8 2 3" xfId="37192"/>
    <cellStyle name="Comma 2 2 2 4 2 8 3" xfId="28509"/>
    <cellStyle name="Comma 2 2 2 4 2 8 3 2" xfId="40408"/>
    <cellStyle name="Comma 2 2 2 4 2 8 4" xfId="31844"/>
    <cellStyle name="Comma 2 2 2 4 2 8 5" xfId="33984"/>
    <cellStyle name="Comma 2 2 2 4 2 9" xfId="7989"/>
    <cellStyle name="Comma 2 2 2 4 2 9 2" xfId="42432"/>
    <cellStyle name="Comma 2 2 2 4 2 9 3" xfId="36008"/>
    <cellStyle name="Comma 2 2 2 4 3" xfId="787"/>
    <cellStyle name="Comma 2 2 2 4 3 10" xfId="22059"/>
    <cellStyle name="Comma 2 2 2 4 3 11" xfId="23215"/>
    <cellStyle name="Comma 2 2 2 4 3 12" xfId="26381"/>
    <cellStyle name="Comma 2 2 2 4 3 13" xfId="29714"/>
    <cellStyle name="Comma 2 2 2 4 3 14" xfId="33013"/>
    <cellStyle name="Comma 2 2 2 4 3 2" xfId="788"/>
    <cellStyle name="Comma 2 2 2 4 3 2 10" xfId="33014"/>
    <cellStyle name="Comma 2 2 2 4 3 2 2" xfId="9559"/>
    <cellStyle name="Comma 2 2 2 4 3 2 2 2" xfId="25359"/>
    <cellStyle name="Comma 2 2 2 4 3 2 2 2 2" xfId="44786"/>
    <cellStyle name="Comma 2 2 2 4 3 2 2 2 3" xfId="38363"/>
    <cellStyle name="Comma 2 2 2 4 3 2 2 3" xfId="27537"/>
    <cellStyle name="Comma 2 2 2 4 3 2 2 3 2" xfId="41579"/>
    <cellStyle name="Comma 2 2 2 4 3 2 2 4" xfId="30872"/>
    <cellStyle name="Comma 2 2 2 4 3 2 2 5" xfId="35155"/>
    <cellStyle name="Comma 2 2 2 4 3 2 3" xfId="15180"/>
    <cellStyle name="Comma 2 2 2 4 3 2 3 2" xfId="24193"/>
    <cellStyle name="Comma 2 2 2 4 3 2 3 2 2" xfId="43622"/>
    <cellStyle name="Comma 2 2 2 4 3 2 3 2 3" xfId="37199"/>
    <cellStyle name="Comma 2 2 2 4 3 2 3 3" xfId="28516"/>
    <cellStyle name="Comma 2 2 2 4 3 2 3 3 2" xfId="40415"/>
    <cellStyle name="Comma 2 2 2 4 3 2 3 4" xfId="31851"/>
    <cellStyle name="Comma 2 2 2 4 3 2 3 5" xfId="33991"/>
    <cellStyle name="Comma 2 2 2 4 3 2 4" xfId="7996"/>
    <cellStyle name="Comma 2 2 2 4 3 2 4 2" xfId="42645"/>
    <cellStyle name="Comma 2 2 2 4 3 2 4 3" xfId="36221"/>
    <cellStyle name="Comma 2 2 2 4 3 2 5" xfId="20987"/>
    <cellStyle name="Comma 2 2 2 4 3 2 5 2" xfId="39438"/>
    <cellStyle name="Comma 2 2 2 4 3 2 6" xfId="22060"/>
    <cellStyle name="Comma 2 2 2 4 3 2 7" xfId="23216"/>
    <cellStyle name="Comma 2 2 2 4 3 2 8" xfId="26382"/>
    <cellStyle name="Comma 2 2 2 4 3 2 9" xfId="29715"/>
    <cellStyle name="Comma 2 2 2 4 3 3" xfId="789"/>
    <cellStyle name="Comma 2 2 2 4 3 3 10" xfId="33015"/>
    <cellStyle name="Comma 2 2 2 4 3 3 2" xfId="9560"/>
    <cellStyle name="Comma 2 2 2 4 3 3 2 2" xfId="25360"/>
    <cellStyle name="Comma 2 2 2 4 3 3 2 2 2" xfId="44787"/>
    <cellStyle name="Comma 2 2 2 4 3 3 2 2 3" xfId="38364"/>
    <cellStyle name="Comma 2 2 2 4 3 3 2 3" xfId="27538"/>
    <cellStyle name="Comma 2 2 2 4 3 3 2 3 2" xfId="41580"/>
    <cellStyle name="Comma 2 2 2 4 3 3 2 4" xfId="30873"/>
    <cellStyle name="Comma 2 2 2 4 3 3 2 5" xfId="35156"/>
    <cellStyle name="Comma 2 2 2 4 3 3 3" xfId="15181"/>
    <cellStyle name="Comma 2 2 2 4 3 3 3 2" xfId="24194"/>
    <cellStyle name="Comma 2 2 2 4 3 3 3 2 2" xfId="43623"/>
    <cellStyle name="Comma 2 2 2 4 3 3 3 2 3" xfId="37200"/>
    <cellStyle name="Comma 2 2 2 4 3 3 3 3" xfId="28517"/>
    <cellStyle name="Comma 2 2 2 4 3 3 3 3 2" xfId="40416"/>
    <cellStyle name="Comma 2 2 2 4 3 3 3 4" xfId="31852"/>
    <cellStyle name="Comma 2 2 2 4 3 3 3 5" xfId="33992"/>
    <cellStyle name="Comma 2 2 2 4 3 3 4" xfId="7997"/>
    <cellStyle name="Comma 2 2 2 4 3 3 4 2" xfId="42646"/>
    <cellStyle name="Comma 2 2 2 4 3 3 4 3" xfId="36222"/>
    <cellStyle name="Comma 2 2 2 4 3 3 5" xfId="20988"/>
    <cellStyle name="Comma 2 2 2 4 3 3 5 2" xfId="39439"/>
    <cellStyle name="Comma 2 2 2 4 3 3 6" xfId="22061"/>
    <cellStyle name="Comma 2 2 2 4 3 3 7" xfId="23217"/>
    <cellStyle name="Comma 2 2 2 4 3 3 8" xfId="26383"/>
    <cellStyle name="Comma 2 2 2 4 3 3 9" xfId="29716"/>
    <cellStyle name="Comma 2 2 2 4 3 4" xfId="790"/>
    <cellStyle name="Comma 2 2 2 4 3 4 10" xfId="33016"/>
    <cellStyle name="Comma 2 2 2 4 3 4 2" xfId="9561"/>
    <cellStyle name="Comma 2 2 2 4 3 4 2 2" xfId="25361"/>
    <cellStyle name="Comma 2 2 2 4 3 4 2 2 2" xfId="44788"/>
    <cellStyle name="Comma 2 2 2 4 3 4 2 2 3" xfId="38365"/>
    <cellStyle name="Comma 2 2 2 4 3 4 2 3" xfId="27539"/>
    <cellStyle name="Comma 2 2 2 4 3 4 2 3 2" xfId="41581"/>
    <cellStyle name="Comma 2 2 2 4 3 4 2 4" xfId="30874"/>
    <cellStyle name="Comma 2 2 2 4 3 4 2 5" xfId="35157"/>
    <cellStyle name="Comma 2 2 2 4 3 4 3" xfId="15182"/>
    <cellStyle name="Comma 2 2 2 4 3 4 3 2" xfId="24195"/>
    <cellStyle name="Comma 2 2 2 4 3 4 3 2 2" xfId="43624"/>
    <cellStyle name="Comma 2 2 2 4 3 4 3 2 3" xfId="37201"/>
    <cellStyle name="Comma 2 2 2 4 3 4 3 3" xfId="28518"/>
    <cellStyle name="Comma 2 2 2 4 3 4 3 3 2" xfId="40417"/>
    <cellStyle name="Comma 2 2 2 4 3 4 3 4" xfId="31853"/>
    <cellStyle name="Comma 2 2 2 4 3 4 3 5" xfId="33993"/>
    <cellStyle name="Comma 2 2 2 4 3 4 4" xfId="7998"/>
    <cellStyle name="Comma 2 2 2 4 3 4 4 2" xfId="42647"/>
    <cellStyle name="Comma 2 2 2 4 3 4 4 3" xfId="36223"/>
    <cellStyle name="Comma 2 2 2 4 3 4 5" xfId="20989"/>
    <cellStyle name="Comma 2 2 2 4 3 4 5 2" xfId="39440"/>
    <cellStyle name="Comma 2 2 2 4 3 4 6" xfId="22062"/>
    <cellStyle name="Comma 2 2 2 4 3 4 7" xfId="23218"/>
    <cellStyle name="Comma 2 2 2 4 3 4 8" xfId="26384"/>
    <cellStyle name="Comma 2 2 2 4 3 4 9" xfId="29717"/>
    <cellStyle name="Comma 2 2 2 4 3 5" xfId="791"/>
    <cellStyle name="Comma 2 2 2 4 3 5 10" xfId="33017"/>
    <cellStyle name="Comma 2 2 2 4 3 5 2" xfId="9562"/>
    <cellStyle name="Comma 2 2 2 4 3 5 2 2" xfId="25362"/>
    <cellStyle name="Comma 2 2 2 4 3 5 2 2 2" xfId="44789"/>
    <cellStyle name="Comma 2 2 2 4 3 5 2 2 3" xfId="38366"/>
    <cellStyle name="Comma 2 2 2 4 3 5 2 3" xfId="27540"/>
    <cellStyle name="Comma 2 2 2 4 3 5 2 3 2" xfId="41582"/>
    <cellStyle name="Comma 2 2 2 4 3 5 2 4" xfId="30875"/>
    <cellStyle name="Comma 2 2 2 4 3 5 2 5" xfId="35158"/>
    <cellStyle name="Comma 2 2 2 4 3 5 3" xfId="15183"/>
    <cellStyle name="Comma 2 2 2 4 3 5 3 2" xfId="24196"/>
    <cellStyle name="Comma 2 2 2 4 3 5 3 2 2" xfId="43625"/>
    <cellStyle name="Comma 2 2 2 4 3 5 3 2 3" xfId="37202"/>
    <cellStyle name="Comma 2 2 2 4 3 5 3 3" xfId="28519"/>
    <cellStyle name="Comma 2 2 2 4 3 5 3 3 2" xfId="40418"/>
    <cellStyle name="Comma 2 2 2 4 3 5 3 4" xfId="31854"/>
    <cellStyle name="Comma 2 2 2 4 3 5 3 5" xfId="33994"/>
    <cellStyle name="Comma 2 2 2 4 3 5 4" xfId="7999"/>
    <cellStyle name="Comma 2 2 2 4 3 5 4 2" xfId="42648"/>
    <cellStyle name="Comma 2 2 2 4 3 5 4 3" xfId="36224"/>
    <cellStyle name="Comma 2 2 2 4 3 5 5" xfId="20990"/>
    <cellStyle name="Comma 2 2 2 4 3 5 5 2" xfId="39441"/>
    <cellStyle name="Comma 2 2 2 4 3 5 6" xfId="22063"/>
    <cellStyle name="Comma 2 2 2 4 3 5 7" xfId="23219"/>
    <cellStyle name="Comma 2 2 2 4 3 5 8" xfId="26385"/>
    <cellStyle name="Comma 2 2 2 4 3 5 9" xfId="29718"/>
    <cellStyle name="Comma 2 2 2 4 3 6" xfId="9558"/>
    <cellStyle name="Comma 2 2 2 4 3 6 2" xfId="25358"/>
    <cellStyle name="Comma 2 2 2 4 3 6 2 2" xfId="44785"/>
    <cellStyle name="Comma 2 2 2 4 3 6 2 3" xfId="38362"/>
    <cellStyle name="Comma 2 2 2 4 3 6 3" xfId="27536"/>
    <cellStyle name="Comma 2 2 2 4 3 6 3 2" xfId="41578"/>
    <cellStyle name="Comma 2 2 2 4 3 6 4" xfId="30871"/>
    <cellStyle name="Comma 2 2 2 4 3 6 5" xfId="35154"/>
    <cellStyle name="Comma 2 2 2 4 3 7" xfId="15179"/>
    <cellStyle name="Comma 2 2 2 4 3 7 2" xfId="24192"/>
    <cellStyle name="Comma 2 2 2 4 3 7 2 2" xfId="43621"/>
    <cellStyle name="Comma 2 2 2 4 3 7 2 3" xfId="37198"/>
    <cellStyle name="Comma 2 2 2 4 3 7 3" xfId="28515"/>
    <cellStyle name="Comma 2 2 2 4 3 7 3 2" xfId="40414"/>
    <cellStyle name="Comma 2 2 2 4 3 7 4" xfId="31850"/>
    <cellStyle name="Comma 2 2 2 4 3 7 5" xfId="33990"/>
    <cellStyle name="Comma 2 2 2 4 3 8" xfId="7995"/>
    <cellStyle name="Comma 2 2 2 4 3 8 2" xfId="42644"/>
    <cellStyle name="Comma 2 2 2 4 3 8 3" xfId="36220"/>
    <cellStyle name="Comma 2 2 2 4 3 9" xfId="20986"/>
    <cellStyle name="Comma 2 2 2 4 3 9 2" xfId="39437"/>
    <cellStyle name="Comma 2 2 2 4 4" xfId="792"/>
    <cellStyle name="Comma 2 2 2 4 4 10" xfId="33018"/>
    <cellStyle name="Comma 2 2 2 4 4 2" xfId="9563"/>
    <cellStyle name="Comma 2 2 2 4 4 2 2" xfId="25363"/>
    <cellStyle name="Comma 2 2 2 4 4 2 2 2" xfId="44790"/>
    <cellStyle name="Comma 2 2 2 4 4 2 2 3" xfId="38367"/>
    <cellStyle name="Comma 2 2 2 4 4 2 3" xfId="27541"/>
    <cellStyle name="Comma 2 2 2 4 4 2 3 2" xfId="41583"/>
    <cellStyle name="Comma 2 2 2 4 4 2 4" xfId="30876"/>
    <cellStyle name="Comma 2 2 2 4 4 2 5" xfId="35159"/>
    <cellStyle name="Comma 2 2 2 4 4 3" xfId="15184"/>
    <cellStyle name="Comma 2 2 2 4 4 3 2" xfId="24197"/>
    <cellStyle name="Comma 2 2 2 4 4 3 2 2" xfId="43626"/>
    <cellStyle name="Comma 2 2 2 4 4 3 2 3" xfId="37203"/>
    <cellStyle name="Comma 2 2 2 4 4 3 3" xfId="28520"/>
    <cellStyle name="Comma 2 2 2 4 4 3 3 2" xfId="40419"/>
    <cellStyle name="Comma 2 2 2 4 4 3 4" xfId="31855"/>
    <cellStyle name="Comma 2 2 2 4 4 3 5" xfId="33995"/>
    <cellStyle name="Comma 2 2 2 4 4 4" xfId="8000"/>
    <cellStyle name="Comma 2 2 2 4 4 4 2" xfId="42649"/>
    <cellStyle name="Comma 2 2 2 4 4 4 3" xfId="36225"/>
    <cellStyle name="Comma 2 2 2 4 4 5" xfId="20991"/>
    <cellStyle name="Comma 2 2 2 4 4 5 2" xfId="39442"/>
    <cellStyle name="Comma 2 2 2 4 4 6" xfId="22064"/>
    <cellStyle name="Comma 2 2 2 4 4 7" xfId="23220"/>
    <cellStyle name="Comma 2 2 2 4 4 8" xfId="26386"/>
    <cellStyle name="Comma 2 2 2 4 4 9" xfId="29719"/>
    <cellStyle name="Comma 2 2 2 4 5" xfId="793"/>
    <cellStyle name="Comma 2 2 2 4 5 10" xfId="33019"/>
    <cellStyle name="Comma 2 2 2 4 5 2" xfId="9564"/>
    <cellStyle name="Comma 2 2 2 4 5 2 2" xfId="25364"/>
    <cellStyle name="Comma 2 2 2 4 5 2 2 2" xfId="44791"/>
    <cellStyle name="Comma 2 2 2 4 5 2 2 3" xfId="38368"/>
    <cellStyle name="Comma 2 2 2 4 5 2 3" xfId="27542"/>
    <cellStyle name="Comma 2 2 2 4 5 2 3 2" xfId="41584"/>
    <cellStyle name="Comma 2 2 2 4 5 2 4" xfId="30877"/>
    <cellStyle name="Comma 2 2 2 4 5 2 5" xfId="35160"/>
    <cellStyle name="Comma 2 2 2 4 5 3" xfId="15185"/>
    <cellStyle name="Comma 2 2 2 4 5 3 2" xfId="24198"/>
    <cellStyle name="Comma 2 2 2 4 5 3 2 2" xfId="43627"/>
    <cellStyle name="Comma 2 2 2 4 5 3 2 3" xfId="37204"/>
    <cellStyle name="Comma 2 2 2 4 5 3 3" xfId="28521"/>
    <cellStyle name="Comma 2 2 2 4 5 3 3 2" xfId="40420"/>
    <cellStyle name="Comma 2 2 2 4 5 3 4" xfId="31856"/>
    <cellStyle name="Comma 2 2 2 4 5 3 5" xfId="33996"/>
    <cellStyle name="Comma 2 2 2 4 5 4" xfId="8001"/>
    <cellStyle name="Comma 2 2 2 4 5 4 2" xfId="42650"/>
    <cellStyle name="Comma 2 2 2 4 5 4 3" xfId="36226"/>
    <cellStyle name="Comma 2 2 2 4 5 5" xfId="20992"/>
    <cellStyle name="Comma 2 2 2 4 5 5 2" xfId="39443"/>
    <cellStyle name="Comma 2 2 2 4 5 6" xfId="22065"/>
    <cellStyle name="Comma 2 2 2 4 5 7" xfId="23221"/>
    <cellStyle name="Comma 2 2 2 4 5 8" xfId="26387"/>
    <cellStyle name="Comma 2 2 2 4 5 9" xfId="29720"/>
    <cellStyle name="Comma 2 2 2 4 6" xfId="794"/>
    <cellStyle name="Comma 2 2 2 4 6 10" xfId="33020"/>
    <cellStyle name="Comma 2 2 2 4 6 2" xfId="9565"/>
    <cellStyle name="Comma 2 2 2 4 6 2 2" xfId="25365"/>
    <cellStyle name="Comma 2 2 2 4 6 2 2 2" xfId="44792"/>
    <cellStyle name="Comma 2 2 2 4 6 2 2 3" xfId="38369"/>
    <cellStyle name="Comma 2 2 2 4 6 2 3" xfId="27543"/>
    <cellStyle name="Comma 2 2 2 4 6 2 3 2" xfId="41585"/>
    <cellStyle name="Comma 2 2 2 4 6 2 4" xfId="30878"/>
    <cellStyle name="Comma 2 2 2 4 6 2 5" xfId="35161"/>
    <cellStyle name="Comma 2 2 2 4 6 3" xfId="15186"/>
    <cellStyle name="Comma 2 2 2 4 6 3 2" xfId="24199"/>
    <cellStyle name="Comma 2 2 2 4 6 3 2 2" xfId="43628"/>
    <cellStyle name="Comma 2 2 2 4 6 3 2 3" xfId="37205"/>
    <cellStyle name="Comma 2 2 2 4 6 3 3" xfId="28522"/>
    <cellStyle name="Comma 2 2 2 4 6 3 3 2" xfId="40421"/>
    <cellStyle name="Comma 2 2 2 4 6 3 4" xfId="31857"/>
    <cellStyle name="Comma 2 2 2 4 6 3 5" xfId="33997"/>
    <cellStyle name="Comma 2 2 2 4 6 4" xfId="8002"/>
    <cellStyle name="Comma 2 2 2 4 6 4 2" xfId="42651"/>
    <cellStyle name="Comma 2 2 2 4 6 4 3" xfId="36227"/>
    <cellStyle name="Comma 2 2 2 4 6 5" xfId="20993"/>
    <cellStyle name="Comma 2 2 2 4 6 5 2" xfId="39444"/>
    <cellStyle name="Comma 2 2 2 4 6 6" xfId="22066"/>
    <cellStyle name="Comma 2 2 2 4 6 7" xfId="23222"/>
    <cellStyle name="Comma 2 2 2 4 6 8" xfId="26388"/>
    <cellStyle name="Comma 2 2 2 4 6 9" xfId="29721"/>
    <cellStyle name="Comma 2 2 2 4 7" xfId="795"/>
    <cellStyle name="Comma 2 2 2 4 7 10" xfId="33021"/>
    <cellStyle name="Comma 2 2 2 4 7 2" xfId="9566"/>
    <cellStyle name="Comma 2 2 2 4 7 2 2" xfId="25366"/>
    <cellStyle name="Comma 2 2 2 4 7 2 2 2" xfId="44793"/>
    <cellStyle name="Comma 2 2 2 4 7 2 2 3" xfId="38370"/>
    <cellStyle name="Comma 2 2 2 4 7 2 3" xfId="27544"/>
    <cellStyle name="Comma 2 2 2 4 7 2 3 2" xfId="41586"/>
    <cellStyle name="Comma 2 2 2 4 7 2 4" xfId="30879"/>
    <cellStyle name="Comma 2 2 2 4 7 2 5" xfId="35162"/>
    <cellStyle name="Comma 2 2 2 4 7 3" xfId="15187"/>
    <cellStyle name="Comma 2 2 2 4 7 3 2" xfId="24200"/>
    <cellStyle name="Comma 2 2 2 4 7 3 2 2" xfId="43629"/>
    <cellStyle name="Comma 2 2 2 4 7 3 2 3" xfId="37206"/>
    <cellStyle name="Comma 2 2 2 4 7 3 3" xfId="28523"/>
    <cellStyle name="Comma 2 2 2 4 7 3 3 2" xfId="40422"/>
    <cellStyle name="Comma 2 2 2 4 7 3 4" xfId="31858"/>
    <cellStyle name="Comma 2 2 2 4 7 3 5" xfId="33998"/>
    <cellStyle name="Comma 2 2 2 4 7 4" xfId="8003"/>
    <cellStyle name="Comma 2 2 2 4 7 4 2" xfId="42652"/>
    <cellStyle name="Comma 2 2 2 4 7 4 3" xfId="36228"/>
    <cellStyle name="Comma 2 2 2 4 7 5" xfId="20994"/>
    <cellStyle name="Comma 2 2 2 4 7 5 2" xfId="39445"/>
    <cellStyle name="Comma 2 2 2 4 7 6" xfId="22067"/>
    <cellStyle name="Comma 2 2 2 4 7 7" xfId="23223"/>
    <cellStyle name="Comma 2 2 2 4 7 8" xfId="26389"/>
    <cellStyle name="Comma 2 2 2 4 7 9" xfId="29722"/>
    <cellStyle name="Comma 2 2 2 4 8" xfId="796"/>
    <cellStyle name="Comma 2 2 2 4 8 10" xfId="33022"/>
    <cellStyle name="Comma 2 2 2 4 8 2" xfId="9567"/>
    <cellStyle name="Comma 2 2 2 4 8 2 2" xfId="25367"/>
    <cellStyle name="Comma 2 2 2 4 8 2 2 2" xfId="44794"/>
    <cellStyle name="Comma 2 2 2 4 8 2 2 3" xfId="38371"/>
    <cellStyle name="Comma 2 2 2 4 8 2 3" xfId="27545"/>
    <cellStyle name="Comma 2 2 2 4 8 2 3 2" xfId="41587"/>
    <cellStyle name="Comma 2 2 2 4 8 2 4" xfId="30880"/>
    <cellStyle name="Comma 2 2 2 4 8 2 5" xfId="35163"/>
    <cellStyle name="Comma 2 2 2 4 8 3" xfId="15188"/>
    <cellStyle name="Comma 2 2 2 4 8 3 2" xfId="24201"/>
    <cellStyle name="Comma 2 2 2 4 8 3 2 2" xfId="43630"/>
    <cellStyle name="Comma 2 2 2 4 8 3 2 3" xfId="37207"/>
    <cellStyle name="Comma 2 2 2 4 8 3 3" xfId="28524"/>
    <cellStyle name="Comma 2 2 2 4 8 3 3 2" xfId="40423"/>
    <cellStyle name="Comma 2 2 2 4 8 3 4" xfId="31859"/>
    <cellStyle name="Comma 2 2 2 4 8 3 5" xfId="33999"/>
    <cellStyle name="Comma 2 2 2 4 8 4" xfId="8004"/>
    <cellStyle name="Comma 2 2 2 4 8 4 2" xfId="42653"/>
    <cellStyle name="Comma 2 2 2 4 8 4 3" xfId="36229"/>
    <cellStyle name="Comma 2 2 2 4 8 5" xfId="20995"/>
    <cellStyle name="Comma 2 2 2 4 8 5 2" xfId="39446"/>
    <cellStyle name="Comma 2 2 2 4 8 6" xfId="22068"/>
    <cellStyle name="Comma 2 2 2 4 8 7" xfId="23224"/>
    <cellStyle name="Comma 2 2 2 4 8 8" xfId="26390"/>
    <cellStyle name="Comma 2 2 2 4 8 9" xfId="29723"/>
    <cellStyle name="Comma 2 2 2 4 9" xfId="9090"/>
    <cellStyle name="Comma 2 2 2 4 9 2" xfId="25145"/>
    <cellStyle name="Comma 2 2 2 4 9 2 2" xfId="44572"/>
    <cellStyle name="Comma 2 2 2 4 9 2 3" xfId="38149"/>
    <cellStyle name="Comma 2 2 2 4 9 3" xfId="27324"/>
    <cellStyle name="Comma 2 2 2 4 9 3 2" xfId="41365"/>
    <cellStyle name="Comma 2 2 2 4 9 4" xfId="30659"/>
    <cellStyle name="Comma 2 2 2 4 9 5" xfId="34941"/>
    <cellStyle name="Comma 2 2 2 5" xfId="206"/>
    <cellStyle name="Comma 2 2 2 5 10" xfId="20996"/>
    <cellStyle name="Comma 2 2 2 5 10 2" xfId="39217"/>
    <cellStyle name="Comma 2 2 2 5 11" xfId="22069"/>
    <cellStyle name="Comma 2 2 2 5 12" xfId="22995"/>
    <cellStyle name="Comma 2 2 2 5 13" xfId="26391"/>
    <cellStyle name="Comma 2 2 2 5 14" xfId="29724"/>
    <cellStyle name="Comma 2 2 2 5 15" xfId="32793"/>
    <cellStyle name="Comma 2 2 2 5 2" xfId="797"/>
    <cellStyle name="Comma 2 2 2 5 2 10" xfId="33023"/>
    <cellStyle name="Comma 2 2 2 5 2 2" xfId="9568"/>
    <cellStyle name="Comma 2 2 2 5 2 2 2" xfId="25368"/>
    <cellStyle name="Comma 2 2 2 5 2 2 2 2" xfId="44795"/>
    <cellStyle name="Comma 2 2 2 5 2 2 2 3" xfId="38372"/>
    <cellStyle name="Comma 2 2 2 5 2 2 3" xfId="27546"/>
    <cellStyle name="Comma 2 2 2 5 2 2 3 2" xfId="41588"/>
    <cellStyle name="Comma 2 2 2 5 2 2 4" xfId="30881"/>
    <cellStyle name="Comma 2 2 2 5 2 2 5" xfId="35164"/>
    <cellStyle name="Comma 2 2 2 5 2 3" xfId="15190"/>
    <cellStyle name="Comma 2 2 2 5 2 3 2" xfId="24203"/>
    <cellStyle name="Comma 2 2 2 5 2 3 2 2" xfId="43632"/>
    <cellStyle name="Comma 2 2 2 5 2 3 2 3" xfId="37209"/>
    <cellStyle name="Comma 2 2 2 5 2 3 3" xfId="28526"/>
    <cellStyle name="Comma 2 2 2 5 2 3 3 2" xfId="40425"/>
    <cellStyle name="Comma 2 2 2 5 2 3 4" xfId="31861"/>
    <cellStyle name="Comma 2 2 2 5 2 3 5" xfId="34001"/>
    <cellStyle name="Comma 2 2 2 5 2 4" xfId="8006"/>
    <cellStyle name="Comma 2 2 2 5 2 4 2" xfId="42654"/>
    <cellStyle name="Comma 2 2 2 5 2 4 3" xfId="36230"/>
    <cellStyle name="Comma 2 2 2 5 2 5" xfId="20997"/>
    <cellStyle name="Comma 2 2 2 5 2 5 2" xfId="39447"/>
    <cellStyle name="Comma 2 2 2 5 2 6" xfId="22070"/>
    <cellStyle name="Comma 2 2 2 5 2 7" xfId="23225"/>
    <cellStyle name="Comma 2 2 2 5 2 8" xfId="26392"/>
    <cellStyle name="Comma 2 2 2 5 2 9" xfId="29725"/>
    <cellStyle name="Comma 2 2 2 5 3" xfId="798"/>
    <cellStyle name="Comma 2 2 2 5 3 10" xfId="33024"/>
    <cellStyle name="Comma 2 2 2 5 3 2" xfId="9569"/>
    <cellStyle name="Comma 2 2 2 5 3 2 2" xfId="25369"/>
    <cellStyle name="Comma 2 2 2 5 3 2 2 2" xfId="44796"/>
    <cellStyle name="Comma 2 2 2 5 3 2 2 3" xfId="38373"/>
    <cellStyle name="Comma 2 2 2 5 3 2 3" xfId="27547"/>
    <cellStyle name="Comma 2 2 2 5 3 2 3 2" xfId="41589"/>
    <cellStyle name="Comma 2 2 2 5 3 2 4" xfId="30882"/>
    <cellStyle name="Comma 2 2 2 5 3 2 5" xfId="35165"/>
    <cellStyle name="Comma 2 2 2 5 3 3" xfId="15191"/>
    <cellStyle name="Comma 2 2 2 5 3 3 2" xfId="24204"/>
    <cellStyle name="Comma 2 2 2 5 3 3 2 2" xfId="43633"/>
    <cellStyle name="Comma 2 2 2 5 3 3 2 3" xfId="37210"/>
    <cellStyle name="Comma 2 2 2 5 3 3 3" xfId="28527"/>
    <cellStyle name="Comma 2 2 2 5 3 3 3 2" xfId="40426"/>
    <cellStyle name="Comma 2 2 2 5 3 3 4" xfId="31862"/>
    <cellStyle name="Comma 2 2 2 5 3 3 5" xfId="34002"/>
    <cellStyle name="Comma 2 2 2 5 3 4" xfId="8007"/>
    <cellStyle name="Comma 2 2 2 5 3 4 2" xfId="42655"/>
    <cellStyle name="Comma 2 2 2 5 3 4 3" xfId="36231"/>
    <cellStyle name="Comma 2 2 2 5 3 5" xfId="20998"/>
    <cellStyle name="Comma 2 2 2 5 3 5 2" xfId="39448"/>
    <cellStyle name="Comma 2 2 2 5 3 6" xfId="22071"/>
    <cellStyle name="Comma 2 2 2 5 3 7" xfId="23226"/>
    <cellStyle name="Comma 2 2 2 5 3 8" xfId="26393"/>
    <cellStyle name="Comma 2 2 2 5 3 9" xfId="29726"/>
    <cellStyle name="Comma 2 2 2 5 4" xfId="799"/>
    <cellStyle name="Comma 2 2 2 5 4 10" xfId="33025"/>
    <cellStyle name="Comma 2 2 2 5 4 2" xfId="9570"/>
    <cellStyle name="Comma 2 2 2 5 4 2 2" xfId="25370"/>
    <cellStyle name="Comma 2 2 2 5 4 2 2 2" xfId="44797"/>
    <cellStyle name="Comma 2 2 2 5 4 2 2 3" xfId="38374"/>
    <cellStyle name="Comma 2 2 2 5 4 2 3" xfId="27548"/>
    <cellStyle name="Comma 2 2 2 5 4 2 3 2" xfId="41590"/>
    <cellStyle name="Comma 2 2 2 5 4 2 4" xfId="30883"/>
    <cellStyle name="Comma 2 2 2 5 4 2 5" xfId="35166"/>
    <cellStyle name="Comma 2 2 2 5 4 3" xfId="15192"/>
    <cellStyle name="Comma 2 2 2 5 4 3 2" xfId="24205"/>
    <cellStyle name="Comma 2 2 2 5 4 3 2 2" xfId="43634"/>
    <cellStyle name="Comma 2 2 2 5 4 3 2 3" xfId="37211"/>
    <cellStyle name="Comma 2 2 2 5 4 3 3" xfId="28528"/>
    <cellStyle name="Comma 2 2 2 5 4 3 3 2" xfId="40427"/>
    <cellStyle name="Comma 2 2 2 5 4 3 4" xfId="31863"/>
    <cellStyle name="Comma 2 2 2 5 4 3 5" xfId="34003"/>
    <cellStyle name="Comma 2 2 2 5 4 4" xfId="8008"/>
    <cellStyle name="Comma 2 2 2 5 4 4 2" xfId="42656"/>
    <cellStyle name="Comma 2 2 2 5 4 4 3" xfId="36232"/>
    <cellStyle name="Comma 2 2 2 5 4 5" xfId="20999"/>
    <cellStyle name="Comma 2 2 2 5 4 5 2" xfId="39449"/>
    <cellStyle name="Comma 2 2 2 5 4 6" xfId="22072"/>
    <cellStyle name="Comma 2 2 2 5 4 7" xfId="23227"/>
    <cellStyle name="Comma 2 2 2 5 4 8" xfId="26394"/>
    <cellStyle name="Comma 2 2 2 5 4 9" xfId="29727"/>
    <cellStyle name="Comma 2 2 2 5 5" xfId="800"/>
    <cellStyle name="Comma 2 2 2 5 5 10" xfId="33026"/>
    <cellStyle name="Comma 2 2 2 5 5 2" xfId="9571"/>
    <cellStyle name="Comma 2 2 2 5 5 2 2" xfId="25371"/>
    <cellStyle name="Comma 2 2 2 5 5 2 2 2" xfId="44798"/>
    <cellStyle name="Comma 2 2 2 5 5 2 2 3" xfId="38375"/>
    <cellStyle name="Comma 2 2 2 5 5 2 3" xfId="27549"/>
    <cellStyle name="Comma 2 2 2 5 5 2 3 2" xfId="41591"/>
    <cellStyle name="Comma 2 2 2 5 5 2 4" xfId="30884"/>
    <cellStyle name="Comma 2 2 2 5 5 2 5" xfId="35167"/>
    <cellStyle name="Comma 2 2 2 5 5 3" xfId="15193"/>
    <cellStyle name="Comma 2 2 2 5 5 3 2" xfId="24206"/>
    <cellStyle name="Comma 2 2 2 5 5 3 2 2" xfId="43635"/>
    <cellStyle name="Comma 2 2 2 5 5 3 2 3" xfId="37212"/>
    <cellStyle name="Comma 2 2 2 5 5 3 3" xfId="28529"/>
    <cellStyle name="Comma 2 2 2 5 5 3 3 2" xfId="40428"/>
    <cellStyle name="Comma 2 2 2 5 5 3 4" xfId="31864"/>
    <cellStyle name="Comma 2 2 2 5 5 3 5" xfId="34004"/>
    <cellStyle name="Comma 2 2 2 5 5 4" xfId="8009"/>
    <cellStyle name="Comma 2 2 2 5 5 4 2" xfId="42657"/>
    <cellStyle name="Comma 2 2 2 5 5 4 3" xfId="36233"/>
    <cellStyle name="Comma 2 2 2 5 5 5" xfId="21000"/>
    <cellStyle name="Comma 2 2 2 5 5 5 2" xfId="39450"/>
    <cellStyle name="Comma 2 2 2 5 5 6" xfId="22073"/>
    <cellStyle name="Comma 2 2 2 5 5 7" xfId="23228"/>
    <cellStyle name="Comma 2 2 2 5 5 8" xfId="26395"/>
    <cellStyle name="Comma 2 2 2 5 5 9" xfId="29728"/>
    <cellStyle name="Comma 2 2 2 5 6" xfId="801"/>
    <cellStyle name="Comma 2 2 2 5 6 10" xfId="33027"/>
    <cellStyle name="Comma 2 2 2 5 6 2" xfId="9572"/>
    <cellStyle name="Comma 2 2 2 5 6 2 2" xfId="25372"/>
    <cellStyle name="Comma 2 2 2 5 6 2 2 2" xfId="44799"/>
    <cellStyle name="Comma 2 2 2 5 6 2 2 3" xfId="38376"/>
    <cellStyle name="Comma 2 2 2 5 6 2 3" xfId="27550"/>
    <cellStyle name="Comma 2 2 2 5 6 2 3 2" xfId="41592"/>
    <cellStyle name="Comma 2 2 2 5 6 2 4" xfId="30885"/>
    <cellStyle name="Comma 2 2 2 5 6 2 5" xfId="35168"/>
    <cellStyle name="Comma 2 2 2 5 6 3" xfId="15194"/>
    <cellStyle name="Comma 2 2 2 5 6 3 2" xfId="24207"/>
    <cellStyle name="Comma 2 2 2 5 6 3 2 2" xfId="43636"/>
    <cellStyle name="Comma 2 2 2 5 6 3 2 3" xfId="37213"/>
    <cellStyle name="Comma 2 2 2 5 6 3 3" xfId="28530"/>
    <cellStyle name="Comma 2 2 2 5 6 3 3 2" xfId="40429"/>
    <cellStyle name="Comma 2 2 2 5 6 3 4" xfId="31865"/>
    <cellStyle name="Comma 2 2 2 5 6 3 5" xfId="34005"/>
    <cellStyle name="Comma 2 2 2 5 6 4" xfId="8010"/>
    <cellStyle name="Comma 2 2 2 5 6 4 2" xfId="42658"/>
    <cellStyle name="Comma 2 2 2 5 6 4 3" xfId="36234"/>
    <cellStyle name="Comma 2 2 2 5 6 5" xfId="21001"/>
    <cellStyle name="Comma 2 2 2 5 6 5 2" xfId="39451"/>
    <cellStyle name="Comma 2 2 2 5 6 6" xfId="22074"/>
    <cellStyle name="Comma 2 2 2 5 6 7" xfId="23229"/>
    <cellStyle name="Comma 2 2 2 5 6 8" xfId="26396"/>
    <cellStyle name="Comma 2 2 2 5 6 9" xfId="29729"/>
    <cellStyle name="Comma 2 2 2 5 7" xfId="9079"/>
    <cellStyle name="Comma 2 2 2 5 7 2" xfId="25134"/>
    <cellStyle name="Comma 2 2 2 5 7 2 2" xfId="44561"/>
    <cellStyle name="Comma 2 2 2 5 7 2 3" xfId="38138"/>
    <cellStyle name="Comma 2 2 2 5 7 3" xfId="27313"/>
    <cellStyle name="Comma 2 2 2 5 7 3 2" xfId="41354"/>
    <cellStyle name="Comma 2 2 2 5 7 4" xfId="30648"/>
    <cellStyle name="Comma 2 2 2 5 7 5" xfId="34930"/>
    <cellStyle name="Comma 2 2 2 5 8" xfId="15189"/>
    <cellStyle name="Comma 2 2 2 5 8 2" xfId="24202"/>
    <cellStyle name="Comma 2 2 2 5 8 2 2" xfId="43631"/>
    <cellStyle name="Comma 2 2 2 5 8 2 3" xfId="37208"/>
    <cellStyle name="Comma 2 2 2 5 8 3" xfId="28525"/>
    <cellStyle name="Comma 2 2 2 5 8 3 2" xfId="40424"/>
    <cellStyle name="Comma 2 2 2 5 8 4" xfId="31860"/>
    <cellStyle name="Comma 2 2 2 5 8 5" xfId="34000"/>
    <cellStyle name="Comma 2 2 2 5 9" xfId="8005"/>
    <cellStyle name="Comma 2 2 2 5 9 2" xfId="42424"/>
    <cellStyle name="Comma 2 2 2 5 9 3" xfId="36000"/>
    <cellStyle name="Comma 2 2 2 6" xfId="802"/>
    <cellStyle name="Comma 2 2 2 6 10" xfId="22075"/>
    <cellStyle name="Comma 2 2 2 6 11" xfId="23230"/>
    <cellStyle name="Comma 2 2 2 6 12" xfId="26397"/>
    <cellStyle name="Comma 2 2 2 6 13" xfId="29730"/>
    <cellStyle name="Comma 2 2 2 6 14" xfId="33028"/>
    <cellStyle name="Comma 2 2 2 6 2" xfId="803"/>
    <cellStyle name="Comma 2 2 2 6 2 10" xfId="33029"/>
    <cellStyle name="Comma 2 2 2 6 2 2" xfId="9574"/>
    <cellStyle name="Comma 2 2 2 6 2 2 2" xfId="25374"/>
    <cellStyle name="Comma 2 2 2 6 2 2 2 2" xfId="44801"/>
    <cellStyle name="Comma 2 2 2 6 2 2 2 3" xfId="38378"/>
    <cellStyle name="Comma 2 2 2 6 2 2 3" xfId="27552"/>
    <cellStyle name="Comma 2 2 2 6 2 2 3 2" xfId="41594"/>
    <cellStyle name="Comma 2 2 2 6 2 2 4" xfId="30887"/>
    <cellStyle name="Comma 2 2 2 6 2 2 5" xfId="35170"/>
    <cellStyle name="Comma 2 2 2 6 2 3" xfId="15196"/>
    <cellStyle name="Comma 2 2 2 6 2 3 2" xfId="24209"/>
    <cellStyle name="Comma 2 2 2 6 2 3 2 2" xfId="43638"/>
    <cellStyle name="Comma 2 2 2 6 2 3 2 3" xfId="37215"/>
    <cellStyle name="Comma 2 2 2 6 2 3 3" xfId="28532"/>
    <cellStyle name="Comma 2 2 2 6 2 3 3 2" xfId="40431"/>
    <cellStyle name="Comma 2 2 2 6 2 3 4" xfId="31867"/>
    <cellStyle name="Comma 2 2 2 6 2 3 5" xfId="34007"/>
    <cellStyle name="Comma 2 2 2 6 2 4" xfId="8012"/>
    <cellStyle name="Comma 2 2 2 6 2 4 2" xfId="42660"/>
    <cellStyle name="Comma 2 2 2 6 2 4 3" xfId="36236"/>
    <cellStyle name="Comma 2 2 2 6 2 5" xfId="21003"/>
    <cellStyle name="Comma 2 2 2 6 2 5 2" xfId="39453"/>
    <cellStyle name="Comma 2 2 2 6 2 6" xfId="22076"/>
    <cellStyle name="Comma 2 2 2 6 2 7" xfId="23231"/>
    <cellStyle name="Comma 2 2 2 6 2 8" xfId="26398"/>
    <cellStyle name="Comma 2 2 2 6 2 9" xfId="29731"/>
    <cellStyle name="Comma 2 2 2 6 3" xfId="804"/>
    <cellStyle name="Comma 2 2 2 6 3 10" xfId="33030"/>
    <cellStyle name="Comma 2 2 2 6 3 2" xfId="9575"/>
    <cellStyle name="Comma 2 2 2 6 3 2 2" xfId="25375"/>
    <cellStyle name="Comma 2 2 2 6 3 2 2 2" xfId="44802"/>
    <cellStyle name="Comma 2 2 2 6 3 2 2 3" xfId="38379"/>
    <cellStyle name="Comma 2 2 2 6 3 2 3" xfId="27553"/>
    <cellStyle name="Comma 2 2 2 6 3 2 3 2" xfId="41595"/>
    <cellStyle name="Comma 2 2 2 6 3 2 4" xfId="30888"/>
    <cellStyle name="Comma 2 2 2 6 3 2 5" xfId="35171"/>
    <cellStyle name="Comma 2 2 2 6 3 3" xfId="15197"/>
    <cellStyle name="Comma 2 2 2 6 3 3 2" xfId="24210"/>
    <cellStyle name="Comma 2 2 2 6 3 3 2 2" xfId="43639"/>
    <cellStyle name="Comma 2 2 2 6 3 3 2 3" xfId="37216"/>
    <cellStyle name="Comma 2 2 2 6 3 3 3" xfId="28533"/>
    <cellStyle name="Comma 2 2 2 6 3 3 3 2" xfId="40432"/>
    <cellStyle name="Comma 2 2 2 6 3 3 4" xfId="31868"/>
    <cellStyle name="Comma 2 2 2 6 3 3 5" xfId="34008"/>
    <cellStyle name="Comma 2 2 2 6 3 4" xfId="8013"/>
    <cellStyle name="Comma 2 2 2 6 3 4 2" xfId="42661"/>
    <cellStyle name="Comma 2 2 2 6 3 4 3" xfId="36237"/>
    <cellStyle name="Comma 2 2 2 6 3 5" xfId="21004"/>
    <cellStyle name="Comma 2 2 2 6 3 5 2" xfId="39454"/>
    <cellStyle name="Comma 2 2 2 6 3 6" xfId="22077"/>
    <cellStyle name="Comma 2 2 2 6 3 7" xfId="23232"/>
    <cellStyle name="Comma 2 2 2 6 3 8" xfId="26399"/>
    <cellStyle name="Comma 2 2 2 6 3 9" xfId="29732"/>
    <cellStyle name="Comma 2 2 2 6 4" xfId="805"/>
    <cellStyle name="Comma 2 2 2 6 4 10" xfId="33031"/>
    <cellStyle name="Comma 2 2 2 6 4 2" xfId="9576"/>
    <cellStyle name="Comma 2 2 2 6 4 2 2" xfId="25376"/>
    <cellStyle name="Comma 2 2 2 6 4 2 2 2" xfId="44803"/>
    <cellStyle name="Comma 2 2 2 6 4 2 2 3" xfId="38380"/>
    <cellStyle name="Comma 2 2 2 6 4 2 3" xfId="27554"/>
    <cellStyle name="Comma 2 2 2 6 4 2 3 2" xfId="41596"/>
    <cellStyle name="Comma 2 2 2 6 4 2 4" xfId="30889"/>
    <cellStyle name="Comma 2 2 2 6 4 2 5" xfId="35172"/>
    <cellStyle name="Comma 2 2 2 6 4 3" xfId="15198"/>
    <cellStyle name="Comma 2 2 2 6 4 3 2" xfId="24211"/>
    <cellStyle name="Comma 2 2 2 6 4 3 2 2" xfId="43640"/>
    <cellStyle name="Comma 2 2 2 6 4 3 2 3" xfId="37217"/>
    <cellStyle name="Comma 2 2 2 6 4 3 3" xfId="28534"/>
    <cellStyle name="Comma 2 2 2 6 4 3 3 2" xfId="40433"/>
    <cellStyle name="Comma 2 2 2 6 4 3 4" xfId="31869"/>
    <cellStyle name="Comma 2 2 2 6 4 3 5" xfId="34009"/>
    <cellStyle name="Comma 2 2 2 6 4 4" xfId="8014"/>
    <cellStyle name="Comma 2 2 2 6 4 4 2" xfId="42662"/>
    <cellStyle name="Comma 2 2 2 6 4 4 3" xfId="36238"/>
    <cellStyle name="Comma 2 2 2 6 4 5" xfId="21005"/>
    <cellStyle name="Comma 2 2 2 6 4 5 2" xfId="39455"/>
    <cellStyle name="Comma 2 2 2 6 4 6" xfId="22078"/>
    <cellStyle name="Comma 2 2 2 6 4 7" xfId="23233"/>
    <cellStyle name="Comma 2 2 2 6 4 8" xfId="26400"/>
    <cellStyle name="Comma 2 2 2 6 4 9" xfId="29733"/>
    <cellStyle name="Comma 2 2 2 6 5" xfId="806"/>
    <cellStyle name="Comma 2 2 2 6 5 10" xfId="33032"/>
    <cellStyle name="Comma 2 2 2 6 5 2" xfId="9577"/>
    <cellStyle name="Comma 2 2 2 6 5 2 2" xfId="25377"/>
    <cellStyle name="Comma 2 2 2 6 5 2 2 2" xfId="44804"/>
    <cellStyle name="Comma 2 2 2 6 5 2 2 3" xfId="38381"/>
    <cellStyle name="Comma 2 2 2 6 5 2 3" xfId="27555"/>
    <cellStyle name="Comma 2 2 2 6 5 2 3 2" xfId="41597"/>
    <cellStyle name="Comma 2 2 2 6 5 2 4" xfId="30890"/>
    <cellStyle name="Comma 2 2 2 6 5 2 5" xfId="35173"/>
    <cellStyle name="Comma 2 2 2 6 5 3" xfId="15199"/>
    <cellStyle name="Comma 2 2 2 6 5 3 2" xfId="24212"/>
    <cellStyle name="Comma 2 2 2 6 5 3 2 2" xfId="43641"/>
    <cellStyle name="Comma 2 2 2 6 5 3 2 3" xfId="37218"/>
    <cellStyle name="Comma 2 2 2 6 5 3 3" xfId="28535"/>
    <cellStyle name="Comma 2 2 2 6 5 3 3 2" xfId="40434"/>
    <cellStyle name="Comma 2 2 2 6 5 3 4" xfId="31870"/>
    <cellStyle name="Comma 2 2 2 6 5 3 5" xfId="34010"/>
    <cellStyle name="Comma 2 2 2 6 5 4" xfId="8015"/>
    <cellStyle name="Comma 2 2 2 6 5 4 2" xfId="42663"/>
    <cellStyle name="Comma 2 2 2 6 5 4 3" xfId="36239"/>
    <cellStyle name="Comma 2 2 2 6 5 5" xfId="21006"/>
    <cellStyle name="Comma 2 2 2 6 5 5 2" xfId="39456"/>
    <cellStyle name="Comma 2 2 2 6 5 6" xfId="22079"/>
    <cellStyle name="Comma 2 2 2 6 5 7" xfId="23234"/>
    <cellStyle name="Comma 2 2 2 6 5 8" xfId="26401"/>
    <cellStyle name="Comma 2 2 2 6 5 9" xfId="29734"/>
    <cellStyle name="Comma 2 2 2 6 6" xfId="9573"/>
    <cellStyle name="Comma 2 2 2 6 6 2" xfId="25373"/>
    <cellStyle name="Comma 2 2 2 6 6 2 2" xfId="44800"/>
    <cellStyle name="Comma 2 2 2 6 6 2 3" xfId="38377"/>
    <cellStyle name="Comma 2 2 2 6 6 3" xfId="27551"/>
    <cellStyle name="Comma 2 2 2 6 6 3 2" xfId="41593"/>
    <cellStyle name="Comma 2 2 2 6 6 4" xfId="30886"/>
    <cellStyle name="Comma 2 2 2 6 6 5" xfId="35169"/>
    <cellStyle name="Comma 2 2 2 6 7" xfId="15195"/>
    <cellStyle name="Comma 2 2 2 6 7 2" xfId="24208"/>
    <cellStyle name="Comma 2 2 2 6 7 2 2" xfId="43637"/>
    <cellStyle name="Comma 2 2 2 6 7 2 3" xfId="37214"/>
    <cellStyle name="Comma 2 2 2 6 7 3" xfId="28531"/>
    <cellStyle name="Comma 2 2 2 6 7 3 2" xfId="40430"/>
    <cellStyle name="Comma 2 2 2 6 7 4" xfId="31866"/>
    <cellStyle name="Comma 2 2 2 6 7 5" xfId="34006"/>
    <cellStyle name="Comma 2 2 2 6 8" xfId="8011"/>
    <cellStyle name="Comma 2 2 2 6 8 2" xfId="42659"/>
    <cellStyle name="Comma 2 2 2 6 8 3" xfId="36235"/>
    <cellStyle name="Comma 2 2 2 6 9" xfId="21002"/>
    <cellStyle name="Comma 2 2 2 6 9 2" xfId="39452"/>
    <cellStyle name="Comma 2 2 2 7" xfId="807"/>
    <cellStyle name="Comma 2 2 2 7 10" xfId="22080"/>
    <cellStyle name="Comma 2 2 2 7 11" xfId="23235"/>
    <cellStyle name="Comma 2 2 2 7 12" xfId="26402"/>
    <cellStyle name="Comma 2 2 2 7 13" xfId="29735"/>
    <cellStyle name="Comma 2 2 2 7 14" xfId="33033"/>
    <cellStyle name="Comma 2 2 2 7 2" xfId="808"/>
    <cellStyle name="Comma 2 2 2 7 2 10" xfId="33034"/>
    <cellStyle name="Comma 2 2 2 7 2 2" xfId="9579"/>
    <cellStyle name="Comma 2 2 2 7 2 2 2" xfId="25379"/>
    <cellStyle name="Comma 2 2 2 7 2 2 2 2" xfId="44806"/>
    <cellStyle name="Comma 2 2 2 7 2 2 2 3" xfId="38383"/>
    <cellStyle name="Comma 2 2 2 7 2 2 3" xfId="27557"/>
    <cellStyle name="Comma 2 2 2 7 2 2 3 2" xfId="41599"/>
    <cellStyle name="Comma 2 2 2 7 2 2 4" xfId="30892"/>
    <cellStyle name="Comma 2 2 2 7 2 2 5" xfId="35175"/>
    <cellStyle name="Comma 2 2 2 7 2 3" xfId="15201"/>
    <cellStyle name="Comma 2 2 2 7 2 3 2" xfId="24214"/>
    <cellStyle name="Comma 2 2 2 7 2 3 2 2" xfId="43643"/>
    <cellStyle name="Comma 2 2 2 7 2 3 2 3" xfId="37220"/>
    <cellStyle name="Comma 2 2 2 7 2 3 3" xfId="28537"/>
    <cellStyle name="Comma 2 2 2 7 2 3 3 2" xfId="40436"/>
    <cellStyle name="Comma 2 2 2 7 2 3 4" xfId="31872"/>
    <cellStyle name="Comma 2 2 2 7 2 3 5" xfId="34012"/>
    <cellStyle name="Comma 2 2 2 7 2 4" xfId="8017"/>
    <cellStyle name="Comma 2 2 2 7 2 4 2" xfId="42665"/>
    <cellStyle name="Comma 2 2 2 7 2 4 3" xfId="36241"/>
    <cellStyle name="Comma 2 2 2 7 2 5" xfId="21008"/>
    <cellStyle name="Comma 2 2 2 7 2 5 2" xfId="39458"/>
    <cellStyle name="Comma 2 2 2 7 2 6" xfId="22081"/>
    <cellStyle name="Comma 2 2 2 7 2 7" xfId="23236"/>
    <cellStyle name="Comma 2 2 2 7 2 8" xfId="26403"/>
    <cellStyle name="Comma 2 2 2 7 2 9" xfId="29736"/>
    <cellStyle name="Comma 2 2 2 7 3" xfId="809"/>
    <cellStyle name="Comma 2 2 2 7 3 10" xfId="33035"/>
    <cellStyle name="Comma 2 2 2 7 3 2" xfId="9580"/>
    <cellStyle name="Comma 2 2 2 7 3 2 2" xfId="25380"/>
    <cellStyle name="Comma 2 2 2 7 3 2 2 2" xfId="44807"/>
    <cellStyle name="Comma 2 2 2 7 3 2 2 3" xfId="38384"/>
    <cellStyle name="Comma 2 2 2 7 3 2 3" xfId="27558"/>
    <cellStyle name="Comma 2 2 2 7 3 2 3 2" xfId="41600"/>
    <cellStyle name="Comma 2 2 2 7 3 2 4" xfId="30893"/>
    <cellStyle name="Comma 2 2 2 7 3 2 5" xfId="35176"/>
    <cellStyle name="Comma 2 2 2 7 3 3" xfId="15202"/>
    <cellStyle name="Comma 2 2 2 7 3 3 2" xfId="24215"/>
    <cellStyle name="Comma 2 2 2 7 3 3 2 2" xfId="43644"/>
    <cellStyle name="Comma 2 2 2 7 3 3 2 3" xfId="37221"/>
    <cellStyle name="Comma 2 2 2 7 3 3 3" xfId="28538"/>
    <cellStyle name="Comma 2 2 2 7 3 3 3 2" xfId="40437"/>
    <cellStyle name="Comma 2 2 2 7 3 3 4" xfId="31873"/>
    <cellStyle name="Comma 2 2 2 7 3 3 5" xfId="34013"/>
    <cellStyle name="Comma 2 2 2 7 3 4" xfId="8018"/>
    <cellStyle name="Comma 2 2 2 7 3 4 2" xfId="42666"/>
    <cellStyle name="Comma 2 2 2 7 3 4 3" xfId="36242"/>
    <cellStyle name="Comma 2 2 2 7 3 5" xfId="21009"/>
    <cellStyle name="Comma 2 2 2 7 3 5 2" xfId="39459"/>
    <cellStyle name="Comma 2 2 2 7 3 6" xfId="22082"/>
    <cellStyle name="Comma 2 2 2 7 3 7" xfId="23237"/>
    <cellStyle name="Comma 2 2 2 7 3 8" xfId="26404"/>
    <cellStyle name="Comma 2 2 2 7 3 9" xfId="29737"/>
    <cellStyle name="Comma 2 2 2 7 4" xfId="810"/>
    <cellStyle name="Comma 2 2 2 7 4 10" xfId="33036"/>
    <cellStyle name="Comma 2 2 2 7 4 2" xfId="9581"/>
    <cellStyle name="Comma 2 2 2 7 4 2 2" xfId="25381"/>
    <cellStyle name="Comma 2 2 2 7 4 2 2 2" xfId="44808"/>
    <cellStyle name="Comma 2 2 2 7 4 2 2 3" xfId="38385"/>
    <cellStyle name="Comma 2 2 2 7 4 2 3" xfId="27559"/>
    <cellStyle name="Comma 2 2 2 7 4 2 3 2" xfId="41601"/>
    <cellStyle name="Comma 2 2 2 7 4 2 4" xfId="30894"/>
    <cellStyle name="Comma 2 2 2 7 4 2 5" xfId="35177"/>
    <cellStyle name="Comma 2 2 2 7 4 3" xfId="15203"/>
    <cellStyle name="Comma 2 2 2 7 4 3 2" xfId="24216"/>
    <cellStyle name="Comma 2 2 2 7 4 3 2 2" xfId="43645"/>
    <cellStyle name="Comma 2 2 2 7 4 3 2 3" xfId="37222"/>
    <cellStyle name="Comma 2 2 2 7 4 3 3" xfId="28539"/>
    <cellStyle name="Comma 2 2 2 7 4 3 3 2" xfId="40438"/>
    <cellStyle name="Comma 2 2 2 7 4 3 4" xfId="31874"/>
    <cellStyle name="Comma 2 2 2 7 4 3 5" xfId="34014"/>
    <cellStyle name="Comma 2 2 2 7 4 4" xfId="8019"/>
    <cellStyle name="Comma 2 2 2 7 4 4 2" xfId="42667"/>
    <cellStyle name="Comma 2 2 2 7 4 4 3" xfId="36243"/>
    <cellStyle name="Comma 2 2 2 7 4 5" xfId="21010"/>
    <cellStyle name="Comma 2 2 2 7 4 5 2" xfId="39460"/>
    <cellStyle name="Comma 2 2 2 7 4 6" xfId="22083"/>
    <cellStyle name="Comma 2 2 2 7 4 7" xfId="23238"/>
    <cellStyle name="Comma 2 2 2 7 4 8" xfId="26405"/>
    <cellStyle name="Comma 2 2 2 7 4 9" xfId="29738"/>
    <cellStyle name="Comma 2 2 2 7 5" xfId="811"/>
    <cellStyle name="Comma 2 2 2 7 5 10" xfId="33037"/>
    <cellStyle name="Comma 2 2 2 7 5 2" xfId="9582"/>
    <cellStyle name="Comma 2 2 2 7 5 2 2" xfId="25382"/>
    <cellStyle name="Comma 2 2 2 7 5 2 2 2" xfId="44809"/>
    <cellStyle name="Comma 2 2 2 7 5 2 2 3" xfId="38386"/>
    <cellStyle name="Comma 2 2 2 7 5 2 3" xfId="27560"/>
    <cellStyle name="Comma 2 2 2 7 5 2 3 2" xfId="41602"/>
    <cellStyle name="Comma 2 2 2 7 5 2 4" xfId="30895"/>
    <cellStyle name="Comma 2 2 2 7 5 2 5" xfId="35178"/>
    <cellStyle name="Comma 2 2 2 7 5 3" xfId="15204"/>
    <cellStyle name="Comma 2 2 2 7 5 3 2" xfId="24217"/>
    <cellStyle name="Comma 2 2 2 7 5 3 2 2" xfId="43646"/>
    <cellStyle name="Comma 2 2 2 7 5 3 2 3" xfId="37223"/>
    <cellStyle name="Comma 2 2 2 7 5 3 3" xfId="28540"/>
    <cellStyle name="Comma 2 2 2 7 5 3 3 2" xfId="40439"/>
    <cellStyle name="Comma 2 2 2 7 5 3 4" xfId="31875"/>
    <cellStyle name="Comma 2 2 2 7 5 3 5" xfId="34015"/>
    <cellStyle name="Comma 2 2 2 7 5 4" xfId="8020"/>
    <cellStyle name="Comma 2 2 2 7 5 4 2" xfId="42668"/>
    <cellStyle name="Comma 2 2 2 7 5 4 3" xfId="36244"/>
    <cellStyle name="Comma 2 2 2 7 5 5" xfId="21011"/>
    <cellStyle name="Comma 2 2 2 7 5 5 2" xfId="39461"/>
    <cellStyle name="Comma 2 2 2 7 5 6" xfId="22084"/>
    <cellStyle name="Comma 2 2 2 7 5 7" xfId="23239"/>
    <cellStyle name="Comma 2 2 2 7 5 8" xfId="26406"/>
    <cellStyle name="Comma 2 2 2 7 5 9" xfId="29739"/>
    <cellStyle name="Comma 2 2 2 7 6" xfId="9578"/>
    <cellStyle name="Comma 2 2 2 7 6 2" xfId="25378"/>
    <cellStyle name="Comma 2 2 2 7 6 2 2" xfId="44805"/>
    <cellStyle name="Comma 2 2 2 7 6 2 3" xfId="38382"/>
    <cellStyle name="Comma 2 2 2 7 6 3" xfId="27556"/>
    <cellStyle name="Comma 2 2 2 7 6 3 2" xfId="41598"/>
    <cellStyle name="Comma 2 2 2 7 6 4" xfId="30891"/>
    <cellStyle name="Comma 2 2 2 7 6 5" xfId="35174"/>
    <cellStyle name="Comma 2 2 2 7 7" xfId="15200"/>
    <cellStyle name="Comma 2 2 2 7 7 2" xfId="24213"/>
    <cellStyle name="Comma 2 2 2 7 7 2 2" xfId="43642"/>
    <cellStyle name="Comma 2 2 2 7 7 2 3" xfId="37219"/>
    <cellStyle name="Comma 2 2 2 7 7 3" xfId="28536"/>
    <cellStyle name="Comma 2 2 2 7 7 3 2" xfId="40435"/>
    <cellStyle name="Comma 2 2 2 7 7 4" xfId="31871"/>
    <cellStyle name="Comma 2 2 2 7 7 5" xfId="34011"/>
    <cellStyle name="Comma 2 2 2 7 8" xfId="8016"/>
    <cellStyle name="Comma 2 2 2 7 8 2" xfId="42664"/>
    <cellStyle name="Comma 2 2 2 7 8 3" xfId="36240"/>
    <cellStyle name="Comma 2 2 2 7 9" xfId="21007"/>
    <cellStyle name="Comma 2 2 2 7 9 2" xfId="39457"/>
    <cellStyle name="Comma 2 2 2 8" xfId="812"/>
    <cellStyle name="Comma 2 2 2 8 10" xfId="33038"/>
    <cellStyle name="Comma 2 2 2 8 2" xfId="9583"/>
    <cellStyle name="Comma 2 2 2 8 2 2" xfId="25383"/>
    <cellStyle name="Comma 2 2 2 8 2 2 2" xfId="44810"/>
    <cellStyle name="Comma 2 2 2 8 2 2 3" xfId="38387"/>
    <cellStyle name="Comma 2 2 2 8 2 3" xfId="27561"/>
    <cellStyle name="Comma 2 2 2 8 2 3 2" xfId="41603"/>
    <cellStyle name="Comma 2 2 2 8 2 4" xfId="30896"/>
    <cellStyle name="Comma 2 2 2 8 2 5" xfId="35179"/>
    <cellStyle name="Comma 2 2 2 8 3" xfId="15205"/>
    <cellStyle name="Comma 2 2 2 8 3 2" xfId="24218"/>
    <cellStyle name="Comma 2 2 2 8 3 2 2" xfId="43647"/>
    <cellStyle name="Comma 2 2 2 8 3 2 3" xfId="37224"/>
    <cellStyle name="Comma 2 2 2 8 3 3" xfId="28541"/>
    <cellStyle name="Comma 2 2 2 8 3 3 2" xfId="40440"/>
    <cellStyle name="Comma 2 2 2 8 3 4" xfId="31876"/>
    <cellStyle name="Comma 2 2 2 8 3 5" xfId="34016"/>
    <cellStyle name="Comma 2 2 2 8 4" xfId="8021"/>
    <cellStyle name="Comma 2 2 2 8 4 2" xfId="42669"/>
    <cellStyle name="Comma 2 2 2 8 4 3" xfId="36245"/>
    <cellStyle name="Comma 2 2 2 8 5" xfId="21012"/>
    <cellStyle name="Comma 2 2 2 8 5 2" xfId="39462"/>
    <cellStyle name="Comma 2 2 2 8 6" xfId="22085"/>
    <cellStyle name="Comma 2 2 2 8 7" xfId="23240"/>
    <cellStyle name="Comma 2 2 2 8 8" xfId="26407"/>
    <cellStyle name="Comma 2 2 2 8 9" xfId="29740"/>
    <cellStyle name="Comma 2 2 2 9" xfId="813"/>
    <cellStyle name="Comma 2 2 2 9 10" xfId="33039"/>
    <cellStyle name="Comma 2 2 2 9 2" xfId="9584"/>
    <cellStyle name="Comma 2 2 2 9 2 2" xfId="25384"/>
    <cellStyle name="Comma 2 2 2 9 2 2 2" xfId="44811"/>
    <cellStyle name="Comma 2 2 2 9 2 2 3" xfId="38388"/>
    <cellStyle name="Comma 2 2 2 9 2 3" xfId="27562"/>
    <cellStyle name="Comma 2 2 2 9 2 3 2" xfId="41604"/>
    <cellStyle name="Comma 2 2 2 9 2 4" xfId="30897"/>
    <cellStyle name="Comma 2 2 2 9 2 5" xfId="35180"/>
    <cellStyle name="Comma 2 2 2 9 3" xfId="15206"/>
    <cellStyle name="Comma 2 2 2 9 3 2" xfId="24219"/>
    <cellStyle name="Comma 2 2 2 9 3 2 2" xfId="43648"/>
    <cellStyle name="Comma 2 2 2 9 3 2 3" xfId="37225"/>
    <cellStyle name="Comma 2 2 2 9 3 3" xfId="28542"/>
    <cellStyle name="Comma 2 2 2 9 3 3 2" xfId="40441"/>
    <cellStyle name="Comma 2 2 2 9 3 4" xfId="31877"/>
    <cellStyle name="Comma 2 2 2 9 3 5" xfId="34017"/>
    <cellStyle name="Comma 2 2 2 9 4" xfId="8022"/>
    <cellStyle name="Comma 2 2 2 9 4 2" xfId="42670"/>
    <cellStyle name="Comma 2 2 2 9 4 3" xfId="36246"/>
    <cellStyle name="Comma 2 2 2 9 5" xfId="21013"/>
    <cellStyle name="Comma 2 2 2 9 5 2" xfId="39463"/>
    <cellStyle name="Comma 2 2 2 9 6" xfId="22086"/>
    <cellStyle name="Comma 2 2 2 9 7" xfId="23241"/>
    <cellStyle name="Comma 2 2 2 9 8" xfId="26408"/>
    <cellStyle name="Comma 2 2 2 9 9" xfId="29741"/>
    <cellStyle name="Comma 2 2 3" xfId="196"/>
    <cellStyle name="Comma 2 2 3 10" xfId="814"/>
    <cellStyle name="Comma 2 2 3 10 10" xfId="33040"/>
    <cellStyle name="Comma 2 2 3 10 2" xfId="9585"/>
    <cellStyle name="Comma 2 2 3 10 2 2" xfId="25385"/>
    <cellStyle name="Comma 2 2 3 10 2 2 2" xfId="44812"/>
    <cellStyle name="Comma 2 2 3 10 2 2 3" xfId="38389"/>
    <cellStyle name="Comma 2 2 3 10 2 3" xfId="27563"/>
    <cellStyle name="Comma 2 2 3 10 2 3 2" xfId="41605"/>
    <cellStyle name="Comma 2 2 3 10 2 4" xfId="30898"/>
    <cellStyle name="Comma 2 2 3 10 2 5" xfId="35181"/>
    <cellStyle name="Comma 2 2 3 10 3" xfId="15208"/>
    <cellStyle name="Comma 2 2 3 10 3 2" xfId="24221"/>
    <cellStyle name="Comma 2 2 3 10 3 2 2" xfId="43650"/>
    <cellStyle name="Comma 2 2 3 10 3 2 3" xfId="37227"/>
    <cellStyle name="Comma 2 2 3 10 3 3" xfId="28544"/>
    <cellStyle name="Comma 2 2 3 10 3 3 2" xfId="40443"/>
    <cellStyle name="Comma 2 2 3 10 3 4" xfId="31879"/>
    <cellStyle name="Comma 2 2 3 10 3 5" xfId="34019"/>
    <cellStyle name="Comma 2 2 3 10 4" xfId="8024"/>
    <cellStyle name="Comma 2 2 3 10 4 2" xfId="42671"/>
    <cellStyle name="Comma 2 2 3 10 4 3" xfId="36247"/>
    <cellStyle name="Comma 2 2 3 10 5" xfId="21015"/>
    <cellStyle name="Comma 2 2 3 10 5 2" xfId="39464"/>
    <cellStyle name="Comma 2 2 3 10 6" xfId="22088"/>
    <cellStyle name="Comma 2 2 3 10 7" xfId="23242"/>
    <cellStyle name="Comma 2 2 3 10 8" xfId="26410"/>
    <cellStyle name="Comma 2 2 3 10 9" xfId="29743"/>
    <cellStyle name="Comma 2 2 3 11" xfId="815"/>
    <cellStyle name="Comma 2 2 3 11 10" xfId="33041"/>
    <cellStyle name="Comma 2 2 3 11 2" xfId="9586"/>
    <cellStyle name="Comma 2 2 3 11 2 2" xfId="25386"/>
    <cellStyle name="Comma 2 2 3 11 2 2 2" xfId="44813"/>
    <cellStyle name="Comma 2 2 3 11 2 2 3" xfId="38390"/>
    <cellStyle name="Comma 2 2 3 11 2 3" xfId="27564"/>
    <cellStyle name="Comma 2 2 3 11 2 3 2" xfId="41606"/>
    <cellStyle name="Comma 2 2 3 11 2 4" xfId="30899"/>
    <cellStyle name="Comma 2 2 3 11 2 5" xfId="35182"/>
    <cellStyle name="Comma 2 2 3 11 3" xfId="15209"/>
    <cellStyle name="Comma 2 2 3 11 3 2" xfId="24222"/>
    <cellStyle name="Comma 2 2 3 11 3 2 2" xfId="43651"/>
    <cellStyle name="Comma 2 2 3 11 3 2 3" xfId="37228"/>
    <cellStyle name="Comma 2 2 3 11 3 3" xfId="28545"/>
    <cellStyle name="Comma 2 2 3 11 3 3 2" xfId="40444"/>
    <cellStyle name="Comma 2 2 3 11 3 4" xfId="31880"/>
    <cellStyle name="Comma 2 2 3 11 3 5" xfId="34020"/>
    <cellStyle name="Comma 2 2 3 11 4" xfId="8025"/>
    <cellStyle name="Comma 2 2 3 11 4 2" xfId="42672"/>
    <cellStyle name="Comma 2 2 3 11 4 3" xfId="36248"/>
    <cellStyle name="Comma 2 2 3 11 5" xfId="21016"/>
    <cellStyle name="Comma 2 2 3 11 5 2" xfId="39465"/>
    <cellStyle name="Comma 2 2 3 11 6" xfId="22089"/>
    <cellStyle name="Comma 2 2 3 11 7" xfId="23243"/>
    <cellStyle name="Comma 2 2 3 11 8" xfId="26411"/>
    <cellStyle name="Comma 2 2 3 11 9" xfId="29744"/>
    <cellStyle name="Comma 2 2 3 12" xfId="9071"/>
    <cellStyle name="Comma 2 2 3 12 2" xfId="25126"/>
    <cellStyle name="Comma 2 2 3 12 2 2" xfId="44553"/>
    <cellStyle name="Comma 2 2 3 12 2 3" xfId="38130"/>
    <cellStyle name="Comma 2 2 3 12 3" xfId="27305"/>
    <cellStyle name="Comma 2 2 3 12 3 2" xfId="41346"/>
    <cellStyle name="Comma 2 2 3 12 4" xfId="30640"/>
    <cellStyle name="Comma 2 2 3 12 5" xfId="34922"/>
    <cellStyle name="Comma 2 2 3 13" xfId="15207"/>
    <cellStyle name="Comma 2 2 3 13 2" xfId="24220"/>
    <cellStyle name="Comma 2 2 3 13 2 2" xfId="43649"/>
    <cellStyle name="Comma 2 2 3 13 2 3" xfId="37226"/>
    <cellStyle name="Comma 2 2 3 13 3" xfId="28543"/>
    <cellStyle name="Comma 2 2 3 13 3 2" xfId="40442"/>
    <cellStyle name="Comma 2 2 3 13 4" xfId="31878"/>
    <cellStyle name="Comma 2 2 3 13 5" xfId="34018"/>
    <cellStyle name="Comma 2 2 3 14" xfId="8023"/>
    <cellStyle name="Comma 2 2 3 14 2" xfId="42416"/>
    <cellStyle name="Comma 2 2 3 14 3" xfId="35992"/>
    <cellStyle name="Comma 2 2 3 15" xfId="21014"/>
    <cellStyle name="Comma 2 2 3 15 2" xfId="39209"/>
    <cellStyle name="Comma 2 2 3 16" xfId="22087"/>
    <cellStyle name="Comma 2 2 3 17" xfId="22987"/>
    <cellStyle name="Comma 2 2 3 18" xfId="26409"/>
    <cellStyle name="Comma 2 2 3 19" xfId="29742"/>
    <cellStyle name="Comma 2 2 3 2" xfId="259"/>
    <cellStyle name="Comma 2 2 3 2 10" xfId="816"/>
    <cellStyle name="Comma 2 2 3 2 10 10" xfId="33042"/>
    <cellStyle name="Comma 2 2 3 2 10 2" xfId="9587"/>
    <cellStyle name="Comma 2 2 3 2 10 2 2" xfId="25387"/>
    <cellStyle name="Comma 2 2 3 2 10 2 2 2" xfId="44814"/>
    <cellStyle name="Comma 2 2 3 2 10 2 2 3" xfId="38391"/>
    <cellStyle name="Comma 2 2 3 2 10 2 3" xfId="27565"/>
    <cellStyle name="Comma 2 2 3 2 10 2 3 2" xfId="41607"/>
    <cellStyle name="Comma 2 2 3 2 10 2 4" xfId="30900"/>
    <cellStyle name="Comma 2 2 3 2 10 2 5" xfId="35183"/>
    <cellStyle name="Comma 2 2 3 2 10 3" xfId="15211"/>
    <cellStyle name="Comma 2 2 3 2 10 3 2" xfId="24224"/>
    <cellStyle name="Comma 2 2 3 2 10 3 2 2" xfId="43653"/>
    <cellStyle name="Comma 2 2 3 2 10 3 2 3" xfId="37230"/>
    <cellStyle name="Comma 2 2 3 2 10 3 3" xfId="28547"/>
    <cellStyle name="Comma 2 2 3 2 10 3 3 2" xfId="40446"/>
    <cellStyle name="Comma 2 2 3 2 10 3 4" xfId="31882"/>
    <cellStyle name="Comma 2 2 3 2 10 3 5" xfId="34022"/>
    <cellStyle name="Comma 2 2 3 2 10 4" xfId="8027"/>
    <cellStyle name="Comma 2 2 3 2 10 4 2" xfId="42673"/>
    <cellStyle name="Comma 2 2 3 2 10 4 3" xfId="36249"/>
    <cellStyle name="Comma 2 2 3 2 10 5" xfId="21018"/>
    <cellStyle name="Comma 2 2 3 2 10 5 2" xfId="39466"/>
    <cellStyle name="Comma 2 2 3 2 10 6" xfId="22091"/>
    <cellStyle name="Comma 2 2 3 2 10 7" xfId="23244"/>
    <cellStyle name="Comma 2 2 3 2 10 8" xfId="26413"/>
    <cellStyle name="Comma 2 2 3 2 10 9" xfId="29746"/>
    <cellStyle name="Comma 2 2 3 2 11" xfId="9116"/>
    <cellStyle name="Comma 2 2 3 2 11 2" xfId="25170"/>
    <cellStyle name="Comma 2 2 3 2 11 2 2" xfId="44597"/>
    <cellStyle name="Comma 2 2 3 2 11 2 3" xfId="38174"/>
    <cellStyle name="Comma 2 2 3 2 11 3" xfId="27349"/>
    <cellStyle name="Comma 2 2 3 2 11 3 2" xfId="41390"/>
    <cellStyle name="Comma 2 2 3 2 11 4" xfId="30684"/>
    <cellStyle name="Comma 2 2 3 2 11 5" xfId="34966"/>
    <cellStyle name="Comma 2 2 3 2 12" xfId="15210"/>
    <cellStyle name="Comma 2 2 3 2 12 2" xfId="24223"/>
    <cellStyle name="Comma 2 2 3 2 12 2 2" xfId="43652"/>
    <cellStyle name="Comma 2 2 3 2 12 2 3" xfId="37229"/>
    <cellStyle name="Comma 2 2 3 2 12 3" xfId="28546"/>
    <cellStyle name="Comma 2 2 3 2 12 3 2" xfId="40445"/>
    <cellStyle name="Comma 2 2 3 2 12 4" xfId="31881"/>
    <cellStyle name="Comma 2 2 3 2 12 5" xfId="34021"/>
    <cellStyle name="Comma 2 2 3 2 13" xfId="8026"/>
    <cellStyle name="Comma 2 2 3 2 13 2" xfId="42460"/>
    <cellStyle name="Comma 2 2 3 2 13 3" xfId="36036"/>
    <cellStyle name="Comma 2 2 3 2 14" xfId="21017"/>
    <cellStyle name="Comma 2 2 3 2 14 2" xfId="39253"/>
    <cellStyle name="Comma 2 2 3 2 15" xfId="22090"/>
    <cellStyle name="Comma 2 2 3 2 16" xfId="23031"/>
    <cellStyle name="Comma 2 2 3 2 17" xfId="26412"/>
    <cellStyle name="Comma 2 2 3 2 18" xfId="29745"/>
    <cellStyle name="Comma 2 2 3 2 19" xfId="32829"/>
    <cellStyle name="Comma 2 2 3 2 2" xfId="252"/>
    <cellStyle name="Comma 2 2 3 2 2 10" xfId="15212"/>
    <cellStyle name="Comma 2 2 3 2 2 10 2" xfId="24225"/>
    <cellStyle name="Comma 2 2 3 2 2 10 2 2" xfId="43654"/>
    <cellStyle name="Comma 2 2 3 2 2 10 2 3" xfId="37231"/>
    <cellStyle name="Comma 2 2 3 2 2 10 3" xfId="28548"/>
    <cellStyle name="Comma 2 2 3 2 2 10 3 2" xfId="40447"/>
    <cellStyle name="Comma 2 2 3 2 2 10 4" xfId="31883"/>
    <cellStyle name="Comma 2 2 3 2 2 10 5" xfId="34023"/>
    <cellStyle name="Comma 2 2 3 2 2 11" xfId="8028"/>
    <cellStyle name="Comma 2 2 3 2 2 11 2" xfId="42455"/>
    <cellStyle name="Comma 2 2 3 2 2 11 3" xfId="36031"/>
    <cellStyle name="Comma 2 2 3 2 2 12" xfId="21019"/>
    <cellStyle name="Comma 2 2 3 2 2 12 2" xfId="39248"/>
    <cellStyle name="Comma 2 2 3 2 2 13" xfId="22092"/>
    <cellStyle name="Comma 2 2 3 2 2 14" xfId="23026"/>
    <cellStyle name="Comma 2 2 3 2 2 15" xfId="26414"/>
    <cellStyle name="Comma 2 2 3 2 2 16" xfId="29747"/>
    <cellStyle name="Comma 2 2 3 2 2 17" xfId="32824"/>
    <cellStyle name="Comma 2 2 3 2 2 2" xfId="249"/>
    <cellStyle name="Comma 2 2 3 2 2 2 10" xfId="21020"/>
    <cellStyle name="Comma 2 2 3 2 2 2 10 2" xfId="39245"/>
    <cellStyle name="Comma 2 2 3 2 2 2 11" xfId="22093"/>
    <cellStyle name="Comma 2 2 3 2 2 2 12" xfId="23023"/>
    <cellStyle name="Comma 2 2 3 2 2 2 13" xfId="26415"/>
    <cellStyle name="Comma 2 2 3 2 2 2 14" xfId="29748"/>
    <cellStyle name="Comma 2 2 3 2 2 2 15" xfId="32821"/>
    <cellStyle name="Comma 2 2 3 2 2 2 2" xfId="817"/>
    <cellStyle name="Comma 2 2 3 2 2 2 2 10" xfId="33043"/>
    <cellStyle name="Comma 2 2 3 2 2 2 2 2" xfId="9588"/>
    <cellStyle name="Comma 2 2 3 2 2 2 2 2 2" xfId="25388"/>
    <cellStyle name="Comma 2 2 3 2 2 2 2 2 2 2" xfId="44815"/>
    <cellStyle name="Comma 2 2 3 2 2 2 2 2 2 3" xfId="38392"/>
    <cellStyle name="Comma 2 2 3 2 2 2 2 2 3" xfId="27566"/>
    <cellStyle name="Comma 2 2 3 2 2 2 2 2 3 2" xfId="41608"/>
    <cellStyle name="Comma 2 2 3 2 2 2 2 2 4" xfId="30901"/>
    <cellStyle name="Comma 2 2 3 2 2 2 2 2 5" xfId="35184"/>
    <cellStyle name="Comma 2 2 3 2 2 2 2 3" xfId="15214"/>
    <cellStyle name="Comma 2 2 3 2 2 2 2 3 2" xfId="24227"/>
    <cellStyle name="Comma 2 2 3 2 2 2 2 3 2 2" xfId="43656"/>
    <cellStyle name="Comma 2 2 3 2 2 2 2 3 2 3" xfId="37233"/>
    <cellStyle name="Comma 2 2 3 2 2 2 2 3 3" xfId="28550"/>
    <cellStyle name="Comma 2 2 3 2 2 2 2 3 3 2" xfId="40449"/>
    <cellStyle name="Comma 2 2 3 2 2 2 2 3 4" xfId="31885"/>
    <cellStyle name="Comma 2 2 3 2 2 2 2 3 5" xfId="34025"/>
    <cellStyle name="Comma 2 2 3 2 2 2 2 4" xfId="8030"/>
    <cellStyle name="Comma 2 2 3 2 2 2 2 4 2" xfId="42674"/>
    <cellStyle name="Comma 2 2 3 2 2 2 2 4 3" xfId="36250"/>
    <cellStyle name="Comma 2 2 3 2 2 2 2 5" xfId="21021"/>
    <cellStyle name="Comma 2 2 3 2 2 2 2 5 2" xfId="39467"/>
    <cellStyle name="Comma 2 2 3 2 2 2 2 6" xfId="22094"/>
    <cellStyle name="Comma 2 2 3 2 2 2 2 7" xfId="23245"/>
    <cellStyle name="Comma 2 2 3 2 2 2 2 8" xfId="26416"/>
    <cellStyle name="Comma 2 2 3 2 2 2 2 9" xfId="29749"/>
    <cellStyle name="Comma 2 2 3 2 2 2 3" xfId="818"/>
    <cellStyle name="Comma 2 2 3 2 2 2 3 10" xfId="33044"/>
    <cellStyle name="Comma 2 2 3 2 2 2 3 2" xfId="9589"/>
    <cellStyle name="Comma 2 2 3 2 2 2 3 2 2" xfId="25389"/>
    <cellStyle name="Comma 2 2 3 2 2 2 3 2 2 2" xfId="44816"/>
    <cellStyle name="Comma 2 2 3 2 2 2 3 2 2 3" xfId="38393"/>
    <cellStyle name="Comma 2 2 3 2 2 2 3 2 3" xfId="27567"/>
    <cellStyle name="Comma 2 2 3 2 2 2 3 2 3 2" xfId="41609"/>
    <cellStyle name="Comma 2 2 3 2 2 2 3 2 4" xfId="30902"/>
    <cellStyle name="Comma 2 2 3 2 2 2 3 2 5" xfId="35185"/>
    <cellStyle name="Comma 2 2 3 2 2 2 3 3" xfId="15215"/>
    <cellStyle name="Comma 2 2 3 2 2 2 3 3 2" xfId="24228"/>
    <cellStyle name="Comma 2 2 3 2 2 2 3 3 2 2" xfId="43657"/>
    <cellStyle name="Comma 2 2 3 2 2 2 3 3 2 3" xfId="37234"/>
    <cellStyle name="Comma 2 2 3 2 2 2 3 3 3" xfId="28551"/>
    <cellStyle name="Comma 2 2 3 2 2 2 3 3 3 2" xfId="40450"/>
    <cellStyle name="Comma 2 2 3 2 2 2 3 3 4" xfId="31886"/>
    <cellStyle name="Comma 2 2 3 2 2 2 3 3 5" xfId="34026"/>
    <cellStyle name="Comma 2 2 3 2 2 2 3 4" xfId="8031"/>
    <cellStyle name="Comma 2 2 3 2 2 2 3 4 2" xfId="42675"/>
    <cellStyle name="Comma 2 2 3 2 2 2 3 4 3" xfId="36251"/>
    <cellStyle name="Comma 2 2 3 2 2 2 3 5" xfId="21022"/>
    <cellStyle name="Comma 2 2 3 2 2 2 3 5 2" xfId="39468"/>
    <cellStyle name="Comma 2 2 3 2 2 2 3 6" xfId="22095"/>
    <cellStyle name="Comma 2 2 3 2 2 2 3 7" xfId="23246"/>
    <cellStyle name="Comma 2 2 3 2 2 2 3 8" xfId="26417"/>
    <cellStyle name="Comma 2 2 3 2 2 2 3 9" xfId="29750"/>
    <cellStyle name="Comma 2 2 3 2 2 2 4" xfId="819"/>
    <cellStyle name="Comma 2 2 3 2 2 2 4 10" xfId="33045"/>
    <cellStyle name="Comma 2 2 3 2 2 2 4 2" xfId="9590"/>
    <cellStyle name="Comma 2 2 3 2 2 2 4 2 2" xfId="25390"/>
    <cellStyle name="Comma 2 2 3 2 2 2 4 2 2 2" xfId="44817"/>
    <cellStyle name="Comma 2 2 3 2 2 2 4 2 2 3" xfId="38394"/>
    <cellStyle name="Comma 2 2 3 2 2 2 4 2 3" xfId="27568"/>
    <cellStyle name="Comma 2 2 3 2 2 2 4 2 3 2" xfId="41610"/>
    <cellStyle name="Comma 2 2 3 2 2 2 4 2 4" xfId="30903"/>
    <cellStyle name="Comma 2 2 3 2 2 2 4 2 5" xfId="35186"/>
    <cellStyle name="Comma 2 2 3 2 2 2 4 3" xfId="15216"/>
    <cellStyle name="Comma 2 2 3 2 2 2 4 3 2" xfId="24229"/>
    <cellStyle name="Comma 2 2 3 2 2 2 4 3 2 2" xfId="43658"/>
    <cellStyle name="Comma 2 2 3 2 2 2 4 3 2 3" xfId="37235"/>
    <cellStyle name="Comma 2 2 3 2 2 2 4 3 3" xfId="28552"/>
    <cellStyle name="Comma 2 2 3 2 2 2 4 3 3 2" xfId="40451"/>
    <cellStyle name="Comma 2 2 3 2 2 2 4 3 4" xfId="31887"/>
    <cellStyle name="Comma 2 2 3 2 2 2 4 3 5" xfId="34027"/>
    <cellStyle name="Comma 2 2 3 2 2 2 4 4" xfId="8032"/>
    <cellStyle name="Comma 2 2 3 2 2 2 4 4 2" xfId="42676"/>
    <cellStyle name="Comma 2 2 3 2 2 2 4 4 3" xfId="36252"/>
    <cellStyle name="Comma 2 2 3 2 2 2 4 5" xfId="21023"/>
    <cellStyle name="Comma 2 2 3 2 2 2 4 5 2" xfId="39469"/>
    <cellStyle name="Comma 2 2 3 2 2 2 4 6" xfId="22096"/>
    <cellStyle name="Comma 2 2 3 2 2 2 4 7" xfId="23247"/>
    <cellStyle name="Comma 2 2 3 2 2 2 4 8" xfId="26418"/>
    <cellStyle name="Comma 2 2 3 2 2 2 4 9" xfId="29751"/>
    <cellStyle name="Comma 2 2 3 2 2 2 5" xfId="820"/>
    <cellStyle name="Comma 2 2 3 2 2 2 5 10" xfId="33046"/>
    <cellStyle name="Comma 2 2 3 2 2 2 5 2" xfId="9591"/>
    <cellStyle name="Comma 2 2 3 2 2 2 5 2 2" xfId="25391"/>
    <cellStyle name="Comma 2 2 3 2 2 2 5 2 2 2" xfId="44818"/>
    <cellStyle name="Comma 2 2 3 2 2 2 5 2 2 3" xfId="38395"/>
    <cellStyle name="Comma 2 2 3 2 2 2 5 2 3" xfId="27569"/>
    <cellStyle name="Comma 2 2 3 2 2 2 5 2 3 2" xfId="41611"/>
    <cellStyle name="Comma 2 2 3 2 2 2 5 2 4" xfId="30904"/>
    <cellStyle name="Comma 2 2 3 2 2 2 5 2 5" xfId="35187"/>
    <cellStyle name="Comma 2 2 3 2 2 2 5 3" xfId="15217"/>
    <cellStyle name="Comma 2 2 3 2 2 2 5 3 2" xfId="24230"/>
    <cellStyle name="Comma 2 2 3 2 2 2 5 3 2 2" xfId="43659"/>
    <cellStyle name="Comma 2 2 3 2 2 2 5 3 2 3" xfId="37236"/>
    <cellStyle name="Comma 2 2 3 2 2 2 5 3 3" xfId="28553"/>
    <cellStyle name="Comma 2 2 3 2 2 2 5 3 3 2" xfId="40452"/>
    <cellStyle name="Comma 2 2 3 2 2 2 5 3 4" xfId="31888"/>
    <cellStyle name="Comma 2 2 3 2 2 2 5 3 5" xfId="34028"/>
    <cellStyle name="Comma 2 2 3 2 2 2 5 4" xfId="8033"/>
    <cellStyle name="Comma 2 2 3 2 2 2 5 4 2" xfId="42677"/>
    <cellStyle name="Comma 2 2 3 2 2 2 5 4 3" xfId="36253"/>
    <cellStyle name="Comma 2 2 3 2 2 2 5 5" xfId="21024"/>
    <cellStyle name="Comma 2 2 3 2 2 2 5 5 2" xfId="39470"/>
    <cellStyle name="Comma 2 2 3 2 2 2 5 6" xfId="22097"/>
    <cellStyle name="Comma 2 2 3 2 2 2 5 7" xfId="23248"/>
    <cellStyle name="Comma 2 2 3 2 2 2 5 8" xfId="26419"/>
    <cellStyle name="Comma 2 2 3 2 2 2 5 9" xfId="29752"/>
    <cellStyle name="Comma 2 2 3 2 2 2 6" xfId="821"/>
    <cellStyle name="Comma 2 2 3 2 2 2 6 10" xfId="33047"/>
    <cellStyle name="Comma 2 2 3 2 2 2 6 2" xfId="9592"/>
    <cellStyle name="Comma 2 2 3 2 2 2 6 2 2" xfId="25392"/>
    <cellStyle name="Comma 2 2 3 2 2 2 6 2 2 2" xfId="44819"/>
    <cellStyle name="Comma 2 2 3 2 2 2 6 2 2 3" xfId="38396"/>
    <cellStyle name="Comma 2 2 3 2 2 2 6 2 3" xfId="27570"/>
    <cellStyle name="Comma 2 2 3 2 2 2 6 2 3 2" xfId="41612"/>
    <cellStyle name="Comma 2 2 3 2 2 2 6 2 4" xfId="30905"/>
    <cellStyle name="Comma 2 2 3 2 2 2 6 2 5" xfId="35188"/>
    <cellStyle name="Comma 2 2 3 2 2 2 6 3" xfId="15218"/>
    <cellStyle name="Comma 2 2 3 2 2 2 6 3 2" xfId="24231"/>
    <cellStyle name="Comma 2 2 3 2 2 2 6 3 2 2" xfId="43660"/>
    <cellStyle name="Comma 2 2 3 2 2 2 6 3 2 3" xfId="37237"/>
    <cellStyle name="Comma 2 2 3 2 2 2 6 3 3" xfId="28554"/>
    <cellStyle name="Comma 2 2 3 2 2 2 6 3 3 2" xfId="40453"/>
    <cellStyle name="Comma 2 2 3 2 2 2 6 3 4" xfId="31889"/>
    <cellStyle name="Comma 2 2 3 2 2 2 6 3 5" xfId="34029"/>
    <cellStyle name="Comma 2 2 3 2 2 2 6 4" xfId="8034"/>
    <cellStyle name="Comma 2 2 3 2 2 2 6 4 2" xfId="42678"/>
    <cellStyle name="Comma 2 2 3 2 2 2 6 4 3" xfId="36254"/>
    <cellStyle name="Comma 2 2 3 2 2 2 6 5" xfId="21025"/>
    <cellStyle name="Comma 2 2 3 2 2 2 6 5 2" xfId="39471"/>
    <cellStyle name="Comma 2 2 3 2 2 2 6 6" xfId="22098"/>
    <cellStyle name="Comma 2 2 3 2 2 2 6 7" xfId="23249"/>
    <cellStyle name="Comma 2 2 3 2 2 2 6 8" xfId="26420"/>
    <cellStyle name="Comma 2 2 3 2 2 2 6 9" xfId="29753"/>
    <cellStyle name="Comma 2 2 3 2 2 2 7" xfId="9108"/>
    <cellStyle name="Comma 2 2 3 2 2 2 7 2" xfId="25162"/>
    <cellStyle name="Comma 2 2 3 2 2 2 7 2 2" xfId="44589"/>
    <cellStyle name="Comma 2 2 3 2 2 2 7 2 3" xfId="38166"/>
    <cellStyle name="Comma 2 2 3 2 2 2 7 3" xfId="27341"/>
    <cellStyle name="Comma 2 2 3 2 2 2 7 3 2" xfId="41382"/>
    <cellStyle name="Comma 2 2 3 2 2 2 7 4" xfId="30676"/>
    <cellStyle name="Comma 2 2 3 2 2 2 7 5" xfId="34958"/>
    <cellStyle name="Comma 2 2 3 2 2 2 8" xfId="15213"/>
    <cellStyle name="Comma 2 2 3 2 2 2 8 2" xfId="24226"/>
    <cellStyle name="Comma 2 2 3 2 2 2 8 2 2" xfId="43655"/>
    <cellStyle name="Comma 2 2 3 2 2 2 8 2 3" xfId="37232"/>
    <cellStyle name="Comma 2 2 3 2 2 2 8 3" xfId="28549"/>
    <cellStyle name="Comma 2 2 3 2 2 2 8 3 2" xfId="40448"/>
    <cellStyle name="Comma 2 2 3 2 2 2 8 4" xfId="31884"/>
    <cellStyle name="Comma 2 2 3 2 2 2 8 5" xfId="34024"/>
    <cellStyle name="Comma 2 2 3 2 2 2 9" xfId="8029"/>
    <cellStyle name="Comma 2 2 3 2 2 2 9 2" xfId="42452"/>
    <cellStyle name="Comma 2 2 3 2 2 2 9 3" xfId="36028"/>
    <cellStyle name="Comma 2 2 3 2 2 3" xfId="822"/>
    <cellStyle name="Comma 2 2 3 2 2 3 10" xfId="22099"/>
    <cellStyle name="Comma 2 2 3 2 2 3 11" xfId="23250"/>
    <cellStyle name="Comma 2 2 3 2 2 3 12" xfId="26421"/>
    <cellStyle name="Comma 2 2 3 2 2 3 13" xfId="29754"/>
    <cellStyle name="Comma 2 2 3 2 2 3 14" xfId="33048"/>
    <cellStyle name="Comma 2 2 3 2 2 3 2" xfId="823"/>
    <cellStyle name="Comma 2 2 3 2 2 3 2 10" xfId="33049"/>
    <cellStyle name="Comma 2 2 3 2 2 3 2 2" xfId="9594"/>
    <cellStyle name="Comma 2 2 3 2 2 3 2 2 2" xfId="25394"/>
    <cellStyle name="Comma 2 2 3 2 2 3 2 2 2 2" xfId="44821"/>
    <cellStyle name="Comma 2 2 3 2 2 3 2 2 2 3" xfId="38398"/>
    <cellStyle name="Comma 2 2 3 2 2 3 2 2 3" xfId="27572"/>
    <cellStyle name="Comma 2 2 3 2 2 3 2 2 3 2" xfId="41614"/>
    <cellStyle name="Comma 2 2 3 2 2 3 2 2 4" xfId="30907"/>
    <cellStyle name="Comma 2 2 3 2 2 3 2 2 5" xfId="35190"/>
    <cellStyle name="Comma 2 2 3 2 2 3 2 3" xfId="15220"/>
    <cellStyle name="Comma 2 2 3 2 2 3 2 3 2" xfId="24233"/>
    <cellStyle name="Comma 2 2 3 2 2 3 2 3 2 2" xfId="43662"/>
    <cellStyle name="Comma 2 2 3 2 2 3 2 3 2 3" xfId="37239"/>
    <cellStyle name="Comma 2 2 3 2 2 3 2 3 3" xfId="28556"/>
    <cellStyle name="Comma 2 2 3 2 2 3 2 3 3 2" xfId="40455"/>
    <cellStyle name="Comma 2 2 3 2 2 3 2 3 4" xfId="31891"/>
    <cellStyle name="Comma 2 2 3 2 2 3 2 3 5" xfId="34031"/>
    <cellStyle name="Comma 2 2 3 2 2 3 2 4" xfId="8036"/>
    <cellStyle name="Comma 2 2 3 2 2 3 2 4 2" xfId="42680"/>
    <cellStyle name="Comma 2 2 3 2 2 3 2 4 3" xfId="36256"/>
    <cellStyle name="Comma 2 2 3 2 2 3 2 5" xfId="21027"/>
    <cellStyle name="Comma 2 2 3 2 2 3 2 5 2" xfId="39473"/>
    <cellStyle name="Comma 2 2 3 2 2 3 2 6" xfId="22100"/>
    <cellStyle name="Comma 2 2 3 2 2 3 2 7" xfId="23251"/>
    <cellStyle name="Comma 2 2 3 2 2 3 2 8" xfId="26422"/>
    <cellStyle name="Comma 2 2 3 2 2 3 2 9" xfId="29755"/>
    <cellStyle name="Comma 2 2 3 2 2 3 3" xfId="824"/>
    <cellStyle name="Comma 2 2 3 2 2 3 3 10" xfId="33050"/>
    <cellStyle name="Comma 2 2 3 2 2 3 3 2" xfId="9595"/>
    <cellStyle name="Comma 2 2 3 2 2 3 3 2 2" xfId="25395"/>
    <cellStyle name="Comma 2 2 3 2 2 3 3 2 2 2" xfId="44822"/>
    <cellStyle name="Comma 2 2 3 2 2 3 3 2 2 3" xfId="38399"/>
    <cellStyle name="Comma 2 2 3 2 2 3 3 2 3" xfId="27573"/>
    <cellStyle name="Comma 2 2 3 2 2 3 3 2 3 2" xfId="41615"/>
    <cellStyle name="Comma 2 2 3 2 2 3 3 2 4" xfId="30908"/>
    <cellStyle name="Comma 2 2 3 2 2 3 3 2 5" xfId="35191"/>
    <cellStyle name="Comma 2 2 3 2 2 3 3 3" xfId="15221"/>
    <cellStyle name="Comma 2 2 3 2 2 3 3 3 2" xfId="24234"/>
    <cellStyle name="Comma 2 2 3 2 2 3 3 3 2 2" xfId="43663"/>
    <cellStyle name="Comma 2 2 3 2 2 3 3 3 2 3" xfId="37240"/>
    <cellStyle name="Comma 2 2 3 2 2 3 3 3 3" xfId="28557"/>
    <cellStyle name="Comma 2 2 3 2 2 3 3 3 3 2" xfId="40456"/>
    <cellStyle name="Comma 2 2 3 2 2 3 3 3 4" xfId="31892"/>
    <cellStyle name="Comma 2 2 3 2 2 3 3 3 5" xfId="34032"/>
    <cellStyle name="Comma 2 2 3 2 2 3 3 4" xfId="8037"/>
    <cellStyle name="Comma 2 2 3 2 2 3 3 4 2" xfId="42681"/>
    <cellStyle name="Comma 2 2 3 2 2 3 3 4 3" xfId="36257"/>
    <cellStyle name="Comma 2 2 3 2 2 3 3 5" xfId="21028"/>
    <cellStyle name="Comma 2 2 3 2 2 3 3 5 2" xfId="39474"/>
    <cellStyle name="Comma 2 2 3 2 2 3 3 6" xfId="22101"/>
    <cellStyle name="Comma 2 2 3 2 2 3 3 7" xfId="23252"/>
    <cellStyle name="Comma 2 2 3 2 2 3 3 8" xfId="26423"/>
    <cellStyle name="Comma 2 2 3 2 2 3 3 9" xfId="29756"/>
    <cellStyle name="Comma 2 2 3 2 2 3 4" xfId="825"/>
    <cellStyle name="Comma 2 2 3 2 2 3 4 10" xfId="33051"/>
    <cellStyle name="Comma 2 2 3 2 2 3 4 2" xfId="9596"/>
    <cellStyle name="Comma 2 2 3 2 2 3 4 2 2" xfId="25396"/>
    <cellStyle name="Comma 2 2 3 2 2 3 4 2 2 2" xfId="44823"/>
    <cellStyle name="Comma 2 2 3 2 2 3 4 2 2 3" xfId="38400"/>
    <cellStyle name="Comma 2 2 3 2 2 3 4 2 3" xfId="27574"/>
    <cellStyle name="Comma 2 2 3 2 2 3 4 2 3 2" xfId="41616"/>
    <cellStyle name="Comma 2 2 3 2 2 3 4 2 4" xfId="30909"/>
    <cellStyle name="Comma 2 2 3 2 2 3 4 2 5" xfId="35192"/>
    <cellStyle name="Comma 2 2 3 2 2 3 4 3" xfId="15222"/>
    <cellStyle name="Comma 2 2 3 2 2 3 4 3 2" xfId="24235"/>
    <cellStyle name="Comma 2 2 3 2 2 3 4 3 2 2" xfId="43664"/>
    <cellStyle name="Comma 2 2 3 2 2 3 4 3 2 3" xfId="37241"/>
    <cellStyle name="Comma 2 2 3 2 2 3 4 3 3" xfId="28558"/>
    <cellStyle name="Comma 2 2 3 2 2 3 4 3 3 2" xfId="40457"/>
    <cellStyle name="Comma 2 2 3 2 2 3 4 3 4" xfId="31893"/>
    <cellStyle name="Comma 2 2 3 2 2 3 4 3 5" xfId="34033"/>
    <cellStyle name="Comma 2 2 3 2 2 3 4 4" xfId="8038"/>
    <cellStyle name="Comma 2 2 3 2 2 3 4 4 2" xfId="42682"/>
    <cellStyle name="Comma 2 2 3 2 2 3 4 4 3" xfId="36258"/>
    <cellStyle name="Comma 2 2 3 2 2 3 4 5" xfId="21029"/>
    <cellStyle name="Comma 2 2 3 2 2 3 4 5 2" xfId="39475"/>
    <cellStyle name="Comma 2 2 3 2 2 3 4 6" xfId="22102"/>
    <cellStyle name="Comma 2 2 3 2 2 3 4 7" xfId="23253"/>
    <cellStyle name="Comma 2 2 3 2 2 3 4 8" xfId="26424"/>
    <cellStyle name="Comma 2 2 3 2 2 3 4 9" xfId="29757"/>
    <cellStyle name="Comma 2 2 3 2 2 3 5" xfId="826"/>
    <cellStyle name="Comma 2 2 3 2 2 3 5 10" xfId="33052"/>
    <cellStyle name="Comma 2 2 3 2 2 3 5 2" xfId="9597"/>
    <cellStyle name="Comma 2 2 3 2 2 3 5 2 2" xfId="25397"/>
    <cellStyle name="Comma 2 2 3 2 2 3 5 2 2 2" xfId="44824"/>
    <cellStyle name="Comma 2 2 3 2 2 3 5 2 2 3" xfId="38401"/>
    <cellStyle name="Comma 2 2 3 2 2 3 5 2 3" xfId="27575"/>
    <cellStyle name="Comma 2 2 3 2 2 3 5 2 3 2" xfId="41617"/>
    <cellStyle name="Comma 2 2 3 2 2 3 5 2 4" xfId="30910"/>
    <cellStyle name="Comma 2 2 3 2 2 3 5 2 5" xfId="35193"/>
    <cellStyle name="Comma 2 2 3 2 2 3 5 3" xfId="15223"/>
    <cellStyle name="Comma 2 2 3 2 2 3 5 3 2" xfId="24236"/>
    <cellStyle name="Comma 2 2 3 2 2 3 5 3 2 2" xfId="43665"/>
    <cellStyle name="Comma 2 2 3 2 2 3 5 3 2 3" xfId="37242"/>
    <cellStyle name="Comma 2 2 3 2 2 3 5 3 3" xfId="28559"/>
    <cellStyle name="Comma 2 2 3 2 2 3 5 3 3 2" xfId="40458"/>
    <cellStyle name="Comma 2 2 3 2 2 3 5 3 4" xfId="31894"/>
    <cellStyle name="Comma 2 2 3 2 2 3 5 3 5" xfId="34034"/>
    <cellStyle name="Comma 2 2 3 2 2 3 5 4" xfId="8039"/>
    <cellStyle name="Comma 2 2 3 2 2 3 5 4 2" xfId="42683"/>
    <cellStyle name="Comma 2 2 3 2 2 3 5 4 3" xfId="36259"/>
    <cellStyle name="Comma 2 2 3 2 2 3 5 5" xfId="21030"/>
    <cellStyle name="Comma 2 2 3 2 2 3 5 5 2" xfId="39476"/>
    <cellStyle name="Comma 2 2 3 2 2 3 5 6" xfId="22103"/>
    <cellStyle name="Comma 2 2 3 2 2 3 5 7" xfId="23254"/>
    <cellStyle name="Comma 2 2 3 2 2 3 5 8" xfId="26425"/>
    <cellStyle name="Comma 2 2 3 2 2 3 5 9" xfId="29758"/>
    <cellStyle name="Comma 2 2 3 2 2 3 6" xfId="9593"/>
    <cellStyle name="Comma 2 2 3 2 2 3 6 2" xfId="25393"/>
    <cellStyle name="Comma 2 2 3 2 2 3 6 2 2" xfId="44820"/>
    <cellStyle name="Comma 2 2 3 2 2 3 6 2 3" xfId="38397"/>
    <cellStyle name="Comma 2 2 3 2 2 3 6 3" xfId="27571"/>
    <cellStyle name="Comma 2 2 3 2 2 3 6 3 2" xfId="41613"/>
    <cellStyle name="Comma 2 2 3 2 2 3 6 4" xfId="30906"/>
    <cellStyle name="Comma 2 2 3 2 2 3 6 5" xfId="35189"/>
    <cellStyle name="Comma 2 2 3 2 2 3 7" xfId="15219"/>
    <cellStyle name="Comma 2 2 3 2 2 3 7 2" xfId="24232"/>
    <cellStyle name="Comma 2 2 3 2 2 3 7 2 2" xfId="43661"/>
    <cellStyle name="Comma 2 2 3 2 2 3 7 2 3" xfId="37238"/>
    <cellStyle name="Comma 2 2 3 2 2 3 7 3" xfId="28555"/>
    <cellStyle name="Comma 2 2 3 2 2 3 7 3 2" xfId="40454"/>
    <cellStyle name="Comma 2 2 3 2 2 3 7 4" xfId="31890"/>
    <cellStyle name="Comma 2 2 3 2 2 3 7 5" xfId="34030"/>
    <cellStyle name="Comma 2 2 3 2 2 3 8" xfId="8035"/>
    <cellStyle name="Comma 2 2 3 2 2 3 8 2" xfId="42679"/>
    <cellStyle name="Comma 2 2 3 2 2 3 8 3" xfId="36255"/>
    <cellStyle name="Comma 2 2 3 2 2 3 9" xfId="21026"/>
    <cellStyle name="Comma 2 2 3 2 2 3 9 2" xfId="39472"/>
    <cellStyle name="Comma 2 2 3 2 2 4" xfId="827"/>
    <cellStyle name="Comma 2 2 3 2 2 4 10" xfId="33053"/>
    <cellStyle name="Comma 2 2 3 2 2 4 2" xfId="9598"/>
    <cellStyle name="Comma 2 2 3 2 2 4 2 2" xfId="25398"/>
    <cellStyle name="Comma 2 2 3 2 2 4 2 2 2" xfId="44825"/>
    <cellStyle name="Comma 2 2 3 2 2 4 2 2 3" xfId="38402"/>
    <cellStyle name="Comma 2 2 3 2 2 4 2 3" xfId="27576"/>
    <cellStyle name="Comma 2 2 3 2 2 4 2 3 2" xfId="41618"/>
    <cellStyle name="Comma 2 2 3 2 2 4 2 4" xfId="30911"/>
    <cellStyle name="Comma 2 2 3 2 2 4 2 5" xfId="35194"/>
    <cellStyle name="Comma 2 2 3 2 2 4 3" xfId="15224"/>
    <cellStyle name="Comma 2 2 3 2 2 4 3 2" xfId="24237"/>
    <cellStyle name="Comma 2 2 3 2 2 4 3 2 2" xfId="43666"/>
    <cellStyle name="Comma 2 2 3 2 2 4 3 2 3" xfId="37243"/>
    <cellStyle name="Comma 2 2 3 2 2 4 3 3" xfId="28560"/>
    <cellStyle name="Comma 2 2 3 2 2 4 3 3 2" xfId="40459"/>
    <cellStyle name="Comma 2 2 3 2 2 4 3 4" xfId="31895"/>
    <cellStyle name="Comma 2 2 3 2 2 4 3 5" xfId="34035"/>
    <cellStyle name="Comma 2 2 3 2 2 4 4" xfId="8040"/>
    <cellStyle name="Comma 2 2 3 2 2 4 4 2" xfId="42684"/>
    <cellStyle name="Comma 2 2 3 2 2 4 4 3" xfId="36260"/>
    <cellStyle name="Comma 2 2 3 2 2 4 5" xfId="21031"/>
    <cellStyle name="Comma 2 2 3 2 2 4 5 2" xfId="39477"/>
    <cellStyle name="Comma 2 2 3 2 2 4 6" xfId="22104"/>
    <cellStyle name="Comma 2 2 3 2 2 4 7" xfId="23255"/>
    <cellStyle name="Comma 2 2 3 2 2 4 8" xfId="26426"/>
    <cellStyle name="Comma 2 2 3 2 2 4 9" xfId="29759"/>
    <cellStyle name="Comma 2 2 3 2 2 5" xfId="828"/>
    <cellStyle name="Comma 2 2 3 2 2 5 10" xfId="33054"/>
    <cellStyle name="Comma 2 2 3 2 2 5 2" xfId="9599"/>
    <cellStyle name="Comma 2 2 3 2 2 5 2 2" xfId="25399"/>
    <cellStyle name="Comma 2 2 3 2 2 5 2 2 2" xfId="44826"/>
    <cellStyle name="Comma 2 2 3 2 2 5 2 2 3" xfId="38403"/>
    <cellStyle name="Comma 2 2 3 2 2 5 2 3" xfId="27577"/>
    <cellStyle name="Comma 2 2 3 2 2 5 2 3 2" xfId="41619"/>
    <cellStyle name="Comma 2 2 3 2 2 5 2 4" xfId="30912"/>
    <cellStyle name="Comma 2 2 3 2 2 5 2 5" xfId="35195"/>
    <cellStyle name="Comma 2 2 3 2 2 5 3" xfId="15225"/>
    <cellStyle name="Comma 2 2 3 2 2 5 3 2" xfId="24238"/>
    <cellStyle name="Comma 2 2 3 2 2 5 3 2 2" xfId="43667"/>
    <cellStyle name="Comma 2 2 3 2 2 5 3 2 3" xfId="37244"/>
    <cellStyle name="Comma 2 2 3 2 2 5 3 3" xfId="28561"/>
    <cellStyle name="Comma 2 2 3 2 2 5 3 3 2" xfId="40460"/>
    <cellStyle name="Comma 2 2 3 2 2 5 3 4" xfId="31896"/>
    <cellStyle name="Comma 2 2 3 2 2 5 3 5" xfId="34036"/>
    <cellStyle name="Comma 2 2 3 2 2 5 4" xfId="8041"/>
    <cellStyle name="Comma 2 2 3 2 2 5 4 2" xfId="42685"/>
    <cellStyle name="Comma 2 2 3 2 2 5 4 3" xfId="36261"/>
    <cellStyle name="Comma 2 2 3 2 2 5 5" xfId="21032"/>
    <cellStyle name="Comma 2 2 3 2 2 5 5 2" xfId="39478"/>
    <cellStyle name="Comma 2 2 3 2 2 5 6" xfId="22105"/>
    <cellStyle name="Comma 2 2 3 2 2 5 7" xfId="23256"/>
    <cellStyle name="Comma 2 2 3 2 2 5 8" xfId="26427"/>
    <cellStyle name="Comma 2 2 3 2 2 5 9" xfId="29760"/>
    <cellStyle name="Comma 2 2 3 2 2 6" xfId="829"/>
    <cellStyle name="Comma 2 2 3 2 2 6 10" xfId="33055"/>
    <cellStyle name="Comma 2 2 3 2 2 6 2" xfId="9600"/>
    <cellStyle name="Comma 2 2 3 2 2 6 2 2" xfId="25400"/>
    <cellStyle name="Comma 2 2 3 2 2 6 2 2 2" xfId="44827"/>
    <cellStyle name="Comma 2 2 3 2 2 6 2 2 3" xfId="38404"/>
    <cellStyle name="Comma 2 2 3 2 2 6 2 3" xfId="27578"/>
    <cellStyle name="Comma 2 2 3 2 2 6 2 3 2" xfId="41620"/>
    <cellStyle name="Comma 2 2 3 2 2 6 2 4" xfId="30913"/>
    <cellStyle name="Comma 2 2 3 2 2 6 2 5" xfId="35196"/>
    <cellStyle name="Comma 2 2 3 2 2 6 3" xfId="15226"/>
    <cellStyle name="Comma 2 2 3 2 2 6 3 2" xfId="24239"/>
    <cellStyle name="Comma 2 2 3 2 2 6 3 2 2" xfId="43668"/>
    <cellStyle name="Comma 2 2 3 2 2 6 3 2 3" xfId="37245"/>
    <cellStyle name="Comma 2 2 3 2 2 6 3 3" xfId="28562"/>
    <cellStyle name="Comma 2 2 3 2 2 6 3 3 2" xfId="40461"/>
    <cellStyle name="Comma 2 2 3 2 2 6 3 4" xfId="31897"/>
    <cellStyle name="Comma 2 2 3 2 2 6 3 5" xfId="34037"/>
    <cellStyle name="Comma 2 2 3 2 2 6 4" xfId="8042"/>
    <cellStyle name="Comma 2 2 3 2 2 6 4 2" xfId="42686"/>
    <cellStyle name="Comma 2 2 3 2 2 6 4 3" xfId="36262"/>
    <cellStyle name="Comma 2 2 3 2 2 6 5" xfId="21033"/>
    <cellStyle name="Comma 2 2 3 2 2 6 5 2" xfId="39479"/>
    <cellStyle name="Comma 2 2 3 2 2 6 6" xfId="22106"/>
    <cellStyle name="Comma 2 2 3 2 2 6 7" xfId="23257"/>
    <cellStyle name="Comma 2 2 3 2 2 6 8" xfId="26428"/>
    <cellStyle name="Comma 2 2 3 2 2 6 9" xfId="29761"/>
    <cellStyle name="Comma 2 2 3 2 2 7" xfId="830"/>
    <cellStyle name="Comma 2 2 3 2 2 7 10" xfId="33056"/>
    <cellStyle name="Comma 2 2 3 2 2 7 2" xfId="9601"/>
    <cellStyle name="Comma 2 2 3 2 2 7 2 2" xfId="25401"/>
    <cellStyle name="Comma 2 2 3 2 2 7 2 2 2" xfId="44828"/>
    <cellStyle name="Comma 2 2 3 2 2 7 2 2 3" xfId="38405"/>
    <cellStyle name="Comma 2 2 3 2 2 7 2 3" xfId="27579"/>
    <cellStyle name="Comma 2 2 3 2 2 7 2 3 2" xfId="41621"/>
    <cellStyle name="Comma 2 2 3 2 2 7 2 4" xfId="30914"/>
    <cellStyle name="Comma 2 2 3 2 2 7 2 5" xfId="35197"/>
    <cellStyle name="Comma 2 2 3 2 2 7 3" xfId="15227"/>
    <cellStyle name="Comma 2 2 3 2 2 7 3 2" xfId="24240"/>
    <cellStyle name="Comma 2 2 3 2 2 7 3 2 2" xfId="43669"/>
    <cellStyle name="Comma 2 2 3 2 2 7 3 2 3" xfId="37246"/>
    <cellStyle name="Comma 2 2 3 2 2 7 3 3" xfId="28563"/>
    <cellStyle name="Comma 2 2 3 2 2 7 3 3 2" xfId="40462"/>
    <cellStyle name="Comma 2 2 3 2 2 7 3 4" xfId="31898"/>
    <cellStyle name="Comma 2 2 3 2 2 7 3 5" xfId="34038"/>
    <cellStyle name="Comma 2 2 3 2 2 7 4" xfId="8043"/>
    <cellStyle name="Comma 2 2 3 2 2 7 4 2" xfId="42687"/>
    <cellStyle name="Comma 2 2 3 2 2 7 4 3" xfId="36263"/>
    <cellStyle name="Comma 2 2 3 2 2 7 5" xfId="21034"/>
    <cellStyle name="Comma 2 2 3 2 2 7 5 2" xfId="39480"/>
    <cellStyle name="Comma 2 2 3 2 2 7 6" xfId="22107"/>
    <cellStyle name="Comma 2 2 3 2 2 7 7" xfId="23258"/>
    <cellStyle name="Comma 2 2 3 2 2 7 8" xfId="26429"/>
    <cellStyle name="Comma 2 2 3 2 2 7 9" xfId="29762"/>
    <cellStyle name="Comma 2 2 3 2 2 8" xfId="831"/>
    <cellStyle name="Comma 2 2 3 2 2 8 10" xfId="33057"/>
    <cellStyle name="Comma 2 2 3 2 2 8 2" xfId="9602"/>
    <cellStyle name="Comma 2 2 3 2 2 8 2 2" xfId="25402"/>
    <cellStyle name="Comma 2 2 3 2 2 8 2 2 2" xfId="44829"/>
    <cellStyle name="Comma 2 2 3 2 2 8 2 2 3" xfId="38406"/>
    <cellStyle name="Comma 2 2 3 2 2 8 2 3" xfId="27580"/>
    <cellStyle name="Comma 2 2 3 2 2 8 2 3 2" xfId="41622"/>
    <cellStyle name="Comma 2 2 3 2 2 8 2 4" xfId="30915"/>
    <cellStyle name="Comma 2 2 3 2 2 8 2 5" xfId="35198"/>
    <cellStyle name="Comma 2 2 3 2 2 8 3" xfId="15228"/>
    <cellStyle name="Comma 2 2 3 2 2 8 3 2" xfId="24241"/>
    <cellStyle name="Comma 2 2 3 2 2 8 3 2 2" xfId="43670"/>
    <cellStyle name="Comma 2 2 3 2 2 8 3 2 3" xfId="37247"/>
    <cellStyle name="Comma 2 2 3 2 2 8 3 3" xfId="28564"/>
    <cellStyle name="Comma 2 2 3 2 2 8 3 3 2" xfId="40463"/>
    <cellStyle name="Comma 2 2 3 2 2 8 3 4" xfId="31899"/>
    <cellStyle name="Comma 2 2 3 2 2 8 3 5" xfId="34039"/>
    <cellStyle name="Comma 2 2 3 2 2 8 4" xfId="8044"/>
    <cellStyle name="Comma 2 2 3 2 2 8 4 2" xfId="42688"/>
    <cellStyle name="Comma 2 2 3 2 2 8 4 3" xfId="36264"/>
    <cellStyle name="Comma 2 2 3 2 2 8 5" xfId="21035"/>
    <cellStyle name="Comma 2 2 3 2 2 8 5 2" xfId="39481"/>
    <cellStyle name="Comma 2 2 3 2 2 8 6" xfId="22108"/>
    <cellStyle name="Comma 2 2 3 2 2 8 7" xfId="23259"/>
    <cellStyle name="Comma 2 2 3 2 2 8 8" xfId="26430"/>
    <cellStyle name="Comma 2 2 3 2 2 8 9" xfId="29763"/>
    <cellStyle name="Comma 2 2 3 2 2 9" xfId="9111"/>
    <cellStyle name="Comma 2 2 3 2 2 9 2" xfId="25165"/>
    <cellStyle name="Comma 2 2 3 2 2 9 2 2" xfId="44592"/>
    <cellStyle name="Comma 2 2 3 2 2 9 2 3" xfId="38169"/>
    <cellStyle name="Comma 2 2 3 2 2 9 3" xfId="27344"/>
    <cellStyle name="Comma 2 2 3 2 2 9 3 2" xfId="41385"/>
    <cellStyle name="Comma 2 2 3 2 2 9 4" xfId="30679"/>
    <cellStyle name="Comma 2 2 3 2 2 9 5" xfId="34961"/>
    <cellStyle name="Comma 2 2 3 2 3" xfId="237"/>
    <cellStyle name="Comma 2 2 3 2 3 10" xfId="21036"/>
    <cellStyle name="Comma 2 2 3 2 3 10 2" xfId="39238"/>
    <cellStyle name="Comma 2 2 3 2 3 11" xfId="22109"/>
    <cellStyle name="Comma 2 2 3 2 3 12" xfId="23016"/>
    <cellStyle name="Comma 2 2 3 2 3 13" xfId="26431"/>
    <cellStyle name="Comma 2 2 3 2 3 14" xfId="29764"/>
    <cellStyle name="Comma 2 2 3 2 3 15" xfId="32814"/>
    <cellStyle name="Comma 2 2 3 2 3 2" xfId="832"/>
    <cellStyle name="Comma 2 2 3 2 3 2 10" xfId="33058"/>
    <cellStyle name="Comma 2 2 3 2 3 2 2" xfId="9603"/>
    <cellStyle name="Comma 2 2 3 2 3 2 2 2" xfId="25403"/>
    <cellStyle name="Comma 2 2 3 2 3 2 2 2 2" xfId="44830"/>
    <cellStyle name="Comma 2 2 3 2 3 2 2 2 3" xfId="38407"/>
    <cellStyle name="Comma 2 2 3 2 3 2 2 3" xfId="27581"/>
    <cellStyle name="Comma 2 2 3 2 3 2 2 3 2" xfId="41623"/>
    <cellStyle name="Comma 2 2 3 2 3 2 2 4" xfId="30916"/>
    <cellStyle name="Comma 2 2 3 2 3 2 2 5" xfId="35199"/>
    <cellStyle name="Comma 2 2 3 2 3 2 3" xfId="15230"/>
    <cellStyle name="Comma 2 2 3 2 3 2 3 2" xfId="24243"/>
    <cellStyle name="Comma 2 2 3 2 3 2 3 2 2" xfId="43672"/>
    <cellStyle name="Comma 2 2 3 2 3 2 3 2 3" xfId="37249"/>
    <cellStyle name="Comma 2 2 3 2 3 2 3 3" xfId="28566"/>
    <cellStyle name="Comma 2 2 3 2 3 2 3 3 2" xfId="40465"/>
    <cellStyle name="Comma 2 2 3 2 3 2 3 4" xfId="31901"/>
    <cellStyle name="Comma 2 2 3 2 3 2 3 5" xfId="34041"/>
    <cellStyle name="Comma 2 2 3 2 3 2 4" xfId="8046"/>
    <cellStyle name="Comma 2 2 3 2 3 2 4 2" xfId="42689"/>
    <cellStyle name="Comma 2 2 3 2 3 2 4 3" xfId="36265"/>
    <cellStyle name="Comma 2 2 3 2 3 2 5" xfId="21037"/>
    <cellStyle name="Comma 2 2 3 2 3 2 5 2" xfId="39482"/>
    <cellStyle name="Comma 2 2 3 2 3 2 6" xfId="22110"/>
    <cellStyle name="Comma 2 2 3 2 3 2 7" xfId="23260"/>
    <cellStyle name="Comma 2 2 3 2 3 2 8" xfId="26432"/>
    <cellStyle name="Comma 2 2 3 2 3 2 9" xfId="29765"/>
    <cellStyle name="Comma 2 2 3 2 3 3" xfId="833"/>
    <cellStyle name="Comma 2 2 3 2 3 3 10" xfId="33059"/>
    <cellStyle name="Comma 2 2 3 2 3 3 2" xfId="9604"/>
    <cellStyle name="Comma 2 2 3 2 3 3 2 2" xfId="25404"/>
    <cellStyle name="Comma 2 2 3 2 3 3 2 2 2" xfId="44831"/>
    <cellStyle name="Comma 2 2 3 2 3 3 2 2 3" xfId="38408"/>
    <cellStyle name="Comma 2 2 3 2 3 3 2 3" xfId="27582"/>
    <cellStyle name="Comma 2 2 3 2 3 3 2 3 2" xfId="41624"/>
    <cellStyle name="Comma 2 2 3 2 3 3 2 4" xfId="30917"/>
    <cellStyle name="Comma 2 2 3 2 3 3 2 5" xfId="35200"/>
    <cellStyle name="Comma 2 2 3 2 3 3 3" xfId="15231"/>
    <cellStyle name="Comma 2 2 3 2 3 3 3 2" xfId="24244"/>
    <cellStyle name="Comma 2 2 3 2 3 3 3 2 2" xfId="43673"/>
    <cellStyle name="Comma 2 2 3 2 3 3 3 2 3" xfId="37250"/>
    <cellStyle name="Comma 2 2 3 2 3 3 3 3" xfId="28567"/>
    <cellStyle name="Comma 2 2 3 2 3 3 3 3 2" xfId="40466"/>
    <cellStyle name="Comma 2 2 3 2 3 3 3 4" xfId="31902"/>
    <cellStyle name="Comma 2 2 3 2 3 3 3 5" xfId="34042"/>
    <cellStyle name="Comma 2 2 3 2 3 3 4" xfId="8047"/>
    <cellStyle name="Comma 2 2 3 2 3 3 4 2" xfId="42690"/>
    <cellStyle name="Comma 2 2 3 2 3 3 4 3" xfId="36266"/>
    <cellStyle name="Comma 2 2 3 2 3 3 5" xfId="21038"/>
    <cellStyle name="Comma 2 2 3 2 3 3 5 2" xfId="39483"/>
    <cellStyle name="Comma 2 2 3 2 3 3 6" xfId="22111"/>
    <cellStyle name="Comma 2 2 3 2 3 3 7" xfId="23261"/>
    <cellStyle name="Comma 2 2 3 2 3 3 8" xfId="26433"/>
    <cellStyle name="Comma 2 2 3 2 3 3 9" xfId="29766"/>
    <cellStyle name="Comma 2 2 3 2 3 4" xfId="834"/>
    <cellStyle name="Comma 2 2 3 2 3 4 10" xfId="33060"/>
    <cellStyle name="Comma 2 2 3 2 3 4 2" xfId="9605"/>
    <cellStyle name="Comma 2 2 3 2 3 4 2 2" xfId="25405"/>
    <cellStyle name="Comma 2 2 3 2 3 4 2 2 2" xfId="44832"/>
    <cellStyle name="Comma 2 2 3 2 3 4 2 2 3" xfId="38409"/>
    <cellStyle name="Comma 2 2 3 2 3 4 2 3" xfId="27583"/>
    <cellStyle name="Comma 2 2 3 2 3 4 2 3 2" xfId="41625"/>
    <cellStyle name="Comma 2 2 3 2 3 4 2 4" xfId="30918"/>
    <cellStyle name="Comma 2 2 3 2 3 4 2 5" xfId="35201"/>
    <cellStyle name="Comma 2 2 3 2 3 4 3" xfId="15232"/>
    <cellStyle name="Comma 2 2 3 2 3 4 3 2" xfId="24245"/>
    <cellStyle name="Comma 2 2 3 2 3 4 3 2 2" xfId="43674"/>
    <cellStyle name="Comma 2 2 3 2 3 4 3 2 3" xfId="37251"/>
    <cellStyle name="Comma 2 2 3 2 3 4 3 3" xfId="28568"/>
    <cellStyle name="Comma 2 2 3 2 3 4 3 3 2" xfId="40467"/>
    <cellStyle name="Comma 2 2 3 2 3 4 3 4" xfId="31903"/>
    <cellStyle name="Comma 2 2 3 2 3 4 3 5" xfId="34043"/>
    <cellStyle name="Comma 2 2 3 2 3 4 4" xfId="8048"/>
    <cellStyle name="Comma 2 2 3 2 3 4 4 2" xfId="42691"/>
    <cellStyle name="Comma 2 2 3 2 3 4 4 3" xfId="36267"/>
    <cellStyle name="Comma 2 2 3 2 3 4 5" xfId="21039"/>
    <cellStyle name="Comma 2 2 3 2 3 4 5 2" xfId="39484"/>
    <cellStyle name="Comma 2 2 3 2 3 4 6" xfId="22112"/>
    <cellStyle name="Comma 2 2 3 2 3 4 7" xfId="23262"/>
    <cellStyle name="Comma 2 2 3 2 3 4 8" xfId="26434"/>
    <cellStyle name="Comma 2 2 3 2 3 4 9" xfId="29767"/>
    <cellStyle name="Comma 2 2 3 2 3 5" xfId="835"/>
    <cellStyle name="Comma 2 2 3 2 3 5 10" xfId="33061"/>
    <cellStyle name="Comma 2 2 3 2 3 5 2" xfId="9606"/>
    <cellStyle name="Comma 2 2 3 2 3 5 2 2" xfId="25406"/>
    <cellStyle name="Comma 2 2 3 2 3 5 2 2 2" xfId="44833"/>
    <cellStyle name="Comma 2 2 3 2 3 5 2 2 3" xfId="38410"/>
    <cellStyle name="Comma 2 2 3 2 3 5 2 3" xfId="27584"/>
    <cellStyle name="Comma 2 2 3 2 3 5 2 3 2" xfId="41626"/>
    <cellStyle name="Comma 2 2 3 2 3 5 2 4" xfId="30919"/>
    <cellStyle name="Comma 2 2 3 2 3 5 2 5" xfId="35202"/>
    <cellStyle name="Comma 2 2 3 2 3 5 3" xfId="15233"/>
    <cellStyle name="Comma 2 2 3 2 3 5 3 2" xfId="24246"/>
    <cellStyle name="Comma 2 2 3 2 3 5 3 2 2" xfId="43675"/>
    <cellStyle name="Comma 2 2 3 2 3 5 3 2 3" xfId="37252"/>
    <cellStyle name="Comma 2 2 3 2 3 5 3 3" xfId="28569"/>
    <cellStyle name="Comma 2 2 3 2 3 5 3 3 2" xfId="40468"/>
    <cellStyle name="Comma 2 2 3 2 3 5 3 4" xfId="31904"/>
    <cellStyle name="Comma 2 2 3 2 3 5 3 5" xfId="34044"/>
    <cellStyle name="Comma 2 2 3 2 3 5 4" xfId="8049"/>
    <cellStyle name="Comma 2 2 3 2 3 5 4 2" xfId="42692"/>
    <cellStyle name="Comma 2 2 3 2 3 5 4 3" xfId="36268"/>
    <cellStyle name="Comma 2 2 3 2 3 5 5" xfId="21040"/>
    <cellStyle name="Comma 2 2 3 2 3 5 5 2" xfId="39485"/>
    <cellStyle name="Comma 2 2 3 2 3 5 6" xfId="22113"/>
    <cellStyle name="Comma 2 2 3 2 3 5 7" xfId="23263"/>
    <cellStyle name="Comma 2 2 3 2 3 5 8" xfId="26435"/>
    <cellStyle name="Comma 2 2 3 2 3 5 9" xfId="29768"/>
    <cellStyle name="Comma 2 2 3 2 3 6" xfId="836"/>
    <cellStyle name="Comma 2 2 3 2 3 6 10" xfId="33062"/>
    <cellStyle name="Comma 2 2 3 2 3 6 2" xfId="9607"/>
    <cellStyle name="Comma 2 2 3 2 3 6 2 2" xfId="25407"/>
    <cellStyle name="Comma 2 2 3 2 3 6 2 2 2" xfId="44834"/>
    <cellStyle name="Comma 2 2 3 2 3 6 2 2 3" xfId="38411"/>
    <cellStyle name="Comma 2 2 3 2 3 6 2 3" xfId="27585"/>
    <cellStyle name="Comma 2 2 3 2 3 6 2 3 2" xfId="41627"/>
    <cellStyle name="Comma 2 2 3 2 3 6 2 4" xfId="30920"/>
    <cellStyle name="Comma 2 2 3 2 3 6 2 5" xfId="35203"/>
    <cellStyle name="Comma 2 2 3 2 3 6 3" xfId="15234"/>
    <cellStyle name="Comma 2 2 3 2 3 6 3 2" xfId="24247"/>
    <cellStyle name="Comma 2 2 3 2 3 6 3 2 2" xfId="43676"/>
    <cellStyle name="Comma 2 2 3 2 3 6 3 2 3" xfId="37253"/>
    <cellStyle name="Comma 2 2 3 2 3 6 3 3" xfId="28570"/>
    <cellStyle name="Comma 2 2 3 2 3 6 3 3 2" xfId="40469"/>
    <cellStyle name="Comma 2 2 3 2 3 6 3 4" xfId="31905"/>
    <cellStyle name="Comma 2 2 3 2 3 6 3 5" xfId="34045"/>
    <cellStyle name="Comma 2 2 3 2 3 6 4" xfId="8050"/>
    <cellStyle name="Comma 2 2 3 2 3 6 4 2" xfId="42693"/>
    <cellStyle name="Comma 2 2 3 2 3 6 4 3" xfId="36269"/>
    <cellStyle name="Comma 2 2 3 2 3 6 5" xfId="21041"/>
    <cellStyle name="Comma 2 2 3 2 3 6 5 2" xfId="39486"/>
    <cellStyle name="Comma 2 2 3 2 3 6 6" xfId="22114"/>
    <cellStyle name="Comma 2 2 3 2 3 6 7" xfId="23264"/>
    <cellStyle name="Comma 2 2 3 2 3 6 8" xfId="26436"/>
    <cellStyle name="Comma 2 2 3 2 3 6 9" xfId="29769"/>
    <cellStyle name="Comma 2 2 3 2 3 7" xfId="9100"/>
    <cellStyle name="Comma 2 2 3 2 3 7 2" xfId="25155"/>
    <cellStyle name="Comma 2 2 3 2 3 7 2 2" xfId="44582"/>
    <cellStyle name="Comma 2 2 3 2 3 7 2 3" xfId="38159"/>
    <cellStyle name="Comma 2 2 3 2 3 7 3" xfId="27334"/>
    <cellStyle name="Comma 2 2 3 2 3 7 3 2" xfId="41375"/>
    <cellStyle name="Comma 2 2 3 2 3 7 4" xfId="30669"/>
    <cellStyle name="Comma 2 2 3 2 3 7 5" xfId="34951"/>
    <cellStyle name="Comma 2 2 3 2 3 8" xfId="15229"/>
    <cellStyle name="Comma 2 2 3 2 3 8 2" xfId="24242"/>
    <cellStyle name="Comma 2 2 3 2 3 8 2 2" xfId="43671"/>
    <cellStyle name="Comma 2 2 3 2 3 8 2 3" xfId="37248"/>
    <cellStyle name="Comma 2 2 3 2 3 8 3" xfId="28565"/>
    <cellStyle name="Comma 2 2 3 2 3 8 3 2" xfId="40464"/>
    <cellStyle name="Comma 2 2 3 2 3 8 4" xfId="31900"/>
    <cellStyle name="Comma 2 2 3 2 3 8 5" xfId="34040"/>
    <cellStyle name="Comma 2 2 3 2 3 9" xfId="8045"/>
    <cellStyle name="Comma 2 2 3 2 3 9 2" xfId="42445"/>
    <cellStyle name="Comma 2 2 3 2 3 9 3" xfId="36021"/>
    <cellStyle name="Comma 2 2 3 2 4" xfId="837"/>
    <cellStyle name="Comma 2 2 3 2 4 10" xfId="22115"/>
    <cellStyle name="Comma 2 2 3 2 4 11" xfId="23265"/>
    <cellStyle name="Comma 2 2 3 2 4 12" xfId="26437"/>
    <cellStyle name="Comma 2 2 3 2 4 13" xfId="29770"/>
    <cellStyle name="Comma 2 2 3 2 4 14" xfId="33063"/>
    <cellStyle name="Comma 2 2 3 2 4 2" xfId="838"/>
    <cellStyle name="Comma 2 2 3 2 4 2 10" xfId="33064"/>
    <cellStyle name="Comma 2 2 3 2 4 2 2" xfId="9609"/>
    <cellStyle name="Comma 2 2 3 2 4 2 2 2" xfId="25409"/>
    <cellStyle name="Comma 2 2 3 2 4 2 2 2 2" xfId="44836"/>
    <cellStyle name="Comma 2 2 3 2 4 2 2 2 3" xfId="38413"/>
    <cellStyle name="Comma 2 2 3 2 4 2 2 3" xfId="27587"/>
    <cellStyle name="Comma 2 2 3 2 4 2 2 3 2" xfId="41629"/>
    <cellStyle name="Comma 2 2 3 2 4 2 2 4" xfId="30922"/>
    <cellStyle name="Comma 2 2 3 2 4 2 2 5" xfId="35205"/>
    <cellStyle name="Comma 2 2 3 2 4 2 3" xfId="15236"/>
    <cellStyle name="Comma 2 2 3 2 4 2 3 2" xfId="24249"/>
    <cellStyle name="Comma 2 2 3 2 4 2 3 2 2" xfId="43678"/>
    <cellStyle name="Comma 2 2 3 2 4 2 3 2 3" xfId="37255"/>
    <cellStyle name="Comma 2 2 3 2 4 2 3 3" xfId="28572"/>
    <cellStyle name="Comma 2 2 3 2 4 2 3 3 2" xfId="40471"/>
    <cellStyle name="Comma 2 2 3 2 4 2 3 4" xfId="31907"/>
    <cellStyle name="Comma 2 2 3 2 4 2 3 5" xfId="34047"/>
    <cellStyle name="Comma 2 2 3 2 4 2 4" xfId="8052"/>
    <cellStyle name="Comma 2 2 3 2 4 2 4 2" xfId="42695"/>
    <cellStyle name="Comma 2 2 3 2 4 2 4 3" xfId="36271"/>
    <cellStyle name="Comma 2 2 3 2 4 2 5" xfId="21043"/>
    <cellStyle name="Comma 2 2 3 2 4 2 5 2" xfId="39488"/>
    <cellStyle name="Comma 2 2 3 2 4 2 6" xfId="22116"/>
    <cellStyle name="Comma 2 2 3 2 4 2 7" xfId="23266"/>
    <cellStyle name="Comma 2 2 3 2 4 2 8" xfId="26438"/>
    <cellStyle name="Comma 2 2 3 2 4 2 9" xfId="29771"/>
    <cellStyle name="Comma 2 2 3 2 4 3" xfId="839"/>
    <cellStyle name="Comma 2 2 3 2 4 3 10" xfId="33065"/>
    <cellStyle name="Comma 2 2 3 2 4 3 2" xfId="9610"/>
    <cellStyle name="Comma 2 2 3 2 4 3 2 2" xfId="25410"/>
    <cellStyle name="Comma 2 2 3 2 4 3 2 2 2" xfId="44837"/>
    <cellStyle name="Comma 2 2 3 2 4 3 2 2 3" xfId="38414"/>
    <cellStyle name="Comma 2 2 3 2 4 3 2 3" xfId="27588"/>
    <cellStyle name="Comma 2 2 3 2 4 3 2 3 2" xfId="41630"/>
    <cellStyle name="Comma 2 2 3 2 4 3 2 4" xfId="30923"/>
    <cellStyle name="Comma 2 2 3 2 4 3 2 5" xfId="35206"/>
    <cellStyle name="Comma 2 2 3 2 4 3 3" xfId="15237"/>
    <cellStyle name="Comma 2 2 3 2 4 3 3 2" xfId="24250"/>
    <cellStyle name="Comma 2 2 3 2 4 3 3 2 2" xfId="43679"/>
    <cellStyle name="Comma 2 2 3 2 4 3 3 2 3" xfId="37256"/>
    <cellStyle name="Comma 2 2 3 2 4 3 3 3" xfId="28573"/>
    <cellStyle name="Comma 2 2 3 2 4 3 3 3 2" xfId="40472"/>
    <cellStyle name="Comma 2 2 3 2 4 3 3 4" xfId="31908"/>
    <cellStyle name="Comma 2 2 3 2 4 3 3 5" xfId="34048"/>
    <cellStyle name="Comma 2 2 3 2 4 3 4" xfId="8053"/>
    <cellStyle name="Comma 2 2 3 2 4 3 4 2" xfId="42696"/>
    <cellStyle name="Comma 2 2 3 2 4 3 4 3" xfId="36272"/>
    <cellStyle name="Comma 2 2 3 2 4 3 5" xfId="21044"/>
    <cellStyle name="Comma 2 2 3 2 4 3 5 2" xfId="39489"/>
    <cellStyle name="Comma 2 2 3 2 4 3 6" xfId="22117"/>
    <cellStyle name="Comma 2 2 3 2 4 3 7" xfId="23267"/>
    <cellStyle name="Comma 2 2 3 2 4 3 8" xfId="26439"/>
    <cellStyle name="Comma 2 2 3 2 4 3 9" xfId="29772"/>
    <cellStyle name="Comma 2 2 3 2 4 4" xfId="840"/>
    <cellStyle name="Comma 2 2 3 2 4 4 10" xfId="33066"/>
    <cellStyle name="Comma 2 2 3 2 4 4 2" xfId="9611"/>
    <cellStyle name="Comma 2 2 3 2 4 4 2 2" xfId="25411"/>
    <cellStyle name="Comma 2 2 3 2 4 4 2 2 2" xfId="44838"/>
    <cellStyle name="Comma 2 2 3 2 4 4 2 2 3" xfId="38415"/>
    <cellStyle name="Comma 2 2 3 2 4 4 2 3" xfId="27589"/>
    <cellStyle name="Comma 2 2 3 2 4 4 2 3 2" xfId="41631"/>
    <cellStyle name="Comma 2 2 3 2 4 4 2 4" xfId="30924"/>
    <cellStyle name="Comma 2 2 3 2 4 4 2 5" xfId="35207"/>
    <cellStyle name="Comma 2 2 3 2 4 4 3" xfId="15238"/>
    <cellStyle name="Comma 2 2 3 2 4 4 3 2" xfId="24251"/>
    <cellStyle name="Comma 2 2 3 2 4 4 3 2 2" xfId="43680"/>
    <cellStyle name="Comma 2 2 3 2 4 4 3 2 3" xfId="37257"/>
    <cellStyle name="Comma 2 2 3 2 4 4 3 3" xfId="28574"/>
    <cellStyle name="Comma 2 2 3 2 4 4 3 3 2" xfId="40473"/>
    <cellStyle name="Comma 2 2 3 2 4 4 3 4" xfId="31909"/>
    <cellStyle name="Comma 2 2 3 2 4 4 3 5" xfId="34049"/>
    <cellStyle name="Comma 2 2 3 2 4 4 4" xfId="8054"/>
    <cellStyle name="Comma 2 2 3 2 4 4 4 2" xfId="42697"/>
    <cellStyle name="Comma 2 2 3 2 4 4 4 3" xfId="36273"/>
    <cellStyle name="Comma 2 2 3 2 4 4 5" xfId="21045"/>
    <cellStyle name="Comma 2 2 3 2 4 4 5 2" xfId="39490"/>
    <cellStyle name="Comma 2 2 3 2 4 4 6" xfId="22118"/>
    <cellStyle name="Comma 2 2 3 2 4 4 7" xfId="23268"/>
    <cellStyle name="Comma 2 2 3 2 4 4 8" xfId="26440"/>
    <cellStyle name="Comma 2 2 3 2 4 4 9" xfId="29773"/>
    <cellStyle name="Comma 2 2 3 2 4 5" xfId="841"/>
    <cellStyle name="Comma 2 2 3 2 4 5 10" xfId="33067"/>
    <cellStyle name="Comma 2 2 3 2 4 5 2" xfId="9612"/>
    <cellStyle name="Comma 2 2 3 2 4 5 2 2" xfId="25412"/>
    <cellStyle name="Comma 2 2 3 2 4 5 2 2 2" xfId="44839"/>
    <cellStyle name="Comma 2 2 3 2 4 5 2 2 3" xfId="38416"/>
    <cellStyle name="Comma 2 2 3 2 4 5 2 3" xfId="27590"/>
    <cellStyle name="Comma 2 2 3 2 4 5 2 3 2" xfId="41632"/>
    <cellStyle name="Comma 2 2 3 2 4 5 2 4" xfId="30925"/>
    <cellStyle name="Comma 2 2 3 2 4 5 2 5" xfId="35208"/>
    <cellStyle name="Comma 2 2 3 2 4 5 3" xfId="15239"/>
    <cellStyle name="Comma 2 2 3 2 4 5 3 2" xfId="24252"/>
    <cellStyle name="Comma 2 2 3 2 4 5 3 2 2" xfId="43681"/>
    <cellStyle name="Comma 2 2 3 2 4 5 3 2 3" xfId="37258"/>
    <cellStyle name="Comma 2 2 3 2 4 5 3 3" xfId="28575"/>
    <cellStyle name="Comma 2 2 3 2 4 5 3 3 2" xfId="40474"/>
    <cellStyle name="Comma 2 2 3 2 4 5 3 4" xfId="31910"/>
    <cellStyle name="Comma 2 2 3 2 4 5 3 5" xfId="34050"/>
    <cellStyle name="Comma 2 2 3 2 4 5 4" xfId="8055"/>
    <cellStyle name="Comma 2 2 3 2 4 5 4 2" xfId="42698"/>
    <cellStyle name="Comma 2 2 3 2 4 5 4 3" xfId="36274"/>
    <cellStyle name="Comma 2 2 3 2 4 5 5" xfId="21046"/>
    <cellStyle name="Comma 2 2 3 2 4 5 5 2" xfId="39491"/>
    <cellStyle name="Comma 2 2 3 2 4 5 6" xfId="22119"/>
    <cellStyle name="Comma 2 2 3 2 4 5 7" xfId="23269"/>
    <cellStyle name="Comma 2 2 3 2 4 5 8" xfId="26441"/>
    <cellStyle name="Comma 2 2 3 2 4 5 9" xfId="29774"/>
    <cellStyle name="Comma 2 2 3 2 4 6" xfId="9608"/>
    <cellStyle name="Comma 2 2 3 2 4 6 2" xfId="25408"/>
    <cellStyle name="Comma 2 2 3 2 4 6 2 2" xfId="44835"/>
    <cellStyle name="Comma 2 2 3 2 4 6 2 3" xfId="38412"/>
    <cellStyle name="Comma 2 2 3 2 4 6 3" xfId="27586"/>
    <cellStyle name="Comma 2 2 3 2 4 6 3 2" xfId="41628"/>
    <cellStyle name="Comma 2 2 3 2 4 6 4" xfId="30921"/>
    <cellStyle name="Comma 2 2 3 2 4 6 5" xfId="35204"/>
    <cellStyle name="Comma 2 2 3 2 4 7" xfId="15235"/>
    <cellStyle name="Comma 2 2 3 2 4 7 2" xfId="24248"/>
    <cellStyle name="Comma 2 2 3 2 4 7 2 2" xfId="43677"/>
    <cellStyle name="Comma 2 2 3 2 4 7 2 3" xfId="37254"/>
    <cellStyle name="Comma 2 2 3 2 4 7 3" xfId="28571"/>
    <cellStyle name="Comma 2 2 3 2 4 7 3 2" xfId="40470"/>
    <cellStyle name="Comma 2 2 3 2 4 7 4" xfId="31906"/>
    <cellStyle name="Comma 2 2 3 2 4 7 5" xfId="34046"/>
    <cellStyle name="Comma 2 2 3 2 4 8" xfId="8051"/>
    <cellStyle name="Comma 2 2 3 2 4 8 2" xfId="42694"/>
    <cellStyle name="Comma 2 2 3 2 4 8 3" xfId="36270"/>
    <cellStyle name="Comma 2 2 3 2 4 9" xfId="21042"/>
    <cellStyle name="Comma 2 2 3 2 4 9 2" xfId="39487"/>
    <cellStyle name="Comma 2 2 3 2 5" xfId="842"/>
    <cellStyle name="Comma 2 2 3 2 5 10" xfId="22120"/>
    <cellStyle name="Comma 2 2 3 2 5 11" xfId="23270"/>
    <cellStyle name="Comma 2 2 3 2 5 12" xfId="26442"/>
    <cellStyle name="Comma 2 2 3 2 5 13" xfId="29775"/>
    <cellStyle name="Comma 2 2 3 2 5 14" xfId="33068"/>
    <cellStyle name="Comma 2 2 3 2 5 2" xfId="843"/>
    <cellStyle name="Comma 2 2 3 2 5 2 10" xfId="33069"/>
    <cellStyle name="Comma 2 2 3 2 5 2 2" xfId="9614"/>
    <cellStyle name="Comma 2 2 3 2 5 2 2 2" xfId="25414"/>
    <cellStyle name="Comma 2 2 3 2 5 2 2 2 2" xfId="44841"/>
    <cellStyle name="Comma 2 2 3 2 5 2 2 2 3" xfId="38418"/>
    <cellStyle name="Comma 2 2 3 2 5 2 2 3" xfId="27592"/>
    <cellStyle name="Comma 2 2 3 2 5 2 2 3 2" xfId="41634"/>
    <cellStyle name="Comma 2 2 3 2 5 2 2 4" xfId="30927"/>
    <cellStyle name="Comma 2 2 3 2 5 2 2 5" xfId="35210"/>
    <cellStyle name="Comma 2 2 3 2 5 2 3" xfId="15241"/>
    <cellStyle name="Comma 2 2 3 2 5 2 3 2" xfId="24254"/>
    <cellStyle name="Comma 2 2 3 2 5 2 3 2 2" xfId="43683"/>
    <cellStyle name="Comma 2 2 3 2 5 2 3 2 3" xfId="37260"/>
    <cellStyle name="Comma 2 2 3 2 5 2 3 3" xfId="28577"/>
    <cellStyle name="Comma 2 2 3 2 5 2 3 3 2" xfId="40476"/>
    <cellStyle name="Comma 2 2 3 2 5 2 3 4" xfId="31912"/>
    <cellStyle name="Comma 2 2 3 2 5 2 3 5" xfId="34052"/>
    <cellStyle name="Comma 2 2 3 2 5 2 4" xfId="8057"/>
    <cellStyle name="Comma 2 2 3 2 5 2 4 2" xfId="42700"/>
    <cellStyle name="Comma 2 2 3 2 5 2 4 3" xfId="36276"/>
    <cellStyle name="Comma 2 2 3 2 5 2 5" xfId="21048"/>
    <cellStyle name="Comma 2 2 3 2 5 2 5 2" xfId="39493"/>
    <cellStyle name="Comma 2 2 3 2 5 2 6" xfId="22121"/>
    <cellStyle name="Comma 2 2 3 2 5 2 7" xfId="23271"/>
    <cellStyle name="Comma 2 2 3 2 5 2 8" xfId="26443"/>
    <cellStyle name="Comma 2 2 3 2 5 2 9" xfId="29776"/>
    <cellStyle name="Comma 2 2 3 2 5 3" xfId="844"/>
    <cellStyle name="Comma 2 2 3 2 5 3 10" xfId="33070"/>
    <cellStyle name="Comma 2 2 3 2 5 3 2" xfId="9615"/>
    <cellStyle name="Comma 2 2 3 2 5 3 2 2" xfId="25415"/>
    <cellStyle name="Comma 2 2 3 2 5 3 2 2 2" xfId="44842"/>
    <cellStyle name="Comma 2 2 3 2 5 3 2 2 3" xfId="38419"/>
    <cellStyle name="Comma 2 2 3 2 5 3 2 3" xfId="27593"/>
    <cellStyle name="Comma 2 2 3 2 5 3 2 3 2" xfId="41635"/>
    <cellStyle name="Comma 2 2 3 2 5 3 2 4" xfId="30928"/>
    <cellStyle name="Comma 2 2 3 2 5 3 2 5" xfId="35211"/>
    <cellStyle name="Comma 2 2 3 2 5 3 3" xfId="15242"/>
    <cellStyle name="Comma 2 2 3 2 5 3 3 2" xfId="24255"/>
    <cellStyle name="Comma 2 2 3 2 5 3 3 2 2" xfId="43684"/>
    <cellStyle name="Comma 2 2 3 2 5 3 3 2 3" xfId="37261"/>
    <cellStyle name="Comma 2 2 3 2 5 3 3 3" xfId="28578"/>
    <cellStyle name="Comma 2 2 3 2 5 3 3 3 2" xfId="40477"/>
    <cellStyle name="Comma 2 2 3 2 5 3 3 4" xfId="31913"/>
    <cellStyle name="Comma 2 2 3 2 5 3 3 5" xfId="34053"/>
    <cellStyle name="Comma 2 2 3 2 5 3 4" xfId="8058"/>
    <cellStyle name="Comma 2 2 3 2 5 3 4 2" xfId="42701"/>
    <cellStyle name="Comma 2 2 3 2 5 3 4 3" xfId="36277"/>
    <cellStyle name="Comma 2 2 3 2 5 3 5" xfId="21049"/>
    <cellStyle name="Comma 2 2 3 2 5 3 5 2" xfId="39494"/>
    <cellStyle name="Comma 2 2 3 2 5 3 6" xfId="22122"/>
    <cellStyle name="Comma 2 2 3 2 5 3 7" xfId="23272"/>
    <cellStyle name="Comma 2 2 3 2 5 3 8" xfId="26444"/>
    <cellStyle name="Comma 2 2 3 2 5 3 9" xfId="29777"/>
    <cellStyle name="Comma 2 2 3 2 5 4" xfId="845"/>
    <cellStyle name="Comma 2 2 3 2 5 4 10" xfId="33071"/>
    <cellStyle name="Comma 2 2 3 2 5 4 2" xfId="9616"/>
    <cellStyle name="Comma 2 2 3 2 5 4 2 2" xfId="25416"/>
    <cellStyle name="Comma 2 2 3 2 5 4 2 2 2" xfId="44843"/>
    <cellStyle name="Comma 2 2 3 2 5 4 2 2 3" xfId="38420"/>
    <cellStyle name="Comma 2 2 3 2 5 4 2 3" xfId="27594"/>
    <cellStyle name="Comma 2 2 3 2 5 4 2 3 2" xfId="41636"/>
    <cellStyle name="Comma 2 2 3 2 5 4 2 4" xfId="30929"/>
    <cellStyle name="Comma 2 2 3 2 5 4 2 5" xfId="35212"/>
    <cellStyle name="Comma 2 2 3 2 5 4 3" xfId="15243"/>
    <cellStyle name="Comma 2 2 3 2 5 4 3 2" xfId="24256"/>
    <cellStyle name="Comma 2 2 3 2 5 4 3 2 2" xfId="43685"/>
    <cellStyle name="Comma 2 2 3 2 5 4 3 2 3" xfId="37262"/>
    <cellStyle name="Comma 2 2 3 2 5 4 3 3" xfId="28579"/>
    <cellStyle name="Comma 2 2 3 2 5 4 3 3 2" xfId="40478"/>
    <cellStyle name="Comma 2 2 3 2 5 4 3 4" xfId="31914"/>
    <cellStyle name="Comma 2 2 3 2 5 4 3 5" xfId="34054"/>
    <cellStyle name="Comma 2 2 3 2 5 4 4" xfId="8059"/>
    <cellStyle name="Comma 2 2 3 2 5 4 4 2" xfId="42702"/>
    <cellStyle name="Comma 2 2 3 2 5 4 4 3" xfId="36278"/>
    <cellStyle name="Comma 2 2 3 2 5 4 5" xfId="21050"/>
    <cellStyle name="Comma 2 2 3 2 5 4 5 2" xfId="39495"/>
    <cellStyle name="Comma 2 2 3 2 5 4 6" xfId="22123"/>
    <cellStyle name="Comma 2 2 3 2 5 4 7" xfId="23273"/>
    <cellStyle name="Comma 2 2 3 2 5 4 8" xfId="26445"/>
    <cellStyle name="Comma 2 2 3 2 5 4 9" xfId="29778"/>
    <cellStyle name="Comma 2 2 3 2 5 5" xfId="846"/>
    <cellStyle name="Comma 2 2 3 2 5 5 10" xfId="33072"/>
    <cellStyle name="Comma 2 2 3 2 5 5 2" xfId="9617"/>
    <cellStyle name="Comma 2 2 3 2 5 5 2 2" xfId="25417"/>
    <cellStyle name="Comma 2 2 3 2 5 5 2 2 2" xfId="44844"/>
    <cellStyle name="Comma 2 2 3 2 5 5 2 2 3" xfId="38421"/>
    <cellStyle name="Comma 2 2 3 2 5 5 2 3" xfId="27595"/>
    <cellStyle name="Comma 2 2 3 2 5 5 2 3 2" xfId="41637"/>
    <cellStyle name="Comma 2 2 3 2 5 5 2 4" xfId="30930"/>
    <cellStyle name="Comma 2 2 3 2 5 5 2 5" xfId="35213"/>
    <cellStyle name="Comma 2 2 3 2 5 5 3" xfId="15244"/>
    <cellStyle name="Comma 2 2 3 2 5 5 3 2" xfId="24257"/>
    <cellStyle name="Comma 2 2 3 2 5 5 3 2 2" xfId="43686"/>
    <cellStyle name="Comma 2 2 3 2 5 5 3 2 3" xfId="37263"/>
    <cellStyle name="Comma 2 2 3 2 5 5 3 3" xfId="28580"/>
    <cellStyle name="Comma 2 2 3 2 5 5 3 3 2" xfId="40479"/>
    <cellStyle name="Comma 2 2 3 2 5 5 3 4" xfId="31915"/>
    <cellStyle name="Comma 2 2 3 2 5 5 3 5" xfId="34055"/>
    <cellStyle name="Comma 2 2 3 2 5 5 4" xfId="8060"/>
    <cellStyle name="Comma 2 2 3 2 5 5 4 2" xfId="42703"/>
    <cellStyle name="Comma 2 2 3 2 5 5 4 3" xfId="36279"/>
    <cellStyle name="Comma 2 2 3 2 5 5 5" xfId="21051"/>
    <cellStyle name="Comma 2 2 3 2 5 5 5 2" xfId="39496"/>
    <cellStyle name="Comma 2 2 3 2 5 5 6" xfId="22124"/>
    <cellStyle name="Comma 2 2 3 2 5 5 7" xfId="23274"/>
    <cellStyle name="Comma 2 2 3 2 5 5 8" xfId="26446"/>
    <cellStyle name="Comma 2 2 3 2 5 5 9" xfId="29779"/>
    <cellStyle name="Comma 2 2 3 2 5 6" xfId="9613"/>
    <cellStyle name="Comma 2 2 3 2 5 6 2" xfId="25413"/>
    <cellStyle name="Comma 2 2 3 2 5 6 2 2" xfId="44840"/>
    <cellStyle name="Comma 2 2 3 2 5 6 2 3" xfId="38417"/>
    <cellStyle name="Comma 2 2 3 2 5 6 3" xfId="27591"/>
    <cellStyle name="Comma 2 2 3 2 5 6 3 2" xfId="41633"/>
    <cellStyle name="Comma 2 2 3 2 5 6 4" xfId="30926"/>
    <cellStyle name="Comma 2 2 3 2 5 6 5" xfId="35209"/>
    <cellStyle name="Comma 2 2 3 2 5 7" xfId="15240"/>
    <cellStyle name="Comma 2 2 3 2 5 7 2" xfId="24253"/>
    <cellStyle name="Comma 2 2 3 2 5 7 2 2" xfId="43682"/>
    <cellStyle name="Comma 2 2 3 2 5 7 2 3" xfId="37259"/>
    <cellStyle name="Comma 2 2 3 2 5 7 3" xfId="28576"/>
    <cellStyle name="Comma 2 2 3 2 5 7 3 2" xfId="40475"/>
    <cellStyle name="Comma 2 2 3 2 5 7 4" xfId="31911"/>
    <cellStyle name="Comma 2 2 3 2 5 7 5" xfId="34051"/>
    <cellStyle name="Comma 2 2 3 2 5 8" xfId="8056"/>
    <cellStyle name="Comma 2 2 3 2 5 8 2" xfId="42699"/>
    <cellStyle name="Comma 2 2 3 2 5 8 3" xfId="36275"/>
    <cellStyle name="Comma 2 2 3 2 5 9" xfId="21047"/>
    <cellStyle name="Comma 2 2 3 2 5 9 2" xfId="39492"/>
    <cellStyle name="Comma 2 2 3 2 6" xfId="847"/>
    <cellStyle name="Comma 2 2 3 2 6 10" xfId="33073"/>
    <cellStyle name="Comma 2 2 3 2 6 2" xfId="9618"/>
    <cellStyle name="Comma 2 2 3 2 6 2 2" xfId="25418"/>
    <cellStyle name="Comma 2 2 3 2 6 2 2 2" xfId="44845"/>
    <cellStyle name="Comma 2 2 3 2 6 2 2 3" xfId="38422"/>
    <cellStyle name="Comma 2 2 3 2 6 2 3" xfId="27596"/>
    <cellStyle name="Comma 2 2 3 2 6 2 3 2" xfId="41638"/>
    <cellStyle name="Comma 2 2 3 2 6 2 4" xfId="30931"/>
    <cellStyle name="Comma 2 2 3 2 6 2 5" xfId="35214"/>
    <cellStyle name="Comma 2 2 3 2 6 3" xfId="15245"/>
    <cellStyle name="Comma 2 2 3 2 6 3 2" xfId="24258"/>
    <cellStyle name="Comma 2 2 3 2 6 3 2 2" xfId="43687"/>
    <cellStyle name="Comma 2 2 3 2 6 3 2 3" xfId="37264"/>
    <cellStyle name="Comma 2 2 3 2 6 3 3" xfId="28581"/>
    <cellStyle name="Comma 2 2 3 2 6 3 3 2" xfId="40480"/>
    <cellStyle name="Comma 2 2 3 2 6 3 4" xfId="31916"/>
    <cellStyle name="Comma 2 2 3 2 6 3 5" xfId="34056"/>
    <cellStyle name="Comma 2 2 3 2 6 4" xfId="8061"/>
    <cellStyle name="Comma 2 2 3 2 6 4 2" xfId="42704"/>
    <cellStyle name="Comma 2 2 3 2 6 4 3" xfId="36280"/>
    <cellStyle name="Comma 2 2 3 2 6 5" xfId="21052"/>
    <cellStyle name="Comma 2 2 3 2 6 5 2" xfId="39497"/>
    <cellStyle name="Comma 2 2 3 2 6 6" xfId="22125"/>
    <cellStyle name="Comma 2 2 3 2 6 7" xfId="23275"/>
    <cellStyle name="Comma 2 2 3 2 6 8" xfId="26447"/>
    <cellStyle name="Comma 2 2 3 2 6 9" xfId="29780"/>
    <cellStyle name="Comma 2 2 3 2 7" xfId="848"/>
    <cellStyle name="Comma 2 2 3 2 7 10" xfId="33074"/>
    <cellStyle name="Comma 2 2 3 2 7 2" xfId="9619"/>
    <cellStyle name="Comma 2 2 3 2 7 2 2" xfId="25419"/>
    <cellStyle name="Comma 2 2 3 2 7 2 2 2" xfId="44846"/>
    <cellStyle name="Comma 2 2 3 2 7 2 2 3" xfId="38423"/>
    <cellStyle name="Comma 2 2 3 2 7 2 3" xfId="27597"/>
    <cellStyle name="Comma 2 2 3 2 7 2 3 2" xfId="41639"/>
    <cellStyle name="Comma 2 2 3 2 7 2 4" xfId="30932"/>
    <cellStyle name="Comma 2 2 3 2 7 2 5" xfId="35215"/>
    <cellStyle name="Comma 2 2 3 2 7 3" xfId="15246"/>
    <cellStyle name="Comma 2 2 3 2 7 3 2" xfId="24259"/>
    <cellStyle name="Comma 2 2 3 2 7 3 2 2" xfId="43688"/>
    <cellStyle name="Comma 2 2 3 2 7 3 2 3" xfId="37265"/>
    <cellStyle name="Comma 2 2 3 2 7 3 3" xfId="28582"/>
    <cellStyle name="Comma 2 2 3 2 7 3 3 2" xfId="40481"/>
    <cellStyle name="Comma 2 2 3 2 7 3 4" xfId="31917"/>
    <cellStyle name="Comma 2 2 3 2 7 3 5" xfId="34057"/>
    <cellStyle name="Comma 2 2 3 2 7 4" xfId="8062"/>
    <cellStyle name="Comma 2 2 3 2 7 4 2" xfId="42705"/>
    <cellStyle name="Comma 2 2 3 2 7 4 3" xfId="36281"/>
    <cellStyle name="Comma 2 2 3 2 7 5" xfId="21053"/>
    <cellStyle name="Comma 2 2 3 2 7 5 2" xfId="39498"/>
    <cellStyle name="Comma 2 2 3 2 7 6" xfId="22126"/>
    <cellStyle name="Comma 2 2 3 2 7 7" xfId="23276"/>
    <cellStyle name="Comma 2 2 3 2 7 8" xfId="26448"/>
    <cellStyle name="Comma 2 2 3 2 7 9" xfId="29781"/>
    <cellStyle name="Comma 2 2 3 2 8" xfId="849"/>
    <cellStyle name="Comma 2 2 3 2 8 10" xfId="33075"/>
    <cellStyle name="Comma 2 2 3 2 8 2" xfId="9620"/>
    <cellStyle name="Comma 2 2 3 2 8 2 2" xfId="25420"/>
    <cellStyle name="Comma 2 2 3 2 8 2 2 2" xfId="44847"/>
    <cellStyle name="Comma 2 2 3 2 8 2 2 3" xfId="38424"/>
    <cellStyle name="Comma 2 2 3 2 8 2 3" xfId="27598"/>
    <cellStyle name="Comma 2 2 3 2 8 2 3 2" xfId="41640"/>
    <cellStyle name="Comma 2 2 3 2 8 2 4" xfId="30933"/>
    <cellStyle name="Comma 2 2 3 2 8 2 5" xfId="35216"/>
    <cellStyle name="Comma 2 2 3 2 8 3" xfId="15247"/>
    <cellStyle name="Comma 2 2 3 2 8 3 2" xfId="24260"/>
    <cellStyle name="Comma 2 2 3 2 8 3 2 2" xfId="43689"/>
    <cellStyle name="Comma 2 2 3 2 8 3 2 3" xfId="37266"/>
    <cellStyle name="Comma 2 2 3 2 8 3 3" xfId="28583"/>
    <cellStyle name="Comma 2 2 3 2 8 3 3 2" xfId="40482"/>
    <cellStyle name="Comma 2 2 3 2 8 3 4" xfId="31918"/>
    <cellStyle name="Comma 2 2 3 2 8 3 5" xfId="34058"/>
    <cellStyle name="Comma 2 2 3 2 8 4" xfId="8063"/>
    <cellStyle name="Comma 2 2 3 2 8 4 2" xfId="42706"/>
    <cellStyle name="Comma 2 2 3 2 8 4 3" xfId="36282"/>
    <cellStyle name="Comma 2 2 3 2 8 5" xfId="21054"/>
    <cellStyle name="Comma 2 2 3 2 8 5 2" xfId="39499"/>
    <cellStyle name="Comma 2 2 3 2 8 6" xfId="22127"/>
    <cellStyle name="Comma 2 2 3 2 8 7" xfId="23277"/>
    <cellStyle name="Comma 2 2 3 2 8 8" xfId="26449"/>
    <cellStyle name="Comma 2 2 3 2 8 9" xfId="29782"/>
    <cellStyle name="Comma 2 2 3 2 9" xfId="850"/>
    <cellStyle name="Comma 2 2 3 2 9 10" xfId="33076"/>
    <cellStyle name="Comma 2 2 3 2 9 2" xfId="9621"/>
    <cellStyle name="Comma 2 2 3 2 9 2 2" xfId="25421"/>
    <cellStyle name="Comma 2 2 3 2 9 2 2 2" xfId="44848"/>
    <cellStyle name="Comma 2 2 3 2 9 2 2 3" xfId="38425"/>
    <cellStyle name="Comma 2 2 3 2 9 2 3" xfId="27599"/>
    <cellStyle name="Comma 2 2 3 2 9 2 3 2" xfId="41641"/>
    <cellStyle name="Comma 2 2 3 2 9 2 4" xfId="30934"/>
    <cellStyle name="Comma 2 2 3 2 9 2 5" xfId="35217"/>
    <cellStyle name="Comma 2 2 3 2 9 3" xfId="15248"/>
    <cellStyle name="Comma 2 2 3 2 9 3 2" xfId="24261"/>
    <cellStyle name="Comma 2 2 3 2 9 3 2 2" xfId="43690"/>
    <cellStyle name="Comma 2 2 3 2 9 3 2 3" xfId="37267"/>
    <cellStyle name="Comma 2 2 3 2 9 3 3" xfId="28584"/>
    <cellStyle name="Comma 2 2 3 2 9 3 3 2" xfId="40483"/>
    <cellStyle name="Comma 2 2 3 2 9 3 4" xfId="31919"/>
    <cellStyle name="Comma 2 2 3 2 9 3 5" xfId="34059"/>
    <cellStyle name="Comma 2 2 3 2 9 4" xfId="8064"/>
    <cellStyle name="Comma 2 2 3 2 9 4 2" xfId="42707"/>
    <cellStyle name="Comma 2 2 3 2 9 4 3" xfId="36283"/>
    <cellStyle name="Comma 2 2 3 2 9 5" xfId="21055"/>
    <cellStyle name="Comma 2 2 3 2 9 5 2" xfId="39500"/>
    <cellStyle name="Comma 2 2 3 2 9 6" xfId="22128"/>
    <cellStyle name="Comma 2 2 3 2 9 7" xfId="23278"/>
    <cellStyle name="Comma 2 2 3 2 9 8" xfId="26450"/>
    <cellStyle name="Comma 2 2 3 2 9 9" xfId="29783"/>
    <cellStyle name="Comma 2 2 3 20" xfId="32785"/>
    <cellStyle name="Comma 2 2 3 3" xfId="180"/>
    <cellStyle name="Comma 2 2 3 3 10" xfId="15249"/>
    <cellStyle name="Comma 2 2 3 3 10 2" xfId="24262"/>
    <cellStyle name="Comma 2 2 3 3 10 2 2" xfId="43691"/>
    <cellStyle name="Comma 2 2 3 3 10 2 3" xfId="37268"/>
    <cellStyle name="Comma 2 2 3 3 10 3" xfId="28585"/>
    <cellStyle name="Comma 2 2 3 3 10 3 2" xfId="40484"/>
    <cellStyle name="Comma 2 2 3 3 10 4" xfId="31920"/>
    <cellStyle name="Comma 2 2 3 3 10 5" xfId="34060"/>
    <cellStyle name="Comma 2 2 3 3 11" xfId="8065"/>
    <cellStyle name="Comma 2 2 3 3 11 2" xfId="42410"/>
    <cellStyle name="Comma 2 2 3 3 11 3" xfId="35986"/>
    <cellStyle name="Comma 2 2 3 3 12" xfId="21056"/>
    <cellStyle name="Comma 2 2 3 3 12 2" xfId="39203"/>
    <cellStyle name="Comma 2 2 3 3 13" xfId="22129"/>
    <cellStyle name="Comma 2 2 3 3 14" xfId="22981"/>
    <cellStyle name="Comma 2 2 3 3 15" xfId="26451"/>
    <cellStyle name="Comma 2 2 3 3 16" xfId="29784"/>
    <cellStyle name="Comma 2 2 3 3 17" xfId="32779"/>
    <cellStyle name="Comma 2 2 3 3 2" xfId="216"/>
    <cellStyle name="Comma 2 2 3 3 2 10" xfId="21057"/>
    <cellStyle name="Comma 2 2 3 3 2 10 2" xfId="39224"/>
    <cellStyle name="Comma 2 2 3 3 2 11" xfId="22130"/>
    <cellStyle name="Comma 2 2 3 3 2 12" xfId="23002"/>
    <cellStyle name="Comma 2 2 3 3 2 13" xfId="26452"/>
    <cellStyle name="Comma 2 2 3 3 2 14" xfId="29785"/>
    <cellStyle name="Comma 2 2 3 3 2 15" xfId="32800"/>
    <cellStyle name="Comma 2 2 3 3 2 2" xfId="851"/>
    <cellStyle name="Comma 2 2 3 3 2 2 10" xfId="33077"/>
    <cellStyle name="Comma 2 2 3 3 2 2 2" xfId="9622"/>
    <cellStyle name="Comma 2 2 3 3 2 2 2 2" xfId="25422"/>
    <cellStyle name="Comma 2 2 3 3 2 2 2 2 2" xfId="44849"/>
    <cellStyle name="Comma 2 2 3 3 2 2 2 2 3" xfId="38426"/>
    <cellStyle name="Comma 2 2 3 3 2 2 2 3" xfId="27600"/>
    <cellStyle name="Comma 2 2 3 3 2 2 2 3 2" xfId="41642"/>
    <cellStyle name="Comma 2 2 3 3 2 2 2 4" xfId="30935"/>
    <cellStyle name="Comma 2 2 3 3 2 2 2 5" xfId="35218"/>
    <cellStyle name="Comma 2 2 3 3 2 2 3" xfId="15251"/>
    <cellStyle name="Comma 2 2 3 3 2 2 3 2" xfId="24264"/>
    <cellStyle name="Comma 2 2 3 3 2 2 3 2 2" xfId="43693"/>
    <cellStyle name="Comma 2 2 3 3 2 2 3 2 3" xfId="37270"/>
    <cellStyle name="Comma 2 2 3 3 2 2 3 3" xfId="28587"/>
    <cellStyle name="Comma 2 2 3 3 2 2 3 3 2" xfId="40486"/>
    <cellStyle name="Comma 2 2 3 3 2 2 3 4" xfId="31922"/>
    <cellStyle name="Comma 2 2 3 3 2 2 3 5" xfId="34062"/>
    <cellStyle name="Comma 2 2 3 3 2 2 4" xfId="8067"/>
    <cellStyle name="Comma 2 2 3 3 2 2 4 2" xfId="42708"/>
    <cellStyle name="Comma 2 2 3 3 2 2 4 3" xfId="36284"/>
    <cellStyle name="Comma 2 2 3 3 2 2 5" xfId="21058"/>
    <cellStyle name="Comma 2 2 3 3 2 2 5 2" xfId="39501"/>
    <cellStyle name="Comma 2 2 3 3 2 2 6" xfId="22131"/>
    <cellStyle name="Comma 2 2 3 3 2 2 7" xfId="23279"/>
    <cellStyle name="Comma 2 2 3 3 2 2 8" xfId="26453"/>
    <cellStyle name="Comma 2 2 3 3 2 2 9" xfId="29786"/>
    <cellStyle name="Comma 2 2 3 3 2 3" xfId="852"/>
    <cellStyle name="Comma 2 2 3 3 2 3 10" xfId="33078"/>
    <cellStyle name="Comma 2 2 3 3 2 3 2" xfId="9623"/>
    <cellStyle name="Comma 2 2 3 3 2 3 2 2" xfId="25423"/>
    <cellStyle name="Comma 2 2 3 3 2 3 2 2 2" xfId="44850"/>
    <cellStyle name="Comma 2 2 3 3 2 3 2 2 3" xfId="38427"/>
    <cellStyle name="Comma 2 2 3 3 2 3 2 3" xfId="27601"/>
    <cellStyle name="Comma 2 2 3 3 2 3 2 3 2" xfId="41643"/>
    <cellStyle name="Comma 2 2 3 3 2 3 2 4" xfId="30936"/>
    <cellStyle name="Comma 2 2 3 3 2 3 2 5" xfId="35219"/>
    <cellStyle name="Comma 2 2 3 3 2 3 3" xfId="15252"/>
    <cellStyle name="Comma 2 2 3 3 2 3 3 2" xfId="24265"/>
    <cellStyle name="Comma 2 2 3 3 2 3 3 2 2" xfId="43694"/>
    <cellStyle name="Comma 2 2 3 3 2 3 3 2 3" xfId="37271"/>
    <cellStyle name="Comma 2 2 3 3 2 3 3 3" xfId="28588"/>
    <cellStyle name="Comma 2 2 3 3 2 3 3 3 2" xfId="40487"/>
    <cellStyle name="Comma 2 2 3 3 2 3 3 4" xfId="31923"/>
    <cellStyle name="Comma 2 2 3 3 2 3 3 5" xfId="34063"/>
    <cellStyle name="Comma 2 2 3 3 2 3 4" xfId="8068"/>
    <cellStyle name="Comma 2 2 3 3 2 3 4 2" xfId="42709"/>
    <cellStyle name="Comma 2 2 3 3 2 3 4 3" xfId="36285"/>
    <cellStyle name="Comma 2 2 3 3 2 3 5" xfId="21059"/>
    <cellStyle name="Comma 2 2 3 3 2 3 5 2" xfId="39502"/>
    <cellStyle name="Comma 2 2 3 3 2 3 6" xfId="22132"/>
    <cellStyle name="Comma 2 2 3 3 2 3 7" xfId="23280"/>
    <cellStyle name="Comma 2 2 3 3 2 3 8" xfId="26454"/>
    <cellStyle name="Comma 2 2 3 3 2 3 9" xfId="29787"/>
    <cellStyle name="Comma 2 2 3 3 2 4" xfId="853"/>
    <cellStyle name="Comma 2 2 3 3 2 4 10" xfId="33079"/>
    <cellStyle name="Comma 2 2 3 3 2 4 2" xfId="9624"/>
    <cellStyle name="Comma 2 2 3 3 2 4 2 2" xfId="25424"/>
    <cellStyle name="Comma 2 2 3 3 2 4 2 2 2" xfId="44851"/>
    <cellStyle name="Comma 2 2 3 3 2 4 2 2 3" xfId="38428"/>
    <cellStyle name="Comma 2 2 3 3 2 4 2 3" xfId="27602"/>
    <cellStyle name="Comma 2 2 3 3 2 4 2 3 2" xfId="41644"/>
    <cellStyle name="Comma 2 2 3 3 2 4 2 4" xfId="30937"/>
    <cellStyle name="Comma 2 2 3 3 2 4 2 5" xfId="35220"/>
    <cellStyle name="Comma 2 2 3 3 2 4 3" xfId="15253"/>
    <cellStyle name="Comma 2 2 3 3 2 4 3 2" xfId="24266"/>
    <cellStyle name="Comma 2 2 3 3 2 4 3 2 2" xfId="43695"/>
    <cellStyle name="Comma 2 2 3 3 2 4 3 2 3" xfId="37272"/>
    <cellStyle name="Comma 2 2 3 3 2 4 3 3" xfId="28589"/>
    <cellStyle name="Comma 2 2 3 3 2 4 3 3 2" xfId="40488"/>
    <cellStyle name="Comma 2 2 3 3 2 4 3 4" xfId="31924"/>
    <cellStyle name="Comma 2 2 3 3 2 4 3 5" xfId="34064"/>
    <cellStyle name="Comma 2 2 3 3 2 4 4" xfId="8069"/>
    <cellStyle name="Comma 2 2 3 3 2 4 4 2" xfId="42710"/>
    <cellStyle name="Comma 2 2 3 3 2 4 4 3" xfId="36286"/>
    <cellStyle name="Comma 2 2 3 3 2 4 5" xfId="21060"/>
    <cellStyle name="Comma 2 2 3 3 2 4 5 2" xfId="39503"/>
    <cellStyle name="Comma 2 2 3 3 2 4 6" xfId="22133"/>
    <cellStyle name="Comma 2 2 3 3 2 4 7" xfId="23281"/>
    <cellStyle name="Comma 2 2 3 3 2 4 8" xfId="26455"/>
    <cellStyle name="Comma 2 2 3 3 2 4 9" xfId="29788"/>
    <cellStyle name="Comma 2 2 3 3 2 5" xfId="854"/>
    <cellStyle name="Comma 2 2 3 3 2 5 10" xfId="33080"/>
    <cellStyle name="Comma 2 2 3 3 2 5 2" xfId="9625"/>
    <cellStyle name="Comma 2 2 3 3 2 5 2 2" xfId="25425"/>
    <cellStyle name="Comma 2 2 3 3 2 5 2 2 2" xfId="44852"/>
    <cellStyle name="Comma 2 2 3 3 2 5 2 2 3" xfId="38429"/>
    <cellStyle name="Comma 2 2 3 3 2 5 2 3" xfId="27603"/>
    <cellStyle name="Comma 2 2 3 3 2 5 2 3 2" xfId="41645"/>
    <cellStyle name="Comma 2 2 3 3 2 5 2 4" xfId="30938"/>
    <cellStyle name="Comma 2 2 3 3 2 5 2 5" xfId="35221"/>
    <cellStyle name="Comma 2 2 3 3 2 5 3" xfId="15254"/>
    <cellStyle name="Comma 2 2 3 3 2 5 3 2" xfId="24267"/>
    <cellStyle name="Comma 2 2 3 3 2 5 3 2 2" xfId="43696"/>
    <cellStyle name="Comma 2 2 3 3 2 5 3 2 3" xfId="37273"/>
    <cellStyle name="Comma 2 2 3 3 2 5 3 3" xfId="28590"/>
    <cellStyle name="Comma 2 2 3 3 2 5 3 3 2" xfId="40489"/>
    <cellStyle name="Comma 2 2 3 3 2 5 3 4" xfId="31925"/>
    <cellStyle name="Comma 2 2 3 3 2 5 3 5" xfId="34065"/>
    <cellStyle name="Comma 2 2 3 3 2 5 4" xfId="8070"/>
    <cellStyle name="Comma 2 2 3 3 2 5 4 2" xfId="42711"/>
    <cellStyle name="Comma 2 2 3 3 2 5 4 3" xfId="36287"/>
    <cellStyle name="Comma 2 2 3 3 2 5 5" xfId="21061"/>
    <cellStyle name="Comma 2 2 3 3 2 5 5 2" xfId="39504"/>
    <cellStyle name="Comma 2 2 3 3 2 5 6" xfId="22134"/>
    <cellStyle name="Comma 2 2 3 3 2 5 7" xfId="23282"/>
    <cellStyle name="Comma 2 2 3 3 2 5 8" xfId="26456"/>
    <cellStyle name="Comma 2 2 3 3 2 5 9" xfId="29789"/>
    <cellStyle name="Comma 2 2 3 3 2 6" xfId="855"/>
    <cellStyle name="Comma 2 2 3 3 2 6 10" xfId="33081"/>
    <cellStyle name="Comma 2 2 3 3 2 6 2" xfId="9626"/>
    <cellStyle name="Comma 2 2 3 3 2 6 2 2" xfId="25426"/>
    <cellStyle name="Comma 2 2 3 3 2 6 2 2 2" xfId="44853"/>
    <cellStyle name="Comma 2 2 3 3 2 6 2 2 3" xfId="38430"/>
    <cellStyle name="Comma 2 2 3 3 2 6 2 3" xfId="27604"/>
    <cellStyle name="Comma 2 2 3 3 2 6 2 3 2" xfId="41646"/>
    <cellStyle name="Comma 2 2 3 3 2 6 2 4" xfId="30939"/>
    <cellStyle name="Comma 2 2 3 3 2 6 2 5" xfId="35222"/>
    <cellStyle name="Comma 2 2 3 3 2 6 3" xfId="15255"/>
    <cellStyle name="Comma 2 2 3 3 2 6 3 2" xfId="24268"/>
    <cellStyle name="Comma 2 2 3 3 2 6 3 2 2" xfId="43697"/>
    <cellStyle name="Comma 2 2 3 3 2 6 3 2 3" xfId="37274"/>
    <cellStyle name="Comma 2 2 3 3 2 6 3 3" xfId="28591"/>
    <cellStyle name="Comma 2 2 3 3 2 6 3 3 2" xfId="40490"/>
    <cellStyle name="Comma 2 2 3 3 2 6 3 4" xfId="31926"/>
    <cellStyle name="Comma 2 2 3 3 2 6 3 5" xfId="34066"/>
    <cellStyle name="Comma 2 2 3 3 2 6 4" xfId="8071"/>
    <cellStyle name="Comma 2 2 3 3 2 6 4 2" xfId="42712"/>
    <cellStyle name="Comma 2 2 3 3 2 6 4 3" xfId="36288"/>
    <cellStyle name="Comma 2 2 3 3 2 6 5" xfId="21062"/>
    <cellStyle name="Comma 2 2 3 3 2 6 5 2" xfId="39505"/>
    <cellStyle name="Comma 2 2 3 3 2 6 6" xfId="22135"/>
    <cellStyle name="Comma 2 2 3 3 2 6 7" xfId="23283"/>
    <cellStyle name="Comma 2 2 3 3 2 6 8" xfId="26457"/>
    <cellStyle name="Comma 2 2 3 3 2 6 9" xfId="29790"/>
    <cellStyle name="Comma 2 2 3 3 2 7" xfId="9086"/>
    <cellStyle name="Comma 2 2 3 3 2 7 2" xfId="25141"/>
    <cellStyle name="Comma 2 2 3 3 2 7 2 2" xfId="44568"/>
    <cellStyle name="Comma 2 2 3 3 2 7 2 3" xfId="38145"/>
    <cellStyle name="Comma 2 2 3 3 2 7 3" xfId="27320"/>
    <cellStyle name="Comma 2 2 3 3 2 7 3 2" xfId="41361"/>
    <cellStyle name="Comma 2 2 3 3 2 7 4" xfId="30655"/>
    <cellStyle name="Comma 2 2 3 3 2 7 5" xfId="34937"/>
    <cellStyle name="Comma 2 2 3 3 2 8" xfId="15250"/>
    <cellStyle name="Comma 2 2 3 3 2 8 2" xfId="24263"/>
    <cellStyle name="Comma 2 2 3 3 2 8 2 2" xfId="43692"/>
    <cellStyle name="Comma 2 2 3 3 2 8 2 3" xfId="37269"/>
    <cellStyle name="Comma 2 2 3 3 2 8 3" xfId="28586"/>
    <cellStyle name="Comma 2 2 3 3 2 8 3 2" xfId="40485"/>
    <cellStyle name="Comma 2 2 3 3 2 8 4" xfId="31921"/>
    <cellStyle name="Comma 2 2 3 3 2 8 5" xfId="34061"/>
    <cellStyle name="Comma 2 2 3 3 2 9" xfId="8066"/>
    <cellStyle name="Comma 2 2 3 3 2 9 2" xfId="42431"/>
    <cellStyle name="Comma 2 2 3 3 2 9 3" xfId="36007"/>
    <cellStyle name="Comma 2 2 3 3 3" xfId="856"/>
    <cellStyle name="Comma 2 2 3 3 3 10" xfId="22136"/>
    <cellStyle name="Comma 2 2 3 3 3 11" xfId="23284"/>
    <cellStyle name="Comma 2 2 3 3 3 12" xfId="26458"/>
    <cellStyle name="Comma 2 2 3 3 3 13" xfId="29791"/>
    <cellStyle name="Comma 2 2 3 3 3 14" xfId="33082"/>
    <cellStyle name="Comma 2 2 3 3 3 2" xfId="857"/>
    <cellStyle name="Comma 2 2 3 3 3 2 10" xfId="33083"/>
    <cellStyle name="Comma 2 2 3 3 3 2 2" xfId="9628"/>
    <cellStyle name="Comma 2 2 3 3 3 2 2 2" xfId="25428"/>
    <cellStyle name="Comma 2 2 3 3 3 2 2 2 2" xfId="44855"/>
    <cellStyle name="Comma 2 2 3 3 3 2 2 2 3" xfId="38432"/>
    <cellStyle name="Comma 2 2 3 3 3 2 2 3" xfId="27606"/>
    <cellStyle name="Comma 2 2 3 3 3 2 2 3 2" xfId="41648"/>
    <cellStyle name="Comma 2 2 3 3 3 2 2 4" xfId="30941"/>
    <cellStyle name="Comma 2 2 3 3 3 2 2 5" xfId="35224"/>
    <cellStyle name="Comma 2 2 3 3 3 2 3" xfId="15257"/>
    <cellStyle name="Comma 2 2 3 3 3 2 3 2" xfId="24270"/>
    <cellStyle name="Comma 2 2 3 3 3 2 3 2 2" xfId="43699"/>
    <cellStyle name="Comma 2 2 3 3 3 2 3 2 3" xfId="37276"/>
    <cellStyle name="Comma 2 2 3 3 3 2 3 3" xfId="28593"/>
    <cellStyle name="Comma 2 2 3 3 3 2 3 3 2" xfId="40492"/>
    <cellStyle name="Comma 2 2 3 3 3 2 3 4" xfId="31928"/>
    <cellStyle name="Comma 2 2 3 3 3 2 3 5" xfId="34068"/>
    <cellStyle name="Comma 2 2 3 3 3 2 4" xfId="8073"/>
    <cellStyle name="Comma 2 2 3 3 3 2 4 2" xfId="42714"/>
    <cellStyle name="Comma 2 2 3 3 3 2 4 3" xfId="36290"/>
    <cellStyle name="Comma 2 2 3 3 3 2 5" xfId="21064"/>
    <cellStyle name="Comma 2 2 3 3 3 2 5 2" xfId="39507"/>
    <cellStyle name="Comma 2 2 3 3 3 2 6" xfId="22137"/>
    <cellStyle name="Comma 2 2 3 3 3 2 7" xfId="23285"/>
    <cellStyle name="Comma 2 2 3 3 3 2 8" xfId="26459"/>
    <cellStyle name="Comma 2 2 3 3 3 2 9" xfId="29792"/>
    <cellStyle name="Comma 2 2 3 3 3 3" xfId="858"/>
    <cellStyle name="Comma 2 2 3 3 3 3 10" xfId="33084"/>
    <cellStyle name="Comma 2 2 3 3 3 3 2" xfId="9629"/>
    <cellStyle name="Comma 2 2 3 3 3 3 2 2" xfId="25429"/>
    <cellStyle name="Comma 2 2 3 3 3 3 2 2 2" xfId="44856"/>
    <cellStyle name="Comma 2 2 3 3 3 3 2 2 3" xfId="38433"/>
    <cellStyle name="Comma 2 2 3 3 3 3 2 3" xfId="27607"/>
    <cellStyle name="Comma 2 2 3 3 3 3 2 3 2" xfId="41649"/>
    <cellStyle name="Comma 2 2 3 3 3 3 2 4" xfId="30942"/>
    <cellStyle name="Comma 2 2 3 3 3 3 2 5" xfId="35225"/>
    <cellStyle name="Comma 2 2 3 3 3 3 3" xfId="15258"/>
    <cellStyle name="Comma 2 2 3 3 3 3 3 2" xfId="24271"/>
    <cellStyle name="Comma 2 2 3 3 3 3 3 2 2" xfId="43700"/>
    <cellStyle name="Comma 2 2 3 3 3 3 3 2 3" xfId="37277"/>
    <cellStyle name="Comma 2 2 3 3 3 3 3 3" xfId="28594"/>
    <cellStyle name="Comma 2 2 3 3 3 3 3 3 2" xfId="40493"/>
    <cellStyle name="Comma 2 2 3 3 3 3 3 4" xfId="31929"/>
    <cellStyle name="Comma 2 2 3 3 3 3 3 5" xfId="34069"/>
    <cellStyle name="Comma 2 2 3 3 3 3 4" xfId="8074"/>
    <cellStyle name="Comma 2 2 3 3 3 3 4 2" xfId="42715"/>
    <cellStyle name="Comma 2 2 3 3 3 3 4 3" xfId="36291"/>
    <cellStyle name="Comma 2 2 3 3 3 3 5" xfId="21065"/>
    <cellStyle name="Comma 2 2 3 3 3 3 5 2" xfId="39508"/>
    <cellStyle name="Comma 2 2 3 3 3 3 6" xfId="22138"/>
    <cellStyle name="Comma 2 2 3 3 3 3 7" xfId="23286"/>
    <cellStyle name="Comma 2 2 3 3 3 3 8" xfId="26460"/>
    <cellStyle name="Comma 2 2 3 3 3 3 9" xfId="29793"/>
    <cellStyle name="Comma 2 2 3 3 3 4" xfId="859"/>
    <cellStyle name="Comma 2 2 3 3 3 4 10" xfId="33085"/>
    <cellStyle name="Comma 2 2 3 3 3 4 2" xfId="9630"/>
    <cellStyle name="Comma 2 2 3 3 3 4 2 2" xfId="25430"/>
    <cellStyle name="Comma 2 2 3 3 3 4 2 2 2" xfId="44857"/>
    <cellStyle name="Comma 2 2 3 3 3 4 2 2 3" xfId="38434"/>
    <cellStyle name="Comma 2 2 3 3 3 4 2 3" xfId="27608"/>
    <cellStyle name="Comma 2 2 3 3 3 4 2 3 2" xfId="41650"/>
    <cellStyle name="Comma 2 2 3 3 3 4 2 4" xfId="30943"/>
    <cellStyle name="Comma 2 2 3 3 3 4 2 5" xfId="35226"/>
    <cellStyle name="Comma 2 2 3 3 3 4 3" xfId="15259"/>
    <cellStyle name="Comma 2 2 3 3 3 4 3 2" xfId="24272"/>
    <cellStyle name="Comma 2 2 3 3 3 4 3 2 2" xfId="43701"/>
    <cellStyle name="Comma 2 2 3 3 3 4 3 2 3" xfId="37278"/>
    <cellStyle name="Comma 2 2 3 3 3 4 3 3" xfId="28595"/>
    <cellStyle name="Comma 2 2 3 3 3 4 3 3 2" xfId="40494"/>
    <cellStyle name="Comma 2 2 3 3 3 4 3 4" xfId="31930"/>
    <cellStyle name="Comma 2 2 3 3 3 4 3 5" xfId="34070"/>
    <cellStyle name="Comma 2 2 3 3 3 4 4" xfId="8075"/>
    <cellStyle name="Comma 2 2 3 3 3 4 4 2" xfId="42716"/>
    <cellStyle name="Comma 2 2 3 3 3 4 4 3" xfId="36292"/>
    <cellStyle name="Comma 2 2 3 3 3 4 5" xfId="21066"/>
    <cellStyle name="Comma 2 2 3 3 3 4 5 2" xfId="39509"/>
    <cellStyle name="Comma 2 2 3 3 3 4 6" xfId="22139"/>
    <cellStyle name="Comma 2 2 3 3 3 4 7" xfId="23287"/>
    <cellStyle name="Comma 2 2 3 3 3 4 8" xfId="26461"/>
    <cellStyle name="Comma 2 2 3 3 3 4 9" xfId="29794"/>
    <cellStyle name="Comma 2 2 3 3 3 5" xfId="860"/>
    <cellStyle name="Comma 2 2 3 3 3 5 10" xfId="33086"/>
    <cellStyle name="Comma 2 2 3 3 3 5 2" xfId="9631"/>
    <cellStyle name="Comma 2 2 3 3 3 5 2 2" xfId="25431"/>
    <cellStyle name="Comma 2 2 3 3 3 5 2 2 2" xfId="44858"/>
    <cellStyle name="Comma 2 2 3 3 3 5 2 2 3" xfId="38435"/>
    <cellStyle name="Comma 2 2 3 3 3 5 2 3" xfId="27609"/>
    <cellStyle name="Comma 2 2 3 3 3 5 2 3 2" xfId="41651"/>
    <cellStyle name="Comma 2 2 3 3 3 5 2 4" xfId="30944"/>
    <cellStyle name="Comma 2 2 3 3 3 5 2 5" xfId="35227"/>
    <cellStyle name="Comma 2 2 3 3 3 5 3" xfId="15260"/>
    <cellStyle name="Comma 2 2 3 3 3 5 3 2" xfId="24273"/>
    <cellStyle name="Comma 2 2 3 3 3 5 3 2 2" xfId="43702"/>
    <cellStyle name="Comma 2 2 3 3 3 5 3 2 3" xfId="37279"/>
    <cellStyle name="Comma 2 2 3 3 3 5 3 3" xfId="28596"/>
    <cellStyle name="Comma 2 2 3 3 3 5 3 3 2" xfId="40495"/>
    <cellStyle name="Comma 2 2 3 3 3 5 3 4" xfId="31931"/>
    <cellStyle name="Comma 2 2 3 3 3 5 3 5" xfId="34071"/>
    <cellStyle name="Comma 2 2 3 3 3 5 4" xfId="8076"/>
    <cellStyle name="Comma 2 2 3 3 3 5 4 2" xfId="42717"/>
    <cellStyle name="Comma 2 2 3 3 3 5 4 3" xfId="36293"/>
    <cellStyle name="Comma 2 2 3 3 3 5 5" xfId="21067"/>
    <cellStyle name="Comma 2 2 3 3 3 5 5 2" xfId="39510"/>
    <cellStyle name="Comma 2 2 3 3 3 5 6" xfId="22140"/>
    <cellStyle name="Comma 2 2 3 3 3 5 7" xfId="23288"/>
    <cellStyle name="Comma 2 2 3 3 3 5 8" xfId="26462"/>
    <cellStyle name="Comma 2 2 3 3 3 5 9" xfId="29795"/>
    <cellStyle name="Comma 2 2 3 3 3 6" xfId="9627"/>
    <cellStyle name="Comma 2 2 3 3 3 6 2" xfId="25427"/>
    <cellStyle name="Comma 2 2 3 3 3 6 2 2" xfId="44854"/>
    <cellStyle name="Comma 2 2 3 3 3 6 2 3" xfId="38431"/>
    <cellStyle name="Comma 2 2 3 3 3 6 3" xfId="27605"/>
    <cellStyle name="Comma 2 2 3 3 3 6 3 2" xfId="41647"/>
    <cellStyle name="Comma 2 2 3 3 3 6 4" xfId="30940"/>
    <cellStyle name="Comma 2 2 3 3 3 6 5" xfId="35223"/>
    <cellStyle name="Comma 2 2 3 3 3 7" xfId="15256"/>
    <cellStyle name="Comma 2 2 3 3 3 7 2" xfId="24269"/>
    <cellStyle name="Comma 2 2 3 3 3 7 2 2" xfId="43698"/>
    <cellStyle name="Comma 2 2 3 3 3 7 2 3" xfId="37275"/>
    <cellStyle name="Comma 2 2 3 3 3 7 3" xfId="28592"/>
    <cellStyle name="Comma 2 2 3 3 3 7 3 2" xfId="40491"/>
    <cellStyle name="Comma 2 2 3 3 3 7 4" xfId="31927"/>
    <cellStyle name="Comma 2 2 3 3 3 7 5" xfId="34067"/>
    <cellStyle name="Comma 2 2 3 3 3 8" xfId="8072"/>
    <cellStyle name="Comma 2 2 3 3 3 8 2" xfId="42713"/>
    <cellStyle name="Comma 2 2 3 3 3 8 3" xfId="36289"/>
    <cellStyle name="Comma 2 2 3 3 3 9" xfId="21063"/>
    <cellStyle name="Comma 2 2 3 3 3 9 2" xfId="39506"/>
    <cellStyle name="Comma 2 2 3 3 4" xfId="861"/>
    <cellStyle name="Comma 2 2 3 3 4 10" xfId="33087"/>
    <cellStyle name="Comma 2 2 3 3 4 2" xfId="9632"/>
    <cellStyle name="Comma 2 2 3 3 4 2 2" xfId="25432"/>
    <cellStyle name="Comma 2 2 3 3 4 2 2 2" xfId="44859"/>
    <cellStyle name="Comma 2 2 3 3 4 2 2 3" xfId="38436"/>
    <cellStyle name="Comma 2 2 3 3 4 2 3" xfId="27610"/>
    <cellStyle name="Comma 2 2 3 3 4 2 3 2" xfId="41652"/>
    <cellStyle name="Comma 2 2 3 3 4 2 4" xfId="30945"/>
    <cellStyle name="Comma 2 2 3 3 4 2 5" xfId="35228"/>
    <cellStyle name="Comma 2 2 3 3 4 3" xfId="15261"/>
    <cellStyle name="Comma 2 2 3 3 4 3 2" xfId="24274"/>
    <cellStyle name="Comma 2 2 3 3 4 3 2 2" xfId="43703"/>
    <cellStyle name="Comma 2 2 3 3 4 3 2 3" xfId="37280"/>
    <cellStyle name="Comma 2 2 3 3 4 3 3" xfId="28597"/>
    <cellStyle name="Comma 2 2 3 3 4 3 3 2" xfId="40496"/>
    <cellStyle name="Comma 2 2 3 3 4 3 4" xfId="31932"/>
    <cellStyle name="Comma 2 2 3 3 4 3 5" xfId="34072"/>
    <cellStyle name="Comma 2 2 3 3 4 4" xfId="8077"/>
    <cellStyle name="Comma 2 2 3 3 4 4 2" xfId="42718"/>
    <cellStyle name="Comma 2 2 3 3 4 4 3" xfId="36294"/>
    <cellStyle name="Comma 2 2 3 3 4 5" xfId="21068"/>
    <cellStyle name="Comma 2 2 3 3 4 5 2" xfId="39511"/>
    <cellStyle name="Comma 2 2 3 3 4 6" xfId="22141"/>
    <cellStyle name="Comma 2 2 3 3 4 7" xfId="23289"/>
    <cellStyle name="Comma 2 2 3 3 4 8" xfId="26463"/>
    <cellStyle name="Comma 2 2 3 3 4 9" xfId="29796"/>
    <cellStyle name="Comma 2 2 3 3 5" xfId="862"/>
    <cellStyle name="Comma 2 2 3 3 5 10" xfId="33088"/>
    <cellStyle name="Comma 2 2 3 3 5 2" xfId="9633"/>
    <cellStyle name="Comma 2 2 3 3 5 2 2" xfId="25433"/>
    <cellStyle name="Comma 2 2 3 3 5 2 2 2" xfId="44860"/>
    <cellStyle name="Comma 2 2 3 3 5 2 2 3" xfId="38437"/>
    <cellStyle name="Comma 2 2 3 3 5 2 3" xfId="27611"/>
    <cellStyle name="Comma 2 2 3 3 5 2 3 2" xfId="41653"/>
    <cellStyle name="Comma 2 2 3 3 5 2 4" xfId="30946"/>
    <cellStyle name="Comma 2 2 3 3 5 2 5" xfId="35229"/>
    <cellStyle name="Comma 2 2 3 3 5 3" xfId="15262"/>
    <cellStyle name="Comma 2 2 3 3 5 3 2" xfId="24275"/>
    <cellStyle name="Comma 2 2 3 3 5 3 2 2" xfId="43704"/>
    <cellStyle name="Comma 2 2 3 3 5 3 2 3" xfId="37281"/>
    <cellStyle name="Comma 2 2 3 3 5 3 3" xfId="28598"/>
    <cellStyle name="Comma 2 2 3 3 5 3 3 2" xfId="40497"/>
    <cellStyle name="Comma 2 2 3 3 5 3 4" xfId="31933"/>
    <cellStyle name="Comma 2 2 3 3 5 3 5" xfId="34073"/>
    <cellStyle name="Comma 2 2 3 3 5 4" xfId="8078"/>
    <cellStyle name="Comma 2 2 3 3 5 4 2" xfId="42719"/>
    <cellStyle name="Comma 2 2 3 3 5 4 3" xfId="36295"/>
    <cellStyle name="Comma 2 2 3 3 5 5" xfId="21069"/>
    <cellStyle name="Comma 2 2 3 3 5 5 2" xfId="39512"/>
    <cellStyle name="Comma 2 2 3 3 5 6" xfId="22142"/>
    <cellStyle name="Comma 2 2 3 3 5 7" xfId="23290"/>
    <cellStyle name="Comma 2 2 3 3 5 8" xfId="26464"/>
    <cellStyle name="Comma 2 2 3 3 5 9" xfId="29797"/>
    <cellStyle name="Comma 2 2 3 3 6" xfId="863"/>
    <cellStyle name="Comma 2 2 3 3 6 10" xfId="33089"/>
    <cellStyle name="Comma 2 2 3 3 6 2" xfId="9634"/>
    <cellStyle name="Comma 2 2 3 3 6 2 2" xfId="25434"/>
    <cellStyle name="Comma 2 2 3 3 6 2 2 2" xfId="44861"/>
    <cellStyle name="Comma 2 2 3 3 6 2 2 3" xfId="38438"/>
    <cellStyle name="Comma 2 2 3 3 6 2 3" xfId="27612"/>
    <cellStyle name="Comma 2 2 3 3 6 2 3 2" xfId="41654"/>
    <cellStyle name="Comma 2 2 3 3 6 2 4" xfId="30947"/>
    <cellStyle name="Comma 2 2 3 3 6 2 5" xfId="35230"/>
    <cellStyle name="Comma 2 2 3 3 6 3" xfId="15263"/>
    <cellStyle name="Comma 2 2 3 3 6 3 2" xfId="24276"/>
    <cellStyle name="Comma 2 2 3 3 6 3 2 2" xfId="43705"/>
    <cellStyle name="Comma 2 2 3 3 6 3 2 3" xfId="37282"/>
    <cellStyle name="Comma 2 2 3 3 6 3 3" xfId="28599"/>
    <cellStyle name="Comma 2 2 3 3 6 3 3 2" xfId="40498"/>
    <cellStyle name="Comma 2 2 3 3 6 3 4" xfId="31934"/>
    <cellStyle name="Comma 2 2 3 3 6 3 5" xfId="34074"/>
    <cellStyle name="Comma 2 2 3 3 6 4" xfId="8079"/>
    <cellStyle name="Comma 2 2 3 3 6 4 2" xfId="42720"/>
    <cellStyle name="Comma 2 2 3 3 6 4 3" xfId="36296"/>
    <cellStyle name="Comma 2 2 3 3 6 5" xfId="21070"/>
    <cellStyle name="Comma 2 2 3 3 6 5 2" xfId="39513"/>
    <cellStyle name="Comma 2 2 3 3 6 6" xfId="22143"/>
    <cellStyle name="Comma 2 2 3 3 6 7" xfId="23291"/>
    <cellStyle name="Comma 2 2 3 3 6 8" xfId="26465"/>
    <cellStyle name="Comma 2 2 3 3 6 9" xfId="29798"/>
    <cellStyle name="Comma 2 2 3 3 7" xfId="864"/>
    <cellStyle name="Comma 2 2 3 3 7 10" xfId="33090"/>
    <cellStyle name="Comma 2 2 3 3 7 2" xfId="9635"/>
    <cellStyle name="Comma 2 2 3 3 7 2 2" xfId="25435"/>
    <cellStyle name="Comma 2 2 3 3 7 2 2 2" xfId="44862"/>
    <cellStyle name="Comma 2 2 3 3 7 2 2 3" xfId="38439"/>
    <cellStyle name="Comma 2 2 3 3 7 2 3" xfId="27613"/>
    <cellStyle name="Comma 2 2 3 3 7 2 3 2" xfId="41655"/>
    <cellStyle name="Comma 2 2 3 3 7 2 4" xfId="30948"/>
    <cellStyle name="Comma 2 2 3 3 7 2 5" xfId="35231"/>
    <cellStyle name="Comma 2 2 3 3 7 3" xfId="15264"/>
    <cellStyle name="Comma 2 2 3 3 7 3 2" xfId="24277"/>
    <cellStyle name="Comma 2 2 3 3 7 3 2 2" xfId="43706"/>
    <cellStyle name="Comma 2 2 3 3 7 3 2 3" xfId="37283"/>
    <cellStyle name="Comma 2 2 3 3 7 3 3" xfId="28600"/>
    <cellStyle name="Comma 2 2 3 3 7 3 3 2" xfId="40499"/>
    <cellStyle name="Comma 2 2 3 3 7 3 4" xfId="31935"/>
    <cellStyle name="Comma 2 2 3 3 7 3 5" xfId="34075"/>
    <cellStyle name="Comma 2 2 3 3 7 4" xfId="8080"/>
    <cellStyle name="Comma 2 2 3 3 7 4 2" xfId="42721"/>
    <cellStyle name="Comma 2 2 3 3 7 4 3" xfId="36297"/>
    <cellStyle name="Comma 2 2 3 3 7 5" xfId="21071"/>
    <cellStyle name="Comma 2 2 3 3 7 5 2" xfId="39514"/>
    <cellStyle name="Comma 2 2 3 3 7 6" xfId="22144"/>
    <cellStyle name="Comma 2 2 3 3 7 7" xfId="23292"/>
    <cellStyle name="Comma 2 2 3 3 7 8" xfId="26466"/>
    <cellStyle name="Comma 2 2 3 3 7 9" xfId="29799"/>
    <cellStyle name="Comma 2 2 3 3 8" xfId="865"/>
    <cellStyle name="Comma 2 2 3 3 8 10" xfId="33091"/>
    <cellStyle name="Comma 2 2 3 3 8 2" xfId="9636"/>
    <cellStyle name="Comma 2 2 3 3 8 2 2" xfId="25436"/>
    <cellStyle name="Comma 2 2 3 3 8 2 2 2" xfId="44863"/>
    <cellStyle name="Comma 2 2 3 3 8 2 2 3" xfId="38440"/>
    <cellStyle name="Comma 2 2 3 3 8 2 3" xfId="27614"/>
    <cellStyle name="Comma 2 2 3 3 8 2 3 2" xfId="41656"/>
    <cellStyle name="Comma 2 2 3 3 8 2 4" xfId="30949"/>
    <cellStyle name="Comma 2 2 3 3 8 2 5" xfId="35232"/>
    <cellStyle name="Comma 2 2 3 3 8 3" xfId="15265"/>
    <cellStyle name="Comma 2 2 3 3 8 3 2" xfId="24278"/>
    <cellStyle name="Comma 2 2 3 3 8 3 2 2" xfId="43707"/>
    <cellStyle name="Comma 2 2 3 3 8 3 2 3" xfId="37284"/>
    <cellStyle name="Comma 2 2 3 3 8 3 3" xfId="28601"/>
    <cellStyle name="Comma 2 2 3 3 8 3 3 2" xfId="40500"/>
    <cellStyle name="Comma 2 2 3 3 8 3 4" xfId="31936"/>
    <cellStyle name="Comma 2 2 3 3 8 3 5" xfId="34076"/>
    <cellStyle name="Comma 2 2 3 3 8 4" xfId="8081"/>
    <cellStyle name="Comma 2 2 3 3 8 4 2" xfId="42722"/>
    <cellStyle name="Comma 2 2 3 3 8 4 3" xfId="36298"/>
    <cellStyle name="Comma 2 2 3 3 8 5" xfId="21072"/>
    <cellStyle name="Comma 2 2 3 3 8 5 2" xfId="39515"/>
    <cellStyle name="Comma 2 2 3 3 8 6" xfId="22145"/>
    <cellStyle name="Comma 2 2 3 3 8 7" xfId="23293"/>
    <cellStyle name="Comma 2 2 3 3 8 8" xfId="26467"/>
    <cellStyle name="Comma 2 2 3 3 8 9" xfId="29800"/>
    <cellStyle name="Comma 2 2 3 3 9" xfId="9063"/>
    <cellStyle name="Comma 2 2 3 3 9 2" xfId="25119"/>
    <cellStyle name="Comma 2 2 3 3 9 2 2" xfId="44546"/>
    <cellStyle name="Comma 2 2 3 3 9 2 3" xfId="38123"/>
    <cellStyle name="Comma 2 2 3 3 9 3" xfId="27298"/>
    <cellStyle name="Comma 2 2 3 3 9 3 2" xfId="41339"/>
    <cellStyle name="Comma 2 2 3 3 9 4" xfId="30633"/>
    <cellStyle name="Comma 2 2 3 3 9 5" xfId="34915"/>
    <cellStyle name="Comma 2 2 3 4" xfId="205"/>
    <cellStyle name="Comma 2 2 3 4 10" xfId="21073"/>
    <cellStyle name="Comma 2 2 3 4 10 2" xfId="39216"/>
    <cellStyle name="Comma 2 2 3 4 11" xfId="22146"/>
    <cellStyle name="Comma 2 2 3 4 12" xfId="22994"/>
    <cellStyle name="Comma 2 2 3 4 13" xfId="26468"/>
    <cellStyle name="Comma 2 2 3 4 14" xfId="29801"/>
    <cellStyle name="Comma 2 2 3 4 15" xfId="32792"/>
    <cellStyle name="Comma 2 2 3 4 2" xfId="866"/>
    <cellStyle name="Comma 2 2 3 4 2 10" xfId="33092"/>
    <cellStyle name="Comma 2 2 3 4 2 2" xfId="9637"/>
    <cellStyle name="Comma 2 2 3 4 2 2 2" xfId="25437"/>
    <cellStyle name="Comma 2 2 3 4 2 2 2 2" xfId="44864"/>
    <cellStyle name="Comma 2 2 3 4 2 2 2 3" xfId="38441"/>
    <cellStyle name="Comma 2 2 3 4 2 2 3" xfId="27615"/>
    <cellStyle name="Comma 2 2 3 4 2 2 3 2" xfId="41657"/>
    <cellStyle name="Comma 2 2 3 4 2 2 4" xfId="30950"/>
    <cellStyle name="Comma 2 2 3 4 2 2 5" xfId="35233"/>
    <cellStyle name="Comma 2 2 3 4 2 3" xfId="15267"/>
    <cellStyle name="Comma 2 2 3 4 2 3 2" xfId="24280"/>
    <cellStyle name="Comma 2 2 3 4 2 3 2 2" xfId="43709"/>
    <cellStyle name="Comma 2 2 3 4 2 3 2 3" xfId="37286"/>
    <cellStyle name="Comma 2 2 3 4 2 3 3" xfId="28603"/>
    <cellStyle name="Comma 2 2 3 4 2 3 3 2" xfId="40502"/>
    <cellStyle name="Comma 2 2 3 4 2 3 4" xfId="31938"/>
    <cellStyle name="Comma 2 2 3 4 2 3 5" xfId="34078"/>
    <cellStyle name="Comma 2 2 3 4 2 4" xfId="8083"/>
    <cellStyle name="Comma 2 2 3 4 2 4 2" xfId="42723"/>
    <cellStyle name="Comma 2 2 3 4 2 4 3" xfId="36299"/>
    <cellStyle name="Comma 2 2 3 4 2 5" xfId="21074"/>
    <cellStyle name="Comma 2 2 3 4 2 5 2" xfId="39516"/>
    <cellStyle name="Comma 2 2 3 4 2 6" xfId="22147"/>
    <cellStyle name="Comma 2 2 3 4 2 7" xfId="23294"/>
    <cellStyle name="Comma 2 2 3 4 2 8" xfId="26469"/>
    <cellStyle name="Comma 2 2 3 4 2 9" xfId="29802"/>
    <cellStyle name="Comma 2 2 3 4 3" xfId="867"/>
    <cellStyle name="Comma 2 2 3 4 3 10" xfId="33093"/>
    <cellStyle name="Comma 2 2 3 4 3 2" xfId="9638"/>
    <cellStyle name="Comma 2 2 3 4 3 2 2" xfId="25438"/>
    <cellStyle name="Comma 2 2 3 4 3 2 2 2" xfId="44865"/>
    <cellStyle name="Comma 2 2 3 4 3 2 2 3" xfId="38442"/>
    <cellStyle name="Comma 2 2 3 4 3 2 3" xfId="27616"/>
    <cellStyle name="Comma 2 2 3 4 3 2 3 2" xfId="41658"/>
    <cellStyle name="Comma 2 2 3 4 3 2 4" xfId="30951"/>
    <cellStyle name="Comma 2 2 3 4 3 2 5" xfId="35234"/>
    <cellStyle name="Comma 2 2 3 4 3 3" xfId="15268"/>
    <cellStyle name="Comma 2 2 3 4 3 3 2" xfId="24281"/>
    <cellStyle name="Comma 2 2 3 4 3 3 2 2" xfId="43710"/>
    <cellStyle name="Comma 2 2 3 4 3 3 2 3" xfId="37287"/>
    <cellStyle name="Comma 2 2 3 4 3 3 3" xfId="28604"/>
    <cellStyle name="Comma 2 2 3 4 3 3 3 2" xfId="40503"/>
    <cellStyle name="Comma 2 2 3 4 3 3 4" xfId="31939"/>
    <cellStyle name="Comma 2 2 3 4 3 3 5" xfId="34079"/>
    <cellStyle name="Comma 2 2 3 4 3 4" xfId="8084"/>
    <cellStyle name="Comma 2 2 3 4 3 4 2" xfId="42724"/>
    <cellStyle name="Comma 2 2 3 4 3 4 3" xfId="36300"/>
    <cellStyle name="Comma 2 2 3 4 3 5" xfId="21075"/>
    <cellStyle name="Comma 2 2 3 4 3 5 2" xfId="39517"/>
    <cellStyle name="Comma 2 2 3 4 3 6" xfId="22148"/>
    <cellStyle name="Comma 2 2 3 4 3 7" xfId="23295"/>
    <cellStyle name="Comma 2 2 3 4 3 8" xfId="26470"/>
    <cellStyle name="Comma 2 2 3 4 3 9" xfId="29803"/>
    <cellStyle name="Comma 2 2 3 4 4" xfId="868"/>
    <cellStyle name="Comma 2 2 3 4 4 10" xfId="33094"/>
    <cellStyle name="Comma 2 2 3 4 4 2" xfId="9639"/>
    <cellStyle name="Comma 2 2 3 4 4 2 2" xfId="25439"/>
    <cellStyle name="Comma 2 2 3 4 4 2 2 2" xfId="44866"/>
    <cellStyle name="Comma 2 2 3 4 4 2 2 3" xfId="38443"/>
    <cellStyle name="Comma 2 2 3 4 4 2 3" xfId="27617"/>
    <cellStyle name="Comma 2 2 3 4 4 2 3 2" xfId="41659"/>
    <cellStyle name="Comma 2 2 3 4 4 2 4" xfId="30952"/>
    <cellStyle name="Comma 2 2 3 4 4 2 5" xfId="35235"/>
    <cellStyle name="Comma 2 2 3 4 4 3" xfId="15269"/>
    <cellStyle name="Comma 2 2 3 4 4 3 2" xfId="24282"/>
    <cellStyle name="Comma 2 2 3 4 4 3 2 2" xfId="43711"/>
    <cellStyle name="Comma 2 2 3 4 4 3 2 3" xfId="37288"/>
    <cellStyle name="Comma 2 2 3 4 4 3 3" xfId="28605"/>
    <cellStyle name="Comma 2 2 3 4 4 3 3 2" xfId="40504"/>
    <cellStyle name="Comma 2 2 3 4 4 3 4" xfId="31940"/>
    <cellStyle name="Comma 2 2 3 4 4 3 5" xfId="34080"/>
    <cellStyle name="Comma 2 2 3 4 4 4" xfId="8085"/>
    <cellStyle name="Comma 2 2 3 4 4 4 2" xfId="42725"/>
    <cellStyle name="Comma 2 2 3 4 4 4 3" xfId="36301"/>
    <cellStyle name="Comma 2 2 3 4 4 5" xfId="21076"/>
    <cellStyle name="Comma 2 2 3 4 4 5 2" xfId="39518"/>
    <cellStyle name="Comma 2 2 3 4 4 6" xfId="22149"/>
    <cellStyle name="Comma 2 2 3 4 4 7" xfId="23296"/>
    <cellStyle name="Comma 2 2 3 4 4 8" xfId="26471"/>
    <cellStyle name="Comma 2 2 3 4 4 9" xfId="29804"/>
    <cellStyle name="Comma 2 2 3 4 5" xfId="869"/>
    <cellStyle name="Comma 2 2 3 4 5 10" xfId="33095"/>
    <cellStyle name="Comma 2 2 3 4 5 2" xfId="9640"/>
    <cellStyle name="Comma 2 2 3 4 5 2 2" xfId="25440"/>
    <cellStyle name="Comma 2 2 3 4 5 2 2 2" xfId="44867"/>
    <cellStyle name="Comma 2 2 3 4 5 2 2 3" xfId="38444"/>
    <cellStyle name="Comma 2 2 3 4 5 2 3" xfId="27618"/>
    <cellStyle name="Comma 2 2 3 4 5 2 3 2" xfId="41660"/>
    <cellStyle name="Comma 2 2 3 4 5 2 4" xfId="30953"/>
    <cellStyle name="Comma 2 2 3 4 5 2 5" xfId="35236"/>
    <cellStyle name="Comma 2 2 3 4 5 3" xfId="15270"/>
    <cellStyle name="Comma 2 2 3 4 5 3 2" xfId="24283"/>
    <cellStyle name="Comma 2 2 3 4 5 3 2 2" xfId="43712"/>
    <cellStyle name="Comma 2 2 3 4 5 3 2 3" xfId="37289"/>
    <cellStyle name="Comma 2 2 3 4 5 3 3" xfId="28606"/>
    <cellStyle name="Comma 2 2 3 4 5 3 3 2" xfId="40505"/>
    <cellStyle name="Comma 2 2 3 4 5 3 4" xfId="31941"/>
    <cellStyle name="Comma 2 2 3 4 5 3 5" xfId="34081"/>
    <cellStyle name="Comma 2 2 3 4 5 4" xfId="8086"/>
    <cellStyle name="Comma 2 2 3 4 5 4 2" xfId="42726"/>
    <cellStyle name="Comma 2 2 3 4 5 4 3" xfId="36302"/>
    <cellStyle name="Comma 2 2 3 4 5 5" xfId="21077"/>
    <cellStyle name="Comma 2 2 3 4 5 5 2" xfId="39519"/>
    <cellStyle name="Comma 2 2 3 4 5 6" xfId="22150"/>
    <cellStyle name="Comma 2 2 3 4 5 7" xfId="23297"/>
    <cellStyle name="Comma 2 2 3 4 5 8" xfId="26472"/>
    <cellStyle name="Comma 2 2 3 4 5 9" xfId="29805"/>
    <cellStyle name="Comma 2 2 3 4 6" xfId="870"/>
    <cellStyle name="Comma 2 2 3 4 6 10" xfId="33096"/>
    <cellStyle name="Comma 2 2 3 4 6 2" xfId="9641"/>
    <cellStyle name="Comma 2 2 3 4 6 2 2" xfId="25441"/>
    <cellStyle name="Comma 2 2 3 4 6 2 2 2" xfId="44868"/>
    <cellStyle name="Comma 2 2 3 4 6 2 2 3" xfId="38445"/>
    <cellStyle name="Comma 2 2 3 4 6 2 3" xfId="27619"/>
    <cellStyle name="Comma 2 2 3 4 6 2 3 2" xfId="41661"/>
    <cellStyle name="Comma 2 2 3 4 6 2 4" xfId="30954"/>
    <cellStyle name="Comma 2 2 3 4 6 2 5" xfId="35237"/>
    <cellStyle name="Comma 2 2 3 4 6 3" xfId="15271"/>
    <cellStyle name="Comma 2 2 3 4 6 3 2" xfId="24284"/>
    <cellStyle name="Comma 2 2 3 4 6 3 2 2" xfId="43713"/>
    <cellStyle name="Comma 2 2 3 4 6 3 2 3" xfId="37290"/>
    <cellStyle name="Comma 2 2 3 4 6 3 3" xfId="28607"/>
    <cellStyle name="Comma 2 2 3 4 6 3 3 2" xfId="40506"/>
    <cellStyle name="Comma 2 2 3 4 6 3 4" xfId="31942"/>
    <cellStyle name="Comma 2 2 3 4 6 3 5" xfId="34082"/>
    <cellStyle name="Comma 2 2 3 4 6 4" xfId="8087"/>
    <cellStyle name="Comma 2 2 3 4 6 4 2" xfId="42727"/>
    <cellStyle name="Comma 2 2 3 4 6 4 3" xfId="36303"/>
    <cellStyle name="Comma 2 2 3 4 6 5" xfId="21078"/>
    <cellStyle name="Comma 2 2 3 4 6 5 2" xfId="39520"/>
    <cellStyle name="Comma 2 2 3 4 6 6" xfId="22151"/>
    <cellStyle name="Comma 2 2 3 4 6 7" xfId="23298"/>
    <cellStyle name="Comma 2 2 3 4 6 8" xfId="26473"/>
    <cellStyle name="Comma 2 2 3 4 6 9" xfId="29806"/>
    <cellStyle name="Comma 2 2 3 4 7" xfId="9078"/>
    <cellStyle name="Comma 2 2 3 4 7 2" xfId="25133"/>
    <cellStyle name="Comma 2 2 3 4 7 2 2" xfId="44560"/>
    <cellStyle name="Comma 2 2 3 4 7 2 3" xfId="38137"/>
    <cellStyle name="Comma 2 2 3 4 7 3" xfId="27312"/>
    <cellStyle name="Comma 2 2 3 4 7 3 2" xfId="41353"/>
    <cellStyle name="Comma 2 2 3 4 7 4" xfId="30647"/>
    <cellStyle name="Comma 2 2 3 4 7 5" xfId="34929"/>
    <cellStyle name="Comma 2 2 3 4 8" xfId="15266"/>
    <cellStyle name="Comma 2 2 3 4 8 2" xfId="24279"/>
    <cellStyle name="Comma 2 2 3 4 8 2 2" xfId="43708"/>
    <cellStyle name="Comma 2 2 3 4 8 2 3" xfId="37285"/>
    <cellStyle name="Comma 2 2 3 4 8 3" xfId="28602"/>
    <cellStyle name="Comma 2 2 3 4 8 3 2" xfId="40501"/>
    <cellStyle name="Comma 2 2 3 4 8 4" xfId="31937"/>
    <cellStyle name="Comma 2 2 3 4 8 5" xfId="34077"/>
    <cellStyle name="Comma 2 2 3 4 9" xfId="8082"/>
    <cellStyle name="Comma 2 2 3 4 9 2" xfId="42423"/>
    <cellStyle name="Comma 2 2 3 4 9 3" xfId="35999"/>
    <cellStyle name="Comma 2 2 3 5" xfId="871"/>
    <cellStyle name="Comma 2 2 3 5 10" xfId="22152"/>
    <cellStyle name="Comma 2 2 3 5 11" xfId="23299"/>
    <cellStyle name="Comma 2 2 3 5 12" xfId="26474"/>
    <cellStyle name="Comma 2 2 3 5 13" xfId="29807"/>
    <cellStyle name="Comma 2 2 3 5 14" xfId="33097"/>
    <cellStyle name="Comma 2 2 3 5 2" xfId="872"/>
    <cellStyle name="Comma 2 2 3 5 2 10" xfId="33098"/>
    <cellStyle name="Comma 2 2 3 5 2 2" xfId="9643"/>
    <cellStyle name="Comma 2 2 3 5 2 2 2" xfId="25443"/>
    <cellStyle name="Comma 2 2 3 5 2 2 2 2" xfId="44870"/>
    <cellStyle name="Comma 2 2 3 5 2 2 2 3" xfId="38447"/>
    <cellStyle name="Comma 2 2 3 5 2 2 3" xfId="27621"/>
    <cellStyle name="Comma 2 2 3 5 2 2 3 2" xfId="41663"/>
    <cellStyle name="Comma 2 2 3 5 2 2 4" xfId="30956"/>
    <cellStyle name="Comma 2 2 3 5 2 2 5" xfId="35239"/>
    <cellStyle name="Comma 2 2 3 5 2 3" xfId="15273"/>
    <cellStyle name="Comma 2 2 3 5 2 3 2" xfId="24286"/>
    <cellStyle name="Comma 2 2 3 5 2 3 2 2" xfId="43715"/>
    <cellStyle name="Comma 2 2 3 5 2 3 2 3" xfId="37292"/>
    <cellStyle name="Comma 2 2 3 5 2 3 3" xfId="28609"/>
    <cellStyle name="Comma 2 2 3 5 2 3 3 2" xfId="40508"/>
    <cellStyle name="Comma 2 2 3 5 2 3 4" xfId="31944"/>
    <cellStyle name="Comma 2 2 3 5 2 3 5" xfId="34084"/>
    <cellStyle name="Comma 2 2 3 5 2 4" xfId="8089"/>
    <cellStyle name="Comma 2 2 3 5 2 4 2" xfId="42729"/>
    <cellStyle name="Comma 2 2 3 5 2 4 3" xfId="36305"/>
    <cellStyle name="Comma 2 2 3 5 2 5" xfId="21080"/>
    <cellStyle name="Comma 2 2 3 5 2 5 2" xfId="39522"/>
    <cellStyle name="Comma 2 2 3 5 2 6" xfId="22153"/>
    <cellStyle name="Comma 2 2 3 5 2 7" xfId="23300"/>
    <cellStyle name="Comma 2 2 3 5 2 8" xfId="26475"/>
    <cellStyle name="Comma 2 2 3 5 2 9" xfId="29808"/>
    <cellStyle name="Comma 2 2 3 5 3" xfId="873"/>
    <cellStyle name="Comma 2 2 3 5 3 10" xfId="33099"/>
    <cellStyle name="Comma 2 2 3 5 3 2" xfId="9644"/>
    <cellStyle name="Comma 2 2 3 5 3 2 2" xfId="25444"/>
    <cellStyle name="Comma 2 2 3 5 3 2 2 2" xfId="44871"/>
    <cellStyle name="Comma 2 2 3 5 3 2 2 3" xfId="38448"/>
    <cellStyle name="Comma 2 2 3 5 3 2 3" xfId="27622"/>
    <cellStyle name="Comma 2 2 3 5 3 2 3 2" xfId="41664"/>
    <cellStyle name="Comma 2 2 3 5 3 2 4" xfId="30957"/>
    <cellStyle name="Comma 2 2 3 5 3 2 5" xfId="35240"/>
    <cellStyle name="Comma 2 2 3 5 3 3" xfId="15274"/>
    <cellStyle name="Comma 2 2 3 5 3 3 2" xfId="24287"/>
    <cellStyle name="Comma 2 2 3 5 3 3 2 2" xfId="43716"/>
    <cellStyle name="Comma 2 2 3 5 3 3 2 3" xfId="37293"/>
    <cellStyle name="Comma 2 2 3 5 3 3 3" xfId="28610"/>
    <cellStyle name="Comma 2 2 3 5 3 3 3 2" xfId="40509"/>
    <cellStyle name="Comma 2 2 3 5 3 3 4" xfId="31945"/>
    <cellStyle name="Comma 2 2 3 5 3 3 5" xfId="34085"/>
    <cellStyle name="Comma 2 2 3 5 3 4" xfId="8090"/>
    <cellStyle name="Comma 2 2 3 5 3 4 2" xfId="42730"/>
    <cellStyle name="Comma 2 2 3 5 3 4 3" xfId="36306"/>
    <cellStyle name="Comma 2 2 3 5 3 5" xfId="21081"/>
    <cellStyle name="Comma 2 2 3 5 3 5 2" xfId="39523"/>
    <cellStyle name="Comma 2 2 3 5 3 6" xfId="22154"/>
    <cellStyle name="Comma 2 2 3 5 3 7" xfId="23301"/>
    <cellStyle name="Comma 2 2 3 5 3 8" xfId="26476"/>
    <cellStyle name="Comma 2 2 3 5 3 9" xfId="29809"/>
    <cellStyle name="Comma 2 2 3 5 4" xfId="874"/>
    <cellStyle name="Comma 2 2 3 5 4 10" xfId="33100"/>
    <cellStyle name="Comma 2 2 3 5 4 2" xfId="9645"/>
    <cellStyle name="Comma 2 2 3 5 4 2 2" xfId="25445"/>
    <cellStyle name="Comma 2 2 3 5 4 2 2 2" xfId="44872"/>
    <cellStyle name="Comma 2 2 3 5 4 2 2 3" xfId="38449"/>
    <cellStyle name="Comma 2 2 3 5 4 2 3" xfId="27623"/>
    <cellStyle name="Comma 2 2 3 5 4 2 3 2" xfId="41665"/>
    <cellStyle name="Comma 2 2 3 5 4 2 4" xfId="30958"/>
    <cellStyle name="Comma 2 2 3 5 4 2 5" xfId="35241"/>
    <cellStyle name="Comma 2 2 3 5 4 3" xfId="15275"/>
    <cellStyle name="Comma 2 2 3 5 4 3 2" xfId="24288"/>
    <cellStyle name="Comma 2 2 3 5 4 3 2 2" xfId="43717"/>
    <cellStyle name="Comma 2 2 3 5 4 3 2 3" xfId="37294"/>
    <cellStyle name="Comma 2 2 3 5 4 3 3" xfId="28611"/>
    <cellStyle name="Comma 2 2 3 5 4 3 3 2" xfId="40510"/>
    <cellStyle name="Comma 2 2 3 5 4 3 4" xfId="31946"/>
    <cellStyle name="Comma 2 2 3 5 4 3 5" xfId="34086"/>
    <cellStyle name="Comma 2 2 3 5 4 4" xfId="8091"/>
    <cellStyle name="Comma 2 2 3 5 4 4 2" xfId="42731"/>
    <cellStyle name="Comma 2 2 3 5 4 4 3" xfId="36307"/>
    <cellStyle name="Comma 2 2 3 5 4 5" xfId="21082"/>
    <cellStyle name="Comma 2 2 3 5 4 5 2" xfId="39524"/>
    <cellStyle name="Comma 2 2 3 5 4 6" xfId="22155"/>
    <cellStyle name="Comma 2 2 3 5 4 7" xfId="23302"/>
    <cellStyle name="Comma 2 2 3 5 4 8" xfId="26477"/>
    <cellStyle name="Comma 2 2 3 5 4 9" xfId="29810"/>
    <cellStyle name="Comma 2 2 3 5 5" xfId="875"/>
    <cellStyle name="Comma 2 2 3 5 5 10" xfId="33101"/>
    <cellStyle name="Comma 2 2 3 5 5 2" xfId="9646"/>
    <cellStyle name="Comma 2 2 3 5 5 2 2" xfId="25446"/>
    <cellStyle name="Comma 2 2 3 5 5 2 2 2" xfId="44873"/>
    <cellStyle name="Comma 2 2 3 5 5 2 2 3" xfId="38450"/>
    <cellStyle name="Comma 2 2 3 5 5 2 3" xfId="27624"/>
    <cellStyle name="Comma 2 2 3 5 5 2 3 2" xfId="41666"/>
    <cellStyle name="Comma 2 2 3 5 5 2 4" xfId="30959"/>
    <cellStyle name="Comma 2 2 3 5 5 2 5" xfId="35242"/>
    <cellStyle name="Comma 2 2 3 5 5 3" xfId="15276"/>
    <cellStyle name="Comma 2 2 3 5 5 3 2" xfId="24289"/>
    <cellStyle name="Comma 2 2 3 5 5 3 2 2" xfId="43718"/>
    <cellStyle name="Comma 2 2 3 5 5 3 2 3" xfId="37295"/>
    <cellStyle name="Comma 2 2 3 5 5 3 3" xfId="28612"/>
    <cellStyle name="Comma 2 2 3 5 5 3 3 2" xfId="40511"/>
    <cellStyle name="Comma 2 2 3 5 5 3 4" xfId="31947"/>
    <cellStyle name="Comma 2 2 3 5 5 3 5" xfId="34087"/>
    <cellStyle name="Comma 2 2 3 5 5 4" xfId="8092"/>
    <cellStyle name="Comma 2 2 3 5 5 4 2" xfId="42732"/>
    <cellStyle name="Comma 2 2 3 5 5 4 3" xfId="36308"/>
    <cellStyle name="Comma 2 2 3 5 5 5" xfId="21083"/>
    <cellStyle name="Comma 2 2 3 5 5 5 2" xfId="39525"/>
    <cellStyle name="Comma 2 2 3 5 5 6" xfId="22156"/>
    <cellStyle name="Comma 2 2 3 5 5 7" xfId="23303"/>
    <cellStyle name="Comma 2 2 3 5 5 8" xfId="26478"/>
    <cellStyle name="Comma 2 2 3 5 5 9" xfId="29811"/>
    <cellStyle name="Comma 2 2 3 5 6" xfId="9642"/>
    <cellStyle name="Comma 2 2 3 5 6 2" xfId="25442"/>
    <cellStyle name="Comma 2 2 3 5 6 2 2" xfId="44869"/>
    <cellStyle name="Comma 2 2 3 5 6 2 3" xfId="38446"/>
    <cellStyle name="Comma 2 2 3 5 6 3" xfId="27620"/>
    <cellStyle name="Comma 2 2 3 5 6 3 2" xfId="41662"/>
    <cellStyle name="Comma 2 2 3 5 6 4" xfId="30955"/>
    <cellStyle name="Comma 2 2 3 5 6 5" xfId="35238"/>
    <cellStyle name="Comma 2 2 3 5 7" xfId="15272"/>
    <cellStyle name="Comma 2 2 3 5 7 2" xfId="24285"/>
    <cellStyle name="Comma 2 2 3 5 7 2 2" xfId="43714"/>
    <cellStyle name="Comma 2 2 3 5 7 2 3" xfId="37291"/>
    <cellStyle name="Comma 2 2 3 5 7 3" xfId="28608"/>
    <cellStyle name="Comma 2 2 3 5 7 3 2" xfId="40507"/>
    <cellStyle name="Comma 2 2 3 5 7 4" xfId="31943"/>
    <cellStyle name="Comma 2 2 3 5 7 5" xfId="34083"/>
    <cellStyle name="Comma 2 2 3 5 8" xfId="8088"/>
    <cellStyle name="Comma 2 2 3 5 8 2" xfId="42728"/>
    <cellStyle name="Comma 2 2 3 5 8 3" xfId="36304"/>
    <cellStyle name="Comma 2 2 3 5 9" xfId="21079"/>
    <cellStyle name="Comma 2 2 3 5 9 2" xfId="39521"/>
    <cellStyle name="Comma 2 2 3 6" xfId="876"/>
    <cellStyle name="Comma 2 2 3 6 10" xfId="22157"/>
    <cellStyle name="Comma 2 2 3 6 11" xfId="23304"/>
    <cellStyle name="Comma 2 2 3 6 12" xfId="26479"/>
    <cellStyle name="Comma 2 2 3 6 13" xfId="29812"/>
    <cellStyle name="Comma 2 2 3 6 14" xfId="33102"/>
    <cellStyle name="Comma 2 2 3 6 2" xfId="877"/>
    <cellStyle name="Comma 2 2 3 6 2 10" xfId="33103"/>
    <cellStyle name="Comma 2 2 3 6 2 2" xfId="9648"/>
    <cellStyle name="Comma 2 2 3 6 2 2 2" xfId="25448"/>
    <cellStyle name="Comma 2 2 3 6 2 2 2 2" xfId="44875"/>
    <cellStyle name="Comma 2 2 3 6 2 2 2 3" xfId="38452"/>
    <cellStyle name="Comma 2 2 3 6 2 2 3" xfId="27626"/>
    <cellStyle name="Comma 2 2 3 6 2 2 3 2" xfId="41668"/>
    <cellStyle name="Comma 2 2 3 6 2 2 4" xfId="30961"/>
    <cellStyle name="Comma 2 2 3 6 2 2 5" xfId="35244"/>
    <cellStyle name="Comma 2 2 3 6 2 3" xfId="15278"/>
    <cellStyle name="Comma 2 2 3 6 2 3 2" xfId="24291"/>
    <cellStyle name="Comma 2 2 3 6 2 3 2 2" xfId="43720"/>
    <cellStyle name="Comma 2 2 3 6 2 3 2 3" xfId="37297"/>
    <cellStyle name="Comma 2 2 3 6 2 3 3" xfId="28614"/>
    <cellStyle name="Comma 2 2 3 6 2 3 3 2" xfId="40513"/>
    <cellStyle name="Comma 2 2 3 6 2 3 4" xfId="31949"/>
    <cellStyle name="Comma 2 2 3 6 2 3 5" xfId="34089"/>
    <cellStyle name="Comma 2 2 3 6 2 4" xfId="8094"/>
    <cellStyle name="Comma 2 2 3 6 2 4 2" xfId="42734"/>
    <cellStyle name="Comma 2 2 3 6 2 4 3" xfId="36310"/>
    <cellStyle name="Comma 2 2 3 6 2 5" xfId="21085"/>
    <cellStyle name="Comma 2 2 3 6 2 5 2" xfId="39527"/>
    <cellStyle name="Comma 2 2 3 6 2 6" xfId="22158"/>
    <cellStyle name="Comma 2 2 3 6 2 7" xfId="23305"/>
    <cellStyle name="Comma 2 2 3 6 2 8" xfId="26480"/>
    <cellStyle name="Comma 2 2 3 6 2 9" xfId="29813"/>
    <cellStyle name="Comma 2 2 3 6 3" xfId="878"/>
    <cellStyle name="Comma 2 2 3 6 3 10" xfId="33104"/>
    <cellStyle name="Comma 2 2 3 6 3 2" xfId="9649"/>
    <cellStyle name="Comma 2 2 3 6 3 2 2" xfId="25449"/>
    <cellStyle name="Comma 2 2 3 6 3 2 2 2" xfId="44876"/>
    <cellStyle name="Comma 2 2 3 6 3 2 2 3" xfId="38453"/>
    <cellStyle name="Comma 2 2 3 6 3 2 3" xfId="27627"/>
    <cellStyle name="Comma 2 2 3 6 3 2 3 2" xfId="41669"/>
    <cellStyle name="Comma 2 2 3 6 3 2 4" xfId="30962"/>
    <cellStyle name="Comma 2 2 3 6 3 2 5" xfId="35245"/>
    <cellStyle name="Comma 2 2 3 6 3 3" xfId="15279"/>
    <cellStyle name="Comma 2 2 3 6 3 3 2" xfId="24292"/>
    <cellStyle name="Comma 2 2 3 6 3 3 2 2" xfId="43721"/>
    <cellStyle name="Comma 2 2 3 6 3 3 2 3" xfId="37298"/>
    <cellStyle name="Comma 2 2 3 6 3 3 3" xfId="28615"/>
    <cellStyle name="Comma 2 2 3 6 3 3 3 2" xfId="40514"/>
    <cellStyle name="Comma 2 2 3 6 3 3 4" xfId="31950"/>
    <cellStyle name="Comma 2 2 3 6 3 3 5" xfId="34090"/>
    <cellStyle name="Comma 2 2 3 6 3 4" xfId="8095"/>
    <cellStyle name="Comma 2 2 3 6 3 4 2" xfId="42735"/>
    <cellStyle name="Comma 2 2 3 6 3 4 3" xfId="36311"/>
    <cellStyle name="Comma 2 2 3 6 3 5" xfId="21086"/>
    <cellStyle name="Comma 2 2 3 6 3 5 2" xfId="39528"/>
    <cellStyle name="Comma 2 2 3 6 3 6" xfId="22159"/>
    <cellStyle name="Comma 2 2 3 6 3 7" xfId="23306"/>
    <cellStyle name="Comma 2 2 3 6 3 8" xfId="26481"/>
    <cellStyle name="Comma 2 2 3 6 3 9" xfId="29814"/>
    <cellStyle name="Comma 2 2 3 6 4" xfId="879"/>
    <cellStyle name="Comma 2 2 3 6 4 10" xfId="33105"/>
    <cellStyle name="Comma 2 2 3 6 4 2" xfId="9650"/>
    <cellStyle name="Comma 2 2 3 6 4 2 2" xfId="25450"/>
    <cellStyle name="Comma 2 2 3 6 4 2 2 2" xfId="44877"/>
    <cellStyle name="Comma 2 2 3 6 4 2 2 3" xfId="38454"/>
    <cellStyle name="Comma 2 2 3 6 4 2 3" xfId="27628"/>
    <cellStyle name="Comma 2 2 3 6 4 2 3 2" xfId="41670"/>
    <cellStyle name="Comma 2 2 3 6 4 2 4" xfId="30963"/>
    <cellStyle name="Comma 2 2 3 6 4 2 5" xfId="35246"/>
    <cellStyle name="Comma 2 2 3 6 4 3" xfId="15280"/>
    <cellStyle name="Comma 2 2 3 6 4 3 2" xfId="24293"/>
    <cellStyle name="Comma 2 2 3 6 4 3 2 2" xfId="43722"/>
    <cellStyle name="Comma 2 2 3 6 4 3 2 3" xfId="37299"/>
    <cellStyle name="Comma 2 2 3 6 4 3 3" xfId="28616"/>
    <cellStyle name="Comma 2 2 3 6 4 3 3 2" xfId="40515"/>
    <cellStyle name="Comma 2 2 3 6 4 3 4" xfId="31951"/>
    <cellStyle name="Comma 2 2 3 6 4 3 5" xfId="34091"/>
    <cellStyle name="Comma 2 2 3 6 4 4" xfId="8096"/>
    <cellStyle name="Comma 2 2 3 6 4 4 2" xfId="42736"/>
    <cellStyle name="Comma 2 2 3 6 4 4 3" xfId="36312"/>
    <cellStyle name="Comma 2 2 3 6 4 5" xfId="21087"/>
    <cellStyle name="Comma 2 2 3 6 4 5 2" xfId="39529"/>
    <cellStyle name="Comma 2 2 3 6 4 6" xfId="22160"/>
    <cellStyle name="Comma 2 2 3 6 4 7" xfId="23307"/>
    <cellStyle name="Comma 2 2 3 6 4 8" xfId="26482"/>
    <cellStyle name="Comma 2 2 3 6 4 9" xfId="29815"/>
    <cellStyle name="Comma 2 2 3 6 5" xfId="880"/>
    <cellStyle name="Comma 2 2 3 6 5 10" xfId="33106"/>
    <cellStyle name="Comma 2 2 3 6 5 2" xfId="9651"/>
    <cellStyle name="Comma 2 2 3 6 5 2 2" xfId="25451"/>
    <cellStyle name="Comma 2 2 3 6 5 2 2 2" xfId="44878"/>
    <cellStyle name="Comma 2 2 3 6 5 2 2 3" xfId="38455"/>
    <cellStyle name="Comma 2 2 3 6 5 2 3" xfId="27629"/>
    <cellStyle name="Comma 2 2 3 6 5 2 3 2" xfId="41671"/>
    <cellStyle name="Comma 2 2 3 6 5 2 4" xfId="30964"/>
    <cellStyle name="Comma 2 2 3 6 5 2 5" xfId="35247"/>
    <cellStyle name="Comma 2 2 3 6 5 3" xfId="15281"/>
    <cellStyle name="Comma 2 2 3 6 5 3 2" xfId="24294"/>
    <cellStyle name="Comma 2 2 3 6 5 3 2 2" xfId="43723"/>
    <cellStyle name="Comma 2 2 3 6 5 3 2 3" xfId="37300"/>
    <cellStyle name="Comma 2 2 3 6 5 3 3" xfId="28617"/>
    <cellStyle name="Comma 2 2 3 6 5 3 3 2" xfId="40516"/>
    <cellStyle name="Comma 2 2 3 6 5 3 4" xfId="31952"/>
    <cellStyle name="Comma 2 2 3 6 5 3 5" xfId="34092"/>
    <cellStyle name="Comma 2 2 3 6 5 4" xfId="8097"/>
    <cellStyle name="Comma 2 2 3 6 5 4 2" xfId="42737"/>
    <cellStyle name="Comma 2 2 3 6 5 4 3" xfId="36313"/>
    <cellStyle name="Comma 2 2 3 6 5 5" xfId="21088"/>
    <cellStyle name="Comma 2 2 3 6 5 5 2" xfId="39530"/>
    <cellStyle name="Comma 2 2 3 6 5 6" xfId="22161"/>
    <cellStyle name="Comma 2 2 3 6 5 7" xfId="23308"/>
    <cellStyle name="Comma 2 2 3 6 5 8" xfId="26483"/>
    <cellStyle name="Comma 2 2 3 6 5 9" xfId="29816"/>
    <cellStyle name="Comma 2 2 3 6 6" xfId="9647"/>
    <cellStyle name="Comma 2 2 3 6 6 2" xfId="25447"/>
    <cellStyle name="Comma 2 2 3 6 6 2 2" xfId="44874"/>
    <cellStyle name="Comma 2 2 3 6 6 2 3" xfId="38451"/>
    <cellStyle name="Comma 2 2 3 6 6 3" xfId="27625"/>
    <cellStyle name="Comma 2 2 3 6 6 3 2" xfId="41667"/>
    <cellStyle name="Comma 2 2 3 6 6 4" xfId="30960"/>
    <cellStyle name="Comma 2 2 3 6 6 5" xfId="35243"/>
    <cellStyle name="Comma 2 2 3 6 7" xfId="15277"/>
    <cellStyle name="Comma 2 2 3 6 7 2" xfId="24290"/>
    <cellStyle name="Comma 2 2 3 6 7 2 2" xfId="43719"/>
    <cellStyle name="Comma 2 2 3 6 7 2 3" xfId="37296"/>
    <cellStyle name="Comma 2 2 3 6 7 3" xfId="28613"/>
    <cellStyle name="Comma 2 2 3 6 7 3 2" xfId="40512"/>
    <cellStyle name="Comma 2 2 3 6 7 4" xfId="31948"/>
    <cellStyle name="Comma 2 2 3 6 7 5" xfId="34088"/>
    <cellStyle name="Comma 2 2 3 6 8" xfId="8093"/>
    <cellStyle name="Comma 2 2 3 6 8 2" xfId="42733"/>
    <cellStyle name="Comma 2 2 3 6 8 3" xfId="36309"/>
    <cellStyle name="Comma 2 2 3 6 9" xfId="21084"/>
    <cellStyle name="Comma 2 2 3 6 9 2" xfId="39526"/>
    <cellStyle name="Comma 2 2 3 7" xfId="881"/>
    <cellStyle name="Comma 2 2 3 7 10" xfId="33107"/>
    <cellStyle name="Comma 2 2 3 7 2" xfId="9652"/>
    <cellStyle name="Comma 2 2 3 7 2 2" xfId="25452"/>
    <cellStyle name="Comma 2 2 3 7 2 2 2" xfId="44879"/>
    <cellStyle name="Comma 2 2 3 7 2 2 3" xfId="38456"/>
    <cellStyle name="Comma 2 2 3 7 2 3" xfId="27630"/>
    <cellStyle name="Comma 2 2 3 7 2 3 2" xfId="41672"/>
    <cellStyle name="Comma 2 2 3 7 2 4" xfId="30965"/>
    <cellStyle name="Comma 2 2 3 7 2 5" xfId="35248"/>
    <cellStyle name="Comma 2 2 3 7 3" xfId="15282"/>
    <cellStyle name="Comma 2 2 3 7 3 2" xfId="24295"/>
    <cellStyle name="Comma 2 2 3 7 3 2 2" xfId="43724"/>
    <cellStyle name="Comma 2 2 3 7 3 2 3" xfId="37301"/>
    <cellStyle name="Comma 2 2 3 7 3 3" xfId="28618"/>
    <cellStyle name="Comma 2 2 3 7 3 3 2" xfId="40517"/>
    <cellStyle name="Comma 2 2 3 7 3 4" xfId="31953"/>
    <cellStyle name="Comma 2 2 3 7 3 5" xfId="34093"/>
    <cellStyle name="Comma 2 2 3 7 4" xfId="8098"/>
    <cellStyle name="Comma 2 2 3 7 4 2" xfId="42738"/>
    <cellStyle name="Comma 2 2 3 7 4 3" xfId="36314"/>
    <cellStyle name="Comma 2 2 3 7 5" xfId="21089"/>
    <cellStyle name="Comma 2 2 3 7 5 2" xfId="39531"/>
    <cellStyle name="Comma 2 2 3 7 6" xfId="22162"/>
    <cellStyle name="Comma 2 2 3 7 7" xfId="23309"/>
    <cellStyle name="Comma 2 2 3 7 8" xfId="26484"/>
    <cellStyle name="Comma 2 2 3 7 9" xfId="29817"/>
    <cellStyle name="Comma 2 2 3 8" xfId="882"/>
    <cellStyle name="Comma 2 2 3 8 10" xfId="33108"/>
    <cellStyle name="Comma 2 2 3 8 2" xfId="9653"/>
    <cellStyle name="Comma 2 2 3 8 2 2" xfId="25453"/>
    <cellStyle name="Comma 2 2 3 8 2 2 2" xfId="44880"/>
    <cellStyle name="Comma 2 2 3 8 2 2 3" xfId="38457"/>
    <cellStyle name="Comma 2 2 3 8 2 3" xfId="27631"/>
    <cellStyle name="Comma 2 2 3 8 2 3 2" xfId="41673"/>
    <cellStyle name="Comma 2 2 3 8 2 4" xfId="30966"/>
    <cellStyle name="Comma 2 2 3 8 2 5" xfId="35249"/>
    <cellStyle name="Comma 2 2 3 8 3" xfId="15283"/>
    <cellStyle name="Comma 2 2 3 8 3 2" xfId="24296"/>
    <cellStyle name="Comma 2 2 3 8 3 2 2" xfId="43725"/>
    <cellStyle name="Comma 2 2 3 8 3 2 3" xfId="37302"/>
    <cellStyle name="Comma 2 2 3 8 3 3" xfId="28619"/>
    <cellStyle name="Comma 2 2 3 8 3 3 2" xfId="40518"/>
    <cellStyle name="Comma 2 2 3 8 3 4" xfId="31954"/>
    <cellStyle name="Comma 2 2 3 8 3 5" xfId="34094"/>
    <cellStyle name="Comma 2 2 3 8 4" xfId="8099"/>
    <cellStyle name="Comma 2 2 3 8 4 2" xfId="42739"/>
    <cellStyle name="Comma 2 2 3 8 4 3" xfId="36315"/>
    <cellStyle name="Comma 2 2 3 8 5" xfId="21090"/>
    <cellStyle name="Comma 2 2 3 8 5 2" xfId="39532"/>
    <cellStyle name="Comma 2 2 3 8 6" xfId="22163"/>
    <cellStyle name="Comma 2 2 3 8 7" xfId="23310"/>
    <cellStyle name="Comma 2 2 3 8 8" xfId="26485"/>
    <cellStyle name="Comma 2 2 3 8 9" xfId="29818"/>
    <cellStyle name="Comma 2 2 3 9" xfId="883"/>
    <cellStyle name="Comma 2 2 3 9 10" xfId="33109"/>
    <cellStyle name="Comma 2 2 3 9 2" xfId="9654"/>
    <cellStyle name="Comma 2 2 3 9 2 2" xfId="25454"/>
    <cellStyle name="Comma 2 2 3 9 2 2 2" xfId="44881"/>
    <cellStyle name="Comma 2 2 3 9 2 2 3" xfId="38458"/>
    <cellStyle name="Comma 2 2 3 9 2 3" xfId="27632"/>
    <cellStyle name="Comma 2 2 3 9 2 3 2" xfId="41674"/>
    <cellStyle name="Comma 2 2 3 9 2 4" xfId="30967"/>
    <cellStyle name="Comma 2 2 3 9 2 5" xfId="35250"/>
    <cellStyle name="Comma 2 2 3 9 3" xfId="15284"/>
    <cellStyle name="Comma 2 2 3 9 3 2" xfId="24297"/>
    <cellStyle name="Comma 2 2 3 9 3 2 2" xfId="43726"/>
    <cellStyle name="Comma 2 2 3 9 3 2 3" xfId="37303"/>
    <cellStyle name="Comma 2 2 3 9 3 3" xfId="28620"/>
    <cellStyle name="Comma 2 2 3 9 3 3 2" xfId="40519"/>
    <cellStyle name="Comma 2 2 3 9 3 4" xfId="31955"/>
    <cellStyle name="Comma 2 2 3 9 3 5" xfId="34095"/>
    <cellStyle name="Comma 2 2 3 9 4" xfId="8100"/>
    <cellStyle name="Comma 2 2 3 9 4 2" xfId="42740"/>
    <cellStyle name="Comma 2 2 3 9 4 3" xfId="36316"/>
    <cellStyle name="Comma 2 2 3 9 5" xfId="21091"/>
    <cellStyle name="Comma 2 2 3 9 5 2" xfId="39533"/>
    <cellStyle name="Comma 2 2 3 9 6" xfId="22164"/>
    <cellStyle name="Comma 2 2 3 9 7" xfId="23311"/>
    <cellStyle name="Comma 2 2 3 9 8" xfId="26486"/>
    <cellStyle name="Comma 2 2 3 9 9" xfId="29819"/>
    <cellStyle name="Comma 2 2 4" xfId="198"/>
    <cellStyle name="Comma 2 2 4 10" xfId="884"/>
    <cellStyle name="Comma 2 2 4 10 10" xfId="33110"/>
    <cellStyle name="Comma 2 2 4 10 2" xfId="9655"/>
    <cellStyle name="Comma 2 2 4 10 2 2" xfId="25455"/>
    <cellStyle name="Comma 2 2 4 10 2 2 2" xfId="44882"/>
    <cellStyle name="Comma 2 2 4 10 2 2 3" xfId="38459"/>
    <cellStyle name="Comma 2 2 4 10 2 3" xfId="27633"/>
    <cellStyle name="Comma 2 2 4 10 2 3 2" xfId="41675"/>
    <cellStyle name="Comma 2 2 4 10 2 4" xfId="30968"/>
    <cellStyle name="Comma 2 2 4 10 2 5" xfId="35251"/>
    <cellStyle name="Comma 2 2 4 10 3" xfId="15286"/>
    <cellStyle name="Comma 2 2 4 10 3 2" xfId="24299"/>
    <cellStyle name="Comma 2 2 4 10 3 2 2" xfId="43728"/>
    <cellStyle name="Comma 2 2 4 10 3 2 3" xfId="37305"/>
    <cellStyle name="Comma 2 2 4 10 3 3" xfId="28622"/>
    <cellStyle name="Comma 2 2 4 10 3 3 2" xfId="40521"/>
    <cellStyle name="Comma 2 2 4 10 3 4" xfId="31957"/>
    <cellStyle name="Comma 2 2 4 10 3 5" xfId="34097"/>
    <cellStyle name="Comma 2 2 4 10 4" xfId="8102"/>
    <cellStyle name="Comma 2 2 4 10 4 2" xfId="42741"/>
    <cellStyle name="Comma 2 2 4 10 4 3" xfId="36317"/>
    <cellStyle name="Comma 2 2 4 10 5" xfId="21093"/>
    <cellStyle name="Comma 2 2 4 10 5 2" xfId="39534"/>
    <cellStyle name="Comma 2 2 4 10 6" xfId="22166"/>
    <cellStyle name="Comma 2 2 4 10 7" xfId="23312"/>
    <cellStyle name="Comma 2 2 4 10 8" xfId="26488"/>
    <cellStyle name="Comma 2 2 4 10 9" xfId="29821"/>
    <cellStyle name="Comma 2 2 4 11" xfId="9073"/>
    <cellStyle name="Comma 2 2 4 11 2" xfId="25128"/>
    <cellStyle name="Comma 2 2 4 11 2 2" xfId="44555"/>
    <cellStyle name="Comma 2 2 4 11 2 3" xfId="38132"/>
    <cellStyle name="Comma 2 2 4 11 3" xfId="27307"/>
    <cellStyle name="Comma 2 2 4 11 3 2" xfId="41348"/>
    <cellStyle name="Comma 2 2 4 11 4" xfId="30642"/>
    <cellStyle name="Comma 2 2 4 11 5" xfId="34924"/>
    <cellStyle name="Comma 2 2 4 12" xfId="15285"/>
    <cellStyle name="Comma 2 2 4 12 2" xfId="24298"/>
    <cellStyle name="Comma 2 2 4 12 2 2" xfId="43727"/>
    <cellStyle name="Comma 2 2 4 12 2 3" xfId="37304"/>
    <cellStyle name="Comma 2 2 4 12 3" xfId="28621"/>
    <cellStyle name="Comma 2 2 4 12 3 2" xfId="40520"/>
    <cellStyle name="Comma 2 2 4 12 4" xfId="31956"/>
    <cellStyle name="Comma 2 2 4 12 5" xfId="34096"/>
    <cellStyle name="Comma 2 2 4 13" xfId="8101"/>
    <cellStyle name="Comma 2 2 4 13 2" xfId="42418"/>
    <cellStyle name="Comma 2 2 4 13 3" xfId="35994"/>
    <cellStyle name="Comma 2 2 4 14" xfId="21092"/>
    <cellStyle name="Comma 2 2 4 14 2" xfId="39211"/>
    <cellStyle name="Comma 2 2 4 15" xfId="22165"/>
    <cellStyle name="Comma 2 2 4 16" xfId="22989"/>
    <cellStyle name="Comma 2 2 4 17" xfId="26487"/>
    <cellStyle name="Comma 2 2 4 18" xfId="29820"/>
    <cellStyle name="Comma 2 2 4 19" xfId="32787"/>
    <cellStyle name="Comma 2 2 4 2" xfId="268"/>
    <cellStyle name="Comma 2 2 4 2 10" xfId="15287"/>
    <cellStyle name="Comma 2 2 4 2 10 2" xfId="24300"/>
    <cellStyle name="Comma 2 2 4 2 10 2 2" xfId="43729"/>
    <cellStyle name="Comma 2 2 4 2 10 2 3" xfId="37306"/>
    <cellStyle name="Comma 2 2 4 2 10 3" xfId="28623"/>
    <cellStyle name="Comma 2 2 4 2 10 3 2" xfId="40522"/>
    <cellStyle name="Comma 2 2 4 2 10 4" xfId="31958"/>
    <cellStyle name="Comma 2 2 4 2 10 5" xfId="34098"/>
    <cellStyle name="Comma 2 2 4 2 11" xfId="8103"/>
    <cellStyle name="Comma 2 2 4 2 11 2" xfId="42469"/>
    <cellStyle name="Comma 2 2 4 2 11 3" xfId="36045"/>
    <cellStyle name="Comma 2 2 4 2 12" xfId="21094"/>
    <cellStyle name="Comma 2 2 4 2 12 2" xfId="39262"/>
    <cellStyle name="Comma 2 2 4 2 13" xfId="22167"/>
    <cellStyle name="Comma 2 2 4 2 14" xfId="23040"/>
    <cellStyle name="Comma 2 2 4 2 15" xfId="26489"/>
    <cellStyle name="Comma 2 2 4 2 16" xfId="29822"/>
    <cellStyle name="Comma 2 2 4 2 17" xfId="32838"/>
    <cellStyle name="Comma 2 2 4 2 2" xfId="240"/>
    <cellStyle name="Comma 2 2 4 2 2 10" xfId="21095"/>
    <cellStyle name="Comma 2 2 4 2 2 10 2" xfId="39240"/>
    <cellStyle name="Comma 2 2 4 2 2 11" xfId="22168"/>
    <cellStyle name="Comma 2 2 4 2 2 12" xfId="23018"/>
    <cellStyle name="Comma 2 2 4 2 2 13" xfId="26490"/>
    <cellStyle name="Comma 2 2 4 2 2 14" xfId="29823"/>
    <cellStyle name="Comma 2 2 4 2 2 15" xfId="32816"/>
    <cellStyle name="Comma 2 2 4 2 2 2" xfId="885"/>
    <cellStyle name="Comma 2 2 4 2 2 2 10" xfId="33111"/>
    <cellStyle name="Comma 2 2 4 2 2 2 2" xfId="9656"/>
    <cellStyle name="Comma 2 2 4 2 2 2 2 2" xfId="25456"/>
    <cellStyle name="Comma 2 2 4 2 2 2 2 2 2" xfId="44883"/>
    <cellStyle name="Comma 2 2 4 2 2 2 2 2 3" xfId="38460"/>
    <cellStyle name="Comma 2 2 4 2 2 2 2 3" xfId="27634"/>
    <cellStyle name="Comma 2 2 4 2 2 2 2 3 2" xfId="41676"/>
    <cellStyle name="Comma 2 2 4 2 2 2 2 4" xfId="30969"/>
    <cellStyle name="Comma 2 2 4 2 2 2 2 5" xfId="35252"/>
    <cellStyle name="Comma 2 2 4 2 2 2 3" xfId="15289"/>
    <cellStyle name="Comma 2 2 4 2 2 2 3 2" xfId="24302"/>
    <cellStyle name="Comma 2 2 4 2 2 2 3 2 2" xfId="43731"/>
    <cellStyle name="Comma 2 2 4 2 2 2 3 2 3" xfId="37308"/>
    <cellStyle name="Comma 2 2 4 2 2 2 3 3" xfId="28625"/>
    <cellStyle name="Comma 2 2 4 2 2 2 3 3 2" xfId="40524"/>
    <cellStyle name="Comma 2 2 4 2 2 2 3 4" xfId="31960"/>
    <cellStyle name="Comma 2 2 4 2 2 2 3 5" xfId="34100"/>
    <cellStyle name="Comma 2 2 4 2 2 2 4" xfId="8105"/>
    <cellStyle name="Comma 2 2 4 2 2 2 4 2" xfId="42742"/>
    <cellStyle name="Comma 2 2 4 2 2 2 4 3" xfId="36318"/>
    <cellStyle name="Comma 2 2 4 2 2 2 5" xfId="21096"/>
    <cellStyle name="Comma 2 2 4 2 2 2 5 2" xfId="39535"/>
    <cellStyle name="Comma 2 2 4 2 2 2 6" xfId="22169"/>
    <cellStyle name="Comma 2 2 4 2 2 2 7" xfId="23313"/>
    <cellStyle name="Comma 2 2 4 2 2 2 8" xfId="26491"/>
    <cellStyle name="Comma 2 2 4 2 2 2 9" xfId="29824"/>
    <cellStyle name="Comma 2 2 4 2 2 3" xfId="886"/>
    <cellStyle name="Comma 2 2 4 2 2 3 10" xfId="33112"/>
    <cellStyle name="Comma 2 2 4 2 2 3 2" xfId="9657"/>
    <cellStyle name="Comma 2 2 4 2 2 3 2 2" xfId="25457"/>
    <cellStyle name="Comma 2 2 4 2 2 3 2 2 2" xfId="44884"/>
    <cellStyle name="Comma 2 2 4 2 2 3 2 2 3" xfId="38461"/>
    <cellStyle name="Comma 2 2 4 2 2 3 2 3" xfId="27635"/>
    <cellStyle name="Comma 2 2 4 2 2 3 2 3 2" xfId="41677"/>
    <cellStyle name="Comma 2 2 4 2 2 3 2 4" xfId="30970"/>
    <cellStyle name="Comma 2 2 4 2 2 3 2 5" xfId="35253"/>
    <cellStyle name="Comma 2 2 4 2 2 3 3" xfId="15290"/>
    <cellStyle name="Comma 2 2 4 2 2 3 3 2" xfId="24303"/>
    <cellStyle name="Comma 2 2 4 2 2 3 3 2 2" xfId="43732"/>
    <cellStyle name="Comma 2 2 4 2 2 3 3 2 3" xfId="37309"/>
    <cellStyle name="Comma 2 2 4 2 2 3 3 3" xfId="28626"/>
    <cellStyle name="Comma 2 2 4 2 2 3 3 3 2" xfId="40525"/>
    <cellStyle name="Comma 2 2 4 2 2 3 3 4" xfId="31961"/>
    <cellStyle name="Comma 2 2 4 2 2 3 3 5" xfId="34101"/>
    <cellStyle name="Comma 2 2 4 2 2 3 4" xfId="8106"/>
    <cellStyle name="Comma 2 2 4 2 2 3 4 2" xfId="42743"/>
    <cellStyle name="Comma 2 2 4 2 2 3 4 3" xfId="36319"/>
    <cellStyle name="Comma 2 2 4 2 2 3 5" xfId="21097"/>
    <cellStyle name="Comma 2 2 4 2 2 3 5 2" xfId="39536"/>
    <cellStyle name="Comma 2 2 4 2 2 3 6" xfId="22170"/>
    <cellStyle name="Comma 2 2 4 2 2 3 7" xfId="23314"/>
    <cellStyle name="Comma 2 2 4 2 2 3 8" xfId="26492"/>
    <cellStyle name="Comma 2 2 4 2 2 3 9" xfId="29825"/>
    <cellStyle name="Comma 2 2 4 2 2 4" xfId="887"/>
    <cellStyle name="Comma 2 2 4 2 2 4 10" xfId="33113"/>
    <cellStyle name="Comma 2 2 4 2 2 4 2" xfId="9658"/>
    <cellStyle name="Comma 2 2 4 2 2 4 2 2" xfId="25458"/>
    <cellStyle name="Comma 2 2 4 2 2 4 2 2 2" xfId="44885"/>
    <cellStyle name="Comma 2 2 4 2 2 4 2 2 3" xfId="38462"/>
    <cellStyle name="Comma 2 2 4 2 2 4 2 3" xfId="27636"/>
    <cellStyle name="Comma 2 2 4 2 2 4 2 3 2" xfId="41678"/>
    <cellStyle name="Comma 2 2 4 2 2 4 2 4" xfId="30971"/>
    <cellStyle name="Comma 2 2 4 2 2 4 2 5" xfId="35254"/>
    <cellStyle name="Comma 2 2 4 2 2 4 3" xfId="15291"/>
    <cellStyle name="Comma 2 2 4 2 2 4 3 2" xfId="24304"/>
    <cellStyle name="Comma 2 2 4 2 2 4 3 2 2" xfId="43733"/>
    <cellStyle name="Comma 2 2 4 2 2 4 3 2 3" xfId="37310"/>
    <cellStyle name="Comma 2 2 4 2 2 4 3 3" xfId="28627"/>
    <cellStyle name="Comma 2 2 4 2 2 4 3 3 2" xfId="40526"/>
    <cellStyle name="Comma 2 2 4 2 2 4 3 4" xfId="31962"/>
    <cellStyle name="Comma 2 2 4 2 2 4 3 5" xfId="34102"/>
    <cellStyle name="Comma 2 2 4 2 2 4 4" xfId="8107"/>
    <cellStyle name="Comma 2 2 4 2 2 4 4 2" xfId="42744"/>
    <cellStyle name="Comma 2 2 4 2 2 4 4 3" xfId="36320"/>
    <cellStyle name="Comma 2 2 4 2 2 4 5" xfId="21098"/>
    <cellStyle name="Comma 2 2 4 2 2 4 5 2" xfId="39537"/>
    <cellStyle name="Comma 2 2 4 2 2 4 6" xfId="22171"/>
    <cellStyle name="Comma 2 2 4 2 2 4 7" xfId="23315"/>
    <cellStyle name="Comma 2 2 4 2 2 4 8" xfId="26493"/>
    <cellStyle name="Comma 2 2 4 2 2 4 9" xfId="29826"/>
    <cellStyle name="Comma 2 2 4 2 2 5" xfId="888"/>
    <cellStyle name="Comma 2 2 4 2 2 5 10" xfId="33114"/>
    <cellStyle name="Comma 2 2 4 2 2 5 2" xfId="9659"/>
    <cellStyle name="Comma 2 2 4 2 2 5 2 2" xfId="25459"/>
    <cellStyle name="Comma 2 2 4 2 2 5 2 2 2" xfId="44886"/>
    <cellStyle name="Comma 2 2 4 2 2 5 2 2 3" xfId="38463"/>
    <cellStyle name="Comma 2 2 4 2 2 5 2 3" xfId="27637"/>
    <cellStyle name="Comma 2 2 4 2 2 5 2 3 2" xfId="41679"/>
    <cellStyle name="Comma 2 2 4 2 2 5 2 4" xfId="30972"/>
    <cellStyle name="Comma 2 2 4 2 2 5 2 5" xfId="35255"/>
    <cellStyle name="Comma 2 2 4 2 2 5 3" xfId="15292"/>
    <cellStyle name="Comma 2 2 4 2 2 5 3 2" xfId="24305"/>
    <cellStyle name="Comma 2 2 4 2 2 5 3 2 2" xfId="43734"/>
    <cellStyle name="Comma 2 2 4 2 2 5 3 2 3" xfId="37311"/>
    <cellStyle name="Comma 2 2 4 2 2 5 3 3" xfId="28628"/>
    <cellStyle name="Comma 2 2 4 2 2 5 3 3 2" xfId="40527"/>
    <cellStyle name="Comma 2 2 4 2 2 5 3 4" xfId="31963"/>
    <cellStyle name="Comma 2 2 4 2 2 5 3 5" xfId="34103"/>
    <cellStyle name="Comma 2 2 4 2 2 5 4" xfId="8108"/>
    <cellStyle name="Comma 2 2 4 2 2 5 4 2" xfId="42745"/>
    <cellStyle name="Comma 2 2 4 2 2 5 4 3" xfId="36321"/>
    <cellStyle name="Comma 2 2 4 2 2 5 5" xfId="21099"/>
    <cellStyle name="Comma 2 2 4 2 2 5 5 2" xfId="39538"/>
    <cellStyle name="Comma 2 2 4 2 2 5 6" xfId="22172"/>
    <cellStyle name="Comma 2 2 4 2 2 5 7" xfId="23316"/>
    <cellStyle name="Comma 2 2 4 2 2 5 8" xfId="26494"/>
    <cellStyle name="Comma 2 2 4 2 2 5 9" xfId="29827"/>
    <cellStyle name="Comma 2 2 4 2 2 6" xfId="889"/>
    <cellStyle name="Comma 2 2 4 2 2 6 10" xfId="33115"/>
    <cellStyle name="Comma 2 2 4 2 2 6 2" xfId="9660"/>
    <cellStyle name="Comma 2 2 4 2 2 6 2 2" xfId="25460"/>
    <cellStyle name="Comma 2 2 4 2 2 6 2 2 2" xfId="44887"/>
    <cellStyle name="Comma 2 2 4 2 2 6 2 2 3" xfId="38464"/>
    <cellStyle name="Comma 2 2 4 2 2 6 2 3" xfId="27638"/>
    <cellStyle name="Comma 2 2 4 2 2 6 2 3 2" xfId="41680"/>
    <cellStyle name="Comma 2 2 4 2 2 6 2 4" xfId="30973"/>
    <cellStyle name="Comma 2 2 4 2 2 6 2 5" xfId="35256"/>
    <cellStyle name="Comma 2 2 4 2 2 6 3" xfId="15293"/>
    <cellStyle name="Comma 2 2 4 2 2 6 3 2" xfId="24306"/>
    <cellStyle name="Comma 2 2 4 2 2 6 3 2 2" xfId="43735"/>
    <cellStyle name="Comma 2 2 4 2 2 6 3 2 3" xfId="37312"/>
    <cellStyle name="Comma 2 2 4 2 2 6 3 3" xfId="28629"/>
    <cellStyle name="Comma 2 2 4 2 2 6 3 3 2" xfId="40528"/>
    <cellStyle name="Comma 2 2 4 2 2 6 3 4" xfId="31964"/>
    <cellStyle name="Comma 2 2 4 2 2 6 3 5" xfId="34104"/>
    <cellStyle name="Comma 2 2 4 2 2 6 4" xfId="8109"/>
    <cellStyle name="Comma 2 2 4 2 2 6 4 2" xfId="42746"/>
    <cellStyle name="Comma 2 2 4 2 2 6 4 3" xfId="36322"/>
    <cellStyle name="Comma 2 2 4 2 2 6 5" xfId="21100"/>
    <cellStyle name="Comma 2 2 4 2 2 6 5 2" xfId="39539"/>
    <cellStyle name="Comma 2 2 4 2 2 6 6" xfId="22173"/>
    <cellStyle name="Comma 2 2 4 2 2 6 7" xfId="23317"/>
    <cellStyle name="Comma 2 2 4 2 2 6 8" xfId="26495"/>
    <cellStyle name="Comma 2 2 4 2 2 6 9" xfId="29828"/>
    <cellStyle name="Comma 2 2 4 2 2 7" xfId="9103"/>
    <cellStyle name="Comma 2 2 4 2 2 7 2" xfId="25157"/>
    <cellStyle name="Comma 2 2 4 2 2 7 2 2" xfId="44584"/>
    <cellStyle name="Comma 2 2 4 2 2 7 2 3" xfId="38161"/>
    <cellStyle name="Comma 2 2 4 2 2 7 3" xfId="27336"/>
    <cellStyle name="Comma 2 2 4 2 2 7 3 2" xfId="41377"/>
    <cellStyle name="Comma 2 2 4 2 2 7 4" xfId="30671"/>
    <cellStyle name="Comma 2 2 4 2 2 7 5" xfId="34953"/>
    <cellStyle name="Comma 2 2 4 2 2 8" xfId="15288"/>
    <cellStyle name="Comma 2 2 4 2 2 8 2" xfId="24301"/>
    <cellStyle name="Comma 2 2 4 2 2 8 2 2" xfId="43730"/>
    <cellStyle name="Comma 2 2 4 2 2 8 2 3" xfId="37307"/>
    <cellStyle name="Comma 2 2 4 2 2 8 3" xfId="28624"/>
    <cellStyle name="Comma 2 2 4 2 2 8 3 2" xfId="40523"/>
    <cellStyle name="Comma 2 2 4 2 2 8 4" xfId="31959"/>
    <cellStyle name="Comma 2 2 4 2 2 8 5" xfId="34099"/>
    <cellStyle name="Comma 2 2 4 2 2 9" xfId="8104"/>
    <cellStyle name="Comma 2 2 4 2 2 9 2" xfId="42447"/>
    <cellStyle name="Comma 2 2 4 2 2 9 3" xfId="36023"/>
    <cellStyle name="Comma 2 2 4 2 3" xfId="890"/>
    <cellStyle name="Comma 2 2 4 2 3 10" xfId="22174"/>
    <cellStyle name="Comma 2 2 4 2 3 11" xfId="23318"/>
    <cellStyle name="Comma 2 2 4 2 3 12" xfId="26496"/>
    <cellStyle name="Comma 2 2 4 2 3 13" xfId="29829"/>
    <cellStyle name="Comma 2 2 4 2 3 14" xfId="33116"/>
    <cellStyle name="Comma 2 2 4 2 3 2" xfId="891"/>
    <cellStyle name="Comma 2 2 4 2 3 2 10" xfId="33117"/>
    <cellStyle name="Comma 2 2 4 2 3 2 2" xfId="9662"/>
    <cellStyle name="Comma 2 2 4 2 3 2 2 2" xfId="25462"/>
    <cellStyle name="Comma 2 2 4 2 3 2 2 2 2" xfId="44889"/>
    <cellStyle name="Comma 2 2 4 2 3 2 2 2 3" xfId="38466"/>
    <cellStyle name="Comma 2 2 4 2 3 2 2 3" xfId="27640"/>
    <cellStyle name="Comma 2 2 4 2 3 2 2 3 2" xfId="41682"/>
    <cellStyle name="Comma 2 2 4 2 3 2 2 4" xfId="30975"/>
    <cellStyle name="Comma 2 2 4 2 3 2 2 5" xfId="35258"/>
    <cellStyle name="Comma 2 2 4 2 3 2 3" xfId="15295"/>
    <cellStyle name="Comma 2 2 4 2 3 2 3 2" xfId="24308"/>
    <cellStyle name="Comma 2 2 4 2 3 2 3 2 2" xfId="43737"/>
    <cellStyle name="Comma 2 2 4 2 3 2 3 2 3" xfId="37314"/>
    <cellStyle name="Comma 2 2 4 2 3 2 3 3" xfId="28631"/>
    <cellStyle name="Comma 2 2 4 2 3 2 3 3 2" xfId="40530"/>
    <cellStyle name="Comma 2 2 4 2 3 2 3 4" xfId="31966"/>
    <cellStyle name="Comma 2 2 4 2 3 2 3 5" xfId="34106"/>
    <cellStyle name="Comma 2 2 4 2 3 2 4" xfId="8111"/>
    <cellStyle name="Comma 2 2 4 2 3 2 4 2" xfId="42748"/>
    <cellStyle name="Comma 2 2 4 2 3 2 4 3" xfId="36324"/>
    <cellStyle name="Comma 2 2 4 2 3 2 5" xfId="21102"/>
    <cellStyle name="Comma 2 2 4 2 3 2 5 2" xfId="39541"/>
    <cellStyle name="Comma 2 2 4 2 3 2 6" xfId="22175"/>
    <cellStyle name="Comma 2 2 4 2 3 2 7" xfId="23319"/>
    <cellStyle name="Comma 2 2 4 2 3 2 8" xfId="26497"/>
    <cellStyle name="Comma 2 2 4 2 3 2 9" xfId="29830"/>
    <cellStyle name="Comma 2 2 4 2 3 3" xfId="892"/>
    <cellStyle name="Comma 2 2 4 2 3 3 10" xfId="33118"/>
    <cellStyle name="Comma 2 2 4 2 3 3 2" xfId="9663"/>
    <cellStyle name="Comma 2 2 4 2 3 3 2 2" xfId="25463"/>
    <cellStyle name="Comma 2 2 4 2 3 3 2 2 2" xfId="44890"/>
    <cellStyle name="Comma 2 2 4 2 3 3 2 2 3" xfId="38467"/>
    <cellStyle name="Comma 2 2 4 2 3 3 2 3" xfId="27641"/>
    <cellStyle name="Comma 2 2 4 2 3 3 2 3 2" xfId="41683"/>
    <cellStyle name="Comma 2 2 4 2 3 3 2 4" xfId="30976"/>
    <cellStyle name="Comma 2 2 4 2 3 3 2 5" xfId="35259"/>
    <cellStyle name="Comma 2 2 4 2 3 3 3" xfId="15296"/>
    <cellStyle name="Comma 2 2 4 2 3 3 3 2" xfId="24309"/>
    <cellStyle name="Comma 2 2 4 2 3 3 3 2 2" xfId="43738"/>
    <cellStyle name="Comma 2 2 4 2 3 3 3 2 3" xfId="37315"/>
    <cellStyle name="Comma 2 2 4 2 3 3 3 3" xfId="28632"/>
    <cellStyle name="Comma 2 2 4 2 3 3 3 3 2" xfId="40531"/>
    <cellStyle name="Comma 2 2 4 2 3 3 3 4" xfId="31967"/>
    <cellStyle name="Comma 2 2 4 2 3 3 3 5" xfId="34107"/>
    <cellStyle name="Comma 2 2 4 2 3 3 4" xfId="8112"/>
    <cellStyle name="Comma 2 2 4 2 3 3 4 2" xfId="42749"/>
    <cellStyle name="Comma 2 2 4 2 3 3 4 3" xfId="36325"/>
    <cellStyle name="Comma 2 2 4 2 3 3 5" xfId="21103"/>
    <cellStyle name="Comma 2 2 4 2 3 3 5 2" xfId="39542"/>
    <cellStyle name="Comma 2 2 4 2 3 3 6" xfId="22176"/>
    <cellStyle name="Comma 2 2 4 2 3 3 7" xfId="23320"/>
    <cellStyle name="Comma 2 2 4 2 3 3 8" xfId="26498"/>
    <cellStyle name="Comma 2 2 4 2 3 3 9" xfId="29831"/>
    <cellStyle name="Comma 2 2 4 2 3 4" xfId="893"/>
    <cellStyle name="Comma 2 2 4 2 3 4 10" xfId="33119"/>
    <cellStyle name="Comma 2 2 4 2 3 4 2" xfId="9664"/>
    <cellStyle name="Comma 2 2 4 2 3 4 2 2" xfId="25464"/>
    <cellStyle name="Comma 2 2 4 2 3 4 2 2 2" xfId="44891"/>
    <cellStyle name="Comma 2 2 4 2 3 4 2 2 3" xfId="38468"/>
    <cellStyle name="Comma 2 2 4 2 3 4 2 3" xfId="27642"/>
    <cellStyle name="Comma 2 2 4 2 3 4 2 3 2" xfId="41684"/>
    <cellStyle name="Comma 2 2 4 2 3 4 2 4" xfId="30977"/>
    <cellStyle name="Comma 2 2 4 2 3 4 2 5" xfId="35260"/>
    <cellStyle name="Comma 2 2 4 2 3 4 3" xfId="15297"/>
    <cellStyle name="Comma 2 2 4 2 3 4 3 2" xfId="24310"/>
    <cellStyle name="Comma 2 2 4 2 3 4 3 2 2" xfId="43739"/>
    <cellStyle name="Comma 2 2 4 2 3 4 3 2 3" xfId="37316"/>
    <cellStyle name="Comma 2 2 4 2 3 4 3 3" xfId="28633"/>
    <cellStyle name="Comma 2 2 4 2 3 4 3 3 2" xfId="40532"/>
    <cellStyle name="Comma 2 2 4 2 3 4 3 4" xfId="31968"/>
    <cellStyle name="Comma 2 2 4 2 3 4 3 5" xfId="34108"/>
    <cellStyle name="Comma 2 2 4 2 3 4 4" xfId="8113"/>
    <cellStyle name="Comma 2 2 4 2 3 4 4 2" xfId="42750"/>
    <cellStyle name="Comma 2 2 4 2 3 4 4 3" xfId="36326"/>
    <cellStyle name="Comma 2 2 4 2 3 4 5" xfId="21104"/>
    <cellStyle name="Comma 2 2 4 2 3 4 5 2" xfId="39543"/>
    <cellStyle name="Comma 2 2 4 2 3 4 6" xfId="22177"/>
    <cellStyle name="Comma 2 2 4 2 3 4 7" xfId="23321"/>
    <cellStyle name="Comma 2 2 4 2 3 4 8" xfId="26499"/>
    <cellStyle name="Comma 2 2 4 2 3 4 9" xfId="29832"/>
    <cellStyle name="Comma 2 2 4 2 3 5" xfId="894"/>
    <cellStyle name="Comma 2 2 4 2 3 5 10" xfId="33120"/>
    <cellStyle name="Comma 2 2 4 2 3 5 2" xfId="9665"/>
    <cellStyle name="Comma 2 2 4 2 3 5 2 2" xfId="25465"/>
    <cellStyle name="Comma 2 2 4 2 3 5 2 2 2" xfId="44892"/>
    <cellStyle name="Comma 2 2 4 2 3 5 2 2 3" xfId="38469"/>
    <cellStyle name="Comma 2 2 4 2 3 5 2 3" xfId="27643"/>
    <cellStyle name="Comma 2 2 4 2 3 5 2 3 2" xfId="41685"/>
    <cellStyle name="Comma 2 2 4 2 3 5 2 4" xfId="30978"/>
    <cellStyle name="Comma 2 2 4 2 3 5 2 5" xfId="35261"/>
    <cellStyle name="Comma 2 2 4 2 3 5 3" xfId="15298"/>
    <cellStyle name="Comma 2 2 4 2 3 5 3 2" xfId="24311"/>
    <cellStyle name="Comma 2 2 4 2 3 5 3 2 2" xfId="43740"/>
    <cellStyle name="Comma 2 2 4 2 3 5 3 2 3" xfId="37317"/>
    <cellStyle name="Comma 2 2 4 2 3 5 3 3" xfId="28634"/>
    <cellStyle name="Comma 2 2 4 2 3 5 3 3 2" xfId="40533"/>
    <cellStyle name="Comma 2 2 4 2 3 5 3 4" xfId="31969"/>
    <cellStyle name="Comma 2 2 4 2 3 5 3 5" xfId="34109"/>
    <cellStyle name="Comma 2 2 4 2 3 5 4" xfId="8114"/>
    <cellStyle name="Comma 2 2 4 2 3 5 4 2" xfId="42751"/>
    <cellStyle name="Comma 2 2 4 2 3 5 4 3" xfId="36327"/>
    <cellStyle name="Comma 2 2 4 2 3 5 5" xfId="21105"/>
    <cellStyle name="Comma 2 2 4 2 3 5 5 2" xfId="39544"/>
    <cellStyle name="Comma 2 2 4 2 3 5 6" xfId="22178"/>
    <cellStyle name="Comma 2 2 4 2 3 5 7" xfId="23322"/>
    <cellStyle name="Comma 2 2 4 2 3 5 8" xfId="26500"/>
    <cellStyle name="Comma 2 2 4 2 3 5 9" xfId="29833"/>
    <cellStyle name="Comma 2 2 4 2 3 6" xfId="9661"/>
    <cellStyle name="Comma 2 2 4 2 3 6 2" xfId="25461"/>
    <cellStyle name="Comma 2 2 4 2 3 6 2 2" xfId="44888"/>
    <cellStyle name="Comma 2 2 4 2 3 6 2 3" xfId="38465"/>
    <cellStyle name="Comma 2 2 4 2 3 6 3" xfId="27639"/>
    <cellStyle name="Comma 2 2 4 2 3 6 3 2" xfId="41681"/>
    <cellStyle name="Comma 2 2 4 2 3 6 4" xfId="30974"/>
    <cellStyle name="Comma 2 2 4 2 3 6 5" xfId="35257"/>
    <cellStyle name="Comma 2 2 4 2 3 7" xfId="15294"/>
    <cellStyle name="Comma 2 2 4 2 3 7 2" xfId="24307"/>
    <cellStyle name="Comma 2 2 4 2 3 7 2 2" xfId="43736"/>
    <cellStyle name="Comma 2 2 4 2 3 7 2 3" xfId="37313"/>
    <cellStyle name="Comma 2 2 4 2 3 7 3" xfId="28630"/>
    <cellStyle name="Comma 2 2 4 2 3 7 3 2" xfId="40529"/>
    <cellStyle name="Comma 2 2 4 2 3 7 4" xfId="31965"/>
    <cellStyle name="Comma 2 2 4 2 3 7 5" xfId="34105"/>
    <cellStyle name="Comma 2 2 4 2 3 8" xfId="8110"/>
    <cellStyle name="Comma 2 2 4 2 3 8 2" xfId="42747"/>
    <cellStyle name="Comma 2 2 4 2 3 8 3" xfId="36323"/>
    <cellStyle name="Comma 2 2 4 2 3 9" xfId="21101"/>
    <cellStyle name="Comma 2 2 4 2 3 9 2" xfId="39540"/>
    <cellStyle name="Comma 2 2 4 2 4" xfId="895"/>
    <cellStyle name="Comma 2 2 4 2 4 10" xfId="33121"/>
    <cellStyle name="Comma 2 2 4 2 4 2" xfId="9666"/>
    <cellStyle name="Comma 2 2 4 2 4 2 2" xfId="25466"/>
    <cellStyle name="Comma 2 2 4 2 4 2 2 2" xfId="44893"/>
    <cellStyle name="Comma 2 2 4 2 4 2 2 3" xfId="38470"/>
    <cellStyle name="Comma 2 2 4 2 4 2 3" xfId="27644"/>
    <cellStyle name="Comma 2 2 4 2 4 2 3 2" xfId="41686"/>
    <cellStyle name="Comma 2 2 4 2 4 2 4" xfId="30979"/>
    <cellStyle name="Comma 2 2 4 2 4 2 5" xfId="35262"/>
    <cellStyle name="Comma 2 2 4 2 4 3" xfId="15299"/>
    <cellStyle name="Comma 2 2 4 2 4 3 2" xfId="24312"/>
    <cellStyle name="Comma 2 2 4 2 4 3 2 2" xfId="43741"/>
    <cellStyle name="Comma 2 2 4 2 4 3 2 3" xfId="37318"/>
    <cellStyle name="Comma 2 2 4 2 4 3 3" xfId="28635"/>
    <cellStyle name="Comma 2 2 4 2 4 3 3 2" xfId="40534"/>
    <cellStyle name="Comma 2 2 4 2 4 3 4" xfId="31970"/>
    <cellStyle name="Comma 2 2 4 2 4 3 5" xfId="34110"/>
    <cellStyle name="Comma 2 2 4 2 4 4" xfId="8115"/>
    <cellStyle name="Comma 2 2 4 2 4 4 2" xfId="42752"/>
    <cellStyle name="Comma 2 2 4 2 4 4 3" xfId="36328"/>
    <cellStyle name="Comma 2 2 4 2 4 5" xfId="21106"/>
    <cellStyle name="Comma 2 2 4 2 4 5 2" xfId="39545"/>
    <cellStyle name="Comma 2 2 4 2 4 6" xfId="22179"/>
    <cellStyle name="Comma 2 2 4 2 4 7" xfId="23323"/>
    <cellStyle name="Comma 2 2 4 2 4 8" xfId="26501"/>
    <cellStyle name="Comma 2 2 4 2 4 9" xfId="29834"/>
    <cellStyle name="Comma 2 2 4 2 5" xfId="896"/>
    <cellStyle name="Comma 2 2 4 2 5 10" xfId="33122"/>
    <cellStyle name="Comma 2 2 4 2 5 2" xfId="9667"/>
    <cellStyle name="Comma 2 2 4 2 5 2 2" xfId="25467"/>
    <cellStyle name="Comma 2 2 4 2 5 2 2 2" xfId="44894"/>
    <cellStyle name="Comma 2 2 4 2 5 2 2 3" xfId="38471"/>
    <cellStyle name="Comma 2 2 4 2 5 2 3" xfId="27645"/>
    <cellStyle name="Comma 2 2 4 2 5 2 3 2" xfId="41687"/>
    <cellStyle name="Comma 2 2 4 2 5 2 4" xfId="30980"/>
    <cellStyle name="Comma 2 2 4 2 5 2 5" xfId="35263"/>
    <cellStyle name="Comma 2 2 4 2 5 3" xfId="15300"/>
    <cellStyle name="Comma 2 2 4 2 5 3 2" xfId="24313"/>
    <cellStyle name="Comma 2 2 4 2 5 3 2 2" xfId="43742"/>
    <cellStyle name="Comma 2 2 4 2 5 3 2 3" xfId="37319"/>
    <cellStyle name="Comma 2 2 4 2 5 3 3" xfId="28636"/>
    <cellStyle name="Comma 2 2 4 2 5 3 3 2" xfId="40535"/>
    <cellStyle name="Comma 2 2 4 2 5 3 4" xfId="31971"/>
    <cellStyle name="Comma 2 2 4 2 5 3 5" xfId="34111"/>
    <cellStyle name="Comma 2 2 4 2 5 4" xfId="8116"/>
    <cellStyle name="Comma 2 2 4 2 5 4 2" xfId="42753"/>
    <cellStyle name="Comma 2 2 4 2 5 4 3" xfId="36329"/>
    <cellStyle name="Comma 2 2 4 2 5 5" xfId="21107"/>
    <cellStyle name="Comma 2 2 4 2 5 5 2" xfId="39546"/>
    <cellStyle name="Comma 2 2 4 2 5 6" xfId="22180"/>
    <cellStyle name="Comma 2 2 4 2 5 7" xfId="23324"/>
    <cellStyle name="Comma 2 2 4 2 5 8" xfId="26502"/>
    <cellStyle name="Comma 2 2 4 2 5 9" xfId="29835"/>
    <cellStyle name="Comma 2 2 4 2 6" xfId="897"/>
    <cellStyle name="Comma 2 2 4 2 6 10" xfId="33123"/>
    <cellStyle name="Comma 2 2 4 2 6 2" xfId="9668"/>
    <cellStyle name="Comma 2 2 4 2 6 2 2" xfId="25468"/>
    <cellStyle name="Comma 2 2 4 2 6 2 2 2" xfId="44895"/>
    <cellStyle name="Comma 2 2 4 2 6 2 2 3" xfId="38472"/>
    <cellStyle name="Comma 2 2 4 2 6 2 3" xfId="27646"/>
    <cellStyle name="Comma 2 2 4 2 6 2 3 2" xfId="41688"/>
    <cellStyle name="Comma 2 2 4 2 6 2 4" xfId="30981"/>
    <cellStyle name="Comma 2 2 4 2 6 2 5" xfId="35264"/>
    <cellStyle name="Comma 2 2 4 2 6 3" xfId="15301"/>
    <cellStyle name="Comma 2 2 4 2 6 3 2" xfId="24314"/>
    <cellStyle name="Comma 2 2 4 2 6 3 2 2" xfId="43743"/>
    <cellStyle name="Comma 2 2 4 2 6 3 2 3" xfId="37320"/>
    <cellStyle name="Comma 2 2 4 2 6 3 3" xfId="28637"/>
    <cellStyle name="Comma 2 2 4 2 6 3 3 2" xfId="40536"/>
    <cellStyle name="Comma 2 2 4 2 6 3 4" xfId="31972"/>
    <cellStyle name="Comma 2 2 4 2 6 3 5" xfId="34112"/>
    <cellStyle name="Comma 2 2 4 2 6 4" xfId="8117"/>
    <cellStyle name="Comma 2 2 4 2 6 4 2" xfId="42754"/>
    <cellStyle name="Comma 2 2 4 2 6 4 3" xfId="36330"/>
    <cellStyle name="Comma 2 2 4 2 6 5" xfId="21108"/>
    <cellStyle name="Comma 2 2 4 2 6 5 2" xfId="39547"/>
    <cellStyle name="Comma 2 2 4 2 6 6" xfId="22181"/>
    <cellStyle name="Comma 2 2 4 2 6 7" xfId="23325"/>
    <cellStyle name="Comma 2 2 4 2 6 8" xfId="26503"/>
    <cellStyle name="Comma 2 2 4 2 6 9" xfId="29836"/>
    <cellStyle name="Comma 2 2 4 2 7" xfId="898"/>
    <cellStyle name="Comma 2 2 4 2 7 10" xfId="33124"/>
    <cellStyle name="Comma 2 2 4 2 7 2" xfId="9669"/>
    <cellStyle name="Comma 2 2 4 2 7 2 2" xfId="25469"/>
    <cellStyle name="Comma 2 2 4 2 7 2 2 2" xfId="44896"/>
    <cellStyle name="Comma 2 2 4 2 7 2 2 3" xfId="38473"/>
    <cellStyle name="Comma 2 2 4 2 7 2 3" xfId="27647"/>
    <cellStyle name="Comma 2 2 4 2 7 2 3 2" xfId="41689"/>
    <cellStyle name="Comma 2 2 4 2 7 2 4" xfId="30982"/>
    <cellStyle name="Comma 2 2 4 2 7 2 5" xfId="35265"/>
    <cellStyle name="Comma 2 2 4 2 7 3" xfId="15302"/>
    <cellStyle name="Comma 2 2 4 2 7 3 2" xfId="24315"/>
    <cellStyle name="Comma 2 2 4 2 7 3 2 2" xfId="43744"/>
    <cellStyle name="Comma 2 2 4 2 7 3 2 3" xfId="37321"/>
    <cellStyle name="Comma 2 2 4 2 7 3 3" xfId="28638"/>
    <cellStyle name="Comma 2 2 4 2 7 3 3 2" xfId="40537"/>
    <cellStyle name="Comma 2 2 4 2 7 3 4" xfId="31973"/>
    <cellStyle name="Comma 2 2 4 2 7 3 5" xfId="34113"/>
    <cellStyle name="Comma 2 2 4 2 7 4" xfId="8118"/>
    <cellStyle name="Comma 2 2 4 2 7 4 2" xfId="42755"/>
    <cellStyle name="Comma 2 2 4 2 7 4 3" xfId="36331"/>
    <cellStyle name="Comma 2 2 4 2 7 5" xfId="21109"/>
    <cellStyle name="Comma 2 2 4 2 7 5 2" xfId="39548"/>
    <cellStyle name="Comma 2 2 4 2 7 6" xfId="22182"/>
    <cellStyle name="Comma 2 2 4 2 7 7" xfId="23326"/>
    <cellStyle name="Comma 2 2 4 2 7 8" xfId="26504"/>
    <cellStyle name="Comma 2 2 4 2 7 9" xfId="29837"/>
    <cellStyle name="Comma 2 2 4 2 8" xfId="899"/>
    <cellStyle name="Comma 2 2 4 2 8 10" xfId="33125"/>
    <cellStyle name="Comma 2 2 4 2 8 2" xfId="9670"/>
    <cellStyle name="Comma 2 2 4 2 8 2 2" xfId="25470"/>
    <cellStyle name="Comma 2 2 4 2 8 2 2 2" xfId="44897"/>
    <cellStyle name="Comma 2 2 4 2 8 2 2 3" xfId="38474"/>
    <cellStyle name="Comma 2 2 4 2 8 2 3" xfId="27648"/>
    <cellStyle name="Comma 2 2 4 2 8 2 3 2" xfId="41690"/>
    <cellStyle name="Comma 2 2 4 2 8 2 4" xfId="30983"/>
    <cellStyle name="Comma 2 2 4 2 8 2 5" xfId="35266"/>
    <cellStyle name="Comma 2 2 4 2 8 3" xfId="15303"/>
    <cellStyle name="Comma 2 2 4 2 8 3 2" xfId="24316"/>
    <cellStyle name="Comma 2 2 4 2 8 3 2 2" xfId="43745"/>
    <cellStyle name="Comma 2 2 4 2 8 3 2 3" xfId="37322"/>
    <cellStyle name="Comma 2 2 4 2 8 3 3" xfId="28639"/>
    <cellStyle name="Comma 2 2 4 2 8 3 3 2" xfId="40538"/>
    <cellStyle name="Comma 2 2 4 2 8 3 4" xfId="31974"/>
    <cellStyle name="Comma 2 2 4 2 8 3 5" xfId="34114"/>
    <cellStyle name="Comma 2 2 4 2 8 4" xfId="8119"/>
    <cellStyle name="Comma 2 2 4 2 8 4 2" xfId="42756"/>
    <cellStyle name="Comma 2 2 4 2 8 4 3" xfId="36332"/>
    <cellStyle name="Comma 2 2 4 2 8 5" xfId="21110"/>
    <cellStyle name="Comma 2 2 4 2 8 5 2" xfId="39549"/>
    <cellStyle name="Comma 2 2 4 2 8 6" xfId="22183"/>
    <cellStyle name="Comma 2 2 4 2 8 7" xfId="23327"/>
    <cellStyle name="Comma 2 2 4 2 8 8" xfId="26505"/>
    <cellStyle name="Comma 2 2 4 2 8 9" xfId="29838"/>
    <cellStyle name="Comma 2 2 4 2 9" xfId="9125"/>
    <cellStyle name="Comma 2 2 4 2 9 2" xfId="25179"/>
    <cellStyle name="Comma 2 2 4 2 9 2 2" xfId="44606"/>
    <cellStyle name="Comma 2 2 4 2 9 2 3" xfId="38183"/>
    <cellStyle name="Comma 2 2 4 2 9 3" xfId="27358"/>
    <cellStyle name="Comma 2 2 4 2 9 3 2" xfId="41399"/>
    <cellStyle name="Comma 2 2 4 2 9 4" xfId="30693"/>
    <cellStyle name="Comma 2 2 4 2 9 5" xfId="34975"/>
    <cellStyle name="Comma 2 2 4 3" xfId="248"/>
    <cellStyle name="Comma 2 2 4 3 10" xfId="21111"/>
    <cellStyle name="Comma 2 2 4 3 10 2" xfId="39244"/>
    <cellStyle name="Comma 2 2 4 3 11" xfId="22184"/>
    <cellStyle name="Comma 2 2 4 3 12" xfId="23022"/>
    <cellStyle name="Comma 2 2 4 3 13" xfId="26506"/>
    <cellStyle name="Comma 2 2 4 3 14" xfId="29839"/>
    <cellStyle name="Comma 2 2 4 3 15" xfId="32820"/>
    <cellStyle name="Comma 2 2 4 3 2" xfId="900"/>
    <cellStyle name="Comma 2 2 4 3 2 10" xfId="33126"/>
    <cellStyle name="Comma 2 2 4 3 2 2" xfId="9671"/>
    <cellStyle name="Comma 2 2 4 3 2 2 2" xfId="25471"/>
    <cellStyle name="Comma 2 2 4 3 2 2 2 2" xfId="44898"/>
    <cellStyle name="Comma 2 2 4 3 2 2 2 3" xfId="38475"/>
    <cellStyle name="Comma 2 2 4 3 2 2 3" xfId="27649"/>
    <cellStyle name="Comma 2 2 4 3 2 2 3 2" xfId="41691"/>
    <cellStyle name="Comma 2 2 4 3 2 2 4" xfId="30984"/>
    <cellStyle name="Comma 2 2 4 3 2 2 5" xfId="35267"/>
    <cellStyle name="Comma 2 2 4 3 2 3" xfId="15305"/>
    <cellStyle name="Comma 2 2 4 3 2 3 2" xfId="24318"/>
    <cellStyle name="Comma 2 2 4 3 2 3 2 2" xfId="43747"/>
    <cellStyle name="Comma 2 2 4 3 2 3 2 3" xfId="37324"/>
    <cellStyle name="Comma 2 2 4 3 2 3 3" xfId="28641"/>
    <cellStyle name="Comma 2 2 4 3 2 3 3 2" xfId="40540"/>
    <cellStyle name="Comma 2 2 4 3 2 3 4" xfId="31976"/>
    <cellStyle name="Comma 2 2 4 3 2 3 5" xfId="34116"/>
    <cellStyle name="Comma 2 2 4 3 2 4" xfId="8121"/>
    <cellStyle name="Comma 2 2 4 3 2 4 2" xfId="42757"/>
    <cellStyle name="Comma 2 2 4 3 2 4 3" xfId="36333"/>
    <cellStyle name="Comma 2 2 4 3 2 5" xfId="21112"/>
    <cellStyle name="Comma 2 2 4 3 2 5 2" xfId="39550"/>
    <cellStyle name="Comma 2 2 4 3 2 6" xfId="22185"/>
    <cellStyle name="Comma 2 2 4 3 2 7" xfId="23328"/>
    <cellStyle name="Comma 2 2 4 3 2 8" xfId="26507"/>
    <cellStyle name="Comma 2 2 4 3 2 9" xfId="29840"/>
    <cellStyle name="Comma 2 2 4 3 3" xfId="901"/>
    <cellStyle name="Comma 2 2 4 3 3 10" xfId="33127"/>
    <cellStyle name="Comma 2 2 4 3 3 2" xfId="9672"/>
    <cellStyle name="Comma 2 2 4 3 3 2 2" xfId="25472"/>
    <cellStyle name="Comma 2 2 4 3 3 2 2 2" xfId="44899"/>
    <cellStyle name="Comma 2 2 4 3 3 2 2 3" xfId="38476"/>
    <cellStyle name="Comma 2 2 4 3 3 2 3" xfId="27650"/>
    <cellStyle name="Comma 2 2 4 3 3 2 3 2" xfId="41692"/>
    <cellStyle name="Comma 2 2 4 3 3 2 4" xfId="30985"/>
    <cellStyle name="Comma 2 2 4 3 3 2 5" xfId="35268"/>
    <cellStyle name="Comma 2 2 4 3 3 3" xfId="15306"/>
    <cellStyle name="Comma 2 2 4 3 3 3 2" xfId="24319"/>
    <cellStyle name="Comma 2 2 4 3 3 3 2 2" xfId="43748"/>
    <cellStyle name="Comma 2 2 4 3 3 3 2 3" xfId="37325"/>
    <cellStyle name="Comma 2 2 4 3 3 3 3" xfId="28642"/>
    <cellStyle name="Comma 2 2 4 3 3 3 3 2" xfId="40541"/>
    <cellStyle name="Comma 2 2 4 3 3 3 4" xfId="31977"/>
    <cellStyle name="Comma 2 2 4 3 3 3 5" xfId="34117"/>
    <cellStyle name="Comma 2 2 4 3 3 4" xfId="8122"/>
    <cellStyle name="Comma 2 2 4 3 3 4 2" xfId="42758"/>
    <cellStyle name="Comma 2 2 4 3 3 4 3" xfId="36334"/>
    <cellStyle name="Comma 2 2 4 3 3 5" xfId="21113"/>
    <cellStyle name="Comma 2 2 4 3 3 5 2" xfId="39551"/>
    <cellStyle name="Comma 2 2 4 3 3 6" xfId="22186"/>
    <cellStyle name="Comma 2 2 4 3 3 7" xfId="23329"/>
    <cellStyle name="Comma 2 2 4 3 3 8" xfId="26508"/>
    <cellStyle name="Comma 2 2 4 3 3 9" xfId="29841"/>
    <cellStyle name="Comma 2 2 4 3 4" xfId="902"/>
    <cellStyle name="Comma 2 2 4 3 4 10" xfId="33128"/>
    <cellStyle name="Comma 2 2 4 3 4 2" xfId="9673"/>
    <cellStyle name="Comma 2 2 4 3 4 2 2" xfId="25473"/>
    <cellStyle name="Comma 2 2 4 3 4 2 2 2" xfId="44900"/>
    <cellStyle name="Comma 2 2 4 3 4 2 2 3" xfId="38477"/>
    <cellStyle name="Comma 2 2 4 3 4 2 3" xfId="27651"/>
    <cellStyle name="Comma 2 2 4 3 4 2 3 2" xfId="41693"/>
    <cellStyle name="Comma 2 2 4 3 4 2 4" xfId="30986"/>
    <cellStyle name="Comma 2 2 4 3 4 2 5" xfId="35269"/>
    <cellStyle name="Comma 2 2 4 3 4 3" xfId="15307"/>
    <cellStyle name="Comma 2 2 4 3 4 3 2" xfId="24320"/>
    <cellStyle name="Comma 2 2 4 3 4 3 2 2" xfId="43749"/>
    <cellStyle name="Comma 2 2 4 3 4 3 2 3" xfId="37326"/>
    <cellStyle name="Comma 2 2 4 3 4 3 3" xfId="28643"/>
    <cellStyle name="Comma 2 2 4 3 4 3 3 2" xfId="40542"/>
    <cellStyle name="Comma 2 2 4 3 4 3 4" xfId="31978"/>
    <cellStyle name="Comma 2 2 4 3 4 3 5" xfId="34118"/>
    <cellStyle name="Comma 2 2 4 3 4 4" xfId="8123"/>
    <cellStyle name="Comma 2 2 4 3 4 4 2" xfId="42759"/>
    <cellStyle name="Comma 2 2 4 3 4 4 3" xfId="36335"/>
    <cellStyle name="Comma 2 2 4 3 4 5" xfId="21114"/>
    <cellStyle name="Comma 2 2 4 3 4 5 2" xfId="39552"/>
    <cellStyle name="Comma 2 2 4 3 4 6" xfId="22187"/>
    <cellStyle name="Comma 2 2 4 3 4 7" xfId="23330"/>
    <cellStyle name="Comma 2 2 4 3 4 8" xfId="26509"/>
    <cellStyle name="Comma 2 2 4 3 4 9" xfId="29842"/>
    <cellStyle name="Comma 2 2 4 3 5" xfId="903"/>
    <cellStyle name="Comma 2 2 4 3 5 10" xfId="33129"/>
    <cellStyle name="Comma 2 2 4 3 5 2" xfId="9674"/>
    <cellStyle name="Comma 2 2 4 3 5 2 2" xfId="25474"/>
    <cellStyle name="Comma 2 2 4 3 5 2 2 2" xfId="44901"/>
    <cellStyle name="Comma 2 2 4 3 5 2 2 3" xfId="38478"/>
    <cellStyle name="Comma 2 2 4 3 5 2 3" xfId="27652"/>
    <cellStyle name="Comma 2 2 4 3 5 2 3 2" xfId="41694"/>
    <cellStyle name="Comma 2 2 4 3 5 2 4" xfId="30987"/>
    <cellStyle name="Comma 2 2 4 3 5 2 5" xfId="35270"/>
    <cellStyle name="Comma 2 2 4 3 5 3" xfId="15308"/>
    <cellStyle name="Comma 2 2 4 3 5 3 2" xfId="24321"/>
    <cellStyle name="Comma 2 2 4 3 5 3 2 2" xfId="43750"/>
    <cellStyle name="Comma 2 2 4 3 5 3 2 3" xfId="37327"/>
    <cellStyle name="Comma 2 2 4 3 5 3 3" xfId="28644"/>
    <cellStyle name="Comma 2 2 4 3 5 3 3 2" xfId="40543"/>
    <cellStyle name="Comma 2 2 4 3 5 3 4" xfId="31979"/>
    <cellStyle name="Comma 2 2 4 3 5 3 5" xfId="34119"/>
    <cellStyle name="Comma 2 2 4 3 5 4" xfId="8124"/>
    <cellStyle name="Comma 2 2 4 3 5 4 2" xfId="42760"/>
    <cellStyle name="Comma 2 2 4 3 5 4 3" xfId="36336"/>
    <cellStyle name="Comma 2 2 4 3 5 5" xfId="21115"/>
    <cellStyle name="Comma 2 2 4 3 5 5 2" xfId="39553"/>
    <cellStyle name="Comma 2 2 4 3 5 6" xfId="22188"/>
    <cellStyle name="Comma 2 2 4 3 5 7" xfId="23331"/>
    <cellStyle name="Comma 2 2 4 3 5 8" xfId="26510"/>
    <cellStyle name="Comma 2 2 4 3 5 9" xfId="29843"/>
    <cellStyle name="Comma 2 2 4 3 6" xfId="904"/>
    <cellStyle name="Comma 2 2 4 3 6 10" xfId="33130"/>
    <cellStyle name="Comma 2 2 4 3 6 2" xfId="9675"/>
    <cellStyle name="Comma 2 2 4 3 6 2 2" xfId="25475"/>
    <cellStyle name="Comma 2 2 4 3 6 2 2 2" xfId="44902"/>
    <cellStyle name="Comma 2 2 4 3 6 2 2 3" xfId="38479"/>
    <cellStyle name="Comma 2 2 4 3 6 2 3" xfId="27653"/>
    <cellStyle name="Comma 2 2 4 3 6 2 3 2" xfId="41695"/>
    <cellStyle name="Comma 2 2 4 3 6 2 4" xfId="30988"/>
    <cellStyle name="Comma 2 2 4 3 6 2 5" xfId="35271"/>
    <cellStyle name="Comma 2 2 4 3 6 3" xfId="15309"/>
    <cellStyle name="Comma 2 2 4 3 6 3 2" xfId="24322"/>
    <cellStyle name="Comma 2 2 4 3 6 3 2 2" xfId="43751"/>
    <cellStyle name="Comma 2 2 4 3 6 3 2 3" xfId="37328"/>
    <cellStyle name="Comma 2 2 4 3 6 3 3" xfId="28645"/>
    <cellStyle name="Comma 2 2 4 3 6 3 3 2" xfId="40544"/>
    <cellStyle name="Comma 2 2 4 3 6 3 4" xfId="31980"/>
    <cellStyle name="Comma 2 2 4 3 6 3 5" xfId="34120"/>
    <cellStyle name="Comma 2 2 4 3 6 4" xfId="8125"/>
    <cellStyle name="Comma 2 2 4 3 6 4 2" xfId="42761"/>
    <cellStyle name="Comma 2 2 4 3 6 4 3" xfId="36337"/>
    <cellStyle name="Comma 2 2 4 3 6 5" xfId="21116"/>
    <cellStyle name="Comma 2 2 4 3 6 5 2" xfId="39554"/>
    <cellStyle name="Comma 2 2 4 3 6 6" xfId="22189"/>
    <cellStyle name="Comma 2 2 4 3 6 7" xfId="23332"/>
    <cellStyle name="Comma 2 2 4 3 6 8" xfId="26511"/>
    <cellStyle name="Comma 2 2 4 3 6 9" xfId="29844"/>
    <cellStyle name="Comma 2 2 4 3 7" xfId="9107"/>
    <cellStyle name="Comma 2 2 4 3 7 2" xfId="25161"/>
    <cellStyle name="Comma 2 2 4 3 7 2 2" xfId="44588"/>
    <cellStyle name="Comma 2 2 4 3 7 2 3" xfId="38165"/>
    <cellStyle name="Comma 2 2 4 3 7 3" xfId="27340"/>
    <cellStyle name="Comma 2 2 4 3 7 3 2" xfId="41381"/>
    <cellStyle name="Comma 2 2 4 3 7 4" xfId="30675"/>
    <cellStyle name="Comma 2 2 4 3 7 5" xfId="34957"/>
    <cellStyle name="Comma 2 2 4 3 8" xfId="15304"/>
    <cellStyle name="Comma 2 2 4 3 8 2" xfId="24317"/>
    <cellStyle name="Comma 2 2 4 3 8 2 2" xfId="43746"/>
    <cellStyle name="Comma 2 2 4 3 8 2 3" xfId="37323"/>
    <cellStyle name="Comma 2 2 4 3 8 3" xfId="28640"/>
    <cellStyle name="Comma 2 2 4 3 8 3 2" xfId="40539"/>
    <cellStyle name="Comma 2 2 4 3 8 4" xfId="31975"/>
    <cellStyle name="Comma 2 2 4 3 8 5" xfId="34115"/>
    <cellStyle name="Comma 2 2 4 3 9" xfId="8120"/>
    <cellStyle name="Comma 2 2 4 3 9 2" xfId="42451"/>
    <cellStyle name="Comma 2 2 4 3 9 3" xfId="36027"/>
    <cellStyle name="Comma 2 2 4 4" xfId="905"/>
    <cellStyle name="Comma 2 2 4 4 10" xfId="22190"/>
    <cellStyle name="Comma 2 2 4 4 11" xfId="23333"/>
    <cellStyle name="Comma 2 2 4 4 12" xfId="26512"/>
    <cellStyle name="Comma 2 2 4 4 13" xfId="29845"/>
    <cellStyle name="Comma 2 2 4 4 14" xfId="33131"/>
    <cellStyle name="Comma 2 2 4 4 2" xfId="906"/>
    <cellStyle name="Comma 2 2 4 4 2 10" xfId="33132"/>
    <cellStyle name="Comma 2 2 4 4 2 2" xfId="9677"/>
    <cellStyle name="Comma 2 2 4 4 2 2 2" xfId="25477"/>
    <cellStyle name="Comma 2 2 4 4 2 2 2 2" xfId="44904"/>
    <cellStyle name="Comma 2 2 4 4 2 2 2 3" xfId="38481"/>
    <cellStyle name="Comma 2 2 4 4 2 2 3" xfId="27655"/>
    <cellStyle name="Comma 2 2 4 4 2 2 3 2" xfId="41697"/>
    <cellStyle name="Comma 2 2 4 4 2 2 4" xfId="30990"/>
    <cellStyle name="Comma 2 2 4 4 2 2 5" xfId="35273"/>
    <cellStyle name="Comma 2 2 4 4 2 3" xfId="15311"/>
    <cellStyle name="Comma 2 2 4 4 2 3 2" xfId="24324"/>
    <cellStyle name="Comma 2 2 4 4 2 3 2 2" xfId="43753"/>
    <cellStyle name="Comma 2 2 4 4 2 3 2 3" xfId="37330"/>
    <cellStyle name="Comma 2 2 4 4 2 3 3" xfId="28647"/>
    <cellStyle name="Comma 2 2 4 4 2 3 3 2" xfId="40546"/>
    <cellStyle name="Comma 2 2 4 4 2 3 4" xfId="31982"/>
    <cellStyle name="Comma 2 2 4 4 2 3 5" xfId="34122"/>
    <cellStyle name="Comma 2 2 4 4 2 4" xfId="8127"/>
    <cellStyle name="Comma 2 2 4 4 2 4 2" xfId="42763"/>
    <cellStyle name="Comma 2 2 4 4 2 4 3" xfId="36339"/>
    <cellStyle name="Comma 2 2 4 4 2 5" xfId="21118"/>
    <cellStyle name="Comma 2 2 4 4 2 5 2" xfId="39556"/>
    <cellStyle name="Comma 2 2 4 4 2 6" xfId="22191"/>
    <cellStyle name="Comma 2 2 4 4 2 7" xfId="23334"/>
    <cellStyle name="Comma 2 2 4 4 2 8" xfId="26513"/>
    <cellStyle name="Comma 2 2 4 4 2 9" xfId="29846"/>
    <cellStyle name="Comma 2 2 4 4 3" xfId="907"/>
    <cellStyle name="Comma 2 2 4 4 3 10" xfId="33133"/>
    <cellStyle name="Comma 2 2 4 4 3 2" xfId="9678"/>
    <cellStyle name="Comma 2 2 4 4 3 2 2" xfId="25478"/>
    <cellStyle name="Comma 2 2 4 4 3 2 2 2" xfId="44905"/>
    <cellStyle name="Comma 2 2 4 4 3 2 2 3" xfId="38482"/>
    <cellStyle name="Comma 2 2 4 4 3 2 3" xfId="27656"/>
    <cellStyle name="Comma 2 2 4 4 3 2 3 2" xfId="41698"/>
    <cellStyle name="Comma 2 2 4 4 3 2 4" xfId="30991"/>
    <cellStyle name="Comma 2 2 4 4 3 2 5" xfId="35274"/>
    <cellStyle name="Comma 2 2 4 4 3 3" xfId="15312"/>
    <cellStyle name="Comma 2 2 4 4 3 3 2" xfId="24325"/>
    <cellStyle name="Comma 2 2 4 4 3 3 2 2" xfId="43754"/>
    <cellStyle name="Comma 2 2 4 4 3 3 2 3" xfId="37331"/>
    <cellStyle name="Comma 2 2 4 4 3 3 3" xfId="28648"/>
    <cellStyle name="Comma 2 2 4 4 3 3 3 2" xfId="40547"/>
    <cellStyle name="Comma 2 2 4 4 3 3 4" xfId="31983"/>
    <cellStyle name="Comma 2 2 4 4 3 3 5" xfId="34123"/>
    <cellStyle name="Comma 2 2 4 4 3 4" xfId="8128"/>
    <cellStyle name="Comma 2 2 4 4 3 4 2" xfId="42764"/>
    <cellStyle name="Comma 2 2 4 4 3 4 3" xfId="36340"/>
    <cellStyle name="Comma 2 2 4 4 3 5" xfId="21119"/>
    <cellStyle name="Comma 2 2 4 4 3 5 2" xfId="39557"/>
    <cellStyle name="Comma 2 2 4 4 3 6" xfId="22192"/>
    <cellStyle name="Comma 2 2 4 4 3 7" xfId="23335"/>
    <cellStyle name="Comma 2 2 4 4 3 8" xfId="26514"/>
    <cellStyle name="Comma 2 2 4 4 3 9" xfId="29847"/>
    <cellStyle name="Comma 2 2 4 4 4" xfId="908"/>
    <cellStyle name="Comma 2 2 4 4 4 10" xfId="33134"/>
    <cellStyle name="Comma 2 2 4 4 4 2" xfId="9679"/>
    <cellStyle name="Comma 2 2 4 4 4 2 2" xfId="25479"/>
    <cellStyle name="Comma 2 2 4 4 4 2 2 2" xfId="44906"/>
    <cellStyle name="Comma 2 2 4 4 4 2 2 3" xfId="38483"/>
    <cellStyle name="Comma 2 2 4 4 4 2 3" xfId="27657"/>
    <cellStyle name="Comma 2 2 4 4 4 2 3 2" xfId="41699"/>
    <cellStyle name="Comma 2 2 4 4 4 2 4" xfId="30992"/>
    <cellStyle name="Comma 2 2 4 4 4 2 5" xfId="35275"/>
    <cellStyle name="Comma 2 2 4 4 4 3" xfId="15313"/>
    <cellStyle name="Comma 2 2 4 4 4 3 2" xfId="24326"/>
    <cellStyle name="Comma 2 2 4 4 4 3 2 2" xfId="43755"/>
    <cellStyle name="Comma 2 2 4 4 4 3 2 3" xfId="37332"/>
    <cellStyle name="Comma 2 2 4 4 4 3 3" xfId="28649"/>
    <cellStyle name="Comma 2 2 4 4 4 3 3 2" xfId="40548"/>
    <cellStyle name="Comma 2 2 4 4 4 3 4" xfId="31984"/>
    <cellStyle name="Comma 2 2 4 4 4 3 5" xfId="34124"/>
    <cellStyle name="Comma 2 2 4 4 4 4" xfId="8129"/>
    <cellStyle name="Comma 2 2 4 4 4 4 2" xfId="42765"/>
    <cellStyle name="Comma 2 2 4 4 4 4 3" xfId="36341"/>
    <cellStyle name="Comma 2 2 4 4 4 5" xfId="21120"/>
    <cellStyle name="Comma 2 2 4 4 4 5 2" xfId="39558"/>
    <cellStyle name="Comma 2 2 4 4 4 6" xfId="22193"/>
    <cellStyle name="Comma 2 2 4 4 4 7" xfId="23336"/>
    <cellStyle name="Comma 2 2 4 4 4 8" xfId="26515"/>
    <cellStyle name="Comma 2 2 4 4 4 9" xfId="29848"/>
    <cellStyle name="Comma 2 2 4 4 5" xfId="909"/>
    <cellStyle name="Comma 2 2 4 4 5 10" xfId="33135"/>
    <cellStyle name="Comma 2 2 4 4 5 2" xfId="9680"/>
    <cellStyle name="Comma 2 2 4 4 5 2 2" xfId="25480"/>
    <cellStyle name="Comma 2 2 4 4 5 2 2 2" xfId="44907"/>
    <cellStyle name="Comma 2 2 4 4 5 2 2 3" xfId="38484"/>
    <cellStyle name="Comma 2 2 4 4 5 2 3" xfId="27658"/>
    <cellStyle name="Comma 2 2 4 4 5 2 3 2" xfId="41700"/>
    <cellStyle name="Comma 2 2 4 4 5 2 4" xfId="30993"/>
    <cellStyle name="Comma 2 2 4 4 5 2 5" xfId="35276"/>
    <cellStyle name="Comma 2 2 4 4 5 3" xfId="15314"/>
    <cellStyle name="Comma 2 2 4 4 5 3 2" xfId="24327"/>
    <cellStyle name="Comma 2 2 4 4 5 3 2 2" xfId="43756"/>
    <cellStyle name="Comma 2 2 4 4 5 3 2 3" xfId="37333"/>
    <cellStyle name="Comma 2 2 4 4 5 3 3" xfId="28650"/>
    <cellStyle name="Comma 2 2 4 4 5 3 3 2" xfId="40549"/>
    <cellStyle name="Comma 2 2 4 4 5 3 4" xfId="31985"/>
    <cellStyle name="Comma 2 2 4 4 5 3 5" xfId="34125"/>
    <cellStyle name="Comma 2 2 4 4 5 4" xfId="8130"/>
    <cellStyle name="Comma 2 2 4 4 5 4 2" xfId="42766"/>
    <cellStyle name="Comma 2 2 4 4 5 4 3" xfId="36342"/>
    <cellStyle name="Comma 2 2 4 4 5 5" xfId="21121"/>
    <cellStyle name="Comma 2 2 4 4 5 5 2" xfId="39559"/>
    <cellStyle name="Comma 2 2 4 4 5 6" xfId="22194"/>
    <cellStyle name="Comma 2 2 4 4 5 7" xfId="23337"/>
    <cellStyle name="Comma 2 2 4 4 5 8" xfId="26516"/>
    <cellStyle name="Comma 2 2 4 4 5 9" xfId="29849"/>
    <cellStyle name="Comma 2 2 4 4 6" xfId="9676"/>
    <cellStyle name="Comma 2 2 4 4 6 2" xfId="25476"/>
    <cellStyle name="Comma 2 2 4 4 6 2 2" xfId="44903"/>
    <cellStyle name="Comma 2 2 4 4 6 2 3" xfId="38480"/>
    <cellStyle name="Comma 2 2 4 4 6 3" xfId="27654"/>
    <cellStyle name="Comma 2 2 4 4 6 3 2" xfId="41696"/>
    <cellStyle name="Comma 2 2 4 4 6 4" xfId="30989"/>
    <cellStyle name="Comma 2 2 4 4 6 5" xfId="35272"/>
    <cellStyle name="Comma 2 2 4 4 7" xfId="15310"/>
    <cellStyle name="Comma 2 2 4 4 7 2" xfId="24323"/>
    <cellStyle name="Comma 2 2 4 4 7 2 2" xfId="43752"/>
    <cellStyle name="Comma 2 2 4 4 7 2 3" xfId="37329"/>
    <cellStyle name="Comma 2 2 4 4 7 3" xfId="28646"/>
    <cellStyle name="Comma 2 2 4 4 7 3 2" xfId="40545"/>
    <cellStyle name="Comma 2 2 4 4 7 4" xfId="31981"/>
    <cellStyle name="Comma 2 2 4 4 7 5" xfId="34121"/>
    <cellStyle name="Comma 2 2 4 4 8" xfId="8126"/>
    <cellStyle name="Comma 2 2 4 4 8 2" xfId="42762"/>
    <cellStyle name="Comma 2 2 4 4 8 3" xfId="36338"/>
    <cellStyle name="Comma 2 2 4 4 9" xfId="21117"/>
    <cellStyle name="Comma 2 2 4 4 9 2" xfId="39555"/>
    <cellStyle name="Comma 2 2 4 5" xfId="910"/>
    <cellStyle name="Comma 2 2 4 5 10" xfId="22195"/>
    <cellStyle name="Comma 2 2 4 5 11" xfId="23338"/>
    <cellStyle name="Comma 2 2 4 5 12" xfId="26517"/>
    <cellStyle name="Comma 2 2 4 5 13" xfId="29850"/>
    <cellStyle name="Comma 2 2 4 5 14" xfId="33136"/>
    <cellStyle name="Comma 2 2 4 5 2" xfId="911"/>
    <cellStyle name="Comma 2 2 4 5 2 10" xfId="33137"/>
    <cellStyle name="Comma 2 2 4 5 2 2" xfId="9682"/>
    <cellStyle name="Comma 2 2 4 5 2 2 2" xfId="25482"/>
    <cellStyle name="Comma 2 2 4 5 2 2 2 2" xfId="44909"/>
    <cellStyle name="Comma 2 2 4 5 2 2 2 3" xfId="38486"/>
    <cellStyle name="Comma 2 2 4 5 2 2 3" xfId="27660"/>
    <cellStyle name="Comma 2 2 4 5 2 2 3 2" xfId="41702"/>
    <cellStyle name="Comma 2 2 4 5 2 2 4" xfId="30995"/>
    <cellStyle name="Comma 2 2 4 5 2 2 5" xfId="35278"/>
    <cellStyle name="Comma 2 2 4 5 2 3" xfId="15316"/>
    <cellStyle name="Comma 2 2 4 5 2 3 2" xfId="24329"/>
    <cellStyle name="Comma 2 2 4 5 2 3 2 2" xfId="43758"/>
    <cellStyle name="Comma 2 2 4 5 2 3 2 3" xfId="37335"/>
    <cellStyle name="Comma 2 2 4 5 2 3 3" xfId="28652"/>
    <cellStyle name="Comma 2 2 4 5 2 3 3 2" xfId="40551"/>
    <cellStyle name="Comma 2 2 4 5 2 3 4" xfId="31987"/>
    <cellStyle name="Comma 2 2 4 5 2 3 5" xfId="34127"/>
    <cellStyle name="Comma 2 2 4 5 2 4" xfId="8132"/>
    <cellStyle name="Comma 2 2 4 5 2 4 2" xfId="42768"/>
    <cellStyle name="Comma 2 2 4 5 2 4 3" xfId="36344"/>
    <cellStyle name="Comma 2 2 4 5 2 5" xfId="21123"/>
    <cellStyle name="Comma 2 2 4 5 2 5 2" xfId="39561"/>
    <cellStyle name="Comma 2 2 4 5 2 6" xfId="22196"/>
    <cellStyle name="Comma 2 2 4 5 2 7" xfId="23339"/>
    <cellStyle name="Comma 2 2 4 5 2 8" xfId="26518"/>
    <cellStyle name="Comma 2 2 4 5 2 9" xfId="29851"/>
    <cellStyle name="Comma 2 2 4 5 3" xfId="912"/>
    <cellStyle name="Comma 2 2 4 5 3 10" xfId="33138"/>
    <cellStyle name="Comma 2 2 4 5 3 2" xfId="9683"/>
    <cellStyle name="Comma 2 2 4 5 3 2 2" xfId="25483"/>
    <cellStyle name="Comma 2 2 4 5 3 2 2 2" xfId="44910"/>
    <cellStyle name="Comma 2 2 4 5 3 2 2 3" xfId="38487"/>
    <cellStyle name="Comma 2 2 4 5 3 2 3" xfId="27661"/>
    <cellStyle name="Comma 2 2 4 5 3 2 3 2" xfId="41703"/>
    <cellStyle name="Comma 2 2 4 5 3 2 4" xfId="30996"/>
    <cellStyle name="Comma 2 2 4 5 3 2 5" xfId="35279"/>
    <cellStyle name="Comma 2 2 4 5 3 3" xfId="15317"/>
    <cellStyle name="Comma 2 2 4 5 3 3 2" xfId="24330"/>
    <cellStyle name="Comma 2 2 4 5 3 3 2 2" xfId="43759"/>
    <cellStyle name="Comma 2 2 4 5 3 3 2 3" xfId="37336"/>
    <cellStyle name="Comma 2 2 4 5 3 3 3" xfId="28653"/>
    <cellStyle name="Comma 2 2 4 5 3 3 3 2" xfId="40552"/>
    <cellStyle name="Comma 2 2 4 5 3 3 4" xfId="31988"/>
    <cellStyle name="Comma 2 2 4 5 3 3 5" xfId="34128"/>
    <cellStyle name="Comma 2 2 4 5 3 4" xfId="8133"/>
    <cellStyle name="Comma 2 2 4 5 3 4 2" xfId="42769"/>
    <cellStyle name="Comma 2 2 4 5 3 4 3" xfId="36345"/>
    <cellStyle name="Comma 2 2 4 5 3 5" xfId="21124"/>
    <cellStyle name="Comma 2 2 4 5 3 5 2" xfId="39562"/>
    <cellStyle name="Comma 2 2 4 5 3 6" xfId="22197"/>
    <cellStyle name="Comma 2 2 4 5 3 7" xfId="23340"/>
    <cellStyle name="Comma 2 2 4 5 3 8" xfId="26519"/>
    <cellStyle name="Comma 2 2 4 5 3 9" xfId="29852"/>
    <cellStyle name="Comma 2 2 4 5 4" xfId="913"/>
    <cellStyle name="Comma 2 2 4 5 4 10" xfId="33139"/>
    <cellStyle name="Comma 2 2 4 5 4 2" xfId="9684"/>
    <cellStyle name="Comma 2 2 4 5 4 2 2" xfId="25484"/>
    <cellStyle name="Comma 2 2 4 5 4 2 2 2" xfId="44911"/>
    <cellStyle name="Comma 2 2 4 5 4 2 2 3" xfId="38488"/>
    <cellStyle name="Comma 2 2 4 5 4 2 3" xfId="27662"/>
    <cellStyle name="Comma 2 2 4 5 4 2 3 2" xfId="41704"/>
    <cellStyle name="Comma 2 2 4 5 4 2 4" xfId="30997"/>
    <cellStyle name="Comma 2 2 4 5 4 2 5" xfId="35280"/>
    <cellStyle name="Comma 2 2 4 5 4 3" xfId="15318"/>
    <cellStyle name="Comma 2 2 4 5 4 3 2" xfId="24331"/>
    <cellStyle name="Comma 2 2 4 5 4 3 2 2" xfId="43760"/>
    <cellStyle name="Comma 2 2 4 5 4 3 2 3" xfId="37337"/>
    <cellStyle name="Comma 2 2 4 5 4 3 3" xfId="28654"/>
    <cellStyle name="Comma 2 2 4 5 4 3 3 2" xfId="40553"/>
    <cellStyle name="Comma 2 2 4 5 4 3 4" xfId="31989"/>
    <cellStyle name="Comma 2 2 4 5 4 3 5" xfId="34129"/>
    <cellStyle name="Comma 2 2 4 5 4 4" xfId="8134"/>
    <cellStyle name="Comma 2 2 4 5 4 4 2" xfId="42770"/>
    <cellStyle name="Comma 2 2 4 5 4 4 3" xfId="36346"/>
    <cellStyle name="Comma 2 2 4 5 4 5" xfId="21125"/>
    <cellStyle name="Comma 2 2 4 5 4 5 2" xfId="39563"/>
    <cellStyle name="Comma 2 2 4 5 4 6" xfId="22198"/>
    <cellStyle name="Comma 2 2 4 5 4 7" xfId="23341"/>
    <cellStyle name="Comma 2 2 4 5 4 8" xfId="26520"/>
    <cellStyle name="Comma 2 2 4 5 4 9" xfId="29853"/>
    <cellStyle name="Comma 2 2 4 5 5" xfId="914"/>
    <cellStyle name="Comma 2 2 4 5 5 10" xfId="33140"/>
    <cellStyle name="Comma 2 2 4 5 5 2" xfId="9685"/>
    <cellStyle name="Comma 2 2 4 5 5 2 2" xfId="25485"/>
    <cellStyle name="Comma 2 2 4 5 5 2 2 2" xfId="44912"/>
    <cellStyle name="Comma 2 2 4 5 5 2 2 3" xfId="38489"/>
    <cellStyle name="Comma 2 2 4 5 5 2 3" xfId="27663"/>
    <cellStyle name="Comma 2 2 4 5 5 2 3 2" xfId="41705"/>
    <cellStyle name="Comma 2 2 4 5 5 2 4" xfId="30998"/>
    <cellStyle name="Comma 2 2 4 5 5 2 5" xfId="35281"/>
    <cellStyle name="Comma 2 2 4 5 5 3" xfId="15319"/>
    <cellStyle name="Comma 2 2 4 5 5 3 2" xfId="24332"/>
    <cellStyle name="Comma 2 2 4 5 5 3 2 2" xfId="43761"/>
    <cellStyle name="Comma 2 2 4 5 5 3 2 3" xfId="37338"/>
    <cellStyle name="Comma 2 2 4 5 5 3 3" xfId="28655"/>
    <cellStyle name="Comma 2 2 4 5 5 3 3 2" xfId="40554"/>
    <cellStyle name="Comma 2 2 4 5 5 3 4" xfId="31990"/>
    <cellStyle name="Comma 2 2 4 5 5 3 5" xfId="34130"/>
    <cellStyle name="Comma 2 2 4 5 5 4" xfId="8135"/>
    <cellStyle name="Comma 2 2 4 5 5 4 2" xfId="42771"/>
    <cellStyle name="Comma 2 2 4 5 5 4 3" xfId="36347"/>
    <cellStyle name="Comma 2 2 4 5 5 5" xfId="21126"/>
    <cellStyle name="Comma 2 2 4 5 5 5 2" xfId="39564"/>
    <cellStyle name="Comma 2 2 4 5 5 6" xfId="22199"/>
    <cellStyle name="Comma 2 2 4 5 5 7" xfId="23342"/>
    <cellStyle name="Comma 2 2 4 5 5 8" xfId="26521"/>
    <cellStyle name="Comma 2 2 4 5 5 9" xfId="29854"/>
    <cellStyle name="Comma 2 2 4 5 6" xfId="9681"/>
    <cellStyle name="Comma 2 2 4 5 6 2" xfId="25481"/>
    <cellStyle name="Comma 2 2 4 5 6 2 2" xfId="44908"/>
    <cellStyle name="Comma 2 2 4 5 6 2 3" xfId="38485"/>
    <cellStyle name="Comma 2 2 4 5 6 3" xfId="27659"/>
    <cellStyle name="Comma 2 2 4 5 6 3 2" xfId="41701"/>
    <cellStyle name="Comma 2 2 4 5 6 4" xfId="30994"/>
    <cellStyle name="Comma 2 2 4 5 6 5" xfId="35277"/>
    <cellStyle name="Comma 2 2 4 5 7" xfId="15315"/>
    <cellStyle name="Comma 2 2 4 5 7 2" xfId="24328"/>
    <cellStyle name="Comma 2 2 4 5 7 2 2" xfId="43757"/>
    <cellStyle name="Comma 2 2 4 5 7 2 3" xfId="37334"/>
    <cellStyle name="Comma 2 2 4 5 7 3" xfId="28651"/>
    <cellStyle name="Comma 2 2 4 5 7 3 2" xfId="40550"/>
    <cellStyle name="Comma 2 2 4 5 7 4" xfId="31986"/>
    <cellStyle name="Comma 2 2 4 5 7 5" xfId="34126"/>
    <cellStyle name="Comma 2 2 4 5 8" xfId="8131"/>
    <cellStyle name="Comma 2 2 4 5 8 2" xfId="42767"/>
    <cellStyle name="Comma 2 2 4 5 8 3" xfId="36343"/>
    <cellStyle name="Comma 2 2 4 5 9" xfId="21122"/>
    <cellStyle name="Comma 2 2 4 5 9 2" xfId="39560"/>
    <cellStyle name="Comma 2 2 4 6" xfId="915"/>
    <cellStyle name="Comma 2 2 4 6 10" xfId="33141"/>
    <cellStyle name="Comma 2 2 4 6 2" xfId="9686"/>
    <cellStyle name="Comma 2 2 4 6 2 2" xfId="25486"/>
    <cellStyle name="Comma 2 2 4 6 2 2 2" xfId="44913"/>
    <cellStyle name="Comma 2 2 4 6 2 2 3" xfId="38490"/>
    <cellStyle name="Comma 2 2 4 6 2 3" xfId="27664"/>
    <cellStyle name="Comma 2 2 4 6 2 3 2" xfId="41706"/>
    <cellStyle name="Comma 2 2 4 6 2 4" xfId="30999"/>
    <cellStyle name="Comma 2 2 4 6 2 5" xfId="35282"/>
    <cellStyle name="Comma 2 2 4 6 3" xfId="15320"/>
    <cellStyle name="Comma 2 2 4 6 3 2" xfId="24333"/>
    <cellStyle name="Comma 2 2 4 6 3 2 2" xfId="43762"/>
    <cellStyle name="Comma 2 2 4 6 3 2 3" xfId="37339"/>
    <cellStyle name="Comma 2 2 4 6 3 3" xfId="28656"/>
    <cellStyle name="Comma 2 2 4 6 3 3 2" xfId="40555"/>
    <cellStyle name="Comma 2 2 4 6 3 4" xfId="31991"/>
    <cellStyle name="Comma 2 2 4 6 3 5" xfId="34131"/>
    <cellStyle name="Comma 2 2 4 6 4" xfId="8136"/>
    <cellStyle name="Comma 2 2 4 6 4 2" xfId="42772"/>
    <cellStyle name="Comma 2 2 4 6 4 3" xfId="36348"/>
    <cellStyle name="Comma 2 2 4 6 5" xfId="21127"/>
    <cellStyle name="Comma 2 2 4 6 5 2" xfId="39565"/>
    <cellStyle name="Comma 2 2 4 6 6" xfId="22200"/>
    <cellStyle name="Comma 2 2 4 6 7" xfId="23343"/>
    <cellStyle name="Comma 2 2 4 6 8" xfId="26522"/>
    <cellStyle name="Comma 2 2 4 6 9" xfId="29855"/>
    <cellStyle name="Comma 2 2 4 7" xfId="916"/>
    <cellStyle name="Comma 2 2 4 7 10" xfId="33142"/>
    <cellStyle name="Comma 2 2 4 7 2" xfId="9687"/>
    <cellStyle name="Comma 2 2 4 7 2 2" xfId="25487"/>
    <cellStyle name="Comma 2 2 4 7 2 2 2" xfId="44914"/>
    <cellStyle name="Comma 2 2 4 7 2 2 3" xfId="38491"/>
    <cellStyle name="Comma 2 2 4 7 2 3" xfId="27665"/>
    <cellStyle name="Comma 2 2 4 7 2 3 2" xfId="41707"/>
    <cellStyle name="Comma 2 2 4 7 2 4" xfId="31000"/>
    <cellStyle name="Comma 2 2 4 7 2 5" xfId="35283"/>
    <cellStyle name="Comma 2 2 4 7 3" xfId="15321"/>
    <cellStyle name="Comma 2 2 4 7 3 2" xfId="24334"/>
    <cellStyle name="Comma 2 2 4 7 3 2 2" xfId="43763"/>
    <cellStyle name="Comma 2 2 4 7 3 2 3" xfId="37340"/>
    <cellStyle name="Comma 2 2 4 7 3 3" xfId="28657"/>
    <cellStyle name="Comma 2 2 4 7 3 3 2" xfId="40556"/>
    <cellStyle name="Comma 2 2 4 7 3 4" xfId="31992"/>
    <cellStyle name="Comma 2 2 4 7 3 5" xfId="34132"/>
    <cellStyle name="Comma 2 2 4 7 4" xfId="8137"/>
    <cellStyle name="Comma 2 2 4 7 4 2" xfId="42773"/>
    <cellStyle name="Comma 2 2 4 7 4 3" xfId="36349"/>
    <cellStyle name="Comma 2 2 4 7 5" xfId="21128"/>
    <cellStyle name="Comma 2 2 4 7 5 2" xfId="39566"/>
    <cellStyle name="Comma 2 2 4 7 6" xfId="22201"/>
    <cellStyle name="Comma 2 2 4 7 7" xfId="23344"/>
    <cellStyle name="Comma 2 2 4 7 8" xfId="26523"/>
    <cellStyle name="Comma 2 2 4 7 9" xfId="29856"/>
    <cellStyle name="Comma 2 2 4 8" xfId="917"/>
    <cellStyle name="Comma 2 2 4 8 10" xfId="33143"/>
    <cellStyle name="Comma 2 2 4 8 2" xfId="9688"/>
    <cellStyle name="Comma 2 2 4 8 2 2" xfId="25488"/>
    <cellStyle name="Comma 2 2 4 8 2 2 2" xfId="44915"/>
    <cellStyle name="Comma 2 2 4 8 2 2 3" xfId="38492"/>
    <cellStyle name="Comma 2 2 4 8 2 3" xfId="27666"/>
    <cellStyle name="Comma 2 2 4 8 2 3 2" xfId="41708"/>
    <cellStyle name="Comma 2 2 4 8 2 4" xfId="31001"/>
    <cellStyle name="Comma 2 2 4 8 2 5" xfId="35284"/>
    <cellStyle name="Comma 2 2 4 8 3" xfId="15322"/>
    <cellStyle name="Comma 2 2 4 8 3 2" xfId="24335"/>
    <cellStyle name="Comma 2 2 4 8 3 2 2" xfId="43764"/>
    <cellStyle name="Comma 2 2 4 8 3 2 3" xfId="37341"/>
    <cellStyle name="Comma 2 2 4 8 3 3" xfId="28658"/>
    <cellStyle name="Comma 2 2 4 8 3 3 2" xfId="40557"/>
    <cellStyle name="Comma 2 2 4 8 3 4" xfId="31993"/>
    <cellStyle name="Comma 2 2 4 8 3 5" xfId="34133"/>
    <cellStyle name="Comma 2 2 4 8 4" xfId="8138"/>
    <cellStyle name="Comma 2 2 4 8 4 2" xfId="42774"/>
    <cellStyle name="Comma 2 2 4 8 4 3" xfId="36350"/>
    <cellStyle name="Comma 2 2 4 8 5" xfId="21129"/>
    <cellStyle name="Comma 2 2 4 8 5 2" xfId="39567"/>
    <cellStyle name="Comma 2 2 4 8 6" xfId="22202"/>
    <cellStyle name="Comma 2 2 4 8 7" xfId="23345"/>
    <cellStyle name="Comma 2 2 4 8 8" xfId="26524"/>
    <cellStyle name="Comma 2 2 4 8 9" xfId="29857"/>
    <cellStyle name="Comma 2 2 4 9" xfId="918"/>
    <cellStyle name="Comma 2 2 4 9 10" xfId="33144"/>
    <cellStyle name="Comma 2 2 4 9 2" xfId="9689"/>
    <cellStyle name="Comma 2 2 4 9 2 2" xfId="25489"/>
    <cellStyle name="Comma 2 2 4 9 2 2 2" xfId="44916"/>
    <cellStyle name="Comma 2 2 4 9 2 2 3" xfId="38493"/>
    <cellStyle name="Comma 2 2 4 9 2 3" xfId="27667"/>
    <cellStyle name="Comma 2 2 4 9 2 3 2" xfId="41709"/>
    <cellStyle name="Comma 2 2 4 9 2 4" xfId="31002"/>
    <cellStyle name="Comma 2 2 4 9 2 5" xfId="35285"/>
    <cellStyle name="Comma 2 2 4 9 3" xfId="15323"/>
    <cellStyle name="Comma 2 2 4 9 3 2" xfId="24336"/>
    <cellStyle name="Comma 2 2 4 9 3 2 2" xfId="43765"/>
    <cellStyle name="Comma 2 2 4 9 3 2 3" xfId="37342"/>
    <cellStyle name="Comma 2 2 4 9 3 3" xfId="28659"/>
    <cellStyle name="Comma 2 2 4 9 3 3 2" xfId="40558"/>
    <cellStyle name="Comma 2 2 4 9 3 4" xfId="31994"/>
    <cellStyle name="Comma 2 2 4 9 3 5" xfId="34134"/>
    <cellStyle name="Comma 2 2 4 9 4" xfId="8139"/>
    <cellStyle name="Comma 2 2 4 9 4 2" xfId="42775"/>
    <cellStyle name="Comma 2 2 4 9 4 3" xfId="36351"/>
    <cellStyle name="Comma 2 2 4 9 5" xfId="21130"/>
    <cellStyle name="Comma 2 2 4 9 5 2" xfId="39568"/>
    <cellStyle name="Comma 2 2 4 9 6" xfId="22203"/>
    <cellStyle name="Comma 2 2 4 9 7" xfId="23346"/>
    <cellStyle name="Comma 2 2 4 9 8" xfId="26525"/>
    <cellStyle name="Comma 2 2 4 9 9" xfId="29858"/>
    <cellStyle name="Comma 2 2 5" xfId="236"/>
    <cellStyle name="Comma 2 2 5 10" xfId="15324"/>
    <cellStyle name="Comma 2 2 5 10 2" xfId="24337"/>
    <cellStyle name="Comma 2 2 5 10 2 2" xfId="43766"/>
    <cellStyle name="Comma 2 2 5 10 2 3" xfId="37343"/>
    <cellStyle name="Comma 2 2 5 10 3" xfId="28660"/>
    <cellStyle name="Comma 2 2 5 10 3 2" xfId="40559"/>
    <cellStyle name="Comma 2 2 5 10 4" xfId="31995"/>
    <cellStyle name="Comma 2 2 5 10 5" xfId="34135"/>
    <cellStyle name="Comma 2 2 5 11" xfId="8140"/>
    <cellStyle name="Comma 2 2 5 11 2" xfId="42444"/>
    <cellStyle name="Comma 2 2 5 11 3" xfId="36020"/>
    <cellStyle name="Comma 2 2 5 12" xfId="21131"/>
    <cellStyle name="Comma 2 2 5 12 2" xfId="39237"/>
    <cellStyle name="Comma 2 2 5 13" xfId="22204"/>
    <cellStyle name="Comma 2 2 5 14" xfId="23015"/>
    <cellStyle name="Comma 2 2 5 15" xfId="26526"/>
    <cellStyle name="Comma 2 2 5 16" xfId="29859"/>
    <cellStyle name="Comma 2 2 5 17" xfId="32813"/>
    <cellStyle name="Comma 2 2 5 2" xfId="233"/>
    <cellStyle name="Comma 2 2 5 2 10" xfId="21132"/>
    <cellStyle name="Comma 2 2 5 2 10 2" xfId="39235"/>
    <cellStyle name="Comma 2 2 5 2 11" xfId="22205"/>
    <cellStyle name="Comma 2 2 5 2 12" xfId="23013"/>
    <cellStyle name="Comma 2 2 5 2 13" xfId="26527"/>
    <cellStyle name="Comma 2 2 5 2 14" xfId="29860"/>
    <cellStyle name="Comma 2 2 5 2 15" xfId="32811"/>
    <cellStyle name="Comma 2 2 5 2 2" xfId="919"/>
    <cellStyle name="Comma 2 2 5 2 2 10" xfId="33145"/>
    <cellStyle name="Comma 2 2 5 2 2 2" xfId="9690"/>
    <cellStyle name="Comma 2 2 5 2 2 2 2" xfId="25490"/>
    <cellStyle name="Comma 2 2 5 2 2 2 2 2" xfId="44917"/>
    <cellStyle name="Comma 2 2 5 2 2 2 2 3" xfId="38494"/>
    <cellStyle name="Comma 2 2 5 2 2 2 3" xfId="27668"/>
    <cellStyle name="Comma 2 2 5 2 2 2 3 2" xfId="41710"/>
    <cellStyle name="Comma 2 2 5 2 2 2 4" xfId="31003"/>
    <cellStyle name="Comma 2 2 5 2 2 2 5" xfId="35286"/>
    <cellStyle name="Comma 2 2 5 2 2 3" xfId="15326"/>
    <cellStyle name="Comma 2 2 5 2 2 3 2" xfId="24339"/>
    <cellStyle name="Comma 2 2 5 2 2 3 2 2" xfId="43768"/>
    <cellStyle name="Comma 2 2 5 2 2 3 2 3" xfId="37345"/>
    <cellStyle name="Comma 2 2 5 2 2 3 3" xfId="28662"/>
    <cellStyle name="Comma 2 2 5 2 2 3 3 2" xfId="40561"/>
    <cellStyle name="Comma 2 2 5 2 2 3 4" xfId="31997"/>
    <cellStyle name="Comma 2 2 5 2 2 3 5" xfId="34137"/>
    <cellStyle name="Comma 2 2 5 2 2 4" xfId="8142"/>
    <cellStyle name="Comma 2 2 5 2 2 4 2" xfId="42776"/>
    <cellStyle name="Comma 2 2 5 2 2 4 3" xfId="36352"/>
    <cellStyle name="Comma 2 2 5 2 2 5" xfId="21133"/>
    <cellStyle name="Comma 2 2 5 2 2 5 2" xfId="39569"/>
    <cellStyle name="Comma 2 2 5 2 2 6" xfId="22206"/>
    <cellStyle name="Comma 2 2 5 2 2 7" xfId="23347"/>
    <cellStyle name="Comma 2 2 5 2 2 8" xfId="26528"/>
    <cellStyle name="Comma 2 2 5 2 2 9" xfId="29861"/>
    <cellStyle name="Comma 2 2 5 2 3" xfId="920"/>
    <cellStyle name="Comma 2 2 5 2 3 10" xfId="33146"/>
    <cellStyle name="Comma 2 2 5 2 3 2" xfId="9691"/>
    <cellStyle name="Comma 2 2 5 2 3 2 2" xfId="25491"/>
    <cellStyle name="Comma 2 2 5 2 3 2 2 2" xfId="44918"/>
    <cellStyle name="Comma 2 2 5 2 3 2 2 3" xfId="38495"/>
    <cellStyle name="Comma 2 2 5 2 3 2 3" xfId="27669"/>
    <cellStyle name="Comma 2 2 5 2 3 2 3 2" xfId="41711"/>
    <cellStyle name="Comma 2 2 5 2 3 2 4" xfId="31004"/>
    <cellStyle name="Comma 2 2 5 2 3 2 5" xfId="35287"/>
    <cellStyle name="Comma 2 2 5 2 3 3" xfId="15327"/>
    <cellStyle name="Comma 2 2 5 2 3 3 2" xfId="24340"/>
    <cellStyle name="Comma 2 2 5 2 3 3 2 2" xfId="43769"/>
    <cellStyle name="Comma 2 2 5 2 3 3 2 3" xfId="37346"/>
    <cellStyle name="Comma 2 2 5 2 3 3 3" xfId="28663"/>
    <cellStyle name="Comma 2 2 5 2 3 3 3 2" xfId="40562"/>
    <cellStyle name="Comma 2 2 5 2 3 3 4" xfId="31998"/>
    <cellStyle name="Comma 2 2 5 2 3 3 5" xfId="34138"/>
    <cellStyle name="Comma 2 2 5 2 3 4" xfId="8143"/>
    <cellStyle name="Comma 2 2 5 2 3 4 2" xfId="42777"/>
    <cellStyle name="Comma 2 2 5 2 3 4 3" xfId="36353"/>
    <cellStyle name="Comma 2 2 5 2 3 5" xfId="21134"/>
    <cellStyle name="Comma 2 2 5 2 3 5 2" xfId="39570"/>
    <cellStyle name="Comma 2 2 5 2 3 6" xfId="22207"/>
    <cellStyle name="Comma 2 2 5 2 3 7" xfId="23348"/>
    <cellStyle name="Comma 2 2 5 2 3 8" xfId="26529"/>
    <cellStyle name="Comma 2 2 5 2 3 9" xfId="29862"/>
    <cellStyle name="Comma 2 2 5 2 4" xfId="921"/>
    <cellStyle name="Comma 2 2 5 2 4 10" xfId="33147"/>
    <cellStyle name="Comma 2 2 5 2 4 2" xfId="9692"/>
    <cellStyle name="Comma 2 2 5 2 4 2 2" xfId="25492"/>
    <cellStyle name="Comma 2 2 5 2 4 2 2 2" xfId="44919"/>
    <cellStyle name="Comma 2 2 5 2 4 2 2 3" xfId="38496"/>
    <cellStyle name="Comma 2 2 5 2 4 2 3" xfId="27670"/>
    <cellStyle name="Comma 2 2 5 2 4 2 3 2" xfId="41712"/>
    <cellStyle name="Comma 2 2 5 2 4 2 4" xfId="31005"/>
    <cellStyle name="Comma 2 2 5 2 4 2 5" xfId="35288"/>
    <cellStyle name="Comma 2 2 5 2 4 3" xfId="15328"/>
    <cellStyle name="Comma 2 2 5 2 4 3 2" xfId="24341"/>
    <cellStyle name="Comma 2 2 5 2 4 3 2 2" xfId="43770"/>
    <cellStyle name="Comma 2 2 5 2 4 3 2 3" xfId="37347"/>
    <cellStyle name="Comma 2 2 5 2 4 3 3" xfId="28664"/>
    <cellStyle name="Comma 2 2 5 2 4 3 3 2" xfId="40563"/>
    <cellStyle name="Comma 2 2 5 2 4 3 4" xfId="31999"/>
    <cellStyle name="Comma 2 2 5 2 4 3 5" xfId="34139"/>
    <cellStyle name="Comma 2 2 5 2 4 4" xfId="8144"/>
    <cellStyle name="Comma 2 2 5 2 4 4 2" xfId="42778"/>
    <cellStyle name="Comma 2 2 5 2 4 4 3" xfId="36354"/>
    <cellStyle name="Comma 2 2 5 2 4 5" xfId="21135"/>
    <cellStyle name="Comma 2 2 5 2 4 5 2" xfId="39571"/>
    <cellStyle name="Comma 2 2 5 2 4 6" xfId="22208"/>
    <cellStyle name="Comma 2 2 5 2 4 7" xfId="23349"/>
    <cellStyle name="Comma 2 2 5 2 4 8" xfId="26530"/>
    <cellStyle name="Comma 2 2 5 2 4 9" xfId="29863"/>
    <cellStyle name="Comma 2 2 5 2 5" xfId="922"/>
    <cellStyle name="Comma 2 2 5 2 5 10" xfId="33148"/>
    <cellStyle name="Comma 2 2 5 2 5 2" xfId="9693"/>
    <cellStyle name="Comma 2 2 5 2 5 2 2" xfId="25493"/>
    <cellStyle name="Comma 2 2 5 2 5 2 2 2" xfId="44920"/>
    <cellStyle name="Comma 2 2 5 2 5 2 2 3" xfId="38497"/>
    <cellStyle name="Comma 2 2 5 2 5 2 3" xfId="27671"/>
    <cellStyle name="Comma 2 2 5 2 5 2 3 2" xfId="41713"/>
    <cellStyle name="Comma 2 2 5 2 5 2 4" xfId="31006"/>
    <cellStyle name="Comma 2 2 5 2 5 2 5" xfId="35289"/>
    <cellStyle name="Comma 2 2 5 2 5 3" xfId="15329"/>
    <cellStyle name="Comma 2 2 5 2 5 3 2" xfId="24342"/>
    <cellStyle name="Comma 2 2 5 2 5 3 2 2" xfId="43771"/>
    <cellStyle name="Comma 2 2 5 2 5 3 2 3" xfId="37348"/>
    <cellStyle name="Comma 2 2 5 2 5 3 3" xfId="28665"/>
    <cellStyle name="Comma 2 2 5 2 5 3 3 2" xfId="40564"/>
    <cellStyle name="Comma 2 2 5 2 5 3 4" xfId="32000"/>
    <cellStyle name="Comma 2 2 5 2 5 3 5" xfId="34140"/>
    <cellStyle name="Comma 2 2 5 2 5 4" xfId="8145"/>
    <cellStyle name="Comma 2 2 5 2 5 4 2" xfId="42779"/>
    <cellStyle name="Comma 2 2 5 2 5 4 3" xfId="36355"/>
    <cellStyle name="Comma 2 2 5 2 5 5" xfId="21136"/>
    <cellStyle name="Comma 2 2 5 2 5 5 2" xfId="39572"/>
    <cellStyle name="Comma 2 2 5 2 5 6" xfId="22209"/>
    <cellStyle name="Comma 2 2 5 2 5 7" xfId="23350"/>
    <cellStyle name="Comma 2 2 5 2 5 8" xfId="26531"/>
    <cellStyle name="Comma 2 2 5 2 5 9" xfId="29864"/>
    <cellStyle name="Comma 2 2 5 2 6" xfId="923"/>
    <cellStyle name="Comma 2 2 5 2 6 10" xfId="33149"/>
    <cellStyle name="Comma 2 2 5 2 6 2" xfId="9694"/>
    <cellStyle name="Comma 2 2 5 2 6 2 2" xfId="25494"/>
    <cellStyle name="Comma 2 2 5 2 6 2 2 2" xfId="44921"/>
    <cellStyle name="Comma 2 2 5 2 6 2 2 3" xfId="38498"/>
    <cellStyle name="Comma 2 2 5 2 6 2 3" xfId="27672"/>
    <cellStyle name="Comma 2 2 5 2 6 2 3 2" xfId="41714"/>
    <cellStyle name="Comma 2 2 5 2 6 2 4" xfId="31007"/>
    <cellStyle name="Comma 2 2 5 2 6 2 5" xfId="35290"/>
    <cellStyle name="Comma 2 2 5 2 6 3" xfId="15330"/>
    <cellStyle name="Comma 2 2 5 2 6 3 2" xfId="24343"/>
    <cellStyle name="Comma 2 2 5 2 6 3 2 2" xfId="43772"/>
    <cellStyle name="Comma 2 2 5 2 6 3 2 3" xfId="37349"/>
    <cellStyle name="Comma 2 2 5 2 6 3 3" xfId="28666"/>
    <cellStyle name="Comma 2 2 5 2 6 3 3 2" xfId="40565"/>
    <cellStyle name="Comma 2 2 5 2 6 3 4" xfId="32001"/>
    <cellStyle name="Comma 2 2 5 2 6 3 5" xfId="34141"/>
    <cellStyle name="Comma 2 2 5 2 6 4" xfId="8146"/>
    <cellStyle name="Comma 2 2 5 2 6 4 2" xfId="42780"/>
    <cellStyle name="Comma 2 2 5 2 6 4 3" xfId="36356"/>
    <cellStyle name="Comma 2 2 5 2 6 5" xfId="21137"/>
    <cellStyle name="Comma 2 2 5 2 6 5 2" xfId="39573"/>
    <cellStyle name="Comma 2 2 5 2 6 6" xfId="22210"/>
    <cellStyle name="Comma 2 2 5 2 6 7" xfId="23351"/>
    <cellStyle name="Comma 2 2 5 2 6 8" xfId="26532"/>
    <cellStyle name="Comma 2 2 5 2 6 9" xfId="29865"/>
    <cellStyle name="Comma 2 2 5 2 7" xfId="9097"/>
    <cellStyle name="Comma 2 2 5 2 7 2" xfId="25152"/>
    <cellStyle name="Comma 2 2 5 2 7 2 2" xfId="44579"/>
    <cellStyle name="Comma 2 2 5 2 7 2 3" xfId="38156"/>
    <cellStyle name="Comma 2 2 5 2 7 3" xfId="27331"/>
    <cellStyle name="Comma 2 2 5 2 7 3 2" xfId="41372"/>
    <cellStyle name="Comma 2 2 5 2 7 4" xfId="30666"/>
    <cellStyle name="Comma 2 2 5 2 7 5" xfId="34948"/>
    <cellStyle name="Comma 2 2 5 2 8" xfId="15325"/>
    <cellStyle name="Comma 2 2 5 2 8 2" xfId="24338"/>
    <cellStyle name="Comma 2 2 5 2 8 2 2" xfId="43767"/>
    <cellStyle name="Comma 2 2 5 2 8 2 3" xfId="37344"/>
    <cellStyle name="Comma 2 2 5 2 8 3" xfId="28661"/>
    <cellStyle name="Comma 2 2 5 2 8 3 2" xfId="40560"/>
    <cellStyle name="Comma 2 2 5 2 8 4" xfId="31996"/>
    <cellStyle name="Comma 2 2 5 2 8 5" xfId="34136"/>
    <cellStyle name="Comma 2 2 5 2 9" xfId="8141"/>
    <cellStyle name="Comma 2 2 5 2 9 2" xfId="42442"/>
    <cellStyle name="Comma 2 2 5 2 9 3" xfId="36018"/>
    <cellStyle name="Comma 2 2 5 3" xfId="924"/>
    <cellStyle name="Comma 2 2 5 3 10" xfId="22211"/>
    <cellStyle name="Comma 2 2 5 3 11" xfId="23352"/>
    <cellStyle name="Comma 2 2 5 3 12" xfId="26533"/>
    <cellStyle name="Comma 2 2 5 3 13" xfId="29866"/>
    <cellStyle name="Comma 2 2 5 3 14" xfId="33150"/>
    <cellStyle name="Comma 2 2 5 3 2" xfId="925"/>
    <cellStyle name="Comma 2 2 5 3 2 10" xfId="33151"/>
    <cellStyle name="Comma 2 2 5 3 2 2" xfId="9696"/>
    <cellStyle name="Comma 2 2 5 3 2 2 2" xfId="25496"/>
    <cellStyle name="Comma 2 2 5 3 2 2 2 2" xfId="44923"/>
    <cellStyle name="Comma 2 2 5 3 2 2 2 3" xfId="38500"/>
    <cellStyle name="Comma 2 2 5 3 2 2 3" xfId="27674"/>
    <cellStyle name="Comma 2 2 5 3 2 2 3 2" xfId="41716"/>
    <cellStyle name="Comma 2 2 5 3 2 2 4" xfId="31009"/>
    <cellStyle name="Comma 2 2 5 3 2 2 5" xfId="35292"/>
    <cellStyle name="Comma 2 2 5 3 2 3" xfId="15332"/>
    <cellStyle name="Comma 2 2 5 3 2 3 2" xfId="24345"/>
    <cellStyle name="Comma 2 2 5 3 2 3 2 2" xfId="43774"/>
    <cellStyle name="Comma 2 2 5 3 2 3 2 3" xfId="37351"/>
    <cellStyle name="Comma 2 2 5 3 2 3 3" xfId="28668"/>
    <cellStyle name="Comma 2 2 5 3 2 3 3 2" xfId="40567"/>
    <cellStyle name="Comma 2 2 5 3 2 3 4" xfId="32003"/>
    <cellStyle name="Comma 2 2 5 3 2 3 5" xfId="34143"/>
    <cellStyle name="Comma 2 2 5 3 2 4" xfId="8148"/>
    <cellStyle name="Comma 2 2 5 3 2 4 2" xfId="42782"/>
    <cellStyle name="Comma 2 2 5 3 2 4 3" xfId="36358"/>
    <cellStyle name="Comma 2 2 5 3 2 5" xfId="21139"/>
    <cellStyle name="Comma 2 2 5 3 2 5 2" xfId="39575"/>
    <cellStyle name="Comma 2 2 5 3 2 6" xfId="22212"/>
    <cellStyle name="Comma 2 2 5 3 2 7" xfId="23353"/>
    <cellStyle name="Comma 2 2 5 3 2 8" xfId="26534"/>
    <cellStyle name="Comma 2 2 5 3 2 9" xfId="29867"/>
    <cellStyle name="Comma 2 2 5 3 3" xfId="926"/>
    <cellStyle name="Comma 2 2 5 3 3 10" xfId="33152"/>
    <cellStyle name="Comma 2 2 5 3 3 2" xfId="9697"/>
    <cellStyle name="Comma 2 2 5 3 3 2 2" xfId="25497"/>
    <cellStyle name="Comma 2 2 5 3 3 2 2 2" xfId="44924"/>
    <cellStyle name="Comma 2 2 5 3 3 2 2 3" xfId="38501"/>
    <cellStyle name="Comma 2 2 5 3 3 2 3" xfId="27675"/>
    <cellStyle name="Comma 2 2 5 3 3 2 3 2" xfId="41717"/>
    <cellStyle name="Comma 2 2 5 3 3 2 4" xfId="31010"/>
    <cellStyle name="Comma 2 2 5 3 3 2 5" xfId="35293"/>
    <cellStyle name="Comma 2 2 5 3 3 3" xfId="15333"/>
    <cellStyle name="Comma 2 2 5 3 3 3 2" xfId="24346"/>
    <cellStyle name="Comma 2 2 5 3 3 3 2 2" xfId="43775"/>
    <cellStyle name="Comma 2 2 5 3 3 3 2 3" xfId="37352"/>
    <cellStyle name="Comma 2 2 5 3 3 3 3" xfId="28669"/>
    <cellStyle name="Comma 2 2 5 3 3 3 3 2" xfId="40568"/>
    <cellStyle name="Comma 2 2 5 3 3 3 4" xfId="32004"/>
    <cellStyle name="Comma 2 2 5 3 3 3 5" xfId="34144"/>
    <cellStyle name="Comma 2 2 5 3 3 4" xfId="8149"/>
    <cellStyle name="Comma 2 2 5 3 3 4 2" xfId="42783"/>
    <cellStyle name="Comma 2 2 5 3 3 4 3" xfId="36359"/>
    <cellStyle name="Comma 2 2 5 3 3 5" xfId="21140"/>
    <cellStyle name="Comma 2 2 5 3 3 5 2" xfId="39576"/>
    <cellStyle name="Comma 2 2 5 3 3 6" xfId="22213"/>
    <cellStyle name="Comma 2 2 5 3 3 7" xfId="23354"/>
    <cellStyle name="Comma 2 2 5 3 3 8" xfId="26535"/>
    <cellStyle name="Comma 2 2 5 3 3 9" xfId="29868"/>
    <cellStyle name="Comma 2 2 5 3 4" xfId="927"/>
    <cellStyle name="Comma 2 2 5 3 4 10" xfId="33153"/>
    <cellStyle name="Comma 2 2 5 3 4 2" xfId="9698"/>
    <cellStyle name="Comma 2 2 5 3 4 2 2" xfId="25498"/>
    <cellStyle name="Comma 2 2 5 3 4 2 2 2" xfId="44925"/>
    <cellStyle name="Comma 2 2 5 3 4 2 2 3" xfId="38502"/>
    <cellStyle name="Comma 2 2 5 3 4 2 3" xfId="27676"/>
    <cellStyle name="Comma 2 2 5 3 4 2 3 2" xfId="41718"/>
    <cellStyle name="Comma 2 2 5 3 4 2 4" xfId="31011"/>
    <cellStyle name="Comma 2 2 5 3 4 2 5" xfId="35294"/>
    <cellStyle name="Comma 2 2 5 3 4 3" xfId="15334"/>
    <cellStyle name="Comma 2 2 5 3 4 3 2" xfId="24347"/>
    <cellStyle name="Comma 2 2 5 3 4 3 2 2" xfId="43776"/>
    <cellStyle name="Comma 2 2 5 3 4 3 2 3" xfId="37353"/>
    <cellStyle name="Comma 2 2 5 3 4 3 3" xfId="28670"/>
    <cellStyle name="Comma 2 2 5 3 4 3 3 2" xfId="40569"/>
    <cellStyle name="Comma 2 2 5 3 4 3 4" xfId="32005"/>
    <cellStyle name="Comma 2 2 5 3 4 3 5" xfId="34145"/>
    <cellStyle name="Comma 2 2 5 3 4 4" xfId="8150"/>
    <cellStyle name="Comma 2 2 5 3 4 4 2" xfId="42784"/>
    <cellStyle name="Comma 2 2 5 3 4 4 3" xfId="36360"/>
    <cellStyle name="Comma 2 2 5 3 4 5" xfId="21141"/>
    <cellStyle name="Comma 2 2 5 3 4 5 2" xfId="39577"/>
    <cellStyle name="Comma 2 2 5 3 4 6" xfId="22214"/>
    <cellStyle name="Comma 2 2 5 3 4 7" xfId="23355"/>
    <cellStyle name="Comma 2 2 5 3 4 8" xfId="26536"/>
    <cellStyle name="Comma 2 2 5 3 4 9" xfId="29869"/>
    <cellStyle name="Comma 2 2 5 3 5" xfId="928"/>
    <cellStyle name="Comma 2 2 5 3 5 10" xfId="33154"/>
    <cellStyle name="Comma 2 2 5 3 5 2" xfId="9699"/>
    <cellStyle name="Comma 2 2 5 3 5 2 2" xfId="25499"/>
    <cellStyle name="Comma 2 2 5 3 5 2 2 2" xfId="44926"/>
    <cellStyle name="Comma 2 2 5 3 5 2 2 3" xfId="38503"/>
    <cellStyle name="Comma 2 2 5 3 5 2 3" xfId="27677"/>
    <cellStyle name="Comma 2 2 5 3 5 2 3 2" xfId="41719"/>
    <cellStyle name="Comma 2 2 5 3 5 2 4" xfId="31012"/>
    <cellStyle name="Comma 2 2 5 3 5 2 5" xfId="35295"/>
    <cellStyle name="Comma 2 2 5 3 5 3" xfId="15335"/>
    <cellStyle name="Comma 2 2 5 3 5 3 2" xfId="24348"/>
    <cellStyle name="Comma 2 2 5 3 5 3 2 2" xfId="43777"/>
    <cellStyle name="Comma 2 2 5 3 5 3 2 3" xfId="37354"/>
    <cellStyle name="Comma 2 2 5 3 5 3 3" xfId="28671"/>
    <cellStyle name="Comma 2 2 5 3 5 3 3 2" xfId="40570"/>
    <cellStyle name="Comma 2 2 5 3 5 3 4" xfId="32006"/>
    <cellStyle name="Comma 2 2 5 3 5 3 5" xfId="34146"/>
    <cellStyle name="Comma 2 2 5 3 5 4" xfId="8151"/>
    <cellStyle name="Comma 2 2 5 3 5 4 2" xfId="42785"/>
    <cellStyle name="Comma 2 2 5 3 5 4 3" xfId="36361"/>
    <cellStyle name="Comma 2 2 5 3 5 5" xfId="21142"/>
    <cellStyle name="Comma 2 2 5 3 5 5 2" xfId="39578"/>
    <cellStyle name="Comma 2 2 5 3 5 6" xfId="22215"/>
    <cellStyle name="Comma 2 2 5 3 5 7" xfId="23356"/>
    <cellStyle name="Comma 2 2 5 3 5 8" xfId="26537"/>
    <cellStyle name="Comma 2 2 5 3 5 9" xfId="29870"/>
    <cellStyle name="Comma 2 2 5 3 6" xfId="9695"/>
    <cellStyle name="Comma 2 2 5 3 6 2" xfId="25495"/>
    <cellStyle name="Comma 2 2 5 3 6 2 2" xfId="44922"/>
    <cellStyle name="Comma 2 2 5 3 6 2 3" xfId="38499"/>
    <cellStyle name="Comma 2 2 5 3 6 3" xfId="27673"/>
    <cellStyle name="Comma 2 2 5 3 6 3 2" xfId="41715"/>
    <cellStyle name="Comma 2 2 5 3 6 4" xfId="31008"/>
    <cellStyle name="Comma 2 2 5 3 6 5" xfId="35291"/>
    <cellStyle name="Comma 2 2 5 3 7" xfId="15331"/>
    <cellStyle name="Comma 2 2 5 3 7 2" xfId="24344"/>
    <cellStyle name="Comma 2 2 5 3 7 2 2" xfId="43773"/>
    <cellStyle name="Comma 2 2 5 3 7 2 3" xfId="37350"/>
    <cellStyle name="Comma 2 2 5 3 7 3" xfId="28667"/>
    <cellStyle name="Comma 2 2 5 3 7 3 2" xfId="40566"/>
    <cellStyle name="Comma 2 2 5 3 7 4" xfId="32002"/>
    <cellStyle name="Comma 2 2 5 3 7 5" xfId="34142"/>
    <cellStyle name="Comma 2 2 5 3 8" xfId="8147"/>
    <cellStyle name="Comma 2 2 5 3 8 2" xfId="42781"/>
    <cellStyle name="Comma 2 2 5 3 8 3" xfId="36357"/>
    <cellStyle name="Comma 2 2 5 3 9" xfId="21138"/>
    <cellStyle name="Comma 2 2 5 3 9 2" xfId="39574"/>
    <cellStyle name="Comma 2 2 5 4" xfId="929"/>
    <cellStyle name="Comma 2 2 5 4 10" xfId="33155"/>
    <cellStyle name="Comma 2 2 5 4 2" xfId="9700"/>
    <cellStyle name="Comma 2 2 5 4 2 2" xfId="25500"/>
    <cellStyle name="Comma 2 2 5 4 2 2 2" xfId="44927"/>
    <cellStyle name="Comma 2 2 5 4 2 2 3" xfId="38504"/>
    <cellStyle name="Comma 2 2 5 4 2 3" xfId="27678"/>
    <cellStyle name="Comma 2 2 5 4 2 3 2" xfId="41720"/>
    <cellStyle name="Comma 2 2 5 4 2 4" xfId="31013"/>
    <cellStyle name="Comma 2 2 5 4 2 5" xfId="35296"/>
    <cellStyle name="Comma 2 2 5 4 3" xfId="15336"/>
    <cellStyle name="Comma 2 2 5 4 3 2" xfId="24349"/>
    <cellStyle name="Comma 2 2 5 4 3 2 2" xfId="43778"/>
    <cellStyle name="Comma 2 2 5 4 3 2 3" xfId="37355"/>
    <cellStyle name="Comma 2 2 5 4 3 3" xfId="28672"/>
    <cellStyle name="Comma 2 2 5 4 3 3 2" xfId="40571"/>
    <cellStyle name="Comma 2 2 5 4 3 4" xfId="32007"/>
    <cellStyle name="Comma 2 2 5 4 3 5" xfId="34147"/>
    <cellStyle name="Comma 2 2 5 4 4" xfId="8152"/>
    <cellStyle name="Comma 2 2 5 4 4 2" xfId="42786"/>
    <cellStyle name="Comma 2 2 5 4 4 3" xfId="36362"/>
    <cellStyle name="Comma 2 2 5 4 5" xfId="21143"/>
    <cellStyle name="Comma 2 2 5 4 5 2" xfId="39579"/>
    <cellStyle name="Comma 2 2 5 4 6" xfId="22216"/>
    <cellStyle name="Comma 2 2 5 4 7" xfId="23357"/>
    <cellStyle name="Comma 2 2 5 4 8" xfId="26538"/>
    <cellStyle name="Comma 2 2 5 4 9" xfId="29871"/>
    <cellStyle name="Comma 2 2 5 5" xfId="930"/>
    <cellStyle name="Comma 2 2 5 5 10" xfId="33156"/>
    <cellStyle name="Comma 2 2 5 5 2" xfId="9701"/>
    <cellStyle name="Comma 2 2 5 5 2 2" xfId="25501"/>
    <cellStyle name="Comma 2 2 5 5 2 2 2" xfId="44928"/>
    <cellStyle name="Comma 2 2 5 5 2 2 3" xfId="38505"/>
    <cellStyle name="Comma 2 2 5 5 2 3" xfId="27679"/>
    <cellStyle name="Comma 2 2 5 5 2 3 2" xfId="41721"/>
    <cellStyle name="Comma 2 2 5 5 2 4" xfId="31014"/>
    <cellStyle name="Comma 2 2 5 5 2 5" xfId="35297"/>
    <cellStyle name="Comma 2 2 5 5 3" xfId="15337"/>
    <cellStyle name="Comma 2 2 5 5 3 2" xfId="24350"/>
    <cellStyle name="Comma 2 2 5 5 3 2 2" xfId="43779"/>
    <cellStyle name="Comma 2 2 5 5 3 2 3" xfId="37356"/>
    <cellStyle name="Comma 2 2 5 5 3 3" xfId="28673"/>
    <cellStyle name="Comma 2 2 5 5 3 3 2" xfId="40572"/>
    <cellStyle name="Comma 2 2 5 5 3 4" xfId="32008"/>
    <cellStyle name="Comma 2 2 5 5 3 5" xfId="34148"/>
    <cellStyle name="Comma 2 2 5 5 4" xfId="8153"/>
    <cellStyle name="Comma 2 2 5 5 4 2" xfId="42787"/>
    <cellStyle name="Comma 2 2 5 5 4 3" xfId="36363"/>
    <cellStyle name="Comma 2 2 5 5 5" xfId="21144"/>
    <cellStyle name="Comma 2 2 5 5 5 2" xfId="39580"/>
    <cellStyle name="Comma 2 2 5 5 6" xfId="22217"/>
    <cellStyle name="Comma 2 2 5 5 7" xfId="23358"/>
    <cellStyle name="Comma 2 2 5 5 8" xfId="26539"/>
    <cellStyle name="Comma 2 2 5 5 9" xfId="29872"/>
    <cellStyle name="Comma 2 2 5 6" xfId="931"/>
    <cellStyle name="Comma 2 2 5 6 10" xfId="33157"/>
    <cellStyle name="Comma 2 2 5 6 2" xfId="9702"/>
    <cellStyle name="Comma 2 2 5 6 2 2" xfId="25502"/>
    <cellStyle name="Comma 2 2 5 6 2 2 2" xfId="44929"/>
    <cellStyle name="Comma 2 2 5 6 2 2 3" xfId="38506"/>
    <cellStyle name="Comma 2 2 5 6 2 3" xfId="27680"/>
    <cellStyle name="Comma 2 2 5 6 2 3 2" xfId="41722"/>
    <cellStyle name="Comma 2 2 5 6 2 4" xfId="31015"/>
    <cellStyle name="Comma 2 2 5 6 2 5" xfId="35298"/>
    <cellStyle name="Comma 2 2 5 6 3" xfId="15338"/>
    <cellStyle name="Comma 2 2 5 6 3 2" xfId="24351"/>
    <cellStyle name="Comma 2 2 5 6 3 2 2" xfId="43780"/>
    <cellStyle name="Comma 2 2 5 6 3 2 3" xfId="37357"/>
    <cellStyle name="Comma 2 2 5 6 3 3" xfId="28674"/>
    <cellStyle name="Comma 2 2 5 6 3 3 2" xfId="40573"/>
    <cellStyle name="Comma 2 2 5 6 3 4" xfId="32009"/>
    <cellStyle name="Comma 2 2 5 6 3 5" xfId="34149"/>
    <cellStyle name="Comma 2 2 5 6 4" xfId="8154"/>
    <cellStyle name="Comma 2 2 5 6 4 2" xfId="42788"/>
    <cellStyle name="Comma 2 2 5 6 4 3" xfId="36364"/>
    <cellStyle name="Comma 2 2 5 6 5" xfId="21145"/>
    <cellStyle name="Comma 2 2 5 6 5 2" xfId="39581"/>
    <cellStyle name="Comma 2 2 5 6 6" xfId="22218"/>
    <cellStyle name="Comma 2 2 5 6 7" xfId="23359"/>
    <cellStyle name="Comma 2 2 5 6 8" xfId="26540"/>
    <cellStyle name="Comma 2 2 5 6 9" xfId="29873"/>
    <cellStyle name="Comma 2 2 5 7" xfId="932"/>
    <cellStyle name="Comma 2 2 5 7 10" xfId="33158"/>
    <cellStyle name="Comma 2 2 5 7 2" xfId="9703"/>
    <cellStyle name="Comma 2 2 5 7 2 2" xfId="25503"/>
    <cellStyle name="Comma 2 2 5 7 2 2 2" xfId="44930"/>
    <cellStyle name="Comma 2 2 5 7 2 2 3" xfId="38507"/>
    <cellStyle name="Comma 2 2 5 7 2 3" xfId="27681"/>
    <cellStyle name="Comma 2 2 5 7 2 3 2" xfId="41723"/>
    <cellStyle name="Comma 2 2 5 7 2 4" xfId="31016"/>
    <cellStyle name="Comma 2 2 5 7 2 5" xfId="35299"/>
    <cellStyle name="Comma 2 2 5 7 3" xfId="15339"/>
    <cellStyle name="Comma 2 2 5 7 3 2" xfId="24352"/>
    <cellStyle name="Comma 2 2 5 7 3 2 2" xfId="43781"/>
    <cellStyle name="Comma 2 2 5 7 3 2 3" xfId="37358"/>
    <cellStyle name="Comma 2 2 5 7 3 3" xfId="28675"/>
    <cellStyle name="Comma 2 2 5 7 3 3 2" xfId="40574"/>
    <cellStyle name="Comma 2 2 5 7 3 4" xfId="32010"/>
    <cellStyle name="Comma 2 2 5 7 3 5" xfId="34150"/>
    <cellStyle name="Comma 2 2 5 7 4" xfId="8155"/>
    <cellStyle name="Comma 2 2 5 7 4 2" xfId="42789"/>
    <cellStyle name="Comma 2 2 5 7 4 3" xfId="36365"/>
    <cellStyle name="Comma 2 2 5 7 5" xfId="21146"/>
    <cellStyle name="Comma 2 2 5 7 5 2" xfId="39582"/>
    <cellStyle name="Comma 2 2 5 7 6" xfId="22219"/>
    <cellStyle name="Comma 2 2 5 7 7" xfId="23360"/>
    <cellStyle name="Comma 2 2 5 7 8" xfId="26541"/>
    <cellStyle name="Comma 2 2 5 7 9" xfId="29874"/>
    <cellStyle name="Comma 2 2 5 8" xfId="933"/>
    <cellStyle name="Comma 2 2 5 8 10" xfId="33159"/>
    <cellStyle name="Comma 2 2 5 8 2" xfId="9704"/>
    <cellStyle name="Comma 2 2 5 8 2 2" xfId="25504"/>
    <cellStyle name="Comma 2 2 5 8 2 2 2" xfId="44931"/>
    <cellStyle name="Comma 2 2 5 8 2 2 3" xfId="38508"/>
    <cellStyle name="Comma 2 2 5 8 2 3" xfId="27682"/>
    <cellStyle name="Comma 2 2 5 8 2 3 2" xfId="41724"/>
    <cellStyle name="Comma 2 2 5 8 2 4" xfId="31017"/>
    <cellStyle name="Comma 2 2 5 8 2 5" xfId="35300"/>
    <cellStyle name="Comma 2 2 5 8 3" xfId="15340"/>
    <cellStyle name="Comma 2 2 5 8 3 2" xfId="24353"/>
    <cellStyle name="Comma 2 2 5 8 3 2 2" xfId="43782"/>
    <cellStyle name="Comma 2 2 5 8 3 2 3" xfId="37359"/>
    <cellStyle name="Comma 2 2 5 8 3 3" xfId="28676"/>
    <cellStyle name="Comma 2 2 5 8 3 3 2" xfId="40575"/>
    <cellStyle name="Comma 2 2 5 8 3 4" xfId="32011"/>
    <cellStyle name="Comma 2 2 5 8 3 5" xfId="34151"/>
    <cellStyle name="Comma 2 2 5 8 4" xfId="8156"/>
    <cellStyle name="Comma 2 2 5 8 4 2" xfId="42790"/>
    <cellStyle name="Comma 2 2 5 8 4 3" xfId="36366"/>
    <cellStyle name="Comma 2 2 5 8 5" xfId="21147"/>
    <cellStyle name="Comma 2 2 5 8 5 2" xfId="39583"/>
    <cellStyle name="Comma 2 2 5 8 6" xfId="22220"/>
    <cellStyle name="Comma 2 2 5 8 7" xfId="23361"/>
    <cellStyle name="Comma 2 2 5 8 8" xfId="26542"/>
    <cellStyle name="Comma 2 2 5 8 9" xfId="29875"/>
    <cellStyle name="Comma 2 2 5 9" xfId="9099"/>
    <cellStyle name="Comma 2 2 5 9 2" xfId="25154"/>
    <cellStyle name="Comma 2 2 5 9 2 2" xfId="44581"/>
    <cellStyle name="Comma 2 2 5 9 2 3" xfId="38158"/>
    <cellStyle name="Comma 2 2 5 9 3" xfId="27333"/>
    <cellStyle name="Comma 2 2 5 9 3 2" xfId="41374"/>
    <cellStyle name="Comma 2 2 5 9 4" xfId="30668"/>
    <cellStyle name="Comma 2 2 5 9 5" xfId="34950"/>
    <cellStyle name="Comma 2 2 6" xfId="225"/>
    <cellStyle name="Comma 2 2 6 10" xfId="21148"/>
    <cellStyle name="Comma 2 2 6 10 2" xfId="39231"/>
    <cellStyle name="Comma 2 2 6 11" xfId="22221"/>
    <cellStyle name="Comma 2 2 6 12" xfId="23009"/>
    <cellStyle name="Comma 2 2 6 13" xfId="26543"/>
    <cellStyle name="Comma 2 2 6 14" xfId="29876"/>
    <cellStyle name="Comma 2 2 6 15" xfId="32807"/>
    <cellStyle name="Comma 2 2 6 2" xfId="934"/>
    <cellStyle name="Comma 2 2 6 2 10" xfId="33160"/>
    <cellStyle name="Comma 2 2 6 2 2" xfId="9705"/>
    <cellStyle name="Comma 2 2 6 2 2 2" xfId="25505"/>
    <cellStyle name="Comma 2 2 6 2 2 2 2" xfId="44932"/>
    <cellStyle name="Comma 2 2 6 2 2 2 3" xfId="38509"/>
    <cellStyle name="Comma 2 2 6 2 2 3" xfId="27683"/>
    <cellStyle name="Comma 2 2 6 2 2 3 2" xfId="41725"/>
    <cellStyle name="Comma 2 2 6 2 2 4" xfId="31018"/>
    <cellStyle name="Comma 2 2 6 2 2 5" xfId="35301"/>
    <cellStyle name="Comma 2 2 6 2 3" xfId="15342"/>
    <cellStyle name="Comma 2 2 6 2 3 2" xfId="24355"/>
    <cellStyle name="Comma 2 2 6 2 3 2 2" xfId="43784"/>
    <cellStyle name="Comma 2 2 6 2 3 2 3" xfId="37361"/>
    <cellStyle name="Comma 2 2 6 2 3 3" xfId="28678"/>
    <cellStyle name="Comma 2 2 6 2 3 3 2" xfId="40577"/>
    <cellStyle name="Comma 2 2 6 2 3 4" xfId="32013"/>
    <cellStyle name="Comma 2 2 6 2 3 5" xfId="34153"/>
    <cellStyle name="Comma 2 2 6 2 4" xfId="8158"/>
    <cellStyle name="Comma 2 2 6 2 4 2" xfId="42791"/>
    <cellStyle name="Comma 2 2 6 2 4 3" xfId="36367"/>
    <cellStyle name="Comma 2 2 6 2 5" xfId="21149"/>
    <cellStyle name="Comma 2 2 6 2 5 2" xfId="39584"/>
    <cellStyle name="Comma 2 2 6 2 6" xfId="22222"/>
    <cellStyle name="Comma 2 2 6 2 7" xfId="23362"/>
    <cellStyle name="Comma 2 2 6 2 8" xfId="26544"/>
    <cellStyle name="Comma 2 2 6 2 9" xfId="29877"/>
    <cellStyle name="Comma 2 2 6 3" xfId="935"/>
    <cellStyle name="Comma 2 2 6 3 10" xfId="33161"/>
    <cellStyle name="Comma 2 2 6 3 2" xfId="9706"/>
    <cellStyle name="Comma 2 2 6 3 2 2" xfId="25506"/>
    <cellStyle name="Comma 2 2 6 3 2 2 2" xfId="44933"/>
    <cellStyle name="Comma 2 2 6 3 2 2 3" xfId="38510"/>
    <cellStyle name="Comma 2 2 6 3 2 3" xfId="27684"/>
    <cellStyle name="Comma 2 2 6 3 2 3 2" xfId="41726"/>
    <cellStyle name="Comma 2 2 6 3 2 4" xfId="31019"/>
    <cellStyle name="Comma 2 2 6 3 2 5" xfId="35302"/>
    <cellStyle name="Comma 2 2 6 3 3" xfId="15343"/>
    <cellStyle name="Comma 2 2 6 3 3 2" xfId="24356"/>
    <cellStyle name="Comma 2 2 6 3 3 2 2" xfId="43785"/>
    <cellStyle name="Comma 2 2 6 3 3 2 3" xfId="37362"/>
    <cellStyle name="Comma 2 2 6 3 3 3" xfId="28679"/>
    <cellStyle name="Comma 2 2 6 3 3 3 2" xfId="40578"/>
    <cellStyle name="Comma 2 2 6 3 3 4" xfId="32014"/>
    <cellStyle name="Comma 2 2 6 3 3 5" xfId="34154"/>
    <cellStyle name="Comma 2 2 6 3 4" xfId="8159"/>
    <cellStyle name="Comma 2 2 6 3 4 2" xfId="42792"/>
    <cellStyle name="Comma 2 2 6 3 4 3" xfId="36368"/>
    <cellStyle name="Comma 2 2 6 3 5" xfId="21150"/>
    <cellStyle name="Comma 2 2 6 3 5 2" xfId="39585"/>
    <cellStyle name="Comma 2 2 6 3 6" xfId="22223"/>
    <cellStyle name="Comma 2 2 6 3 7" xfId="23363"/>
    <cellStyle name="Comma 2 2 6 3 8" xfId="26545"/>
    <cellStyle name="Comma 2 2 6 3 9" xfId="29878"/>
    <cellStyle name="Comma 2 2 6 4" xfId="936"/>
    <cellStyle name="Comma 2 2 6 4 10" xfId="33162"/>
    <cellStyle name="Comma 2 2 6 4 2" xfId="9707"/>
    <cellStyle name="Comma 2 2 6 4 2 2" xfId="25507"/>
    <cellStyle name="Comma 2 2 6 4 2 2 2" xfId="44934"/>
    <cellStyle name="Comma 2 2 6 4 2 2 3" xfId="38511"/>
    <cellStyle name="Comma 2 2 6 4 2 3" xfId="27685"/>
    <cellStyle name="Comma 2 2 6 4 2 3 2" xfId="41727"/>
    <cellStyle name="Comma 2 2 6 4 2 4" xfId="31020"/>
    <cellStyle name="Comma 2 2 6 4 2 5" xfId="35303"/>
    <cellStyle name="Comma 2 2 6 4 3" xfId="15344"/>
    <cellStyle name="Comma 2 2 6 4 3 2" xfId="24357"/>
    <cellStyle name="Comma 2 2 6 4 3 2 2" xfId="43786"/>
    <cellStyle name="Comma 2 2 6 4 3 2 3" xfId="37363"/>
    <cellStyle name="Comma 2 2 6 4 3 3" xfId="28680"/>
    <cellStyle name="Comma 2 2 6 4 3 3 2" xfId="40579"/>
    <cellStyle name="Comma 2 2 6 4 3 4" xfId="32015"/>
    <cellStyle name="Comma 2 2 6 4 3 5" xfId="34155"/>
    <cellStyle name="Comma 2 2 6 4 4" xfId="8160"/>
    <cellStyle name="Comma 2 2 6 4 4 2" xfId="42793"/>
    <cellStyle name="Comma 2 2 6 4 4 3" xfId="36369"/>
    <cellStyle name="Comma 2 2 6 4 5" xfId="21151"/>
    <cellStyle name="Comma 2 2 6 4 5 2" xfId="39586"/>
    <cellStyle name="Comma 2 2 6 4 6" xfId="22224"/>
    <cellStyle name="Comma 2 2 6 4 7" xfId="23364"/>
    <cellStyle name="Comma 2 2 6 4 8" xfId="26546"/>
    <cellStyle name="Comma 2 2 6 4 9" xfId="29879"/>
    <cellStyle name="Comma 2 2 6 5" xfId="937"/>
    <cellStyle name="Comma 2 2 6 5 10" xfId="33163"/>
    <cellStyle name="Comma 2 2 6 5 2" xfId="9708"/>
    <cellStyle name="Comma 2 2 6 5 2 2" xfId="25508"/>
    <cellStyle name="Comma 2 2 6 5 2 2 2" xfId="44935"/>
    <cellStyle name="Comma 2 2 6 5 2 2 3" xfId="38512"/>
    <cellStyle name="Comma 2 2 6 5 2 3" xfId="27686"/>
    <cellStyle name="Comma 2 2 6 5 2 3 2" xfId="41728"/>
    <cellStyle name="Comma 2 2 6 5 2 4" xfId="31021"/>
    <cellStyle name="Comma 2 2 6 5 2 5" xfId="35304"/>
    <cellStyle name="Comma 2 2 6 5 3" xfId="15345"/>
    <cellStyle name="Comma 2 2 6 5 3 2" xfId="24358"/>
    <cellStyle name="Comma 2 2 6 5 3 2 2" xfId="43787"/>
    <cellStyle name="Comma 2 2 6 5 3 2 3" xfId="37364"/>
    <cellStyle name="Comma 2 2 6 5 3 3" xfId="28681"/>
    <cellStyle name="Comma 2 2 6 5 3 3 2" xfId="40580"/>
    <cellStyle name="Comma 2 2 6 5 3 4" xfId="32016"/>
    <cellStyle name="Comma 2 2 6 5 3 5" xfId="34156"/>
    <cellStyle name="Comma 2 2 6 5 4" xfId="8161"/>
    <cellStyle name="Comma 2 2 6 5 4 2" xfId="42794"/>
    <cellStyle name="Comma 2 2 6 5 4 3" xfId="36370"/>
    <cellStyle name="Comma 2 2 6 5 5" xfId="21152"/>
    <cellStyle name="Comma 2 2 6 5 5 2" xfId="39587"/>
    <cellStyle name="Comma 2 2 6 5 6" xfId="22225"/>
    <cellStyle name="Comma 2 2 6 5 7" xfId="23365"/>
    <cellStyle name="Comma 2 2 6 5 8" xfId="26547"/>
    <cellStyle name="Comma 2 2 6 5 9" xfId="29880"/>
    <cellStyle name="Comma 2 2 6 6" xfId="938"/>
    <cellStyle name="Comma 2 2 6 6 10" xfId="33164"/>
    <cellStyle name="Comma 2 2 6 6 2" xfId="9709"/>
    <cellStyle name="Comma 2 2 6 6 2 2" xfId="25509"/>
    <cellStyle name="Comma 2 2 6 6 2 2 2" xfId="44936"/>
    <cellStyle name="Comma 2 2 6 6 2 2 3" xfId="38513"/>
    <cellStyle name="Comma 2 2 6 6 2 3" xfId="27687"/>
    <cellStyle name="Comma 2 2 6 6 2 3 2" xfId="41729"/>
    <cellStyle name="Comma 2 2 6 6 2 4" xfId="31022"/>
    <cellStyle name="Comma 2 2 6 6 2 5" xfId="35305"/>
    <cellStyle name="Comma 2 2 6 6 3" xfId="15346"/>
    <cellStyle name="Comma 2 2 6 6 3 2" xfId="24359"/>
    <cellStyle name="Comma 2 2 6 6 3 2 2" xfId="43788"/>
    <cellStyle name="Comma 2 2 6 6 3 2 3" xfId="37365"/>
    <cellStyle name="Comma 2 2 6 6 3 3" xfId="28682"/>
    <cellStyle name="Comma 2 2 6 6 3 3 2" xfId="40581"/>
    <cellStyle name="Comma 2 2 6 6 3 4" xfId="32017"/>
    <cellStyle name="Comma 2 2 6 6 3 5" xfId="34157"/>
    <cellStyle name="Comma 2 2 6 6 4" xfId="8162"/>
    <cellStyle name="Comma 2 2 6 6 4 2" xfId="42795"/>
    <cellStyle name="Comma 2 2 6 6 4 3" xfId="36371"/>
    <cellStyle name="Comma 2 2 6 6 5" xfId="21153"/>
    <cellStyle name="Comma 2 2 6 6 5 2" xfId="39588"/>
    <cellStyle name="Comma 2 2 6 6 6" xfId="22226"/>
    <cellStyle name="Comma 2 2 6 6 7" xfId="23366"/>
    <cellStyle name="Comma 2 2 6 6 8" xfId="26548"/>
    <cellStyle name="Comma 2 2 6 6 9" xfId="29881"/>
    <cellStyle name="Comma 2 2 6 7" xfId="9093"/>
    <cellStyle name="Comma 2 2 6 7 2" xfId="25148"/>
    <cellStyle name="Comma 2 2 6 7 2 2" xfId="44575"/>
    <cellStyle name="Comma 2 2 6 7 2 3" xfId="38152"/>
    <cellStyle name="Comma 2 2 6 7 3" xfId="27327"/>
    <cellStyle name="Comma 2 2 6 7 3 2" xfId="41368"/>
    <cellStyle name="Comma 2 2 6 7 4" xfId="30662"/>
    <cellStyle name="Comma 2 2 6 7 5" xfId="34944"/>
    <cellStyle name="Comma 2 2 6 8" xfId="15341"/>
    <cellStyle name="Comma 2 2 6 8 2" xfId="24354"/>
    <cellStyle name="Comma 2 2 6 8 2 2" xfId="43783"/>
    <cellStyle name="Comma 2 2 6 8 2 3" xfId="37360"/>
    <cellStyle name="Comma 2 2 6 8 3" xfId="28677"/>
    <cellStyle name="Comma 2 2 6 8 3 2" xfId="40576"/>
    <cellStyle name="Comma 2 2 6 8 4" xfId="32012"/>
    <cellStyle name="Comma 2 2 6 8 5" xfId="34152"/>
    <cellStyle name="Comma 2 2 6 9" xfId="8157"/>
    <cellStyle name="Comma 2 2 6 9 2" xfId="42438"/>
    <cellStyle name="Comma 2 2 6 9 3" xfId="36014"/>
    <cellStyle name="Comma 2 2 7" xfId="175"/>
    <cellStyle name="Comma 2 2 7 10" xfId="32774"/>
    <cellStyle name="Comma 2 2 7 2" xfId="9058"/>
    <cellStyle name="Comma 2 2 7 2 2" xfId="25114"/>
    <cellStyle name="Comma 2 2 7 2 2 2" xfId="44541"/>
    <cellStyle name="Comma 2 2 7 2 2 3" xfId="38118"/>
    <cellStyle name="Comma 2 2 7 2 3" xfId="27293"/>
    <cellStyle name="Comma 2 2 7 2 3 2" xfId="41334"/>
    <cellStyle name="Comma 2 2 7 2 4" xfId="30628"/>
    <cellStyle name="Comma 2 2 7 2 5" xfId="34910"/>
    <cellStyle name="Comma 2 2 7 3" xfId="15347"/>
    <cellStyle name="Comma 2 2 7 3 2" xfId="24360"/>
    <cellStyle name="Comma 2 2 7 3 2 2" xfId="43789"/>
    <cellStyle name="Comma 2 2 7 3 2 3" xfId="37366"/>
    <cellStyle name="Comma 2 2 7 3 3" xfId="28683"/>
    <cellStyle name="Comma 2 2 7 3 3 2" xfId="40582"/>
    <cellStyle name="Comma 2 2 7 3 4" xfId="32018"/>
    <cellStyle name="Comma 2 2 7 3 5" xfId="34158"/>
    <cellStyle name="Comma 2 2 7 4" xfId="8163"/>
    <cellStyle name="Comma 2 2 7 4 2" xfId="42405"/>
    <cellStyle name="Comma 2 2 7 4 3" xfId="35981"/>
    <cellStyle name="Comma 2 2 7 5" xfId="21154"/>
    <cellStyle name="Comma 2 2 7 5 2" xfId="39198"/>
    <cellStyle name="Comma 2 2 7 6" xfId="22227"/>
    <cellStyle name="Comma 2 2 7 7" xfId="22976"/>
    <cellStyle name="Comma 2 2 7 8" xfId="26549"/>
    <cellStyle name="Comma 2 2 7 9" xfId="29882"/>
    <cellStyle name="Comma 2 2 8" xfId="9027"/>
    <cellStyle name="Comma 2 2 8 2" xfId="25111"/>
    <cellStyle name="Comma 2 2 8 2 2" xfId="44538"/>
    <cellStyle name="Comma 2 2 8 2 3" xfId="38115"/>
    <cellStyle name="Comma 2 2 8 3" xfId="27290"/>
    <cellStyle name="Comma 2 2 8 3 2" xfId="41331"/>
    <cellStyle name="Comma 2 2 8 4" xfId="30625"/>
    <cellStyle name="Comma 2 2 8 5" xfId="34907"/>
    <cellStyle name="Comma 2 2 9" xfId="15050"/>
    <cellStyle name="Comma 2 2 9 2" xfId="24063"/>
    <cellStyle name="Comma 2 2 9 2 2" xfId="43492"/>
    <cellStyle name="Comma 2 2 9 2 3" xfId="37069"/>
    <cellStyle name="Comma 2 2 9 3" xfId="28386"/>
    <cellStyle name="Comma 2 2 9 3 2" xfId="40285"/>
    <cellStyle name="Comma 2 2 9 4" xfId="31721"/>
    <cellStyle name="Comma 2 2 9 5" xfId="33861"/>
    <cellStyle name="Comma 2 20" xfId="22969"/>
    <cellStyle name="Comma 2 21" xfId="26201"/>
    <cellStyle name="Comma 2 22" xfId="26221"/>
    <cellStyle name="Comma 2 23" xfId="29554"/>
    <cellStyle name="Comma 2 24" xfId="32767"/>
    <cellStyle name="Comma 2 3" xfId="186"/>
    <cellStyle name="Comma 2 3 10" xfId="8164"/>
    <cellStyle name="Comma 2 3 10 2" xfId="24361"/>
    <cellStyle name="Comma 2 3 10 2 2" xfId="43790"/>
    <cellStyle name="Comma 2 3 10 2 3" xfId="37367"/>
    <cellStyle name="Comma 2 3 10 3" xfId="40583"/>
    <cellStyle name="Comma 2 3 10 4" xfId="34159"/>
    <cellStyle name="Comma 2 3 2" xfId="939"/>
    <cellStyle name="Comma 2 3 2 10" xfId="22228"/>
    <cellStyle name="Comma 2 3 2 11" xfId="23367"/>
    <cellStyle name="Comma 2 3 2 12" xfId="26550"/>
    <cellStyle name="Comma 2 3 2 13" xfId="29883"/>
    <cellStyle name="Comma 2 3 2 14" xfId="33165"/>
    <cellStyle name="Comma 2 3 2 2" xfId="940"/>
    <cellStyle name="Comma 2 3 2 2 10" xfId="33166"/>
    <cellStyle name="Comma 2 3 2 2 2" xfId="9711"/>
    <cellStyle name="Comma 2 3 2 2 2 2" xfId="25511"/>
    <cellStyle name="Comma 2 3 2 2 2 2 2" xfId="44938"/>
    <cellStyle name="Comma 2 3 2 2 2 2 3" xfId="38515"/>
    <cellStyle name="Comma 2 3 2 2 2 3" xfId="27689"/>
    <cellStyle name="Comma 2 3 2 2 2 3 2" xfId="41731"/>
    <cellStyle name="Comma 2 3 2 2 2 4" xfId="31024"/>
    <cellStyle name="Comma 2 3 2 2 2 5" xfId="35307"/>
    <cellStyle name="Comma 2 3 2 2 3" xfId="15349"/>
    <cellStyle name="Comma 2 3 2 2 3 2" xfId="24363"/>
    <cellStyle name="Comma 2 3 2 2 3 2 2" xfId="43792"/>
    <cellStyle name="Comma 2 3 2 2 3 2 3" xfId="37369"/>
    <cellStyle name="Comma 2 3 2 2 3 3" xfId="28685"/>
    <cellStyle name="Comma 2 3 2 2 3 3 2" xfId="40585"/>
    <cellStyle name="Comma 2 3 2 2 3 4" xfId="32020"/>
    <cellStyle name="Comma 2 3 2 2 3 5" xfId="34161"/>
    <cellStyle name="Comma 2 3 2 2 4" xfId="8166"/>
    <cellStyle name="Comma 2 3 2 2 4 2" xfId="42797"/>
    <cellStyle name="Comma 2 3 2 2 4 3" xfId="36373"/>
    <cellStyle name="Comma 2 3 2 2 5" xfId="21156"/>
    <cellStyle name="Comma 2 3 2 2 5 2" xfId="39590"/>
    <cellStyle name="Comma 2 3 2 2 6" xfId="22229"/>
    <cellStyle name="Comma 2 3 2 2 7" xfId="23368"/>
    <cellStyle name="Comma 2 3 2 2 8" xfId="26551"/>
    <cellStyle name="Comma 2 3 2 2 9" xfId="29884"/>
    <cellStyle name="Comma 2 3 2 3" xfId="941"/>
    <cellStyle name="Comma 2 3 2 3 10" xfId="33167"/>
    <cellStyle name="Comma 2 3 2 3 2" xfId="9712"/>
    <cellStyle name="Comma 2 3 2 3 2 2" xfId="25512"/>
    <cellStyle name="Comma 2 3 2 3 2 2 2" xfId="44939"/>
    <cellStyle name="Comma 2 3 2 3 2 2 3" xfId="38516"/>
    <cellStyle name="Comma 2 3 2 3 2 3" xfId="27690"/>
    <cellStyle name="Comma 2 3 2 3 2 3 2" xfId="41732"/>
    <cellStyle name="Comma 2 3 2 3 2 4" xfId="31025"/>
    <cellStyle name="Comma 2 3 2 3 2 5" xfId="35308"/>
    <cellStyle name="Comma 2 3 2 3 3" xfId="15350"/>
    <cellStyle name="Comma 2 3 2 3 3 2" xfId="24364"/>
    <cellStyle name="Comma 2 3 2 3 3 2 2" xfId="43793"/>
    <cellStyle name="Comma 2 3 2 3 3 2 3" xfId="37370"/>
    <cellStyle name="Comma 2 3 2 3 3 3" xfId="28686"/>
    <cellStyle name="Comma 2 3 2 3 3 3 2" xfId="40586"/>
    <cellStyle name="Comma 2 3 2 3 3 4" xfId="32021"/>
    <cellStyle name="Comma 2 3 2 3 3 5" xfId="34162"/>
    <cellStyle name="Comma 2 3 2 3 4" xfId="8167"/>
    <cellStyle name="Comma 2 3 2 3 4 2" xfId="42798"/>
    <cellStyle name="Comma 2 3 2 3 4 3" xfId="36374"/>
    <cellStyle name="Comma 2 3 2 3 5" xfId="21157"/>
    <cellStyle name="Comma 2 3 2 3 5 2" xfId="39591"/>
    <cellStyle name="Comma 2 3 2 3 6" xfId="22230"/>
    <cellStyle name="Comma 2 3 2 3 7" xfId="23369"/>
    <cellStyle name="Comma 2 3 2 3 8" xfId="26552"/>
    <cellStyle name="Comma 2 3 2 3 9" xfId="29885"/>
    <cellStyle name="Comma 2 3 2 4" xfId="942"/>
    <cellStyle name="Comma 2 3 2 4 10" xfId="33168"/>
    <cellStyle name="Comma 2 3 2 4 2" xfId="9713"/>
    <cellStyle name="Comma 2 3 2 4 2 2" xfId="25513"/>
    <cellStyle name="Comma 2 3 2 4 2 2 2" xfId="44940"/>
    <cellStyle name="Comma 2 3 2 4 2 2 3" xfId="38517"/>
    <cellStyle name="Comma 2 3 2 4 2 3" xfId="27691"/>
    <cellStyle name="Comma 2 3 2 4 2 3 2" xfId="41733"/>
    <cellStyle name="Comma 2 3 2 4 2 4" xfId="31026"/>
    <cellStyle name="Comma 2 3 2 4 2 5" xfId="35309"/>
    <cellStyle name="Comma 2 3 2 4 3" xfId="15351"/>
    <cellStyle name="Comma 2 3 2 4 3 2" xfId="24365"/>
    <cellStyle name="Comma 2 3 2 4 3 2 2" xfId="43794"/>
    <cellStyle name="Comma 2 3 2 4 3 2 3" xfId="37371"/>
    <cellStyle name="Comma 2 3 2 4 3 3" xfId="28687"/>
    <cellStyle name="Comma 2 3 2 4 3 3 2" xfId="40587"/>
    <cellStyle name="Comma 2 3 2 4 3 4" xfId="32022"/>
    <cellStyle name="Comma 2 3 2 4 3 5" xfId="34163"/>
    <cellStyle name="Comma 2 3 2 4 4" xfId="8168"/>
    <cellStyle name="Comma 2 3 2 4 4 2" xfId="42799"/>
    <cellStyle name="Comma 2 3 2 4 4 3" xfId="36375"/>
    <cellStyle name="Comma 2 3 2 4 5" xfId="21158"/>
    <cellStyle name="Comma 2 3 2 4 5 2" xfId="39592"/>
    <cellStyle name="Comma 2 3 2 4 6" xfId="22231"/>
    <cellStyle name="Comma 2 3 2 4 7" xfId="23370"/>
    <cellStyle name="Comma 2 3 2 4 8" xfId="26553"/>
    <cellStyle name="Comma 2 3 2 4 9" xfId="29886"/>
    <cellStyle name="Comma 2 3 2 5" xfId="943"/>
    <cellStyle name="Comma 2 3 2 5 10" xfId="33169"/>
    <cellStyle name="Comma 2 3 2 5 2" xfId="9714"/>
    <cellStyle name="Comma 2 3 2 5 2 2" xfId="25514"/>
    <cellStyle name="Comma 2 3 2 5 2 2 2" xfId="44941"/>
    <cellStyle name="Comma 2 3 2 5 2 2 3" xfId="38518"/>
    <cellStyle name="Comma 2 3 2 5 2 3" xfId="27692"/>
    <cellStyle name="Comma 2 3 2 5 2 3 2" xfId="41734"/>
    <cellStyle name="Comma 2 3 2 5 2 4" xfId="31027"/>
    <cellStyle name="Comma 2 3 2 5 2 5" xfId="35310"/>
    <cellStyle name="Comma 2 3 2 5 3" xfId="15352"/>
    <cellStyle name="Comma 2 3 2 5 3 2" xfId="24366"/>
    <cellStyle name="Comma 2 3 2 5 3 2 2" xfId="43795"/>
    <cellStyle name="Comma 2 3 2 5 3 2 3" xfId="37372"/>
    <cellStyle name="Comma 2 3 2 5 3 3" xfId="28688"/>
    <cellStyle name="Comma 2 3 2 5 3 3 2" xfId="40588"/>
    <cellStyle name="Comma 2 3 2 5 3 4" xfId="32023"/>
    <cellStyle name="Comma 2 3 2 5 3 5" xfId="34164"/>
    <cellStyle name="Comma 2 3 2 5 4" xfId="8169"/>
    <cellStyle name="Comma 2 3 2 5 4 2" xfId="42800"/>
    <cellStyle name="Comma 2 3 2 5 4 3" xfId="36376"/>
    <cellStyle name="Comma 2 3 2 5 5" xfId="21159"/>
    <cellStyle name="Comma 2 3 2 5 5 2" xfId="39593"/>
    <cellStyle name="Comma 2 3 2 5 6" xfId="22232"/>
    <cellStyle name="Comma 2 3 2 5 7" xfId="23371"/>
    <cellStyle name="Comma 2 3 2 5 8" xfId="26554"/>
    <cellStyle name="Comma 2 3 2 5 9" xfId="29887"/>
    <cellStyle name="Comma 2 3 2 6" xfId="9710"/>
    <cellStyle name="Comma 2 3 2 6 2" xfId="25510"/>
    <cellStyle name="Comma 2 3 2 6 2 2" xfId="44937"/>
    <cellStyle name="Comma 2 3 2 6 2 3" xfId="38514"/>
    <cellStyle name="Comma 2 3 2 6 3" xfId="27688"/>
    <cellStyle name="Comma 2 3 2 6 3 2" xfId="41730"/>
    <cellStyle name="Comma 2 3 2 6 4" xfId="31023"/>
    <cellStyle name="Comma 2 3 2 6 5" xfId="35306"/>
    <cellStyle name="Comma 2 3 2 7" xfId="15348"/>
    <cellStyle name="Comma 2 3 2 7 2" xfId="24362"/>
    <cellStyle name="Comma 2 3 2 7 2 2" xfId="43791"/>
    <cellStyle name="Comma 2 3 2 7 2 3" xfId="37368"/>
    <cellStyle name="Comma 2 3 2 7 3" xfId="28684"/>
    <cellStyle name="Comma 2 3 2 7 3 2" xfId="40584"/>
    <cellStyle name="Comma 2 3 2 7 4" xfId="32019"/>
    <cellStyle name="Comma 2 3 2 7 5" xfId="34160"/>
    <cellStyle name="Comma 2 3 2 8" xfId="8165"/>
    <cellStyle name="Comma 2 3 2 8 2" xfId="42796"/>
    <cellStyle name="Comma 2 3 2 8 3" xfId="36372"/>
    <cellStyle name="Comma 2 3 2 9" xfId="21155"/>
    <cellStyle name="Comma 2 3 2 9 2" xfId="39589"/>
    <cellStyle name="Comma 2 3 3" xfId="944"/>
    <cellStyle name="Comma 2 3 3 10" xfId="22233"/>
    <cellStyle name="Comma 2 3 3 11" xfId="23372"/>
    <cellStyle name="Comma 2 3 3 12" xfId="26555"/>
    <cellStyle name="Comma 2 3 3 13" xfId="29888"/>
    <cellStyle name="Comma 2 3 3 14" xfId="33170"/>
    <cellStyle name="Comma 2 3 3 2" xfId="945"/>
    <cellStyle name="Comma 2 3 3 2 10" xfId="33171"/>
    <cellStyle name="Comma 2 3 3 2 2" xfId="9716"/>
    <cellStyle name="Comma 2 3 3 2 2 2" xfId="25516"/>
    <cellStyle name="Comma 2 3 3 2 2 2 2" xfId="44943"/>
    <cellStyle name="Comma 2 3 3 2 2 2 3" xfId="38520"/>
    <cellStyle name="Comma 2 3 3 2 2 3" xfId="27694"/>
    <cellStyle name="Comma 2 3 3 2 2 3 2" xfId="41736"/>
    <cellStyle name="Comma 2 3 3 2 2 4" xfId="31029"/>
    <cellStyle name="Comma 2 3 3 2 2 5" xfId="35312"/>
    <cellStyle name="Comma 2 3 3 2 3" xfId="15354"/>
    <cellStyle name="Comma 2 3 3 2 3 2" xfId="24368"/>
    <cellStyle name="Comma 2 3 3 2 3 2 2" xfId="43797"/>
    <cellStyle name="Comma 2 3 3 2 3 2 3" xfId="37374"/>
    <cellStyle name="Comma 2 3 3 2 3 3" xfId="28690"/>
    <cellStyle name="Comma 2 3 3 2 3 3 2" xfId="40590"/>
    <cellStyle name="Comma 2 3 3 2 3 4" xfId="32025"/>
    <cellStyle name="Comma 2 3 3 2 3 5" xfId="34166"/>
    <cellStyle name="Comma 2 3 3 2 4" xfId="8171"/>
    <cellStyle name="Comma 2 3 3 2 4 2" xfId="42802"/>
    <cellStyle name="Comma 2 3 3 2 4 3" xfId="36378"/>
    <cellStyle name="Comma 2 3 3 2 5" xfId="21161"/>
    <cellStyle name="Comma 2 3 3 2 5 2" xfId="39595"/>
    <cellStyle name="Comma 2 3 3 2 6" xfId="22234"/>
    <cellStyle name="Comma 2 3 3 2 7" xfId="23373"/>
    <cellStyle name="Comma 2 3 3 2 8" xfId="26556"/>
    <cellStyle name="Comma 2 3 3 2 9" xfId="29889"/>
    <cellStyle name="Comma 2 3 3 3" xfId="946"/>
    <cellStyle name="Comma 2 3 3 3 10" xfId="33172"/>
    <cellStyle name="Comma 2 3 3 3 2" xfId="9717"/>
    <cellStyle name="Comma 2 3 3 3 2 2" xfId="25517"/>
    <cellStyle name="Comma 2 3 3 3 2 2 2" xfId="44944"/>
    <cellStyle name="Comma 2 3 3 3 2 2 3" xfId="38521"/>
    <cellStyle name="Comma 2 3 3 3 2 3" xfId="27695"/>
    <cellStyle name="Comma 2 3 3 3 2 3 2" xfId="41737"/>
    <cellStyle name="Comma 2 3 3 3 2 4" xfId="31030"/>
    <cellStyle name="Comma 2 3 3 3 2 5" xfId="35313"/>
    <cellStyle name="Comma 2 3 3 3 3" xfId="15355"/>
    <cellStyle name="Comma 2 3 3 3 3 2" xfId="24369"/>
    <cellStyle name="Comma 2 3 3 3 3 2 2" xfId="43798"/>
    <cellStyle name="Comma 2 3 3 3 3 2 3" xfId="37375"/>
    <cellStyle name="Comma 2 3 3 3 3 3" xfId="28691"/>
    <cellStyle name="Comma 2 3 3 3 3 3 2" xfId="40591"/>
    <cellStyle name="Comma 2 3 3 3 3 4" xfId="32026"/>
    <cellStyle name="Comma 2 3 3 3 3 5" xfId="34167"/>
    <cellStyle name="Comma 2 3 3 3 4" xfId="8172"/>
    <cellStyle name="Comma 2 3 3 3 4 2" xfId="42803"/>
    <cellStyle name="Comma 2 3 3 3 4 3" xfId="36379"/>
    <cellStyle name="Comma 2 3 3 3 5" xfId="21162"/>
    <cellStyle name="Comma 2 3 3 3 5 2" xfId="39596"/>
    <cellStyle name="Comma 2 3 3 3 6" xfId="22235"/>
    <cellStyle name="Comma 2 3 3 3 7" xfId="23374"/>
    <cellStyle name="Comma 2 3 3 3 8" xfId="26557"/>
    <cellStyle name="Comma 2 3 3 3 9" xfId="29890"/>
    <cellStyle name="Comma 2 3 3 4" xfId="947"/>
    <cellStyle name="Comma 2 3 3 4 10" xfId="33173"/>
    <cellStyle name="Comma 2 3 3 4 2" xfId="9718"/>
    <cellStyle name="Comma 2 3 3 4 2 2" xfId="25518"/>
    <cellStyle name="Comma 2 3 3 4 2 2 2" xfId="44945"/>
    <cellStyle name="Comma 2 3 3 4 2 2 3" xfId="38522"/>
    <cellStyle name="Comma 2 3 3 4 2 3" xfId="27696"/>
    <cellStyle name="Comma 2 3 3 4 2 3 2" xfId="41738"/>
    <cellStyle name="Comma 2 3 3 4 2 4" xfId="31031"/>
    <cellStyle name="Comma 2 3 3 4 2 5" xfId="35314"/>
    <cellStyle name="Comma 2 3 3 4 3" xfId="15356"/>
    <cellStyle name="Comma 2 3 3 4 3 2" xfId="24370"/>
    <cellStyle name="Comma 2 3 3 4 3 2 2" xfId="43799"/>
    <cellStyle name="Comma 2 3 3 4 3 2 3" xfId="37376"/>
    <cellStyle name="Comma 2 3 3 4 3 3" xfId="28692"/>
    <cellStyle name="Comma 2 3 3 4 3 3 2" xfId="40592"/>
    <cellStyle name="Comma 2 3 3 4 3 4" xfId="32027"/>
    <cellStyle name="Comma 2 3 3 4 3 5" xfId="34168"/>
    <cellStyle name="Comma 2 3 3 4 4" xfId="8173"/>
    <cellStyle name="Comma 2 3 3 4 4 2" xfId="42804"/>
    <cellStyle name="Comma 2 3 3 4 4 3" xfId="36380"/>
    <cellStyle name="Comma 2 3 3 4 5" xfId="21163"/>
    <cellStyle name="Comma 2 3 3 4 5 2" xfId="39597"/>
    <cellStyle name="Comma 2 3 3 4 6" xfId="22236"/>
    <cellStyle name="Comma 2 3 3 4 7" xfId="23375"/>
    <cellStyle name="Comma 2 3 3 4 8" xfId="26558"/>
    <cellStyle name="Comma 2 3 3 4 9" xfId="29891"/>
    <cellStyle name="Comma 2 3 3 5" xfId="948"/>
    <cellStyle name="Comma 2 3 3 5 10" xfId="33174"/>
    <cellStyle name="Comma 2 3 3 5 2" xfId="9719"/>
    <cellStyle name="Comma 2 3 3 5 2 2" xfId="25519"/>
    <cellStyle name="Comma 2 3 3 5 2 2 2" xfId="44946"/>
    <cellStyle name="Comma 2 3 3 5 2 2 3" xfId="38523"/>
    <cellStyle name="Comma 2 3 3 5 2 3" xfId="27697"/>
    <cellStyle name="Comma 2 3 3 5 2 3 2" xfId="41739"/>
    <cellStyle name="Comma 2 3 3 5 2 4" xfId="31032"/>
    <cellStyle name="Comma 2 3 3 5 2 5" xfId="35315"/>
    <cellStyle name="Comma 2 3 3 5 3" xfId="15357"/>
    <cellStyle name="Comma 2 3 3 5 3 2" xfId="24371"/>
    <cellStyle name="Comma 2 3 3 5 3 2 2" xfId="43800"/>
    <cellStyle name="Comma 2 3 3 5 3 2 3" xfId="37377"/>
    <cellStyle name="Comma 2 3 3 5 3 3" xfId="28693"/>
    <cellStyle name="Comma 2 3 3 5 3 3 2" xfId="40593"/>
    <cellStyle name="Comma 2 3 3 5 3 4" xfId="32028"/>
    <cellStyle name="Comma 2 3 3 5 3 5" xfId="34169"/>
    <cellStyle name="Comma 2 3 3 5 4" xfId="8174"/>
    <cellStyle name="Comma 2 3 3 5 4 2" xfId="42805"/>
    <cellStyle name="Comma 2 3 3 5 4 3" xfId="36381"/>
    <cellStyle name="Comma 2 3 3 5 5" xfId="21164"/>
    <cellStyle name="Comma 2 3 3 5 5 2" xfId="39598"/>
    <cellStyle name="Comma 2 3 3 5 6" xfId="22237"/>
    <cellStyle name="Comma 2 3 3 5 7" xfId="23376"/>
    <cellStyle name="Comma 2 3 3 5 8" xfId="26559"/>
    <cellStyle name="Comma 2 3 3 5 9" xfId="29892"/>
    <cellStyle name="Comma 2 3 3 6" xfId="9715"/>
    <cellStyle name="Comma 2 3 3 6 2" xfId="25515"/>
    <cellStyle name="Comma 2 3 3 6 2 2" xfId="44942"/>
    <cellStyle name="Comma 2 3 3 6 2 3" xfId="38519"/>
    <cellStyle name="Comma 2 3 3 6 3" xfId="27693"/>
    <cellStyle name="Comma 2 3 3 6 3 2" xfId="41735"/>
    <cellStyle name="Comma 2 3 3 6 4" xfId="31028"/>
    <cellStyle name="Comma 2 3 3 6 5" xfId="35311"/>
    <cellStyle name="Comma 2 3 3 7" xfId="15353"/>
    <cellStyle name="Comma 2 3 3 7 2" xfId="24367"/>
    <cellStyle name="Comma 2 3 3 7 2 2" xfId="43796"/>
    <cellStyle name="Comma 2 3 3 7 2 3" xfId="37373"/>
    <cellStyle name="Comma 2 3 3 7 3" xfId="28689"/>
    <cellStyle name="Comma 2 3 3 7 3 2" xfId="40589"/>
    <cellStyle name="Comma 2 3 3 7 4" xfId="32024"/>
    <cellStyle name="Comma 2 3 3 7 5" xfId="34165"/>
    <cellStyle name="Comma 2 3 3 8" xfId="8170"/>
    <cellStyle name="Comma 2 3 3 8 2" xfId="42801"/>
    <cellStyle name="Comma 2 3 3 8 3" xfId="36377"/>
    <cellStyle name="Comma 2 3 3 9" xfId="21160"/>
    <cellStyle name="Comma 2 3 3 9 2" xfId="39594"/>
    <cellStyle name="Comma 2 3 4" xfId="949"/>
    <cellStyle name="Comma 2 3 4 2" xfId="9720"/>
    <cellStyle name="Comma 2 3 4 2 2" xfId="25520"/>
    <cellStyle name="Comma 2 3 4 2 2 2" xfId="44947"/>
    <cellStyle name="Comma 2 3 4 2 2 3" xfId="38524"/>
    <cellStyle name="Comma 2 3 4 2 3" xfId="27698"/>
    <cellStyle name="Comma 2 3 4 2 3 2" xfId="41740"/>
    <cellStyle name="Comma 2 3 4 2 4" xfId="31033"/>
    <cellStyle name="Comma 2 3 4 2 5" xfId="35316"/>
    <cellStyle name="Comma 2 3 4 3" xfId="8175"/>
    <cellStyle name="Comma 2 3 4 3 2" xfId="24372"/>
    <cellStyle name="Comma 2 3 4 3 2 2" xfId="43801"/>
    <cellStyle name="Comma 2 3 4 3 2 3" xfId="37378"/>
    <cellStyle name="Comma 2 3 4 3 3" xfId="40594"/>
    <cellStyle name="Comma 2 3 4 3 4" xfId="34170"/>
    <cellStyle name="Comma 2 3 5" xfId="950"/>
    <cellStyle name="Comma 2 3 5 10" xfId="33175"/>
    <cellStyle name="Comma 2 3 5 2" xfId="9721"/>
    <cellStyle name="Comma 2 3 5 2 2" xfId="25521"/>
    <cellStyle name="Comma 2 3 5 2 2 2" xfId="44948"/>
    <cellStyle name="Comma 2 3 5 2 2 3" xfId="38525"/>
    <cellStyle name="Comma 2 3 5 2 3" xfId="27699"/>
    <cellStyle name="Comma 2 3 5 2 3 2" xfId="41741"/>
    <cellStyle name="Comma 2 3 5 2 4" xfId="31034"/>
    <cellStyle name="Comma 2 3 5 2 5" xfId="35317"/>
    <cellStyle name="Comma 2 3 5 3" xfId="15358"/>
    <cellStyle name="Comma 2 3 5 3 2" xfId="24373"/>
    <cellStyle name="Comma 2 3 5 3 2 2" xfId="43802"/>
    <cellStyle name="Comma 2 3 5 3 2 3" xfId="37379"/>
    <cellStyle name="Comma 2 3 5 3 3" xfId="28694"/>
    <cellStyle name="Comma 2 3 5 3 3 2" xfId="40595"/>
    <cellStyle name="Comma 2 3 5 3 4" xfId="32029"/>
    <cellStyle name="Comma 2 3 5 3 5" xfId="34171"/>
    <cellStyle name="Comma 2 3 5 4" xfId="8176"/>
    <cellStyle name="Comma 2 3 5 4 2" xfId="42806"/>
    <cellStyle name="Comma 2 3 5 4 3" xfId="36382"/>
    <cellStyle name="Comma 2 3 5 5" xfId="21165"/>
    <cellStyle name="Comma 2 3 5 5 2" xfId="39599"/>
    <cellStyle name="Comma 2 3 5 6" xfId="22238"/>
    <cellStyle name="Comma 2 3 5 7" xfId="23377"/>
    <cellStyle name="Comma 2 3 5 8" xfId="26560"/>
    <cellStyle name="Comma 2 3 5 9" xfId="29893"/>
    <cellStyle name="Comma 2 3 6" xfId="951"/>
    <cellStyle name="Comma 2 3 6 10" xfId="33176"/>
    <cellStyle name="Comma 2 3 6 2" xfId="9722"/>
    <cellStyle name="Comma 2 3 6 2 2" xfId="25522"/>
    <cellStyle name="Comma 2 3 6 2 2 2" xfId="44949"/>
    <cellStyle name="Comma 2 3 6 2 2 3" xfId="38526"/>
    <cellStyle name="Comma 2 3 6 2 3" xfId="27700"/>
    <cellStyle name="Comma 2 3 6 2 3 2" xfId="41742"/>
    <cellStyle name="Comma 2 3 6 2 4" xfId="31035"/>
    <cellStyle name="Comma 2 3 6 2 5" xfId="35318"/>
    <cellStyle name="Comma 2 3 6 3" xfId="15359"/>
    <cellStyle name="Comma 2 3 6 3 2" xfId="24374"/>
    <cellStyle name="Comma 2 3 6 3 2 2" xfId="43803"/>
    <cellStyle name="Comma 2 3 6 3 2 3" xfId="37380"/>
    <cellStyle name="Comma 2 3 6 3 3" xfId="28695"/>
    <cellStyle name="Comma 2 3 6 3 3 2" xfId="40596"/>
    <cellStyle name="Comma 2 3 6 3 4" xfId="32030"/>
    <cellStyle name="Comma 2 3 6 3 5" xfId="34172"/>
    <cellStyle name="Comma 2 3 6 4" xfId="8177"/>
    <cellStyle name="Comma 2 3 6 4 2" xfId="42807"/>
    <cellStyle name="Comma 2 3 6 4 3" xfId="36383"/>
    <cellStyle name="Comma 2 3 6 5" xfId="21166"/>
    <cellStyle name="Comma 2 3 6 5 2" xfId="39600"/>
    <cellStyle name="Comma 2 3 6 6" xfId="22239"/>
    <cellStyle name="Comma 2 3 6 7" xfId="23378"/>
    <cellStyle name="Comma 2 3 6 8" xfId="26561"/>
    <cellStyle name="Comma 2 3 6 9" xfId="29894"/>
    <cellStyle name="Comma 2 3 7" xfId="952"/>
    <cellStyle name="Comma 2 3 7 10" xfId="33177"/>
    <cellStyle name="Comma 2 3 7 2" xfId="9723"/>
    <cellStyle name="Comma 2 3 7 2 2" xfId="25523"/>
    <cellStyle name="Comma 2 3 7 2 2 2" xfId="44950"/>
    <cellStyle name="Comma 2 3 7 2 2 3" xfId="38527"/>
    <cellStyle name="Comma 2 3 7 2 3" xfId="27701"/>
    <cellStyle name="Comma 2 3 7 2 3 2" xfId="41743"/>
    <cellStyle name="Comma 2 3 7 2 4" xfId="31036"/>
    <cellStyle name="Comma 2 3 7 2 5" xfId="35319"/>
    <cellStyle name="Comma 2 3 7 3" xfId="15360"/>
    <cellStyle name="Comma 2 3 7 3 2" xfId="24375"/>
    <cellStyle name="Comma 2 3 7 3 2 2" xfId="43804"/>
    <cellStyle name="Comma 2 3 7 3 2 3" xfId="37381"/>
    <cellStyle name="Comma 2 3 7 3 3" xfId="28696"/>
    <cellStyle name="Comma 2 3 7 3 3 2" xfId="40597"/>
    <cellStyle name="Comma 2 3 7 3 4" xfId="32031"/>
    <cellStyle name="Comma 2 3 7 3 5" xfId="34173"/>
    <cellStyle name="Comma 2 3 7 4" xfId="8178"/>
    <cellStyle name="Comma 2 3 7 4 2" xfId="42808"/>
    <cellStyle name="Comma 2 3 7 4 3" xfId="36384"/>
    <cellStyle name="Comma 2 3 7 5" xfId="21167"/>
    <cellStyle name="Comma 2 3 7 5 2" xfId="39601"/>
    <cellStyle name="Comma 2 3 7 6" xfId="22240"/>
    <cellStyle name="Comma 2 3 7 7" xfId="23379"/>
    <cellStyle name="Comma 2 3 7 8" xfId="26562"/>
    <cellStyle name="Comma 2 3 7 9" xfId="29895"/>
    <cellStyle name="Comma 2 3 8" xfId="953"/>
    <cellStyle name="Comma 2 3 8 10" xfId="33178"/>
    <cellStyle name="Comma 2 3 8 2" xfId="9724"/>
    <cellStyle name="Comma 2 3 8 2 2" xfId="25524"/>
    <cellStyle name="Comma 2 3 8 2 2 2" xfId="44951"/>
    <cellStyle name="Comma 2 3 8 2 2 3" xfId="38528"/>
    <cellStyle name="Comma 2 3 8 2 3" xfId="27702"/>
    <cellStyle name="Comma 2 3 8 2 3 2" xfId="41744"/>
    <cellStyle name="Comma 2 3 8 2 4" xfId="31037"/>
    <cellStyle name="Comma 2 3 8 2 5" xfId="35320"/>
    <cellStyle name="Comma 2 3 8 3" xfId="15361"/>
    <cellStyle name="Comma 2 3 8 3 2" xfId="24376"/>
    <cellStyle name="Comma 2 3 8 3 2 2" xfId="43805"/>
    <cellStyle name="Comma 2 3 8 3 2 3" xfId="37382"/>
    <cellStyle name="Comma 2 3 8 3 3" xfId="28697"/>
    <cellStyle name="Comma 2 3 8 3 3 2" xfId="40598"/>
    <cellStyle name="Comma 2 3 8 3 4" xfId="32032"/>
    <cellStyle name="Comma 2 3 8 3 5" xfId="34174"/>
    <cellStyle name="Comma 2 3 8 4" xfId="8179"/>
    <cellStyle name="Comma 2 3 8 4 2" xfId="42809"/>
    <cellStyle name="Comma 2 3 8 4 3" xfId="36385"/>
    <cellStyle name="Comma 2 3 8 5" xfId="21168"/>
    <cellStyle name="Comma 2 3 8 5 2" xfId="39602"/>
    <cellStyle name="Comma 2 3 8 6" xfId="22241"/>
    <cellStyle name="Comma 2 3 8 7" xfId="23380"/>
    <cellStyle name="Comma 2 3 8 8" xfId="26563"/>
    <cellStyle name="Comma 2 3 8 9" xfId="29896"/>
    <cellStyle name="Comma 2 3 9" xfId="9065"/>
    <cellStyle name="Comma 2 3 9 2" xfId="25121"/>
    <cellStyle name="Comma 2 3 9 2 2" xfId="44548"/>
    <cellStyle name="Comma 2 3 9 2 3" xfId="38125"/>
    <cellStyle name="Comma 2 3 9 3" xfId="27300"/>
    <cellStyle name="Comma 2 3 9 3 2" xfId="41341"/>
    <cellStyle name="Comma 2 3 9 4" xfId="30635"/>
    <cellStyle name="Comma 2 3 9 5" xfId="34917"/>
    <cellStyle name="Comma 2 3_Monthly Price Data" xfId="954"/>
    <cellStyle name="Comma 2 4" xfId="197"/>
    <cellStyle name="Comma 2 4 10" xfId="955"/>
    <cellStyle name="Comma 2 4 10 10" xfId="33179"/>
    <cellStyle name="Comma 2 4 10 2" xfId="9725"/>
    <cellStyle name="Comma 2 4 10 2 2" xfId="25525"/>
    <cellStyle name="Comma 2 4 10 2 2 2" xfId="44952"/>
    <cellStyle name="Comma 2 4 10 2 2 3" xfId="38529"/>
    <cellStyle name="Comma 2 4 10 2 3" xfId="27703"/>
    <cellStyle name="Comma 2 4 10 2 3 2" xfId="41745"/>
    <cellStyle name="Comma 2 4 10 2 4" xfId="31038"/>
    <cellStyle name="Comma 2 4 10 2 5" xfId="35321"/>
    <cellStyle name="Comma 2 4 10 3" xfId="15363"/>
    <cellStyle name="Comma 2 4 10 3 2" xfId="24378"/>
    <cellStyle name="Comma 2 4 10 3 2 2" xfId="43807"/>
    <cellStyle name="Comma 2 4 10 3 2 3" xfId="37384"/>
    <cellStyle name="Comma 2 4 10 3 3" xfId="28699"/>
    <cellStyle name="Comma 2 4 10 3 3 2" xfId="40600"/>
    <cellStyle name="Comma 2 4 10 3 4" xfId="32034"/>
    <cellStyle name="Comma 2 4 10 3 5" xfId="34176"/>
    <cellStyle name="Comma 2 4 10 4" xfId="8181"/>
    <cellStyle name="Comma 2 4 10 4 2" xfId="42810"/>
    <cellStyle name="Comma 2 4 10 4 3" xfId="36386"/>
    <cellStyle name="Comma 2 4 10 5" xfId="21170"/>
    <cellStyle name="Comma 2 4 10 5 2" xfId="39603"/>
    <cellStyle name="Comma 2 4 10 6" xfId="22243"/>
    <cellStyle name="Comma 2 4 10 7" xfId="23381"/>
    <cellStyle name="Comma 2 4 10 8" xfId="26565"/>
    <cellStyle name="Comma 2 4 10 9" xfId="29898"/>
    <cellStyle name="Comma 2 4 11" xfId="956"/>
    <cellStyle name="Comma 2 4 11 10" xfId="33180"/>
    <cellStyle name="Comma 2 4 11 2" xfId="9726"/>
    <cellStyle name="Comma 2 4 11 2 2" xfId="25526"/>
    <cellStyle name="Comma 2 4 11 2 2 2" xfId="44953"/>
    <cellStyle name="Comma 2 4 11 2 2 3" xfId="38530"/>
    <cellStyle name="Comma 2 4 11 2 3" xfId="27704"/>
    <cellStyle name="Comma 2 4 11 2 3 2" xfId="41746"/>
    <cellStyle name="Comma 2 4 11 2 4" xfId="31039"/>
    <cellStyle name="Comma 2 4 11 2 5" xfId="35322"/>
    <cellStyle name="Comma 2 4 11 3" xfId="15364"/>
    <cellStyle name="Comma 2 4 11 3 2" xfId="24379"/>
    <cellStyle name="Comma 2 4 11 3 2 2" xfId="43808"/>
    <cellStyle name="Comma 2 4 11 3 2 3" xfId="37385"/>
    <cellStyle name="Comma 2 4 11 3 3" xfId="28700"/>
    <cellStyle name="Comma 2 4 11 3 3 2" xfId="40601"/>
    <cellStyle name="Comma 2 4 11 3 4" xfId="32035"/>
    <cellStyle name="Comma 2 4 11 3 5" xfId="34177"/>
    <cellStyle name="Comma 2 4 11 4" xfId="8182"/>
    <cellStyle name="Comma 2 4 11 4 2" xfId="42811"/>
    <cellStyle name="Comma 2 4 11 4 3" xfId="36387"/>
    <cellStyle name="Comma 2 4 11 5" xfId="21171"/>
    <cellStyle name="Comma 2 4 11 5 2" xfId="39604"/>
    <cellStyle name="Comma 2 4 11 6" xfId="22244"/>
    <cellStyle name="Comma 2 4 11 7" xfId="23382"/>
    <cellStyle name="Comma 2 4 11 8" xfId="26566"/>
    <cellStyle name="Comma 2 4 11 9" xfId="29899"/>
    <cellStyle name="Comma 2 4 12" xfId="957"/>
    <cellStyle name="Comma 2 4 12 10" xfId="33181"/>
    <cellStyle name="Comma 2 4 12 2" xfId="9727"/>
    <cellStyle name="Comma 2 4 12 2 2" xfId="25527"/>
    <cellStyle name="Comma 2 4 12 2 2 2" xfId="44954"/>
    <cellStyle name="Comma 2 4 12 2 2 3" xfId="38531"/>
    <cellStyle name="Comma 2 4 12 2 3" xfId="27705"/>
    <cellStyle name="Comma 2 4 12 2 3 2" xfId="41747"/>
    <cellStyle name="Comma 2 4 12 2 4" xfId="31040"/>
    <cellStyle name="Comma 2 4 12 2 5" xfId="35323"/>
    <cellStyle name="Comma 2 4 12 3" xfId="15365"/>
    <cellStyle name="Comma 2 4 12 3 2" xfId="24380"/>
    <cellStyle name="Comma 2 4 12 3 2 2" xfId="43809"/>
    <cellStyle name="Comma 2 4 12 3 2 3" xfId="37386"/>
    <cellStyle name="Comma 2 4 12 3 3" xfId="28701"/>
    <cellStyle name="Comma 2 4 12 3 3 2" xfId="40602"/>
    <cellStyle name="Comma 2 4 12 3 4" xfId="32036"/>
    <cellStyle name="Comma 2 4 12 3 5" xfId="34178"/>
    <cellStyle name="Comma 2 4 12 4" xfId="8183"/>
    <cellStyle name="Comma 2 4 12 4 2" xfId="42812"/>
    <cellStyle name="Comma 2 4 12 4 3" xfId="36388"/>
    <cellStyle name="Comma 2 4 12 5" xfId="21172"/>
    <cellStyle name="Comma 2 4 12 5 2" xfId="39605"/>
    <cellStyle name="Comma 2 4 12 6" xfId="22245"/>
    <cellStyle name="Comma 2 4 12 7" xfId="23383"/>
    <cellStyle name="Comma 2 4 12 8" xfId="26567"/>
    <cellStyle name="Comma 2 4 12 9" xfId="29900"/>
    <cellStyle name="Comma 2 4 13" xfId="958"/>
    <cellStyle name="Comma 2 4 13 10" xfId="33182"/>
    <cellStyle name="Comma 2 4 13 2" xfId="9728"/>
    <cellStyle name="Comma 2 4 13 2 2" xfId="25528"/>
    <cellStyle name="Comma 2 4 13 2 2 2" xfId="44955"/>
    <cellStyle name="Comma 2 4 13 2 2 3" xfId="38532"/>
    <cellStyle name="Comma 2 4 13 2 3" xfId="27706"/>
    <cellStyle name="Comma 2 4 13 2 3 2" xfId="41748"/>
    <cellStyle name="Comma 2 4 13 2 4" xfId="31041"/>
    <cellStyle name="Comma 2 4 13 2 5" xfId="35324"/>
    <cellStyle name="Comma 2 4 13 3" xfId="15366"/>
    <cellStyle name="Comma 2 4 13 3 2" xfId="24381"/>
    <cellStyle name="Comma 2 4 13 3 2 2" xfId="43810"/>
    <cellStyle name="Comma 2 4 13 3 2 3" xfId="37387"/>
    <cellStyle name="Comma 2 4 13 3 3" xfId="28702"/>
    <cellStyle name="Comma 2 4 13 3 3 2" xfId="40603"/>
    <cellStyle name="Comma 2 4 13 3 4" xfId="32037"/>
    <cellStyle name="Comma 2 4 13 3 5" xfId="34179"/>
    <cellStyle name="Comma 2 4 13 4" xfId="8184"/>
    <cellStyle name="Comma 2 4 13 4 2" xfId="42813"/>
    <cellStyle name="Comma 2 4 13 4 3" xfId="36389"/>
    <cellStyle name="Comma 2 4 13 5" xfId="21173"/>
    <cellStyle name="Comma 2 4 13 5 2" xfId="39606"/>
    <cellStyle name="Comma 2 4 13 6" xfId="22246"/>
    <cellStyle name="Comma 2 4 13 7" xfId="23384"/>
    <cellStyle name="Comma 2 4 13 8" xfId="26568"/>
    <cellStyle name="Comma 2 4 13 9" xfId="29901"/>
    <cellStyle name="Comma 2 4 14" xfId="9072"/>
    <cellStyle name="Comma 2 4 14 2" xfId="25127"/>
    <cellStyle name="Comma 2 4 14 2 2" xfId="44554"/>
    <cellStyle name="Comma 2 4 14 2 3" xfId="38131"/>
    <cellStyle name="Comma 2 4 14 3" xfId="27306"/>
    <cellStyle name="Comma 2 4 14 3 2" xfId="41347"/>
    <cellStyle name="Comma 2 4 14 4" xfId="30641"/>
    <cellStyle name="Comma 2 4 14 5" xfId="34923"/>
    <cellStyle name="Comma 2 4 15" xfId="15362"/>
    <cellStyle name="Comma 2 4 15 2" xfId="24377"/>
    <cellStyle name="Comma 2 4 15 2 2" xfId="43806"/>
    <cellStyle name="Comma 2 4 15 2 3" xfId="37383"/>
    <cellStyle name="Comma 2 4 15 3" xfId="28698"/>
    <cellStyle name="Comma 2 4 15 3 2" xfId="40599"/>
    <cellStyle name="Comma 2 4 15 4" xfId="32033"/>
    <cellStyle name="Comma 2 4 15 5" xfId="34175"/>
    <cellStyle name="Comma 2 4 16" xfId="8180"/>
    <cellStyle name="Comma 2 4 16 2" xfId="42417"/>
    <cellStyle name="Comma 2 4 16 3" xfId="35993"/>
    <cellStyle name="Comma 2 4 17" xfId="21169"/>
    <cellStyle name="Comma 2 4 17 2" xfId="39210"/>
    <cellStyle name="Comma 2 4 18" xfId="22242"/>
    <cellStyle name="Comma 2 4 19" xfId="22988"/>
    <cellStyle name="Comma 2 4 2" xfId="267"/>
    <cellStyle name="Comma 2 4 2 10" xfId="959"/>
    <cellStyle name="Comma 2 4 2 10 10" xfId="33183"/>
    <cellStyle name="Comma 2 4 2 10 2" xfId="9729"/>
    <cellStyle name="Comma 2 4 2 10 2 2" xfId="25529"/>
    <cellStyle name="Comma 2 4 2 10 2 2 2" xfId="44956"/>
    <cellStyle name="Comma 2 4 2 10 2 2 3" xfId="38533"/>
    <cellStyle name="Comma 2 4 2 10 2 3" xfId="27707"/>
    <cellStyle name="Comma 2 4 2 10 2 3 2" xfId="41749"/>
    <cellStyle name="Comma 2 4 2 10 2 4" xfId="31042"/>
    <cellStyle name="Comma 2 4 2 10 2 5" xfId="35325"/>
    <cellStyle name="Comma 2 4 2 10 3" xfId="15368"/>
    <cellStyle name="Comma 2 4 2 10 3 2" xfId="24383"/>
    <cellStyle name="Comma 2 4 2 10 3 2 2" xfId="43812"/>
    <cellStyle name="Comma 2 4 2 10 3 2 3" xfId="37389"/>
    <cellStyle name="Comma 2 4 2 10 3 3" xfId="28704"/>
    <cellStyle name="Comma 2 4 2 10 3 3 2" xfId="40605"/>
    <cellStyle name="Comma 2 4 2 10 3 4" xfId="32039"/>
    <cellStyle name="Comma 2 4 2 10 3 5" xfId="34181"/>
    <cellStyle name="Comma 2 4 2 10 4" xfId="8186"/>
    <cellStyle name="Comma 2 4 2 10 4 2" xfId="42814"/>
    <cellStyle name="Comma 2 4 2 10 4 3" xfId="36390"/>
    <cellStyle name="Comma 2 4 2 10 5" xfId="21175"/>
    <cellStyle name="Comma 2 4 2 10 5 2" xfId="39607"/>
    <cellStyle name="Comma 2 4 2 10 6" xfId="22248"/>
    <cellStyle name="Comma 2 4 2 10 7" xfId="23385"/>
    <cellStyle name="Comma 2 4 2 10 8" xfId="26570"/>
    <cellStyle name="Comma 2 4 2 10 9" xfId="29903"/>
    <cellStyle name="Comma 2 4 2 11" xfId="960"/>
    <cellStyle name="Comma 2 4 2 11 10" xfId="33184"/>
    <cellStyle name="Comma 2 4 2 11 2" xfId="9730"/>
    <cellStyle name="Comma 2 4 2 11 2 2" xfId="25530"/>
    <cellStyle name="Comma 2 4 2 11 2 2 2" xfId="44957"/>
    <cellStyle name="Comma 2 4 2 11 2 2 3" xfId="38534"/>
    <cellStyle name="Comma 2 4 2 11 2 3" xfId="27708"/>
    <cellStyle name="Comma 2 4 2 11 2 3 2" xfId="41750"/>
    <cellStyle name="Comma 2 4 2 11 2 4" xfId="31043"/>
    <cellStyle name="Comma 2 4 2 11 2 5" xfId="35326"/>
    <cellStyle name="Comma 2 4 2 11 3" xfId="15369"/>
    <cellStyle name="Comma 2 4 2 11 3 2" xfId="24384"/>
    <cellStyle name="Comma 2 4 2 11 3 2 2" xfId="43813"/>
    <cellStyle name="Comma 2 4 2 11 3 2 3" xfId="37390"/>
    <cellStyle name="Comma 2 4 2 11 3 3" xfId="28705"/>
    <cellStyle name="Comma 2 4 2 11 3 3 2" xfId="40606"/>
    <cellStyle name="Comma 2 4 2 11 3 4" xfId="32040"/>
    <cellStyle name="Comma 2 4 2 11 3 5" xfId="34182"/>
    <cellStyle name="Comma 2 4 2 11 4" xfId="8187"/>
    <cellStyle name="Comma 2 4 2 11 4 2" xfId="42815"/>
    <cellStyle name="Comma 2 4 2 11 4 3" xfId="36391"/>
    <cellStyle name="Comma 2 4 2 11 5" xfId="21176"/>
    <cellStyle name="Comma 2 4 2 11 5 2" xfId="39608"/>
    <cellStyle name="Comma 2 4 2 11 6" xfId="22249"/>
    <cellStyle name="Comma 2 4 2 11 7" xfId="23386"/>
    <cellStyle name="Comma 2 4 2 11 8" xfId="26571"/>
    <cellStyle name="Comma 2 4 2 11 9" xfId="29904"/>
    <cellStyle name="Comma 2 4 2 12" xfId="961"/>
    <cellStyle name="Comma 2 4 2 12 10" xfId="33185"/>
    <cellStyle name="Comma 2 4 2 12 2" xfId="9731"/>
    <cellStyle name="Comma 2 4 2 12 2 2" xfId="25531"/>
    <cellStyle name="Comma 2 4 2 12 2 2 2" xfId="44958"/>
    <cellStyle name="Comma 2 4 2 12 2 2 3" xfId="38535"/>
    <cellStyle name="Comma 2 4 2 12 2 3" xfId="27709"/>
    <cellStyle name="Comma 2 4 2 12 2 3 2" xfId="41751"/>
    <cellStyle name="Comma 2 4 2 12 2 4" xfId="31044"/>
    <cellStyle name="Comma 2 4 2 12 2 5" xfId="35327"/>
    <cellStyle name="Comma 2 4 2 12 3" xfId="15370"/>
    <cellStyle name="Comma 2 4 2 12 3 2" xfId="24385"/>
    <cellStyle name="Comma 2 4 2 12 3 2 2" xfId="43814"/>
    <cellStyle name="Comma 2 4 2 12 3 2 3" xfId="37391"/>
    <cellStyle name="Comma 2 4 2 12 3 3" xfId="28706"/>
    <cellStyle name="Comma 2 4 2 12 3 3 2" xfId="40607"/>
    <cellStyle name="Comma 2 4 2 12 3 4" xfId="32041"/>
    <cellStyle name="Comma 2 4 2 12 3 5" xfId="34183"/>
    <cellStyle name="Comma 2 4 2 12 4" xfId="8188"/>
    <cellStyle name="Comma 2 4 2 12 4 2" xfId="42816"/>
    <cellStyle name="Comma 2 4 2 12 4 3" xfId="36392"/>
    <cellStyle name="Comma 2 4 2 12 5" xfId="21177"/>
    <cellStyle name="Comma 2 4 2 12 5 2" xfId="39609"/>
    <cellStyle name="Comma 2 4 2 12 6" xfId="22250"/>
    <cellStyle name="Comma 2 4 2 12 7" xfId="23387"/>
    <cellStyle name="Comma 2 4 2 12 8" xfId="26572"/>
    <cellStyle name="Comma 2 4 2 12 9" xfId="29905"/>
    <cellStyle name="Comma 2 4 2 13" xfId="9124"/>
    <cellStyle name="Comma 2 4 2 13 2" xfId="25178"/>
    <cellStyle name="Comma 2 4 2 13 2 2" xfId="44605"/>
    <cellStyle name="Comma 2 4 2 13 2 3" xfId="38182"/>
    <cellStyle name="Comma 2 4 2 13 3" xfId="27357"/>
    <cellStyle name="Comma 2 4 2 13 3 2" xfId="41398"/>
    <cellStyle name="Comma 2 4 2 13 4" xfId="30692"/>
    <cellStyle name="Comma 2 4 2 13 5" xfId="34974"/>
    <cellStyle name="Comma 2 4 2 14" xfId="15367"/>
    <cellStyle name="Comma 2 4 2 14 2" xfId="24382"/>
    <cellStyle name="Comma 2 4 2 14 2 2" xfId="43811"/>
    <cellStyle name="Comma 2 4 2 14 2 3" xfId="37388"/>
    <cellStyle name="Comma 2 4 2 14 3" xfId="28703"/>
    <cellStyle name="Comma 2 4 2 14 3 2" xfId="40604"/>
    <cellStyle name="Comma 2 4 2 14 4" xfId="32038"/>
    <cellStyle name="Comma 2 4 2 14 5" xfId="34180"/>
    <cellStyle name="Comma 2 4 2 15" xfId="8185"/>
    <cellStyle name="Comma 2 4 2 15 2" xfId="42468"/>
    <cellStyle name="Comma 2 4 2 15 3" xfId="36044"/>
    <cellStyle name="Comma 2 4 2 16" xfId="21174"/>
    <cellStyle name="Comma 2 4 2 16 2" xfId="39261"/>
    <cellStyle name="Comma 2 4 2 17" xfId="22247"/>
    <cellStyle name="Comma 2 4 2 18" xfId="23039"/>
    <cellStyle name="Comma 2 4 2 19" xfId="26569"/>
    <cellStyle name="Comma 2 4 2 2" xfId="264"/>
    <cellStyle name="Comma 2 4 2 2 10" xfId="962"/>
    <cellStyle name="Comma 2 4 2 2 10 10" xfId="33186"/>
    <cellStyle name="Comma 2 4 2 2 10 2" xfId="9732"/>
    <cellStyle name="Comma 2 4 2 2 10 2 2" xfId="25532"/>
    <cellStyle name="Comma 2 4 2 2 10 2 2 2" xfId="44959"/>
    <cellStyle name="Comma 2 4 2 2 10 2 2 3" xfId="38536"/>
    <cellStyle name="Comma 2 4 2 2 10 2 3" xfId="27710"/>
    <cellStyle name="Comma 2 4 2 2 10 2 3 2" xfId="41752"/>
    <cellStyle name="Comma 2 4 2 2 10 2 4" xfId="31045"/>
    <cellStyle name="Comma 2 4 2 2 10 2 5" xfId="35328"/>
    <cellStyle name="Comma 2 4 2 2 10 3" xfId="15372"/>
    <cellStyle name="Comma 2 4 2 2 10 3 2" xfId="24387"/>
    <cellStyle name="Comma 2 4 2 2 10 3 2 2" xfId="43816"/>
    <cellStyle name="Comma 2 4 2 2 10 3 2 3" xfId="37393"/>
    <cellStyle name="Comma 2 4 2 2 10 3 3" xfId="28708"/>
    <cellStyle name="Comma 2 4 2 2 10 3 3 2" xfId="40609"/>
    <cellStyle name="Comma 2 4 2 2 10 3 4" xfId="32043"/>
    <cellStyle name="Comma 2 4 2 2 10 3 5" xfId="34185"/>
    <cellStyle name="Comma 2 4 2 2 10 4" xfId="8190"/>
    <cellStyle name="Comma 2 4 2 2 10 4 2" xfId="42817"/>
    <cellStyle name="Comma 2 4 2 2 10 4 3" xfId="36393"/>
    <cellStyle name="Comma 2 4 2 2 10 5" xfId="21179"/>
    <cellStyle name="Comma 2 4 2 2 10 5 2" xfId="39610"/>
    <cellStyle name="Comma 2 4 2 2 10 6" xfId="22252"/>
    <cellStyle name="Comma 2 4 2 2 10 7" xfId="23388"/>
    <cellStyle name="Comma 2 4 2 2 10 8" xfId="26574"/>
    <cellStyle name="Comma 2 4 2 2 10 9" xfId="29907"/>
    <cellStyle name="Comma 2 4 2 2 11" xfId="963"/>
    <cellStyle name="Comma 2 4 2 2 11 10" xfId="33187"/>
    <cellStyle name="Comma 2 4 2 2 11 2" xfId="9733"/>
    <cellStyle name="Comma 2 4 2 2 11 2 2" xfId="25533"/>
    <cellStyle name="Comma 2 4 2 2 11 2 2 2" xfId="44960"/>
    <cellStyle name="Comma 2 4 2 2 11 2 2 3" xfId="38537"/>
    <cellStyle name="Comma 2 4 2 2 11 2 3" xfId="27711"/>
    <cellStyle name="Comma 2 4 2 2 11 2 3 2" xfId="41753"/>
    <cellStyle name="Comma 2 4 2 2 11 2 4" xfId="31046"/>
    <cellStyle name="Comma 2 4 2 2 11 2 5" xfId="35329"/>
    <cellStyle name="Comma 2 4 2 2 11 3" xfId="15373"/>
    <cellStyle name="Comma 2 4 2 2 11 3 2" xfId="24388"/>
    <cellStyle name="Comma 2 4 2 2 11 3 2 2" xfId="43817"/>
    <cellStyle name="Comma 2 4 2 2 11 3 2 3" xfId="37394"/>
    <cellStyle name="Comma 2 4 2 2 11 3 3" xfId="28709"/>
    <cellStyle name="Comma 2 4 2 2 11 3 3 2" xfId="40610"/>
    <cellStyle name="Comma 2 4 2 2 11 3 4" xfId="32044"/>
    <cellStyle name="Comma 2 4 2 2 11 3 5" xfId="34186"/>
    <cellStyle name="Comma 2 4 2 2 11 4" xfId="8191"/>
    <cellStyle name="Comma 2 4 2 2 11 4 2" xfId="42818"/>
    <cellStyle name="Comma 2 4 2 2 11 4 3" xfId="36394"/>
    <cellStyle name="Comma 2 4 2 2 11 5" xfId="21180"/>
    <cellStyle name="Comma 2 4 2 2 11 5 2" xfId="39611"/>
    <cellStyle name="Comma 2 4 2 2 11 6" xfId="22253"/>
    <cellStyle name="Comma 2 4 2 2 11 7" xfId="23389"/>
    <cellStyle name="Comma 2 4 2 2 11 8" xfId="26575"/>
    <cellStyle name="Comma 2 4 2 2 11 9" xfId="29908"/>
    <cellStyle name="Comma 2 4 2 2 12" xfId="9121"/>
    <cellStyle name="Comma 2 4 2 2 12 2" xfId="25175"/>
    <cellStyle name="Comma 2 4 2 2 12 2 2" xfId="44602"/>
    <cellStyle name="Comma 2 4 2 2 12 2 3" xfId="38179"/>
    <cellStyle name="Comma 2 4 2 2 12 3" xfId="27354"/>
    <cellStyle name="Comma 2 4 2 2 12 3 2" xfId="41395"/>
    <cellStyle name="Comma 2 4 2 2 12 4" xfId="30689"/>
    <cellStyle name="Comma 2 4 2 2 12 5" xfId="34971"/>
    <cellStyle name="Comma 2 4 2 2 13" xfId="15371"/>
    <cellStyle name="Comma 2 4 2 2 13 2" xfId="24386"/>
    <cellStyle name="Comma 2 4 2 2 13 2 2" xfId="43815"/>
    <cellStyle name="Comma 2 4 2 2 13 2 3" xfId="37392"/>
    <cellStyle name="Comma 2 4 2 2 13 3" xfId="28707"/>
    <cellStyle name="Comma 2 4 2 2 13 3 2" xfId="40608"/>
    <cellStyle name="Comma 2 4 2 2 13 4" xfId="32042"/>
    <cellStyle name="Comma 2 4 2 2 13 5" xfId="34184"/>
    <cellStyle name="Comma 2 4 2 2 14" xfId="8189"/>
    <cellStyle name="Comma 2 4 2 2 14 2" xfId="42465"/>
    <cellStyle name="Comma 2 4 2 2 14 3" xfId="36041"/>
    <cellStyle name="Comma 2 4 2 2 15" xfId="21178"/>
    <cellStyle name="Comma 2 4 2 2 15 2" xfId="39258"/>
    <cellStyle name="Comma 2 4 2 2 16" xfId="22251"/>
    <cellStyle name="Comma 2 4 2 2 17" xfId="23036"/>
    <cellStyle name="Comma 2 4 2 2 18" xfId="26573"/>
    <cellStyle name="Comma 2 4 2 2 19" xfId="29906"/>
    <cellStyle name="Comma 2 4 2 2 2" xfId="256"/>
    <cellStyle name="Comma 2 4 2 2 2 10" xfId="964"/>
    <cellStyle name="Comma 2 4 2 2 2 10 10" xfId="33188"/>
    <cellStyle name="Comma 2 4 2 2 2 10 2" xfId="9734"/>
    <cellStyle name="Comma 2 4 2 2 2 10 2 2" xfId="25534"/>
    <cellStyle name="Comma 2 4 2 2 2 10 2 2 2" xfId="44961"/>
    <cellStyle name="Comma 2 4 2 2 2 10 2 2 3" xfId="38538"/>
    <cellStyle name="Comma 2 4 2 2 2 10 2 3" xfId="27712"/>
    <cellStyle name="Comma 2 4 2 2 2 10 2 3 2" xfId="41754"/>
    <cellStyle name="Comma 2 4 2 2 2 10 2 4" xfId="31047"/>
    <cellStyle name="Comma 2 4 2 2 2 10 2 5" xfId="35330"/>
    <cellStyle name="Comma 2 4 2 2 2 10 3" xfId="15375"/>
    <cellStyle name="Comma 2 4 2 2 2 10 3 2" xfId="24390"/>
    <cellStyle name="Comma 2 4 2 2 2 10 3 2 2" xfId="43819"/>
    <cellStyle name="Comma 2 4 2 2 2 10 3 2 3" xfId="37396"/>
    <cellStyle name="Comma 2 4 2 2 2 10 3 3" xfId="28711"/>
    <cellStyle name="Comma 2 4 2 2 2 10 3 3 2" xfId="40612"/>
    <cellStyle name="Comma 2 4 2 2 2 10 3 4" xfId="32046"/>
    <cellStyle name="Comma 2 4 2 2 2 10 3 5" xfId="34188"/>
    <cellStyle name="Comma 2 4 2 2 2 10 4" xfId="8193"/>
    <cellStyle name="Comma 2 4 2 2 2 10 4 2" xfId="42819"/>
    <cellStyle name="Comma 2 4 2 2 2 10 4 3" xfId="36395"/>
    <cellStyle name="Comma 2 4 2 2 2 10 5" xfId="21182"/>
    <cellStyle name="Comma 2 4 2 2 2 10 5 2" xfId="39612"/>
    <cellStyle name="Comma 2 4 2 2 2 10 6" xfId="22255"/>
    <cellStyle name="Comma 2 4 2 2 2 10 7" xfId="23390"/>
    <cellStyle name="Comma 2 4 2 2 2 10 8" xfId="26577"/>
    <cellStyle name="Comma 2 4 2 2 2 10 9" xfId="29910"/>
    <cellStyle name="Comma 2 4 2 2 2 11" xfId="9115"/>
    <cellStyle name="Comma 2 4 2 2 2 11 2" xfId="25169"/>
    <cellStyle name="Comma 2 4 2 2 2 11 2 2" xfId="44596"/>
    <cellStyle name="Comma 2 4 2 2 2 11 2 3" xfId="38173"/>
    <cellStyle name="Comma 2 4 2 2 2 11 3" xfId="27348"/>
    <cellStyle name="Comma 2 4 2 2 2 11 3 2" xfId="41389"/>
    <cellStyle name="Comma 2 4 2 2 2 11 4" xfId="30683"/>
    <cellStyle name="Comma 2 4 2 2 2 11 5" xfId="34965"/>
    <cellStyle name="Comma 2 4 2 2 2 12" xfId="15374"/>
    <cellStyle name="Comma 2 4 2 2 2 12 2" xfId="24389"/>
    <cellStyle name="Comma 2 4 2 2 2 12 2 2" xfId="43818"/>
    <cellStyle name="Comma 2 4 2 2 2 12 2 3" xfId="37395"/>
    <cellStyle name="Comma 2 4 2 2 2 12 3" xfId="28710"/>
    <cellStyle name="Comma 2 4 2 2 2 12 3 2" xfId="40611"/>
    <cellStyle name="Comma 2 4 2 2 2 12 4" xfId="32045"/>
    <cellStyle name="Comma 2 4 2 2 2 12 5" xfId="34187"/>
    <cellStyle name="Comma 2 4 2 2 2 13" xfId="8192"/>
    <cellStyle name="Comma 2 4 2 2 2 13 2" xfId="42459"/>
    <cellStyle name="Comma 2 4 2 2 2 13 3" xfId="36035"/>
    <cellStyle name="Comma 2 4 2 2 2 14" xfId="21181"/>
    <cellStyle name="Comma 2 4 2 2 2 14 2" xfId="39252"/>
    <cellStyle name="Comma 2 4 2 2 2 15" xfId="22254"/>
    <cellStyle name="Comma 2 4 2 2 2 16" xfId="23030"/>
    <cellStyle name="Comma 2 4 2 2 2 17" xfId="26576"/>
    <cellStyle name="Comma 2 4 2 2 2 18" xfId="29909"/>
    <cellStyle name="Comma 2 4 2 2 2 19" xfId="32828"/>
    <cellStyle name="Comma 2 4 2 2 2 2" xfId="177"/>
    <cellStyle name="Comma 2 4 2 2 2 2 10" xfId="15376"/>
    <cellStyle name="Comma 2 4 2 2 2 2 10 2" xfId="24391"/>
    <cellStyle name="Comma 2 4 2 2 2 2 10 2 2" xfId="43820"/>
    <cellStyle name="Comma 2 4 2 2 2 2 10 2 3" xfId="37397"/>
    <cellStyle name="Comma 2 4 2 2 2 2 10 3" xfId="28712"/>
    <cellStyle name="Comma 2 4 2 2 2 2 10 3 2" xfId="40613"/>
    <cellStyle name="Comma 2 4 2 2 2 2 10 4" xfId="32047"/>
    <cellStyle name="Comma 2 4 2 2 2 2 10 5" xfId="34189"/>
    <cellStyle name="Comma 2 4 2 2 2 2 11" xfId="8194"/>
    <cellStyle name="Comma 2 4 2 2 2 2 11 2" xfId="42407"/>
    <cellStyle name="Comma 2 4 2 2 2 2 11 3" xfId="35983"/>
    <cellStyle name="Comma 2 4 2 2 2 2 12" xfId="21183"/>
    <cellStyle name="Comma 2 4 2 2 2 2 12 2" xfId="39200"/>
    <cellStyle name="Comma 2 4 2 2 2 2 13" xfId="22256"/>
    <cellStyle name="Comma 2 4 2 2 2 2 14" xfId="22978"/>
    <cellStyle name="Comma 2 4 2 2 2 2 15" xfId="26578"/>
    <cellStyle name="Comma 2 4 2 2 2 2 16" xfId="29911"/>
    <cellStyle name="Comma 2 4 2 2 2 2 17" xfId="32776"/>
    <cellStyle name="Comma 2 4 2 2 2 2 2" xfId="214"/>
    <cellStyle name="Comma 2 4 2 2 2 2 2 10" xfId="21184"/>
    <cellStyle name="Comma 2 4 2 2 2 2 2 10 2" xfId="39223"/>
    <cellStyle name="Comma 2 4 2 2 2 2 2 11" xfId="22257"/>
    <cellStyle name="Comma 2 4 2 2 2 2 2 12" xfId="23001"/>
    <cellStyle name="Comma 2 4 2 2 2 2 2 13" xfId="26579"/>
    <cellStyle name="Comma 2 4 2 2 2 2 2 14" xfId="29912"/>
    <cellStyle name="Comma 2 4 2 2 2 2 2 15" xfId="32799"/>
    <cellStyle name="Comma 2 4 2 2 2 2 2 2" xfId="965"/>
    <cellStyle name="Comma 2 4 2 2 2 2 2 2 10" xfId="33189"/>
    <cellStyle name="Comma 2 4 2 2 2 2 2 2 2" xfId="9735"/>
    <cellStyle name="Comma 2 4 2 2 2 2 2 2 2 2" xfId="25535"/>
    <cellStyle name="Comma 2 4 2 2 2 2 2 2 2 2 2" xfId="44962"/>
    <cellStyle name="Comma 2 4 2 2 2 2 2 2 2 2 3" xfId="38539"/>
    <cellStyle name="Comma 2 4 2 2 2 2 2 2 2 3" xfId="27713"/>
    <cellStyle name="Comma 2 4 2 2 2 2 2 2 2 3 2" xfId="41755"/>
    <cellStyle name="Comma 2 4 2 2 2 2 2 2 2 4" xfId="31048"/>
    <cellStyle name="Comma 2 4 2 2 2 2 2 2 2 5" xfId="35331"/>
    <cellStyle name="Comma 2 4 2 2 2 2 2 2 3" xfId="15378"/>
    <cellStyle name="Comma 2 4 2 2 2 2 2 2 3 2" xfId="24393"/>
    <cellStyle name="Comma 2 4 2 2 2 2 2 2 3 2 2" xfId="43822"/>
    <cellStyle name="Comma 2 4 2 2 2 2 2 2 3 2 3" xfId="37399"/>
    <cellStyle name="Comma 2 4 2 2 2 2 2 2 3 3" xfId="28714"/>
    <cellStyle name="Comma 2 4 2 2 2 2 2 2 3 3 2" xfId="40615"/>
    <cellStyle name="Comma 2 4 2 2 2 2 2 2 3 4" xfId="32049"/>
    <cellStyle name="Comma 2 4 2 2 2 2 2 2 3 5" xfId="34191"/>
    <cellStyle name="Comma 2 4 2 2 2 2 2 2 4" xfId="8196"/>
    <cellStyle name="Comma 2 4 2 2 2 2 2 2 4 2" xfId="42820"/>
    <cellStyle name="Comma 2 4 2 2 2 2 2 2 4 3" xfId="36396"/>
    <cellStyle name="Comma 2 4 2 2 2 2 2 2 5" xfId="21185"/>
    <cellStyle name="Comma 2 4 2 2 2 2 2 2 5 2" xfId="39613"/>
    <cellStyle name="Comma 2 4 2 2 2 2 2 2 6" xfId="22258"/>
    <cellStyle name="Comma 2 4 2 2 2 2 2 2 7" xfId="23391"/>
    <cellStyle name="Comma 2 4 2 2 2 2 2 2 8" xfId="26580"/>
    <cellStyle name="Comma 2 4 2 2 2 2 2 2 9" xfId="29913"/>
    <cellStyle name="Comma 2 4 2 2 2 2 2 3" xfId="966"/>
    <cellStyle name="Comma 2 4 2 2 2 2 2 3 10" xfId="33190"/>
    <cellStyle name="Comma 2 4 2 2 2 2 2 3 2" xfId="9736"/>
    <cellStyle name="Comma 2 4 2 2 2 2 2 3 2 2" xfId="25536"/>
    <cellStyle name="Comma 2 4 2 2 2 2 2 3 2 2 2" xfId="44963"/>
    <cellStyle name="Comma 2 4 2 2 2 2 2 3 2 2 3" xfId="38540"/>
    <cellStyle name="Comma 2 4 2 2 2 2 2 3 2 3" xfId="27714"/>
    <cellStyle name="Comma 2 4 2 2 2 2 2 3 2 3 2" xfId="41756"/>
    <cellStyle name="Comma 2 4 2 2 2 2 2 3 2 4" xfId="31049"/>
    <cellStyle name="Comma 2 4 2 2 2 2 2 3 2 5" xfId="35332"/>
    <cellStyle name="Comma 2 4 2 2 2 2 2 3 3" xfId="15379"/>
    <cellStyle name="Comma 2 4 2 2 2 2 2 3 3 2" xfId="24394"/>
    <cellStyle name="Comma 2 4 2 2 2 2 2 3 3 2 2" xfId="43823"/>
    <cellStyle name="Comma 2 4 2 2 2 2 2 3 3 2 3" xfId="37400"/>
    <cellStyle name="Comma 2 4 2 2 2 2 2 3 3 3" xfId="28715"/>
    <cellStyle name="Comma 2 4 2 2 2 2 2 3 3 3 2" xfId="40616"/>
    <cellStyle name="Comma 2 4 2 2 2 2 2 3 3 4" xfId="32050"/>
    <cellStyle name="Comma 2 4 2 2 2 2 2 3 3 5" xfId="34192"/>
    <cellStyle name="Comma 2 4 2 2 2 2 2 3 4" xfId="8197"/>
    <cellStyle name="Comma 2 4 2 2 2 2 2 3 4 2" xfId="42821"/>
    <cellStyle name="Comma 2 4 2 2 2 2 2 3 4 3" xfId="36397"/>
    <cellStyle name="Comma 2 4 2 2 2 2 2 3 5" xfId="21186"/>
    <cellStyle name="Comma 2 4 2 2 2 2 2 3 5 2" xfId="39614"/>
    <cellStyle name="Comma 2 4 2 2 2 2 2 3 6" xfId="22259"/>
    <cellStyle name="Comma 2 4 2 2 2 2 2 3 7" xfId="23392"/>
    <cellStyle name="Comma 2 4 2 2 2 2 2 3 8" xfId="26581"/>
    <cellStyle name="Comma 2 4 2 2 2 2 2 3 9" xfId="29914"/>
    <cellStyle name="Comma 2 4 2 2 2 2 2 4" xfId="967"/>
    <cellStyle name="Comma 2 4 2 2 2 2 2 4 10" xfId="33191"/>
    <cellStyle name="Comma 2 4 2 2 2 2 2 4 2" xfId="9737"/>
    <cellStyle name="Comma 2 4 2 2 2 2 2 4 2 2" xfId="25537"/>
    <cellStyle name="Comma 2 4 2 2 2 2 2 4 2 2 2" xfId="44964"/>
    <cellStyle name="Comma 2 4 2 2 2 2 2 4 2 2 3" xfId="38541"/>
    <cellStyle name="Comma 2 4 2 2 2 2 2 4 2 3" xfId="27715"/>
    <cellStyle name="Comma 2 4 2 2 2 2 2 4 2 3 2" xfId="41757"/>
    <cellStyle name="Comma 2 4 2 2 2 2 2 4 2 4" xfId="31050"/>
    <cellStyle name="Comma 2 4 2 2 2 2 2 4 2 5" xfId="35333"/>
    <cellStyle name="Comma 2 4 2 2 2 2 2 4 3" xfId="15380"/>
    <cellStyle name="Comma 2 4 2 2 2 2 2 4 3 2" xfId="24395"/>
    <cellStyle name="Comma 2 4 2 2 2 2 2 4 3 2 2" xfId="43824"/>
    <cellStyle name="Comma 2 4 2 2 2 2 2 4 3 2 3" xfId="37401"/>
    <cellStyle name="Comma 2 4 2 2 2 2 2 4 3 3" xfId="28716"/>
    <cellStyle name="Comma 2 4 2 2 2 2 2 4 3 3 2" xfId="40617"/>
    <cellStyle name="Comma 2 4 2 2 2 2 2 4 3 4" xfId="32051"/>
    <cellStyle name="Comma 2 4 2 2 2 2 2 4 3 5" xfId="34193"/>
    <cellStyle name="Comma 2 4 2 2 2 2 2 4 4" xfId="8198"/>
    <cellStyle name="Comma 2 4 2 2 2 2 2 4 4 2" xfId="42822"/>
    <cellStyle name="Comma 2 4 2 2 2 2 2 4 4 3" xfId="36398"/>
    <cellStyle name="Comma 2 4 2 2 2 2 2 4 5" xfId="21187"/>
    <cellStyle name="Comma 2 4 2 2 2 2 2 4 5 2" xfId="39615"/>
    <cellStyle name="Comma 2 4 2 2 2 2 2 4 6" xfId="22260"/>
    <cellStyle name="Comma 2 4 2 2 2 2 2 4 7" xfId="23393"/>
    <cellStyle name="Comma 2 4 2 2 2 2 2 4 8" xfId="26582"/>
    <cellStyle name="Comma 2 4 2 2 2 2 2 4 9" xfId="29915"/>
    <cellStyle name="Comma 2 4 2 2 2 2 2 5" xfId="968"/>
    <cellStyle name="Comma 2 4 2 2 2 2 2 5 10" xfId="33192"/>
    <cellStyle name="Comma 2 4 2 2 2 2 2 5 2" xfId="9738"/>
    <cellStyle name="Comma 2 4 2 2 2 2 2 5 2 2" xfId="25538"/>
    <cellStyle name="Comma 2 4 2 2 2 2 2 5 2 2 2" xfId="44965"/>
    <cellStyle name="Comma 2 4 2 2 2 2 2 5 2 2 3" xfId="38542"/>
    <cellStyle name="Comma 2 4 2 2 2 2 2 5 2 3" xfId="27716"/>
    <cellStyle name="Comma 2 4 2 2 2 2 2 5 2 3 2" xfId="41758"/>
    <cellStyle name="Comma 2 4 2 2 2 2 2 5 2 4" xfId="31051"/>
    <cellStyle name="Comma 2 4 2 2 2 2 2 5 2 5" xfId="35334"/>
    <cellStyle name="Comma 2 4 2 2 2 2 2 5 3" xfId="15381"/>
    <cellStyle name="Comma 2 4 2 2 2 2 2 5 3 2" xfId="24396"/>
    <cellStyle name="Comma 2 4 2 2 2 2 2 5 3 2 2" xfId="43825"/>
    <cellStyle name="Comma 2 4 2 2 2 2 2 5 3 2 3" xfId="37402"/>
    <cellStyle name="Comma 2 4 2 2 2 2 2 5 3 3" xfId="28717"/>
    <cellStyle name="Comma 2 4 2 2 2 2 2 5 3 3 2" xfId="40618"/>
    <cellStyle name="Comma 2 4 2 2 2 2 2 5 3 4" xfId="32052"/>
    <cellStyle name="Comma 2 4 2 2 2 2 2 5 3 5" xfId="34194"/>
    <cellStyle name="Comma 2 4 2 2 2 2 2 5 4" xfId="8199"/>
    <cellStyle name="Comma 2 4 2 2 2 2 2 5 4 2" xfId="42823"/>
    <cellStyle name="Comma 2 4 2 2 2 2 2 5 4 3" xfId="36399"/>
    <cellStyle name="Comma 2 4 2 2 2 2 2 5 5" xfId="21188"/>
    <cellStyle name="Comma 2 4 2 2 2 2 2 5 5 2" xfId="39616"/>
    <cellStyle name="Comma 2 4 2 2 2 2 2 5 6" xfId="22261"/>
    <cellStyle name="Comma 2 4 2 2 2 2 2 5 7" xfId="23394"/>
    <cellStyle name="Comma 2 4 2 2 2 2 2 5 8" xfId="26583"/>
    <cellStyle name="Comma 2 4 2 2 2 2 2 5 9" xfId="29916"/>
    <cellStyle name="Comma 2 4 2 2 2 2 2 6" xfId="969"/>
    <cellStyle name="Comma 2 4 2 2 2 2 2 6 10" xfId="33193"/>
    <cellStyle name="Comma 2 4 2 2 2 2 2 6 2" xfId="9739"/>
    <cellStyle name="Comma 2 4 2 2 2 2 2 6 2 2" xfId="25539"/>
    <cellStyle name="Comma 2 4 2 2 2 2 2 6 2 2 2" xfId="44966"/>
    <cellStyle name="Comma 2 4 2 2 2 2 2 6 2 2 3" xfId="38543"/>
    <cellStyle name="Comma 2 4 2 2 2 2 2 6 2 3" xfId="27717"/>
    <cellStyle name="Comma 2 4 2 2 2 2 2 6 2 3 2" xfId="41759"/>
    <cellStyle name="Comma 2 4 2 2 2 2 2 6 2 4" xfId="31052"/>
    <cellStyle name="Comma 2 4 2 2 2 2 2 6 2 5" xfId="35335"/>
    <cellStyle name="Comma 2 4 2 2 2 2 2 6 3" xfId="15382"/>
    <cellStyle name="Comma 2 4 2 2 2 2 2 6 3 2" xfId="24397"/>
    <cellStyle name="Comma 2 4 2 2 2 2 2 6 3 2 2" xfId="43826"/>
    <cellStyle name="Comma 2 4 2 2 2 2 2 6 3 2 3" xfId="37403"/>
    <cellStyle name="Comma 2 4 2 2 2 2 2 6 3 3" xfId="28718"/>
    <cellStyle name="Comma 2 4 2 2 2 2 2 6 3 3 2" xfId="40619"/>
    <cellStyle name="Comma 2 4 2 2 2 2 2 6 3 4" xfId="32053"/>
    <cellStyle name="Comma 2 4 2 2 2 2 2 6 3 5" xfId="34195"/>
    <cellStyle name="Comma 2 4 2 2 2 2 2 6 4" xfId="8200"/>
    <cellStyle name="Comma 2 4 2 2 2 2 2 6 4 2" xfId="42824"/>
    <cellStyle name="Comma 2 4 2 2 2 2 2 6 4 3" xfId="36400"/>
    <cellStyle name="Comma 2 4 2 2 2 2 2 6 5" xfId="21189"/>
    <cellStyle name="Comma 2 4 2 2 2 2 2 6 5 2" xfId="39617"/>
    <cellStyle name="Comma 2 4 2 2 2 2 2 6 6" xfId="22262"/>
    <cellStyle name="Comma 2 4 2 2 2 2 2 6 7" xfId="23395"/>
    <cellStyle name="Comma 2 4 2 2 2 2 2 6 8" xfId="26584"/>
    <cellStyle name="Comma 2 4 2 2 2 2 2 6 9" xfId="29917"/>
    <cellStyle name="Comma 2 4 2 2 2 2 2 7" xfId="9085"/>
    <cellStyle name="Comma 2 4 2 2 2 2 2 7 2" xfId="25140"/>
    <cellStyle name="Comma 2 4 2 2 2 2 2 7 2 2" xfId="44567"/>
    <cellStyle name="Comma 2 4 2 2 2 2 2 7 2 3" xfId="38144"/>
    <cellStyle name="Comma 2 4 2 2 2 2 2 7 3" xfId="27319"/>
    <cellStyle name="Comma 2 4 2 2 2 2 2 7 3 2" xfId="41360"/>
    <cellStyle name="Comma 2 4 2 2 2 2 2 7 4" xfId="30654"/>
    <cellStyle name="Comma 2 4 2 2 2 2 2 7 5" xfId="34936"/>
    <cellStyle name="Comma 2 4 2 2 2 2 2 8" xfId="15377"/>
    <cellStyle name="Comma 2 4 2 2 2 2 2 8 2" xfId="24392"/>
    <cellStyle name="Comma 2 4 2 2 2 2 2 8 2 2" xfId="43821"/>
    <cellStyle name="Comma 2 4 2 2 2 2 2 8 2 3" xfId="37398"/>
    <cellStyle name="Comma 2 4 2 2 2 2 2 8 3" xfId="28713"/>
    <cellStyle name="Comma 2 4 2 2 2 2 2 8 3 2" xfId="40614"/>
    <cellStyle name="Comma 2 4 2 2 2 2 2 8 4" xfId="32048"/>
    <cellStyle name="Comma 2 4 2 2 2 2 2 8 5" xfId="34190"/>
    <cellStyle name="Comma 2 4 2 2 2 2 2 9" xfId="8195"/>
    <cellStyle name="Comma 2 4 2 2 2 2 2 9 2" xfId="42430"/>
    <cellStyle name="Comma 2 4 2 2 2 2 2 9 3" xfId="36006"/>
    <cellStyle name="Comma 2 4 2 2 2 2 3" xfId="970"/>
    <cellStyle name="Comma 2 4 2 2 2 2 3 10" xfId="22263"/>
    <cellStyle name="Comma 2 4 2 2 2 2 3 11" xfId="23396"/>
    <cellStyle name="Comma 2 4 2 2 2 2 3 12" xfId="26585"/>
    <cellStyle name="Comma 2 4 2 2 2 2 3 13" xfId="29918"/>
    <cellStyle name="Comma 2 4 2 2 2 2 3 14" xfId="33194"/>
    <cellStyle name="Comma 2 4 2 2 2 2 3 2" xfId="971"/>
    <cellStyle name="Comma 2 4 2 2 2 2 3 2 10" xfId="33195"/>
    <cellStyle name="Comma 2 4 2 2 2 2 3 2 2" xfId="9741"/>
    <cellStyle name="Comma 2 4 2 2 2 2 3 2 2 2" xfId="25541"/>
    <cellStyle name="Comma 2 4 2 2 2 2 3 2 2 2 2" xfId="44968"/>
    <cellStyle name="Comma 2 4 2 2 2 2 3 2 2 2 3" xfId="38545"/>
    <cellStyle name="Comma 2 4 2 2 2 2 3 2 2 3" xfId="27719"/>
    <cellStyle name="Comma 2 4 2 2 2 2 3 2 2 3 2" xfId="41761"/>
    <cellStyle name="Comma 2 4 2 2 2 2 3 2 2 4" xfId="31054"/>
    <cellStyle name="Comma 2 4 2 2 2 2 3 2 2 5" xfId="35337"/>
    <cellStyle name="Comma 2 4 2 2 2 2 3 2 3" xfId="15384"/>
    <cellStyle name="Comma 2 4 2 2 2 2 3 2 3 2" xfId="24399"/>
    <cellStyle name="Comma 2 4 2 2 2 2 3 2 3 2 2" xfId="43828"/>
    <cellStyle name="Comma 2 4 2 2 2 2 3 2 3 2 3" xfId="37405"/>
    <cellStyle name="Comma 2 4 2 2 2 2 3 2 3 3" xfId="28720"/>
    <cellStyle name="Comma 2 4 2 2 2 2 3 2 3 3 2" xfId="40621"/>
    <cellStyle name="Comma 2 4 2 2 2 2 3 2 3 4" xfId="32055"/>
    <cellStyle name="Comma 2 4 2 2 2 2 3 2 3 5" xfId="34197"/>
    <cellStyle name="Comma 2 4 2 2 2 2 3 2 4" xfId="8202"/>
    <cellStyle name="Comma 2 4 2 2 2 2 3 2 4 2" xfId="42826"/>
    <cellStyle name="Comma 2 4 2 2 2 2 3 2 4 3" xfId="36402"/>
    <cellStyle name="Comma 2 4 2 2 2 2 3 2 5" xfId="21191"/>
    <cellStyle name="Comma 2 4 2 2 2 2 3 2 5 2" xfId="39619"/>
    <cellStyle name="Comma 2 4 2 2 2 2 3 2 6" xfId="22264"/>
    <cellStyle name="Comma 2 4 2 2 2 2 3 2 7" xfId="23397"/>
    <cellStyle name="Comma 2 4 2 2 2 2 3 2 8" xfId="26586"/>
    <cellStyle name="Comma 2 4 2 2 2 2 3 2 9" xfId="29919"/>
    <cellStyle name="Comma 2 4 2 2 2 2 3 3" xfId="972"/>
    <cellStyle name="Comma 2 4 2 2 2 2 3 3 10" xfId="33196"/>
    <cellStyle name="Comma 2 4 2 2 2 2 3 3 2" xfId="9742"/>
    <cellStyle name="Comma 2 4 2 2 2 2 3 3 2 2" xfId="25542"/>
    <cellStyle name="Comma 2 4 2 2 2 2 3 3 2 2 2" xfId="44969"/>
    <cellStyle name="Comma 2 4 2 2 2 2 3 3 2 2 3" xfId="38546"/>
    <cellStyle name="Comma 2 4 2 2 2 2 3 3 2 3" xfId="27720"/>
    <cellStyle name="Comma 2 4 2 2 2 2 3 3 2 3 2" xfId="41762"/>
    <cellStyle name="Comma 2 4 2 2 2 2 3 3 2 4" xfId="31055"/>
    <cellStyle name="Comma 2 4 2 2 2 2 3 3 2 5" xfId="35338"/>
    <cellStyle name="Comma 2 4 2 2 2 2 3 3 3" xfId="15385"/>
    <cellStyle name="Comma 2 4 2 2 2 2 3 3 3 2" xfId="24400"/>
    <cellStyle name="Comma 2 4 2 2 2 2 3 3 3 2 2" xfId="43829"/>
    <cellStyle name="Comma 2 4 2 2 2 2 3 3 3 2 3" xfId="37406"/>
    <cellStyle name="Comma 2 4 2 2 2 2 3 3 3 3" xfId="28721"/>
    <cellStyle name="Comma 2 4 2 2 2 2 3 3 3 3 2" xfId="40622"/>
    <cellStyle name="Comma 2 4 2 2 2 2 3 3 3 4" xfId="32056"/>
    <cellStyle name="Comma 2 4 2 2 2 2 3 3 3 5" xfId="34198"/>
    <cellStyle name="Comma 2 4 2 2 2 2 3 3 4" xfId="8203"/>
    <cellStyle name="Comma 2 4 2 2 2 2 3 3 4 2" xfId="42827"/>
    <cellStyle name="Comma 2 4 2 2 2 2 3 3 4 3" xfId="36403"/>
    <cellStyle name="Comma 2 4 2 2 2 2 3 3 5" xfId="21192"/>
    <cellStyle name="Comma 2 4 2 2 2 2 3 3 5 2" xfId="39620"/>
    <cellStyle name="Comma 2 4 2 2 2 2 3 3 6" xfId="22265"/>
    <cellStyle name="Comma 2 4 2 2 2 2 3 3 7" xfId="23398"/>
    <cellStyle name="Comma 2 4 2 2 2 2 3 3 8" xfId="26587"/>
    <cellStyle name="Comma 2 4 2 2 2 2 3 3 9" xfId="29920"/>
    <cellStyle name="Comma 2 4 2 2 2 2 3 4" xfId="973"/>
    <cellStyle name="Comma 2 4 2 2 2 2 3 4 10" xfId="33197"/>
    <cellStyle name="Comma 2 4 2 2 2 2 3 4 2" xfId="9743"/>
    <cellStyle name="Comma 2 4 2 2 2 2 3 4 2 2" xfId="25543"/>
    <cellStyle name="Comma 2 4 2 2 2 2 3 4 2 2 2" xfId="44970"/>
    <cellStyle name="Comma 2 4 2 2 2 2 3 4 2 2 3" xfId="38547"/>
    <cellStyle name="Comma 2 4 2 2 2 2 3 4 2 3" xfId="27721"/>
    <cellStyle name="Comma 2 4 2 2 2 2 3 4 2 3 2" xfId="41763"/>
    <cellStyle name="Comma 2 4 2 2 2 2 3 4 2 4" xfId="31056"/>
    <cellStyle name="Comma 2 4 2 2 2 2 3 4 2 5" xfId="35339"/>
    <cellStyle name="Comma 2 4 2 2 2 2 3 4 3" xfId="15386"/>
    <cellStyle name="Comma 2 4 2 2 2 2 3 4 3 2" xfId="24401"/>
    <cellStyle name="Comma 2 4 2 2 2 2 3 4 3 2 2" xfId="43830"/>
    <cellStyle name="Comma 2 4 2 2 2 2 3 4 3 2 3" xfId="37407"/>
    <cellStyle name="Comma 2 4 2 2 2 2 3 4 3 3" xfId="28722"/>
    <cellStyle name="Comma 2 4 2 2 2 2 3 4 3 3 2" xfId="40623"/>
    <cellStyle name="Comma 2 4 2 2 2 2 3 4 3 4" xfId="32057"/>
    <cellStyle name="Comma 2 4 2 2 2 2 3 4 3 5" xfId="34199"/>
    <cellStyle name="Comma 2 4 2 2 2 2 3 4 4" xfId="8204"/>
    <cellStyle name="Comma 2 4 2 2 2 2 3 4 4 2" xfId="42828"/>
    <cellStyle name="Comma 2 4 2 2 2 2 3 4 4 3" xfId="36404"/>
    <cellStyle name="Comma 2 4 2 2 2 2 3 4 5" xfId="21193"/>
    <cellStyle name="Comma 2 4 2 2 2 2 3 4 5 2" xfId="39621"/>
    <cellStyle name="Comma 2 4 2 2 2 2 3 4 6" xfId="22266"/>
    <cellStyle name="Comma 2 4 2 2 2 2 3 4 7" xfId="23399"/>
    <cellStyle name="Comma 2 4 2 2 2 2 3 4 8" xfId="26588"/>
    <cellStyle name="Comma 2 4 2 2 2 2 3 4 9" xfId="29921"/>
    <cellStyle name="Comma 2 4 2 2 2 2 3 5" xfId="974"/>
    <cellStyle name="Comma 2 4 2 2 2 2 3 5 10" xfId="33198"/>
    <cellStyle name="Comma 2 4 2 2 2 2 3 5 2" xfId="9744"/>
    <cellStyle name="Comma 2 4 2 2 2 2 3 5 2 2" xfId="25544"/>
    <cellStyle name="Comma 2 4 2 2 2 2 3 5 2 2 2" xfId="44971"/>
    <cellStyle name="Comma 2 4 2 2 2 2 3 5 2 2 3" xfId="38548"/>
    <cellStyle name="Comma 2 4 2 2 2 2 3 5 2 3" xfId="27722"/>
    <cellStyle name="Comma 2 4 2 2 2 2 3 5 2 3 2" xfId="41764"/>
    <cellStyle name="Comma 2 4 2 2 2 2 3 5 2 4" xfId="31057"/>
    <cellStyle name="Comma 2 4 2 2 2 2 3 5 2 5" xfId="35340"/>
    <cellStyle name="Comma 2 4 2 2 2 2 3 5 3" xfId="15387"/>
    <cellStyle name="Comma 2 4 2 2 2 2 3 5 3 2" xfId="24402"/>
    <cellStyle name="Comma 2 4 2 2 2 2 3 5 3 2 2" xfId="43831"/>
    <cellStyle name="Comma 2 4 2 2 2 2 3 5 3 2 3" xfId="37408"/>
    <cellStyle name="Comma 2 4 2 2 2 2 3 5 3 3" xfId="28723"/>
    <cellStyle name="Comma 2 4 2 2 2 2 3 5 3 3 2" xfId="40624"/>
    <cellStyle name="Comma 2 4 2 2 2 2 3 5 3 4" xfId="32058"/>
    <cellStyle name="Comma 2 4 2 2 2 2 3 5 3 5" xfId="34200"/>
    <cellStyle name="Comma 2 4 2 2 2 2 3 5 4" xfId="8205"/>
    <cellStyle name="Comma 2 4 2 2 2 2 3 5 4 2" xfId="42829"/>
    <cellStyle name="Comma 2 4 2 2 2 2 3 5 4 3" xfId="36405"/>
    <cellStyle name="Comma 2 4 2 2 2 2 3 5 5" xfId="21194"/>
    <cellStyle name="Comma 2 4 2 2 2 2 3 5 5 2" xfId="39622"/>
    <cellStyle name="Comma 2 4 2 2 2 2 3 5 6" xfId="22267"/>
    <cellStyle name="Comma 2 4 2 2 2 2 3 5 7" xfId="23400"/>
    <cellStyle name="Comma 2 4 2 2 2 2 3 5 8" xfId="26589"/>
    <cellStyle name="Comma 2 4 2 2 2 2 3 5 9" xfId="29922"/>
    <cellStyle name="Comma 2 4 2 2 2 2 3 6" xfId="9740"/>
    <cellStyle name="Comma 2 4 2 2 2 2 3 6 2" xfId="25540"/>
    <cellStyle name="Comma 2 4 2 2 2 2 3 6 2 2" xfId="44967"/>
    <cellStyle name="Comma 2 4 2 2 2 2 3 6 2 3" xfId="38544"/>
    <cellStyle name="Comma 2 4 2 2 2 2 3 6 3" xfId="27718"/>
    <cellStyle name="Comma 2 4 2 2 2 2 3 6 3 2" xfId="41760"/>
    <cellStyle name="Comma 2 4 2 2 2 2 3 6 4" xfId="31053"/>
    <cellStyle name="Comma 2 4 2 2 2 2 3 6 5" xfId="35336"/>
    <cellStyle name="Comma 2 4 2 2 2 2 3 7" xfId="15383"/>
    <cellStyle name="Comma 2 4 2 2 2 2 3 7 2" xfId="24398"/>
    <cellStyle name="Comma 2 4 2 2 2 2 3 7 2 2" xfId="43827"/>
    <cellStyle name="Comma 2 4 2 2 2 2 3 7 2 3" xfId="37404"/>
    <cellStyle name="Comma 2 4 2 2 2 2 3 7 3" xfId="28719"/>
    <cellStyle name="Comma 2 4 2 2 2 2 3 7 3 2" xfId="40620"/>
    <cellStyle name="Comma 2 4 2 2 2 2 3 7 4" xfId="32054"/>
    <cellStyle name="Comma 2 4 2 2 2 2 3 7 5" xfId="34196"/>
    <cellStyle name="Comma 2 4 2 2 2 2 3 8" xfId="8201"/>
    <cellStyle name="Comma 2 4 2 2 2 2 3 8 2" xfId="42825"/>
    <cellStyle name="Comma 2 4 2 2 2 2 3 8 3" xfId="36401"/>
    <cellStyle name="Comma 2 4 2 2 2 2 3 9" xfId="21190"/>
    <cellStyle name="Comma 2 4 2 2 2 2 3 9 2" xfId="39618"/>
    <cellStyle name="Comma 2 4 2 2 2 2 4" xfId="975"/>
    <cellStyle name="Comma 2 4 2 2 2 2 4 10" xfId="33199"/>
    <cellStyle name="Comma 2 4 2 2 2 2 4 2" xfId="9745"/>
    <cellStyle name="Comma 2 4 2 2 2 2 4 2 2" xfId="25545"/>
    <cellStyle name="Comma 2 4 2 2 2 2 4 2 2 2" xfId="44972"/>
    <cellStyle name="Comma 2 4 2 2 2 2 4 2 2 3" xfId="38549"/>
    <cellStyle name="Comma 2 4 2 2 2 2 4 2 3" xfId="27723"/>
    <cellStyle name="Comma 2 4 2 2 2 2 4 2 3 2" xfId="41765"/>
    <cellStyle name="Comma 2 4 2 2 2 2 4 2 4" xfId="31058"/>
    <cellStyle name="Comma 2 4 2 2 2 2 4 2 5" xfId="35341"/>
    <cellStyle name="Comma 2 4 2 2 2 2 4 3" xfId="15388"/>
    <cellStyle name="Comma 2 4 2 2 2 2 4 3 2" xfId="24403"/>
    <cellStyle name="Comma 2 4 2 2 2 2 4 3 2 2" xfId="43832"/>
    <cellStyle name="Comma 2 4 2 2 2 2 4 3 2 3" xfId="37409"/>
    <cellStyle name="Comma 2 4 2 2 2 2 4 3 3" xfId="28724"/>
    <cellStyle name="Comma 2 4 2 2 2 2 4 3 3 2" xfId="40625"/>
    <cellStyle name="Comma 2 4 2 2 2 2 4 3 4" xfId="32059"/>
    <cellStyle name="Comma 2 4 2 2 2 2 4 3 5" xfId="34201"/>
    <cellStyle name="Comma 2 4 2 2 2 2 4 4" xfId="8206"/>
    <cellStyle name="Comma 2 4 2 2 2 2 4 4 2" xfId="42830"/>
    <cellStyle name="Comma 2 4 2 2 2 2 4 4 3" xfId="36406"/>
    <cellStyle name="Comma 2 4 2 2 2 2 4 5" xfId="21195"/>
    <cellStyle name="Comma 2 4 2 2 2 2 4 5 2" xfId="39623"/>
    <cellStyle name="Comma 2 4 2 2 2 2 4 6" xfId="22268"/>
    <cellStyle name="Comma 2 4 2 2 2 2 4 7" xfId="23401"/>
    <cellStyle name="Comma 2 4 2 2 2 2 4 8" xfId="26590"/>
    <cellStyle name="Comma 2 4 2 2 2 2 4 9" xfId="29923"/>
    <cellStyle name="Comma 2 4 2 2 2 2 5" xfId="976"/>
    <cellStyle name="Comma 2 4 2 2 2 2 5 10" xfId="33200"/>
    <cellStyle name="Comma 2 4 2 2 2 2 5 2" xfId="9746"/>
    <cellStyle name="Comma 2 4 2 2 2 2 5 2 2" xfId="25546"/>
    <cellStyle name="Comma 2 4 2 2 2 2 5 2 2 2" xfId="44973"/>
    <cellStyle name="Comma 2 4 2 2 2 2 5 2 2 3" xfId="38550"/>
    <cellStyle name="Comma 2 4 2 2 2 2 5 2 3" xfId="27724"/>
    <cellStyle name="Comma 2 4 2 2 2 2 5 2 3 2" xfId="41766"/>
    <cellStyle name="Comma 2 4 2 2 2 2 5 2 4" xfId="31059"/>
    <cellStyle name="Comma 2 4 2 2 2 2 5 2 5" xfId="35342"/>
    <cellStyle name="Comma 2 4 2 2 2 2 5 3" xfId="15389"/>
    <cellStyle name="Comma 2 4 2 2 2 2 5 3 2" xfId="24404"/>
    <cellStyle name="Comma 2 4 2 2 2 2 5 3 2 2" xfId="43833"/>
    <cellStyle name="Comma 2 4 2 2 2 2 5 3 2 3" xfId="37410"/>
    <cellStyle name="Comma 2 4 2 2 2 2 5 3 3" xfId="28725"/>
    <cellStyle name="Comma 2 4 2 2 2 2 5 3 3 2" xfId="40626"/>
    <cellStyle name="Comma 2 4 2 2 2 2 5 3 4" xfId="32060"/>
    <cellStyle name="Comma 2 4 2 2 2 2 5 3 5" xfId="34202"/>
    <cellStyle name="Comma 2 4 2 2 2 2 5 4" xfId="8207"/>
    <cellStyle name="Comma 2 4 2 2 2 2 5 4 2" xfId="42831"/>
    <cellStyle name="Comma 2 4 2 2 2 2 5 4 3" xfId="36407"/>
    <cellStyle name="Comma 2 4 2 2 2 2 5 5" xfId="21196"/>
    <cellStyle name="Comma 2 4 2 2 2 2 5 5 2" xfId="39624"/>
    <cellStyle name="Comma 2 4 2 2 2 2 5 6" xfId="22269"/>
    <cellStyle name="Comma 2 4 2 2 2 2 5 7" xfId="23402"/>
    <cellStyle name="Comma 2 4 2 2 2 2 5 8" xfId="26591"/>
    <cellStyle name="Comma 2 4 2 2 2 2 5 9" xfId="29924"/>
    <cellStyle name="Comma 2 4 2 2 2 2 6" xfId="977"/>
    <cellStyle name="Comma 2 4 2 2 2 2 6 10" xfId="33201"/>
    <cellStyle name="Comma 2 4 2 2 2 2 6 2" xfId="9747"/>
    <cellStyle name="Comma 2 4 2 2 2 2 6 2 2" xfId="25547"/>
    <cellStyle name="Comma 2 4 2 2 2 2 6 2 2 2" xfId="44974"/>
    <cellStyle name="Comma 2 4 2 2 2 2 6 2 2 3" xfId="38551"/>
    <cellStyle name="Comma 2 4 2 2 2 2 6 2 3" xfId="27725"/>
    <cellStyle name="Comma 2 4 2 2 2 2 6 2 3 2" xfId="41767"/>
    <cellStyle name="Comma 2 4 2 2 2 2 6 2 4" xfId="31060"/>
    <cellStyle name="Comma 2 4 2 2 2 2 6 2 5" xfId="35343"/>
    <cellStyle name="Comma 2 4 2 2 2 2 6 3" xfId="15390"/>
    <cellStyle name="Comma 2 4 2 2 2 2 6 3 2" xfId="24405"/>
    <cellStyle name="Comma 2 4 2 2 2 2 6 3 2 2" xfId="43834"/>
    <cellStyle name="Comma 2 4 2 2 2 2 6 3 2 3" xfId="37411"/>
    <cellStyle name="Comma 2 4 2 2 2 2 6 3 3" xfId="28726"/>
    <cellStyle name="Comma 2 4 2 2 2 2 6 3 3 2" xfId="40627"/>
    <cellStyle name="Comma 2 4 2 2 2 2 6 3 4" xfId="32061"/>
    <cellStyle name="Comma 2 4 2 2 2 2 6 3 5" xfId="34203"/>
    <cellStyle name="Comma 2 4 2 2 2 2 6 4" xfId="8208"/>
    <cellStyle name="Comma 2 4 2 2 2 2 6 4 2" xfId="42832"/>
    <cellStyle name="Comma 2 4 2 2 2 2 6 4 3" xfId="36408"/>
    <cellStyle name="Comma 2 4 2 2 2 2 6 5" xfId="21197"/>
    <cellStyle name="Comma 2 4 2 2 2 2 6 5 2" xfId="39625"/>
    <cellStyle name="Comma 2 4 2 2 2 2 6 6" xfId="22270"/>
    <cellStyle name="Comma 2 4 2 2 2 2 6 7" xfId="23403"/>
    <cellStyle name="Comma 2 4 2 2 2 2 6 8" xfId="26592"/>
    <cellStyle name="Comma 2 4 2 2 2 2 6 9" xfId="29925"/>
    <cellStyle name="Comma 2 4 2 2 2 2 7" xfId="978"/>
    <cellStyle name="Comma 2 4 2 2 2 2 7 10" xfId="33202"/>
    <cellStyle name="Comma 2 4 2 2 2 2 7 2" xfId="9748"/>
    <cellStyle name="Comma 2 4 2 2 2 2 7 2 2" xfId="25548"/>
    <cellStyle name="Comma 2 4 2 2 2 2 7 2 2 2" xfId="44975"/>
    <cellStyle name="Comma 2 4 2 2 2 2 7 2 2 3" xfId="38552"/>
    <cellStyle name="Comma 2 4 2 2 2 2 7 2 3" xfId="27726"/>
    <cellStyle name="Comma 2 4 2 2 2 2 7 2 3 2" xfId="41768"/>
    <cellStyle name="Comma 2 4 2 2 2 2 7 2 4" xfId="31061"/>
    <cellStyle name="Comma 2 4 2 2 2 2 7 2 5" xfId="35344"/>
    <cellStyle name="Comma 2 4 2 2 2 2 7 3" xfId="15391"/>
    <cellStyle name="Comma 2 4 2 2 2 2 7 3 2" xfId="24406"/>
    <cellStyle name="Comma 2 4 2 2 2 2 7 3 2 2" xfId="43835"/>
    <cellStyle name="Comma 2 4 2 2 2 2 7 3 2 3" xfId="37412"/>
    <cellStyle name="Comma 2 4 2 2 2 2 7 3 3" xfId="28727"/>
    <cellStyle name="Comma 2 4 2 2 2 2 7 3 3 2" xfId="40628"/>
    <cellStyle name="Comma 2 4 2 2 2 2 7 3 4" xfId="32062"/>
    <cellStyle name="Comma 2 4 2 2 2 2 7 3 5" xfId="34204"/>
    <cellStyle name="Comma 2 4 2 2 2 2 7 4" xfId="8209"/>
    <cellStyle name="Comma 2 4 2 2 2 2 7 4 2" xfId="42833"/>
    <cellStyle name="Comma 2 4 2 2 2 2 7 4 3" xfId="36409"/>
    <cellStyle name="Comma 2 4 2 2 2 2 7 5" xfId="21198"/>
    <cellStyle name="Comma 2 4 2 2 2 2 7 5 2" xfId="39626"/>
    <cellStyle name="Comma 2 4 2 2 2 2 7 6" xfId="22271"/>
    <cellStyle name="Comma 2 4 2 2 2 2 7 7" xfId="23404"/>
    <cellStyle name="Comma 2 4 2 2 2 2 7 8" xfId="26593"/>
    <cellStyle name="Comma 2 4 2 2 2 2 7 9" xfId="29926"/>
    <cellStyle name="Comma 2 4 2 2 2 2 8" xfId="979"/>
    <cellStyle name="Comma 2 4 2 2 2 2 8 10" xfId="33203"/>
    <cellStyle name="Comma 2 4 2 2 2 2 8 2" xfId="9749"/>
    <cellStyle name="Comma 2 4 2 2 2 2 8 2 2" xfId="25549"/>
    <cellStyle name="Comma 2 4 2 2 2 2 8 2 2 2" xfId="44976"/>
    <cellStyle name="Comma 2 4 2 2 2 2 8 2 2 3" xfId="38553"/>
    <cellStyle name="Comma 2 4 2 2 2 2 8 2 3" xfId="27727"/>
    <cellStyle name="Comma 2 4 2 2 2 2 8 2 3 2" xfId="41769"/>
    <cellStyle name="Comma 2 4 2 2 2 2 8 2 4" xfId="31062"/>
    <cellStyle name="Comma 2 4 2 2 2 2 8 2 5" xfId="35345"/>
    <cellStyle name="Comma 2 4 2 2 2 2 8 3" xfId="15392"/>
    <cellStyle name="Comma 2 4 2 2 2 2 8 3 2" xfId="24407"/>
    <cellStyle name="Comma 2 4 2 2 2 2 8 3 2 2" xfId="43836"/>
    <cellStyle name="Comma 2 4 2 2 2 2 8 3 2 3" xfId="37413"/>
    <cellStyle name="Comma 2 4 2 2 2 2 8 3 3" xfId="28728"/>
    <cellStyle name="Comma 2 4 2 2 2 2 8 3 3 2" xfId="40629"/>
    <cellStyle name="Comma 2 4 2 2 2 2 8 3 4" xfId="32063"/>
    <cellStyle name="Comma 2 4 2 2 2 2 8 3 5" xfId="34205"/>
    <cellStyle name="Comma 2 4 2 2 2 2 8 4" xfId="8210"/>
    <cellStyle name="Comma 2 4 2 2 2 2 8 4 2" xfId="42834"/>
    <cellStyle name="Comma 2 4 2 2 2 2 8 4 3" xfId="36410"/>
    <cellStyle name="Comma 2 4 2 2 2 2 8 5" xfId="21199"/>
    <cellStyle name="Comma 2 4 2 2 2 2 8 5 2" xfId="39627"/>
    <cellStyle name="Comma 2 4 2 2 2 2 8 6" xfId="22272"/>
    <cellStyle name="Comma 2 4 2 2 2 2 8 7" xfId="23405"/>
    <cellStyle name="Comma 2 4 2 2 2 2 8 8" xfId="26594"/>
    <cellStyle name="Comma 2 4 2 2 2 2 8 9" xfId="29927"/>
    <cellStyle name="Comma 2 4 2 2 2 2 9" xfId="9060"/>
    <cellStyle name="Comma 2 4 2 2 2 2 9 2" xfId="25116"/>
    <cellStyle name="Comma 2 4 2 2 2 2 9 2 2" xfId="44543"/>
    <cellStyle name="Comma 2 4 2 2 2 2 9 2 3" xfId="38120"/>
    <cellStyle name="Comma 2 4 2 2 2 2 9 3" xfId="27295"/>
    <cellStyle name="Comma 2 4 2 2 2 2 9 3 2" xfId="41336"/>
    <cellStyle name="Comma 2 4 2 2 2 2 9 4" xfId="30630"/>
    <cellStyle name="Comma 2 4 2 2 2 2 9 5" xfId="34912"/>
    <cellStyle name="Comma 2 4 2 2 2 3" xfId="201"/>
    <cellStyle name="Comma 2 4 2 2 2 3 10" xfId="21200"/>
    <cellStyle name="Comma 2 4 2 2 2 3 10 2" xfId="39213"/>
    <cellStyle name="Comma 2 4 2 2 2 3 11" xfId="22273"/>
    <cellStyle name="Comma 2 4 2 2 2 3 12" xfId="22991"/>
    <cellStyle name="Comma 2 4 2 2 2 3 13" xfId="26595"/>
    <cellStyle name="Comma 2 4 2 2 2 3 14" xfId="29928"/>
    <cellStyle name="Comma 2 4 2 2 2 3 15" xfId="32789"/>
    <cellStyle name="Comma 2 4 2 2 2 3 2" xfId="980"/>
    <cellStyle name="Comma 2 4 2 2 2 3 2 10" xfId="33204"/>
    <cellStyle name="Comma 2 4 2 2 2 3 2 2" xfId="9750"/>
    <cellStyle name="Comma 2 4 2 2 2 3 2 2 2" xfId="25550"/>
    <cellStyle name="Comma 2 4 2 2 2 3 2 2 2 2" xfId="44977"/>
    <cellStyle name="Comma 2 4 2 2 2 3 2 2 2 3" xfId="38554"/>
    <cellStyle name="Comma 2 4 2 2 2 3 2 2 3" xfId="27728"/>
    <cellStyle name="Comma 2 4 2 2 2 3 2 2 3 2" xfId="41770"/>
    <cellStyle name="Comma 2 4 2 2 2 3 2 2 4" xfId="31063"/>
    <cellStyle name="Comma 2 4 2 2 2 3 2 2 5" xfId="35346"/>
    <cellStyle name="Comma 2 4 2 2 2 3 2 3" xfId="15394"/>
    <cellStyle name="Comma 2 4 2 2 2 3 2 3 2" xfId="24409"/>
    <cellStyle name="Comma 2 4 2 2 2 3 2 3 2 2" xfId="43838"/>
    <cellStyle name="Comma 2 4 2 2 2 3 2 3 2 3" xfId="37415"/>
    <cellStyle name="Comma 2 4 2 2 2 3 2 3 3" xfId="28730"/>
    <cellStyle name="Comma 2 4 2 2 2 3 2 3 3 2" xfId="40631"/>
    <cellStyle name="Comma 2 4 2 2 2 3 2 3 4" xfId="32065"/>
    <cellStyle name="Comma 2 4 2 2 2 3 2 3 5" xfId="34207"/>
    <cellStyle name="Comma 2 4 2 2 2 3 2 4" xfId="8212"/>
    <cellStyle name="Comma 2 4 2 2 2 3 2 4 2" xfId="42835"/>
    <cellStyle name="Comma 2 4 2 2 2 3 2 4 3" xfId="36411"/>
    <cellStyle name="Comma 2 4 2 2 2 3 2 5" xfId="21201"/>
    <cellStyle name="Comma 2 4 2 2 2 3 2 5 2" xfId="39628"/>
    <cellStyle name="Comma 2 4 2 2 2 3 2 6" xfId="22274"/>
    <cellStyle name="Comma 2 4 2 2 2 3 2 7" xfId="23406"/>
    <cellStyle name="Comma 2 4 2 2 2 3 2 8" xfId="26596"/>
    <cellStyle name="Comma 2 4 2 2 2 3 2 9" xfId="29929"/>
    <cellStyle name="Comma 2 4 2 2 2 3 3" xfId="981"/>
    <cellStyle name="Comma 2 4 2 2 2 3 3 10" xfId="33205"/>
    <cellStyle name="Comma 2 4 2 2 2 3 3 2" xfId="9751"/>
    <cellStyle name="Comma 2 4 2 2 2 3 3 2 2" xfId="25551"/>
    <cellStyle name="Comma 2 4 2 2 2 3 3 2 2 2" xfId="44978"/>
    <cellStyle name="Comma 2 4 2 2 2 3 3 2 2 3" xfId="38555"/>
    <cellStyle name="Comma 2 4 2 2 2 3 3 2 3" xfId="27729"/>
    <cellStyle name="Comma 2 4 2 2 2 3 3 2 3 2" xfId="41771"/>
    <cellStyle name="Comma 2 4 2 2 2 3 3 2 4" xfId="31064"/>
    <cellStyle name="Comma 2 4 2 2 2 3 3 2 5" xfId="35347"/>
    <cellStyle name="Comma 2 4 2 2 2 3 3 3" xfId="15395"/>
    <cellStyle name="Comma 2 4 2 2 2 3 3 3 2" xfId="24410"/>
    <cellStyle name="Comma 2 4 2 2 2 3 3 3 2 2" xfId="43839"/>
    <cellStyle name="Comma 2 4 2 2 2 3 3 3 2 3" xfId="37416"/>
    <cellStyle name="Comma 2 4 2 2 2 3 3 3 3" xfId="28731"/>
    <cellStyle name="Comma 2 4 2 2 2 3 3 3 3 2" xfId="40632"/>
    <cellStyle name="Comma 2 4 2 2 2 3 3 3 4" xfId="32066"/>
    <cellStyle name="Comma 2 4 2 2 2 3 3 3 5" xfId="34208"/>
    <cellStyle name="Comma 2 4 2 2 2 3 3 4" xfId="8213"/>
    <cellStyle name="Comma 2 4 2 2 2 3 3 4 2" xfId="42836"/>
    <cellStyle name="Comma 2 4 2 2 2 3 3 4 3" xfId="36412"/>
    <cellStyle name="Comma 2 4 2 2 2 3 3 5" xfId="21202"/>
    <cellStyle name="Comma 2 4 2 2 2 3 3 5 2" xfId="39629"/>
    <cellStyle name="Comma 2 4 2 2 2 3 3 6" xfId="22275"/>
    <cellStyle name="Comma 2 4 2 2 2 3 3 7" xfId="23407"/>
    <cellStyle name="Comma 2 4 2 2 2 3 3 8" xfId="26597"/>
    <cellStyle name="Comma 2 4 2 2 2 3 3 9" xfId="29930"/>
    <cellStyle name="Comma 2 4 2 2 2 3 4" xfId="982"/>
    <cellStyle name="Comma 2 4 2 2 2 3 4 10" xfId="33206"/>
    <cellStyle name="Comma 2 4 2 2 2 3 4 2" xfId="9752"/>
    <cellStyle name="Comma 2 4 2 2 2 3 4 2 2" xfId="25552"/>
    <cellStyle name="Comma 2 4 2 2 2 3 4 2 2 2" xfId="44979"/>
    <cellStyle name="Comma 2 4 2 2 2 3 4 2 2 3" xfId="38556"/>
    <cellStyle name="Comma 2 4 2 2 2 3 4 2 3" xfId="27730"/>
    <cellStyle name="Comma 2 4 2 2 2 3 4 2 3 2" xfId="41772"/>
    <cellStyle name="Comma 2 4 2 2 2 3 4 2 4" xfId="31065"/>
    <cellStyle name="Comma 2 4 2 2 2 3 4 2 5" xfId="35348"/>
    <cellStyle name="Comma 2 4 2 2 2 3 4 3" xfId="15396"/>
    <cellStyle name="Comma 2 4 2 2 2 3 4 3 2" xfId="24411"/>
    <cellStyle name="Comma 2 4 2 2 2 3 4 3 2 2" xfId="43840"/>
    <cellStyle name="Comma 2 4 2 2 2 3 4 3 2 3" xfId="37417"/>
    <cellStyle name="Comma 2 4 2 2 2 3 4 3 3" xfId="28732"/>
    <cellStyle name="Comma 2 4 2 2 2 3 4 3 3 2" xfId="40633"/>
    <cellStyle name="Comma 2 4 2 2 2 3 4 3 4" xfId="32067"/>
    <cellStyle name="Comma 2 4 2 2 2 3 4 3 5" xfId="34209"/>
    <cellStyle name="Comma 2 4 2 2 2 3 4 4" xfId="8214"/>
    <cellStyle name="Comma 2 4 2 2 2 3 4 4 2" xfId="42837"/>
    <cellStyle name="Comma 2 4 2 2 2 3 4 4 3" xfId="36413"/>
    <cellStyle name="Comma 2 4 2 2 2 3 4 5" xfId="21203"/>
    <cellStyle name="Comma 2 4 2 2 2 3 4 5 2" xfId="39630"/>
    <cellStyle name="Comma 2 4 2 2 2 3 4 6" xfId="22276"/>
    <cellStyle name="Comma 2 4 2 2 2 3 4 7" xfId="23408"/>
    <cellStyle name="Comma 2 4 2 2 2 3 4 8" xfId="26598"/>
    <cellStyle name="Comma 2 4 2 2 2 3 4 9" xfId="29931"/>
    <cellStyle name="Comma 2 4 2 2 2 3 5" xfId="983"/>
    <cellStyle name="Comma 2 4 2 2 2 3 5 10" xfId="33207"/>
    <cellStyle name="Comma 2 4 2 2 2 3 5 2" xfId="9753"/>
    <cellStyle name="Comma 2 4 2 2 2 3 5 2 2" xfId="25553"/>
    <cellStyle name="Comma 2 4 2 2 2 3 5 2 2 2" xfId="44980"/>
    <cellStyle name="Comma 2 4 2 2 2 3 5 2 2 3" xfId="38557"/>
    <cellStyle name="Comma 2 4 2 2 2 3 5 2 3" xfId="27731"/>
    <cellStyle name="Comma 2 4 2 2 2 3 5 2 3 2" xfId="41773"/>
    <cellStyle name="Comma 2 4 2 2 2 3 5 2 4" xfId="31066"/>
    <cellStyle name="Comma 2 4 2 2 2 3 5 2 5" xfId="35349"/>
    <cellStyle name="Comma 2 4 2 2 2 3 5 3" xfId="15397"/>
    <cellStyle name="Comma 2 4 2 2 2 3 5 3 2" xfId="24412"/>
    <cellStyle name="Comma 2 4 2 2 2 3 5 3 2 2" xfId="43841"/>
    <cellStyle name="Comma 2 4 2 2 2 3 5 3 2 3" xfId="37418"/>
    <cellStyle name="Comma 2 4 2 2 2 3 5 3 3" xfId="28733"/>
    <cellStyle name="Comma 2 4 2 2 2 3 5 3 3 2" xfId="40634"/>
    <cellStyle name="Comma 2 4 2 2 2 3 5 3 4" xfId="32068"/>
    <cellStyle name="Comma 2 4 2 2 2 3 5 3 5" xfId="34210"/>
    <cellStyle name="Comma 2 4 2 2 2 3 5 4" xfId="8215"/>
    <cellStyle name="Comma 2 4 2 2 2 3 5 4 2" xfId="42838"/>
    <cellStyle name="Comma 2 4 2 2 2 3 5 4 3" xfId="36414"/>
    <cellStyle name="Comma 2 4 2 2 2 3 5 5" xfId="21204"/>
    <cellStyle name="Comma 2 4 2 2 2 3 5 5 2" xfId="39631"/>
    <cellStyle name="Comma 2 4 2 2 2 3 5 6" xfId="22277"/>
    <cellStyle name="Comma 2 4 2 2 2 3 5 7" xfId="23409"/>
    <cellStyle name="Comma 2 4 2 2 2 3 5 8" xfId="26599"/>
    <cellStyle name="Comma 2 4 2 2 2 3 5 9" xfId="29932"/>
    <cellStyle name="Comma 2 4 2 2 2 3 6" xfId="984"/>
    <cellStyle name="Comma 2 4 2 2 2 3 6 10" xfId="33208"/>
    <cellStyle name="Comma 2 4 2 2 2 3 6 2" xfId="9754"/>
    <cellStyle name="Comma 2 4 2 2 2 3 6 2 2" xfId="25554"/>
    <cellStyle name="Comma 2 4 2 2 2 3 6 2 2 2" xfId="44981"/>
    <cellStyle name="Comma 2 4 2 2 2 3 6 2 2 3" xfId="38558"/>
    <cellStyle name="Comma 2 4 2 2 2 3 6 2 3" xfId="27732"/>
    <cellStyle name="Comma 2 4 2 2 2 3 6 2 3 2" xfId="41774"/>
    <cellStyle name="Comma 2 4 2 2 2 3 6 2 4" xfId="31067"/>
    <cellStyle name="Comma 2 4 2 2 2 3 6 2 5" xfId="35350"/>
    <cellStyle name="Comma 2 4 2 2 2 3 6 3" xfId="15398"/>
    <cellStyle name="Comma 2 4 2 2 2 3 6 3 2" xfId="24413"/>
    <cellStyle name="Comma 2 4 2 2 2 3 6 3 2 2" xfId="43842"/>
    <cellStyle name="Comma 2 4 2 2 2 3 6 3 2 3" xfId="37419"/>
    <cellStyle name="Comma 2 4 2 2 2 3 6 3 3" xfId="28734"/>
    <cellStyle name="Comma 2 4 2 2 2 3 6 3 3 2" xfId="40635"/>
    <cellStyle name="Comma 2 4 2 2 2 3 6 3 4" xfId="32069"/>
    <cellStyle name="Comma 2 4 2 2 2 3 6 3 5" xfId="34211"/>
    <cellStyle name="Comma 2 4 2 2 2 3 6 4" xfId="8216"/>
    <cellStyle name="Comma 2 4 2 2 2 3 6 4 2" xfId="42839"/>
    <cellStyle name="Comma 2 4 2 2 2 3 6 4 3" xfId="36415"/>
    <cellStyle name="Comma 2 4 2 2 2 3 6 5" xfId="21205"/>
    <cellStyle name="Comma 2 4 2 2 2 3 6 5 2" xfId="39632"/>
    <cellStyle name="Comma 2 4 2 2 2 3 6 6" xfId="22278"/>
    <cellStyle name="Comma 2 4 2 2 2 3 6 7" xfId="23410"/>
    <cellStyle name="Comma 2 4 2 2 2 3 6 8" xfId="26600"/>
    <cellStyle name="Comma 2 4 2 2 2 3 6 9" xfId="29933"/>
    <cellStyle name="Comma 2 4 2 2 2 3 7" xfId="9075"/>
    <cellStyle name="Comma 2 4 2 2 2 3 7 2" xfId="25130"/>
    <cellStyle name="Comma 2 4 2 2 2 3 7 2 2" xfId="44557"/>
    <cellStyle name="Comma 2 4 2 2 2 3 7 2 3" xfId="38134"/>
    <cellStyle name="Comma 2 4 2 2 2 3 7 3" xfId="27309"/>
    <cellStyle name="Comma 2 4 2 2 2 3 7 3 2" xfId="41350"/>
    <cellStyle name="Comma 2 4 2 2 2 3 7 4" xfId="30644"/>
    <cellStyle name="Comma 2 4 2 2 2 3 7 5" xfId="34926"/>
    <cellStyle name="Comma 2 4 2 2 2 3 8" xfId="15393"/>
    <cellStyle name="Comma 2 4 2 2 2 3 8 2" xfId="24408"/>
    <cellStyle name="Comma 2 4 2 2 2 3 8 2 2" xfId="43837"/>
    <cellStyle name="Comma 2 4 2 2 2 3 8 2 3" xfId="37414"/>
    <cellStyle name="Comma 2 4 2 2 2 3 8 3" xfId="28729"/>
    <cellStyle name="Comma 2 4 2 2 2 3 8 3 2" xfId="40630"/>
    <cellStyle name="Comma 2 4 2 2 2 3 8 4" xfId="32064"/>
    <cellStyle name="Comma 2 4 2 2 2 3 8 5" xfId="34206"/>
    <cellStyle name="Comma 2 4 2 2 2 3 9" xfId="8211"/>
    <cellStyle name="Comma 2 4 2 2 2 3 9 2" xfId="42420"/>
    <cellStyle name="Comma 2 4 2 2 2 3 9 3" xfId="35996"/>
    <cellStyle name="Comma 2 4 2 2 2 4" xfId="985"/>
    <cellStyle name="Comma 2 4 2 2 2 4 10" xfId="22279"/>
    <cellStyle name="Comma 2 4 2 2 2 4 11" xfId="23411"/>
    <cellStyle name="Comma 2 4 2 2 2 4 12" xfId="26601"/>
    <cellStyle name="Comma 2 4 2 2 2 4 13" xfId="29934"/>
    <cellStyle name="Comma 2 4 2 2 2 4 14" xfId="33209"/>
    <cellStyle name="Comma 2 4 2 2 2 4 2" xfId="986"/>
    <cellStyle name="Comma 2 4 2 2 2 4 2 10" xfId="33210"/>
    <cellStyle name="Comma 2 4 2 2 2 4 2 2" xfId="9756"/>
    <cellStyle name="Comma 2 4 2 2 2 4 2 2 2" xfId="25556"/>
    <cellStyle name="Comma 2 4 2 2 2 4 2 2 2 2" xfId="44983"/>
    <cellStyle name="Comma 2 4 2 2 2 4 2 2 2 3" xfId="38560"/>
    <cellStyle name="Comma 2 4 2 2 2 4 2 2 3" xfId="27734"/>
    <cellStyle name="Comma 2 4 2 2 2 4 2 2 3 2" xfId="41776"/>
    <cellStyle name="Comma 2 4 2 2 2 4 2 2 4" xfId="31069"/>
    <cellStyle name="Comma 2 4 2 2 2 4 2 2 5" xfId="35352"/>
    <cellStyle name="Comma 2 4 2 2 2 4 2 3" xfId="15400"/>
    <cellStyle name="Comma 2 4 2 2 2 4 2 3 2" xfId="24415"/>
    <cellStyle name="Comma 2 4 2 2 2 4 2 3 2 2" xfId="43844"/>
    <cellStyle name="Comma 2 4 2 2 2 4 2 3 2 3" xfId="37421"/>
    <cellStyle name="Comma 2 4 2 2 2 4 2 3 3" xfId="28736"/>
    <cellStyle name="Comma 2 4 2 2 2 4 2 3 3 2" xfId="40637"/>
    <cellStyle name="Comma 2 4 2 2 2 4 2 3 4" xfId="32071"/>
    <cellStyle name="Comma 2 4 2 2 2 4 2 3 5" xfId="34213"/>
    <cellStyle name="Comma 2 4 2 2 2 4 2 4" xfId="8218"/>
    <cellStyle name="Comma 2 4 2 2 2 4 2 4 2" xfId="42841"/>
    <cellStyle name="Comma 2 4 2 2 2 4 2 4 3" xfId="36417"/>
    <cellStyle name="Comma 2 4 2 2 2 4 2 5" xfId="21207"/>
    <cellStyle name="Comma 2 4 2 2 2 4 2 5 2" xfId="39634"/>
    <cellStyle name="Comma 2 4 2 2 2 4 2 6" xfId="22280"/>
    <cellStyle name="Comma 2 4 2 2 2 4 2 7" xfId="23412"/>
    <cellStyle name="Comma 2 4 2 2 2 4 2 8" xfId="26602"/>
    <cellStyle name="Comma 2 4 2 2 2 4 2 9" xfId="29935"/>
    <cellStyle name="Comma 2 4 2 2 2 4 3" xfId="987"/>
    <cellStyle name="Comma 2 4 2 2 2 4 3 10" xfId="33211"/>
    <cellStyle name="Comma 2 4 2 2 2 4 3 2" xfId="9757"/>
    <cellStyle name="Comma 2 4 2 2 2 4 3 2 2" xfId="25557"/>
    <cellStyle name="Comma 2 4 2 2 2 4 3 2 2 2" xfId="44984"/>
    <cellStyle name="Comma 2 4 2 2 2 4 3 2 2 3" xfId="38561"/>
    <cellStyle name="Comma 2 4 2 2 2 4 3 2 3" xfId="27735"/>
    <cellStyle name="Comma 2 4 2 2 2 4 3 2 3 2" xfId="41777"/>
    <cellStyle name="Comma 2 4 2 2 2 4 3 2 4" xfId="31070"/>
    <cellStyle name="Comma 2 4 2 2 2 4 3 2 5" xfId="35353"/>
    <cellStyle name="Comma 2 4 2 2 2 4 3 3" xfId="15401"/>
    <cellStyle name="Comma 2 4 2 2 2 4 3 3 2" xfId="24416"/>
    <cellStyle name="Comma 2 4 2 2 2 4 3 3 2 2" xfId="43845"/>
    <cellStyle name="Comma 2 4 2 2 2 4 3 3 2 3" xfId="37422"/>
    <cellStyle name="Comma 2 4 2 2 2 4 3 3 3" xfId="28737"/>
    <cellStyle name="Comma 2 4 2 2 2 4 3 3 3 2" xfId="40638"/>
    <cellStyle name="Comma 2 4 2 2 2 4 3 3 4" xfId="32072"/>
    <cellStyle name="Comma 2 4 2 2 2 4 3 3 5" xfId="34214"/>
    <cellStyle name="Comma 2 4 2 2 2 4 3 4" xfId="8219"/>
    <cellStyle name="Comma 2 4 2 2 2 4 3 4 2" xfId="42842"/>
    <cellStyle name="Comma 2 4 2 2 2 4 3 4 3" xfId="36418"/>
    <cellStyle name="Comma 2 4 2 2 2 4 3 5" xfId="21208"/>
    <cellStyle name="Comma 2 4 2 2 2 4 3 5 2" xfId="39635"/>
    <cellStyle name="Comma 2 4 2 2 2 4 3 6" xfId="22281"/>
    <cellStyle name="Comma 2 4 2 2 2 4 3 7" xfId="23413"/>
    <cellStyle name="Comma 2 4 2 2 2 4 3 8" xfId="26603"/>
    <cellStyle name="Comma 2 4 2 2 2 4 3 9" xfId="29936"/>
    <cellStyle name="Comma 2 4 2 2 2 4 4" xfId="988"/>
    <cellStyle name="Comma 2 4 2 2 2 4 4 10" xfId="33212"/>
    <cellStyle name="Comma 2 4 2 2 2 4 4 2" xfId="9758"/>
    <cellStyle name="Comma 2 4 2 2 2 4 4 2 2" xfId="25558"/>
    <cellStyle name="Comma 2 4 2 2 2 4 4 2 2 2" xfId="44985"/>
    <cellStyle name="Comma 2 4 2 2 2 4 4 2 2 3" xfId="38562"/>
    <cellStyle name="Comma 2 4 2 2 2 4 4 2 3" xfId="27736"/>
    <cellStyle name="Comma 2 4 2 2 2 4 4 2 3 2" xfId="41778"/>
    <cellStyle name="Comma 2 4 2 2 2 4 4 2 4" xfId="31071"/>
    <cellStyle name="Comma 2 4 2 2 2 4 4 2 5" xfId="35354"/>
    <cellStyle name="Comma 2 4 2 2 2 4 4 3" xfId="15402"/>
    <cellStyle name="Comma 2 4 2 2 2 4 4 3 2" xfId="24417"/>
    <cellStyle name="Comma 2 4 2 2 2 4 4 3 2 2" xfId="43846"/>
    <cellStyle name="Comma 2 4 2 2 2 4 4 3 2 3" xfId="37423"/>
    <cellStyle name="Comma 2 4 2 2 2 4 4 3 3" xfId="28738"/>
    <cellStyle name="Comma 2 4 2 2 2 4 4 3 3 2" xfId="40639"/>
    <cellStyle name="Comma 2 4 2 2 2 4 4 3 4" xfId="32073"/>
    <cellStyle name="Comma 2 4 2 2 2 4 4 3 5" xfId="34215"/>
    <cellStyle name="Comma 2 4 2 2 2 4 4 4" xfId="8220"/>
    <cellStyle name="Comma 2 4 2 2 2 4 4 4 2" xfId="42843"/>
    <cellStyle name="Comma 2 4 2 2 2 4 4 4 3" xfId="36419"/>
    <cellStyle name="Comma 2 4 2 2 2 4 4 5" xfId="21209"/>
    <cellStyle name="Comma 2 4 2 2 2 4 4 5 2" xfId="39636"/>
    <cellStyle name="Comma 2 4 2 2 2 4 4 6" xfId="22282"/>
    <cellStyle name="Comma 2 4 2 2 2 4 4 7" xfId="23414"/>
    <cellStyle name="Comma 2 4 2 2 2 4 4 8" xfId="26604"/>
    <cellStyle name="Comma 2 4 2 2 2 4 4 9" xfId="29937"/>
    <cellStyle name="Comma 2 4 2 2 2 4 5" xfId="989"/>
    <cellStyle name="Comma 2 4 2 2 2 4 5 10" xfId="33213"/>
    <cellStyle name="Comma 2 4 2 2 2 4 5 2" xfId="9759"/>
    <cellStyle name="Comma 2 4 2 2 2 4 5 2 2" xfId="25559"/>
    <cellStyle name="Comma 2 4 2 2 2 4 5 2 2 2" xfId="44986"/>
    <cellStyle name="Comma 2 4 2 2 2 4 5 2 2 3" xfId="38563"/>
    <cellStyle name="Comma 2 4 2 2 2 4 5 2 3" xfId="27737"/>
    <cellStyle name="Comma 2 4 2 2 2 4 5 2 3 2" xfId="41779"/>
    <cellStyle name="Comma 2 4 2 2 2 4 5 2 4" xfId="31072"/>
    <cellStyle name="Comma 2 4 2 2 2 4 5 2 5" xfId="35355"/>
    <cellStyle name="Comma 2 4 2 2 2 4 5 3" xfId="15403"/>
    <cellStyle name="Comma 2 4 2 2 2 4 5 3 2" xfId="24418"/>
    <cellStyle name="Comma 2 4 2 2 2 4 5 3 2 2" xfId="43847"/>
    <cellStyle name="Comma 2 4 2 2 2 4 5 3 2 3" xfId="37424"/>
    <cellStyle name="Comma 2 4 2 2 2 4 5 3 3" xfId="28739"/>
    <cellStyle name="Comma 2 4 2 2 2 4 5 3 3 2" xfId="40640"/>
    <cellStyle name="Comma 2 4 2 2 2 4 5 3 4" xfId="32074"/>
    <cellStyle name="Comma 2 4 2 2 2 4 5 3 5" xfId="34216"/>
    <cellStyle name="Comma 2 4 2 2 2 4 5 4" xfId="8221"/>
    <cellStyle name="Comma 2 4 2 2 2 4 5 4 2" xfId="42844"/>
    <cellStyle name="Comma 2 4 2 2 2 4 5 4 3" xfId="36420"/>
    <cellStyle name="Comma 2 4 2 2 2 4 5 5" xfId="21210"/>
    <cellStyle name="Comma 2 4 2 2 2 4 5 5 2" xfId="39637"/>
    <cellStyle name="Comma 2 4 2 2 2 4 5 6" xfId="22283"/>
    <cellStyle name="Comma 2 4 2 2 2 4 5 7" xfId="23415"/>
    <cellStyle name="Comma 2 4 2 2 2 4 5 8" xfId="26605"/>
    <cellStyle name="Comma 2 4 2 2 2 4 5 9" xfId="29938"/>
    <cellStyle name="Comma 2 4 2 2 2 4 6" xfId="9755"/>
    <cellStyle name="Comma 2 4 2 2 2 4 6 2" xfId="25555"/>
    <cellStyle name="Comma 2 4 2 2 2 4 6 2 2" xfId="44982"/>
    <cellStyle name="Comma 2 4 2 2 2 4 6 2 3" xfId="38559"/>
    <cellStyle name="Comma 2 4 2 2 2 4 6 3" xfId="27733"/>
    <cellStyle name="Comma 2 4 2 2 2 4 6 3 2" xfId="41775"/>
    <cellStyle name="Comma 2 4 2 2 2 4 6 4" xfId="31068"/>
    <cellStyle name="Comma 2 4 2 2 2 4 6 5" xfId="35351"/>
    <cellStyle name="Comma 2 4 2 2 2 4 7" xfId="15399"/>
    <cellStyle name="Comma 2 4 2 2 2 4 7 2" xfId="24414"/>
    <cellStyle name="Comma 2 4 2 2 2 4 7 2 2" xfId="43843"/>
    <cellStyle name="Comma 2 4 2 2 2 4 7 2 3" xfId="37420"/>
    <cellStyle name="Comma 2 4 2 2 2 4 7 3" xfId="28735"/>
    <cellStyle name="Comma 2 4 2 2 2 4 7 3 2" xfId="40636"/>
    <cellStyle name="Comma 2 4 2 2 2 4 7 4" xfId="32070"/>
    <cellStyle name="Comma 2 4 2 2 2 4 7 5" xfId="34212"/>
    <cellStyle name="Comma 2 4 2 2 2 4 8" xfId="8217"/>
    <cellStyle name="Comma 2 4 2 2 2 4 8 2" xfId="42840"/>
    <cellStyle name="Comma 2 4 2 2 2 4 8 3" xfId="36416"/>
    <cellStyle name="Comma 2 4 2 2 2 4 9" xfId="21206"/>
    <cellStyle name="Comma 2 4 2 2 2 4 9 2" xfId="39633"/>
    <cellStyle name="Comma 2 4 2 2 2 5" xfId="990"/>
    <cellStyle name="Comma 2 4 2 2 2 5 10" xfId="22284"/>
    <cellStyle name="Comma 2 4 2 2 2 5 11" xfId="23416"/>
    <cellStyle name="Comma 2 4 2 2 2 5 12" xfId="26606"/>
    <cellStyle name="Comma 2 4 2 2 2 5 13" xfId="29939"/>
    <cellStyle name="Comma 2 4 2 2 2 5 14" xfId="33214"/>
    <cellStyle name="Comma 2 4 2 2 2 5 2" xfId="991"/>
    <cellStyle name="Comma 2 4 2 2 2 5 2 10" xfId="33215"/>
    <cellStyle name="Comma 2 4 2 2 2 5 2 2" xfId="9761"/>
    <cellStyle name="Comma 2 4 2 2 2 5 2 2 2" xfId="25561"/>
    <cellStyle name="Comma 2 4 2 2 2 5 2 2 2 2" xfId="44988"/>
    <cellStyle name="Comma 2 4 2 2 2 5 2 2 2 3" xfId="38565"/>
    <cellStyle name="Comma 2 4 2 2 2 5 2 2 3" xfId="27739"/>
    <cellStyle name="Comma 2 4 2 2 2 5 2 2 3 2" xfId="41781"/>
    <cellStyle name="Comma 2 4 2 2 2 5 2 2 4" xfId="31074"/>
    <cellStyle name="Comma 2 4 2 2 2 5 2 2 5" xfId="35357"/>
    <cellStyle name="Comma 2 4 2 2 2 5 2 3" xfId="15405"/>
    <cellStyle name="Comma 2 4 2 2 2 5 2 3 2" xfId="24420"/>
    <cellStyle name="Comma 2 4 2 2 2 5 2 3 2 2" xfId="43849"/>
    <cellStyle name="Comma 2 4 2 2 2 5 2 3 2 3" xfId="37426"/>
    <cellStyle name="Comma 2 4 2 2 2 5 2 3 3" xfId="28741"/>
    <cellStyle name="Comma 2 4 2 2 2 5 2 3 3 2" xfId="40642"/>
    <cellStyle name="Comma 2 4 2 2 2 5 2 3 4" xfId="32076"/>
    <cellStyle name="Comma 2 4 2 2 2 5 2 3 5" xfId="34218"/>
    <cellStyle name="Comma 2 4 2 2 2 5 2 4" xfId="8223"/>
    <cellStyle name="Comma 2 4 2 2 2 5 2 4 2" xfId="42846"/>
    <cellStyle name="Comma 2 4 2 2 2 5 2 4 3" xfId="36422"/>
    <cellStyle name="Comma 2 4 2 2 2 5 2 5" xfId="21212"/>
    <cellStyle name="Comma 2 4 2 2 2 5 2 5 2" xfId="39639"/>
    <cellStyle name="Comma 2 4 2 2 2 5 2 6" xfId="22285"/>
    <cellStyle name="Comma 2 4 2 2 2 5 2 7" xfId="23417"/>
    <cellStyle name="Comma 2 4 2 2 2 5 2 8" xfId="26607"/>
    <cellStyle name="Comma 2 4 2 2 2 5 2 9" xfId="29940"/>
    <cellStyle name="Comma 2 4 2 2 2 5 3" xfId="992"/>
    <cellStyle name="Comma 2 4 2 2 2 5 3 10" xfId="33216"/>
    <cellStyle name="Comma 2 4 2 2 2 5 3 2" xfId="9762"/>
    <cellStyle name="Comma 2 4 2 2 2 5 3 2 2" xfId="25562"/>
    <cellStyle name="Comma 2 4 2 2 2 5 3 2 2 2" xfId="44989"/>
    <cellStyle name="Comma 2 4 2 2 2 5 3 2 2 3" xfId="38566"/>
    <cellStyle name="Comma 2 4 2 2 2 5 3 2 3" xfId="27740"/>
    <cellStyle name="Comma 2 4 2 2 2 5 3 2 3 2" xfId="41782"/>
    <cellStyle name="Comma 2 4 2 2 2 5 3 2 4" xfId="31075"/>
    <cellStyle name="Comma 2 4 2 2 2 5 3 2 5" xfId="35358"/>
    <cellStyle name="Comma 2 4 2 2 2 5 3 3" xfId="15406"/>
    <cellStyle name="Comma 2 4 2 2 2 5 3 3 2" xfId="24421"/>
    <cellStyle name="Comma 2 4 2 2 2 5 3 3 2 2" xfId="43850"/>
    <cellStyle name="Comma 2 4 2 2 2 5 3 3 2 3" xfId="37427"/>
    <cellStyle name="Comma 2 4 2 2 2 5 3 3 3" xfId="28742"/>
    <cellStyle name="Comma 2 4 2 2 2 5 3 3 3 2" xfId="40643"/>
    <cellStyle name="Comma 2 4 2 2 2 5 3 3 4" xfId="32077"/>
    <cellStyle name="Comma 2 4 2 2 2 5 3 3 5" xfId="34219"/>
    <cellStyle name="Comma 2 4 2 2 2 5 3 4" xfId="8224"/>
    <cellStyle name="Comma 2 4 2 2 2 5 3 4 2" xfId="42847"/>
    <cellStyle name="Comma 2 4 2 2 2 5 3 4 3" xfId="36423"/>
    <cellStyle name="Comma 2 4 2 2 2 5 3 5" xfId="21213"/>
    <cellStyle name="Comma 2 4 2 2 2 5 3 5 2" xfId="39640"/>
    <cellStyle name="Comma 2 4 2 2 2 5 3 6" xfId="22286"/>
    <cellStyle name="Comma 2 4 2 2 2 5 3 7" xfId="23418"/>
    <cellStyle name="Comma 2 4 2 2 2 5 3 8" xfId="26608"/>
    <cellStyle name="Comma 2 4 2 2 2 5 3 9" xfId="29941"/>
    <cellStyle name="Comma 2 4 2 2 2 5 4" xfId="993"/>
    <cellStyle name="Comma 2 4 2 2 2 5 4 10" xfId="33217"/>
    <cellStyle name="Comma 2 4 2 2 2 5 4 2" xfId="9763"/>
    <cellStyle name="Comma 2 4 2 2 2 5 4 2 2" xfId="25563"/>
    <cellStyle name="Comma 2 4 2 2 2 5 4 2 2 2" xfId="44990"/>
    <cellStyle name="Comma 2 4 2 2 2 5 4 2 2 3" xfId="38567"/>
    <cellStyle name="Comma 2 4 2 2 2 5 4 2 3" xfId="27741"/>
    <cellStyle name="Comma 2 4 2 2 2 5 4 2 3 2" xfId="41783"/>
    <cellStyle name="Comma 2 4 2 2 2 5 4 2 4" xfId="31076"/>
    <cellStyle name="Comma 2 4 2 2 2 5 4 2 5" xfId="35359"/>
    <cellStyle name="Comma 2 4 2 2 2 5 4 3" xfId="15407"/>
    <cellStyle name="Comma 2 4 2 2 2 5 4 3 2" xfId="24422"/>
    <cellStyle name="Comma 2 4 2 2 2 5 4 3 2 2" xfId="43851"/>
    <cellStyle name="Comma 2 4 2 2 2 5 4 3 2 3" xfId="37428"/>
    <cellStyle name="Comma 2 4 2 2 2 5 4 3 3" xfId="28743"/>
    <cellStyle name="Comma 2 4 2 2 2 5 4 3 3 2" xfId="40644"/>
    <cellStyle name="Comma 2 4 2 2 2 5 4 3 4" xfId="32078"/>
    <cellStyle name="Comma 2 4 2 2 2 5 4 3 5" xfId="34220"/>
    <cellStyle name="Comma 2 4 2 2 2 5 4 4" xfId="8225"/>
    <cellStyle name="Comma 2 4 2 2 2 5 4 4 2" xfId="42848"/>
    <cellStyle name="Comma 2 4 2 2 2 5 4 4 3" xfId="36424"/>
    <cellStyle name="Comma 2 4 2 2 2 5 4 5" xfId="21214"/>
    <cellStyle name="Comma 2 4 2 2 2 5 4 5 2" xfId="39641"/>
    <cellStyle name="Comma 2 4 2 2 2 5 4 6" xfId="22287"/>
    <cellStyle name="Comma 2 4 2 2 2 5 4 7" xfId="23419"/>
    <cellStyle name="Comma 2 4 2 2 2 5 4 8" xfId="26609"/>
    <cellStyle name="Comma 2 4 2 2 2 5 4 9" xfId="29942"/>
    <cellStyle name="Comma 2 4 2 2 2 5 5" xfId="994"/>
    <cellStyle name="Comma 2 4 2 2 2 5 5 10" xfId="33218"/>
    <cellStyle name="Comma 2 4 2 2 2 5 5 2" xfId="9764"/>
    <cellStyle name="Comma 2 4 2 2 2 5 5 2 2" xfId="25564"/>
    <cellStyle name="Comma 2 4 2 2 2 5 5 2 2 2" xfId="44991"/>
    <cellStyle name="Comma 2 4 2 2 2 5 5 2 2 3" xfId="38568"/>
    <cellStyle name="Comma 2 4 2 2 2 5 5 2 3" xfId="27742"/>
    <cellStyle name="Comma 2 4 2 2 2 5 5 2 3 2" xfId="41784"/>
    <cellStyle name="Comma 2 4 2 2 2 5 5 2 4" xfId="31077"/>
    <cellStyle name="Comma 2 4 2 2 2 5 5 2 5" xfId="35360"/>
    <cellStyle name="Comma 2 4 2 2 2 5 5 3" xfId="15408"/>
    <cellStyle name="Comma 2 4 2 2 2 5 5 3 2" xfId="24423"/>
    <cellStyle name="Comma 2 4 2 2 2 5 5 3 2 2" xfId="43852"/>
    <cellStyle name="Comma 2 4 2 2 2 5 5 3 2 3" xfId="37429"/>
    <cellStyle name="Comma 2 4 2 2 2 5 5 3 3" xfId="28744"/>
    <cellStyle name="Comma 2 4 2 2 2 5 5 3 3 2" xfId="40645"/>
    <cellStyle name="Comma 2 4 2 2 2 5 5 3 4" xfId="32079"/>
    <cellStyle name="Comma 2 4 2 2 2 5 5 3 5" xfId="34221"/>
    <cellStyle name="Comma 2 4 2 2 2 5 5 4" xfId="8226"/>
    <cellStyle name="Comma 2 4 2 2 2 5 5 4 2" xfId="42849"/>
    <cellStyle name="Comma 2 4 2 2 2 5 5 4 3" xfId="36425"/>
    <cellStyle name="Comma 2 4 2 2 2 5 5 5" xfId="21215"/>
    <cellStyle name="Comma 2 4 2 2 2 5 5 5 2" xfId="39642"/>
    <cellStyle name="Comma 2 4 2 2 2 5 5 6" xfId="22288"/>
    <cellStyle name="Comma 2 4 2 2 2 5 5 7" xfId="23420"/>
    <cellStyle name="Comma 2 4 2 2 2 5 5 8" xfId="26610"/>
    <cellStyle name="Comma 2 4 2 2 2 5 5 9" xfId="29943"/>
    <cellStyle name="Comma 2 4 2 2 2 5 6" xfId="9760"/>
    <cellStyle name="Comma 2 4 2 2 2 5 6 2" xfId="25560"/>
    <cellStyle name="Comma 2 4 2 2 2 5 6 2 2" xfId="44987"/>
    <cellStyle name="Comma 2 4 2 2 2 5 6 2 3" xfId="38564"/>
    <cellStyle name="Comma 2 4 2 2 2 5 6 3" xfId="27738"/>
    <cellStyle name="Comma 2 4 2 2 2 5 6 3 2" xfId="41780"/>
    <cellStyle name="Comma 2 4 2 2 2 5 6 4" xfId="31073"/>
    <cellStyle name="Comma 2 4 2 2 2 5 6 5" xfId="35356"/>
    <cellStyle name="Comma 2 4 2 2 2 5 7" xfId="15404"/>
    <cellStyle name="Comma 2 4 2 2 2 5 7 2" xfId="24419"/>
    <cellStyle name="Comma 2 4 2 2 2 5 7 2 2" xfId="43848"/>
    <cellStyle name="Comma 2 4 2 2 2 5 7 2 3" xfId="37425"/>
    <cellStyle name="Comma 2 4 2 2 2 5 7 3" xfId="28740"/>
    <cellStyle name="Comma 2 4 2 2 2 5 7 3 2" xfId="40641"/>
    <cellStyle name="Comma 2 4 2 2 2 5 7 4" xfId="32075"/>
    <cellStyle name="Comma 2 4 2 2 2 5 7 5" xfId="34217"/>
    <cellStyle name="Comma 2 4 2 2 2 5 8" xfId="8222"/>
    <cellStyle name="Comma 2 4 2 2 2 5 8 2" xfId="42845"/>
    <cellStyle name="Comma 2 4 2 2 2 5 8 3" xfId="36421"/>
    <cellStyle name="Comma 2 4 2 2 2 5 9" xfId="21211"/>
    <cellStyle name="Comma 2 4 2 2 2 5 9 2" xfId="39638"/>
    <cellStyle name="Comma 2 4 2 2 2 6" xfId="995"/>
    <cellStyle name="Comma 2 4 2 2 2 6 10" xfId="33219"/>
    <cellStyle name="Comma 2 4 2 2 2 6 2" xfId="9765"/>
    <cellStyle name="Comma 2 4 2 2 2 6 2 2" xfId="25565"/>
    <cellStyle name="Comma 2 4 2 2 2 6 2 2 2" xfId="44992"/>
    <cellStyle name="Comma 2 4 2 2 2 6 2 2 3" xfId="38569"/>
    <cellStyle name="Comma 2 4 2 2 2 6 2 3" xfId="27743"/>
    <cellStyle name="Comma 2 4 2 2 2 6 2 3 2" xfId="41785"/>
    <cellStyle name="Comma 2 4 2 2 2 6 2 4" xfId="31078"/>
    <cellStyle name="Comma 2 4 2 2 2 6 2 5" xfId="35361"/>
    <cellStyle name="Comma 2 4 2 2 2 6 3" xfId="15409"/>
    <cellStyle name="Comma 2 4 2 2 2 6 3 2" xfId="24424"/>
    <cellStyle name="Comma 2 4 2 2 2 6 3 2 2" xfId="43853"/>
    <cellStyle name="Comma 2 4 2 2 2 6 3 2 3" xfId="37430"/>
    <cellStyle name="Comma 2 4 2 2 2 6 3 3" xfId="28745"/>
    <cellStyle name="Comma 2 4 2 2 2 6 3 3 2" xfId="40646"/>
    <cellStyle name="Comma 2 4 2 2 2 6 3 4" xfId="32080"/>
    <cellStyle name="Comma 2 4 2 2 2 6 3 5" xfId="34222"/>
    <cellStyle name="Comma 2 4 2 2 2 6 4" xfId="8227"/>
    <cellStyle name="Comma 2 4 2 2 2 6 4 2" xfId="42850"/>
    <cellStyle name="Comma 2 4 2 2 2 6 4 3" xfId="36426"/>
    <cellStyle name="Comma 2 4 2 2 2 6 5" xfId="21216"/>
    <cellStyle name="Comma 2 4 2 2 2 6 5 2" xfId="39643"/>
    <cellStyle name="Comma 2 4 2 2 2 6 6" xfId="22289"/>
    <cellStyle name="Comma 2 4 2 2 2 6 7" xfId="23421"/>
    <cellStyle name="Comma 2 4 2 2 2 6 8" xfId="26611"/>
    <cellStyle name="Comma 2 4 2 2 2 6 9" xfId="29944"/>
    <cellStyle name="Comma 2 4 2 2 2 7" xfId="996"/>
    <cellStyle name="Comma 2 4 2 2 2 7 10" xfId="33220"/>
    <cellStyle name="Comma 2 4 2 2 2 7 2" xfId="9766"/>
    <cellStyle name="Comma 2 4 2 2 2 7 2 2" xfId="25566"/>
    <cellStyle name="Comma 2 4 2 2 2 7 2 2 2" xfId="44993"/>
    <cellStyle name="Comma 2 4 2 2 2 7 2 2 3" xfId="38570"/>
    <cellStyle name="Comma 2 4 2 2 2 7 2 3" xfId="27744"/>
    <cellStyle name="Comma 2 4 2 2 2 7 2 3 2" xfId="41786"/>
    <cellStyle name="Comma 2 4 2 2 2 7 2 4" xfId="31079"/>
    <cellStyle name="Comma 2 4 2 2 2 7 2 5" xfId="35362"/>
    <cellStyle name="Comma 2 4 2 2 2 7 3" xfId="15410"/>
    <cellStyle name="Comma 2 4 2 2 2 7 3 2" xfId="24425"/>
    <cellStyle name="Comma 2 4 2 2 2 7 3 2 2" xfId="43854"/>
    <cellStyle name="Comma 2 4 2 2 2 7 3 2 3" xfId="37431"/>
    <cellStyle name="Comma 2 4 2 2 2 7 3 3" xfId="28746"/>
    <cellStyle name="Comma 2 4 2 2 2 7 3 3 2" xfId="40647"/>
    <cellStyle name="Comma 2 4 2 2 2 7 3 4" xfId="32081"/>
    <cellStyle name="Comma 2 4 2 2 2 7 3 5" xfId="34223"/>
    <cellStyle name="Comma 2 4 2 2 2 7 4" xfId="8228"/>
    <cellStyle name="Comma 2 4 2 2 2 7 4 2" xfId="42851"/>
    <cellStyle name="Comma 2 4 2 2 2 7 4 3" xfId="36427"/>
    <cellStyle name="Comma 2 4 2 2 2 7 5" xfId="21217"/>
    <cellStyle name="Comma 2 4 2 2 2 7 5 2" xfId="39644"/>
    <cellStyle name="Comma 2 4 2 2 2 7 6" xfId="22290"/>
    <cellStyle name="Comma 2 4 2 2 2 7 7" xfId="23422"/>
    <cellStyle name="Comma 2 4 2 2 2 7 8" xfId="26612"/>
    <cellStyle name="Comma 2 4 2 2 2 7 9" xfId="29945"/>
    <cellStyle name="Comma 2 4 2 2 2 8" xfId="997"/>
    <cellStyle name="Comma 2 4 2 2 2 8 10" xfId="33221"/>
    <cellStyle name="Comma 2 4 2 2 2 8 2" xfId="9767"/>
    <cellStyle name="Comma 2 4 2 2 2 8 2 2" xfId="25567"/>
    <cellStyle name="Comma 2 4 2 2 2 8 2 2 2" xfId="44994"/>
    <cellStyle name="Comma 2 4 2 2 2 8 2 2 3" xfId="38571"/>
    <cellStyle name="Comma 2 4 2 2 2 8 2 3" xfId="27745"/>
    <cellStyle name="Comma 2 4 2 2 2 8 2 3 2" xfId="41787"/>
    <cellStyle name="Comma 2 4 2 2 2 8 2 4" xfId="31080"/>
    <cellStyle name="Comma 2 4 2 2 2 8 2 5" xfId="35363"/>
    <cellStyle name="Comma 2 4 2 2 2 8 3" xfId="15411"/>
    <cellStyle name="Comma 2 4 2 2 2 8 3 2" xfId="24426"/>
    <cellStyle name="Comma 2 4 2 2 2 8 3 2 2" xfId="43855"/>
    <cellStyle name="Comma 2 4 2 2 2 8 3 2 3" xfId="37432"/>
    <cellStyle name="Comma 2 4 2 2 2 8 3 3" xfId="28747"/>
    <cellStyle name="Comma 2 4 2 2 2 8 3 3 2" xfId="40648"/>
    <cellStyle name="Comma 2 4 2 2 2 8 3 4" xfId="32082"/>
    <cellStyle name="Comma 2 4 2 2 2 8 3 5" xfId="34224"/>
    <cellStyle name="Comma 2 4 2 2 2 8 4" xfId="8229"/>
    <cellStyle name="Comma 2 4 2 2 2 8 4 2" xfId="42852"/>
    <cellStyle name="Comma 2 4 2 2 2 8 4 3" xfId="36428"/>
    <cellStyle name="Comma 2 4 2 2 2 8 5" xfId="21218"/>
    <cellStyle name="Comma 2 4 2 2 2 8 5 2" xfId="39645"/>
    <cellStyle name="Comma 2 4 2 2 2 8 6" xfId="22291"/>
    <cellStyle name="Comma 2 4 2 2 2 8 7" xfId="23423"/>
    <cellStyle name="Comma 2 4 2 2 2 8 8" xfId="26613"/>
    <cellStyle name="Comma 2 4 2 2 2 8 9" xfId="29946"/>
    <cellStyle name="Comma 2 4 2 2 2 9" xfId="998"/>
    <cellStyle name="Comma 2 4 2 2 2 9 10" xfId="33222"/>
    <cellStyle name="Comma 2 4 2 2 2 9 2" xfId="9768"/>
    <cellStyle name="Comma 2 4 2 2 2 9 2 2" xfId="25568"/>
    <cellStyle name="Comma 2 4 2 2 2 9 2 2 2" xfId="44995"/>
    <cellStyle name="Comma 2 4 2 2 2 9 2 2 3" xfId="38572"/>
    <cellStyle name="Comma 2 4 2 2 2 9 2 3" xfId="27746"/>
    <cellStyle name="Comma 2 4 2 2 2 9 2 3 2" xfId="41788"/>
    <cellStyle name="Comma 2 4 2 2 2 9 2 4" xfId="31081"/>
    <cellStyle name="Comma 2 4 2 2 2 9 2 5" xfId="35364"/>
    <cellStyle name="Comma 2 4 2 2 2 9 3" xfId="15412"/>
    <cellStyle name="Comma 2 4 2 2 2 9 3 2" xfId="24427"/>
    <cellStyle name="Comma 2 4 2 2 2 9 3 2 2" xfId="43856"/>
    <cellStyle name="Comma 2 4 2 2 2 9 3 2 3" xfId="37433"/>
    <cellStyle name="Comma 2 4 2 2 2 9 3 3" xfId="28748"/>
    <cellStyle name="Comma 2 4 2 2 2 9 3 3 2" xfId="40649"/>
    <cellStyle name="Comma 2 4 2 2 2 9 3 4" xfId="32083"/>
    <cellStyle name="Comma 2 4 2 2 2 9 3 5" xfId="34225"/>
    <cellStyle name="Comma 2 4 2 2 2 9 4" xfId="8230"/>
    <cellStyle name="Comma 2 4 2 2 2 9 4 2" xfId="42853"/>
    <cellStyle name="Comma 2 4 2 2 2 9 4 3" xfId="36429"/>
    <cellStyle name="Comma 2 4 2 2 2 9 5" xfId="21219"/>
    <cellStyle name="Comma 2 4 2 2 2 9 5 2" xfId="39646"/>
    <cellStyle name="Comma 2 4 2 2 2 9 6" xfId="22292"/>
    <cellStyle name="Comma 2 4 2 2 2 9 7" xfId="23424"/>
    <cellStyle name="Comma 2 4 2 2 2 9 8" xfId="26614"/>
    <cellStyle name="Comma 2 4 2 2 2 9 9" xfId="29947"/>
    <cellStyle name="Comma 2 4 2 2 20" xfId="32834"/>
    <cellStyle name="Comma 2 4 2 2 3" xfId="194"/>
    <cellStyle name="Comma 2 4 2 2 3 10" xfId="15413"/>
    <cellStyle name="Comma 2 4 2 2 3 10 2" xfId="24428"/>
    <cellStyle name="Comma 2 4 2 2 3 10 2 2" xfId="43857"/>
    <cellStyle name="Comma 2 4 2 2 3 10 2 3" xfId="37434"/>
    <cellStyle name="Comma 2 4 2 2 3 10 3" xfId="28749"/>
    <cellStyle name="Comma 2 4 2 2 3 10 3 2" xfId="40650"/>
    <cellStyle name="Comma 2 4 2 2 3 10 4" xfId="32084"/>
    <cellStyle name="Comma 2 4 2 2 3 10 5" xfId="34226"/>
    <cellStyle name="Comma 2 4 2 2 3 11" xfId="8231"/>
    <cellStyle name="Comma 2 4 2 2 3 11 2" xfId="42415"/>
    <cellStyle name="Comma 2 4 2 2 3 11 3" xfId="35991"/>
    <cellStyle name="Comma 2 4 2 2 3 12" xfId="21220"/>
    <cellStyle name="Comma 2 4 2 2 3 12 2" xfId="39208"/>
    <cellStyle name="Comma 2 4 2 2 3 13" xfId="22293"/>
    <cellStyle name="Comma 2 4 2 2 3 14" xfId="22986"/>
    <cellStyle name="Comma 2 4 2 2 3 15" xfId="26615"/>
    <cellStyle name="Comma 2 4 2 2 3 16" xfId="29948"/>
    <cellStyle name="Comma 2 4 2 2 3 17" xfId="32784"/>
    <cellStyle name="Comma 2 4 2 2 3 2" xfId="266"/>
    <cellStyle name="Comma 2 4 2 2 3 2 10" xfId="21221"/>
    <cellStyle name="Comma 2 4 2 2 3 2 10 2" xfId="39260"/>
    <cellStyle name="Comma 2 4 2 2 3 2 11" xfId="22294"/>
    <cellStyle name="Comma 2 4 2 2 3 2 12" xfId="23038"/>
    <cellStyle name="Comma 2 4 2 2 3 2 13" xfId="26616"/>
    <cellStyle name="Comma 2 4 2 2 3 2 14" xfId="29949"/>
    <cellStyle name="Comma 2 4 2 2 3 2 15" xfId="32836"/>
    <cellStyle name="Comma 2 4 2 2 3 2 2" xfId="999"/>
    <cellStyle name="Comma 2 4 2 2 3 2 2 10" xfId="33223"/>
    <cellStyle name="Comma 2 4 2 2 3 2 2 2" xfId="9769"/>
    <cellStyle name="Comma 2 4 2 2 3 2 2 2 2" xfId="25569"/>
    <cellStyle name="Comma 2 4 2 2 3 2 2 2 2 2" xfId="44996"/>
    <cellStyle name="Comma 2 4 2 2 3 2 2 2 2 3" xfId="38573"/>
    <cellStyle name="Comma 2 4 2 2 3 2 2 2 3" xfId="27747"/>
    <cellStyle name="Comma 2 4 2 2 3 2 2 2 3 2" xfId="41789"/>
    <cellStyle name="Comma 2 4 2 2 3 2 2 2 4" xfId="31082"/>
    <cellStyle name="Comma 2 4 2 2 3 2 2 2 5" xfId="35365"/>
    <cellStyle name="Comma 2 4 2 2 3 2 2 3" xfId="15415"/>
    <cellStyle name="Comma 2 4 2 2 3 2 2 3 2" xfId="24430"/>
    <cellStyle name="Comma 2 4 2 2 3 2 2 3 2 2" xfId="43859"/>
    <cellStyle name="Comma 2 4 2 2 3 2 2 3 2 3" xfId="37436"/>
    <cellStyle name="Comma 2 4 2 2 3 2 2 3 3" xfId="28751"/>
    <cellStyle name="Comma 2 4 2 2 3 2 2 3 3 2" xfId="40652"/>
    <cellStyle name="Comma 2 4 2 2 3 2 2 3 4" xfId="32086"/>
    <cellStyle name="Comma 2 4 2 2 3 2 2 3 5" xfId="34228"/>
    <cellStyle name="Comma 2 4 2 2 3 2 2 4" xfId="8233"/>
    <cellStyle name="Comma 2 4 2 2 3 2 2 4 2" xfId="42854"/>
    <cellStyle name="Comma 2 4 2 2 3 2 2 4 3" xfId="36430"/>
    <cellStyle name="Comma 2 4 2 2 3 2 2 5" xfId="21222"/>
    <cellStyle name="Comma 2 4 2 2 3 2 2 5 2" xfId="39647"/>
    <cellStyle name="Comma 2 4 2 2 3 2 2 6" xfId="22295"/>
    <cellStyle name="Comma 2 4 2 2 3 2 2 7" xfId="23425"/>
    <cellStyle name="Comma 2 4 2 2 3 2 2 8" xfId="26617"/>
    <cellStyle name="Comma 2 4 2 2 3 2 2 9" xfId="29950"/>
    <cellStyle name="Comma 2 4 2 2 3 2 3" xfId="1000"/>
    <cellStyle name="Comma 2 4 2 2 3 2 3 10" xfId="33224"/>
    <cellStyle name="Comma 2 4 2 2 3 2 3 2" xfId="9770"/>
    <cellStyle name="Comma 2 4 2 2 3 2 3 2 2" xfId="25570"/>
    <cellStyle name="Comma 2 4 2 2 3 2 3 2 2 2" xfId="44997"/>
    <cellStyle name="Comma 2 4 2 2 3 2 3 2 2 3" xfId="38574"/>
    <cellStyle name="Comma 2 4 2 2 3 2 3 2 3" xfId="27748"/>
    <cellStyle name="Comma 2 4 2 2 3 2 3 2 3 2" xfId="41790"/>
    <cellStyle name="Comma 2 4 2 2 3 2 3 2 4" xfId="31083"/>
    <cellStyle name="Comma 2 4 2 2 3 2 3 2 5" xfId="35366"/>
    <cellStyle name="Comma 2 4 2 2 3 2 3 3" xfId="15416"/>
    <cellStyle name="Comma 2 4 2 2 3 2 3 3 2" xfId="24431"/>
    <cellStyle name="Comma 2 4 2 2 3 2 3 3 2 2" xfId="43860"/>
    <cellStyle name="Comma 2 4 2 2 3 2 3 3 2 3" xfId="37437"/>
    <cellStyle name="Comma 2 4 2 2 3 2 3 3 3" xfId="28752"/>
    <cellStyle name="Comma 2 4 2 2 3 2 3 3 3 2" xfId="40653"/>
    <cellStyle name="Comma 2 4 2 2 3 2 3 3 4" xfId="32087"/>
    <cellStyle name="Comma 2 4 2 2 3 2 3 3 5" xfId="34229"/>
    <cellStyle name="Comma 2 4 2 2 3 2 3 4" xfId="8234"/>
    <cellStyle name="Comma 2 4 2 2 3 2 3 4 2" xfId="42855"/>
    <cellStyle name="Comma 2 4 2 2 3 2 3 4 3" xfId="36431"/>
    <cellStyle name="Comma 2 4 2 2 3 2 3 5" xfId="21223"/>
    <cellStyle name="Comma 2 4 2 2 3 2 3 5 2" xfId="39648"/>
    <cellStyle name="Comma 2 4 2 2 3 2 3 6" xfId="22296"/>
    <cellStyle name="Comma 2 4 2 2 3 2 3 7" xfId="23426"/>
    <cellStyle name="Comma 2 4 2 2 3 2 3 8" xfId="26618"/>
    <cellStyle name="Comma 2 4 2 2 3 2 3 9" xfId="29951"/>
    <cellStyle name="Comma 2 4 2 2 3 2 4" xfId="1001"/>
    <cellStyle name="Comma 2 4 2 2 3 2 4 10" xfId="33225"/>
    <cellStyle name="Comma 2 4 2 2 3 2 4 2" xfId="9771"/>
    <cellStyle name="Comma 2 4 2 2 3 2 4 2 2" xfId="25571"/>
    <cellStyle name="Comma 2 4 2 2 3 2 4 2 2 2" xfId="44998"/>
    <cellStyle name="Comma 2 4 2 2 3 2 4 2 2 3" xfId="38575"/>
    <cellStyle name="Comma 2 4 2 2 3 2 4 2 3" xfId="27749"/>
    <cellStyle name="Comma 2 4 2 2 3 2 4 2 3 2" xfId="41791"/>
    <cellStyle name="Comma 2 4 2 2 3 2 4 2 4" xfId="31084"/>
    <cellStyle name="Comma 2 4 2 2 3 2 4 2 5" xfId="35367"/>
    <cellStyle name="Comma 2 4 2 2 3 2 4 3" xfId="15417"/>
    <cellStyle name="Comma 2 4 2 2 3 2 4 3 2" xfId="24432"/>
    <cellStyle name="Comma 2 4 2 2 3 2 4 3 2 2" xfId="43861"/>
    <cellStyle name="Comma 2 4 2 2 3 2 4 3 2 3" xfId="37438"/>
    <cellStyle name="Comma 2 4 2 2 3 2 4 3 3" xfId="28753"/>
    <cellStyle name="Comma 2 4 2 2 3 2 4 3 3 2" xfId="40654"/>
    <cellStyle name="Comma 2 4 2 2 3 2 4 3 4" xfId="32088"/>
    <cellStyle name="Comma 2 4 2 2 3 2 4 3 5" xfId="34230"/>
    <cellStyle name="Comma 2 4 2 2 3 2 4 4" xfId="8235"/>
    <cellStyle name="Comma 2 4 2 2 3 2 4 4 2" xfId="42856"/>
    <cellStyle name="Comma 2 4 2 2 3 2 4 4 3" xfId="36432"/>
    <cellStyle name="Comma 2 4 2 2 3 2 4 5" xfId="21224"/>
    <cellStyle name="Comma 2 4 2 2 3 2 4 5 2" xfId="39649"/>
    <cellStyle name="Comma 2 4 2 2 3 2 4 6" xfId="22297"/>
    <cellStyle name="Comma 2 4 2 2 3 2 4 7" xfId="23427"/>
    <cellStyle name="Comma 2 4 2 2 3 2 4 8" xfId="26619"/>
    <cellStyle name="Comma 2 4 2 2 3 2 4 9" xfId="29952"/>
    <cellStyle name="Comma 2 4 2 2 3 2 5" xfId="1002"/>
    <cellStyle name="Comma 2 4 2 2 3 2 5 10" xfId="33226"/>
    <cellStyle name="Comma 2 4 2 2 3 2 5 2" xfId="9772"/>
    <cellStyle name="Comma 2 4 2 2 3 2 5 2 2" xfId="25572"/>
    <cellStyle name="Comma 2 4 2 2 3 2 5 2 2 2" xfId="44999"/>
    <cellStyle name="Comma 2 4 2 2 3 2 5 2 2 3" xfId="38576"/>
    <cellStyle name="Comma 2 4 2 2 3 2 5 2 3" xfId="27750"/>
    <cellStyle name="Comma 2 4 2 2 3 2 5 2 3 2" xfId="41792"/>
    <cellStyle name="Comma 2 4 2 2 3 2 5 2 4" xfId="31085"/>
    <cellStyle name="Comma 2 4 2 2 3 2 5 2 5" xfId="35368"/>
    <cellStyle name="Comma 2 4 2 2 3 2 5 3" xfId="15418"/>
    <cellStyle name="Comma 2 4 2 2 3 2 5 3 2" xfId="24433"/>
    <cellStyle name="Comma 2 4 2 2 3 2 5 3 2 2" xfId="43862"/>
    <cellStyle name="Comma 2 4 2 2 3 2 5 3 2 3" xfId="37439"/>
    <cellStyle name="Comma 2 4 2 2 3 2 5 3 3" xfId="28754"/>
    <cellStyle name="Comma 2 4 2 2 3 2 5 3 3 2" xfId="40655"/>
    <cellStyle name="Comma 2 4 2 2 3 2 5 3 4" xfId="32089"/>
    <cellStyle name="Comma 2 4 2 2 3 2 5 3 5" xfId="34231"/>
    <cellStyle name="Comma 2 4 2 2 3 2 5 4" xfId="8236"/>
    <cellStyle name="Comma 2 4 2 2 3 2 5 4 2" xfId="42857"/>
    <cellStyle name="Comma 2 4 2 2 3 2 5 4 3" xfId="36433"/>
    <cellStyle name="Comma 2 4 2 2 3 2 5 5" xfId="21225"/>
    <cellStyle name="Comma 2 4 2 2 3 2 5 5 2" xfId="39650"/>
    <cellStyle name="Comma 2 4 2 2 3 2 5 6" xfId="22298"/>
    <cellStyle name="Comma 2 4 2 2 3 2 5 7" xfId="23428"/>
    <cellStyle name="Comma 2 4 2 2 3 2 5 8" xfId="26620"/>
    <cellStyle name="Comma 2 4 2 2 3 2 5 9" xfId="29953"/>
    <cellStyle name="Comma 2 4 2 2 3 2 6" xfId="1003"/>
    <cellStyle name="Comma 2 4 2 2 3 2 6 10" xfId="33227"/>
    <cellStyle name="Comma 2 4 2 2 3 2 6 2" xfId="9773"/>
    <cellStyle name="Comma 2 4 2 2 3 2 6 2 2" xfId="25573"/>
    <cellStyle name="Comma 2 4 2 2 3 2 6 2 2 2" xfId="45000"/>
    <cellStyle name="Comma 2 4 2 2 3 2 6 2 2 3" xfId="38577"/>
    <cellStyle name="Comma 2 4 2 2 3 2 6 2 3" xfId="27751"/>
    <cellStyle name="Comma 2 4 2 2 3 2 6 2 3 2" xfId="41793"/>
    <cellStyle name="Comma 2 4 2 2 3 2 6 2 4" xfId="31086"/>
    <cellStyle name="Comma 2 4 2 2 3 2 6 2 5" xfId="35369"/>
    <cellStyle name="Comma 2 4 2 2 3 2 6 3" xfId="15419"/>
    <cellStyle name="Comma 2 4 2 2 3 2 6 3 2" xfId="24434"/>
    <cellStyle name="Comma 2 4 2 2 3 2 6 3 2 2" xfId="43863"/>
    <cellStyle name="Comma 2 4 2 2 3 2 6 3 2 3" xfId="37440"/>
    <cellStyle name="Comma 2 4 2 2 3 2 6 3 3" xfId="28755"/>
    <cellStyle name="Comma 2 4 2 2 3 2 6 3 3 2" xfId="40656"/>
    <cellStyle name="Comma 2 4 2 2 3 2 6 3 4" xfId="32090"/>
    <cellStyle name="Comma 2 4 2 2 3 2 6 3 5" xfId="34232"/>
    <cellStyle name="Comma 2 4 2 2 3 2 6 4" xfId="8237"/>
    <cellStyle name="Comma 2 4 2 2 3 2 6 4 2" xfId="42858"/>
    <cellStyle name="Comma 2 4 2 2 3 2 6 4 3" xfId="36434"/>
    <cellStyle name="Comma 2 4 2 2 3 2 6 5" xfId="21226"/>
    <cellStyle name="Comma 2 4 2 2 3 2 6 5 2" xfId="39651"/>
    <cellStyle name="Comma 2 4 2 2 3 2 6 6" xfId="22299"/>
    <cellStyle name="Comma 2 4 2 2 3 2 6 7" xfId="23429"/>
    <cellStyle name="Comma 2 4 2 2 3 2 6 8" xfId="26621"/>
    <cellStyle name="Comma 2 4 2 2 3 2 6 9" xfId="29954"/>
    <cellStyle name="Comma 2 4 2 2 3 2 7" xfId="9123"/>
    <cellStyle name="Comma 2 4 2 2 3 2 7 2" xfId="25177"/>
    <cellStyle name="Comma 2 4 2 2 3 2 7 2 2" xfId="44604"/>
    <cellStyle name="Comma 2 4 2 2 3 2 7 2 3" xfId="38181"/>
    <cellStyle name="Comma 2 4 2 2 3 2 7 3" xfId="27356"/>
    <cellStyle name="Comma 2 4 2 2 3 2 7 3 2" xfId="41397"/>
    <cellStyle name="Comma 2 4 2 2 3 2 7 4" xfId="30691"/>
    <cellStyle name="Comma 2 4 2 2 3 2 7 5" xfId="34973"/>
    <cellStyle name="Comma 2 4 2 2 3 2 8" xfId="15414"/>
    <cellStyle name="Comma 2 4 2 2 3 2 8 2" xfId="24429"/>
    <cellStyle name="Comma 2 4 2 2 3 2 8 2 2" xfId="43858"/>
    <cellStyle name="Comma 2 4 2 2 3 2 8 2 3" xfId="37435"/>
    <cellStyle name="Comma 2 4 2 2 3 2 8 3" xfId="28750"/>
    <cellStyle name="Comma 2 4 2 2 3 2 8 3 2" xfId="40651"/>
    <cellStyle name="Comma 2 4 2 2 3 2 8 4" xfId="32085"/>
    <cellStyle name="Comma 2 4 2 2 3 2 8 5" xfId="34227"/>
    <cellStyle name="Comma 2 4 2 2 3 2 9" xfId="8232"/>
    <cellStyle name="Comma 2 4 2 2 3 2 9 2" xfId="42467"/>
    <cellStyle name="Comma 2 4 2 2 3 2 9 3" xfId="36043"/>
    <cellStyle name="Comma 2 4 2 2 3 3" xfId="1004"/>
    <cellStyle name="Comma 2 4 2 2 3 3 10" xfId="22300"/>
    <cellStyle name="Comma 2 4 2 2 3 3 11" xfId="23430"/>
    <cellStyle name="Comma 2 4 2 2 3 3 12" xfId="26622"/>
    <cellStyle name="Comma 2 4 2 2 3 3 13" xfId="29955"/>
    <cellStyle name="Comma 2 4 2 2 3 3 14" xfId="33228"/>
    <cellStyle name="Comma 2 4 2 2 3 3 2" xfId="1005"/>
    <cellStyle name="Comma 2 4 2 2 3 3 2 10" xfId="33229"/>
    <cellStyle name="Comma 2 4 2 2 3 3 2 2" xfId="9775"/>
    <cellStyle name="Comma 2 4 2 2 3 3 2 2 2" xfId="25575"/>
    <cellStyle name="Comma 2 4 2 2 3 3 2 2 2 2" xfId="45002"/>
    <cellStyle name="Comma 2 4 2 2 3 3 2 2 2 3" xfId="38579"/>
    <cellStyle name="Comma 2 4 2 2 3 3 2 2 3" xfId="27753"/>
    <cellStyle name="Comma 2 4 2 2 3 3 2 2 3 2" xfId="41795"/>
    <cellStyle name="Comma 2 4 2 2 3 3 2 2 4" xfId="31088"/>
    <cellStyle name="Comma 2 4 2 2 3 3 2 2 5" xfId="35371"/>
    <cellStyle name="Comma 2 4 2 2 3 3 2 3" xfId="15421"/>
    <cellStyle name="Comma 2 4 2 2 3 3 2 3 2" xfId="24436"/>
    <cellStyle name="Comma 2 4 2 2 3 3 2 3 2 2" xfId="43865"/>
    <cellStyle name="Comma 2 4 2 2 3 3 2 3 2 3" xfId="37442"/>
    <cellStyle name="Comma 2 4 2 2 3 3 2 3 3" xfId="28757"/>
    <cellStyle name="Comma 2 4 2 2 3 3 2 3 3 2" xfId="40658"/>
    <cellStyle name="Comma 2 4 2 2 3 3 2 3 4" xfId="32092"/>
    <cellStyle name="Comma 2 4 2 2 3 3 2 3 5" xfId="34234"/>
    <cellStyle name="Comma 2 4 2 2 3 3 2 4" xfId="8239"/>
    <cellStyle name="Comma 2 4 2 2 3 3 2 4 2" xfId="42860"/>
    <cellStyle name="Comma 2 4 2 2 3 3 2 4 3" xfId="36436"/>
    <cellStyle name="Comma 2 4 2 2 3 3 2 5" xfId="21228"/>
    <cellStyle name="Comma 2 4 2 2 3 3 2 5 2" xfId="39653"/>
    <cellStyle name="Comma 2 4 2 2 3 3 2 6" xfId="22301"/>
    <cellStyle name="Comma 2 4 2 2 3 3 2 7" xfId="23431"/>
    <cellStyle name="Comma 2 4 2 2 3 3 2 8" xfId="26623"/>
    <cellStyle name="Comma 2 4 2 2 3 3 2 9" xfId="29956"/>
    <cellStyle name="Comma 2 4 2 2 3 3 3" xfId="1006"/>
    <cellStyle name="Comma 2 4 2 2 3 3 3 10" xfId="33230"/>
    <cellStyle name="Comma 2 4 2 2 3 3 3 2" xfId="9776"/>
    <cellStyle name="Comma 2 4 2 2 3 3 3 2 2" xfId="25576"/>
    <cellStyle name="Comma 2 4 2 2 3 3 3 2 2 2" xfId="45003"/>
    <cellStyle name="Comma 2 4 2 2 3 3 3 2 2 3" xfId="38580"/>
    <cellStyle name="Comma 2 4 2 2 3 3 3 2 3" xfId="27754"/>
    <cellStyle name="Comma 2 4 2 2 3 3 3 2 3 2" xfId="41796"/>
    <cellStyle name="Comma 2 4 2 2 3 3 3 2 4" xfId="31089"/>
    <cellStyle name="Comma 2 4 2 2 3 3 3 2 5" xfId="35372"/>
    <cellStyle name="Comma 2 4 2 2 3 3 3 3" xfId="15422"/>
    <cellStyle name="Comma 2 4 2 2 3 3 3 3 2" xfId="24437"/>
    <cellStyle name="Comma 2 4 2 2 3 3 3 3 2 2" xfId="43866"/>
    <cellStyle name="Comma 2 4 2 2 3 3 3 3 2 3" xfId="37443"/>
    <cellStyle name="Comma 2 4 2 2 3 3 3 3 3" xfId="28758"/>
    <cellStyle name="Comma 2 4 2 2 3 3 3 3 3 2" xfId="40659"/>
    <cellStyle name="Comma 2 4 2 2 3 3 3 3 4" xfId="32093"/>
    <cellStyle name="Comma 2 4 2 2 3 3 3 3 5" xfId="34235"/>
    <cellStyle name="Comma 2 4 2 2 3 3 3 4" xfId="8240"/>
    <cellStyle name="Comma 2 4 2 2 3 3 3 4 2" xfId="42861"/>
    <cellStyle name="Comma 2 4 2 2 3 3 3 4 3" xfId="36437"/>
    <cellStyle name="Comma 2 4 2 2 3 3 3 5" xfId="21229"/>
    <cellStyle name="Comma 2 4 2 2 3 3 3 5 2" xfId="39654"/>
    <cellStyle name="Comma 2 4 2 2 3 3 3 6" xfId="22302"/>
    <cellStyle name="Comma 2 4 2 2 3 3 3 7" xfId="23432"/>
    <cellStyle name="Comma 2 4 2 2 3 3 3 8" xfId="26624"/>
    <cellStyle name="Comma 2 4 2 2 3 3 3 9" xfId="29957"/>
    <cellStyle name="Comma 2 4 2 2 3 3 4" xfId="1007"/>
    <cellStyle name="Comma 2 4 2 2 3 3 4 10" xfId="33231"/>
    <cellStyle name="Comma 2 4 2 2 3 3 4 2" xfId="9777"/>
    <cellStyle name="Comma 2 4 2 2 3 3 4 2 2" xfId="25577"/>
    <cellStyle name="Comma 2 4 2 2 3 3 4 2 2 2" xfId="45004"/>
    <cellStyle name="Comma 2 4 2 2 3 3 4 2 2 3" xfId="38581"/>
    <cellStyle name="Comma 2 4 2 2 3 3 4 2 3" xfId="27755"/>
    <cellStyle name="Comma 2 4 2 2 3 3 4 2 3 2" xfId="41797"/>
    <cellStyle name="Comma 2 4 2 2 3 3 4 2 4" xfId="31090"/>
    <cellStyle name="Comma 2 4 2 2 3 3 4 2 5" xfId="35373"/>
    <cellStyle name="Comma 2 4 2 2 3 3 4 3" xfId="15423"/>
    <cellStyle name="Comma 2 4 2 2 3 3 4 3 2" xfId="24438"/>
    <cellStyle name="Comma 2 4 2 2 3 3 4 3 2 2" xfId="43867"/>
    <cellStyle name="Comma 2 4 2 2 3 3 4 3 2 3" xfId="37444"/>
    <cellStyle name="Comma 2 4 2 2 3 3 4 3 3" xfId="28759"/>
    <cellStyle name="Comma 2 4 2 2 3 3 4 3 3 2" xfId="40660"/>
    <cellStyle name="Comma 2 4 2 2 3 3 4 3 4" xfId="32094"/>
    <cellStyle name="Comma 2 4 2 2 3 3 4 3 5" xfId="34236"/>
    <cellStyle name="Comma 2 4 2 2 3 3 4 4" xfId="8241"/>
    <cellStyle name="Comma 2 4 2 2 3 3 4 4 2" xfId="42862"/>
    <cellStyle name="Comma 2 4 2 2 3 3 4 4 3" xfId="36438"/>
    <cellStyle name="Comma 2 4 2 2 3 3 4 5" xfId="21230"/>
    <cellStyle name="Comma 2 4 2 2 3 3 4 5 2" xfId="39655"/>
    <cellStyle name="Comma 2 4 2 2 3 3 4 6" xfId="22303"/>
    <cellStyle name="Comma 2 4 2 2 3 3 4 7" xfId="23433"/>
    <cellStyle name="Comma 2 4 2 2 3 3 4 8" xfId="26625"/>
    <cellStyle name="Comma 2 4 2 2 3 3 4 9" xfId="29958"/>
    <cellStyle name="Comma 2 4 2 2 3 3 5" xfId="1008"/>
    <cellStyle name="Comma 2 4 2 2 3 3 5 10" xfId="33232"/>
    <cellStyle name="Comma 2 4 2 2 3 3 5 2" xfId="9778"/>
    <cellStyle name="Comma 2 4 2 2 3 3 5 2 2" xfId="25578"/>
    <cellStyle name="Comma 2 4 2 2 3 3 5 2 2 2" xfId="45005"/>
    <cellStyle name="Comma 2 4 2 2 3 3 5 2 2 3" xfId="38582"/>
    <cellStyle name="Comma 2 4 2 2 3 3 5 2 3" xfId="27756"/>
    <cellStyle name="Comma 2 4 2 2 3 3 5 2 3 2" xfId="41798"/>
    <cellStyle name="Comma 2 4 2 2 3 3 5 2 4" xfId="31091"/>
    <cellStyle name="Comma 2 4 2 2 3 3 5 2 5" xfId="35374"/>
    <cellStyle name="Comma 2 4 2 2 3 3 5 3" xfId="15424"/>
    <cellStyle name="Comma 2 4 2 2 3 3 5 3 2" xfId="24439"/>
    <cellStyle name="Comma 2 4 2 2 3 3 5 3 2 2" xfId="43868"/>
    <cellStyle name="Comma 2 4 2 2 3 3 5 3 2 3" xfId="37445"/>
    <cellStyle name="Comma 2 4 2 2 3 3 5 3 3" xfId="28760"/>
    <cellStyle name="Comma 2 4 2 2 3 3 5 3 3 2" xfId="40661"/>
    <cellStyle name="Comma 2 4 2 2 3 3 5 3 4" xfId="32095"/>
    <cellStyle name="Comma 2 4 2 2 3 3 5 3 5" xfId="34237"/>
    <cellStyle name="Comma 2 4 2 2 3 3 5 4" xfId="8242"/>
    <cellStyle name="Comma 2 4 2 2 3 3 5 4 2" xfId="42863"/>
    <cellStyle name="Comma 2 4 2 2 3 3 5 4 3" xfId="36439"/>
    <cellStyle name="Comma 2 4 2 2 3 3 5 5" xfId="21231"/>
    <cellStyle name="Comma 2 4 2 2 3 3 5 5 2" xfId="39656"/>
    <cellStyle name="Comma 2 4 2 2 3 3 5 6" xfId="22304"/>
    <cellStyle name="Comma 2 4 2 2 3 3 5 7" xfId="23434"/>
    <cellStyle name="Comma 2 4 2 2 3 3 5 8" xfId="26626"/>
    <cellStyle name="Comma 2 4 2 2 3 3 5 9" xfId="29959"/>
    <cellStyle name="Comma 2 4 2 2 3 3 6" xfId="9774"/>
    <cellStyle name="Comma 2 4 2 2 3 3 6 2" xfId="25574"/>
    <cellStyle name="Comma 2 4 2 2 3 3 6 2 2" xfId="45001"/>
    <cellStyle name="Comma 2 4 2 2 3 3 6 2 3" xfId="38578"/>
    <cellStyle name="Comma 2 4 2 2 3 3 6 3" xfId="27752"/>
    <cellStyle name="Comma 2 4 2 2 3 3 6 3 2" xfId="41794"/>
    <cellStyle name="Comma 2 4 2 2 3 3 6 4" xfId="31087"/>
    <cellStyle name="Comma 2 4 2 2 3 3 6 5" xfId="35370"/>
    <cellStyle name="Comma 2 4 2 2 3 3 7" xfId="15420"/>
    <cellStyle name="Comma 2 4 2 2 3 3 7 2" xfId="24435"/>
    <cellStyle name="Comma 2 4 2 2 3 3 7 2 2" xfId="43864"/>
    <cellStyle name="Comma 2 4 2 2 3 3 7 2 3" xfId="37441"/>
    <cellStyle name="Comma 2 4 2 2 3 3 7 3" xfId="28756"/>
    <cellStyle name="Comma 2 4 2 2 3 3 7 3 2" xfId="40657"/>
    <cellStyle name="Comma 2 4 2 2 3 3 7 4" xfId="32091"/>
    <cellStyle name="Comma 2 4 2 2 3 3 7 5" xfId="34233"/>
    <cellStyle name="Comma 2 4 2 2 3 3 8" xfId="8238"/>
    <cellStyle name="Comma 2 4 2 2 3 3 8 2" xfId="42859"/>
    <cellStyle name="Comma 2 4 2 2 3 3 8 3" xfId="36435"/>
    <cellStyle name="Comma 2 4 2 2 3 3 9" xfId="21227"/>
    <cellStyle name="Comma 2 4 2 2 3 3 9 2" xfId="39652"/>
    <cellStyle name="Comma 2 4 2 2 3 4" xfId="1009"/>
    <cellStyle name="Comma 2 4 2 2 3 4 10" xfId="33233"/>
    <cellStyle name="Comma 2 4 2 2 3 4 2" xfId="9779"/>
    <cellStyle name="Comma 2 4 2 2 3 4 2 2" xfId="25579"/>
    <cellStyle name="Comma 2 4 2 2 3 4 2 2 2" xfId="45006"/>
    <cellStyle name="Comma 2 4 2 2 3 4 2 2 3" xfId="38583"/>
    <cellStyle name="Comma 2 4 2 2 3 4 2 3" xfId="27757"/>
    <cellStyle name="Comma 2 4 2 2 3 4 2 3 2" xfId="41799"/>
    <cellStyle name="Comma 2 4 2 2 3 4 2 4" xfId="31092"/>
    <cellStyle name="Comma 2 4 2 2 3 4 2 5" xfId="35375"/>
    <cellStyle name="Comma 2 4 2 2 3 4 3" xfId="15425"/>
    <cellStyle name="Comma 2 4 2 2 3 4 3 2" xfId="24440"/>
    <cellStyle name="Comma 2 4 2 2 3 4 3 2 2" xfId="43869"/>
    <cellStyle name="Comma 2 4 2 2 3 4 3 2 3" xfId="37446"/>
    <cellStyle name="Comma 2 4 2 2 3 4 3 3" xfId="28761"/>
    <cellStyle name="Comma 2 4 2 2 3 4 3 3 2" xfId="40662"/>
    <cellStyle name="Comma 2 4 2 2 3 4 3 4" xfId="32096"/>
    <cellStyle name="Comma 2 4 2 2 3 4 3 5" xfId="34238"/>
    <cellStyle name="Comma 2 4 2 2 3 4 4" xfId="8243"/>
    <cellStyle name="Comma 2 4 2 2 3 4 4 2" xfId="42864"/>
    <cellStyle name="Comma 2 4 2 2 3 4 4 3" xfId="36440"/>
    <cellStyle name="Comma 2 4 2 2 3 4 5" xfId="21232"/>
    <cellStyle name="Comma 2 4 2 2 3 4 5 2" xfId="39657"/>
    <cellStyle name="Comma 2 4 2 2 3 4 6" xfId="22305"/>
    <cellStyle name="Comma 2 4 2 2 3 4 7" xfId="23435"/>
    <cellStyle name="Comma 2 4 2 2 3 4 8" xfId="26627"/>
    <cellStyle name="Comma 2 4 2 2 3 4 9" xfId="29960"/>
    <cellStyle name="Comma 2 4 2 2 3 5" xfId="1010"/>
    <cellStyle name="Comma 2 4 2 2 3 5 10" xfId="33234"/>
    <cellStyle name="Comma 2 4 2 2 3 5 2" xfId="9780"/>
    <cellStyle name="Comma 2 4 2 2 3 5 2 2" xfId="25580"/>
    <cellStyle name="Comma 2 4 2 2 3 5 2 2 2" xfId="45007"/>
    <cellStyle name="Comma 2 4 2 2 3 5 2 2 3" xfId="38584"/>
    <cellStyle name="Comma 2 4 2 2 3 5 2 3" xfId="27758"/>
    <cellStyle name="Comma 2 4 2 2 3 5 2 3 2" xfId="41800"/>
    <cellStyle name="Comma 2 4 2 2 3 5 2 4" xfId="31093"/>
    <cellStyle name="Comma 2 4 2 2 3 5 2 5" xfId="35376"/>
    <cellStyle name="Comma 2 4 2 2 3 5 3" xfId="15426"/>
    <cellStyle name="Comma 2 4 2 2 3 5 3 2" xfId="24441"/>
    <cellStyle name="Comma 2 4 2 2 3 5 3 2 2" xfId="43870"/>
    <cellStyle name="Comma 2 4 2 2 3 5 3 2 3" xfId="37447"/>
    <cellStyle name="Comma 2 4 2 2 3 5 3 3" xfId="28762"/>
    <cellStyle name="Comma 2 4 2 2 3 5 3 3 2" xfId="40663"/>
    <cellStyle name="Comma 2 4 2 2 3 5 3 4" xfId="32097"/>
    <cellStyle name="Comma 2 4 2 2 3 5 3 5" xfId="34239"/>
    <cellStyle name="Comma 2 4 2 2 3 5 4" xfId="8244"/>
    <cellStyle name="Comma 2 4 2 2 3 5 4 2" xfId="42865"/>
    <cellStyle name="Comma 2 4 2 2 3 5 4 3" xfId="36441"/>
    <cellStyle name="Comma 2 4 2 2 3 5 5" xfId="21233"/>
    <cellStyle name="Comma 2 4 2 2 3 5 5 2" xfId="39658"/>
    <cellStyle name="Comma 2 4 2 2 3 5 6" xfId="22306"/>
    <cellStyle name="Comma 2 4 2 2 3 5 7" xfId="23436"/>
    <cellStyle name="Comma 2 4 2 2 3 5 8" xfId="26628"/>
    <cellStyle name="Comma 2 4 2 2 3 5 9" xfId="29961"/>
    <cellStyle name="Comma 2 4 2 2 3 6" xfId="1011"/>
    <cellStyle name="Comma 2 4 2 2 3 6 10" xfId="33235"/>
    <cellStyle name="Comma 2 4 2 2 3 6 2" xfId="9781"/>
    <cellStyle name="Comma 2 4 2 2 3 6 2 2" xfId="25581"/>
    <cellStyle name="Comma 2 4 2 2 3 6 2 2 2" xfId="45008"/>
    <cellStyle name="Comma 2 4 2 2 3 6 2 2 3" xfId="38585"/>
    <cellStyle name="Comma 2 4 2 2 3 6 2 3" xfId="27759"/>
    <cellStyle name="Comma 2 4 2 2 3 6 2 3 2" xfId="41801"/>
    <cellStyle name="Comma 2 4 2 2 3 6 2 4" xfId="31094"/>
    <cellStyle name="Comma 2 4 2 2 3 6 2 5" xfId="35377"/>
    <cellStyle name="Comma 2 4 2 2 3 6 3" xfId="15427"/>
    <cellStyle name="Comma 2 4 2 2 3 6 3 2" xfId="24442"/>
    <cellStyle name="Comma 2 4 2 2 3 6 3 2 2" xfId="43871"/>
    <cellStyle name="Comma 2 4 2 2 3 6 3 2 3" xfId="37448"/>
    <cellStyle name="Comma 2 4 2 2 3 6 3 3" xfId="28763"/>
    <cellStyle name="Comma 2 4 2 2 3 6 3 3 2" xfId="40664"/>
    <cellStyle name="Comma 2 4 2 2 3 6 3 4" xfId="32098"/>
    <cellStyle name="Comma 2 4 2 2 3 6 3 5" xfId="34240"/>
    <cellStyle name="Comma 2 4 2 2 3 6 4" xfId="8245"/>
    <cellStyle name="Comma 2 4 2 2 3 6 4 2" xfId="42866"/>
    <cellStyle name="Comma 2 4 2 2 3 6 4 3" xfId="36442"/>
    <cellStyle name="Comma 2 4 2 2 3 6 5" xfId="21234"/>
    <cellStyle name="Comma 2 4 2 2 3 6 5 2" xfId="39659"/>
    <cellStyle name="Comma 2 4 2 2 3 6 6" xfId="22307"/>
    <cellStyle name="Comma 2 4 2 2 3 6 7" xfId="23437"/>
    <cellStyle name="Comma 2 4 2 2 3 6 8" xfId="26629"/>
    <cellStyle name="Comma 2 4 2 2 3 6 9" xfId="29962"/>
    <cellStyle name="Comma 2 4 2 2 3 7" xfId="1012"/>
    <cellStyle name="Comma 2 4 2 2 3 7 10" xfId="33236"/>
    <cellStyle name="Comma 2 4 2 2 3 7 2" xfId="9782"/>
    <cellStyle name="Comma 2 4 2 2 3 7 2 2" xfId="25582"/>
    <cellStyle name="Comma 2 4 2 2 3 7 2 2 2" xfId="45009"/>
    <cellStyle name="Comma 2 4 2 2 3 7 2 2 3" xfId="38586"/>
    <cellStyle name="Comma 2 4 2 2 3 7 2 3" xfId="27760"/>
    <cellStyle name="Comma 2 4 2 2 3 7 2 3 2" xfId="41802"/>
    <cellStyle name="Comma 2 4 2 2 3 7 2 4" xfId="31095"/>
    <cellStyle name="Comma 2 4 2 2 3 7 2 5" xfId="35378"/>
    <cellStyle name="Comma 2 4 2 2 3 7 3" xfId="15428"/>
    <cellStyle name="Comma 2 4 2 2 3 7 3 2" xfId="24443"/>
    <cellStyle name="Comma 2 4 2 2 3 7 3 2 2" xfId="43872"/>
    <cellStyle name="Comma 2 4 2 2 3 7 3 2 3" xfId="37449"/>
    <cellStyle name="Comma 2 4 2 2 3 7 3 3" xfId="28764"/>
    <cellStyle name="Comma 2 4 2 2 3 7 3 3 2" xfId="40665"/>
    <cellStyle name="Comma 2 4 2 2 3 7 3 4" xfId="32099"/>
    <cellStyle name="Comma 2 4 2 2 3 7 3 5" xfId="34241"/>
    <cellStyle name="Comma 2 4 2 2 3 7 4" xfId="8246"/>
    <cellStyle name="Comma 2 4 2 2 3 7 4 2" xfId="42867"/>
    <cellStyle name="Comma 2 4 2 2 3 7 4 3" xfId="36443"/>
    <cellStyle name="Comma 2 4 2 2 3 7 5" xfId="21235"/>
    <cellStyle name="Comma 2 4 2 2 3 7 5 2" xfId="39660"/>
    <cellStyle name="Comma 2 4 2 2 3 7 6" xfId="22308"/>
    <cellStyle name="Comma 2 4 2 2 3 7 7" xfId="23438"/>
    <cellStyle name="Comma 2 4 2 2 3 7 8" xfId="26630"/>
    <cellStyle name="Comma 2 4 2 2 3 7 9" xfId="29963"/>
    <cellStyle name="Comma 2 4 2 2 3 8" xfId="1013"/>
    <cellStyle name="Comma 2 4 2 2 3 8 10" xfId="33237"/>
    <cellStyle name="Comma 2 4 2 2 3 8 2" xfId="9783"/>
    <cellStyle name="Comma 2 4 2 2 3 8 2 2" xfId="25583"/>
    <cellStyle name="Comma 2 4 2 2 3 8 2 2 2" xfId="45010"/>
    <cellStyle name="Comma 2 4 2 2 3 8 2 2 3" xfId="38587"/>
    <cellStyle name="Comma 2 4 2 2 3 8 2 3" xfId="27761"/>
    <cellStyle name="Comma 2 4 2 2 3 8 2 3 2" xfId="41803"/>
    <cellStyle name="Comma 2 4 2 2 3 8 2 4" xfId="31096"/>
    <cellStyle name="Comma 2 4 2 2 3 8 2 5" xfId="35379"/>
    <cellStyle name="Comma 2 4 2 2 3 8 3" xfId="15429"/>
    <cellStyle name="Comma 2 4 2 2 3 8 3 2" xfId="24444"/>
    <cellStyle name="Comma 2 4 2 2 3 8 3 2 2" xfId="43873"/>
    <cellStyle name="Comma 2 4 2 2 3 8 3 2 3" xfId="37450"/>
    <cellStyle name="Comma 2 4 2 2 3 8 3 3" xfId="28765"/>
    <cellStyle name="Comma 2 4 2 2 3 8 3 3 2" xfId="40666"/>
    <cellStyle name="Comma 2 4 2 2 3 8 3 4" xfId="32100"/>
    <cellStyle name="Comma 2 4 2 2 3 8 3 5" xfId="34242"/>
    <cellStyle name="Comma 2 4 2 2 3 8 4" xfId="8247"/>
    <cellStyle name="Comma 2 4 2 2 3 8 4 2" xfId="42868"/>
    <cellStyle name="Comma 2 4 2 2 3 8 4 3" xfId="36444"/>
    <cellStyle name="Comma 2 4 2 2 3 8 5" xfId="21236"/>
    <cellStyle name="Comma 2 4 2 2 3 8 5 2" xfId="39661"/>
    <cellStyle name="Comma 2 4 2 2 3 8 6" xfId="22309"/>
    <cellStyle name="Comma 2 4 2 2 3 8 7" xfId="23439"/>
    <cellStyle name="Comma 2 4 2 2 3 8 8" xfId="26631"/>
    <cellStyle name="Comma 2 4 2 2 3 8 9" xfId="29964"/>
    <cellStyle name="Comma 2 4 2 2 3 9" xfId="9070"/>
    <cellStyle name="Comma 2 4 2 2 3 9 2" xfId="25125"/>
    <cellStyle name="Comma 2 4 2 2 3 9 2 2" xfId="44552"/>
    <cellStyle name="Comma 2 4 2 2 3 9 2 3" xfId="38129"/>
    <cellStyle name="Comma 2 4 2 2 3 9 3" xfId="27304"/>
    <cellStyle name="Comma 2 4 2 2 3 9 3 2" xfId="41345"/>
    <cellStyle name="Comma 2 4 2 2 3 9 4" xfId="30639"/>
    <cellStyle name="Comma 2 4 2 2 3 9 5" xfId="34921"/>
    <cellStyle name="Comma 2 4 2 2 4" xfId="211"/>
    <cellStyle name="Comma 2 4 2 2 4 10" xfId="21237"/>
    <cellStyle name="Comma 2 4 2 2 4 10 2" xfId="39222"/>
    <cellStyle name="Comma 2 4 2 2 4 11" xfId="22310"/>
    <cellStyle name="Comma 2 4 2 2 4 12" xfId="23000"/>
    <cellStyle name="Comma 2 4 2 2 4 13" xfId="26632"/>
    <cellStyle name="Comma 2 4 2 2 4 14" xfId="29965"/>
    <cellStyle name="Comma 2 4 2 2 4 15" xfId="32798"/>
    <cellStyle name="Comma 2 4 2 2 4 2" xfId="1014"/>
    <cellStyle name="Comma 2 4 2 2 4 2 10" xfId="33238"/>
    <cellStyle name="Comma 2 4 2 2 4 2 2" xfId="9784"/>
    <cellStyle name="Comma 2 4 2 2 4 2 2 2" xfId="25584"/>
    <cellStyle name="Comma 2 4 2 2 4 2 2 2 2" xfId="45011"/>
    <cellStyle name="Comma 2 4 2 2 4 2 2 2 3" xfId="38588"/>
    <cellStyle name="Comma 2 4 2 2 4 2 2 3" xfId="27762"/>
    <cellStyle name="Comma 2 4 2 2 4 2 2 3 2" xfId="41804"/>
    <cellStyle name="Comma 2 4 2 2 4 2 2 4" xfId="31097"/>
    <cellStyle name="Comma 2 4 2 2 4 2 2 5" xfId="35380"/>
    <cellStyle name="Comma 2 4 2 2 4 2 3" xfId="15431"/>
    <cellStyle name="Comma 2 4 2 2 4 2 3 2" xfId="24446"/>
    <cellStyle name="Comma 2 4 2 2 4 2 3 2 2" xfId="43875"/>
    <cellStyle name="Comma 2 4 2 2 4 2 3 2 3" xfId="37452"/>
    <cellStyle name="Comma 2 4 2 2 4 2 3 3" xfId="28767"/>
    <cellStyle name="Comma 2 4 2 2 4 2 3 3 2" xfId="40668"/>
    <cellStyle name="Comma 2 4 2 2 4 2 3 4" xfId="32102"/>
    <cellStyle name="Comma 2 4 2 2 4 2 3 5" xfId="34244"/>
    <cellStyle name="Comma 2 4 2 2 4 2 4" xfId="8249"/>
    <cellStyle name="Comma 2 4 2 2 4 2 4 2" xfId="42869"/>
    <cellStyle name="Comma 2 4 2 2 4 2 4 3" xfId="36445"/>
    <cellStyle name="Comma 2 4 2 2 4 2 5" xfId="21238"/>
    <cellStyle name="Comma 2 4 2 2 4 2 5 2" xfId="39662"/>
    <cellStyle name="Comma 2 4 2 2 4 2 6" xfId="22311"/>
    <cellStyle name="Comma 2 4 2 2 4 2 7" xfId="23440"/>
    <cellStyle name="Comma 2 4 2 2 4 2 8" xfId="26633"/>
    <cellStyle name="Comma 2 4 2 2 4 2 9" xfId="29966"/>
    <cellStyle name="Comma 2 4 2 2 4 3" xfId="1015"/>
    <cellStyle name="Comma 2 4 2 2 4 3 10" xfId="33239"/>
    <cellStyle name="Comma 2 4 2 2 4 3 2" xfId="9785"/>
    <cellStyle name="Comma 2 4 2 2 4 3 2 2" xfId="25585"/>
    <cellStyle name="Comma 2 4 2 2 4 3 2 2 2" xfId="45012"/>
    <cellStyle name="Comma 2 4 2 2 4 3 2 2 3" xfId="38589"/>
    <cellStyle name="Comma 2 4 2 2 4 3 2 3" xfId="27763"/>
    <cellStyle name="Comma 2 4 2 2 4 3 2 3 2" xfId="41805"/>
    <cellStyle name="Comma 2 4 2 2 4 3 2 4" xfId="31098"/>
    <cellStyle name="Comma 2 4 2 2 4 3 2 5" xfId="35381"/>
    <cellStyle name="Comma 2 4 2 2 4 3 3" xfId="15432"/>
    <cellStyle name="Comma 2 4 2 2 4 3 3 2" xfId="24447"/>
    <cellStyle name="Comma 2 4 2 2 4 3 3 2 2" xfId="43876"/>
    <cellStyle name="Comma 2 4 2 2 4 3 3 2 3" xfId="37453"/>
    <cellStyle name="Comma 2 4 2 2 4 3 3 3" xfId="28768"/>
    <cellStyle name="Comma 2 4 2 2 4 3 3 3 2" xfId="40669"/>
    <cellStyle name="Comma 2 4 2 2 4 3 3 4" xfId="32103"/>
    <cellStyle name="Comma 2 4 2 2 4 3 3 5" xfId="34245"/>
    <cellStyle name="Comma 2 4 2 2 4 3 4" xfId="8250"/>
    <cellStyle name="Comma 2 4 2 2 4 3 4 2" xfId="42870"/>
    <cellStyle name="Comma 2 4 2 2 4 3 4 3" xfId="36446"/>
    <cellStyle name="Comma 2 4 2 2 4 3 5" xfId="21239"/>
    <cellStyle name="Comma 2 4 2 2 4 3 5 2" xfId="39663"/>
    <cellStyle name="Comma 2 4 2 2 4 3 6" xfId="22312"/>
    <cellStyle name="Comma 2 4 2 2 4 3 7" xfId="23441"/>
    <cellStyle name="Comma 2 4 2 2 4 3 8" xfId="26634"/>
    <cellStyle name="Comma 2 4 2 2 4 3 9" xfId="29967"/>
    <cellStyle name="Comma 2 4 2 2 4 4" xfId="1016"/>
    <cellStyle name="Comma 2 4 2 2 4 4 10" xfId="33240"/>
    <cellStyle name="Comma 2 4 2 2 4 4 2" xfId="9786"/>
    <cellStyle name="Comma 2 4 2 2 4 4 2 2" xfId="25586"/>
    <cellStyle name="Comma 2 4 2 2 4 4 2 2 2" xfId="45013"/>
    <cellStyle name="Comma 2 4 2 2 4 4 2 2 3" xfId="38590"/>
    <cellStyle name="Comma 2 4 2 2 4 4 2 3" xfId="27764"/>
    <cellStyle name="Comma 2 4 2 2 4 4 2 3 2" xfId="41806"/>
    <cellStyle name="Comma 2 4 2 2 4 4 2 4" xfId="31099"/>
    <cellStyle name="Comma 2 4 2 2 4 4 2 5" xfId="35382"/>
    <cellStyle name="Comma 2 4 2 2 4 4 3" xfId="15433"/>
    <cellStyle name="Comma 2 4 2 2 4 4 3 2" xfId="24448"/>
    <cellStyle name="Comma 2 4 2 2 4 4 3 2 2" xfId="43877"/>
    <cellStyle name="Comma 2 4 2 2 4 4 3 2 3" xfId="37454"/>
    <cellStyle name="Comma 2 4 2 2 4 4 3 3" xfId="28769"/>
    <cellStyle name="Comma 2 4 2 2 4 4 3 3 2" xfId="40670"/>
    <cellStyle name="Comma 2 4 2 2 4 4 3 4" xfId="32104"/>
    <cellStyle name="Comma 2 4 2 2 4 4 3 5" xfId="34246"/>
    <cellStyle name="Comma 2 4 2 2 4 4 4" xfId="8251"/>
    <cellStyle name="Comma 2 4 2 2 4 4 4 2" xfId="42871"/>
    <cellStyle name="Comma 2 4 2 2 4 4 4 3" xfId="36447"/>
    <cellStyle name="Comma 2 4 2 2 4 4 5" xfId="21240"/>
    <cellStyle name="Comma 2 4 2 2 4 4 5 2" xfId="39664"/>
    <cellStyle name="Comma 2 4 2 2 4 4 6" xfId="22313"/>
    <cellStyle name="Comma 2 4 2 2 4 4 7" xfId="23442"/>
    <cellStyle name="Comma 2 4 2 2 4 4 8" xfId="26635"/>
    <cellStyle name="Comma 2 4 2 2 4 4 9" xfId="29968"/>
    <cellStyle name="Comma 2 4 2 2 4 5" xfId="1017"/>
    <cellStyle name="Comma 2 4 2 2 4 5 10" xfId="33241"/>
    <cellStyle name="Comma 2 4 2 2 4 5 2" xfId="9787"/>
    <cellStyle name="Comma 2 4 2 2 4 5 2 2" xfId="25587"/>
    <cellStyle name="Comma 2 4 2 2 4 5 2 2 2" xfId="45014"/>
    <cellStyle name="Comma 2 4 2 2 4 5 2 2 3" xfId="38591"/>
    <cellStyle name="Comma 2 4 2 2 4 5 2 3" xfId="27765"/>
    <cellStyle name="Comma 2 4 2 2 4 5 2 3 2" xfId="41807"/>
    <cellStyle name="Comma 2 4 2 2 4 5 2 4" xfId="31100"/>
    <cellStyle name="Comma 2 4 2 2 4 5 2 5" xfId="35383"/>
    <cellStyle name="Comma 2 4 2 2 4 5 3" xfId="15434"/>
    <cellStyle name="Comma 2 4 2 2 4 5 3 2" xfId="24449"/>
    <cellStyle name="Comma 2 4 2 2 4 5 3 2 2" xfId="43878"/>
    <cellStyle name="Comma 2 4 2 2 4 5 3 2 3" xfId="37455"/>
    <cellStyle name="Comma 2 4 2 2 4 5 3 3" xfId="28770"/>
    <cellStyle name="Comma 2 4 2 2 4 5 3 3 2" xfId="40671"/>
    <cellStyle name="Comma 2 4 2 2 4 5 3 4" xfId="32105"/>
    <cellStyle name="Comma 2 4 2 2 4 5 3 5" xfId="34247"/>
    <cellStyle name="Comma 2 4 2 2 4 5 4" xfId="8252"/>
    <cellStyle name="Comma 2 4 2 2 4 5 4 2" xfId="42872"/>
    <cellStyle name="Comma 2 4 2 2 4 5 4 3" xfId="36448"/>
    <cellStyle name="Comma 2 4 2 2 4 5 5" xfId="21241"/>
    <cellStyle name="Comma 2 4 2 2 4 5 5 2" xfId="39665"/>
    <cellStyle name="Comma 2 4 2 2 4 5 6" xfId="22314"/>
    <cellStyle name="Comma 2 4 2 2 4 5 7" xfId="23443"/>
    <cellStyle name="Comma 2 4 2 2 4 5 8" xfId="26636"/>
    <cellStyle name="Comma 2 4 2 2 4 5 9" xfId="29969"/>
    <cellStyle name="Comma 2 4 2 2 4 6" xfId="1018"/>
    <cellStyle name="Comma 2 4 2 2 4 6 10" xfId="33242"/>
    <cellStyle name="Comma 2 4 2 2 4 6 2" xfId="9788"/>
    <cellStyle name="Comma 2 4 2 2 4 6 2 2" xfId="25588"/>
    <cellStyle name="Comma 2 4 2 2 4 6 2 2 2" xfId="45015"/>
    <cellStyle name="Comma 2 4 2 2 4 6 2 2 3" xfId="38592"/>
    <cellStyle name="Comma 2 4 2 2 4 6 2 3" xfId="27766"/>
    <cellStyle name="Comma 2 4 2 2 4 6 2 3 2" xfId="41808"/>
    <cellStyle name="Comma 2 4 2 2 4 6 2 4" xfId="31101"/>
    <cellStyle name="Comma 2 4 2 2 4 6 2 5" xfId="35384"/>
    <cellStyle name="Comma 2 4 2 2 4 6 3" xfId="15435"/>
    <cellStyle name="Comma 2 4 2 2 4 6 3 2" xfId="24450"/>
    <cellStyle name="Comma 2 4 2 2 4 6 3 2 2" xfId="43879"/>
    <cellStyle name="Comma 2 4 2 2 4 6 3 2 3" xfId="37456"/>
    <cellStyle name="Comma 2 4 2 2 4 6 3 3" xfId="28771"/>
    <cellStyle name="Comma 2 4 2 2 4 6 3 3 2" xfId="40672"/>
    <cellStyle name="Comma 2 4 2 2 4 6 3 4" xfId="32106"/>
    <cellStyle name="Comma 2 4 2 2 4 6 3 5" xfId="34248"/>
    <cellStyle name="Comma 2 4 2 2 4 6 4" xfId="8253"/>
    <cellStyle name="Comma 2 4 2 2 4 6 4 2" xfId="42873"/>
    <cellStyle name="Comma 2 4 2 2 4 6 4 3" xfId="36449"/>
    <cellStyle name="Comma 2 4 2 2 4 6 5" xfId="21242"/>
    <cellStyle name="Comma 2 4 2 2 4 6 5 2" xfId="39666"/>
    <cellStyle name="Comma 2 4 2 2 4 6 6" xfId="22315"/>
    <cellStyle name="Comma 2 4 2 2 4 6 7" xfId="23444"/>
    <cellStyle name="Comma 2 4 2 2 4 6 8" xfId="26637"/>
    <cellStyle name="Comma 2 4 2 2 4 6 9" xfId="29970"/>
    <cellStyle name="Comma 2 4 2 2 4 7" xfId="9084"/>
    <cellStyle name="Comma 2 4 2 2 4 7 2" xfId="25139"/>
    <cellStyle name="Comma 2 4 2 2 4 7 2 2" xfId="44566"/>
    <cellStyle name="Comma 2 4 2 2 4 7 2 3" xfId="38143"/>
    <cellStyle name="Comma 2 4 2 2 4 7 3" xfId="27318"/>
    <cellStyle name="Comma 2 4 2 2 4 7 3 2" xfId="41359"/>
    <cellStyle name="Comma 2 4 2 2 4 7 4" xfId="30653"/>
    <cellStyle name="Comma 2 4 2 2 4 7 5" xfId="34935"/>
    <cellStyle name="Comma 2 4 2 2 4 8" xfId="15430"/>
    <cellStyle name="Comma 2 4 2 2 4 8 2" xfId="24445"/>
    <cellStyle name="Comma 2 4 2 2 4 8 2 2" xfId="43874"/>
    <cellStyle name="Comma 2 4 2 2 4 8 2 3" xfId="37451"/>
    <cellStyle name="Comma 2 4 2 2 4 8 3" xfId="28766"/>
    <cellStyle name="Comma 2 4 2 2 4 8 3 2" xfId="40667"/>
    <cellStyle name="Comma 2 4 2 2 4 8 4" xfId="32101"/>
    <cellStyle name="Comma 2 4 2 2 4 8 5" xfId="34243"/>
    <cellStyle name="Comma 2 4 2 2 4 9" xfId="8248"/>
    <cellStyle name="Comma 2 4 2 2 4 9 2" xfId="42429"/>
    <cellStyle name="Comma 2 4 2 2 4 9 3" xfId="36005"/>
    <cellStyle name="Comma 2 4 2 2 5" xfId="1019"/>
    <cellStyle name="Comma 2 4 2 2 5 10" xfId="22316"/>
    <cellStyle name="Comma 2 4 2 2 5 11" xfId="23445"/>
    <cellStyle name="Comma 2 4 2 2 5 12" xfId="26638"/>
    <cellStyle name="Comma 2 4 2 2 5 13" xfId="29971"/>
    <cellStyle name="Comma 2 4 2 2 5 14" xfId="33243"/>
    <cellStyle name="Comma 2 4 2 2 5 2" xfId="1020"/>
    <cellStyle name="Comma 2 4 2 2 5 2 10" xfId="33244"/>
    <cellStyle name="Comma 2 4 2 2 5 2 2" xfId="9790"/>
    <cellStyle name="Comma 2 4 2 2 5 2 2 2" xfId="25590"/>
    <cellStyle name="Comma 2 4 2 2 5 2 2 2 2" xfId="45017"/>
    <cellStyle name="Comma 2 4 2 2 5 2 2 2 3" xfId="38594"/>
    <cellStyle name="Comma 2 4 2 2 5 2 2 3" xfId="27768"/>
    <cellStyle name="Comma 2 4 2 2 5 2 2 3 2" xfId="41810"/>
    <cellStyle name="Comma 2 4 2 2 5 2 2 4" xfId="31103"/>
    <cellStyle name="Comma 2 4 2 2 5 2 2 5" xfId="35386"/>
    <cellStyle name="Comma 2 4 2 2 5 2 3" xfId="15437"/>
    <cellStyle name="Comma 2 4 2 2 5 2 3 2" xfId="24452"/>
    <cellStyle name="Comma 2 4 2 2 5 2 3 2 2" xfId="43881"/>
    <cellStyle name="Comma 2 4 2 2 5 2 3 2 3" xfId="37458"/>
    <cellStyle name="Comma 2 4 2 2 5 2 3 3" xfId="28773"/>
    <cellStyle name="Comma 2 4 2 2 5 2 3 3 2" xfId="40674"/>
    <cellStyle name="Comma 2 4 2 2 5 2 3 4" xfId="32108"/>
    <cellStyle name="Comma 2 4 2 2 5 2 3 5" xfId="34250"/>
    <cellStyle name="Comma 2 4 2 2 5 2 4" xfId="8255"/>
    <cellStyle name="Comma 2 4 2 2 5 2 4 2" xfId="42875"/>
    <cellStyle name="Comma 2 4 2 2 5 2 4 3" xfId="36451"/>
    <cellStyle name="Comma 2 4 2 2 5 2 5" xfId="21244"/>
    <cellStyle name="Comma 2 4 2 2 5 2 5 2" xfId="39668"/>
    <cellStyle name="Comma 2 4 2 2 5 2 6" xfId="22317"/>
    <cellStyle name="Comma 2 4 2 2 5 2 7" xfId="23446"/>
    <cellStyle name="Comma 2 4 2 2 5 2 8" xfId="26639"/>
    <cellStyle name="Comma 2 4 2 2 5 2 9" xfId="29972"/>
    <cellStyle name="Comma 2 4 2 2 5 3" xfId="1021"/>
    <cellStyle name="Comma 2 4 2 2 5 3 10" xfId="33245"/>
    <cellStyle name="Comma 2 4 2 2 5 3 2" xfId="9791"/>
    <cellStyle name="Comma 2 4 2 2 5 3 2 2" xfId="25591"/>
    <cellStyle name="Comma 2 4 2 2 5 3 2 2 2" xfId="45018"/>
    <cellStyle name="Comma 2 4 2 2 5 3 2 2 3" xfId="38595"/>
    <cellStyle name="Comma 2 4 2 2 5 3 2 3" xfId="27769"/>
    <cellStyle name="Comma 2 4 2 2 5 3 2 3 2" xfId="41811"/>
    <cellStyle name="Comma 2 4 2 2 5 3 2 4" xfId="31104"/>
    <cellStyle name="Comma 2 4 2 2 5 3 2 5" xfId="35387"/>
    <cellStyle name="Comma 2 4 2 2 5 3 3" xfId="15438"/>
    <cellStyle name="Comma 2 4 2 2 5 3 3 2" xfId="24453"/>
    <cellStyle name="Comma 2 4 2 2 5 3 3 2 2" xfId="43882"/>
    <cellStyle name="Comma 2 4 2 2 5 3 3 2 3" xfId="37459"/>
    <cellStyle name="Comma 2 4 2 2 5 3 3 3" xfId="28774"/>
    <cellStyle name="Comma 2 4 2 2 5 3 3 3 2" xfId="40675"/>
    <cellStyle name="Comma 2 4 2 2 5 3 3 4" xfId="32109"/>
    <cellStyle name="Comma 2 4 2 2 5 3 3 5" xfId="34251"/>
    <cellStyle name="Comma 2 4 2 2 5 3 4" xfId="8256"/>
    <cellStyle name="Comma 2 4 2 2 5 3 4 2" xfId="42876"/>
    <cellStyle name="Comma 2 4 2 2 5 3 4 3" xfId="36452"/>
    <cellStyle name="Comma 2 4 2 2 5 3 5" xfId="21245"/>
    <cellStyle name="Comma 2 4 2 2 5 3 5 2" xfId="39669"/>
    <cellStyle name="Comma 2 4 2 2 5 3 6" xfId="22318"/>
    <cellStyle name="Comma 2 4 2 2 5 3 7" xfId="23447"/>
    <cellStyle name="Comma 2 4 2 2 5 3 8" xfId="26640"/>
    <cellStyle name="Comma 2 4 2 2 5 3 9" xfId="29973"/>
    <cellStyle name="Comma 2 4 2 2 5 4" xfId="1022"/>
    <cellStyle name="Comma 2 4 2 2 5 4 10" xfId="33246"/>
    <cellStyle name="Comma 2 4 2 2 5 4 2" xfId="9792"/>
    <cellStyle name="Comma 2 4 2 2 5 4 2 2" xfId="25592"/>
    <cellStyle name="Comma 2 4 2 2 5 4 2 2 2" xfId="45019"/>
    <cellStyle name="Comma 2 4 2 2 5 4 2 2 3" xfId="38596"/>
    <cellStyle name="Comma 2 4 2 2 5 4 2 3" xfId="27770"/>
    <cellStyle name="Comma 2 4 2 2 5 4 2 3 2" xfId="41812"/>
    <cellStyle name="Comma 2 4 2 2 5 4 2 4" xfId="31105"/>
    <cellStyle name="Comma 2 4 2 2 5 4 2 5" xfId="35388"/>
    <cellStyle name="Comma 2 4 2 2 5 4 3" xfId="15439"/>
    <cellStyle name="Comma 2 4 2 2 5 4 3 2" xfId="24454"/>
    <cellStyle name="Comma 2 4 2 2 5 4 3 2 2" xfId="43883"/>
    <cellStyle name="Comma 2 4 2 2 5 4 3 2 3" xfId="37460"/>
    <cellStyle name="Comma 2 4 2 2 5 4 3 3" xfId="28775"/>
    <cellStyle name="Comma 2 4 2 2 5 4 3 3 2" xfId="40676"/>
    <cellStyle name="Comma 2 4 2 2 5 4 3 4" xfId="32110"/>
    <cellStyle name="Comma 2 4 2 2 5 4 3 5" xfId="34252"/>
    <cellStyle name="Comma 2 4 2 2 5 4 4" xfId="8257"/>
    <cellStyle name="Comma 2 4 2 2 5 4 4 2" xfId="42877"/>
    <cellStyle name="Comma 2 4 2 2 5 4 4 3" xfId="36453"/>
    <cellStyle name="Comma 2 4 2 2 5 4 5" xfId="21246"/>
    <cellStyle name="Comma 2 4 2 2 5 4 5 2" xfId="39670"/>
    <cellStyle name="Comma 2 4 2 2 5 4 6" xfId="22319"/>
    <cellStyle name="Comma 2 4 2 2 5 4 7" xfId="23448"/>
    <cellStyle name="Comma 2 4 2 2 5 4 8" xfId="26641"/>
    <cellStyle name="Comma 2 4 2 2 5 4 9" xfId="29974"/>
    <cellStyle name="Comma 2 4 2 2 5 5" xfId="1023"/>
    <cellStyle name="Comma 2 4 2 2 5 5 10" xfId="33247"/>
    <cellStyle name="Comma 2 4 2 2 5 5 2" xfId="9793"/>
    <cellStyle name="Comma 2 4 2 2 5 5 2 2" xfId="25593"/>
    <cellStyle name="Comma 2 4 2 2 5 5 2 2 2" xfId="45020"/>
    <cellStyle name="Comma 2 4 2 2 5 5 2 2 3" xfId="38597"/>
    <cellStyle name="Comma 2 4 2 2 5 5 2 3" xfId="27771"/>
    <cellStyle name="Comma 2 4 2 2 5 5 2 3 2" xfId="41813"/>
    <cellStyle name="Comma 2 4 2 2 5 5 2 4" xfId="31106"/>
    <cellStyle name="Comma 2 4 2 2 5 5 2 5" xfId="35389"/>
    <cellStyle name="Comma 2 4 2 2 5 5 3" xfId="15440"/>
    <cellStyle name="Comma 2 4 2 2 5 5 3 2" xfId="24455"/>
    <cellStyle name="Comma 2 4 2 2 5 5 3 2 2" xfId="43884"/>
    <cellStyle name="Comma 2 4 2 2 5 5 3 2 3" xfId="37461"/>
    <cellStyle name="Comma 2 4 2 2 5 5 3 3" xfId="28776"/>
    <cellStyle name="Comma 2 4 2 2 5 5 3 3 2" xfId="40677"/>
    <cellStyle name="Comma 2 4 2 2 5 5 3 4" xfId="32111"/>
    <cellStyle name="Comma 2 4 2 2 5 5 3 5" xfId="34253"/>
    <cellStyle name="Comma 2 4 2 2 5 5 4" xfId="8258"/>
    <cellStyle name="Comma 2 4 2 2 5 5 4 2" xfId="42878"/>
    <cellStyle name="Comma 2 4 2 2 5 5 4 3" xfId="36454"/>
    <cellStyle name="Comma 2 4 2 2 5 5 5" xfId="21247"/>
    <cellStyle name="Comma 2 4 2 2 5 5 5 2" xfId="39671"/>
    <cellStyle name="Comma 2 4 2 2 5 5 6" xfId="22320"/>
    <cellStyle name="Comma 2 4 2 2 5 5 7" xfId="23449"/>
    <cellStyle name="Comma 2 4 2 2 5 5 8" xfId="26642"/>
    <cellStyle name="Comma 2 4 2 2 5 5 9" xfId="29975"/>
    <cellStyle name="Comma 2 4 2 2 5 6" xfId="9789"/>
    <cellStyle name="Comma 2 4 2 2 5 6 2" xfId="25589"/>
    <cellStyle name="Comma 2 4 2 2 5 6 2 2" xfId="45016"/>
    <cellStyle name="Comma 2 4 2 2 5 6 2 3" xfId="38593"/>
    <cellStyle name="Comma 2 4 2 2 5 6 3" xfId="27767"/>
    <cellStyle name="Comma 2 4 2 2 5 6 3 2" xfId="41809"/>
    <cellStyle name="Comma 2 4 2 2 5 6 4" xfId="31102"/>
    <cellStyle name="Comma 2 4 2 2 5 6 5" xfId="35385"/>
    <cellStyle name="Comma 2 4 2 2 5 7" xfId="15436"/>
    <cellStyle name="Comma 2 4 2 2 5 7 2" xfId="24451"/>
    <cellStyle name="Comma 2 4 2 2 5 7 2 2" xfId="43880"/>
    <cellStyle name="Comma 2 4 2 2 5 7 2 3" xfId="37457"/>
    <cellStyle name="Comma 2 4 2 2 5 7 3" xfId="28772"/>
    <cellStyle name="Comma 2 4 2 2 5 7 3 2" xfId="40673"/>
    <cellStyle name="Comma 2 4 2 2 5 7 4" xfId="32107"/>
    <cellStyle name="Comma 2 4 2 2 5 7 5" xfId="34249"/>
    <cellStyle name="Comma 2 4 2 2 5 8" xfId="8254"/>
    <cellStyle name="Comma 2 4 2 2 5 8 2" xfId="42874"/>
    <cellStyle name="Comma 2 4 2 2 5 8 3" xfId="36450"/>
    <cellStyle name="Comma 2 4 2 2 5 9" xfId="21243"/>
    <cellStyle name="Comma 2 4 2 2 5 9 2" xfId="39667"/>
    <cellStyle name="Comma 2 4 2 2 6" xfId="1024"/>
    <cellStyle name="Comma 2 4 2 2 6 10" xfId="22321"/>
    <cellStyle name="Comma 2 4 2 2 6 11" xfId="23450"/>
    <cellStyle name="Comma 2 4 2 2 6 12" xfId="26643"/>
    <cellStyle name="Comma 2 4 2 2 6 13" xfId="29976"/>
    <cellStyle name="Comma 2 4 2 2 6 14" xfId="33248"/>
    <cellStyle name="Comma 2 4 2 2 6 2" xfId="1025"/>
    <cellStyle name="Comma 2 4 2 2 6 2 10" xfId="33249"/>
    <cellStyle name="Comma 2 4 2 2 6 2 2" xfId="9795"/>
    <cellStyle name="Comma 2 4 2 2 6 2 2 2" xfId="25595"/>
    <cellStyle name="Comma 2 4 2 2 6 2 2 2 2" xfId="45022"/>
    <cellStyle name="Comma 2 4 2 2 6 2 2 2 3" xfId="38599"/>
    <cellStyle name="Comma 2 4 2 2 6 2 2 3" xfId="27773"/>
    <cellStyle name="Comma 2 4 2 2 6 2 2 3 2" xfId="41815"/>
    <cellStyle name="Comma 2 4 2 2 6 2 2 4" xfId="31108"/>
    <cellStyle name="Comma 2 4 2 2 6 2 2 5" xfId="35391"/>
    <cellStyle name="Comma 2 4 2 2 6 2 3" xfId="15442"/>
    <cellStyle name="Comma 2 4 2 2 6 2 3 2" xfId="24457"/>
    <cellStyle name="Comma 2 4 2 2 6 2 3 2 2" xfId="43886"/>
    <cellStyle name="Comma 2 4 2 2 6 2 3 2 3" xfId="37463"/>
    <cellStyle name="Comma 2 4 2 2 6 2 3 3" xfId="28778"/>
    <cellStyle name="Comma 2 4 2 2 6 2 3 3 2" xfId="40679"/>
    <cellStyle name="Comma 2 4 2 2 6 2 3 4" xfId="32113"/>
    <cellStyle name="Comma 2 4 2 2 6 2 3 5" xfId="34255"/>
    <cellStyle name="Comma 2 4 2 2 6 2 4" xfId="8260"/>
    <cellStyle name="Comma 2 4 2 2 6 2 4 2" xfId="42880"/>
    <cellStyle name="Comma 2 4 2 2 6 2 4 3" xfId="36456"/>
    <cellStyle name="Comma 2 4 2 2 6 2 5" xfId="21249"/>
    <cellStyle name="Comma 2 4 2 2 6 2 5 2" xfId="39673"/>
    <cellStyle name="Comma 2 4 2 2 6 2 6" xfId="22322"/>
    <cellStyle name="Comma 2 4 2 2 6 2 7" xfId="23451"/>
    <cellStyle name="Comma 2 4 2 2 6 2 8" xfId="26644"/>
    <cellStyle name="Comma 2 4 2 2 6 2 9" xfId="29977"/>
    <cellStyle name="Comma 2 4 2 2 6 3" xfId="1026"/>
    <cellStyle name="Comma 2 4 2 2 6 3 10" xfId="33250"/>
    <cellStyle name="Comma 2 4 2 2 6 3 2" xfId="9796"/>
    <cellStyle name="Comma 2 4 2 2 6 3 2 2" xfId="25596"/>
    <cellStyle name="Comma 2 4 2 2 6 3 2 2 2" xfId="45023"/>
    <cellStyle name="Comma 2 4 2 2 6 3 2 2 3" xfId="38600"/>
    <cellStyle name="Comma 2 4 2 2 6 3 2 3" xfId="27774"/>
    <cellStyle name="Comma 2 4 2 2 6 3 2 3 2" xfId="41816"/>
    <cellStyle name="Comma 2 4 2 2 6 3 2 4" xfId="31109"/>
    <cellStyle name="Comma 2 4 2 2 6 3 2 5" xfId="35392"/>
    <cellStyle name="Comma 2 4 2 2 6 3 3" xfId="15443"/>
    <cellStyle name="Comma 2 4 2 2 6 3 3 2" xfId="24458"/>
    <cellStyle name="Comma 2 4 2 2 6 3 3 2 2" xfId="43887"/>
    <cellStyle name="Comma 2 4 2 2 6 3 3 2 3" xfId="37464"/>
    <cellStyle name="Comma 2 4 2 2 6 3 3 3" xfId="28779"/>
    <cellStyle name="Comma 2 4 2 2 6 3 3 3 2" xfId="40680"/>
    <cellStyle name="Comma 2 4 2 2 6 3 3 4" xfId="32114"/>
    <cellStyle name="Comma 2 4 2 2 6 3 3 5" xfId="34256"/>
    <cellStyle name="Comma 2 4 2 2 6 3 4" xfId="8261"/>
    <cellStyle name="Comma 2 4 2 2 6 3 4 2" xfId="42881"/>
    <cellStyle name="Comma 2 4 2 2 6 3 4 3" xfId="36457"/>
    <cellStyle name="Comma 2 4 2 2 6 3 5" xfId="21250"/>
    <cellStyle name="Comma 2 4 2 2 6 3 5 2" xfId="39674"/>
    <cellStyle name="Comma 2 4 2 2 6 3 6" xfId="22323"/>
    <cellStyle name="Comma 2 4 2 2 6 3 7" xfId="23452"/>
    <cellStyle name="Comma 2 4 2 2 6 3 8" xfId="26645"/>
    <cellStyle name="Comma 2 4 2 2 6 3 9" xfId="29978"/>
    <cellStyle name="Comma 2 4 2 2 6 4" xfId="1027"/>
    <cellStyle name="Comma 2 4 2 2 6 4 10" xfId="33251"/>
    <cellStyle name="Comma 2 4 2 2 6 4 2" xfId="9797"/>
    <cellStyle name="Comma 2 4 2 2 6 4 2 2" xfId="25597"/>
    <cellStyle name="Comma 2 4 2 2 6 4 2 2 2" xfId="45024"/>
    <cellStyle name="Comma 2 4 2 2 6 4 2 2 3" xfId="38601"/>
    <cellStyle name="Comma 2 4 2 2 6 4 2 3" xfId="27775"/>
    <cellStyle name="Comma 2 4 2 2 6 4 2 3 2" xfId="41817"/>
    <cellStyle name="Comma 2 4 2 2 6 4 2 4" xfId="31110"/>
    <cellStyle name="Comma 2 4 2 2 6 4 2 5" xfId="35393"/>
    <cellStyle name="Comma 2 4 2 2 6 4 3" xfId="15444"/>
    <cellStyle name="Comma 2 4 2 2 6 4 3 2" xfId="24459"/>
    <cellStyle name="Comma 2 4 2 2 6 4 3 2 2" xfId="43888"/>
    <cellStyle name="Comma 2 4 2 2 6 4 3 2 3" xfId="37465"/>
    <cellStyle name="Comma 2 4 2 2 6 4 3 3" xfId="28780"/>
    <cellStyle name="Comma 2 4 2 2 6 4 3 3 2" xfId="40681"/>
    <cellStyle name="Comma 2 4 2 2 6 4 3 4" xfId="32115"/>
    <cellStyle name="Comma 2 4 2 2 6 4 3 5" xfId="34257"/>
    <cellStyle name="Comma 2 4 2 2 6 4 4" xfId="8262"/>
    <cellStyle name="Comma 2 4 2 2 6 4 4 2" xfId="42882"/>
    <cellStyle name="Comma 2 4 2 2 6 4 4 3" xfId="36458"/>
    <cellStyle name="Comma 2 4 2 2 6 4 5" xfId="21251"/>
    <cellStyle name="Comma 2 4 2 2 6 4 5 2" xfId="39675"/>
    <cellStyle name="Comma 2 4 2 2 6 4 6" xfId="22324"/>
    <cellStyle name="Comma 2 4 2 2 6 4 7" xfId="23453"/>
    <cellStyle name="Comma 2 4 2 2 6 4 8" xfId="26646"/>
    <cellStyle name="Comma 2 4 2 2 6 4 9" xfId="29979"/>
    <cellStyle name="Comma 2 4 2 2 6 5" xfId="1028"/>
    <cellStyle name="Comma 2 4 2 2 6 5 10" xfId="33252"/>
    <cellStyle name="Comma 2 4 2 2 6 5 2" xfId="9798"/>
    <cellStyle name="Comma 2 4 2 2 6 5 2 2" xfId="25598"/>
    <cellStyle name="Comma 2 4 2 2 6 5 2 2 2" xfId="45025"/>
    <cellStyle name="Comma 2 4 2 2 6 5 2 2 3" xfId="38602"/>
    <cellStyle name="Comma 2 4 2 2 6 5 2 3" xfId="27776"/>
    <cellStyle name="Comma 2 4 2 2 6 5 2 3 2" xfId="41818"/>
    <cellStyle name="Comma 2 4 2 2 6 5 2 4" xfId="31111"/>
    <cellStyle name="Comma 2 4 2 2 6 5 2 5" xfId="35394"/>
    <cellStyle name="Comma 2 4 2 2 6 5 3" xfId="15445"/>
    <cellStyle name="Comma 2 4 2 2 6 5 3 2" xfId="24460"/>
    <cellStyle name="Comma 2 4 2 2 6 5 3 2 2" xfId="43889"/>
    <cellStyle name="Comma 2 4 2 2 6 5 3 2 3" xfId="37466"/>
    <cellStyle name="Comma 2 4 2 2 6 5 3 3" xfId="28781"/>
    <cellStyle name="Comma 2 4 2 2 6 5 3 3 2" xfId="40682"/>
    <cellStyle name="Comma 2 4 2 2 6 5 3 4" xfId="32116"/>
    <cellStyle name="Comma 2 4 2 2 6 5 3 5" xfId="34258"/>
    <cellStyle name="Comma 2 4 2 2 6 5 4" xfId="8263"/>
    <cellStyle name="Comma 2 4 2 2 6 5 4 2" xfId="42883"/>
    <cellStyle name="Comma 2 4 2 2 6 5 4 3" xfId="36459"/>
    <cellStyle name="Comma 2 4 2 2 6 5 5" xfId="21252"/>
    <cellStyle name="Comma 2 4 2 2 6 5 5 2" xfId="39676"/>
    <cellStyle name="Comma 2 4 2 2 6 5 6" xfId="22325"/>
    <cellStyle name="Comma 2 4 2 2 6 5 7" xfId="23454"/>
    <cellStyle name="Comma 2 4 2 2 6 5 8" xfId="26647"/>
    <cellStyle name="Comma 2 4 2 2 6 5 9" xfId="29980"/>
    <cellStyle name="Comma 2 4 2 2 6 6" xfId="9794"/>
    <cellStyle name="Comma 2 4 2 2 6 6 2" xfId="25594"/>
    <cellStyle name="Comma 2 4 2 2 6 6 2 2" xfId="45021"/>
    <cellStyle name="Comma 2 4 2 2 6 6 2 3" xfId="38598"/>
    <cellStyle name="Comma 2 4 2 2 6 6 3" xfId="27772"/>
    <cellStyle name="Comma 2 4 2 2 6 6 3 2" xfId="41814"/>
    <cellStyle name="Comma 2 4 2 2 6 6 4" xfId="31107"/>
    <cellStyle name="Comma 2 4 2 2 6 6 5" xfId="35390"/>
    <cellStyle name="Comma 2 4 2 2 6 7" xfId="15441"/>
    <cellStyle name="Comma 2 4 2 2 6 7 2" xfId="24456"/>
    <cellStyle name="Comma 2 4 2 2 6 7 2 2" xfId="43885"/>
    <cellStyle name="Comma 2 4 2 2 6 7 2 3" xfId="37462"/>
    <cellStyle name="Comma 2 4 2 2 6 7 3" xfId="28777"/>
    <cellStyle name="Comma 2 4 2 2 6 7 3 2" xfId="40678"/>
    <cellStyle name="Comma 2 4 2 2 6 7 4" xfId="32112"/>
    <cellStyle name="Comma 2 4 2 2 6 7 5" xfId="34254"/>
    <cellStyle name="Comma 2 4 2 2 6 8" xfId="8259"/>
    <cellStyle name="Comma 2 4 2 2 6 8 2" xfId="42879"/>
    <cellStyle name="Comma 2 4 2 2 6 8 3" xfId="36455"/>
    <cellStyle name="Comma 2 4 2 2 6 9" xfId="21248"/>
    <cellStyle name="Comma 2 4 2 2 6 9 2" xfId="39672"/>
    <cellStyle name="Comma 2 4 2 2 7" xfId="1029"/>
    <cellStyle name="Comma 2 4 2 2 7 10" xfId="33253"/>
    <cellStyle name="Comma 2 4 2 2 7 2" xfId="9799"/>
    <cellStyle name="Comma 2 4 2 2 7 2 2" xfId="25599"/>
    <cellStyle name="Comma 2 4 2 2 7 2 2 2" xfId="45026"/>
    <cellStyle name="Comma 2 4 2 2 7 2 2 3" xfId="38603"/>
    <cellStyle name="Comma 2 4 2 2 7 2 3" xfId="27777"/>
    <cellStyle name="Comma 2 4 2 2 7 2 3 2" xfId="41819"/>
    <cellStyle name="Comma 2 4 2 2 7 2 4" xfId="31112"/>
    <cellStyle name="Comma 2 4 2 2 7 2 5" xfId="35395"/>
    <cellStyle name="Comma 2 4 2 2 7 3" xfId="15446"/>
    <cellStyle name="Comma 2 4 2 2 7 3 2" xfId="24461"/>
    <cellStyle name="Comma 2 4 2 2 7 3 2 2" xfId="43890"/>
    <cellStyle name="Comma 2 4 2 2 7 3 2 3" xfId="37467"/>
    <cellStyle name="Comma 2 4 2 2 7 3 3" xfId="28782"/>
    <cellStyle name="Comma 2 4 2 2 7 3 3 2" xfId="40683"/>
    <cellStyle name="Comma 2 4 2 2 7 3 4" xfId="32117"/>
    <cellStyle name="Comma 2 4 2 2 7 3 5" xfId="34259"/>
    <cellStyle name="Comma 2 4 2 2 7 4" xfId="8264"/>
    <cellStyle name="Comma 2 4 2 2 7 4 2" xfId="42884"/>
    <cellStyle name="Comma 2 4 2 2 7 4 3" xfId="36460"/>
    <cellStyle name="Comma 2 4 2 2 7 5" xfId="21253"/>
    <cellStyle name="Comma 2 4 2 2 7 5 2" xfId="39677"/>
    <cellStyle name="Comma 2 4 2 2 7 6" xfId="22326"/>
    <cellStyle name="Comma 2 4 2 2 7 7" xfId="23455"/>
    <cellStyle name="Comma 2 4 2 2 7 8" xfId="26648"/>
    <cellStyle name="Comma 2 4 2 2 7 9" xfId="29981"/>
    <cellStyle name="Comma 2 4 2 2 8" xfId="1030"/>
    <cellStyle name="Comma 2 4 2 2 8 10" xfId="33254"/>
    <cellStyle name="Comma 2 4 2 2 8 2" xfId="9800"/>
    <cellStyle name="Comma 2 4 2 2 8 2 2" xfId="25600"/>
    <cellStyle name="Comma 2 4 2 2 8 2 2 2" xfId="45027"/>
    <cellStyle name="Comma 2 4 2 2 8 2 2 3" xfId="38604"/>
    <cellStyle name="Comma 2 4 2 2 8 2 3" xfId="27778"/>
    <cellStyle name="Comma 2 4 2 2 8 2 3 2" xfId="41820"/>
    <cellStyle name="Comma 2 4 2 2 8 2 4" xfId="31113"/>
    <cellStyle name="Comma 2 4 2 2 8 2 5" xfId="35396"/>
    <cellStyle name="Comma 2 4 2 2 8 3" xfId="15447"/>
    <cellStyle name="Comma 2 4 2 2 8 3 2" xfId="24462"/>
    <cellStyle name="Comma 2 4 2 2 8 3 2 2" xfId="43891"/>
    <cellStyle name="Comma 2 4 2 2 8 3 2 3" xfId="37468"/>
    <cellStyle name="Comma 2 4 2 2 8 3 3" xfId="28783"/>
    <cellStyle name="Comma 2 4 2 2 8 3 3 2" xfId="40684"/>
    <cellStyle name="Comma 2 4 2 2 8 3 4" xfId="32118"/>
    <cellStyle name="Comma 2 4 2 2 8 3 5" xfId="34260"/>
    <cellStyle name="Comma 2 4 2 2 8 4" xfId="8265"/>
    <cellStyle name="Comma 2 4 2 2 8 4 2" xfId="42885"/>
    <cellStyle name="Comma 2 4 2 2 8 4 3" xfId="36461"/>
    <cellStyle name="Comma 2 4 2 2 8 5" xfId="21254"/>
    <cellStyle name="Comma 2 4 2 2 8 5 2" xfId="39678"/>
    <cellStyle name="Comma 2 4 2 2 8 6" xfId="22327"/>
    <cellStyle name="Comma 2 4 2 2 8 7" xfId="23456"/>
    <cellStyle name="Comma 2 4 2 2 8 8" xfId="26649"/>
    <cellStyle name="Comma 2 4 2 2 8 9" xfId="29982"/>
    <cellStyle name="Comma 2 4 2 2 9" xfId="1031"/>
    <cellStyle name="Comma 2 4 2 2 9 10" xfId="33255"/>
    <cellStyle name="Comma 2 4 2 2 9 2" xfId="9801"/>
    <cellStyle name="Comma 2 4 2 2 9 2 2" xfId="25601"/>
    <cellStyle name="Comma 2 4 2 2 9 2 2 2" xfId="45028"/>
    <cellStyle name="Comma 2 4 2 2 9 2 2 3" xfId="38605"/>
    <cellStyle name="Comma 2 4 2 2 9 2 3" xfId="27779"/>
    <cellStyle name="Comma 2 4 2 2 9 2 3 2" xfId="41821"/>
    <cellStyle name="Comma 2 4 2 2 9 2 4" xfId="31114"/>
    <cellStyle name="Comma 2 4 2 2 9 2 5" xfId="35397"/>
    <cellStyle name="Comma 2 4 2 2 9 3" xfId="15448"/>
    <cellStyle name="Comma 2 4 2 2 9 3 2" xfId="24463"/>
    <cellStyle name="Comma 2 4 2 2 9 3 2 2" xfId="43892"/>
    <cellStyle name="Comma 2 4 2 2 9 3 2 3" xfId="37469"/>
    <cellStyle name="Comma 2 4 2 2 9 3 3" xfId="28784"/>
    <cellStyle name="Comma 2 4 2 2 9 3 3 2" xfId="40685"/>
    <cellStyle name="Comma 2 4 2 2 9 3 4" xfId="32119"/>
    <cellStyle name="Comma 2 4 2 2 9 3 5" xfId="34261"/>
    <cellStyle name="Comma 2 4 2 2 9 4" xfId="8266"/>
    <cellStyle name="Comma 2 4 2 2 9 4 2" xfId="42886"/>
    <cellStyle name="Comma 2 4 2 2 9 4 3" xfId="36462"/>
    <cellStyle name="Comma 2 4 2 2 9 5" xfId="21255"/>
    <cellStyle name="Comma 2 4 2 2 9 5 2" xfId="39679"/>
    <cellStyle name="Comma 2 4 2 2 9 6" xfId="22328"/>
    <cellStyle name="Comma 2 4 2 2 9 7" xfId="23457"/>
    <cellStyle name="Comma 2 4 2 2 9 8" xfId="26650"/>
    <cellStyle name="Comma 2 4 2 2 9 9" xfId="29983"/>
    <cellStyle name="Comma 2 4 2 20" xfId="29902"/>
    <cellStyle name="Comma 2 4 2 21" xfId="32837"/>
    <cellStyle name="Comma 2 4 2 3" xfId="246"/>
    <cellStyle name="Comma 2 4 2 3 10" xfId="1032"/>
    <cellStyle name="Comma 2 4 2 3 10 10" xfId="33256"/>
    <cellStyle name="Comma 2 4 2 3 10 2" xfId="9802"/>
    <cellStyle name="Comma 2 4 2 3 10 2 2" xfId="25602"/>
    <cellStyle name="Comma 2 4 2 3 10 2 2 2" xfId="45029"/>
    <cellStyle name="Comma 2 4 2 3 10 2 2 3" xfId="38606"/>
    <cellStyle name="Comma 2 4 2 3 10 2 3" xfId="27780"/>
    <cellStyle name="Comma 2 4 2 3 10 2 3 2" xfId="41822"/>
    <cellStyle name="Comma 2 4 2 3 10 2 4" xfId="31115"/>
    <cellStyle name="Comma 2 4 2 3 10 2 5" xfId="35398"/>
    <cellStyle name="Comma 2 4 2 3 10 3" xfId="15450"/>
    <cellStyle name="Comma 2 4 2 3 10 3 2" xfId="24465"/>
    <cellStyle name="Comma 2 4 2 3 10 3 2 2" xfId="43894"/>
    <cellStyle name="Comma 2 4 2 3 10 3 2 3" xfId="37471"/>
    <cellStyle name="Comma 2 4 2 3 10 3 3" xfId="28786"/>
    <cellStyle name="Comma 2 4 2 3 10 3 3 2" xfId="40687"/>
    <cellStyle name="Comma 2 4 2 3 10 3 4" xfId="32121"/>
    <cellStyle name="Comma 2 4 2 3 10 3 5" xfId="34263"/>
    <cellStyle name="Comma 2 4 2 3 10 4" xfId="8268"/>
    <cellStyle name="Comma 2 4 2 3 10 4 2" xfId="42887"/>
    <cellStyle name="Comma 2 4 2 3 10 4 3" xfId="36463"/>
    <cellStyle name="Comma 2 4 2 3 10 5" xfId="21257"/>
    <cellStyle name="Comma 2 4 2 3 10 5 2" xfId="39680"/>
    <cellStyle name="Comma 2 4 2 3 10 6" xfId="22330"/>
    <cellStyle name="Comma 2 4 2 3 10 7" xfId="23458"/>
    <cellStyle name="Comma 2 4 2 3 10 8" xfId="26652"/>
    <cellStyle name="Comma 2 4 2 3 10 9" xfId="29985"/>
    <cellStyle name="Comma 2 4 2 3 11" xfId="9106"/>
    <cellStyle name="Comma 2 4 2 3 11 2" xfId="25160"/>
    <cellStyle name="Comma 2 4 2 3 11 2 2" xfId="44587"/>
    <cellStyle name="Comma 2 4 2 3 11 2 3" xfId="38164"/>
    <cellStyle name="Comma 2 4 2 3 11 3" xfId="27339"/>
    <cellStyle name="Comma 2 4 2 3 11 3 2" xfId="41380"/>
    <cellStyle name="Comma 2 4 2 3 11 4" xfId="30674"/>
    <cellStyle name="Comma 2 4 2 3 11 5" xfId="34956"/>
    <cellStyle name="Comma 2 4 2 3 12" xfId="15449"/>
    <cellStyle name="Comma 2 4 2 3 12 2" xfId="24464"/>
    <cellStyle name="Comma 2 4 2 3 12 2 2" xfId="43893"/>
    <cellStyle name="Comma 2 4 2 3 12 2 3" xfId="37470"/>
    <cellStyle name="Comma 2 4 2 3 12 3" xfId="28785"/>
    <cellStyle name="Comma 2 4 2 3 12 3 2" xfId="40686"/>
    <cellStyle name="Comma 2 4 2 3 12 4" xfId="32120"/>
    <cellStyle name="Comma 2 4 2 3 12 5" xfId="34262"/>
    <cellStyle name="Comma 2 4 2 3 13" xfId="8267"/>
    <cellStyle name="Comma 2 4 2 3 13 2" xfId="42450"/>
    <cellStyle name="Comma 2 4 2 3 13 3" xfId="36026"/>
    <cellStyle name="Comma 2 4 2 3 14" xfId="21256"/>
    <cellStyle name="Comma 2 4 2 3 14 2" xfId="39243"/>
    <cellStyle name="Comma 2 4 2 3 15" xfId="22329"/>
    <cellStyle name="Comma 2 4 2 3 16" xfId="23021"/>
    <cellStyle name="Comma 2 4 2 3 17" xfId="26651"/>
    <cellStyle name="Comma 2 4 2 3 18" xfId="29984"/>
    <cellStyle name="Comma 2 4 2 3 19" xfId="32819"/>
    <cellStyle name="Comma 2 4 2 3 2" xfId="234"/>
    <cellStyle name="Comma 2 4 2 3 2 10" xfId="15451"/>
    <cellStyle name="Comma 2 4 2 3 2 10 2" xfId="24466"/>
    <cellStyle name="Comma 2 4 2 3 2 10 2 2" xfId="43895"/>
    <cellStyle name="Comma 2 4 2 3 2 10 2 3" xfId="37472"/>
    <cellStyle name="Comma 2 4 2 3 2 10 3" xfId="28787"/>
    <cellStyle name="Comma 2 4 2 3 2 10 3 2" xfId="40688"/>
    <cellStyle name="Comma 2 4 2 3 2 10 4" xfId="32122"/>
    <cellStyle name="Comma 2 4 2 3 2 10 5" xfId="34264"/>
    <cellStyle name="Comma 2 4 2 3 2 11" xfId="8269"/>
    <cellStyle name="Comma 2 4 2 3 2 11 2" xfId="42443"/>
    <cellStyle name="Comma 2 4 2 3 2 11 3" xfId="36019"/>
    <cellStyle name="Comma 2 4 2 3 2 12" xfId="21258"/>
    <cellStyle name="Comma 2 4 2 3 2 12 2" xfId="39236"/>
    <cellStyle name="Comma 2 4 2 3 2 13" xfId="22331"/>
    <cellStyle name="Comma 2 4 2 3 2 14" xfId="23014"/>
    <cellStyle name="Comma 2 4 2 3 2 15" xfId="26653"/>
    <cellStyle name="Comma 2 4 2 3 2 16" xfId="29986"/>
    <cellStyle name="Comma 2 4 2 3 2 17" xfId="32812"/>
    <cellStyle name="Comma 2 4 2 3 2 2" xfId="231"/>
    <cellStyle name="Comma 2 4 2 3 2 2 10" xfId="21259"/>
    <cellStyle name="Comma 2 4 2 3 2 2 10 2" xfId="39234"/>
    <cellStyle name="Comma 2 4 2 3 2 2 11" xfId="22332"/>
    <cellStyle name="Comma 2 4 2 3 2 2 12" xfId="23012"/>
    <cellStyle name="Comma 2 4 2 3 2 2 13" xfId="26654"/>
    <cellStyle name="Comma 2 4 2 3 2 2 14" xfId="29987"/>
    <cellStyle name="Comma 2 4 2 3 2 2 15" xfId="32810"/>
    <cellStyle name="Comma 2 4 2 3 2 2 2" xfId="1033"/>
    <cellStyle name="Comma 2 4 2 3 2 2 2 10" xfId="33257"/>
    <cellStyle name="Comma 2 4 2 3 2 2 2 2" xfId="9803"/>
    <cellStyle name="Comma 2 4 2 3 2 2 2 2 2" xfId="25603"/>
    <cellStyle name="Comma 2 4 2 3 2 2 2 2 2 2" xfId="45030"/>
    <cellStyle name="Comma 2 4 2 3 2 2 2 2 2 3" xfId="38607"/>
    <cellStyle name="Comma 2 4 2 3 2 2 2 2 3" xfId="27781"/>
    <cellStyle name="Comma 2 4 2 3 2 2 2 2 3 2" xfId="41823"/>
    <cellStyle name="Comma 2 4 2 3 2 2 2 2 4" xfId="31116"/>
    <cellStyle name="Comma 2 4 2 3 2 2 2 2 5" xfId="35399"/>
    <cellStyle name="Comma 2 4 2 3 2 2 2 3" xfId="15453"/>
    <cellStyle name="Comma 2 4 2 3 2 2 2 3 2" xfId="24468"/>
    <cellStyle name="Comma 2 4 2 3 2 2 2 3 2 2" xfId="43897"/>
    <cellStyle name="Comma 2 4 2 3 2 2 2 3 2 3" xfId="37474"/>
    <cellStyle name="Comma 2 4 2 3 2 2 2 3 3" xfId="28789"/>
    <cellStyle name="Comma 2 4 2 3 2 2 2 3 3 2" xfId="40690"/>
    <cellStyle name="Comma 2 4 2 3 2 2 2 3 4" xfId="32124"/>
    <cellStyle name="Comma 2 4 2 3 2 2 2 3 5" xfId="34266"/>
    <cellStyle name="Comma 2 4 2 3 2 2 2 4" xfId="8271"/>
    <cellStyle name="Comma 2 4 2 3 2 2 2 4 2" xfId="42888"/>
    <cellStyle name="Comma 2 4 2 3 2 2 2 4 3" xfId="36464"/>
    <cellStyle name="Comma 2 4 2 3 2 2 2 5" xfId="21260"/>
    <cellStyle name="Comma 2 4 2 3 2 2 2 5 2" xfId="39681"/>
    <cellStyle name="Comma 2 4 2 3 2 2 2 6" xfId="22333"/>
    <cellStyle name="Comma 2 4 2 3 2 2 2 7" xfId="23459"/>
    <cellStyle name="Comma 2 4 2 3 2 2 2 8" xfId="26655"/>
    <cellStyle name="Comma 2 4 2 3 2 2 2 9" xfId="29988"/>
    <cellStyle name="Comma 2 4 2 3 2 2 3" xfId="1034"/>
    <cellStyle name="Comma 2 4 2 3 2 2 3 10" xfId="33258"/>
    <cellStyle name="Comma 2 4 2 3 2 2 3 2" xfId="9804"/>
    <cellStyle name="Comma 2 4 2 3 2 2 3 2 2" xfId="25604"/>
    <cellStyle name="Comma 2 4 2 3 2 2 3 2 2 2" xfId="45031"/>
    <cellStyle name="Comma 2 4 2 3 2 2 3 2 2 3" xfId="38608"/>
    <cellStyle name="Comma 2 4 2 3 2 2 3 2 3" xfId="27782"/>
    <cellStyle name="Comma 2 4 2 3 2 2 3 2 3 2" xfId="41824"/>
    <cellStyle name="Comma 2 4 2 3 2 2 3 2 4" xfId="31117"/>
    <cellStyle name="Comma 2 4 2 3 2 2 3 2 5" xfId="35400"/>
    <cellStyle name="Comma 2 4 2 3 2 2 3 3" xfId="15454"/>
    <cellStyle name="Comma 2 4 2 3 2 2 3 3 2" xfId="24469"/>
    <cellStyle name="Comma 2 4 2 3 2 2 3 3 2 2" xfId="43898"/>
    <cellStyle name="Comma 2 4 2 3 2 2 3 3 2 3" xfId="37475"/>
    <cellStyle name="Comma 2 4 2 3 2 2 3 3 3" xfId="28790"/>
    <cellStyle name="Comma 2 4 2 3 2 2 3 3 3 2" xfId="40691"/>
    <cellStyle name="Comma 2 4 2 3 2 2 3 3 4" xfId="32125"/>
    <cellStyle name="Comma 2 4 2 3 2 2 3 3 5" xfId="34267"/>
    <cellStyle name="Comma 2 4 2 3 2 2 3 4" xfId="8272"/>
    <cellStyle name="Comma 2 4 2 3 2 2 3 4 2" xfId="42889"/>
    <cellStyle name="Comma 2 4 2 3 2 2 3 4 3" xfId="36465"/>
    <cellStyle name="Comma 2 4 2 3 2 2 3 5" xfId="21261"/>
    <cellStyle name="Comma 2 4 2 3 2 2 3 5 2" xfId="39682"/>
    <cellStyle name="Comma 2 4 2 3 2 2 3 6" xfId="22334"/>
    <cellStyle name="Comma 2 4 2 3 2 2 3 7" xfId="23460"/>
    <cellStyle name="Comma 2 4 2 3 2 2 3 8" xfId="26656"/>
    <cellStyle name="Comma 2 4 2 3 2 2 3 9" xfId="29989"/>
    <cellStyle name="Comma 2 4 2 3 2 2 4" xfId="1035"/>
    <cellStyle name="Comma 2 4 2 3 2 2 4 10" xfId="33259"/>
    <cellStyle name="Comma 2 4 2 3 2 2 4 2" xfId="9805"/>
    <cellStyle name="Comma 2 4 2 3 2 2 4 2 2" xfId="25605"/>
    <cellStyle name="Comma 2 4 2 3 2 2 4 2 2 2" xfId="45032"/>
    <cellStyle name="Comma 2 4 2 3 2 2 4 2 2 3" xfId="38609"/>
    <cellStyle name="Comma 2 4 2 3 2 2 4 2 3" xfId="27783"/>
    <cellStyle name="Comma 2 4 2 3 2 2 4 2 3 2" xfId="41825"/>
    <cellStyle name="Comma 2 4 2 3 2 2 4 2 4" xfId="31118"/>
    <cellStyle name="Comma 2 4 2 3 2 2 4 2 5" xfId="35401"/>
    <cellStyle name="Comma 2 4 2 3 2 2 4 3" xfId="15455"/>
    <cellStyle name="Comma 2 4 2 3 2 2 4 3 2" xfId="24470"/>
    <cellStyle name="Comma 2 4 2 3 2 2 4 3 2 2" xfId="43899"/>
    <cellStyle name="Comma 2 4 2 3 2 2 4 3 2 3" xfId="37476"/>
    <cellStyle name="Comma 2 4 2 3 2 2 4 3 3" xfId="28791"/>
    <cellStyle name="Comma 2 4 2 3 2 2 4 3 3 2" xfId="40692"/>
    <cellStyle name="Comma 2 4 2 3 2 2 4 3 4" xfId="32126"/>
    <cellStyle name="Comma 2 4 2 3 2 2 4 3 5" xfId="34268"/>
    <cellStyle name="Comma 2 4 2 3 2 2 4 4" xfId="8273"/>
    <cellStyle name="Comma 2 4 2 3 2 2 4 4 2" xfId="42890"/>
    <cellStyle name="Comma 2 4 2 3 2 2 4 4 3" xfId="36466"/>
    <cellStyle name="Comma 2 4 2 3 2 2 4 5" xfId="21262"/>
    <cellStyle name="Comma 2 4 2 3 2 2 4 5 2" xfId="39683"/>
    <cellStyle name="Comma 2 4 2 3 2 2 4 6" xfId="22335"/>
    <cellStyle name="Comma 2 4 2 3 2 2 4 7" xfId="23461"/>
    <cellStyle name="Comma 2 4 2 3 2 2 4 8" xfId="26657"/>
    <cellStyle name="Comma 2 4 2 3 2 2 4 9" xfId="29990"/>
    <cellStyle name="Comma 2 4 2 3 2 2 5" xfId="1036"/>
    <cellStyle name="Comma 2 4 2 3 2 2 5 10" xfId="33260"/>
    <cellStyle name="Comma 2 4 2 3 2 2 5 2" xfId="9806"/>
    <cellStyle name="Comma 2 4 2 3 2 2 5 2 2" xfId="25606"/>
    <cellStyle name="Comma 2 4 2 3 2 2 5 2 2 2" xfId="45033"/>
    <cellStyle name="Comma 2 4 2 3 2 2 5 2 2 3" xfId="38610"/>
    <cellStyle name="Comma 2 4 2 3 2 2 5 2 3" xfId="27784"/>
    <cellStyle name="Comma 2 4 2 3 2 2 5 2 3 2" xfId="41826"/>
    <cellStyle name="Comma 2 4 2 3 2 2 5 2 4" xfId="31119"/>
    <cellStyle name="Comma 2 4 2 3 2 2 5 2 5" xfId="35402"/>
    <cellStyle name="Comma 2 4 2 3 2 2 5 3" xfId="15456"/>
    <cellStyle name="Comma 2 4 2 3 2 2 5 3 2" xfId="24471"/>
    <cellStyle name="Comma 2 4 2 3 2 2 5 3 2 2" xfId="43900"/>
    <cellStyle name="Comma 2 4 2 3 2 2 5 3 2 3" xfId="37477"/>
    <cellStyle name="Comma 2 4 2 3 2 2 5 3 3" xfId="28792"/>
    <cellStyle name="Comma 2 4 2 3 2 2 5 3 3 2" xfId="40693"/>
    <cellStyle name="Comma 2 4 2 3 2 2 5 3 4" xfId="32127"/>
    <cellStyle name="Comma 2 4 2 3 2 2 5 3 5" xfId="34269"/>
    <cellStyle name="Comma 2 4 2 3 2 2 5 4" xfId="8274"/>
    <cellStyle name="Comma 2 4 2 3 2 2 5 4 2" xfId="42891"/>
    <cellStyle name="Comma 2 4 2 3 2 2 5 4 3" xfId="36467"/>
    <cellStyle name="Comma 2 4 2 3 2 2 5 5" xfId="21263"/>
    <cellStyle name="Comma 2 4 2 3 2 2 5 5 2" xfId="39684"/>
    <cellStyle name="Comma 2 4 2 3 2 2 5 6" xfId="22336"/>
    <cellStyle name="Comma 2 4 2 3 2 2 5 7" xfId="23462"/>
    <cellStyle name="Comma 2 4 2 3 2 2 5 8" xfId="26658"/>
    <cellStyle name="Comma 2 4 2 3 2 2 5 9" xfId="29991"/>
    <cellStyle name="Comma 2 4 2 3 2 2 6" xfId="1037"/>
    <cellStyle name="Comma 2 4 2 3 2 2 6 10" xfId="33261"/>
    <cellStyle name="Comma 2 4 2 3 2 2 6 2" xfId="9807"/>
    <cellStyle name="Comma 2 4 2 3 2 2 6 2 2" xfId="25607"/>
    <cellStyle name="Comma 2 4 2 3 2 2 6 2 2 2" xfId="45034"/>
    <cellStyle name="Comma 2 4 2 3 2 2 6 2 2 3" xfId="38611"/>
    <cellStyle name="Comma 2 4 2 3 2 2 6 2 3" xfId="27785"/>
    <cellStyle name="Comma 2 4 2 3 2 2 6 2 3 2" xfId="41827"/>
    <cellStyle name="Comma 2 4 2 3 2 2 6 2 4" xfId="31120"/>
    <cellStyle name="Comma 2 4 2 3 2 2 6 2 5" xfId="35403"/>
    <cellStyle name="Comma 2 4 2 3 2 2 6 3" xfId="15457"/>
    <cellStyle name="Comma 2 4 2 3 2 2 6 3 2" xfId="24472"/>
    <cellStyle name="Comma 2 4 2 3 2 2 6 3 2 2" xfId="43901"/>
    <cellStyle name="Comma 2 4 2 3 2 2 6 3 2 3" xfId="37478"/>
    <cellStyle name="Comma 2 4 2 3 2 2 6 3 3" xfId="28793"/>
    <cellStyle name="Comma 2 4 2 3 2 2 6 3 3 2" xfId="40694"/>
    <cellStyle name="Comma 2 4 2 3 2 2 6 3 4" xfId="32128"/>
    <cellStyle name="Comma 2 4 2 3 2 2 6 3 5" xfId="34270"/>
    <cellStyle name="Comma 2 4 2 3 2 2 6 4" xfId="8275"/>
    <cellStyle name="Comma 2 4 2 3 2 2 6 4 2" xfId="42892"/>
    <cellStyle name="Comma 2 4 2 3 2 2 6 4 3" xfId="36468"/>
    <cellStyle name="Comma 2 4 2 3 2 2 6 5" xfId="21264"/>
    <cellStyle name="Comma 2 4 2 3 2 2 6 5 2" xfId="39685"/>
    <cellStyle name="Comma 2 4 2 3 2 2 6 6" xfId="22337"/>
    <cellStyle name="Comma 2 4 2 3 2 2 6 7" xfId="23463"/>
    <cellStyle name="Comma 2 4 2 3 2 2 6 8" xfId="26659"/>
    <cellStyle name="Comma 2 4 2 3 2 2 6 9" xfId="29992"/>
    <cellStyle name="Comma 2 4 2 3 2 2 7" xfId="9096"/>
    <cellStyle name="Comma 2 4 2 3 2 2 7 2" xfId="25151"/>
    <cellStyle name="Comma 2 4 2 3 2 2 7 2 2" xfId="44578"/>
    <cellStyle name="Comma 2 4 2 3 2 2 7 2 3" xfId="38155"/>
    <cellStyle name="Comma 2 4 2 3 2 2 7 3" xfId="27330"/>
    <cellStyle name="Comma 2 4 2 3 2 2 7 3 2" xfId="41371"/>
    <cellStyle name="Comma 2 4 2 3 2 2 7 4" xfId="30665"/>
    <cellStyle name="Comma 2 4 2 3 2 2 7 5" xfId="34947"/>
    <cellStyle name="Comma 2 4 2 3 2 2 8" xfId="15452"/>
    <cellStyle name="Comma 2 4 2 3 2 2 8 2" xfId="24467"/>
    <cellStyle name="Comma 2 4 2 3 2 2 8 2 2" xfId="43896"/>
    <cellStyle name="Comma 2 4 2 3 2 2 8 2 3" xfId="37473"/>
    <cellStyle name="Comma 2 4 2 3 2 2 8 3" xfId="28788"/>
    <cellStyle name="Comma 2 4 2 3 2 2 8 3 2" xfId="40689"/>
    <cellStyle name="Comma 2 4 2 3 2 2 8 4" xfId="32123"/>
    <cellStyle name="Comma 2 4 2 3 2 2 8 5" xfId="34265"/>
    <cellStyle name="Comma 2 4 2 3 2 2 9" xfId="8270"/>
    <cellStyle name="Comma 2 4 2 3 2 2 9 2" xfId="42441"/>
    <cellStyle name="Comma 2 4 2 3 2 2 9 3" xfId="36017"/>
    <cellStyle name="Comma 2 4 2 3 2 3" xfId="1038"/>
    <cellStyle name="Comma 2 4 2 3 2 3 10" xfId="22338"/>
    <cellStyle name="Comma 2 4 2 3 2 3 11" xfId="23464"/>
    <cellStyle name="Comma 2 4 2 3 2 3 12" xfId="26660"/>
    <cellStyle name="Comma 2 4 2 3 2 3 13" xfId="29993"/>
    <cellStyle name="Comma 2 4 2 3 2 3 14" xfId="33262"/>
    <cellStyle name="Comma 2 4 2 3 2 3 2" xfId="1039"/>
    <cellStyle name="Comma 2 4 2 3 2 3 2 10" xfId="33263"/>
    <cellStyle name="Comma 2 4 2 3 2 3 2 2" xfId="9809"/>
    <cellStyle name="Comma 2 4 2 3 2 3 2 2 2" xfId="25609"/>
    <cellStyle name="Comma 2 4 2 3 2 3 2 2 2 2" xfId="45036"/>
    <cellStyle name="Comma 2 4 2 3 2 3 2 2 2 3" xfId="38613"/>
    <cellStyle name="Comma 2 4 2 3 2 3 2 2 3" xfId="27787"/>
    <cellStyle name="Comma 2 4 2 3 2 3 2 2 3 2" xfId="41829"/>
    <cellStyle name="Comma 2 4 2 3 2 3 2 2 4" xfId="31122"/>
    <cellStyle name="Comma 2 4 2 3 2 3 2 2 5" xfId="35405"/>
    <cellStyle name="Comma 2 4 2 3 2 3 2 3" xfId="15459"/>
    <cellStyle name="Comma 2 4 2 3 2 3 2 3 2" xfId="24474"/>
    <cellStyle name="Comma 2 4 2 3 2 3 2 3 2 2" xfId="43903"/>
    <cellStyle name="Comma 2 4 2 3 2 3 2 3 2 3" xfId="37480"/>
    <cellStyle name="Comma 2 4 2 3 2 3 2 3 3" xfId="28795"/>
    <cellStyle name="Comma 2 4 2 3 2 3 2 3 3 2" xfId="40696"/>
    <cellStyle name="Comma 2 4 2 3 2 3 2 3 4" xfId="32130"/>
    <cellStyle name="Comma 2 4 2 3 2 3 2 3 5" xfId="34272"/>
    <cellStyle name="Comma 2 4 2 3 2 3 2 4" xfId="8277"/>
    <cellStyle name="Comma 2 4 2 3 2 3 2 4 2" xfId="42894"/>
    <cellStyle name="Comma 2 4 2 3 2 3 2 4 3" xfId="36470"/>
    <cellStyle name="Comma 2 4 2 3 2 3 2 5" xfId="21266"/>
    <cellStyle name="Comma 2 4 2 3 2 3 2 5 2" xfId="39687"/>
    <cellStyle name="Comma 2 4 2 3 2 3 2 6" xfId="22339"/>
    <cellStyle name="Comma 2 4 2 3 2 3 2 7" xfId="23465"/>
    <cellStyle name="Comma 2 4 2 3 2 3 2 8" xfId="26661"/>
    <cellStyle name="Comma 2 4 2 3 2 3 2 9" xfId="29994"/>
    <cellStyle name="Comma 2 4 2 3 2 3 3" xfId="1040"/>
    <cellStyle name="Comma 2 4 2 3 2 3 3 10" xfId="33264"/>
    <cellStyle name="Comma 2 4 2 3 2 3 3 2" xfId="9810"/>
    <cellStyle name="Comma 2 4 2 3 2 3 3 2 2" xfId="25610"/>
    <cellStyle name="Comma 2 4 2 3 2 3 3 2 2 2" xfId="45037"/>
    <cellStyle name="Comma 2 4 2 3 2 3 3 2 2 3" xfId="38614"/>
    <cellStyle name="Comma 2 4 2 3 2 3 3 2 3" xfId="27788"/>
    <cellStyle name="Comma 2 4 2 3 2 3 3 2 3 2" xfId="41830"/>
    <cellStyle name="Comma 2 4 2 3 2 3 3 2 4" xfId="31123"/>
    <cellStyle name="Comma 2 4 2 3 2 3 3 2 5" xfId="35406"/>
    <cellStyle name="Comma 2 4 2 3 2 3 3 3" xfId="15460"/>
    <cellStyle name="Comma 2 4 2 3 2 3 3 3 2" xfId="24475"/>
    <cellStyle name="Comma 2 4 2 3 2 3 3 3 2 2" xfId="43904"/>
    <cellStyle name="Comma 2 4 2 3 2 3 3 3 2 3" xfId="37481"/>
    <cellStyle name="Comma 2 4 2 3 2 3 3 3 3" xfId="28796"/>
    <cellStyle name="Comma 2 4 2 3 2 3 3 3 3 2" xfId="40697"/>
    <cellStyle name="Comma 2 4 2 3 2 3 3 3 4" xfId="32131"/>
    <cellStyle name="Comma 2 4 2 3 2 3 3 3 5" xfId="34273"/>
    <cellStyle name="Comma 2 4 2 3 2 3 3 4" xfId="8278"/>
    <cellStyle name="Comma 2 4 2 3 2 3 3 4 2" xfId="42895"/>
    <cellStyle name="Comma 2 4 2 3 2 3 3 4 3" xfId="36471"/>
    <cellStyle name="Comma 2 4 2 3 2 3 3 5" xfId="21267"/>
    <cellStyle name="Comma 2 4 2 3 2 3 3 5 2" xfId="39688"/>
    <cellStyle name="Comma 2 4 2 3 2 3 3 6" xfId="22340"/>
    <cellStyle name="Comma 2 4 2 3 2 3 3 7" xfId="23466"/>
    <cellStyle name="Comma 2 4 2 3 2 3 3 8" xfId="26662"/>
    <cellStyle name="Comma 2 4 2 3 2 3 3 9" xfId="29995"/>
    <cellStyle name="Comma 2 4 2 3 2 3 4" xfId="1041"/>
    <cellStyle name="Comma 2 4 2 3 2 3 4 10" xfId="33265"/>
    <cellStyle name="Comma 2 4 2 3 2 3 4 2" xfId="9811"/>
    <cellStyle name="Comma 2 4 2 3 2 3 4 2 2" xfId="25611"/>
    <cellStyle name="Comma 2 4 2 3 2 3 4 2 2 2" xfId="45038"/>
    <cellStyle name="Comma 2 4 2 3 2 3 4 2 2 3" xfId="38615"/>
    <cellStyle name="Comma 2 4 2 3 2 3 4 2 3" xfId="27789"/>
    <cellStyle name="Comma 2 4 2 3 2 3 4 2 3 2" xfId="41831"/>
    <cellStyle name="Comma 2 4 2 3 2 3 4 2 4" xfId="31124"/>
    <cellStyle name="Comma 2 4 2 3 2 3 4 2 5" xfId="35407"/>
    <cellStyle name="Comma 2 4 2 3 2 3 4 3" xfId="15461"/>
    <cellStyle name="Comma 2 4 2 3 2 3 4 3 2" xfId="24476"/>
    <cellStyle name="Comma 2 4 2 3 2 3 4 3 2 2" xfId="43905"/>
    <cellStyle name="Comma 2 4 2 3 2 3 4 3 2 3" xfId="37482"/>
    <cellStyle name="Comma 2 4 2 3 2 3 4 3 3" xfId="28797"/>
    <cellStyle name="Comma 2 4 2 3 2 3 4 3 3 2" xfId="40698"/>
    <cellStyle name="Comma 2 4 2 3 2 3 4 3 4" xfId="32132"/>
    <cellStyle name="Comma 2 4 2 3 2 3 4 3 5" xfId="34274"/>
    <cellStyle name="Comma 2 4 2 3 2 3 4 4" xfId="8279"/>
    <cellStyle name="Comma 2 4 2 3 2 3 4 4 2" xfId="42896"/>
    <cellStyle name="Comma 2 4 2 3 2 3 4 4 3" xfId="36472"/>
    <cellStyle name="Comma 2 4 2 3 2 3 4 5" xfId="21268"/>
    <cellStyle name="Comma 2 4 2 3 2 3 4 5 2" xfId="39689"/>
    <cellStyle name="Comma 2 4 2 3 2 3 4 6" xfId="22341"/>
    <cellStyle name="Comma 2 4 2 3 2 3 4 7" xfId="23467"/>
    <cellStyle name="Comma 2 4 2 3 2 3 4 8" xfId="26663"/>
    <cellStyle name="Comma 2 4 2 3 2 3 4 9" xfId="29996"/>
    <cellStyle name="Comma 2 4 2 3 2 3 5" xfId="1042"/>
    <cellStyle name="Comma 2 4 2 3 2 3 5 10" xfId="33266"/>
    <cellStyle name="Comma 2 4 2 3 2 3 5 2" xfId="9812"/>
    <cellStyle name="Comma 2 4 2 3 2 3 5 2 2" xfId="25612"/>
    <cellStyle name="Comma 2 4 2 3 2 3 5 2 2 2" xfId="45039"/>
    <cellStyle name="Comma 2 4 2 3 2 3 5 2 2 3" xfId="38616"/>
    <cellStyle name="Comma 2 4 2 3 2 3 5 2 3" xfId="27790"/>
    <cellStyle name="Comma 2 4 2 3 2 3 5 2 3 2" xfId="41832"/>
    <cellStyle name="Comma 2 4 2 3 2 3 5 2 4" xfId="31125"/>
    <cellStyle name="Comma 2 4 2 3 2 3 5 2 5" xfId="35408"/>
    <cellStyle name="Comma 2 4 2 3 2 3 5 3" xfId="15462"/>
    <cellStyle name="Comma 2 4 2 3 2 3 5 3 2" xfId="24477"/>
    <cellStyle name="Comma 2 4 2 3 2 3 5 3 2 2" xfId="43906"/>
    <cellStyle name="Comma 2 4 2 3 2 3 5 3 2 3" xfId="37483"/>
    <cellStyle name="Comma 2 4 2 3 2 3 5 3 3" xfId="28798"/>
    <cellStyle name="Comma 2 4 2 3 2 3 5 3 3 2" xfId="40699"/>
    <cellStyle name="Comma 2 4 2 3 2 3 5 3 4" xfId="32133"/>
    <cellStyle name="Comma 2 4 2 3 2 3 5 3 5" xfId="34275"/>
    <cellStyle name="Comma 2 4 2 3 2 3 5 4" xfId="8280"/>
    <cellStyle name="Comma 2 4 2 3 2 3 5 4 2" xfId="42897"/>
    <cellStyle name="Comma 2 4 2 3 2 3 5 4 3" xfId="36473"/>
    <cellStyle name="Comma 2 4 2 3 2 3 5 5" xfId="21269"/>
    <cellStyle name="Comma 2 4 2 3 2 3 5 5 2" xfId="39690"/>
    <cellStyle name="Comma 2 4 2 3 2 3 5 6" xfId="22342"/>
    <cellStyle name="Comma 2 4 2 3 2 3 5 7" xfId="23468"/>
    <cellStyle name="Comma 2 4 2 3 2 3 5 8" xfId="26664"/>
    <cellStyle name="Comma 2 4 2 3 2 3 5 9" xfId="29997"/>
    <cellStyle name="Comma 2 4 2 3 2 3 6" xfId="9808"/>
    <cellStyle name="Comma 2 4 2 3 2 3 6 2" xfId="25608"/>
    <cellStyle name="Comma 2 4 2 3 2 3 6 2 2" xfId="45035"/>
    <cellStyle name="Comma 2 4 2 3 2 3 6 2 3" xfId="38612"/>
    <cellStyle name="Comma 2 4 2 3 2 3 6 3" xfId="27786"/>
    <cellStyle name="Comma 2 4 2 3 2 3 6 3 2" xfId="41828"/>
    <cellStyle name="Comma 2 4 2 3 2 3 6 4" xfId="31121"/>
    <cellStyle name="Comma 2 4 2 3 2 3 6 5" xfId="35404"/>
    <cellStyle name="Comma 2 4 2 3 2 3 7" xfId="15458"/>
    <cellStyle name="Comma 2 4 2 3 2 3 7 2" xfId="24473"/>
    <cellStyle name="Comma 2 4 2 3 2 3 7 2 2" xfId="43902"/>
    <cellStyle name="Comma 2 4 2 3 2 3 7 2 3" xfId="37479"/>
    <cellStyle name="Comma 2 4 2 3 2 3 7 3" xfId="28794"/>
    <cellStyle name="Comma 2 4 2 3 2 3 7 3 2" xfId="40695"/>
    <cellStyle name="Comma 2 4 2 3 2 3 7 4" xfId="32129"/>
    <cellStyle name="Comma 2 4 2 3 2 3 7 5" xfId="34271"/>
    <cellStyle name="Comma 2 4 2 3 2 3 8" xfId="8276"/>
    <cellStyle name="Comma 2 4 2 3 2 3 8 2" xfId="42893"/>
    <cellStyle name="Comma 2 4 2 3 2 3 8 3" xfId="36469"/>
    <cellStyle name="Comma 2 4 2 3 2 3 9" xfId="21265"/>
    <cellStyle name="Comma 2 4 2 3 2 3 9 2" xfId="39686"/>
    <cellStyle name="Comma 2 4 2 3 2 4" xfId="1043"/>
    <cellStyle name="Comma 2 4 2 3 2 4 10" xfId="33267"/>
    <cellStyle name="Comma 2 4 2 3 2 4 2" xfId="9813"/>
    <cellStyle name="Comma 2 4 2 3 2 4 2 2" xfId="25613"/>
    <cellStyle name="Comma 2 4 2 3 2 4 2 2 2" xfId="45040"/>
    <cellStyle name="Comma 2 4 2 3 2 4 2 2 3" xfId="38617"/>
    <cellStyle name="Comma 2 4 2 3 2 4 2 3" xfId="27791"/>
    <cellStyle name="Comma 2 4 2 3 2 4 2 3 2" xfId="41833"/>
    <cellStyle name="Comma 2 4 2 3 2 4 2 4" xfId="31126"/>
    <cellStyle name="Comma 2 4 2 3 2 4 2 5" xfId="35409"/>
    <cellStyle name="Comma 2 4 2 3 2 4 3" xfId="15463"/>
    <cellStyle name="Comma 2 4 2 3 2 4 3 2" xfId="24478"/>
    <cellStyle name="Comma 2 4 2 3 2 4 3 2 2" xfId="43907"/>
    <cellStyle name="Comma 2 4 2 3 2 4 3 2 3" xfId="37484"/>
    <cellStyle name="Comma 2 4 2 3 2 4 3 3" xfId="28799"/>
    <cellStyle name="Comma 2 4 2 3 2 4 3 3 2" xfId="40700"/>
    <cellStyle name="Comma 2 4 2 3 2 4 3 4" xfId="32134"/>
    <cellStyle name="Comma 2 4 2 3 2 4 3 5" xfId="34276"/>
    <cellStyle name="Comma 2 4 2 3 2 4 4" xfId="8281"/>
    <cellStyle name="Comma 2 4 2 3 2 4 4 2" xfId="42898"/>
    <cellStyle name="Comma 2 4 2 3 2 4 4 3" xfId="36474"/>
    <cellStyle name="Comma 2 4 2 3 2 4 5" xfId="21270"/>
    <cellStyle name="Comma 2 4 2 3 2 4 5 2" xfId="39691"/>
    <cellStyle name="Comma 2 4 2 3 2 4 6" xfId="22343"/>
    <cellStyle name="Comma 2 4 2 3 2 4 7" xfId="23469"/>
    <cellStyle name="Comma 2 4 2 3 2 4 8" xfId="26665"/>
    <cellStyle name="Comma 2 4 2 3 2 4 9" xfId="29998"/>
    <cellStyle name="Comma 2 4 2 3 2 5" xfId="1044"/>
    <cellStyle name="Comma 2 4 2 3 2 5 10" xfId="33268"/>
    <cellStyle name="Comma 2 4 2 3 2 5 2" xfId="9814"/>
    <cellStyle name="Comma 2 4 2 3 2 5 2 2" xfId="25614"/>
    <cellStyle name="Comma 2 4 2 3 2 5 2 2 2" xfId="45041"/>
    <cellStyle name="Comma 2 4 2 3 2 5 2 2 3" xfId="38618"/>
    <cellStyle name="Comma 2 4 2 3 2 5 2 3" xfId="27792"/>
    <cellStyle name="Comma 2 4 2 3 2 5 2 3 2" xfId="41834"/>
    <cellStyle name="Comma 2 4 2 3 2 5 2 4" xfId="31127"/>
    <cellStyle name="Comma 2 4 2 3 2 5 2 5" xfId="35410"/>
    <cellStyle name="Comma 2 4 2 3 2 5 3" xfId="15464"/>
    <cellStyle name="Comma 2 4 2 3 2 5 3 2" xfId="24479"/>
    <cellStyle name="Comma 2 4 2 3 2 5 3 2 2" xfId="43908"/>
    <cellStyle name="Comma 2 4 2 3 2 5 3 2 3" xfId="37485"/>
    <cellStyle name="Comma 2 4 2 3 2 5 3 3" xfId="28800"/>
    <cellStyle name="Comma 2 4 2 3 2 5 3 3 2" xfId="40701"/>
    <cellStyle name="Comma 2 4 2 3 2 5 3 4" xfId="32135"/>
    <cellStyle name="Comma 2 4 2 3 2 5 3 5" xfId="34277"/>
    <cellStyle name="Comma 2 4 2 3 2 5 4" xfId="8282"/>
    <cellStyle name="Comma 2 4 2 3 2 5 4 2" xfId="42899"/>
    <cellStyle name="Comma 2 4 2 3 2 5 4 3" xfId="36475"/>
    <cellStyle name="Comma 2 4 2 3 2 5 5" xfId="21271"/>
    <cellStyle name="Comma 2 4 2 3 2 5 5 2" xfId="39692"/>
    <cellStyle name="Comma 2 4 2 3 2 5 6" xfId="22344"/>
    <cellStyle name="Comma 2 4 2 3 2 5 7" xfId="23470"/>
    <cellStyle name="Comma 2 4 2 3 2 5 8" xfId="26666"/>
    <cellStyle name="Comma 2 4 2 3 2 5 9" xfId="29999"/>
    <cellStyle name="Comma 2 4 2 3 2 6" xfId="1045"/>
    <cellStyle name="Comma 2 4 2 3 2 6 10" xfId="33269"/>
    <cellStyle name="Comma 2 4 2 3 2 6 2" xfId="9815"/>
    <cellStyle name="Comma 2 4 2 3 2 6 2 2" xfId="25615"/>
    <cellStyle name="Comma 2 4 2 3 2 6 2 2 2" xfId="45042"/>
    <cellStyle name="Comma 2 4 2 3 2 6 2 2 3" xfId="38619"/>
    <cellStyle name="Comma 2 4 2 3 2 6 2 3" xfId="27793"/>
    <cellStyle name="Comma 2 4 2 3 2 6 2 3 2" xfId="41835"/>
    <cellStyle name="Comma 2 4 2 3 2 6 2 4" xfId="31128"/>
    <cellStyle name="Comma 2 4 2 3 2 6 2 5" xfId="35411"/>
    <cellStyle name="Comma 2 4 2 3 2 6 3" xfId="15465"/>
    <cellStyle name="Comma 2 4 2 3 2 6 3 2" xfId="24480"/>
    <cellStyle name="Comma 2 4 2 3 2 6 3 2 2" xfId="43909"/>
    <cellStyle name="Comma 2 4 2 3 2 6 3 2 3" xfId="37486"/>
    <cellStyle name="Comma 2 4 2 3 2 6 3 3" xfId="28801"/>
    <cellStyle name="Comma 2 4 2 3 2 6 3 3 2" xfId="40702"/>
    <cellStyle name="Comma 2 4 2 3 2 6 3 4" xfId="32136"/>
    <cellStyle name="Comma 2 4 2 3 2 6 3 5" xfId="34278"/>
    <cellStyle name="Comma 2 4 2 3 2 6 4" xfId="8283"/>
    <cellStyle name="Comma 2 4 2 3 2 6 4 2" xfId="42900"/>
    <cellStyle name="Comma 2 4 2 3 2 6 4 3" xfId="36476"/>
    <cellStyle name="Comma 2 4 2 3 2 6 5" xfId="21272"/>
    <cellStyle name="Comma 2 4 2 3 2 6 5 2" xfId="39693"/>
    <cellStyle name="Comma 2 4 2 3 2 6 6" xfId="22345"/>
    <cellStyle name="Comma 2 4 2 3 2 6 7" xfId="23471"/>
    <cellStyle name="Comma 2 4 2 3 2 6 8" xfId="26667"/>
    <cellStyle name="Comma 2 4 2 3 2 6 9" xfId="30000"/>
    <cellStyle name="Comma 2 4 2 3 2 7" xfId="1046"/>
    <cellStyle name="Comma 2 4 2 3 2 7 10" xfId="33270"/>
    <cellStyle name="Comma 2 4 2 3 2 7 2" xfId="9816"/>
    <cellStyle name="Comma 2 4 2 3 2 7 2 2" xfId="25616"/>
    <cellStyle name="Comma 2 4 2 3 2 7 2 2 2" xfId="45043"/>
    <cellStyle name="Comma 2 4 2 3 2 7 2 2 3" xfId="38620"/>
    <cellStyle name="Comma 2 4 2 3 2 7 2 3" xfId="27794"/>
    <cellStyle name="Comma 2 4 2 3 2 7 2 3 2" xfId="41836"/>
    <cellStyle name="Comma 2 4 2 3 2 7 2 4" xfId="31129"/>
    <cellStyle name="Comma 2 4 2 3 2 7 2 5" xfId="35412"/>
    <cellStyle name="Comma 2 4 2 3 2 7 3" xfId="15466"/>
    <cellStyle name="Comma 2 4 2 3 2 7 3 2" xfId="24481"/>
    <cellStyle name="Comma 2 4 2 3 2 7 3 2 2" xfId="43910"/>
    <cellStyle name="Comma 2 4 2 3 2 7 3 2 3" xfId="37487"/>
    <cellStyle name="Comma 2 4 2 3 2 7 3 3" xfId="28802"/>
    <cellStyle name="Comma 2 4 2 3 2 7 3 3 2" xfId="40703"/>
    <cellStyle name="Comma 2 4 2 3 2 7 3 4" xfId="32137"/>
    <cellStyle name="Comma 2 4 2 3 2 7 3 5" xfId="34279"/>
    <cellStyle name="Comma 2 4 2 3 2 7 4" xfId="8284"/>
    <cellStyle name="Comma 2 4 2 3 2 7 4 2" xfId="42901"/>
    <cellStyle name="Comma 2 4 2 3 2 7 4 3" xfId="36477"/>
    <cellStyle name="Comma 2 4 2 3 2 7 5" xfId="21273"/>
    <cellStyle name="Comma 2 4 2 3 2 7 5 2" xfId="39694"/>
    <cellStyle name="Comma 2 4 2 3 2 7 6" xfId="22346"/>
    <cellStyle name="Comma 2 4 2 3 2 7 7" xfId="23472"/>
    <cellStyle name="Comma 2 4 2 3 2 7 8" xfId="26668"/>
    <cellStyle name="Comma 2 4 2 3 2 7 9" xfId="30001"/>
    <cellStyle name="Comma 2 4 2 3 2 8" xfId="1047"/>
    <cellStyle name="Comma 2 4 2 3 2 8 10" xfId="33271"/>
    <cellStyle name="Comma 2 4 2 3 2 8 2" xfId="9817"/>
    <cellStyle name="Comma 2 4 2 3 2 8 2 2" xfId="25617"/>
    <cellStyle name="Comma 2 4 2 3 2 8 2 2 2" xfId="45044"/>
    <cellStyle name="Comma 2 4 2 3 2 8 2 2 3" xfId="38621"/>
    <cellStyle name="Comma 2 4 2 3 2 8 2 3" xfId="27795"/>
    <cellStyle name="Comma 2 4 2 3 2 8 2 3 2" xfId="41837"/>
    <cellStyle name="Comma 2 4 2 3 2 8 2 4" xfId="31130"/>
    <cellStyle name="Comma 2 4 2 3 2 8 2 5" xfId="35413"/>
    <cellStyle name="Comma 2 4 2 3 2 8 3" xfId="15467"/>
    <cellStyle name="Comma 2 4 2 3 2 8 3 2" xfId="24482"/>
    <cellStyle name="Comma 2 4 2 3 2 8 3 2 2" xfId="43911"/>
    <cellStyle name="Comma 2 4 2 3 2 8 3 2 3" xfId="37488"/>
    <cellStyle name="Comma 2 4 2 3 2 8 3 3" xfId="28803"/>
    <cellStyle name="Comma 2 4 2 3 2 8 3 3 2" xfId="40704"/>
    <cellStyle name="Comma 2 4 2 3 2 8 3 4" xfId="32138"/>
    <cellStyle name="Comma 2 4 2 3 2 8 3 5" xfId="34280"/>
    <cellStyle name="Comma 2 4 2 3 2 8 4" xfId="8285"/>
    <cellStyle name="Comma 2 4 2 3 2 8 4 2" xfId="42902"/>
    <cellStyle name="Comma 2 4 2 3 2 8 4 3" xfId="36478"/>
    <cellStyle name="Comma 2 4 2 3 2 8 5" xfId="21274"/>
    <cellStyle name="Comma 2 4 2 3 2 8 5 2" xfId="39695"/>
    <cellStyle name="Comma 2 4 2 3 2 8 6" xfId="22347"/>
    <cellStyle name="Comma 2 4 2 3 2 8 7" xfId="23473"/>
    <cellStyle name="Comma 2 4 2 3 2 8 8" xfId="26669"/>
    <cellStyle name="Comma 2 4 2 3 2 8 9" xfId="30002"/>
    <cellStyle name="Comma 2 4 2 3 2 9" xfId="9098"/>
    <cellStyle name="Comma 2 4 2 3 2 9 2" xfId="25153"/>
    <cellStyle name="Comma 2 4 2 3 2 9 2 2" xfId="44580"/>
    <cellStyle name="Comma 2 4 2 3 2 9 2 3" xfId="38157"/>
    <cellStyle name="Comma 2 4 2 3 2 9 3" xfId="27332"/>
    <cellStyle name="Comma 2 4 2 3 2 9 3 2" xfId="41373"/>
    <cellStyle name="Comma 2 4 2 3 2 9 4" xfId="30667"/>
    <cellStyle name="Comma 2 4 2 3 2 9 5" xfId="34949"/>
    <cellStyle name="Comma 2 4 2 3 3" xfId="223"/>
    <cellStyle name="Comma 2 4 2 3 3 10" xfId="21275"/>
    <cellStyle name="Comma 2 4 2 3 3 10 2" xfId="39230"/>
    <cellStyle name="Comma 2 4 2 3 3 11" xfId="22348"/>
    <cellStyle name="Comma 2 4 2 3 3 12" xfId="23008"/>
    <cellStyle name="Comma 2 4 2 3 3 13" xfId="26670"/>
    <cellStyle name="Comma 2 4 2 3 3 14" xfId="30003"/>
    <cellStyle name="Comma 2 4 2 3 3 15" xfId="32806"/>
    <cellStyle name="Comma 2 4 2 3 3 2" xfId="1048"/>
    <cellStyle name="Comma 2 4 2 3 3 2 10" xfId="33272"/>
    <cellStyle name="Comma 2 4 2 3 3 2 2" xfId="9818"/>
    <cellStyle name="Comma 2 4 2 3 3 2 2 2" xfId="25618"/>
    <cellStyle name="Comma 2 4 2 3 3 2 2 2 2" xfId="45045"/>
    <cellStyle name="Comma 2 4 2 3 3 2 2 2 3" xfId="38622"/>
    <cellStyle name="Comma 2 4 2 3 3 2 2 3" xfId="27796"/>
    <cellStyle name="Comma 2 4 2 3 3 2 2 3 2" xfId="41838"/>
    <cellStyle name="Comma 2 4 2 3 3 2 2 4" xfId="31131"/>
    <cellStyle name="Comma 2 4 2 3 3 2 2 5" xfId="35414"/>
    <cellStyle name="Comma 2 4 2 3 3 2 3" xfId="15469"/>
    <cellStyle name="Comma 2 4 2 3 3 2 3 2" xfId="24484"/>
    <cellStyle name="Comma 2 4 2 3 3 2 3 2 2" xfId="43913"/>
    <cellStyle name="Comma 2 4 2 3 3 2 3 2 3" xfId="37490"/>
    <cellStyle name="Comma 2 4 2 3 3 2 3 3" xfId="28805"/>
    <cellStyle name="Comma 2 4 2 3 3 2 3 3 2" xfId="40706"/>
    <cellStyle name="Comma 2 4 2 3 3 2 3 4" xfId="32140"/>
    <cellStyle name="Comma 2 4 2 3 3 2 3 5" xfId="34282"/>
    <cellStyle name="Comma 2 4 2 3 3 2 4" xfId="8287"/>
    <cellStyle name="Comma 2 4 2 3 3 2 4 2" xfId="42903"/>
    <cellStyle name="Comma 2 4 2 3 3 2 4 3" xfId="36479"/>
    <cellStyle name="Comma 2 4 2 3 3 2 5" xfId="21276"/>
    <cellStyle name="Comma 2 4 2 3 3 2 5 2" xfId="39696"/>
    <cellStyle name="Comma 2 4 2 3 3 2 6" xfId="22349"/>
    <cellStyle name="Comma 2 4 2 3 3 2 7" xfId="23474"/>
    <cellStyle name="Comma 2 4 2 3 3 2 8" xfId="26671"/>
    <cellStyle name="Comma 2 4 2 3 3 2 9" xfId="30004"/>
    <cellStyle name="Comma 2 4 2 3 3 3" xfId="1049"/>
    <cellStyle name="Comma 2 4 2 3 3 3 10" xfId="33273"/>
    <cellStyle name="Comma 2 4 2 3 3 3 2" xfId="9819"/>
    <cellStyle name="Comma 2 4 2 3 3 3 2 2" xfId="25619"/>
    <cellStyle name="Comma 2 4 2 3 3 3 2 2 2" xfId="45046"/>
    <cellStyle name="Comma 2 4 2 3 3 3 2 2 3" xfId="38623"/>
    <cellStyle name="Comma 2 4 2 3 3 3 2 3" xfId="27797"/>
    <cellStyle name="Comma 2 4 2 3 3 3 2 3 2" xfId="41839"/>
    <cellStyle name="Comma 2 4 2 3 3 3 2 4" xfId="31132"/>
    <cellStyle name="Comma 2 4 2 3 3 3 2 5" xfId="35415"/>
    <cellStyle name="Comma 2 4 2 3 3 3 3" xfId="15470"/>
    <cellStyle name="Comma 2 4 2 3 3 3 3 2" xfId="24485"/>
    <cellStyle name="Comma 2 4 2 3 3 3 3 2 2" xfId="43914"/>
    <cellStyle name="Comma 2 4 2 3 3 3 3 2 3" xfId="37491"/>
    <cellStyle name="Comma 2 4 2 3 3 3 3 3" xfId="28806"/>
    <cellStyle name="Comma 2 4 2 3 3 3 3 3 2" xfId="40707"/>
    <cellStyle name="Comma 2 4 2 3 3 3 3 4" xfId="32141"/>
    <cellStyle name="Comma 2 4 2 3 3 3 3 5" xfId="34283"/>
    <cellStyle name="Comma 2 4 2 3 3 3 4" xfId="8288"/>
    <cellStyle name="Comma 2 4 2 3 3 3 4 2" xfId="42904"/>
    <cellStyle name="Comma 2 4 2 3 3 3 4 3" xfId="36480"/>
    <cellStyle name="Comma 2 4 2 3 3 3 5" xfId="21277"/>
    <cellStyle name="Comma 2 4 2 3 3 3 5 2" xfId="39697"/>
    <cellStyle name="Comma 2 4 2 3 3 3 6" xfId="22350"/>
    <cellStyle name="Comma 2 4 2 3 3 3 7" xfId="23475"/>
    <cellStyle name="Comma 2 4 2 3 3 3 8" xfId="26672"/>
    <cellStyle name="Comma 2 4 2 3 3 3 9" xfId="30005"/>
    <cellStyle name="Comma 2 4 2 3 3 4" xfId="1050"/>
    <cellStyle name="Comma 2 4 2 3 3 4 10" xfId="33274"/>
    <cellStyle name="Comma 2 4 2 3 3 4 2" xfId="9820"/>
    <cellStyle name="Comma 2 4 2 3 3 4 2 2" xfId="25620"/>
    <cellStyle name="Comma 2 4 2 3 3 4 2 2 2" xfId="45047"/>
    <cellStyle name="Comma 2 4 2 3 3 4 2 2 3" xfId="38624"/>
    <cellStyle name="Comma 2 4 2 3 3 4 2 3" xfId="27798"/>
    <cellStyle name="Comma 2 4 2 3 3 4 2 3 2" xfId="41840"/>
    <cellStyle name="Comma 2 4 2 3 3 4 2 4" xfId="31133"/>
    <cellStyle name="Comma 2 4 2 3 3 4 2 5" xfId="35416"/>
    <cellStyle name="Comma 2 4 2 3 3 4 3" xfId="15471"/>
    <cellStyle name="Comma 2 4 2 3 3 4 3 2" xfId="24486"/>
    <cellStyle name="Comma 2 4 2 3 3 4 3 2 2" xfId="43915"/>
    <cellStyle name="Comma 2 4 2 3 3 4 3 2 3" xfId="37492"/>
    <cellStyle name="Comma 2 4 2 3 3 4 3 3" xfId="28807"/>
    <cellStyle name="Comma 2 4 2 3 3 4 3 3 2" xfId="40708"/>
    <cellStyle name="Comma 2 4 2 3 3 4 3 4" xfId="32142"/>
    <cellStyle name="Comma 2 4 2 3 3 4 3 5" xfId="34284"/>
    <cellStyle name="Comma 2 4 2 3 3 4 4" xfId="8289"/>
    <cellStyle name="Comma 2 4 2 3 3 4 4 2" xfId="42905"/>
    <cellStyle name="Comma 2 4 2 3 3 4 4 3" xfId="36481"/>
    <cellStyle name="Comma 2 4 2 3 3 4 5" xfId="21278"/>
    <cellStyle name="Comma 2 4 2 3 3 4 5 2" xfId="39698"/>
    <cellStyle name="Comma 2 4 2 3 3 4 6" xfId="22351"/>
    <cellStyle name="Comma 2 4 2 3 3 4 7" xfId="23476"/>
    <cellStyle name="Comma 2 4 2 3 3 4 8" xfId="26673"/>
    <cellStyle name="Comma 2 4 2 3 3 4 9" xfId="30006"/>
    <cellStyle name="Comma 2 4 2 3 3 5" xfId="1051"/>
    <cellStyle name="Comma 2 4 2 3 3 5 10" xfId="33275"/>
    <cellStyle name="Comma 2 4 2 3 3 5 2" xfId="9821"/>
    <cellStyle name="Comma 2 4 2 3 3 5 2 2" xfId="25621"/>
    <cellStyle name="Comma 2 4 2 3 3 5 2 2 2" xfId="45048"/>
    <cellStyle name="Comma 2 4 2 3 3 5 2 2 3" xfId="38625"/>
    <cellStyle name="Comma 2 4 2 3 3 5 2 3" xfId="27799"/>
    <cellStyle name="Comma 2 4 2 3 3 5 2 3 2" xfId="41841"/>
    <cellStyle name="Comma 2 4 2 3 3 5 2 4" xfId="31134"/>
    <cellStyle name="Comma 2 4 2 3 3 5 2 5" xfId="35417"/>
    <cellStyle name="Comma 2 4 2 3 3 5 3" xfId="15472"/>
    <cellStyle name="Comma 2 4 2 3 3 5 3 2" xfId="24487"/>
    <cellStyle name="Comma 2 4 2 3 3 5 3 2 2" xfId="43916"/>
    <cellStyle name="Comma 2 4 2 3 3 5 3 2 3" xfId="37493"/>
    <cellStyle name="Comma 2 4 2 3 3 5 3 3" xfId="28808"/>
    <cellStyle name="Comma 2 4 2 3 3 5 3 3 2" xfId="40709"/>
    <cellStyle name="Comma 2 4 2 3 3 5 3 4" xfId="32143"/>
    <cellStyle name="Comma 2 4 2 3 3 5 3 5" xfId="34285"/>
    <cellStyle name="Comma 2 4 2 3 3 5 4" xfId="8290"/>
    <cellStyle name="Comma 2 4 2 3 3 5 4 2" xfId="42906"/>
    <cellStyle name="Comma 2 4 2 3 3 5 4 3" xfId="36482"/>
    <cellStyle name="Comma 2 4 2 3 3 5 5" xfId="21279"/>
    <cellStyle name="Comma 2 4 2 3 3 5 5 2" xfId="39699"/>
    <cellStyle name="Comma 2 4 2 3 3 5 6" xfId="22352"/>
    <cellStyle name="Comma 2 4 2 3 3 5 7" xfId="23477"/>
    <cellStyle name="Comma 2 4 2 3 3 5 8" xfId="26674"/>
    <cellStyle name="Comma 2 4 2 3 3 5 9" xfId="30007"/>
    <cellStyle name="Comma 2 4 2 3 3 6" xfId="1052"/>
    <cellStyle name="Comma 2 4 2 3 3 6 10" xfId="33276"/>
    <cellStyle name="Comma 2 4 2 3 3 6 2" xfId="9822"/>
    <cellStyle name="Comma 2 4 2 3 3 6 2 2" xfId="25622"/>
    <cellStyle name="Comma 2 4 2 3 3 6 2 2 2" xfId="45049"/>
    <cellStyle name="Comma 2 4 2 3 3 6 2 2 3" xfId="38626"/>
    <cellStyle name="Comma 2 4 2 3 3 6 2 3" xfId="27800"/>
    <cellStyle name="Comma 2 4 2 3 3 6 2 3 2" xfId="41842"/>
    <cellStyle name="Comma 2 4 2 3 3 6 2 4" xfId="31135"/>
    <cellStyle name="Comma 2 4 2 3 3 6 2 5" xfId="35418"/>
    <cellStyle name="Comma 2 4 2 3 3 6 3" xfId="15473"/>
    <cellStyle name="Comma 2 4 2 3 3 6 3 2" xfId="24488"/>
    <cellStyle name="Comma 2 4 2 3 3 6 3 2 2" xfId="43917"/>
    <cellStyle name="Comma 2 4 2 3 3 6 3 2 3" xfId="37494"/>
    <cellStyle name="Comma 2 4 2 3 3 6 3 3" xfId="28809"/>
    <cellStyle name="Comma 2 4 2 3 3 6 3 3 2" xfId="40710"/>
    <cellStyle name="Comma 2 4 2 3 3 6 3 4" xfId="32144"/>
    <cellStyle name="Comma 2 4 2 3 3 6 3 5" xfId="34286"/>
    <cellStyle name="Comma 2 4 2 3 3 6 4" xfId="8291"/>
    <cellStyle name="Comma 2 4 2 3 3 6 4 2" xfId="42907"/>
    <cellStyle name="Comma 2 4 2 3 3 6 4 3" xfId="36483"/>
    <cellStyle name="Comma 2 4 2 3 3 6 5" xfId="21280"/>
    <cellStyle name="Comma 2 4 2 3 3 6 5 2" xfId="39700"/>
    <cellStyle name="Comma 2 4 2 3 3 6 6" xfId="22353"/>
    <cellStyle name="Comma 2 4 2 3 3 6 7" xfId="23478"/>
    <cellStyle name="Comma 2 4 2 3 3 6 8" xfId="26675"/>
    <cellStyle name="Comma 2 4 2 3 3 6 9" xfId="30008"/>
    <cellStyle name="Comma 2 4 2 3 3 7" xfId="9092"/>
    <cellStyle name="Comma 2 4 2 3 3 7 2" xfId="25147"/>
    <cellStyle name="Comma 2 4 2 3 3 7 2 2" xfId="44574"/>
    <cellStyle name="Comma 2 4 2 3 3 7 2 3" xfId="38151"/>
    <cellStyle name="Comma 2 4 2 3 3 7 3" xfId="27326"/>
    <cellStyle name="Comma 2 4 2 3 3 7 3 2" xfId="41367"/>
    <cellStyle name="Comma 2 4 2 3 3 7 4" xfId="30661"/>
    <cellStyle name="Comma 2 4 2 3 3 7 5" xfId="34943"/>
    <cellStyle name="Comma 2 4 2 3 3 8" xfId="15468"/>
    <cellStyle name="Comma 2 4 2 3 3 8 2" xfId="24483"/>
    <cellStyle name="Comma 2 4 2 3 3 8 2 2" xfId="43912"/>
    <cellStyle name="Comma 2 4 2 3 3 8 2 3" xfId="37489"/>
    <cellStyle name="Comma 2 4 2 3 3 8 3" xfId="28804"/>
    <cellStyle name="Comma 2 4 2 3 3 8 3 2" xfId="40705"/>
    <cellStyle name="Comma 2 4 2 3 3 8 4" xfId="32139"/>
    <cellStyle name="Comma 2 4 2 3 3 8 5" xfId="34281"/>
    <cellStyle name="Comma 2 4 2 3 3 9" xfId="8286"/>
    <cellStyle name="Comma 2 4 2 3 3 9 2" xfId="42437"/>
    <cellStyle name="Comma 2 4 2 3 3 9 3" xfId="36013"/>
    <cellStyle name="Comma 2 4 2 3 4" xfId="1053"/>
    <cellStyle name="Comma 2 4 2 3 4 10" xfId="22354"/>
    <cellStyle name="Comma 2 4 2 3 4 11" xfId="23479"/>
    <cellStyle name="Comma 2 4 2 3 4 12" xfId="26676"/>
    <cellStyle name="Comma 2 4 2 3 4 13" xfId="30009"/>
    <cellStyle name="Comma 2 4 2 3 4 14" xfId="33277"/>
    <cellStyle name="Comma 2 4 2 3 4 2" xfId="1054"/>
    <cellStyle name="Comma 2 4 2 3 4 2 10" xfId="33278"/>
    <cellStyle name="Comma 2 4 2 3 4 2 2" xfId="9824"/>
    <cellStyle name="Comma 2 4 2 3 4 2 2 2" xfId="25624"/>
    <cellStyle name="Comma 2 4 2 3 4 2 2 2 2" xfId="45051"/>
    <cellStyle name="Comma 2 4 2 3 4 2 2 2 3" xfId="38628"/>
    <cellStyle name="Comma 2 4 2 3 4 2 2 3" xfId="27802"/>
    <cellStyle name="Comma 2 4 2 3 4 2 2 3 2" xfId="41844"/>
    <cellStyle name="Comma 2 4 2 3 4 2 2 4" xfId="31137"/>
    <cellStyle name="Comma 2 4 2 3 4 2 2 5" xfId="35420"/>
    <cellStyle name="Comma 2 4 2 3 4 2 3" xfId="15475"/>
    <cellStyle name="Comma 2 4 2 3 4 2 3 2" xfId="24490"/>
    <cellStyle name="Comma 2 4 2 3 4 2 3 2 2" xfId="43919"/>
    <cellStyle name="Comma 2 4 2 3 4 2 3 2 3" xfId="37496"/>
    <cellStyle name="Comma 2 4 2 3 4 2 3 3" xfId="28811"/>
    <cellStyle name="Comma 2 4 2 3 4 2 3 3 2" xfId="40712"/>
    <cellStyle name="Comma 2 4 2 3 4 2 3 4" xfId="32146"/>
    <cellStyle name="Comma 2 4 2 3 4 2 3 5" xfId="34288"/>
    <cellStyle name="Comma 2 4 2 3 4 2 4" xfId="8293"/>
    <cellStyle name="Comma 2 4 2 3 4 2 4 2" xfId="42909"/>
    <cellStyle name="Comma 2 4 2 3 4 2 4 3" xfId="36485"/>
    <cellStyle name="Comma 2 4 2 3 4 2 5" xfId="21282"/>
    <cellStyle name="Comma 2 4 2 3 4 2 5 2" xfId="39702"/>
    <cellStyle name="Comma 2 4 2 3 4 2 6" xfId="22355"/>
    <cellStyle name="Comma 2 4 2 3 4 2 7" xfId="23480"/>
    <cellStyle name="Comma 2 4 2 3 4 2 8" xfId="26677"/>
    <cellStyle name="Comma 2 4 2 3 4 2 9" xfId="30010"/>
    <cellStyle name="Comma 2 4 2 3 4 3" xfId="1055"/>
    <cellStyle name="Comma 2 4 2 3 4 3 10" xfId="33279"/>
    <cellStyle name="Comma 2 4 2 3 4 3 2" xfId="9825"/>
    <cellStyle name="Comma 2 4 2 3 4 3 2 2" xfId="25625"/>
    <cellStyle name="Comma 2 4 2 3 4 3 2 2 2" xfId="45052"/>
    <cellStyle name="Comma 2 4 2 3 4 3 2 2 3" xfId="38629"/>
    <cellStyle name="Comma 2 4 2 3 4 3 2 3" xfId="27803"/>
    <cellStyle name="Comma 2 4 2 3 4 3 2 3 2" xfId="41845"/>
    <cellStyle name="Comma 2 4 2 3 4 3 2 4" xfId="31138"/>
    <cellStyle name="Comma 2 4 2 3 4 3 2 5" xfId="35421"/>
    <cellStyle name="Comma 2 4 2 3 4 3 3" xfId="15476"/>
    <cellStyle name="Comma 2 4 2 3 4 3 3 2" xfId="24491"/>
    <cellStyle name="Comma 2 4 2 3 4 3 3 2 2" xfId="43920"/>
    <cellStyle name="Comma 2 4 2 3 4 3 3 2 3" xfId="37497"/>
    <cellStyle name="Comma 2 4 2 3 4 3 3 3" xfId="28812"/>
    <cellStyle name="Comma 2 4 2 3 4 3 3 3 2" xfId="40713"/>
    <cellStyle name="Comma 2 4 2 3 4 3 3 4" xfId="32147"/>
    <cellStyle name="Comma 2 4 2 3 4 3 3 5" xfId="34289"/>
    <cellStyle name="Comma 2 4 2 3 4 3 4" xfId="8294"/>
    <cellStyle name="Comma 2 4 2 3 4 3 4 2" xfId="42910"/>
    <cellStyle name="Comma 2 4 2 3 4 3 4 3" xfId="36486"/>
    <cellStyle name="Comma 2 4 2 3 4 3 5" xfId="21283"/>
    <cellStyle name="Comma 2 4 2 3 4 3 5 2" xfId="39703"/>
    <cellStyle name="Comma 2 4 2 3 4 3 6" xfId="22356"/>
    <cellStyle name="Comma 2 4 2 3 4 3 7" xfId="23481"/>
    <cellStyle name="Comma 2 4 2 3 4 3 8" xfId="26678"/>
    <cellStyle name="Comma 2 4 2 3 4 3 9" xfId="30011"/>
    <cellStyle name="Comma 2 4 2 3 4 4" xfId="1056"/>
    <cellStyle name="Comma 2 4 2 3 4 4 10" xfId="33280"/>
    <cellStyle name="Comma 2 4 2 3 4 4 2" xfId="9826"/>
    <cellStyle name="Comma 2 4 2 3 4 4 2 2" xfId="25626"/>
    <cellStyle name="Comma 2 4 2 3 4 4 2 2 2" xfId="45053"/>
    <cellStyle name="Comma 2 4 2 3 4 4 2 2 3" xfId="38630"/>
    <cellStyle name="Comma 2 4 2 3 4 4 2 3" xfId="27804"/>
    <cellStyle name="Comma 2 4 2 3 4 4 2 3 2" xfId="41846"/>
    <cellStyle name="Comma 2 4 2 3 4 4 2 4" xfId="31139"/>
    <cellStyle name="Comma 2 4 2 3 4 4 2 5" xfId="35422"/>
    <cellStyle name="Comma 2 4 2 3 4 4 3" xfId="15477"/>
    <cellStyle name="Comma 2 4 2 3 4 4 3 2" xfId="24492"/>
    <cellStyle name="Comma 2 4 2 3 4 4 3 2 2" xfId="43921"/>
    <cellStyle name="Comma 2 4 2 3 4 4 3 2 3" xfId="37498"/>
    <cellStyle name="Comma 2 4 2 3 4 4 3 3" xfId="28813"/>
    <cellStyle name="Comma 2 4 2 3 4 4 3 3 2" xfId="40714"/>
    <cellStyle name="Comma 2 4 2 3 4 4 3 4" xfId="32148"/>
    <cellStyle name="Comma 2 4 2 3 4 4 3 5" xfId="34290"/>
    <cellStyle name="Comma 2 4 2 3 4 4 4" xfId="8295"/>
    <cellStyle name="Comma 2 4 2 3 4 4 4 2" xfId="42911"/>
    <cellStyle name="Comma 2 4 2 3 4 4 4 3" xfId="36487"/>
    <cellStyle name="Comma 2 4 2 3 4 4 5" xfId="21284"/>
    <cellStyle name="Comma 2 4 2 3 4 4 5 2" xfId="39704"/>
    <cellStyle name="Comma 2 4 2 3 4 4 6" xfId="22357"/>
    <cellStyle name="Comma 2 4 2 3 4 4 7" xfId="23482"/>
    <cellStyle name="Comma 2 4 2 3 4 4 8" xfId="26679"/>
    <cellStyle name="Comma 2 4 2 3 4 4 9" xfId="30012"/>
    <cellStyle name="Comma 2 4 2 3 4 5" xfId="1057"/>
    <cellStyle name="Comma 2 4 2 3 4 5 10" xfId="33281"/>
    <cellStyle name="Comma 2 4 2 3 4 5 2" xfId="9827"/>
    <cellStyle name="Comma 2 4 2 3 4 5 2 2" xfId="25627"/>
    <cellStyle name="Comma 2 4 2 3 4 5 2 2 2" xfId="45054"/>
    <cellStyle name="Comma 2 4 2 3 4 5 2 2 3" xfId="38631"/>
    <cellStyle name="Comma 2 4 2 3 4 5 2 3" xfId="27805"/>
    <cellStyle name="Comma 2 4 2 3 4 5 2 3 2" xfId="41847"/>
    <cellStyle name="Comma 2 4 2 3 4 5 2 4" xfId="31140"/>
    <cellStyle name="Comma 2 4 2 3 4 5 2 5" xfId="35423"/>
    <cellStyle name="Comma 2 4 2 3 4 5 3" xfId="15478"/>
    <cellStyle name="Comma 2 4 2 3 4 5 3 2" xfId="24493"/>
    <cellStyle name="Comma 2 4 2 3 4 5 3 2 2" xfId="43922"/>
    <cellStyle name="Comma 2 4 2 3 4 5 3 2 3" xfId="37499"/>
    <cellStyle name="Comma 2 4 2 3 4 5 3 3" xfId="28814"/>
    <cellStyle name="Comma 2 4 2 3 4 5 3 3 2" xfId="40715"/>
    <cellStyle name="Comma 2 4 2 3 4 5 3 4" xfId="32149"/>
    <cellStyle name="Comma 2 4 2 3 4 5 3 5" xfId="34291"/>
    <cellStyle name="Comma 2 4 2 3 4 5 4" xfId="8296"/>
    <cellStyle name="Comma 2 4 2 3 4 5 4 2" xfId="42912"/>
    <cellStyle name="Comma 2 4 2 3 4 5 4 3" xfId="36488"/>
    <cellStyle name="Comma 2 4 2 3 4 5 5" xfId="21285"/>
    <cellStyle name="Comma 2 4 2 3 4 5 5 2" xfId="39705"/>
    <cellStyle name="Comma 2 4 2 3 4 5 6" xfId="22358"/>
    <cellStyle name="Comma 2 4 2 3 4 5 7" xfId="23483"/>
    <cellStyle name="Comma 2 4 2 3 4 5 8" xfId="26680"/>
    <cellStyle name="Comma 2 4 2 3 4 5 9" xfId="30013"/>
    <cellStyle name="Comma 2 4 2 3 4 6" xfId="9823"/>
    <cellStyle name="Comma 2 4 2 3 4 6 2" xfId="25623"/>
    <cellStyle name="Comma 2 4 2 3 4 6 2 2" xfId="45050"/>
    <cellStyle name="Comma 2 4 2 3 4 6 2 3" xfId="38627"/>
    <cellStyle name="Comma 2 4 2 3 4 6 3" xfId="27801"/>
    <cellStyle name="Comma 2 4 2 3 4 6 3 2" xfId="41843"/>
    <cellStyle name="Comma 2 4 2 3 4 6 4" xfId="31136"/>
    <cellStyle name="Comma 2 4 2 3 4 6 5" xfId="35419"/>
    <cellStyle name="Comma 2 4 2 3 4 7" xfId="15474"/>
    <cellStyle name="Comma 2 4 2 3 4 7 2" xfId="24489"/>
    <cellStyle name="Comma 2 4 2 3 4 7 2 2" xfId="43918"/>
    <cellStyle name="Comma 2 4 2 3 4 7 2 3" xfId="37495"/>
    <cellStyle name="Comma 2 4 2 3 4 7 3" xfId="28810"/>
    <cellStyle name="Comma 2 4 2 3 4 7 3 2" xfId="40711"/>
    <cellStyle name="Comma 2 4 2 3 4 7 4" xfId="32145"/>
    <cellStyle name="Comma 2 4 2 3 4 7 5" xfId="34287"/>
    <cellStyle name="Comma 2 4 2 3 4 8" xfId="8292"/>
    <cellStyle name="Comma 2 4 2 3 4 8 2" xfId="42908"/>
    <cellStyle name="Comma 2 4 2 3 4 8 3" xfId="36484"/>
    <cellStyle name="Comma 2 4 2 3 4 9" xfId="21281"/>
    <cellStyle name="Comma 2 4 2 3 4 9 2" xfId="39701"/>
    <cellStyle name="Comma 2 4 2 3 5" xfId="1058"/>
    <cellStyle name="Comma 2 4 2 3 5 10" xfId="22359"/>
    <cellStyle name="Comma 2 4 2 3 5 11" xfId="23484"/>
    <cellStyle name="Comma 2 4 2 3 5 12" xfId="26681"/>
    <cellStyle name="Comma 2 4 2 3 5 13" xfId="30014"/>
    <cellStyle name="Comma 2 4 2 3 5 14" xfId="33282"/>
    <cellStyle name="Comma 2 4 2 3 5 2" xfId="1059"/>
    <cellStyle name="Comma 2 4 2 3 5 2 10" xfId="33283"/>
    <cellStyle name="Comma 2 4 2 3 5 2 2" xfId="9829"/>
    <cellStyle name="Comma 2 4 2 3 5 2 2 2" xfId="25629"/>
    <cellStyle name="Comma 2 4 2 3 5 2 2 2 2" xfId="45056"/>
    <cellStyle name="Comma 2 4 2 3 5 2 2 2 3" xfId="38633"/>
    <cellStyle name="Comma 2 4 2 3 5 2 2 3" xfId="27807"/>
    <cellStyle name="Comma 2 4 2 3 5 2 2 3 2" xfId="41849"/>
    <cellStyle name="Comma 2 4 2 3 5 2 2 4" xfId="31142"/>
    <cellStyle name="Comma 2 4 2 3 5 2 2 5" xfId="35425"/>
    <cellStyle name="Comma 2 4 2 3 5 2 3" xfId="15480"/>
    <cellStyle name="Comma 2 4 2 3 5 2 3 2" xfId="24495"/>
    <cellStyle name="Comma 2 4 2 3 5 2 3 2 2" xfId="43924"/>
    <cellStyle name="Comma 2 4 2 3 5 2 3 2 3" xfId="37501"/>
    <cellStyle name="Comma 2 4 2 3 5 2 3 3" xfId="28816"/>
    <cellStyle name="Comma 2 4 2 3 5 2 3 3 2" xfId="40717"/>
    <cellStyle name="Comma 2 4 2 3 5 2 3 4" xfId="32151"/>
    <cellStyle name="Comma 2 4 2 3 5 2 3 5" xfId="34293"/>
    <cellStyle name="Comma 2 4 2 3 5 2 4" xfId="8298"/>
    <cellStyle name="Comma 2 4 2 3 5 2 4 2" xfId="42914"/>
    <cellStyle name="Comma 2 4 2 3 5 2 4 3" xfId="36490"/>
    <cellStyle name="Comma 2 4 2 3 5 2 5" xfId="21287"/>
    <cellStyle name="Comma 2 4 2 3 5 2 5 2" xfId="39707"/>
    <cellStyle name="Comma 2 4 2 3 5 2 6" xfId="22360"/>
    <cellStyle name="Comma 2 4 2 3 5 2 7" xfId="23485"/>
    <cellStyle name="Comma 2 4 2 3 5 2 8" xfId="26682"/>
    <cellStyle name="Comma 2 4 2 3 5 2 9" xfId="30015"/>
    <cellStyle name="Comma 2 4 2 3 5 3" xfId="1060"/>
    <cellStyle name="Comma 2 4 2 3 5 3 10" xfId="33284"/>
    <cellStyle name="Comma 2 4 2 3 5 3 2" xfId="9830"/>
    <cellStyle name="Comma 2 4 2 3 5 3 2 2" xfId="25630"/>
    <cellStyle name="Comma 2 4 2 3 5 3 2 2 2" xfId="45057"/>
    <cellStyle name="Comma 2 4 2 3 5 3 2 2 3" xfId="38634"/>
    <cellStyle name="Comma 2 4 2 3 5 3 2 3" xfId="27808"/>
    <cellStyle name="Comma 2 4 2 3 5 3 2 3 2" xfId="41850"/>
    <cellStyle name="Comma 2 4 2 3 5 3 2 4" xfId="31143"/>
    <cellStyle name="Comma 2 4 2 3 5 3 2 5" xfId="35426"/>
    <cellStyle name="Comma 2 4 2 3 5 3 3" xfId="15481"/>
    <cellStyle name="Comma 2 4 2 3 5 3 3 2" xfId="24496"/>
    <cellStyle name="Comma 2 4 2 3 5 3 3 2 2" xfId="43925"/>
    <cellStyle name="Comma 2 4 2 3 5 3 3 2 3" xfId="37502"/>
    <cellStyle name="Comma 2 4 2 3 5 3 3 3" xfId="28817"/>
    <cellStyle name="Comma 2 4 2 3 5 3 3 3 2" xfId="40718"/>
    <cellStyle name="Comma 2 4 2 3 5 3 3 4" xfId="32152"/>
    <cellStyle name="Comma 2 4 2 3 5 3 3 5" xfId="34294"/>
    <cellStyle name="Comma 2 4 2 3 5 3 4" xfId="8299"/>
    <cellStyle name="Comma 2 4 2 3 5 3 4 2" xfId="42915"/>
    <cellStyle name="Comma 2 4 2 3 5 3 4 3" xfId="36491"/>
    <cellStyle name="Comma 2 4 2 3 5 3 5" xfId="21288"/>
    <cellStyle name="Comma 2 4 2 3 5 3 5 2" xfId="39708"/>
    <cellStyle name="Comma 2 4 2 3 5 3 6" xfId="22361"/>
    <cellStyle name="Comma 2 4 2 3 5 3 7" xfId="23486"/>
    <cellStyle name="Comma 2 4 2 3 5 3 8" xfId="26683"/>
    <cellStyle name="Comma 2 4 2 3 5 3 9" xfId="30016"/>
    <cellStyle name="Comma 2 4 2 3 5 4" xfId="1061"/>
    <cellStyle name="Comma 2 4 2 3 5 4 10" xfId="33285"/>
    <cellStyle name="Comma 2 4 2 3 5 4 2" xfId="9831"/>
    <cellStyle name="Comma 2 4 2 3 5 4 2 2" xfId="25631"/>
    <cellStyle name="Comma 2 4 2 3 5 4 2 2 2" xfId="45058"/>
    <cellStyle name="Comma 2 4 2 3 5 4 2 2 3" xfId="38635"/>
    <cellStyle name="Comma 2 4 2 3 5 4 2 3" xfId="27809"/>
    <cellStyle name="Comma 2 4 2 3 5 4 2 3 2" xfId="41851"/>
    <cellStyle name="Comma 2 4 2 3 5 4 2 4" xfId="31144"/>
    <cellStyle name="Comma 2 4 2 3 5 4 2 5" xfId="35427"/>
    <cellStyle name="Comma 2 4 2 3 5 4 3" xfId="15482"/>
    <cellStyle name="Comma 2 4 2 3 5 4 3 2" xfId="24497"/>
    <cellStyle name="Comma 2 4 2 3 5 4 3 2 2" xfId="43926"/>
    <cellStyle name="Comma 2 4 2 3 5 4 3 2 3" xfId="37503"/>
    <cellStyle name="Comma 2 4 2 3 5 4 3 3" xfId="28818"/>
    <cellStyle name="Comma 2 4 2 3 5 4 3 3 2" xfId="40719"/>
    <cellStyle name="Comma 2 4 2 3 5 4 3 4" xfId="32153"/>
    <cellStyle name="Comma 2 4 2 3 5 4 3 5" xfId="34295"/>
    <cellStyle name="Comma 2 4 2 3 5 4 4" xfId="8300"/>
    <cellStyle name="Comma 2 4 2 3 5 4 4 2" xfId="42916"/>
    <cellStyle name="Comma 2 4 2 3 5 4 4 3" xfId="36492"/>
    <cellStyle name="Comma 2 4 2 3 5 4 5" xfId="21289"/>
    <cellStyle name="Comma 2 4 2 3 5 4 5 2" xfId="39709"/>
    <cellStyle name="Comma 2 4 2 3 5 4 6" xfId="22362"/>
    <cellStyle name="Comma 2 4 2 3 5 4 7" xfId="23487"/>
    <cellStyle name="Comma 2 4 2 3 5 4 8" xfId="26684"/>
    <cellStyle name="Comma 2 4 2 3 5 4 9" xfId="30017"/>
    <cellStyle name="Comma 2 4 2 3 5 5" xfId="1062"/>
    <cellStyle name="Comma 2 4 2 3 5 5 10" xfId="33286"/>
    <cellStyle name="Comma 2 4 2 3 5 5 2" xfId="9832"/>
    <cellStyle name="Comma 2 4 2 3 5 5 2 2" xfId="25632"/>
    <cellStyle name="Comma 2 4 2 3 5 5 2 2 2" xfId="45059"/>
    <cellStyle name="Comma 2 4 2 3 5 5 2 2 3" xfId="38636"/>
    <cellStyle name="Comma 2 4 2 3 5 5 2 3" xfId="27810"/>
    <cellStyle name="Comma 2 4 2 3 5 5 2 3 2" xfId="41852"/>
    <cellStyle name="Comma 2 4 2 3 5 5 2 4" xfId="31145"/>
    <cellStyle name="Comma 2 4 2 3 5 5 2 5" xfId="35428"/>
    <cellStyle name="Comma 2 4 2 3 5 5 3" xfId="15483"/>
    <cellStyle name="Comma 2 4 2 3 5 5 3 2" xfId="24498"/>
    <cellStyle name="Comma 2 4 2 3 5 5 3 2 2" xfId="43927"/>
    <cellStyle name="Comma 2 4 2 3 5 5 3 2 3" xfId="37504"/>
    <cellStyle name="Comma 2 4 2 3 5 5 3 3" xfId="28819"/>
    <cellStyle name="Comma 2 4 2 3 5 5 3 3 2" xfId="40720"/>
    <cellStyle name="Comma 2 4 2 3 5 5 3 4" xfId="32154"/>
    <cellStyle name="Comma 2 4 2 3 5 5 3 5" xfId="34296"/>
    <cellStyle name="Comma 2 4 2 3 5 5 4" xfId="8301"/>
    <cellStyle name="Comma 2 4 2 3 5 5 4 2" xfId="42917"/>
    <cellStyle name="Comma 2 4 2 3 5 5 4 3" xfId="36493"/>
    <cellStyle name="Comma 2 4 2 3 5 5 5" xfId="21290"/>
    <cellStyle name="Comma 2 4 2 3 5 5 5 2" xfId="39710"/>
    <cellStyle name="Comma 2 4 2 3 5 5 6" xfId="22363"/>
    <cellStyle name="Comma 2 4 2 3 5 5 7" xfId="23488"/>
    <cellStyle name="Comma 2 4 2 3 5 5 8" xfId="26685"/>
    <cellStyle name="Comma 2 4 2 3 5 5 9" xfId="30018"/>
    <cellStyle name="Comma 2 4 2 3 5 6" xfId="9828"/>
    <cellStyle name="Comma 2 4 2 3 5 6 2" xfId="25628"/>
    <cellStyle name="Comma 2 4 2 3 5 6 2 2" xfId="45055"/>
    <cellStyle name="Comma 2 4 2 3 5 6 2 3" xfId="38632"/>
    <cellStyle name="Comma 2 4 2 3 5 6 3" xfId="27806"/>
    <cellStyle name="Comma 2 4 2 3 5 6 3 2" xfId="41848"/>
    <cellStyle name="Comma 2 4 2 3 5 6 4" xfId="31141"/>
    <cellStyle name="Comma 2 4 2 3 5 6 5" xfId="35424"/>
    <cellStyle name="Comma 2 4 2 3 5 7" xfId="15479"/>
    <cellStyle name="Comma 2 4 2 3 5 7 2" xfId="24494"/>
    <cellStyle name="Comma 2 4 2 3 5 7 2 2" xfId="43923"/>
    <cellStyle name="Comma 2 4 2 3 5 7 2 3" xfId="37500"/>
    <cellStyle name="Comma 2 4 2 3 5 7 3" xfId="28815"/>
    <cellStyle name="Comma 2 4 2 3 5 7 3 2" xfId="40716"/>
    <cellStyle name="Comma 2 4 2 3 5 7 4" xfId="32150"/>
    <cellStyle name="Comma 2 4 2 3 5 7 5" xfId="34292"/>
    <cellStyle name="Comma 2 4 2 3 5 8" xfId="8297"/>
    <cellStyle name="Comma 2 4 2 3 5 8 2" xfId="42913"/>
    <cellStyle name="Comma 2 4 2 3 5 8 3" xfId="36489"/>
    <cellStyle name="Comma 2 4 2 3 5 9" xfId="21286"/>
    <cellStyle name="Comma 2 4 2 3 5 9 2" xfId="39706"/>
    <cellStyle name="Comma 2 4 2 3 6" xfId="1063"/>
    <cellStyle name="Comma 2 4 2 3 6 10" xfId="33287"/>
    <cellStyle name="Comma 2 4 2 3 6 2" xfId="9833"/>
    <cellStyle name="Comma 2 4 2 3 6 2 2" xfId="25633"/>
    <cellStyle name="Comma 2 4 2 3 6 2 2 2" xfId="45060"/>
    <cellStyle name="Comma 2 4 2 3 6 2 2 3" xfId="38637"/>
    <cellStyle name="Comma 2 4 2 3 6 2 3" xfId="27811"/>
    <cellStyle name="Comma 2 4 2 3 6 2 3 2" xfId="41853"/>
    <cellStyle name="Comma 2 4 2 3 6 2 4" xfId="31146"/>
    <cellStyle name="Comma 2 4 2 3 6 2 5" xfId="35429"/>
    <cellStyle name="Comma 2 4 2 3 6 3" xfId="15484"/>
    <cellStyle name="Comma 2 4 2 3 6 3 2" xfId="24499"/>
    <cellStyle name="Comma 2 4 2 3 6 3 2 2" xfId="43928"/>
    <cellStyle name="Comma 2 4 2 3 6 3 2 3" xfId="37505"/>
    <cellStyle name="Comma 2 4 2 3 6 3 3" xfId="28820"/>
    <cellStyle name="Comma 2 4 2 3 6 3 3 2" xfId="40721"/>
    <cellStyle name="Comma 2 4 2 3 6 3 4" xfId="32155"/>
    <cellStyle name="Comma 2 4 2 3 6 3 5" xfId="34297"/>
    <cellStyle name="Comma 2 4 2 3 6 4" xfId="8302"/>
    <cellStyle name="Comma 2 4 2 3 6 4 2" xfId="42918"/>
    <cellStyle name="Comma 2 4 2 3 6 4 3" xfId="36494"/>
    <cellStyle name="Comma 2 4 2 3 6 5" xfId="21291"/>
    <cellStyle name="Comma 2 4 2 3 6 5 2" xfId="39711"/>
    <cellStyle name="Comma 2 4 2 3 6 6" xfId="22364"/>
    <cellStyle name="Comma 2 4 2 3 6 7" xfId="23489"/>
    <cellStyle name="Comma 2 4 2 3 6 8" xfId="26686"/>
    <cellStyle name="Comma 2 4 2 3 6 9" xfId="30019"/>
    <cellStyle name="Comma 2 4 2 3 7" xfId="1064"/>
    <cellStyle name="Comma 2 4 2 3 7 10" xfId="33288"/>
    <cellStyle name="Comma 2 4 2 3 7 2" xfId="9834"/>
    <cellStyle name="Comma 2 4 2 3 7 2 2" xfId="25634"/>
    <cellStyle name="Comma 2 4 2 3 7 2 2 2" xfId="45061"/>
    <cellStyle name="Comma 2 4 2 3 7 2 2 3" xfId="38638"/>
    <cellStyle name="Comma 2 4 2 3 7 2 3" xfId="27812"/>
    <cellStyle name="Comma 2 4 2 3 7 2 3 2" xfId="41854"/>
    <cellStyle name="Comma 2 4 2 3 7 2 4" xfId="31147"/>
    <cellStyle name="Comma 2 4 2 3 7 2 5" xfId="35430"/>
    <cellStyle name="Comma 2 4 2 3 7 3" xfId="15485"/>
    <cellStyle name="Comma 2 4 2 3 7 3 2" xfId="24500"/>
    <cellStyle name="Comma 2 4 2 3 7 3 2 2" xfId="43929"/>
    <cellStyle name="Comma 2 4 2 3 7 3 2 3" xfId="37506"/>
    <cellStyle name="Comma 2 4 2 3 7 3 3" xfId="28821"/>
    <cellStyle name="Comma 2 4 2 3 7 3 3 2" xfId="40722"/>
    <cellStyle name="Comma 2 4 2 3 7 3 4" xfId="32156"/>
    <cellStyle name="Comma 2 4 2 3 7 3 5" xfId="34298"/>
    <cellStyle name="Comma 2 4 2 3 7 4" xfId="8303"/>
    <cellStyle name="Comma 2 4 2 3 7 4 2" xfId="42919"/>
    <cellStyle name="Comma 2 4 2 3 7 4 3" xfId="36495"/>
    <cellStyle name="Comma 2 4 2 3 7 5" xfId="21292"/>
    <cellStyle name="Comma 2 4 2 3 7 5 2" xfId="39712"/>
    <cellStyle name="Comma 2 4 2 3 7 6" xfId="22365"/>
    <cellStyle name="Comma 2 4 2 3 7 7" xfId="23490"/>
    <cellStyle name="Comma 2 4 2 3 7 8" xfId="26687"/>
    <cellStyle name="Comma 2 4 2 3 7 9" xfId="30020"/>
    <cellStyle name="Comma 2 4 2 3 8" xfId="1065"/>
    <cellStyle name="Comma 2 4 2 3 8 10" xfId="33289"/>
    <cellStyle name="Comma 2 4 2 3 8 2" xfId="9835"/>
    <cellStyle name="Comma 2 4 2 3 8 2 2" xfId="25635"/>
    <cellStyle name="Comma 2 4 2 3 8 2 2 2" xfId="45062"/>
    <cellStyle name="Comma 2 4 2 3 8 2 2 3" xfId="38639"/>
    <cellStyle name="Comma 2 4 2 3 8 2 3" xfId="27813"/>
    <cellStyle name="Comma 2 4 2 3 8 2 3 2" xfId="41855"/>
    <cellStyle name="Comma 2 4 2 3 8 2 4" xfId="31148"/>
    <cellStyle name="Comma 2 4 2 3 8 2 5" xfId="35431"/>
    <cellStyle name="Comma 2 4 2 3 8 3" xfId="15486"/>
    <cellStyle name="Comma 2 4 2 3 8 3 2" xfId="24501"/>
    <cellStyle name="Comma 2 4 2 3 8 3 2 2" xfId="43930"/>
    <cellStyle name="Comma 2 4 2 3 8 3 2 3" xfId="37507"/>
    <cellStyle name="Comma 2 4 2 3 8 3 3" xfId="28822"/>
    <cellStyle name="Comma 2 4 2 3 8 3 3 2" xfId="40723"/>
    <cellStyle name="Comma 2 4 2 3 8 3 4" xfId="32157"/>
    <cellStyle name="Comma 2 4 2 3 8 3 5" xfId="34299"/>
    <cellStyle name="Comma 2 4 2 3 8 4" xfId="8304"/>
    <cellStyle name="Comma 2 4 2 3 8 4 2" xfId="42920"/>
    <cellStyle name="Comma 2 4 2 3 8 4 3" xfId="36496"/>
    <cellStyle name="Comma 2 4 2 3 8 5" xfId="21293"/>
    <cellStyle name="Comma 2 4 2 3 8 5 2" xfId="39713"/>
    <cellStyle name="Comma 2 4 2 3 8 6" xfId="22366"/>
    <cellStyle name="Comma 2 4 2 3 8 7" xfId="23491"/>
    <cellStyle name="Comma 2 4 2 3 8 8" xfId="26688"/>
    <cellStyle name="Comma 2 4 2 3 8 9" xfId="30021"/>
    <cellStyle name="Comma 2 4 2 3 9" xfId="1066"/>
    <cellStyle name="Comma 2 4 2 3 9 10" xfId="33290"/>
    <cellStyle name="Comma 2 4 2 3 9 2" xfId="9836"/>
    <cellStyle name="Comma 2 4 2 3 9 2 2" xfId="25636"/>
    <cellStyle name="Comma 2 4 2 3 9 2 2 2" xfId="45063"/>
    <cellStyle name="Comma 2 4 2 3 9 2 2 3" xfId="38640"/>
    <cellStyle name="Comma 2 4 2 3 9 2 3" xfId="27814"/>
    <cellStyle name="Comma 2 4 2 3 9 2 3 2" xfId="41856"/>
    <cellStyle name="Comma 2 4 2 3 9 2 4" xfId="31149"/>
    <cellStyle name="Comma 2 4 2 3 9 2 5" xfId="35432"/>
    <cellStyle name="Comma 2 4 2 3 9 3" xfId="15487"/>
    <cellStyle name="Comma 2 4 2 3 9 3 2" xfId="24502"/>
    <cellStyle name="Comma 2 4 2 3 9 3 2 2" xfId="43931"/>
    <cellStyle name="Comma 2 4 2 3 9 3 2 3" xfId="37508"/>
    <cellStyle name="Comma 2 4 2 3 9 3 3" xfId="28823"/>
    <cellStyle name="Comma 2 4 2 3 9 3 3 2" xfId="40724"/>
    <cellStyle name="Comma 2 4 2 3 9 3 4" xfId="32158"/>
    <cellStyle name="Comma 2 4 2 3 9 3 5" xfId="34300"/>
    <cellStyle name="Comma 2 4 2 3 9 4" xfId="8305"/>
    <cellStyle name="Comma 2 4 2 3 9 4 2" xfId="42921"/>
    <cellStyle name="Comma 2 4 2 3 9 4 3" xfId="36497"/>
    <cellStyle name="Comma 2 4 2 3 9 5" xfId="21294"/>
    <cellStyle name="Comma 2 4 2 3 9 5 2" xfId="39714"/>
    <cellStyle name="Comma 2 4 2 3 9 6" xfId="22367"/>
    <cellStyle name="Comma 2 4 2 3 9 7" xfId="23492"/>
    <cellStyle name="Comma 2 4 2 3 9 8" xfId="26689"/>
    <cellStyle name="Comma 2 4 2 3 9 9" xfId="30022"/>
    <cellStyle name="Comma 2 4 2 4" xfId="200"/>
    <cellStyle name="Comma 2 4 2 4 10" xfId="15488"/>
    <cellStyle name="Comma 2 4 2 4 10 2" xfId="24503"/>
    <cellStyle name="Comma 2 4 2 4 10 2 2" xfId="43932"/>
    <cellStyle name="Comma 2 4 2 4 10 2 3" xfId="37509"/>
    <cellStyle name="Comma 2 4 2 4 10 3" xfId="28824"/>
    <cellStyle name="Comma 2 4 2 4 10 3 2" xfId="40725"/>
    <cellStyle name="Comma 2 4 2 4 10 4" xfId="32159"/>
    <cellStyle name="Comma 2 4 2 4 10 5" xfId="34301"/>
    <cellStyle name="Comma 2 4 2 4 11" xfId="8306"/>
    <cellStyle name="Comma 2 4 2 4 11 2" xfId="42419"/>
    <cellStyle name="Comma 2 4 2 4 11 3" xfId="35995"/>
    <cellStyle name="Comma 2 4 2 4 12" xfId="21295"/>
    <cellStyle name="Comma 2 4 2 4 12 2" xfId="39212"/>
    <cellStyle name="Comma 2 4 2 4 13" xfId="22368"/>
    <cellStyle name="Comma 2 4 2 4 14" xfId="22990"/>
    <cellStyle name="Comma 2 4 2 4 15" xfId="26690"/>
    <cellStyle name="Comma 2 4 2 4 16" xfId="30023"/>
    <cellStyle name="Comma 2 4 2 4 17" xfId="32788"/>
    <cellStyle name="Comma 2 4 2 4 2" xfId="193"/>
    <cellStyle name="Comma 2 4 2 4 2 10" xfId="21296"/>
    <cellStyle name="Comma 2 4 2 4 2 10 2" xfId="39207"/>
    <cellStyle name="Comma 2 4 2 4 2 11" xfId="22369"/>
    <cellStyle name="Comma 2 4 2 4 2 12" xfId="22985"/>
    <cellStyle name="Comma 2 4 2 4 2 13" xfId="26691"/>
    <cellStyle name="Comma 2 4 2 4 2 14" xfId="30024"/>
    <cellStyle name="Comma 2 4 2 4 2 15" xfId="32783"/>
    <cellStyle name="Comma 2 4 2 4 2 2" xfId="1067"/>
    <cellStyle name="Comma 2 4 2 4 2 2 10" xfId="33291"/>
    <cellStyle name="Comma 2 4 2 4 2 2 2" xfId="9837"/>
    <cellStyle name="Comma 2 4 2 4 2 2 2 2" xfId="25637"/>
    <cellStyle name="Comma 2 4 2 4 2 2 2 2 2" xfId="45064"/>
    <cellStyle name="Comma 2 4 2 4 2 2 2 2 3" xfId="38641"/>
    <cellStyle name="Comma 2 4 2 4 2 2 2 3" xfId="27815"/>
    <cellStyle name="Comma 2 4 2 4 2 2 2 3 2" xfId="41857"/>
    <cellStyle name="Comma 2 4 2 4 2 2 2 4" xfId="31150"/>
    <cellStyle name="Comma 2 4 2 4 2 2 2 5" xfId="35433"/>
    <cellStyle name="Comma 2 4 2 4 2 2 3" xfId="15490"/>
    <cellStyle name="Comma 2 4 2 4 2 2 3 2" xfId="24505"/>
    <cellStyle name="Comma 2 4 2 4 2 2 3 2 2" xfId="43934"/>
    <cellStyle name="Comma 2 4 2 4 2 2 3 2 3" xfId="37511"/>
    <cellStyle name="Comma 2 4 2 4 2 2 3 3" xfId="28826"/>
    <cellStyle name="Comma 2 4 2 4 2 2 3 3 2" xfId="40727"/>
    <cellStyle name="Comma 2 4 2 4 2 2 3 4" xfId="32161"/>
    <cellStyle name="Comma 2 4 2 4 2 2 3 5" xfId="34303"/>
    <cellStyle name="Comma 2 4 2 4 2 2 4" xfId="8308"/>
    <cellStyle name="Comma 2 4 2 4 2 2 4 2" xfId="42922"/>
    <cellStyle name="Comma 2 4 2 4 2 2 4 3" xfId="36498"/>
    <cellStyle name="Comma 2 4 2 4 2 2 5" xfId="21297"/>
    <cellStyle name="Comma 2 4 2 4 2 2 5 2" xfId="39715"/>
    <cellStyle name="Comma 2 4 2 4 2 2 6" xfId="22370"/>
    <cellStyle name="Comma 2 4 2 4 2 2 7" xfId="23493"/>
    <cellStyle name="Comma 2 4 2 4 2 2 8" xfId="26692"/>
    <cellStyle name="Comma 2 4 2 4 2 2 9" xfId="30025"/>
    <cellStyle name="Comma 2 4 2 4 2 3" xfId="1068"/>
    <cellStyle name="Comma 2 4 2 4 2 3 10" xfId="33292"/>
    <cellStyle name="Comma 2 4 2 4 2 3 2" xfId="9838"/>
    <cellStyle name="Comma 2 4 2 4 2 3 2 2" xfId="25638"/>
    <cellStyle name="Comma 2 4 2 4 2 3 2 2 2" xfId="45065"/>
    <cellStyle name="Comma 2 4 2 4 2 3 2 2 3" xfId="38642"/>
    <cellStyle name="Comma 2 4 2 4 2 3 2 3" xfId="27816"/>
    <cellStyle name="Comma 2 4 2 4 2 3 2 3 2" xfId="41858"/>
    <cellStyle name="Comma 2 4 2 4 2 3 2 4" xfId="31151"/>
    <cellStyle name="Comma 2 4 2 4 2 3 2 5" xfId="35434"/>
    <cellStyle name="Comma 2 4 2 4 2 3 3" xfId="15491"/>
    <cellStyle name="Comma 2 4 2 4 2 3 3 2" xfId="24506"/>
    <cellStyle name="Comma 2 4 2 4 2 3 3 2 2" xfId="43935"/>
    <cellStyle name="Comma 2 4 2 4 2 3 3 2 3" xfId="37512"/>
    <cellStyle name="Comma 2 4 2 4 2 3 3 3" xfId="28827"/>
    <cellStyle name="Comma 2 4 2 4 2 3 3 3 2" xfId="40728"/>
    <cellStyle name="Comma 2 4 2 4 2 3 3 4" xfId="32162"/>
    <cellStyle name="Comma 2 4 2 4 2 3 3 5" xfId="34304"/>
    <cellStyle name="Comma 2 4 2 4 2 3 4" xfId="8309"/>
    <cellStyle name="Comma 2 4 2 4 2 3 4 2" xfId="42923"/>
    <cellStyle name="Comma 2 4 2 4 2 3 4 3" xfId="36499"/>
    <cellStyle name="Comma 2 4 2 4 2 3 5" xfId="21298"/>
    <cellStyle name="Comma 2 4 2 4 2 3 5 2" xfId="39716"/>
    <cellStyle name="Comma 2 4 2 4 2 3 6" xfId="22371"/>
    <cellStyle name="Comma 2 4 2 4 2 3 7" xfId="23494"/>
    <cellStyle name="Comma 2 4 2 4 2 3 8" xfId="26693"/>
    <cellStyle name="Comma 2 4 2 4 2 3 9" xfId="30026"/>
    <cellStyle name="Comma 2 4 2 4 2 4" xfId="1069"/>
    <cellStyle name="Comma 2 4 2 4 2 4 10" xfId="33293"/>
    <cellStyle name="Comma 2 4 2 4 2 4 2" xfId="9839"/>
    <cellStyle name="Comma 2 4 2 4 2 4 2 2" xfId="25639"/>
    <cellStyle name="Comma 2 4 2 4 2 4 2 2 2" xfId="45066"/>
    <cellStyle name="Comma 2 4 2 4 2 4 2 2 3" xfId="38643"/>
    <cellStyle name="Comma 2 4 2 4 2 4 2 3" xfId="27817"/>
    <cellStyle name="Comma 2 4 2 4 2 4 2 3 2" xfId="41859"/>
    <cellStyle name="Comma 2 4 2 4 2 4 2 4" xfId="31152"/>
    <cellStyle name="Comma 2 4 2 4 2 4 2 5" xfId="35435"/>
    <cellStyle name="Comma 2 4 2 4 2 4 3" xfId="15492"/>
    <cellStyle name="Comma 2 4 2 4 2 4 3 2" xfId="24507"/>
    <cellStyle name="Comma 2 4 2 4 2 4 3 2 2" xfId="43936"/>
    <cellStyle name="Comma 2 4 2 4 2 4 3 2 3" xfId="37513"/>
    <cellStyle name="Comma 2 4 2 4 2 4 3 3" xfId="28828"/>
    <cellStyle name="Comma 2 4 2 4 2 4 3 3 2" xfId="40729"/>
    <cellStyle name="Comma 2 4 2 4 2 4 3 4" xfId="32163"/>
    <cellStyle name="Comma 2 4 2 4 2 4 3 5" xfId="34305"/>
    <cellStyle name="Comma 2 4 2 4 2 4 4" xfId="8310"/>
    <cellStyle name="Comma 2 4 2 4 2 4 4 2" xfId="42924"/>
    <cellStyle name="Comma 2 4 2 4 2 4 4 3" xfId="36500"/>
    <cellStyle name="Comma 2 4 2 4 2 4 5" xfId="21299"/>
    <cellStyle name="Comma 2 4 2 4 2 4 5 2" xfId="39717"/>
    <cellStyle name="Comma 2 4 2 4 2 4 6" xfId="22372"/>
    <cellStyle name="Comma 2 4 2 4 2 4 7" xfId="23495"/>
    <cellStyle name="Comma 2 4 2 4 2 4 8" xfId="26694"/>
    <cellStyle name="Comma 2 4 2 4 2 4 9" xfId="30027"/>
    <cellStyle name="Comma 2 4 2 4 2 5" xfId="1070"/>
    <cellStyle name="Comma 2 4 2 4 2 5 10" xfId="33294"/>
    <cellStyle name="Comma 2 4 2 4 2 5 2" xfId="9840"/>
    <cellStyle name="Comma 2 4 2 4 2 5 2 2" xfId="25640"/>
    <cellStyle name="Comma 2 4 2 4 2 5 2 2 2" xfId="45067"/>
    <cellStyle name="Comma 2 4 2 4 2 5 2 2 3" xfId="38644"/>
    <cellStyle name="Comma 2 4 2 4 2 5 2 3" xfId="27818"/>
    <cellStyle name="Comma 2 4 2 4 2 5 2 3 2" xfId="41860"/>
    <cellStyle name="Comma 2 4 2 4 2 5 2 4" xfId="31153"/>
    <cellStyle name="Comma 2 4 2 4 2 5 2 5" xfId="35436"/>
    <cellStyle name="Comma 2 4 2 4 2 5 3" xfId="15493"/>
    <cellStyle name="Comma 2 4 2 4 2 5 3 2" xfId="24508"/>
    <cellStyle name="Comma 2 4 2 4 2 5 3 2 2" xfId="43937"/>
    <cellStyle name="Comma 2 4 2 4 2 5 3 2 3" xfId="37514"/>
    <cellStyle name="Comma 2 4 2 4 2 5 3 3" xfId="28829"/>
    <cellStyle name="Comma 2 4 2 4 2 5 3 3 2" xfId="40730"/>
    <cellStyle name="Comma 2 4 2 4 2 5 3 4" xfId="32164"/>
    <cellStyle name="Comma 2 4 2 4 2 5 3 5" xfId="34306"/>
    <cellStyle name="Comma 2 4 2 4 2 5 4" xfId="8311"/>
    <cellStyle name="Comma 2 4 2 4 2 5 4 2" xfId="42925"/>
    <cellStyle name="Comma 2 4 2 4 2 5 4 3" xfId="36501"/>
    <cellStyle name="Comma 2 4 2 4 2 5 5" xfId="21300"/>
    <cellStyle name="Comma 2 4 2 4 2 5 5 2" xfId="39718"/>
    <cellStyle name="Comma 2 4 2 4 2 5 6" xfId="22373"/>
    <cellStyle name="Comma 2 4 2 4 2 5 7" xfId="23496"/>
    <cellStyle name="Comma 2 4 2 4 2 5 8" xfId="26695"/>
    <cellStyle name="Comma 2 4 2 4 2 5 9" xfId="30028"/>
    <cellStyle name="Comma 2 4 2 4 2 6" xfId="1071"/>
    <cellStyle name="Comma 2 4 2 4 2 6 10" xfId="33295"/>
    <cellStyle name="Comma 2 4 2 4 2 6 2" xfId="9841"/>
    <cellStyle name="Comma 2 4 2 4 2 6 2 2" xfId="25641"/>
    <cellStyle name="Comma 2 4 2 4 2 6 2 2 2" xfId="45068"/>
    <cellStyle name="Comma 2 4 2 4 2 6 2 2 3" xfId="38645"/>
    <cellStyle name="Comma 2 4 2 4 2 6 2 3" xfId="27819"/>
    <cellStyle name="Comma 2 4 2 4 2 6 2 3 2" xfId="41861"/>
    <cellStyle name="Comma 2 4 2 4 2 6 2 4" xfId="31154"/>
    <cellStyle name="Comma 2 4 2 4 2 6 2 5" xfId="35437"/>
    <cellStyle name="Comma 2 4 2 4 2 6 3" xfId="15494"/>
    <cellStyle name="Comma 2 4 2 4 2 6 3 2" xfId="24509"/>
    <cellStyle name="Comma 2 4 2 4 2 6 3 2 2" xfId="43938"/>
    <cellStyle name="Comma 2 4 2 4 2 6 3 2 3" xfId="37515"/>
    <cellStyle name="Comma 2 4 2 4 2 6 3 3" xfId="28830"/>
    <cellStyle name="Comma 2 4 2 4 2 6 3 3 2" xfId="40731"/>
    <cellStyle name="Comma 2 4 2 4 2 6 3 4" xfId="32165"/>
    <cellStyle name="Comma 2 4 2 4 2 6 3 5" xfId="34307"/>
    <cellStyle name="Comma 2 4 2 4 2 6 4" xfId="8312"/>
    <cellStyle name="Comma 2 4 2 4 2 6 4 2" xfId="42926"/>
    <cellStyle name="Comma 2 4 2 4 2 6 4 3" xfId="36502"/>
    <cellStyle name="Comma 2 4 2 4 2 6 5" xfId="21301"/>
    <cellStyle name="Comma 2 4 2 4 2 6 5 2" xfId="39719"/>
    <cellStyle name="Comma 2 4 2 4 2 6 6" xfId="22374"/>
    <cellStyle name="Comma 2 4 2 4 2 6 7" xfId="23497"/>
    <cellStyle name="Comma 2 4 2 4 2 6 8" xfId="26696"/>
    <cellStyle name="Comma 2 4 2 4 2 6 9" xfId="30029"/>
    <cellStyle name="Comma 2 4 2 4 2 7" xfId="9069"/>
    <cellStyle name="Comma 2 4 2 4 2 7 2" xfId="25124"/>
    <cellStyle name="Comma 2 4 2 4 2 7 2 2" xfId="44551"/>
    <cellStyle name="Comma 2 4 2 4 2 7 2 3" xfId="38128"/>
    <cellStyle name="Comma 2 4 2 4 2 7 3" xfId="27303"/>
    <cellStyle name="Comma 2 4 2 4 2 7 3 2" xfId="41344"/>
    <cellStyle name="Comma 2 4 2 4 2 7 4" xfId="30638"/>
    <cellStyle name="Comma 2 4 2 4 2 7 5" xfId="34920"/>
    <cellStyle name="Comma 2 4 2 4 2 8" xfId="15489"/>
    <cellStyle name="Comma 2 4 2 4 2 8 2" xfId="24504"/>
    <cellStyle name="Comma 2 4 2 4 2 8 2 2" xfId="43933"/>
    <cellStyle name="Comma 2 4 2 4 2 8 2 3" xfId="37510"/>
    <cellStyle name="Comma 2 4 2 4 2 8 3" xfId="28825"/>
    <cellStyle name="Comma 2 4 2 4 2 8 3 2" xfId="40726"/>
    <cellStyle name="Comma 2 4 2 4 2 8 4" xfId="32160"/>
    <cellStyle name="Comma 2 4 2 4 2 8 5" xfId="34302"/>
    <cellStyle name="Comma 2 4 2 4 2 9" xfId="8307"/>
    <cellStyle name="Comma 2 4 2 4 2 9 2" xfId="42414"/>
    <cellStyle name="Comma 2 4 2 4 2 9 3" xfId="35990"/>
    <cellStyle name="Comma 2 4 2 4 3" xfId="1072"/>
    <cellStyle name="Comma 2 4 2 4 3 10" xfId="22375"/>
    <cellStyle name="Comma 2 4 2 4 3 11" xfId="23498"/>
    <cellStyle name="Comma 2 4 2 4 3 12" xfId="26697"/>
    <cellStyle name="Comma 2 4 2 4 3 13" xfId="30030"/>
    <cellStyle name="Comma 2 4 2 4 3 14" xfId="33296"/>
    <cellStyle name="Comma 2 4 2 4 3 2" xfId="1073"/>
    <cellStyle name="Comma 2 4 2 4 3 2 10" xfId="33297"/>
    <cellStyle name="Comma 2 4 2 4 3 2 2" xfId="9843"/>
    <cellStyle name="Comma 2 4 2 4 3 2 2 2" xfId="25643"/>
    <cellStyle name="Comma 2 4 2 4 3 2 2 2 2" xfId="45070"/>
    <cellStyle name="Comma 2 4 2 4 3 2 2 2 3" xfId="38647"/>
    <cellStyle name="Comma 2 4 2 4 3 2 2 3" xfId="27821"/>
    <cellStyle name="Comma 2 4 2 4 3 2 2 3 2" xfId="41863"/>
    <cellStyle name="Comma 2 4 2 4 3 2 2 4" xfId="31156"/>
    <cellStyle name="Comma 2 4 2 4 3 2 2 5" xfId="35439"/>
    <cellStyle name="Comma 2 4 2 4 3 2 3" xfId="15496"/>
    <cellStyle name="Comma 2 4 2 4 3 2 3 2" xfId="24511"/>
    <cellStyle name="Comma 2 4 2 4 3 2 3 2 2" xfId="43940"/>
    <cellStyle name="Comma 2 4 2 4 3 2 3 2 3" xfId="37517"/>
    <cellStyle name="Comma 2 4 2 4 3 2 3 3" xfId="28832"/>
    <cellStyle name="Comma 2 4 2 4 3 2 3 3 2" xfId="40733"/>
    <cellStyle name="Comma 2 4 2 4 3 2 3 4" xfId="32167"/>
    <cellStyle name="Comma 2 4 2 4 3 2 3 5" xfId="34309"/>
    <cellStyle name="Comma 2 4 2 4 3 2 4" xfId="8314"/>
    <cellStyle name="Comma 2 4 2 4 3 2 4 2" xfId="42928"/>
    <cellStyle name="Comma 2 4 2 4 3 2 4 3" xfId="36504"/>
    <cellStyle name="Comma 2 4 2 4 3 2 5" xfId="21303"/>
    <cellStyle name="Comma 2 4 2 4 3 2 5 2" xfId="39721"/>
    <cellStyle name="Comma 2 4 2 4 3 2 6" xfId="22376"/>
    <cellStyle name="Comma 2 4 2 4 3 2 7" xfId="23499"/>
    <cellStyle name="Comma 2 4 2 4 3 2 8" xfId="26698"/>
    <cellStyle name="Comma 2 4 2 4 3 2 9" xfId="30031"/>
    <cellStyle name="Comma 2 4 2 4 3 3" xfId="1074"/>
    <cellStyle name="Comma 2 4 2 4 3 3 10" xfId="33298"/>
    <cellStyle name="Comma 2 4 2 4 3 3 2" xfId="9844"/>
    <cellStyle name="Comma 2 4 2 4 3 3 2 2" xfId="25644"/>
    <cellStyle name="Comma 2 4 2 4 3 3 2 2 2" xfId="45071"/>
    <cellStyle name="Comma 2 4 2 4 3 3 2 2 3" xfId="38648"/>
    <cellStyle name="Comma 2 4 2 4 3 3 2 3" xfId="27822"/>
    <cellStyle name="Comma 2 4 2 4 3 3 2 3 2" xfId="41864"/>
    <cellStyle name="Comma 2 4 2 4 3 3 2 4" xfId="31157"/>
    <cellStyle name="Comma 2 4 2 4 3 3 2 5" xfId="35440"/>
    <cellStyle name="Comma 2 4 2 4 3 3 3" xfId="15497"/>
    <cellStyle name="Comma 2 4 2 4 3 3 3 2" xfId="24512"/>
    <cellStyle name="Comma 2 4 2 4 3 3 3 2 2" xfId="43941"/>
    <cellStyle name="Comma 2 4 2 4 3 3 3 2 3" xfId="37518"/>
    <cellStyle name="Comma 2 4 2 4 3 3 3 3" xfId="28833"/>
    <cellStyle name="Comma 2 4 2 4 3 3 3 3 2" xfId="40734"/>
    <cellStyle name="Comma 2 4 2 4 3 3 3 4" xfId="32168"/>
    <cellStyle name="Comma 2 4 2 4 3 3 3 5" xfId="34310"/>
    <cellStyle name="Comma 2 4 2 4 3 3 4" xfId="8315"/>
    <cellStyle name="Comma 2 4 2 4 3 3 4 2" xfId="42929"/>
    <cellStyle name="Comma 2 4 2 4 3 3 4 3" xfId="36505"/>
    <cellStyle name="Comma 2 4 2 4 3 3 5" xfId="21304"/>
    <cellStyle name="Comma 2 4 2 4 3 3 5 2" xfId="39722"/>
    <cellStyle name="Comma 2 4 2 4 3 3 6" xfId="22377"/>
    <cellStyle name="Comma 2 4 2 4 3 3 7" xfId="23500"/>
    <cellStyle name="Comma 2 4 2 4 3 3 8" xfId="26699"/>
    <cellStyle name="Comma 2 4 2 4 3 3 9" xfId="30032"/>
    <cellStyle name="Comma 2 4 2 4 3 4" xfId="1075"/>
    <cellStyle name="Comma 2 4 2 4 3 4 10" xfId="33299"/>
    <cellStyle name="Comma 2 4 2 4 3 4 2" xfId="9845"/>
    <cellStyle name="Comma 2 4 2 4 3 4 2 2" xfId="25645"/>
    <cellStyle name="Comma 2 4 2 4 3 4 2 2 2" xfId="45072"/>
    <cellStyle name="Comma 2 4 2 4 3 4 2 2 3" xfId="38649"/>
    <cellStyle name="Comma 2 4 2 4 3 4 2 3" xfId="27823"/>
    <cellStyle name="Comma 2 4 2 4 3 4 2 3 2" xfId="41865"/>
    <cellStyle name="Comma 2 4 2 4 3 4 2 4" xfId="31158"/>
    <cellStyle name="Comma 2 4 2 4 3 4 2 5" xfId="35441"/>
    <cellStyle name="Comma 2 4 2 4 3 4 3" xfId="15498"/>
    <cellStyle name="Comma 2 4 2 4 3 4 3 2" xfId="24513"/>
    <cellStyle name="Comma 2 4 2 4 3 4 3 2 2" xfId="43942"/>
    <cellStyle name="Comma 2 4 2 4 3 4 3 2 3" xfId="37519"/>
    <cellStyle name="Comma 2 4 2 4 3 4 3 3" xfId="28834"/>
    <cellStyle name="Comma 2 4 2 4 3 4 3 3 2" xfId="40735"/>
    <cellStyle name="Comma 2 4 2 4 3 4 3 4" xfId="32169"/>
    <cellStyle name="Comma 2 4 2 4 3 4 3 5" xfId="34311"/>
    <cellStyle name="Comma 2 4 2 4 3 4 4" xfId="8316"/>
    <cellStyle name="Comma 2 4 2 4 3 4 4 2" xfId="42930"/>
    <cellStyle name="Comma 2 4 2 4 3 4 4 3" xfId="36506"/>
    <cellStyle name="Comma 2 4 2 4 3 4 5" xfId="21305"/>
    <cellStyle name="Comma 2 4 2 4 3 4 5 2" xfId="39723"/>
    <cellStyle name="Comma 2 4 2 4 3 4 6" xfId="22378"/>
    <cellStyle name="Comma 2 4 2 4 3 4 7" xfId="23501"/>
    <cellStyle name="Comma 2 4 2 4 3 4 8" xfId="26700"/>
    <cellStyle name="Comma 2 4 2 4 3 4 9" xfId="30033"/>
    <cellStyle name="Comma 2 4 2 4 3 5" xfId="1076"/>
    <cellStyle name="Comma 2 4 2 4 3 5 10" xfId="33300"/>
    <cellStyle name="Comma 2 4 2 4 3 5 2" xfId="9846"/>
    <cellStyle name="Comma 2 4 2 4 3 5 2 2" xfId="25646"/>
    <cellStyle name="Comma 2 4 2 4 3 5 2 2 2" xfId="45073"/>
    <cellStyle name="Comma 2 4 2 4 3 5 2 2 3" xfId="38650"/>
    <cellStyle name="Comma 2 4 2 4 3 5 2 3" xfId="27824"/>
    <cellStyle name="Comma 2 4 2 4 3 5 2 3 2" xfId="41866"/>
    <cellStyle name="Comma 2 4 2 4 3 5 2 4" xfId="31159"/>
    <cellStyle name="Comma 2 4 2 4 3 5 2 5" xfId="35442"/>
    <cellStyle name="Comma 2 4 2 4 3 5 3" xfId="15499"/>
    <cellStyle name="Comma 2 4 2 4 3 5 3 2" xfId="24514"/>
    <cellStyle name="Comma 2 4 2 4 3 5 3 2 2" xfId="43943"/>
    <cellStyle name="Comma 2 4 2 4 3 5 3 2 3" xfId="37520"/>
    <cellStyle name="Comma 2 4 2 4 3 5 3 3" xfId="28835"/>
    <cellStyle name="Comma 2 4 2 4 3 5 3 3 2" xfId="40736"/>
    <cellStyle name="Comma 2 4 2 4 3 5 3 4" xfId="32170"/>
    <cellStyle name="Comma 2 4 2 4 3 5 3 5" xfId="34312"/>
    <cellStyle name="Comma 2 4 2 4 3 5 4" xfId="8317"/>
    <cellStyle name="Comma 2 4 2 4 3 5 4 2" xfId="42931"/>
    <cellStyle name="Comma 2 4 2 4 3 5 4 3" xfId="36507"/>
    <cellStyle name="Comma 2 4 2 4 3 5 5" xfId="21306"/>
    <cellStyle name="Comma 2 4 2 4 3 5 5 2" xfId="39724"/>
    <cellStyle name="Comma 2 4 2 4 3 5 6" xfId="22379"/>
    <cellStyle name="Comma 2 4 2 4 3 5 7" xfId="23502"/>
    <cellStyle name="Comma 2 4 2 4 3 5 8" xfId="26701"/>
    <cellStyle name="Comma 2 4 2 4 3 5 9" xfId="30034"/>
    <cellStyle name="Comma 2 4 2 4 3 6" xfId="9842"/>
    <cellStyle name="Comma 2 4 2 4 3 6 2" xfId="25642"/>
    <cellStyle name="Comma 2 4 2 4 3 6 2 2" xfId="45069"/>
    <cellStyle name="Comma 2 4 2 4 3 6 2 3" xfId="38646"/>
    <cellStyle name="Comma 2 4 2 4 3 6 3" xfId="27820"/>
    <cellStyle name="Comma 2 4 2 4 3 6 3 2" xfId="41862"/>
    <cellStyle name="Comma 2 4 2 4 3 6 4" xfId="31155"/>
    <cellStyle name="Comma 2 4 2 4 3 6 5" xfId="35438"/>
    <cellStyle name="Comma 2 4 2 4 3 7" xfId="15495"/>
    <cellStyle name="Comma 2 4 2 4 3 7 2" xfId="24510"/>
    <cellStyle name="Comma 2 4 2 4 3 7 2 2" xfId="43939"/>
    <cellStyle name="Comma 2 4 2 4 3 7 2 3" xfId="37516"/>
    <cellStyle name="Comma 2 4 2 4 3 7 3" xfId="28831"/>
    <cellStyle name="Comma 2 4 2 4 3 7 3 2" xfId="40732"/>
    <cellStyle name="Comma 2 4 2 4 3 7 4" xfId="32166"/>
    <cellStyle name="Comma 2 4 2 4 3 7 5" xfId="34308"/>
    <cellStyle name="Comma 2 4 2 4 3 8" xfId="8313"/>
    <cellStyle name="Comma 2 4 2 4 3 8 2" xfId="42927"/>
    <cellStyle name="Comma 2 4 2 4 3 8 3" xfId="36503"/>
    <cellStyle name="Comma 2 4 2 4 3 9" xfId="21302"/>
    <cellStyle name="Comma 2 4 2 4 3 9 2" xfId="39720"/>
    <cellStyle name="Comma 2 4 2 4 4" xfId="1077"/>
    <cellStyle name="Comma 2 4 2 4 4 10" xfId="33301"/>
    <cellStyle name="Comma 2 4 2 4 4 2" xfId="9847"/>
    <cellStyle name="Comma 2 4 2 4 4 2 2" xfId="25647"/>
    <cellStyle name="Comma 2 4 2 4 4 2 2 2" xfId="45074"/>
    <cellStyle name="Comma 2 4 2 4 4 2 2 3" xfId="38651"/>
    <cellStyle name="Comma 2 4 2 4 4 2 3" xfId="27825"/>
    <cellStyle name="Comma 2 4 2 4 4 2 3 2" xfId="41867"/>
    <cellStyle name="Comma 2 4 2 4 4 2 4" xfId="31160"/>
    <cellStyle name="Comma 2 4 2 4 4 2 5" xfId="35443"/>
    <cellStyle name="Comma 2 4 2 4 4 3" xfId="15500"/>
    <cellStyle name="Comma 2 4 2 4 4 3 2" xfId="24515"/>
    <cellStyle name="Comma 2 4 2 4 4 3 2 2" xfId="43944"/>
    <cellStyle name="Comma 2 4 2 4 4 3 2 3" xfId="37521"/>
    <cellStyle name="Comma 2 4 2 4 4 3 3" xfId="28836"/>
    <cellStyle name="Comma 2 4 2 4 4 3 3 2" xfId="40737"/>
    <cellStyle name="Comma 2 4 2 4 4 3 4" xfId="32171"/>
    <cellStyle name="Comma 2 4 2 4 4 3 5" xfId="34313"/>
    <cellStyle name="Comma 2 4 2 4 4 4" xfId="8318"/>
    <cellStyle name="Comma 2 4 2 4 4 4 2" xfId="42932"/>
    <cellStyle name="Comma 2 4 2 4 4 4 3" xfId="36508"/>
    <cellStyle name="Comma 2 4 2 4 4 5" xfId="21307"/>
    <cellStyle name="Comma 2 4 2 4 4 5 2" xfId="39725"/>
    <cellStyle name="Comma 2 4 2 4 4 6" xfId="22380"/>
    <cellStyle name="Comma 2 4 2 4 4 7" xfId="23503"/>
    <cellStyle name="Comma 2 4 2 4 4 8" xfId="26702"/>
    <cellStyle name="Comma 2 4 2 4 4 9" xfId="30035"/>
    <cellStyle name="Comma 2 4 2 4 5" xfId="1078"/>
    <cellStyle name="Comma 2 4 2 4 5 10" xfId="33302"/>
    <cellStyle name="Comma 2 4 2 4 5 2" xfId="9848"/>
    <cellStyle name="Comma 2 4 2 4 5 2 2" xfId="25648"/>
    <cellStyle name="Comma 2 4 2 4 5 2 2 2" xfId="45075"/>
    <cellStyle name="Comma 2 4 2 4 5 2 2 3" xfId="38652"/>
    <cellStyle name="Comma 2 4 2 4 5 2 3" xfId="27826"/>
    <cellStyle name="Comma 2 4 2 4 5 2 3 2" xfId="41868"/>
    <cellStyle name="Comma 2 4 2 4 5 2 4" xfId="31161"/>
    <cellStyle name="Comma 2 4 2 4 5 2 5" xfId="35444"/>
    <cellStyle name="Comma 2 4 2 4 5 3" xfId="15501"/>
    <cellStyle name="Comma 2 4 2 4 5 3 2" xfId="24516"/>
    <cellStyle name="Comma 2 4 2 4 5 3 2 2" xfId="43945"/>
    <cellStyle name="Comma 2 4 2 4 5 3 2 3" xfId="37522"/>
    <cellStyle name="Comma 2 4 2 4 5 3 3" xfId="28837"/>
    <cellStyle name="Comma 2 4 2 4 5 3 3 2" xfId="40738"/>
    <cellStyle name="Comma 2 4 2 4 5 3 4" xfId="32172"/>
    <cellStyle name="Comma 2 4 2 4 5 3 5" xfId="34314"/>
    <cellStyle name="Comma 2 4 2 4 5 4" xfId="8319"/>
    <cellStyle name="Comma 2 4 2 4 5 4 2" xfId="42933"/>
    <cellStyle name="Comma 2 4 2 4 5 4 3" xfId="36509"/>
    <cellStyle name="Comma 2 4 2 4 5 5" xfId="21308"/>
    <cellStyle name="Comma 2 4 2 4 5 5 2" xfId="39726"/>
    <cellStyle name="Comma 2 4 2 4 5 6" xfId="22381"/>
    <cellStyle name="Comma 2 4 2 4 5 7" xfId="23504"/>
    <cellStyle name="Comma 2 4 2 4 5 8" xfId="26703"/>
    <cellStyle name="Comma 2 4 2 4 5 9" xfId="30036"/>
    <cellStyle name="Comma 2 4 2 4 6" xfId="1079"/>
    <cellStyle name="Comma 2 4 2 4 6 10" xfId="33303"/>
    <cellStyle name="Comma 2 4 2 4 6 2" xfId="9849"/>
    <cellStyle name="Comma 2 4 2 4 6 2 2" xfId="25649"/>
    <cellStyle name="Comma 2 4 2 4 6 2 2 2" xfId="45076"/>
    <cellStyle name="Comma 2 4 2 4 6 2 2 3" xfId="38653"/>
    <cellStyle name="Comma 2 4 2 4 6 2 3" xfId="27827"/>
    <cellStyle name="Comma 2 4 2 4 6 2 3 2" xfId="41869"/>
    <cellStyle name="Comma 2 4 2 4 6 2 4" xfId="31162"/>
    <cellStyle name="Comma 2 4 2 4 6 2 5" xfId="35445"/>
    <cellStyle name="Comma 2 4 2 4 6 3" xfId="15502"/>
    <cellStyle name="Comma 2 4 2 4 6 3 2" xfId="24517"/>
    <cellStyle name="Comma 2 4 2 4 6 3 2 2" xfId="43946"/>
    <cellStyle name="Comma 2 4 2 4 6 3 2 3" xfId="37523"/>
    <cellStyle name="Comma 2 4 2 4 6 3 3" xfId="28838"/>
    <cellStyle name="Comma 2 4 2 4 6 3 3 2" xfId="40739"/>
    <cellStyle name="Comma 2 4 2 4 6 3 4" xfId="32173"/>
    <cellStyle name="Comma 2 4 2 4 6 3 5" xfId="34315"/>
    <cellStyle name="Comma 2 4 2 4 6 4" xfId="8320"/>
    <cellStyle name="Comma 2 4 2 4 6 4 2" xfId="42934"/>
    <cellStyle name="Comma 2 4 2 4 6 4 3" xfId="36510"/>
    <cellStyle name="Comma 2 4 2 4 6 5" xfId="21309"/>
    <cellStyle name="Comma 2 4 2 4 6 5 2" xfId="39727"/>
    <cellStyle name="Comma 2 4 2 4 6 6" xfId="22382"/>
    <cellStyle name="Comma 2 4 2 4 6 7" xfId="23505"/>
    <cellStyle name="Comma 2 4 2 4 6 8" xfId="26704"/>
    <cellStyle name="Comma 2 4 2 4 6 9" xfId="30037"/>
    <cellStyle name="Comma 2 4 2 4 7" xfId="1080"/>
    <cellStyle name="Comma 2 4 2 4 7 10" xfId="33304"/>
    <cellStyle name="Comma 2 4 2 4 7 2" xfId="9850"/>
    <cellStyle name="Comma 2 4 2 4 7 2 2" xfId="25650"/>
    <cellStyle name="Comma 2 4 2 4 7 2 2 2" xfId="45077"/>
    <cellStyle name="Comma 2 4 2 4 7 2 2 3" xfId="38654"/>
    <cellStyle name="Comma 2 4 2 4 7 2 3" xfId="27828"/>
    <cellStyle name="Comma 2 4 2 4 7 2 3 2" xfId="41870"/>
    <cellStyle name="Comma 2 4 2 4 7 2 4" xfId="31163"/>
    <cellStyle name="Comma 2 4 2 4 7 2 5" xfId="35446"/>
    <cellStyle name="Comma 2 4 2 4 7 3" xfId="15503"/>
    <cellStyle name="Comma 2 4 2 4 7 3 2" xfId="24518"/>
    <cellStyle name="Comma 2 4 2 4 7 3 2 2" xfId="43947"/>
    <cellStyle name="Comma 2 4 2 4 7 3 2 3" xfId="37524"/>
    <cellStyle name="Comma 2 4 2 4 7 3 3" xfId="28839"/>
    <cellStyle name="Comma 2 4 2 4 7 3 3 2" xfId="40740"/>
    <cellStyle name="Comma 2 4 2 4 7 3 4" xfId="32174"/>
    <cellStyle name="Comma 2 4 2 4 7 3 5" xfId="34316"/>
    <cellStyle name="Comma 2 4 2 4 7 4" xfId="8321"/>
    <cellStyle name="Comma 2 4 2 4 7 4 2" xfId="42935"/>
    <cellStyle name="Comma 2 4 2 4 7 4 3" xfId="36511"/>
    <cellStyle name="Comma 2 4 2 4 7 5" xfId="21310"/>
    <cellStyle name="Comma 2 4 2 4 7 5 2" xfId="39728"/>
    <cellStyle name="Comma 2 4 2 4 7 6" xfId="22383"/>
    <cellStyle name="Comma 2 4 2 4 7 7" xfId="23506"/>
    <cellStyle name="Comma 2 4 2 4 7 8" xfId="26705"/>
    <cellStyle name="Comma 2 4 2 4 7 9" xfId="30038"/>
    <cellStyle name="Comma 2 4 2 4 8" xfId="1081"/>
    <cellStyle name="Comma 2 4 2 4 8 10" xfId="33305"/>
    <cellStyle name="Comma 2 4 2 4 8 2" xfId="9851"/>
    <cellStyle name="Comma 2 4 2 4 8 2 2" xfId="25651"/>
    <cellStyle name="Comma 2 4 2 4 8 2 2 2" xfId="45078"/>
    <cellStyle name="Comma 2 4 2 4 8 2 2 3" xfId="38655"/>
    <cellStyle name="Comma 2 4 2 4 8 2 3" xfId="27829"/>
    <cellStyle name="Comma 2 4 2 4 8 2 3 2" xfId="41871"/>
    <cellStyle name="Comma 2 4 2 4 8 2 4" xfId="31164"/>
    <cellStyle name="Comma 2 4 2 4 8 2 5" xfId="35447"/>
    <cellStyle name="Comma 2 4 2 4 8 3" xfId="15504"/>
    <cellStyle name="Comma 2 4 2 4 8 3 2" xfId="24519"/>
    <cellStyle name="Comma 2 4 2 4 8 3 2 2" xfId="43948"/>
    <cellStyle name="Comma 2 4 2 4 8 3 2 3" xfId="37525"/>
    <cellStyle name="Comma 2 4 2 4 8 3 3" xfId="28840"/>
    <cellStyle name="Comma 2 4 2 4 8 3 3 2" xfId="40741"/>
    <cellStyle name="Comma 2 4 2 4 8 3 4" xfId="32175"/>
    <cellStyle name="Comma 2 4 2 4 8 3 5" xfId="34317"/>
    <cellStyle name="Comma 2 4 2 4 8 4" xfId="8322"/>
    <cellStyle name="Comma 2 4 2 4 8 4 2" xfId="42936"/>
    <cellStyle name="Comma 2 4 2 4 8 4 3" xfId="36512"/>
    <cellStyle name="Comma 2 4 2 4 8 5" xfId="21311"/>
    <cellStyle name="Comma 2 4 2 4 8 5 2" xfId="39729"/>
    <cellStyle name="Comma 2 4 2 4 8 6" xfId="22384"/>
    <cellStyle name="Comma 2 4 2 4 8 7" xfId="23507"/>
    <cellStyle name="Comma 2 4 2 4 8 8" xfId="26706"/>
    <cellStyle name="Comma 2 4 2 4 8 9" xfId="30039"/>
    <cellStyle name="Comma 2 4 2 4 9" xfId="9074"/>
    <cellStyle name="Comma 2 4 2 4 9 2" xfId="25129"/>
    <cellStyle name="Comma 2 4 2 4 9 2 2" xfId="44556"/>
    <cellStyle name="Comma 2 4 2 4 9 2 3" xfId="38133"/>
    <cellStyle name="Comma 2 4 2 4 9 3" xfId="27308"/>
    <cellStyle name="Comma 2 4 2 4 9 3 2" xfId="41349"/>
    <cellStyle name="Comma 2 4 2 4 9 4" xfId="30643"/>
    <cellStyle name="Comma 2 4 2 4 9 5" xfId="34925"/>
    <cellStyle name="Comma 2 4 2 5" xfId="265"/>
    <cellStyle name="Comma 2 4 2 5 10" xfId="21312"/>
    <cellStyle name="Comma 2 4 2 5 10 2" xfId="39259"/>
    <cellStyle name="Comma 2 4 2 5 11" xfId="22385"/>
    <cellStyle name="Comma 2 4 2 5 12" xfId="23037"/>
    <cellStyle name="Comma 2 4 2 5 13" xfId="26707"/>
    <cellStyle name="Comma 2 4 2 5 14" xfId="30040"/>
    <cellStyle name="Comma 2 4 2 5 15" xfId="32835"/>
    <cellStyle name="Comma 2 4 2 5 2" xfId="1082"/>
    <cellStyle name="Comma 2 4 2 5 2 10" xfId="33306"/>
    <cellStyle name="Comma 2 4 2 5 2 2" xfId="9852"/>
    <cellStyle name="Comma 2 4 2 5 2 2 2" xfId="25652"/>
    <cellStyle name="Comma 2 4 2 5 2 2 2 2" xfId="45079"/>
    <cellStyle name="Comma 2 4 2 5 2 2 2 3" xfId="38656"/>
    <cellStyle name="Comma 2 4 2 5 2 2 3" xfId="27830"/>
    <cellStyle name="Comma 2 4 2 5 2 2 3 2" xfId="41872"/>
    <cellStyle name="Comma 2 4 2 5 2 2 4" xfId="31165"/>
    <cellStyle name="Comma 2 4 2 5 2 2 5" xfId="35448"/>
    <cellStyle name="Comma 2 4 2 5 2 3" xfId="15506"/>
    <cellStyle name="Comma 2 4 2 5 2 3 2" xfId="24521"/>
    <cellStyle name="Comma 2 4 2 5 2 3 2 2" xfId="43950"/>
    <cellStyle name="Comma 2 4 2 5 2 3 2 3" xfId="37527"/>
    <cellStyle name="Comma 2 4 2 5 2 3 3" xfId="28842"/>
    <cellStyle name="Comma 2 4 2 5 2 3 3 2" xfId="40743"/>
    <cellStyle name="Comma 2 4 2 5 2 3 4" xfId="32177"/>
    <cellStyle name="Comma 2 4 2 5 2 3 5" xfId="34319"/>
    <cellStyle name="Comma 2 4 2 5 2 4" xfId="8324"/>
    <cellStyle name="Comma 2 4 2 5 2 4 2" xfId="42937"/>
    <cellStyle name="Comma 2 4 2 5 2 4 3" xfId="36513"/>
    <cellStyle name="Comma 2 4 2 5 2 5" xfId="21313"/>
    <cellStyle name="Comma 2 4 2 5 2 5 2" xfId="39730"/>
    <cellStyle name="Comma 2 4 2 5 2 6" xfId="22386"/>
    <cellStyle name="Comma 2 4 2 5 2 7" xfId="23508"/>
    <cellStyle name="Comma 2 4 2 5 2 8" xfId="26708"/>
    <cellStyle name="Comma 2 4 2 5 2 9" xfId="30041"/>
    <cellStyle name="Comma 2 4 2 5 3" xfId="1083"/>
    <cellStyle name="Comma 2 4 2 5 3 10" xfId="33307"/>
    <cellStyle name="Comma 2 4 2 5 3 2" xfId="9853"/>
    <cellStyle name="Comma 2 4 2 5 3 2 2" xfId="25653"/>
    <cellStyle name="Comma 2 4 2 5 3 2 2 2" xfId="45080"/>
    <cellStyle name="Comma 2 4 2 5 3 2 2 3" xfId="38657"/>
    <cellStyle name="Comma 2 4 2 5 3 2 3" xfId="27831"/>
    <cellStyle name="Comma 2 4 2 5 3 2 3 2" xfId="41873"/>
    <cellStyle name="Comma 2 4 2 5 3 2 4" xfId="31166"/>
    <cellStyle name="Comma 2 4 2 5 3 2 5" xfId="35449"/>
    <cellStyle name="Comma 2 4 2 5 3 3" xfId="15507"/>
    <cellStyle name="Comma 2 4 2 5 3 3 2" xfId="24522"/>
    <cellStyle name="Comma 2 4 2 5 3 3 2 2" xfId="43951"/>
    <cellStyle name="Comma 2 4 2 5 3 3 2 3" xfId="37528"/>
    <cellStyle name="Comma 2 4 2 5 3 3 3" xfId="28843"/>
    <cellStyle name="Comma 2 4 2 5 3 3 3 2" xfId="40744"/>
    <cellStyle name="Comma 2 4 2 5 3 3 4" xfId="32178"/>
    <cellStyle name="Comma 2 4 2 5 3 3 5" xfId="34320"/>
    <cellStyle name="Comma 2 4 2 5 3 4" xfId="8325"/>
    <cellStyle name="Comma 2 4 2 5 3 4 2" xfId="42938"/>
    <cellStyle name="Comma 2 4 2 5 3 4 3" xfId="36514"/>
    <cellStyle name="Comma 2 4 2 5 3 5" xfId="21314"/>
    <cellStyle name="Comma 2 4 2 5 3 5 2" xfId="39731"/>
    <cellStyle name="Comma 2 4 2 5 3 6" xfId="22387"/>
    <cellStyle name="Comma 2 4 2 5 3 7" xfId="23509"/>
    <cellStyle name="Comma 2 4 2 5 3 8" xfId="26709"/>
    <cellStyle name="Comma 2 4 2 5 3 9" xfId="30042"/>
    <cellStyle name="Comma 2 4 2 5 4" xfId="1084"/>
    <cellStyle name="Comma 2 4 2 5 4 10" xfId="33308"/>
    <cellStyle name="Comma 2 4 2 5 4 2" xfId="9854"/>
    <cellStyle name="Comma 2 4 2 5 4 2 2" xfId="25654"/>
    <cellStyle name="Comma 2 4 2 5 4 2 2 2" xfId="45081"/>
    <cellStyle name="Comma 2 4 2 5 4 2 2 3" xfId="38658"/>
    <cellStyle name="Comma 2 4 2 5 4 2 3" xfId="27832"/>
    <cellStyle name="Comma 2 4 2 5 4 2 3 2" xfId="41874"/>
    <cellStyle name="Comma 2 4 2 5 4 2 4" xfId="31167"/>
    <cellStyle name="Comma 2 4 2 5 4 2 5" xfId="35450"/>
    <cellStyle name="Comma 2 4 2 5 4 3" xfId="15508"/>
    <cellStyle name="Comma 2 4 2 5 4 3 2" xfId="24523"/>
    <cellStyle name="Comma 2 4 2 5 4 3 2 2" xfId="43952"/>
    <cellStyle name="Comma 2 4 2 5 4 3 2 3" xfId="37529"/>
    <cellStyle name="Comma 2 4 2 5 4 3 3" xfId="28844"/>
    <cellStyle name="Comma 2 4 2 5 4 3 3 2" xfId="40745"/>
    <cellStyle name="Comma 2 4 2 5 4 3 4" xfId="32179"/>
    <cellStyle name="Comma 2 4 2 5 4 3 5" xfId="34321"/>
    <cellStyle name="Comma 2 4 2 5 4 4" xfId="8326"/>
    <cellStyle name="Comma 2 4 2 5 4 4 2" xfId="42939"/>
    <cellStyle name="Comma 2 4 2 5 4 4 3" xfId="36515"/>
    <cellStyle name="Comma 2 4 2 5 4 5" xfId="21315"/>
    <cellStyle name="Comma 2 4 2 5 4 5 2" xfId="39732"/>
    <cellStyle name="Comma 2 4 2 5 4 6" xfId="22388"/>
    <cellStyle name="Comma 2 4 2 5 4 7" xfId="23510"/>
    <cellStyle name="Comma 2 4 2 5 4 8" xfId="26710"/>
    <cellStyle name="Comma 2 4 2 5 4 9" xfId="30043"/>
    <cellStyle name="Comma 2 4 2 5 5" xfId="1085"/>
    <cellStyle name="Comma 2 4 2 5 5 10" xfId="33309"/>
    <cellStyle name="Comma 2 4 2 5 5 2" xfId="9855"/>
    <cellStyle name="Comma 2 4 2 5 5 2 2" xfId="25655"/>
    <cellStyle name="Comma 2 4 2 5 5 2 2 2" xfId="45082"/>
    <cellStyle name="Comma 2 4 2 5 5 2 2 3" xfId="38659"/>
    <cellStyle name="Comma 2 4 2 5 5 2 3" xfId="27833"/>
    <cellStyle name="Comma 2 4 2 5 5 2 3 2" xfId="41875"/>
    <cellStyle name="Comma 2 4 2 5 5 2 4" xfId="31168"/>
    <cellStyle name="Comma 2 4 2 5 5 2 5" xfId="35451"/>
    <cellStyle name="Comma 2 4 2 5 5 3" xfId="15509"/>
    <cellStyle name="Comma 2 4 2 5 5 3 2" xfId="24524"/>
    <cellStyle name="Comma 2 4 2 5 5 3 2 2" xfId="43953"/>
    <cellStyle name="Comma 2 4 2 5 5 3 2 3" xfId="37530"/>
    <cellStyle name="Comma 2 4 2 5 5 3 3" xfId="28845"/>
    <cellStyle name="Comma 2 4 2 5 5 3 3 2" xfId="40746"/>
    <cellStyle name="Comma 2 4 2 5 5 3 4" xfId="32180"/>
    <cellStyle name="Comma 2 4 2 5 5 3 5" xfId="34322"/>
    <cellStyle name="Comma 2 4 2 5 5 4" xfId="8327"/>
    <cellStyle name="Comma 2 4 2 5 5 4 2" xfId="42940"/>
    <cellStyle name="Comma 2 4 2 5 5 4 3" xfId="36516"/>
    <cellStyle name="Comma 2 4 2 5 5 5" xfId="21316"/>
    <cellStyle name="Comma 2 4 2 5 5 5 2" xfId="39733"/>
    <cellStyle name="Comma 2 4 2 5 5 6" xfId="22389"/>
    <cellStyle name="Comma 2 4 2 5 5 7" xfId="23511"/>
    <cellStyle name="Comma 2 4 2 5 5 8" xfId="26711"/>
    <cellStyle name="Comma 2 4 2 5 5 9" xfId="30044"/>
    <cellStyle name="Comma 2 4 2 5 6" xfId="1086"/>
    <cellStyle name="Comma 2 4 2 5 6 10" xfId="33310"/>
    <cellStyle name="Comma 2 4 2 5 6 2" xfId="9856"/>
    <cellStyle name="Comma 2 4 2 5 6 2 2" xfId="25656"/>
    <cellStyle name="Comma 2 4 2 5 6 2 2 2" xfId="45083"/>
    <cellStyle name="Comma 2 4 2 5 6 2 2 3" xfId="38660"/>
    <cellStyle name="Comma 2 4 2 5 6 2 3" xfId="27834"/>
    <cellStyle name="Comma 2 4 2 5 6 2 3 2" xfId="41876"/>
    <cellStyle name="Comma 2 4 2 5 6 2 4" xfId="31169"/>
    <cellStyle name="Comma 2 4 2 5 6 2 5" xfId="35452"/>
    <cellStyle name="Comma 2 4 2 5 6 3" xfId="15510"/>
    <cellStyle name="Comma 2 4 2 5 6 3 2" xfId="24525"/>
    <cellStyle name="Comma 2 4 2 5 6 3 2 2" xfId="43954"/>
    <cellStyle name="Comma 2 4 2 5 6 3 2 3" xfId="37531"/>
    <cellStyle name="Comma 2 4 2 5 6 3 3" xfId="28846"/>
    <cellStyle name="Comma 2 4 2 5 6 3 3 2" xfId="40747"/>
    <cellStyle name="Comma 2 4 2 5 6 3 4" xfId="32181"/>
    <cellStyle name="Comma 2 4 2 5 6 3 5" xfId="34323"/>
    <cellStyle name="Comma 2 4 2 5 6 4" xfId="8328"/>
    <cellStyle name="Comma 2 4 2 5 6 4 2" xfId="42941"/>
    <cellStyle name="Comma 2 4 2 5 6 4 3" xfId="36517"/>
    <cellStyle name="Comma 2 4 2 5 6 5" xfId="21317"/>
    <cellStyle name="Comma 2 4 2 5 6 5 2" xfId="39734"/>
    <cellStyle name="Comma 2 4 2 5 6 6" xfId="22390"/>
    <cellStyle name="Comma 2 4 2 5 6 7" xfId="23512"/>
    <cellStyle name="Comma 2 4 2 5 6 8" xfId="26712"/>
    <cellStyle name="Comma 2 4 2 5 6 9" xfId="30045"/>
    <cellStyle name="Comma 2 4 2 5 7" xfId="9122"/>
    <cellStyle name="Comma 2 4 2 5 7 2" xfId="25176"/>
    <cellStyle name="Comma 2 4 2 5 7 2 2" xfId="44603"/>
    <cellStyle name="Comma 2 4 2 5 7 2 3" xfId="38180"/>
    <cellStyle name="Comma 2 4 2 5 7 3" xfId="27355"/>
    <cellStyle name="Comma 2 4 2 5 7 3 2" xfId="41396"/>
    <cellStyle name="Comma 2 4 2 5 7 4" xfId="30690"/>
    <cellStyle name="Comma 2 4 2 5 7 5" xfId="34972"/>
    <cellStyle name="Comma 2 4 2 5 8" xfId="15505"/>
    <cellStyle name="Comma 2 4 2 5 8 2" xfId="24520"/>
    <cellStyle name="Comma 2 4 2 5 8 2 2" xfId="43949"/>
    <cellStyle name="Comma 2 4 2 5 8 2 3" xfId="37526"/>
    <cellStyle name="Comma 2 4 2 5 8 3" xfId="28841"/>
    <cellStyle name="Comma 2 4 2 5 8 3 2" xfId="40742"/>
    <cellStyle name="Comma 2 4 2 5 8 4" xfId="32176"/>
    <cellStyle name="Comma 2 4 2 5 8 5" xfId="34318"/>
    <cellStyle name="Comma 2 4 2 5 9" xfId="8323"/>
    <cellStyle name="Comma 2 4 2 5 9 2" xfId="42466"/>
    <cellStyle name="Comma 2 4 2 5 9 3" xfId="36042"/>
    <cellStyle name="Comma 2 4 2 6" xfId="1087"/>
    <cellStyle name="Comma 2 4 2 6 10" xfId="22391"/>
    <cellStyle name="Comma 2 4 2 6 11" xfId="23513"/>
    <cellStyle name="Comma 2 4 2 6 12" xfId="26713"/>
    <cellStyle name="Comma 2 4 2 6 13" xfId="30046"/>
    <cellStyle name="Comma 2 4 2 6 14" xfId="33311"/>
    <cellStyle name="Comma 2 4 2 6 2" xfId="1088"/>
    <cellStyle name="Comma 2 4 2 6 2 10" xfId="33312"/>
    <cellStyle name="Comma 2 4 2 6 2 2" xfId="9858"/>
    <cellStyle name="Comma 2 4 2 6 2 2 2" xfId="25658"/>
    <cellStyle name="Comma 2 4 2 6 2 2 2 2" xfId="45085"/>
    <cellStyle name="Comma 2 4 2 6 2 2 2 3" xfId="38662"/>
    <cellStyle name="Comma 2 4 2 6 2 2 3" xfId="27836"/>
    <cellStyle name="Comma 2 4 2 6 2 2 3 2" xfId="41878"/>
    <cellStyle name="Comma 2 4 2 6 2 2 4" xfId="31171"/>
    <cellStyle name="Comma 2 4 2 6 2 2 5" xfId="35454"/>
    <cellStyle name="Comma 2 4 2 6 2 3" xfId="15512"/>
    <cellStyle name="Comma 2 4 2 6 2 3 2" xfId="24527"/>
    <cellStyle name="Comma 2 4 2 6 2 3 2 2" xfId="43956"/>
    <cellStyle name="Comma 2 4 2 6 2 3 2 3" xfId="37533"/>
    <cellStyle name="Comma 2 4 2 6 2 3 3" xfId="28848"/>
    <cellStyle name="Comma 2 4 2 6 2 3 3 2" xfId="40749"/>
    <cellStyle name="Comma 2 4 2 6 2 3 4" xfId="32183"/>
    <cellStyle name="Comma 2 4 2 6 2 3 5" xfId="34325"/>
    <cellStyle name="Comma 2 4 2 6 2 4" xfId="8330"/>
    <cellStyle name="Comma 2 4 2 6 2 4 2" xfId="42943"/>
    <cellStyle name="Comma 2 4 2 6 2 4 3" xfId="36519"/>
    <cellStyle name="Comma 2 4 2 6 2 5" xfId="21319"/>
    <cellStyle name="Comma 2 4 2 6 2 5 2" xfId="39736"/>
    <cellStyle name="Comma 2 4 2 6 2 6" xfId="22392"/>
    <cellStyle name="Comma 2 4 2 6 2 7" xfId="23514"/>
    <cellStyle name="Comma 2 4 2 6 2 8" xfId="26714"/>
    <cellStyle name="Comma 2 4 2 6 2 9" xfId="30047"/>
    <cellStyle name="Comma 2 4 2 6 3" xfId="1089"/>
    <cellStyle name="Comma 2 4 2 6 3 10" xfId="33313"/>
    <cellStyle name="Comma 2 4 2 6 3 2" xfId="9859"/>
    <cellStyle name="Comma 2 4 2 6 3 2 2" xfId="25659"/>
    <cellStyle name="Comma 2 4 2 6 3 2 2 2" xfId="45086"/>
    <cellStyle name="Comma 2 4 2 6 3 2 2 3" xfId="38663"/>
    <cellStyle name="Comma 2 4 2 6 3 2 3" xfId="27837"/>
    <cellStyle name="Comma 2 4 2 6 3 2 3 2" xfId="41879"/>
    <cellStyle name="Comma 2 4 2 6 3 2 4" xfId="31172"/>
    <cellStyle name="Comma 2 4 2 6 3 2 5" xfId="35455"/>
    <cellStyle name="Comma 2 4 2 6 3 3" xfId="15513"/>
    <cellStyle name="Comma 2 4 2 6 3 3 2" xfId="24528"/>
    <cellStyle name="Comma 2 4 2 6 3 3 2 2" xfId="43957"/>
    <cellStyle name="Comma 2 4 2 6 3 3 2 3" xfId="37534"/>
    <cellStyle name="Comma 2 4 2 6 3 3 3" xfId="28849"/>
    <cellStyle name="Comma 2 4 2 6 3 3 3 2" xfId="40750"/>
    <cellStyle name="Comma 2 4 2 6 3 3 4" xfId="32184"/>
    <cellStyle name="Comma 2 4 2 6 3 3 5" xfId="34326"/>
    <cellStyle name="Comma 2 4 2 6 3 4" xfId="8331"/>
    <cellStyle name="Comma 2 4 2 6 3 4 2" xfId="42944"/>
    <cellStyle name="Comma 2 4 2 6 3 4 3" xfId="36520"/>
    <cellStyle name="Comma 2 4 2 6 3 5" xfId="21320"/>
    <cellStyle name="Comma 2 4 2 6 3 5 2" xfId="39737"/>
    <cellStyle name="Comma 2 4 2 6 3 6" xfId="22393"/>
    <cellStyle name="Comma 2 4 2 6 3 7" xfId="23515"/>
    <cellStyle name="Comma 2 4 2 6 3 8" xfId="26715"/>
    <cellStyle name="Comma 2 4 2 6 3 9" xfId="30048"/>
    <cellStyle name="Comma 2 4 2 6 4" xfId="1090"/>
    <cellStyle name="Comma 2 4 2 6 4 10" xfId="33314"/>
    <cellStyle name="Comma 2 4 2 6 4 2" xfId="9860"/>
    <cellStyle name="Comma 2 4 2 6 4 2 2" xfId="25660"/>
    <cellStyle name="Comma 2 4 2 6 4 2 2 2" xfId="45087"/>
    <cellStyle name="Comma 2 4 2 6 4 2 2 3" xfId="38664"/>
    <cellStyle name="Comma 2 4 2 6 4 2 3" xfId="27838"/>
    <cellStyle name="Comma 2 4 2 6 4 2 3 2" xfId="41880"/>
    <cellStyle name="Comma 2 4 2 6 4 2 4" xfId="31173"/>
    <cellStyle name="Comma 2 4 2 6 4 2 5" xfId="35456"/>
    <cellStyle name="Comma 2 4 2 6 4 3" xfId="15514"/>
    <cellStyle name="Comma 2 4 2 6 4 3 2" xfId="24529"/>
    <cellStyle name="Comma 2 4 2 6 4 3 2 2" xfId="43958"/>
    <cellStyle name="Comma 2 4 2 6 4 3 2 3" xfId="37535"/>
    <cellStyle name="Comma 2 4 2 6 4 3 3" xfId="28850"/>
    <cellStyle name="Comma 2 4 2 6 4 3 3 2" xfId="40751"/>
    <cellStyle name="Comma 2 4 2 6 4 3 4" xfId="32185"/>
    <cellStyle name="Comma 2 4 2 6 4 3 5" xfId="34327"/>
    <cellStyle name="Comma 2 4 2 6 4 4" xfId="8332"/>
    <cellStyle name="Comma 2 4 2 6 4 4 2" xfId="42945"/>
    <cellStyle name="Comma 2 4 2 6 4 4 3" xfId="36521"/>
    <cellStyle name="Comma 2 4 2 6 4 5" xfId="21321"/>
    <cellStyle name="Comma 2 4 2 6 4 5 2" xfId="39738"/>
    <cellStyle name="Comma 2 4 2 6 4 6" xfId="22394"/>
    <cellStyle name="Comma 2 4 2 6 4 7" xfId="23516"/>
    <cellStyle name="Comma 2 4 2 6 4 8" xfId="26716"/>
    <cellStyle name="Comma 2 4 2 6 4 9" xfId="30049"/>
    <cellStyle name="Comma 2 4 2 6 5" xfId="1091"/>
    <cellStyle name="Comma 2 4 2 6 5 10" xfId="33315"/>
    <cellStyle name="Comma 2 4 2 6 5 2" xfId="9861"/>
    <cellStyle name="Comma 2 4 2 6 5 2 2" xfId="25661"/>
    <cellStyle name="Comma 2 4 2 6 5 2 2 2" xfId="45088"/>
    <cellStyle name="Comma 2 4 2 6 5 2 2 3" xfId="38665"/>
    <cellStyle name="Comma 2 4 2 6 5 2 3" xfId="27839"/>
    <cellStyle name="Comma 2 4 2 6 5 2 3 2" xfId="41881"/>
    <cellStyle name="Comma 2 4 2 6 5 2 4" xfId="31174"/>
    <cellStyle name="Comma 2 4 2 6 5 2 5" xfId="35457"/>
    <cellStyle name="Comma 2 4 2 6 5 3" xfId="15515"/>
    <cellStyle name="Comma 2 4 2 6 5 3 2" xfId="24530"/>
    <cellStyle name="Comma 2 4 2 6 5 3 2 2" xfId="43959"/>
    <cellStyle name="Comma 2 4 2 6 5 3 2 3" xfId="37536"/>
    <cellStyle name="Comma 2 4 2 6 5 3 3" xfId="28851"/>
    <cellStyle name="Comma 2 4 2 6 5 3 3 2" xfId="40752"/>
    <cellStyle name="Comma 2 4 2 6 5 3 4" xfId="32186"/>
    <cellStyle name="Comma 2 4 2 6 5 3 5" xfId="34328"/>
    <cellStyle name="Comma 2 4 2 6 5 4" xfId="8333"/>
    <cellStyle name="Comma 2 4 2 6 5 4 2" xfId="42946"/>
    <cellStyle name="Comma 2 4 2 6 5 4 3" xfId="36522"/>
    <cellStyle name="Comma 2 4 2 6 5 5" xfId="21322"/>
    <cellStyle name="Comma 2 4 2 6 5 5 2" xfId="39739"/>
    <cellStyle name="Comma 2 4 2 6 5 6" xfId="22395"/>
    <cellStyle name="Comma 2 4 2 6 5 7" xfId="23517"/>
    <cellStyle name="Comma 2 4 2 6 5 8" xfId="26717"/>
    <cellStyle name="Comma 2 4 2 6 5 9" xfId="30050"/>
    <cellStyle name="Comma 2 4 2 6 6" xfId="9857"/>
    <cellStyle name="Comma 2 4 2 6 6 2" xfId="25657"/>
    <cellStyle name="Comma 2 4 2 6 6 2 2" xfId="45084"/>
    <cellStyle name="Comma 2 4 2 6 6 2 3" xfId="38661"/>
    <cellStyle name="Comma 2 4 2 6 6 3" xfId="27835"/>
    <cellStyle name="Comma 2 4 2 6 6 3 2" xfId="41877"/>
    <cellStyle name="Comma 2 4 2 6 6 4" xfId="31170"/>
    <cellStyle name="Comma 2 4 2 6 6 5" xfId="35453"/>
    <cellStyle name="Comma 2 4 2 6 7" xfId="15511"/>
    <cellStyle name="Comma 2 4 2 6 7 2" xfId="24526"/>
    <cellStyle name="Comma 2 4 2 6 7 2 2" xfId="43955"/>
    <cellStyle name="Comma 2 4 2 6 7 2 3" xfId="37532"/>
    <cellStyle name="Comma 2 4 2 6 7 3" xfId="28847"/>
    <cellStyle name="Comma 2 4 2 6 7 3 2" xfId="40748"/>
    <cellStyle name="Comma 2 4 2 6 7 4" xfId="32182"/>
    <cellStyle name="Comma 2 4 2 6 7 5" xfId="34324"/>
    <cellStyle name="Comma 2 4 2 6 8" xfId="8329"/>
    <cellStyle name="Comma 2 4 2 6 8 2" xfId="42942"/>
    <cellStyle name="Comma 2 4 2 6 8 3" xfId="36518"/>
    <cellStyle name="Comma 2 4 2 6 9" xfId="21318"/>
    <cellStyle name="Comma 2 4 2 6 9 2" xfId="39735"/>
    <cellStyle name="Comma 2 4 2 7" xfId="1092"/>
    <cellStyle name="Comma 2 4 2 7 10" xfId="22396"/>
    <cellStyle name="Comma 2 4 2 7 11" xfId="23518"/>
    <cellStyle name="Comma 2 4 2 7 12" xfId="26718"/>
    <cellStyle name="Comma 2 4 2 7 13" xfId="30051"/>
    <cellStyle name="Comma 2 4 2 7 14" xfId="33316"/>
    <cellStyle name="Comma 2 4 2 7 2" xfId="1093"/>
    <cellStyle name="Comma 2 4 2 7 2 10" xfId="33317"/>
    <cellStyle name="Comma 2 4 2 7 2 2" xfId="9863"/>
    <cellStyle name="Comma 2 4 2 7 2 2 2" xfId="25663"/>
    <cellStyle name="Comma 2 4 2 7 2 2 2 2" xfId="45090"/>
    <cellStyle name="Comma 2 4 2 7 2 2 2 3" xfId="38667"/>
    <cellStyle name="Comma 2 4 2 7 2 2 3" xfId="27841"/>
    <cellStyle name="Comma 2 4 2 7 2 2 3 2" xfId="41883"/>
    <cellStyle name="Comma 2 4 2 7 2 2 4" xfId="31176"/>
    <cellStyle name="Comma 2 4 2 7 2 2 5" xfId="35459"/>
    <cellStyle name="Comma 2 4 2 7 2 3" xfId="15517"/>
    <cellStyle name="Comma 2 4 2 7 2 3 2" xfId="24532"/>
    <cellStyle name="Comma 2 4 2 7 2 3 2 2" xfId="43961"/>
    <cellStyle name="Comma 2 4 2 7 2 3 2 3" xfId="37538"/>
    <cellStyle name="Comma 2 4 2 7 2 3 3" xfId="28853"/>
    <cellStyle name="Comma 2 4 2 7 2 3 3 2" xfId="40754"/>
    <cellStyle name="Comma 2 4 2 7 2 3 4" xfId="32188"/>
    <cellStyle name="Comma 2 4 2 7 2 3 5" xfId="34330"/>
    <cellStyle name="Comma 2 4 2 7 2 4" xfId="8335"/>
    <cellStyle name="Comma 2 4 2 7 2 4 2" xfId="42948"/>
    <cellStyle name="Comma 2 4 2 7 2 4 3" xfId="36524"/>
    <cellStyle name="Comma 2 4 2 7 2 5" xfId="21324"/>
    <cellStyle name="Comma 2 4 2 7 2 5 2" xfId="39741"/>
    <cellStyle name="Comma 2 4 2 7 2 6" xfId="22397"/>
    <cellStyle name="Comma 2 4 2 7 2 7" xfId="23519"/>
    <cellStyle name="Comma 2 4 2 7 2 8" xfId="26719"/>
    <cellStyle name="Comma 2 4 2 7 2 9" xfId="30052"/>
    <cellStyle name="Comma 2 4 2 7 3" xfId="1094"/>
    <cellStyle name="Comma 2 4 2 7 3 10" xfId="33318"/>
    <cellStyle name="Comma 2 4 2 7 3 2" xfId="9864"/>
    <cellStyle name="Comma 2 4 2 7 3 2 2" xfId="25664"/>
    <cellStyle name="Comma 2 4 2 7 3 2 2 2" xfId="45091"/>
    <cellStyle name="Comma 2 4 2 7 3 2 2 3" xfId="38668"/>
    <cellStyle name="Comma 2 4 2 7 3 2 3" xfId="27842"/>
    <cellStyle name="Comma 2 4 2 7 3 2 3 2" xfId="41884"/>
    <cellStyle name="Comma 2 4 2 7 3 2 4" xfId="31177"/>
    <cellStyle name="Comma 2 4 2 7 3 2 5" xfId="35460"/>
    <cellStyle name="Comma 2 4 2 7 3 3" xfId="15518"/>
    <cellStyle name="Comma 2 4 2 7 3 3 2" xfId="24533"/>
    <cellStyle name="Comma 2 4 2 7 3 3 2 2" xfId="43962"/>
    <cellStyle name="Comma 2 4 2 7 3 3 2 3" xfId="37539"/>
    <cellStyle name="Comma 2 4 2 7 3 3 3" xfId="28854"/>
    <cellStyle name="Comma 2 4 2 7 3 3 3 2" xfId="40755"/>
    <cellStyle name="Comma 2 4 2 7 3 3 4" xfId="32189"/>
    <cellStyle name="Comma 2 4 2 7 3 3 5" xfId="34331"/>
    <cellStyle name="Comma 2 4 2 7 3 4" xfId="8336"/>
    <cellStyle name="Comma 2 4 2 7 3 4 2" xfId="42949"/>
    <cellStyle name="Comma 2 4 2 7 3 4 3" xfId="36525"/>
    <cellStyle name="Comma 2 4 2 7 3 5" xfId="21325"/>
    <cellStyle name="Comma 2 4 2 7 3 5 2" xfId="39742"/>
    <cellStyle name="Comma 2 4 2 7 3 6" xfId="22398"/>
    <cellStyle name="Comma 2 4 2 7 3 7" xfId="23520"/>
    <cellStyle name="Comma 2 4 2 7 3 8" xfId="26720"/>
    <cellStyle name="Comma 2 4 2 7 3 9" xfId="30053"/>
    <cellStyle name="Comma 2 4 2 7 4" xfId="1095"/>
    <cellStyle name="Comma 2 4 2 7 4 10" xfId="33319"/>
    <cellStyle name="Comma 2 4 2 7 4 2" xfId="9865"/>
    <cellStyle name="Comma 2 4 2 7 4 2 2" xfId="25665"/>
    <cellStyle name="Comma 2 4 2 7 4 2 2 2" xfId="45092"/>
    <cellStyle name="Comma 2 4 2 7 4 2 2 3" xfId="38669"/>
    <cellStyle name="Comma 2 4 2 7 4 2 3" xfId="27843"/>
    <cellStyle name="Comma 2 4 2 7 4 2 3 2" xfId="41885"/>
    <cellStyle name="Comma 2 4 2 7 4 2 4" xfId="31178"/>
    <cellStyle name="Comma 2 4 2 7 4 2 5" xfId="35461"/>
    <cellStyle name="Comma 2 4 2 7 4 3" xfId="15519"/>
    <cellStyle name="Comma 2 4 2 7 4 3 2" xfId="24534"/>
    <cellStyle name="Comma 2 4 2 7 4 3 2 2" xfId="43963"/>
    <cellStyle name="Comma 2 4 2 7 4 3 2 3" xfId="37540"/>
    <cellStyle name="Comma 2 4 2 7 4 3 3" xfId="28855"/>
    <cellStyle name="Comma 2 4 2 7 4 3 3 2" xfId="40756"/>
    <cellStyle name="Comma 2 4 2 7 4 3 4" xfId="32190"/>
    <cellStyle name="Comma 2 4 2 7 4 3 5" xfId="34332"/>
    <cellStyle name="Comma 2 4 2 7 4 4" xfId="8337"/>
    <cellStyle name="Comma 2 4 2 7 4 4 2" xfId="42950"/>
    <cellStyle name="Comma 2 4 2 7 4 4 3" xfId="36526"/>
    <cellStyle name="Comma 2 4 2 7 4 5" xfId="21326"/>
    <cellStyle name="Comma 2 4 2 7 4 5 2" xfId="39743"/>
    <cellStyle name="Comma 2 4 2 7 4 6" xfId="22399"/>
    <cellStyle name="Comma 2 4 2 7 4 7" xfId="23521"/>
    <cellStyle name="Comma 2 4 2 7 4 8" xfId="26721"/>
    <cellStyle name="Comma 2 4 2 7 4 9" xfId="30054"/>
    <cellStyle name="Comma 2 4 2 7 5" xfId="1096"/>
    <cellStyle name="Comma 2 4 2 7 5 10" xfId="33320"/>
    <cellStyle name="Comma 2 4 2 7 5 2" xfId="9866"/>
    <cellStyle name="Comma 2 4 2 7 5 2 2" xfId="25666"/>
    <cellStyle name="Comma 2 4 2 7 5 2 2 2" xfId="45093"/>
    <cellStyle name="Comma 2 4 2 7 5 2 2 3" xfId="38670"/>
    <cellStyle name="Comma 2 4 2 7 5 2 3" xfId="27844"/>
    <cellStyle name="Comma 2 4 2 7 5 2 3 2" xfId="41886"/>
    <cellStyle name="Comma 2 4 2 7 5 2 4" xfId="31179"/>
    <cellStyle name="Comma 2 4 2 7 5 2 5" xfId="35462"/>
    <cellStyle name="Comma 2 4 2 7 5 3" xfId="15520"/>
    <cellStyle name="Comma 2 4 2 7 5 3 2" xfId="24535"/>
    <cellStyle name="Comma 2 4 2 7 5 3 2 2" xfId="43964"/>
    <cellStyle name="Comma 2 4 2 7 5 3 2 3" xfId="37541"/>
    <cellStyle name="Comma 2 4 2 7 5 3 3" xfId="28856"/>
    <cellStyle name="Comma 2 4 2 7 5 3 3 2" xfId="40757"/>
    <cellStyle name="Comma 2 4 2 7 5 3 4" xfId="32191"/>
    <cellStyle name="Comma 2 4 2 7 5 3 5" xfId="34333"/>
    <cellStyle name="Comma 2 4 2 7 5 4" xfId="8338"/>
    <cellStyle name="Comma 2 4 2 7 5 4 2" xfId="42951"/>
    <cellStyle name="Comma 2 4 2 7 5 4 3" xfId="36527"/>
    <cellStyle name="Comma 2 4 2 7 5 5" xfId="21327"/>
    <cellStyle name="Comma 2 4 2 7 5 5 2" xfId="39744"/>
    <cellStyle name="Comma 2 4 2 7 5 6" xfId="22400"/>
    <cellStyle name="Comma 2 4 2 7 5 7" xfId="23522"/>
    <cellStyle name="Comma 2 4 2 7 5 8" xfId="26722"/>
    <cellStyle name="Comma 2 4 2 7 5 9" xfId="30055"/>
    <cellStyle name="Comma 2 4 2 7 6" xfId="9862"/>
    <cellStyle name="Comma 2 4 2 7 6 2" xfId="25662"/>
    <cellStyle name="Comma 2 4 2 7 6 2 2" xfId="45089"/>
    <cellStyle name="Comma 2 4 2 7 6 2 3" xfId="38666"/>
    <cellStyle name="Comma 2 4 2 7 6 3" xfId="27840"/>
    <cellStyle name="Comma 2 4 2 7 6 3 2" xfId="41882"/>
    <cellStyle name="Comma 2 4 2 7 6 4" xfId="31175"/>
    <cellStyle name="Comma 2 4 2 7 6 5" xfId="35458"/>
    <cellStyle name="Comma 2 4 2 7 7" xfId="15516"/>
    <cellStyle name="Comma 2 4 2 7 7 2" xfId="24531"/>
    <cellStyle name="Comma 2 4 2 7 7 2 2" xfId="43960"/>
    <cellStyle name="Comma 2 4 2 7 7 2 3" xfId="37537"/>
    <cellStyle name="Comma 2 4 2 7 7 3" xfId="28852"/>
    <cellStyle name="Comma 2 4 2 7 7 3 2" xfId="40753"/>
    <cellStyle name="Comma 2 4 2 7 7 4" xfId="32187"/>
    <cellStyle name="Comma 2 4 2 7 7 5" xfId="34329"/>
    <cellStyle name="Comma 2 4 2 7 8" xfId="8334"/>
    <cellStyle name="Comma 2 4 2 7 8 2" xfId="42947"/>
    <cellStyle name="Comma 2 4 2 7 8 3" xfId="36523"/>
    <cellStyle name="Comma 2 4 2 7 9" xfId="21323"/>
    <cellStyle name="Comma 2 4 2 7 9 2" xfId="39740"/>
    <cellStyle name="Comma 2 4 2 8" xfId="1097"/>
    <cellStyle name="Comma 2 4 2 8 10" xfId="33321"/>
    <cellStyle name="Comma 2 4 2 8 2" xfId="9867"/>
    <cellStyle name="Comma 2 4 2 8 2 2" xfId="25667"/>
    <cellStyle name="Comma 2 4 2 8 2 2 2" xfId="45094"/>
    <cellStyle name="Comma 2 4 2 8 2 2 3" xfId="38671"/>
    <cellStyle name="Comma 2 4 2 8 2 3" xfId="27845"/>
    <cellStyle name="Comma 2 4 2 8 2 3 2" xfId="41887"/>
    <cellStyle name="Comma 2 4 2 8 2 4" xfId="31180"/>
    <cellStyle name="Comma 2 4 2 8 2 5" xfId="35463"/>
    <cellStyle name="Comma 2 4 2 8 3" xfId="15521"/>
    <cellStyle name="Comma 2 4 2 8 3 2" xfId="24536"/>
    <cellStyle name="Comma 2 4 2 8 3 2 2" xfId="43965"/>
    <cellStyle name="Comma 2 4 2 8 3 2 3" xfId="37542"/>
    <cellStyle name="Comma 2 4 2 8 3 3" xfId="28857"/>
    <cellStyle name="Comma 2 4 2 8 3 3 2" xfId="40758"/>
    <cellStyle name="Comma 2 4 2 8 3 4" xfId="32192"/>
    <cellStyle name="Comma 2 4 2 8 3 5" xfId="34334"/>
    <cellStyle name="Comma 2 4 2 8 4" xfId="8339"/>
    <cellStyle name="Comma 2 4 2 8 4 2" xfId="42952"/>
    <cellStyle name="Comma 2 4 2 8 4 3" xfId="36528"/>
    <cellStyle name="Comma 2 4 2 8 5" xfId="21328"/>
    <cellStyle name="Comma 2 4 2 8 5 2" xfId="39745"/>
    <cellStyle name="Comma 2 4 2 8 6" xfId="22401"/>
    <cellStyle name="Comma 2 4 2 8 7" xfId="23523"/>
    <cellStyle name="Comma 2 4 2 8 8" xfId="26723"/>
    <cellStyle name="Comma 2 4 2 8 9" xfId="30056"/>
    <cellStyle name="Comma 2 4 2 9" xfId="1098"/>
    <cellStyle name="Comma 2 4 2 9 10" xfId="33322"/>
    <cellStyle name="Comma 2 4 2 9 2" xfId="9868"/>
    <cellStyle name="Comma 2 4 2 9 2 2" xfId="25668"/>
    <cellStyle name="Comma 2 4 2 9 2 2 2" xfId="45095"/>
    <cellStyle name="Comma 2 4 2 9 2 2 3" xfId="38672"/>
    <cellStyle name="Comma 2 4 2 9 2 3" xfId="27846"/>
    <cellStyle name="Comma 2 4 2 9 2 3 2" xfId="41888"/>
    <cellStyle name="Comma 2 4 2 9 2 4" xfId="31181"/>
    <cellStyle name="Comma 2 4 2 9 2 5" xfId="35464"/>
    <cellStyle name="Comma 2 4 2 9 3" xfId="15522"/>
    <cellStyle name="Comma 2 4 2 9 3 2" xfId="24537"/>
    <cellStyle name="Comma 2 4 2 9 3 2 2" xfId="43966"/>
    <cellStyle name="Comma 2 4 2 9 3 2 3" xfId="37543"/>
    <cellStyle name="Comma 2 4 2 9 3 3" xfId="28858"/>
    <cellStyle name="Comma 2 4 2 9 3 3 2" xfId="40759"/>
    <cellStyle name="Comma 2 4 2 9 3 4" xfId="32193"/>
    <cellStyle name="Comma 2 4 2 9 3 5" xfId="34335"/>
    <cellStyle name="Comma 2 4 2 9 4" xfId="8340"/>
    <cellStyle name="Comma 2 4 2 9 4 2" xfId="42953"/>
    <cellStyle name="Comma 2 4 2 9 4 3" xfId="36529"/>
    <cellStyle name="Comma 2 4 2 9 5" xfId="21329"/>
    <cellStyle name="Comma 2 4 2 9 5 2" xfId="39746"/>
    <cellStyle name="Comma 2 4 2 9 6" xfId="22402"/>
    <cellStyle name="Comma 2 4 2 9 7" xfId="23524"/>
    <cellStyle name="Comma 2 4 2 9 8" xfId="26724"/>
    <cellStyle name="Comma 2 4 2 9 9" xfId="30057"/>
    <cellStyle name="Comma 2 4 20" xfId="26564"/>
    <cellStyle name="Comma 2 4 21" xfId="29897"/>
    <cellStyle name="Comma 2 4 22" xfId="32786"/>
    <cellStyle name="Comma 2 4 3" xfId="262"/>
    <cellStyle name="Comma 2 4 3 10" xfId="1099"/>
    <cellStyle name="Comma 2 4 3 10 10" xfId="33323"/>
    <cellStyle name="Comma 2 4 3 10 2" xfId="9869"/>
    <cellStyle name="Comma 2 4 3 10 2 2" xfId="25669"/>
    <cellStyle name="Comma 2 4 3 10 2 2 2" xfId="45096"/>
    <cellStyle name="Comma 2 4 3 10 2 2 3" xfId="38673"/>
    <cellStyle name="Comma 2 4 3 10 2 3" xfId="27847"/>
    <cellStyle name="Comma 2 4 3 10 2 3 2" xfId="41889"/>
    <cellStyle name="Comma 2 4 3 10 2 4" xfId="31182"/>
    <cellStyle name="Comma 2 4 3 10 2 5" xfId="35465"/>
    <cellStyle name="Comma 2 4 3 10 3" xfId="15524"/>
    <cellStyle name="Comma 2 4 3 10 3 2" xfId="24539"/>
    <cellStyle name="Comma 2 4 3 10 3 2 2" xfId="43968"/>
    <cellStyle name="Comma 2 4 3 10 3 2 3" xfId="37545"/>
    <cellStyle name="Comma 2 4 3 10 3 3" xfId="28860"/>
    <cellStyle name="Comma 2 4 3 10 3 3 2" xfId="40761"/>
    <cellStyle name="Comma 2 4 3 10 3 4" xfId="32195"/>
    <cellStyle name="Comma 2 4 3 10 3 5" xfId="34337"/>
    <cellStyle name="Comma 2 4 3 10 4" xfId="8342"/>
    <cellStyle name="Comma 2 4 3 10 4 2" xfId="42954"/>
    <cellStyle name="Comma 2 4 3 10 4 3" xfId="36530"/>
    <cellStyle name="Comma 2 4 3 10 5" xfId="21331"/>
    <cellStyle name="Comma 2 4 3 10 5 2" xfId="39747"/>
    <cellStyle name="Comma 2 4 3 10 6" xfId="22404"/>
    <cellStyle name="Comma 2 4 3 10 7" xfId="23525"/>
    <cellStyle name="Comma 2 4 3 10 8" xfId="26726"/>
    <cellStyle name="Comma 2 4 3 10 9" xfId="30059"/>
    <cellStyle name="Comma 2 4 3 11" xfId="1100"/>
    <cellStyle name="Comma 2 4 3 11 10" xfId="33324"/>
    <cellStyle name="Comma 2 4 3 11 2" xfId="9870"/>
    <cellStyle name="Comma 2 4 3 11 2 2" xfId="25670"/>
    <cellStyle name="Comma 2 4 3 11 2 2 2" xfId="45097"/>
    <cellStyle name="Comma 2 4 3 11 2 2 3" xfId="38674"/>
    <cellStyle name="Comma 2 4 3 11 2 3" xfId="27848"/>
    <cellStyle name="Comma 2 4 3 11 2 3 2" xfId="41890"/>
    <cellStyle name="Comma 2 4 3 11 2 4" xfId="31183"/>
    <cellStyle name="Comma 2 4 3 11 2 5" xfId="35466"/>
    <cellStyle name="Comma 2 4 3 11 3" xfId="15525"/>
    <cellStyle name="Comma 2 4 3 11 3 2" xfId="24540"/>
    <cellStyle name="Comma 2 4 3 11 3 2 2" xfId="43969"/>
    <cellStyle name="Comma 2 4 3 11 3 2 3" xfId="37546"/>
    <cellStyle name="Comma 2 4 3 11 3 3" xfId="28861"/>
    <cellStyle name="Comma 2 4 3 11 3 3 2" xfId="40762"/>
    <cellStyle name="Comma 2 4 3 11 3 4" xfId="32196"/>
    <cellStyle name="Comma 2 4 3 11 3 5" xfId="34338"/>
    <cellStyle name="Comma 2 4 3 11 4" xfId="8343"/>
    <cellStyle name="Comma 2 4 3 11 4 2" xfId="42955"/>
    <cellStyle name="Comma 2 4 3 11 4 3" xfId="36531"/>
    <cellStyle name="Comma 2 4 3 11 5" xfId="21332"/>
    <cellStyle name="Comma 2 4 3 11 5 2" xfId="39748"/>
    <cellStyle name="Comma 2 4 3 11 6" xfId="22405"/>
    <cellStyle name="Comma 2 4 3 11 7" xfId="23526"/>
    <cellStyle name="Comma 2 4 3 11 8" xfId="26727"/>
    <cellStyle name="Comma 2 4 3 11 9" xfId="30060"/>
    <cellStyle name="Comma 2 4 3 12" xfId="9119"/>
    <cellStyle name="Comma 2 4 3 12 2" xfId="25173"/>
    <cellStyle name="Comma 2 4 3 12 2 2" xfId="44600"/>
    <cellStyle name="Comma 2 4 3 12 2 3" xfId="38177"/>
    <cellStyle name="Comma 2 4 3 12 3" xfId="27352"/>
    <cellStyle name="Comma 2 4 3 12 3 2" xfId="41393"/>
    <cellStyle name="Comma 2 4 3 12 4" xfId="30687"/>
    <cellStyle name="Comma 2 4 3 12 5" xfId="34969"/>
    <cellStyle name="Comma 2 4 3 13" xfId="15523"/>
    <cellStyle name="Comma 2 4 3 13 2" xfId="24538"/>
    <cellStyle name="Comma 2 4 3 13 2 2" xfId="43967"/>
    <cellStyle name="Comma 2 4 3 13 2 3" xfId="37544"/>
    <cellStyle name="Comma 2 4 3 13 3" xfId="28859"/>
    <cellStyle name="Comma 2 4 3 13 3 2" xfId="40760"/>
    <cellStyle name="Comma 2 4 3 13 4" xfId="32194"/>
    <cellStyle name="Comma 2 4 3 13 5" xfId="34336"/>
    <cellStyle name="Comma 2 4 3 14" xfId="8341"/>
    <cellStyle name="Comma 2 4 3 14 2" xfId="42463"/>
    <cellStyle name="Comma 2 4 3 14 3" xfId="36039"/>
    <cellStyle name="Comma 2 4 3 15" xfId="21330"/>
    <cellStyle name="Comma 2 4 3 15 2" xfId="39256"/>
    <cellStyle name="Comma 2 4 3 16" xfId="22403"/>
    <cellStyle name="Comma 2 4 3 17" xfId="23034"/>
    <cellStyle name="Comma 2 4 3 18" xfId="26725"/>
    <cellStyle name="Comma 2 4 3 19" xfId="30058"/>
    <cellStyle name="Comma 2 4 3 2" xfId="255"/>
    <cellStyle name="Comma 2 4 3 2 10" xfId="1101"/>
    <cellStyle name="Comma 2 4 3 2 10 10" xfId="33325"/>
    <cellStyle name="Comma 2 4 3 2 10 2" xfId="9871"/>
    <cellStyle name="Comma 2 4 3 2 10 2 2" xfId="25671"/>
    <cellStyle name="Comma 2 4 3 2 10 2 2 2" xfId="45098"/>
    <cellStyle name="Comma 2 4 3 2 10 2 2 3" xfId="38675"/>
    <cellStyle name="Comma 2 4 3 2 10 2 3" xfId="27849"/>
    <cellStyle name="Comma 2 4 3 2 10 2 3 2" xfId="41891"/>
    <cellStyle name="Comma 2 4 3 2 10 2 4" xfId="31184"/>
    <cellStyle name="Comma 2 4 3 2 10 2 5" xfId="35467"/>
    <cellStyle name="Comma 2 4 3 2 10 3" xfId="15527"/>
    <cellStyle name="Comma 2 4 3 2 10 3 2" xfId="24542"/>
    <cellStyle name="Comma 2 4 3 2 10 3 2 2" xfId="43971"/>
    <cellStyle name="Comma 2 4 3 2 10 3 2 3" xfId="37548"/>
    <cellStyle name="Comma 2 4 3 2 10 3 3" xfId="28863"/>
    <cellStyle name="Comma 2 4 3 2 10 3 3 2" xfId="40764"/>
    <cellStyle name="Comma 2 4 3 2 10 3 4" xfId="32198"/>
    <cellStyle name="Comma 2 4 3 2 10 3 5" xfId="34340"/>
    <cellStyle name="Comma 2 4 3 2 10 4" xfId="8345"/>
    <cellStyle name="Comma 2 4 3 2 10 4 2" xfId="42956"/>
    <cellStyle name="Comma 2 4 3 2 10 4 3" xfId="36532"/>
    <cellStyle name="Comma 2 4 3 2 10 5" xfId="21334"/>
    <cellStyle name="Comma 2 4 3 2 10 5 2" xfId="39749"/>
    <cellStyle name="Comma 2 4 3 2 10 6" xfId="22407"/>
    <cellStyle name="Comma 2 4 3 2 10 7" xfId="23527"/>
    <cellStyle name="Comma 2 4 3 2 10 8" xfId="26729"/>
    <cellStyle name="Comma 2 4 3 2 10 9" xfId="30062"/>
    <cellStyle name="Comma 2 4 3 2 11" xfId="9114"/>
    <cellStyle name="Comma 2 4 3 2 11 2" xfId="25168"/>
    <cellStyle name="Comma 2 4 3 2 11 2 2" xfId="44595"/>
    <cellStyle name="Comma 2 4 3 2 11 2 3" xfId="38172"/>
    <cellStyle name="Comma 2 4 3 2 11 3" xfId="27347"/>
    <cellStyle name="Comma 2 4 3 2 11 3 2" xfId="41388"/>
    <cellStyle name="Comma 2 4 3 2 11 4" xfId="30682"/>
    <cellStyle name="Comma 2 4 3 2 11 5" xfId="34964"/>
    <cellStyle name="Comma 2 4 3 2 12" xfId="15526"/>
    <cellStyle name="Comma 2 4 3 2 12 2" xfId="24541"/>
    <cellStyle name="Comma 2 4 3 2 12 2 2" xfId="43970"/>
    <cellStyle name="Comma 2 4 3 2 12 2 3" xfId="37547"/>
    <cellStyle name="Comma 2 4 3 2 12 3" xfId="28862"/>
    <cellStyle name="Comma 2 4 3 2 12 3 2" xfId="40763"/>
    <cellStyle name="Comma 2 4 3 2 12 4" xfId="32197"/>
    <cellStyle name="Comma 2 4 3 2 12 5" xfId="34339"/>
    <cellStyle name="Comma 2 4 3 2 13" xfId="8344"/>
    <cellStyle name="Comma 2 4 3 2 13 2" xfId="42458"/>
    <cellStyle name="Comma 2 4 3 2 13 3" xfId="36034"/>
    <cellStyle name="Comma 2 4 3 2 14" xfId="21333"/>
    <cellStyle name="Comma 2 4 3 2 14 2" xfId="39251"/>
    <cellStyle name="Comma 2 4 3 2 15" xfId="22406"/>
    <cellStyle name="Comma 2 4 3 2 16" xfId="23029"/>
    <cellStyle name="Comma 2 4 3 2 17" xfId="26728"/>
    <cellStyle name="Comma 2 4 3 2 18" xfId="30061"/>
    <cellStyle name="Comma 2 4 3 2 19" xfId="32827"/>
    <cellStyle name="Comma 2 4 3 2 2" xfId="183"/>
    <cellStyle name="Comma 2 4 3 2 2 10" xfId="15528"/>
    <cellStyle name="Comma 2 4 3 2 2 10 2" xfId="24543"/>
    <cellStyle name="Comma 2 4 3 2 2 10 2 2" xfId="43972"/>
    <cellStyle name="Comma 2 4 3 2 2 10 2 3" xfId="37549"/>
    <cellStyle name="Comma 2 4 3 2 2 10 3" xfId="28864"/>
    <cellStyle name="Comma 2 4 3 2 2 10 3 2" xfId="40765"/>
    <cellStyle name="Comma 2 4 3 2 2 10 4" xfId="32199"/>
    <cellStyle name="Comma 2 4 3 2 2 10 5" xfId="34341"/>
    <cellStyle name="Comma 2 4 3 2 2 11" xfId="8346"/>
    <cellStyle name="Comma 2 4 3 2 2 11 2" xfId="42411"/>
    <cellStyle name="Comma 2 4 3 2 2 11 3" xfId="35987"/>
    <cellStyle name="Comma 2 4 3 2 2 12" xfId="21335"/>
    <cellStyle name="Comma 2 4 3 2 2 12 2" xfId="39204"/>
    <cellStyle name="Comma 2 4 3 2 2 13" xfId="22408"/>
    <cellStyle name="Comma 2 4 3 2 2 14" xfId="22982"/>
    <cellStyle name="Comma 2 4 3 2 2 15" xfId="26730"/>
    <cellStyle name="Comma 2 4 3 2 2 16" xfId="30063"/>
    <cellStyle name="Comma 2 4 3 2 2 17" xfId="32780"/>
    <cellStyle name="Comma 2 4 3 2 2 2" xfId="230"/>
    <cellStyle name="Comma 2 4 3 2 2 2 10" xfId="21336"/>
    <cellStyle name="Comma 2 4 3 2 2 2 10 2" xfId="39233"/>
    <cellStyle name="Comma 2 4 3 2 2 2 11" xfId="22409"/>
    <cellStyle name="Comma 2 4 3 2 2 2 12" xfId="23011"/>
    <cellStyle name="Comma 2 4 3 2 2 2 13" xfId="26731"/>
    <cellStyle name="Comma 2 4 3 2 2 2 14" xfId="30064"/>
    <cellStyle name="Comma 2 4 3 2 2 2 15" xfId="32809"/>
    <cellStyle name="Comma 2 4 3 2 2 2 2" xfId="1102"/>
    <cellStyle name="Comma 2 4 3 2 2 2 2 10" xfId="33326"/>
    <cellStyle name="Comma 2 4 3 2 2 2 2 2" xfId="9872"/>
    <cellStyle name="Comma 2 4 3 2 2 2 2 2 2" xfId="25672"/>
    <cellStyle name="Comma 2 4 3 2 2 2 2 2 2 2" xfId="45099"/>
    <cellStyle name="Comma 2 4 3 2 2 2 2 2 2 3" xfId="38676"/>
    <cellStyle name="Comma 2 4 3 2 2 2 2 2 3" xfId="27850"/>
    <cellStyle name="Comma 2 4 3 2 2 2 2 2 3 2" xfId="41892"/>
    <cellStyle name="Comma 2 4 3 2 2 2 2 2 4" xfId="31185"/>
    <cellStyle name="Comma 2 4 3 2 2 2 2 2 5" xfId="35468"/>
    <cellStyle name="Comma 2 4 3 2 2 2 2 3" xfId="15530"/>
    <cellStyle name="Comma 2 4 3 2 2 2 2 3 2" xfId="24545"/>
    <cellStyle name="Comma 2 4 3 2 2 2 2 3 2 2" xfId="43974"/>
    <cellStyle name="Comma 2 4 3 2 2 2 2 3 2 3" xfId="37551"/>
    <cellStyle name="Comma 2 4 3 2 2 2 2 3 3" xfId="28866"/>
    <cellStyle name="Comma 2 4 3 2 2 2 2 3 3 2" xfId="40767"/>
    <cellStyle name="Comma 2 4 3 2 2 2 2 3 4" xfId="32201"/>
    <cellStyle name="Comma 2 4 3 2 2 2 2 3 5" xfId="34343"/>
    <cellStyle name="Comma 2 4 3 2 2 2 2 4" xfId="8348"/>
    <cellStyle name="Comma 2 4 3 2 2 2 2 4 2" xfId="42957"/>
    <cellStyle name="Comma 2 4 3 2 2 2 2 4 3" xfId="36533"/>
    <cellStyle name="Comma 2 4 3 2 2 2 2 5" xfId="21337"/>
    <cellStyle name="Comma 2 4 3 2 2 2 2 5 2" xfId="39750"/>
    <cellStyle name="Comma 2 4 3 2 2 2 2 6" xfId="22410"/>
    <cellStyle name="Comma 2 4 3 2 2 2 2 7" xfId="23528"/>
    <cellStyle name="Comma 2 4 3 2 2 2 2 8" xfId="26732"/>
    <cellStyle name="Comma 2 4 3 2 2 2 2 9" xfId="30065"/>
    <cellStyle name="Comma 2 4 3 2 2 2 3" xfId="1103"/>
    <cellStyle name="Comma 2 4 3 2 2 2 3 10" xfId="33327"/>
    <cellStyle name="Comma 2 4 3 2 2 2 3 2" xfId="9873"/>
    <cellStyle name="Comma 2 4 3 2 2 2 3 2 2" xfId="25673"/>
    <cellStyle name="Comma 2 4 3 2 2 2 3 2 2 2" xfId="45100"/>
    <cellStyle name="Comma 2 4 3 2 2 2 3 2 2 3" xfId="38677"/>
    <cellStyle name="Comma 2 4 3 2 2 2 3 2 3" xfId="27851"/>
    <cellStyle name="Comma 2 4 3 2 2 2 3 2 3 2" xfId="41893"/>
    <cellStyle name="Comma 2 4 3 2 2 2 3 2 4" xfId="31186"/>
    <cellStyle name="Comma 2 4 3 2 2 2 3 2 5" xfId="35469"/>
    <cellStyle name="Comma 2 4 3 2 2 2 3 3" xfId="15531"/>
    <cellStyle name="Comma 2 4 3 2 2 2 3 3 2" xfId="24546"/>
    <cellStyle name="Comma 2 4 3 2 2 2 3 3 2 2" xfId="43975"/>
    <cellStyle name="Comma 2 4 3 2 2 2 3 3 2 3" xfId="37552"/>
    <cellStyle name="Comma 2 4 3 2 2 2 3 3 3" xfId="28867"/>
    <cellStyle name="Comma 2 4 3 2 2 2 3 3 3 2" xfId="40768"/>
    <cellStyle name="Comma 2 4 3 2 2 2 3 3 4" xfId="32202"/>
    <cellStyle name="Comma 2 4 3 2 2 2 3 3 5" xfId="34344"/>
    <cellStyle name="Comma 2 4 3 2 2 2 3 4" xfId="8349"/>
    <cellStyle name="Comma 2 4 3 2 2 2 3 4 2" xfId="42958"/>
    <cellStyle name="Comma 2 4 3 2 2 2 3 4 3" xfId="36534"/>
    <cellStyle name="Comma 2 4 3 2 2 2 3 5" xfId="21338"/>
    <cellStyle name="Comma 2 4 3 2 2 2 3 5 2" xfId="39751"/>
    <cellStyle name="Comma 2 4 3 2 2 2 3 6" xfId="22411"/>
    <cellStyle name="Comma 2 4 3 2 2 2 3 7" xfId="23529"/>
    <cellStyle name="Comma 2 4 3 2 2 2 3 8" xfId="26733"/>
    <cellStyle name="Comma 2 4 3 2 2 2 3 9" xfId="30066"/>
    <cellStyle name="Comma 2 4 3 2 2 2 4" xfId="1104"/>
    <cellStyle name="Comma 2 4 3 2 2 2 4 10" xfId="33328"/>
    <cellStyle name="Comma 2 4 3 2 2 2 4 2" xfId="9874"/>
    <cellStyle name="Comma 2 4 3 2 2 2 4 2 2" xfId="25674"/>
    <cellStyle name="Comma 2 4 3 2 2 2 4 2 2 2" xfId="45101"/>
    <cellStyle name="Comma 2 4 3 2 2 2 4 2 2 3" xfId="38678"/>
    <cellStyle name="Comma 2 4 3 2 2 2 4 2 3" xfId="27852"/>
    <cellStyle name="Comma 2 4 3 2 2 2 4 2 3 2" xfId="41894"/>
    <cellStyle name="Comma 2 4 3 2 2 2 4 2 4" xfId="31187"/>
    <cellStyle name="Comma 2 4 3 2 2 2 4 2 5" xfId="35470"/>
    <cellStyle name="Comma 2 4 3 2 2 2 4 3" xfId="15532"/>
    <cellStyle name="Comma 2 4 3 2 2 2 4 3 2" xfId="24547"/>
    <cellStyle name="Comma 2 4 3 2 2 2 4 3 2 2" xfId="43976"/>
    <cellStyle name="Comma 2 4 3 2 2 2 4 3 2 3" xfId="37553"/>
    <cellStyle name="Comma 2 4 3 2 2 2 4 3 3" xfId="28868"/>
    <cellStyle name="Comma 2 4 3 2 2 2 4 3 3 2" xfId="40769"/>
    <cellStyle name="Comma 2 4 3 2 2 2 4 3 4" xfId="32203"/>
    <cellStyle name="Comma 2 4 3 2 2 2 4 3 5" xfId="34345"/>
    <cellStyle name="Comma 2 4 3 2 2 2 4 4" xfId="8350"/>
    <cellStyle name="Comma 2 4 3 2 2 2 4 4 2" xfId="42959"/>
    <cellStyle name="Comma 2 4 3 2 2 2 4 4 3" xfId="36535"/>
    <cellStyle name="Comma 2 4 3 2 2 2 4 5" xfId="21339"/>
    <cellStyle name="Comma 2 4 3 2 2 2 4 5 2" xfId="39752"/>
    <cellStyle name="Comma 2 4 3 2 2 2 4 6" xfId="22412"/>
    <cellStyle name="Comma 2 4 3 2 2 2 4 7" xfId="23530"/>
    <cellStyle name="Comma 2 4 3 2 2 2 4 8" xfId="26734"/>
    <cellStyle name="Comma 2 4 3 2 2 2 4 9" xfId="30067"/>
    <cellStyle name="Comma 2 4 3 2 2 2 5" xfId="1105"/>
    <cellStyle name="Comma 2 4 3 2 2 2 5 10" xfId="33329"/>
    <cellStyle name="Comma 2 4 3 2 2 2 5 2" xfId="9875"/>
    <cellStyle name="Comma 2 4 3 2 2 2 5 2 2" xfId="25675"/>
    <cellStyle name="Comma 2 4 3 2 2 2 5 2 2 2" xfId="45102"/>
    <cellStyle name="Comma 2 4 3 2 2 2 5 2 2 3" xfId="38679"/>
    <cellStyle name="Comma 2 4 3 2 2 2 5 2 3" xfId="27853"/>
    <cellStyle name="Comma 2 4 3 2 2 2 5 2 3 2" xfId="41895"/>
    <cellStyle name="Comma 2 4 3 2 2 2 5 2 4" xfId="31188"/>
    <cellStyle name="Comma 2 4 3 2 2 2 5 2 5" xfId="35471"/>
    <cellStyle name="Comma 2 4 3 2 2 2 5 3" xfId="15533"/>
    <cellStyle name="Comma 2 4 3 2 2 2 5 3 2" xfId="24548"/>
    <cellStyle name="Comma 2 4 3 2 2 2 5 3 2 2" xfId="43977"/>
    <cellStyle name="Comma 2 4 3 2 2 2 5 3 2 3" xfId="37554"/>
    <cellStyle name="Comma 2 4 3 2 2 2 5 3 3" xfId="28869"/>
    <cellStyle name="Comma 2 4 3 2 2 2 5 3 3 2" xfId="40770"/>
    <cellStyle name="Comma 2 4 3 2 2 2 5 3 4" xfId="32204"/>
    <cellStyle name="Comma 2 4 3 2 2 2 5 3 5" xfId="34346"/>
    <cellStyle name="Comma 2 4 3 2 2 2 5 4" xfId="8351"/>
    <cellStyle name="Comma 2 4 3 2 2 2 5 4 2" xfId="42960"/>
    <cellStyle name="Comma 2 4 3 2 2 2 5 4 3" xfId="36536"/>
    <cellStyle name="Comma 2 4 3 2 2 2 5 5" xfId="21340"/>
    <cellStyle name="Comma 2 4 3 2 2 2 5 5 2" xfId="39753"/>
    <cellStyle name="Comma 2 4 3 2 2 2 5 6" xfId="22413"/>
    <cellStyle name="Comma 2 4 3 2 2 2 5 7" xfId="23531"/>
    <cellStyle name="Comma 2 4 3 2 2 2 5 8" xfId="26735"/>
    <cellStyle name="Comma 2 4 3 2 2 2 5 9" xfId="30068"/>
    <cellStyle name="Comma 2 4 3 2 2 2 6" xfId="1106"/>
    <cellStyle name="Comma 2 4 3 2 2 2 6 10" xfId="33330"/>
    <cellStyle name="Comma 2 4 3 2 2 2 6 2" xfId="9876"/>
    <cellStyle name="Comma 2 4 3 2 2 2 6 2 2" xfId="25676"/>
    <cellStyle name="Comma 2 4 3 2 2 2 6 2 2 2" xfId="45103"/>
    <cellStyle name="Comma 2 4 3 2 2 2 6 2 2 3" xfId="38680"/>
    <cellStyle name="Comma 2 4 3 2 2 2 6 2 3" xfId="27854"/>
    <cellStyle name="Comma 2 4 3 2 2 2 6 2 3 2" xfId="41896"/>
    <cellStyle name="Comma 2 4 3 2 2 2 6 2 4" xfId="31189"/>
    <cellStyle name="Comma 2 4 3 2 2 2 6 2 5" xfId="35472"/>
    <cellStyle name="Comma 2 4 3 2 2 2 6 3" xfId="15534"/>
    <cellStyle name="Comma 2 4 3 2 2 2 6 3 2" xfId="24549"/>
    <cellStyle name="Comma 2 4 3 2 2 2 6 3 2 2" xfId="43978"/>
    <cellStyle name="Comma 2 4 3 2 2 2 6 3 2 3" xfId="37555"/>
    <cellStyle name="Comma 2 4 3 2 2 2 6 3 3" xfId="28870"/>
    <cellStyle name="Comma 2 4 3 2 2 2 6 3 3 2" xfId="40771"/>
    <cellStyle name="Comma 2 4 3 2 2 2 6 3 4" xfId="32205"/>
    <cellStyle name="Comma 2 4 3 2 2 2 6 3 5" xfId="34347"/>
    <cellStyle name="Comma 2 4 3 2 2 2 6 4" xfId="8352"/>
    <cellStyle name="Comma 2 4 3 2 2 2 6 4 2" xfId="42961"/>
    <cellStyle name="Comma 2 4 3 2 2 2 6 4 3" xfId="36537"/>
    <cellStyle name="Comma 2 4 3 2 2 2 6 5" xfId="21341"/>
    <cellStyle name="Comma 2 4 3 2 2 2 6 5 2" xfId="39754"/>
    <cellStyle name="Comma 2 4 3 2 2 2 6 6" xfId="22414"/>
    <cellStyle name="Comma 2 4 3 2 2 2 6 7" xfId="23532"/>
    <cellStyle name="Comma 2 4 3 2 2 2 6 8" xfId="26736"/>
    <cellStyle name="Comma 2 4 3 2 2 2 6 9" xfId="30069"/>
    <cellStyle name="Comma 2 4 3 2 2 2 7" xfId="9095"/>
    <cellStyle name="Comma 2 4 3 2 2 2 7 2" xfId="25150"/>
    <cellStyle name="Comma 2 4 3 2 2 2 7 2 2" xfId="44577"/>
    <cellStyle name="Comma 2 4 3 2 2 2 7 2 3" xfId="38154"/>
    <cellStyle name="Comma 2 4 3 2 2 2 7 3" xfId="27329"/>
    <cellStyle name="Comma 2 4 3 2 2 2 7 3 2" xfId="41370"/>
    <cellStyle name="Comma 2 4 3 2 2 2 7 4" xfId="30664"/>
    <cellStyle name="Comma 2 4 3 2 2 2 7 5" xfId="34946"/>
    <cellStyle name="Comma 2 4 3 2 2 2 8" xfId="15529"/>
    <cellStyle name="Comma 2 4 3 2 2 2 8 2" xfId="24544"/>
    <cellStyle name="Comma 2 4 3 2 2 2 8 2 2" xfId="43973"/>
    <cellStyle name="Comma 2 4 3 2 2 2 8 2 3" xfId="37550"/>
    <cellStyle name="Comma 2 4 3 2 2 2 8 3" xfId="28865"/>
    <cellStyle name="Comma 2 4 3 2 2 2 8 3 2" xfId="40766"/>
    <cellStyle name="Comma 2 4 3 2 2 2 8 4" xfId="32200"/>
    <cellStyle name="Comma 2 4 3 2 2 2 8 5" xfId="34342"/>
    <cellStyle name="Comma 2 4 3 2 2 2 9" xfId="8347"/>
    <cellStyle name="Comma 2 4 3 2 2 2 9 2" xfId="42440"/>
    <cellStyle name="Comma 2 4 3 2 2 2 9 3" xfId="36016"/>
    <cellStyle name="Comma 2 4 3 2 2 3" xfId="1107"/>
    <cellStyle name="Comma 2 4 3 2 2 3 10" xfId="22415"/>
    <cellStyle name="Comma 2 4 3 2 2 3 11" xfId="23533"/>
    <cellStyle name="Comma 2 4 3 2 2 3 12" xfId="26737"/>
    <cellStyle name="Comma 2 4 3 2 2 3 13" xfId="30070"/>
    <cellStyle name="Comma 2 4 3 2 2 3 14" xfId="33331"/>
    <cellStyle name="Comma 2 4 3 2 2 3 2" xfId="1108"/>
    <cellStyle name="Comma 2 4 3 2 2 3 2 10" xfId="33332"/>
    <cellStyle name="Comma 2 4 3 2 2 3 2 2" xfId="9878"/>
    <cellStyle name="Comma 2 4 3 2 2 3 2 2 2" xfId="25678"/>
    <cellStyle name="Comma 2 4 3 2 2 3 2 2 2 2" xfId="45105"/>
    <cellStyle name="Comma 2 4 3 2 2 3 2 2 2 3" xfId="38682"/>
    <cellStyle name="Comma 2 4 3 2 2 3 2 2 3" xfId="27856"/>
    <cellStyle name="Comma 2 4 3 2 2 3 2 2 3 2" xfId="41898"/>
    <cellStyle name="Comma 2 4 3 2 2 3 2 2 4" xfId="31191"/>
    <cellStyle name="Comma 2 4 3 2 2 3 2 2 5" xfId="35474"/>
    <cellStyle name="Comma 2 4 3 2 2 3 2 3" xfId="15536"/>
    <cellStyle name="Comma 2 4 3 2 2 3 2 3 2" xfId="24551"/>
    <cellStyle name="Comma 2 4 3 2 2 3 2 3 2 2" xfId="43980"/>
    <cellStyle name="Comma 2 4 3 2 2 3 2 3 2 3" xfId="37557"/>
    <cellStyle name="Comma 2 4 3 2 2 3 2 3 3" xfId="28872"/>
    <cellStyle name="Comma 2 4 3 2 2 3 2 3 3 2" xfId="40773"/>
    <cellStyle name="Comma 2 4 3 2 2 3 2 3 4" xfId="32207"/>
    <cellStyle name="Comma 2 4 3 2 2 3 2 3 5" xfId="34349"/>
    <cellStyle name="Comma 2 4 3 2 2 3 2 4" xfId="8354"/>
    <cellStyle name="Comma 2 4 3 2 2 3 2 4 2" xfId="42963"/>
    <cellStyle name="Comma 2 4 3 2 2 3 2 4 3" xfId="36539"/>
    <cellStyle name="Comma 2 4 3 2 2 3 2 5" xfId="21343"/>
    <cellStyle name="Comma 2 4 3 2 2 3 2 5 2" xfId="39756"/>
    <cellStyle name="Comma 2 4 3 2 2 3 2 6" xfId="22416"/>
    <cellStyle name="Comma 2 4 3 2 2 3 2 7" xfId="23534"/>
    <cellStyle name="Comma 2 4 3 2 2 3 2 8" xfId="26738"/>
    <cellStyle name="Comma 2 4 3 2 2 3 2 9" xfId="30071"/>
    <cellStyle name="Comma 2 4 3 2 2 3 3" xfId="1109"/>
    <cellStyle name="Comma 2 4 3 2 2 3 3 10" xfId="33333"/>
    <cellStyle name="Comma 2 4 3 2 2 3 3 2" xfId="9879"/>
    <cellStyle name="Comma 2 4 3 2 2 3 3 2 2" xfId="25679"/>
    <cellStyle name="Comma 2 4 3 2 2 3 3 2 2 2" xfId="45106"/>
    <cellStyle name="Comma 2 4 3 2 2 3 3 2 2 3" xfId="38683"/>
    <cellStyle name="Comma 2 4 3 2 2 3 3 2 3" xfId="27857"/>
    <cellStyle name="Comma 2 4 3 2 2 3 3 2 3 2" xfId="41899"/>
    <cellStyle name="Comma 2 4 3 2 2 3 3 2 4" xfId="31192"/>
    <cellStyle name="Comma 2 4 3 2 2 3 3 2 5" xfId="35475"/>
    <cellStyle name="Comma 2 4 3 2 2 3 3 3" xfId="15537"/>
    <cellStyle name="Comma 2 4 3 2 2 3 3 3 2" xfId="24552"/>
    <cellStyle name="Comma 2 4 3 2 2 3 3 3 2 2" xfId="43981"/>
    <cellStyle name="Comma 2 4 3 2 2 3 3 3 2 3" xfId="37558"/>
    <cellStyle name="Comma 2 4 3 2 2 3 3 3 3" xfId="28873"/>
    <cellStyle name="Comma 2 4 3 2 2 3 3 3 3 2" xfId="40774"/>
    <cellStyle name="Comma 2 4 3 2 2 3 3 3 4" xfId="32208"/>
    <cellStyle name="Comma 2 4 3 2 2 3 3 3 5" xfId="34350"/>
    <cellStyle name="Comma 2 4 3 2 2 3 3 4" xfId="8355"/>
    <cellStyle name="Comma 2 4 3 2 2 3 3 4 2" xfId="42964"/>
    <cellStyle name="Comma 2 4 3 2 2 3 3 4 3" xfId="36540"/>
    <cellStyle name="Comma 2 4 3 2 2 3 3 5" xfId="21344"/>
    <cellStyle name="Comma 2 4 3 2 2 3 3 5 2" xfId="39757"/>
    <cellStyle name="Comma 2 4 3 2 2 3 3 6" xfId="22417"/>
    <cellStyle name="Comma 2 4 3 2 2 3 3 7" xfId="23535"/>
    <cellStyle name="Comma 2 4 3 2 2 3 3 8" xfId="26739"/>
    <cellStyle name="Comma 2 4 3 2 2 3 3 9" xfId="30072"/>
    <cellStyle name="Comma 2 4 3 2 2 3 4" xfId="1110"/>
    <cellStyle name="Comma 2 4 3 2 2 3 4 10" xfId="33334"/>
    <cellStyle name="Comma 2 4 3 2 2 3 4 2" xfId="9880"/>
    <cellStyle name="Comma 2 4 3 2 2 3 4 2 2" xfId="25680"/>
    <cellStyle name="Comma 2 4 3 2 2 3 4 2 2 2" xfId="45107"/>
    <cellStyle name="Comma 2 4 3 2 2 3 4 2 2 3" xfId="38684"/>
    <cellStyle name="Comma 2 4 3 2 2 3 4 2 3" xfId="27858"/>
    <cellStyle name="Comma 2 4 3 2 2 3 4 2 3 2" xfId="41900"/>
    <cellStyle name="Comma 2 4 3 2 2 3 4 2 4" xfId="31193"/>
    <cellStyle name="Comma 2 4 3 2 2 3 4 2 5" xfId="35476"/>
    <cellStyle name="Comma 2 4 3 2 2 3 4 3" xfId="15538"/>
    <cellStyle name="Comma 2 4 3 2 2 3 4 3 2" xfId="24553"/>
    <cellStyle name="Comma 2 4 3 2 2 3 4 3 2 2" xfId="43982"/>
    <cellStyle name="Comma 2 4 3 2 2 3 4 3 2 3" xfId="37559"/>
    <cellStyle name="Comma 2 4 3 2 2 3 4 3 3" xfId="28874"/>
    <cellStyle name="Comma 2 4 3 2 2 3 4 3 3 2" xfId="40775"/>
    <cellStyle name="Comma 2 4 3 2 2 3 4 3 4" xfId="32209"/>
    <cellStyle name="Comma 2 4 3 2 2 3 4 3 5" xfId="34351"/>
    <cellStyle name="Comma 2 4 3 2 2 3 4 4" xfId="8356"/>
    <cellStyle name="Comma 2 4 3 2 2 3 4 4 2" xfId="42965"/>
    <cellStyle name="Comma 2 4 3 2 2 3 4 4 3" xfId="36541"/>
    <cellStyle name="Comma 2 4 3 2 2 3 4 5" xfId="21345"/>
    <cellStyle name="Comma 2 4 3 2 2 3 4 5 2" xfId="39758"/>
    <cellStyle name="Comma 2 4 3 2 2 3 4 6" xfId="22418"/>
    <cellStyle name="Comma 2 4 3 2 2 3 4 7" xfId="23536"/>
    <cellStyle name="Comma 2 4 3 2 2 3 4 8" xfId="26740"/>
    <cellStyle name="Comma 2 4 3 2 2 3 4 9" xfId="30073"/>
    <cellStyle name="Comma 2 4 3 2 2 3 5" xfId="1111"/>
    <cellStyle name="Comma 2 4 3 2 2 3 5 10" xfId="33335"/>
    <cellStyle name="Comma 2 4 3 2 2 3 5 2" xfId="9881"/>
    <cellStyle name="Comma 2 4 3 2 2 3 5 2 2" xfId="25681"/>
    <cellStyle name="Comma 2 4 3 2 2 3 5 2 2 2" xfId="45108"/>
    <cellStyle name="Comma 2 4 3 2 2 3 5 2 2 3" xfId="38685"/>
    <cellStyle name="Comma 2 4 3 2 2 3 5 2 3" xfId="27859"/>
    <cellStyle name="Comma 2 4 3 2 2 3 5 2 3 2" xfId="41901"/>
    <cellStyle name="Comma 2 4 3 2 2 3 5 2 4" xfId="31194"/>
    <cellStyle name="Comma 2 4 3 2 2 3 5 2 5" xfId="35477"/>
    <cellStyle name="Comma 2 4 3 2 2 3 5 3" xfId="15539"/>
    <cellStyle name="Comma 2 4 3 2 2 3 5 3 2" xfId="24554"/>
    <cellStyle name="Comma 2 4 3 2 2 3 5 3 2 2" xfId="43983"/>
    <cellStyle name="Comma 2 4 3 2 2 3 5 3 2 3" xfId="37560"/>
    <cellStyle name="Comma 2 4 3 2 2 3 5 3 3" xfId="28875"/>
    <cellStyle name="Comma 2 4 3 2 2 3 5 3 3 2" xfId="40776"/>
    <cellStyle name="Comma 2 4 3 2 2 3 5 3 4" xfId="32210"/>
    <cellStyle name="Comma 2 4 3 2 2 3 5 3 5" xfId="34352"/>
    <cellStyle name="Comma 2 4 3 2 2 3 5 4" xfId="8357"/>
    <cellStyle name="Comma 2 4 3 2 2 3 5 4 2" xfId="42966"/>
    <cellStyle name="Comma 2 4 3 2 2 3 5 4 3" xfId="36542"/>
    <cellStyle name="Comma 2 4 3 2 2 3 5 5" xfId="21346"/>
    <cellStyle name="Comma 2 4 3 2 2 3 5 5 2" xfId="39759"/>
    <cellStyle name="Comma 2 4 3 2 2 3 5 6" xfId="22419"/>
    <cellStyle name="Comma 2 4 3 2 2 3 5 7" xfId="23537"/>
    <cellStyle name="Comma 2 4 3 2 2 3 5 8" xfId="26741"/>
    <cellStyle name="Comma 2 4 3 2 2 3 5 9" xfId="30074"/>
    <cellStyle name="Comma 2 4 3 2 2 3 6" xfId="9877"/>
    <cellStyle name="Comma 2 4 3 2 2 3 6 2" xfId="25677"/>
    <cellStyle name="Comma 2 4 3 2 2 3 6 2 2" xfId="45104"/>
    <cellStyle name="Comma 2 4 3 2 2 3 6 2 3" xfId="38681"/>
    <cellStyle name="Comma 2 4 3 2 2 3 6 3" xfId="27855"/>
    <cellStyle name="Comma 2 4 3 2 2 3 6 3 2" xfId="41897"/>
    <cellStyle name="Comma 2 4 3 2 2 3 6 4" xfId="31190"/>
    <cellStyle name="Comma 2 4 3 2 2 3 6 5" xfId="35473"/>
    <cellStyle name="Comma 2 4 3 2 2 3 7" xfId="15535"/>
    <cellStyle name="Comma 2 4 3 2 2 3 7 2" xfId="24550"/>
    <cellStyle name="Comma 2 4 3 2 2 3 7 2 2" xfId="43979"/>
    <cellStyle name="Comma 2 4 3 2 2 3 7 2 3" xfId="37556"/>
    <cellStyle name="Comma 2 4 3 2 2 3 7 3" xfId="28871"/>
    <cellStyle name="Comma 2 4 3 2 2 3 7 3 2" xfId="40772"/>
    <cellStyle name="Comma 2 4 3 2 2 3 7 4" xfId="32206"/>
    <cellStyle name="Comma 2 4 3 2 2 3 7 5" xfId="34348"/>
    <cellStyle name="Comma 2 4 3 2 2 3 8" xfId="8353"/>
    <cellStyle name="Comma 2 4 3 2 2 3 8 2" xfId="42962"/>
    <cellStyle name="Comma 2 4 3 2 2 3 8 3" xfId="36538"/>
    <cellStyle name="Comma 2 4 3 2 2 3 9" xfId="21342"/>
    <cellStyle name="Comma 2 4 3 2 2 3 9 2" xfId="39755"/>
    <cellStyle name="Comma 2 4 3 2 2 4" xfId="1112"/>
    <cellStyle name="Comma 2 4 3 2 2 4 10" xfId="33336"/>
    <cellStyle name="Comma 2 4 3 2 2 4 2" xfId="9882"/>
    <cellStyle name="Comma 2 4 3 2 2 4 2 2" xfId="25682"/>
    <cellStyle name="Comma 2 4 3 2 2 4 2 2 2" xfId="45109"/>
    <cellStyle name="Comma 2 4 3 2 2 4 2 2 3" xfId="38686"/>
    <cellStyle name="Comma 2 4 3 2 2 4 2 3" xfId="27860"/>
    <cellStyle name="Comma 2 4 3 2 2 4 2 3 2" xfId="41902"/>
    <cellStyle name="Comma 2 4 3 2 2 4 2 4" xfId="31195"/>
    <cellStyle name="Comma 2 4 3 2 2 4 2 5" xfId="35478"/>
    <cellStyle name="Comma 2 4 3 2 2 4 3" xfId="15540"/>
    <cellStyle name="Comma 2 4 3 2 2 4 3 2" xfId="24555"/>
    <cellStyle name="Comma 2 4 3 2 2 4 3 2 2" xfId="43984"/>
    <cellStyle name="Comma 2 4 3 2 2 4 3 2 3" xfId="37561"/>
    <cellStyle name="Comma 2 4 3 2 2 4 3 3" xfId="28876"/>
    <cellStyle name="Comma 2 4 3 2 2 4 3 3 2" xfId="40777"/>
    <cellStyle name="Comma 2 4 3 2 2 4 3 4" xfId="32211"/>
    <cellStyle name="Comma 2 4 3 2 2 4 3 5" xfId="34353"/>
    <cellStyle name="Comma 2 4 3 2 2 4 4" xfId="8358"/>
    <cellStyle name="Comma 2 4 3 2 2 4 4 2" xfId="42967"/>
    <cellStyle name="Comma 2 4 3 2 2 4 4 3" xfId="36543"/>
    <cellStyle name="Comma 2 4 3 2 2 4 5" xfId="21347"/>
    <cellStyle name="Comma 2 4 3 2 2 4 5 2" xfId="39760"/>
    <cellStyle name="Comma 2 4 3 2 2 4 6" xfId="22420"/>
    <cellStyle name="Comma 2 4 3 2 2 4 7" xfId="23538"/>
    <cellStyle name="Comma 2 4 3 2 2 4 8" xfId="26742"/>
    <cellStyle name="Comma 2 4 3 2 2 4 9" xfId="30075"/>
    <cellStyle name="Comma 2 4 3 2 2 5" xfId="1113"/>
    <cellStyle name="Comma 2 4 3 2 2 5 10" xfId="33337"/>
    <cellStyle name="Comma 2 4 3 2 2 5 2" xfId="9883"/>
    <cellStyle name="Comma 2 4 3 2 2 5 2 2" xfId="25683"/>
    <cellStyle name="Comma 2 4 3 2 2 5 2 2 2" xfId="45110"/>
    <cellStyle name="Comma 2 4 3 2 2 5 2 2 3" xfId="38687"/>
    <cellStyle name="Comma 2 4 3 2 2 5 2 3" xfId="27861"/>
    <cellStyle name="Comma 2 4 3 2 2 5 2 3 2" xfId="41903"/>
    <cellStyle name="Comma 2 4 3 2 2 5 2 4" xfId="31196"/>
    <cellStyle name="Comma 2 4 3 2 2 5 2 5" xfId="35479"/>
    <cellStyle name="Comma 2 4 3 2 2 5 3" xfId="15541"/>
    <cellStyle name="Comma 2 4 3 2 2 5 3 2" xfId="24556"/>
    <cellStyle name="Comma 2 4 3 2 2 5 3 2 2" xfId="43985"/>
    <cellStyle name="Comma 2 4 3 2 2 5 3 2 3" xfId="37562"/>
    <cellStyle name="Comma 2 4 3 2 2 5 3 3" xfId="28877"/>
    <cellStyle name="Comma 2 4 3 2 2 5 3 3 2" xfId="40778"/>
    <cellStyle name="Comma 2 4 3 2 2 5 3 4" xfId="32212"/>
    <cellStyle name="Comma 2 4 3 2 2 5 3 5" xfId="34354"/>
    <cellStyle name="Comma 2 4 3 2 2 5 4" xfId="8359"/>
    <cellStyle name="Comma 2 4 3 2 2 5 4 2" xfId="42968"/>
    <cellStyle name="Comma 2 4 3 2 2 5 4 3" xfId="36544"/>
    <cellStyle name="Comma 2 4 3 2 2 5 5" xfId="21348"/>
    <cellStyle name="Comma 2 4 3 2 2 5 5 2" xfId="39761"/>
    <cellStyle name="Comma 2 4 3 2 2 5 6" xfId="22421"/>
    <cellStyle name="Comma 2 4 3 2 2 5 7" xfId="23539"/>
    <cellStyle name="Comma 2 4 3 2 2 5 8" xfId="26743"/>
    <cellStyle name="Comma 2 4 3 2 2 5 9" xfId="30076"/>
    <cellStyle name="Comma 2 4 3 2 2 6" xfId="1114"/>
    <cellStyle name="Comma 2 4 3 2 2 6 10" xfId="33338"/>
    <cellStyle name="Comma 2 4 3 2 2 6 2" xfId="9884"/>
    <cellStyle name="Comma 2 4 3 2 2 6 2 2" xfId="25684"/>
    <cellStyle name="Comma 2 4 3 2 2 6 2 2 2" xfId="45111"/>
    <cellStyle name="Comma 2 4 3 2 2 6 2 2 3" xfId="38688"/>
    <cellStyle name="Comma 2 4 3 2 2 6 2 3" xfId="27862"/>
    <cellStyle name="Comma 2 4 3 2 2 6 2 3 2" xfId="41904"/>
    <cellStyle name="Comma 2 4 3 2 2 6 2 4" xfId="31197"/>
    <cellStyle name="Comma 2 4 3 2 2 6 2 5" xfId="35480"/>
    <cellStyle name="Comma 2 4 3 2 2 6 3" xfId="15542"/>
    <cellStyle name="Comma 2 4 3 2 2 6 3 2" xfId="24557"/>
    <cellStyle name="Comma 2 4 3 2 2 6 3 2 2" xfId="43986"/>
    <cellStyle name="Comma 2 4 3 2 2 6 3 2 3" xfId="37563"/>
    <cellStyle name="Comma 2 4 3 2 2 6 3 3" xfId="28878"/>
    <cellStyle name="Comma 2 4 3 2 2 6 3 3 2" xfId="40779"/>
    <cellStyle name="Comma 2 4 3 2 2 6 3 4" xfId="32213"/>
    <cellStyle name="Comma 2 4 3 2 2 6 3 5" xfId="34355"/>
    <cellStyle name="Comma 2 4 3 2 2 6 4" xfId="8360"/>
    <cellStyle name="Comma 2 4 3 2 2 6 4 2" xfId="42969"/>
    <cellStyle name="Comma 2 4 3 2 2 6 4 3" xfId="36545"/>
    <cellStyle name="Comma 2 4 3 2 2 6 5" xfId="21349"/>
    <cellStyle name="Comma 2 4 3 2 2 6 5 2" xfId="39762"/>
    <cellStyle name="Comma 2 4 3 2 2 6 6" xfId="22422"/>
    <cellStyle name="Comma 2 4 3 2 2 6 7" xfId="23540"/>
    <cellStyle name="Comma 2 4 3 2 2 6 8" xfId="26744"/>
    <cellStyle name="Comma 2 4 3 2 2 6 9" xfId="30077"/>
    <cellStyle name="Comma 2 4 3 2 2 7" xfId="1115"/>
    <cellStyle name="Comma 2 4 3 2 2 7 10" xfId="33339"/>
    <cellStyle name="Comma 2 4 3 2 2 7 2" xfId="9885"/>
    <cellStyle name="Comma 2 4 3 2 2 7 2 2" xfId="25685"/>
    <cellStyle name="Comma 2 4 3 2 2 7 2 2 2" xfId="45112"/>
    <cellStyle name="Comma 2 4 3 2 2 7 2 2 3" xfId="38689"/>
    <cellStyle name="Comma 2 4 3 2 2 7 2 3" xfId="27863"/>
    <cellStyle name="Comma 2 4 3 2 2 7 2 3 2" xfId="41905"/>
    <cellStyle name="Comma 2 4 3 2 2 7 2 4" xfId="31198"/>
    <cellStyle name="Comma 2 4 3 2 2 7 2 5" xfId="35481"/>
    <cellStyle name="Comma 2 4 3 2 2 7 3" xfId="15543"/>
    <cellStyle name="Comma 2 4 3 2 2 7 3 2" xfId="24558"/>
    <cellStyle name="Comma 2 4 3 2 2 7 3 2 2" xfId="43987"/>
    <cellStyle name="Comma 2 4 3 2 2 7 3 2 3" xfId="37564"/>
    <cellStyle name="Comma 2 4 3 2 2 7 3 3" xfId="28879"/>
    <cellStyle name="Comma 2 4 3 2 2 7 3 3 2" xfId="40780"/>
    <cellStyle name="Comma 2 4 3 2 2 7 3 4" xfId="32214"/>
    <cellStyle name="Comma 2 4 3 2 2 7 3 5" xfId="34356"/>
    <cellStyle name="Comma 2 4 3 2 2 7 4" xfId="8361"/>
    <cellStyle name="Comma 2 4 3 2 2 7 4 2" xfId="42970"/>
    <cellStyle name="Comma 2 4 3 2 2 7 4 3" xfId="36546"/>
    <cellStyle name="Comma 2 4 3 2 2 7 5" xfId="21350"/>
    <cellStyle name="Comma 2 4 3 2 2 7 5 2" xfId="39763"/>
    <cellStyle name="Comma 2 4 3 2 2 7 6" xfId="22423"/>
    <cellStyle name="Comma 2 4 3 2 2 7 7" xfId="23541"/>
    <cellStyle name="Comma 2 4 3 2 2 7 8" xfId="26745"/>
    <cellStyle name="Comma 2 4 3 2 2 7 9" xfId="30078"/>
    <cellStyle name="Comma 2 4 3 2 2 8" xfId="1116"/>
    <cellStyle name="Comma 2 4 3 2 2 8 10" xfId="33340"/>
    <cellStyle name="Comma 2 4 3 2 2 8 2" xfId="9886"/>
    <cellStyle name="Comma 2 4 3 2 2 8 2 2" xfId="25686"/>
    <cellStyle name="Comma 2 4 3 2 2 8 2 2 2" xfId="45113"/>
    <cellStyle name="Comma 2 4 3 2 2 8 2 2 3" xfId="38690"/>
    <cellStyle name="Comma 2 4 3 2 2 8 2 3" xfId="27864"/>
    <cellStyle name="Comma 2 4 3 2 2 8 2 3 2" xfId="41906"/>
    <cellStyle name="Comma 2 4 3 2 2 8 2 4" xfId="31199"/>
    <cellStyle name="Comma 2 4 3 2 2 8 2 5" xfId="35482"/>
    <cellStyle name="Comma 2 4 3 2 2 8 3" xfId="15544"/>
    <cellStyle name="Comma 2 4 3 2 2 8 3 2" xfId="24559"/>
    <cellStyle name="Comma 2 4 3 2 2 8 3 2 2" xfId="43988"/>
    <cellStyle name="Comma 2 4 3 2 2 8 3 2 3" xfId="37565"/>
    <cellStyle name="Comma 2 4 3 2 2 8 3 3" xfId="28880"/>
    <cellStyle name="Comma 2 4 3 2 2 8 3 3 2" xfId="40781"/>
    <cellStyle name="Comma 2 4 3 2 2 8 3 4" xfId="32215"/>
    <cellStyle name="Comma 2 4 3 2 2 8 3 5" xfId="34357"/>
    <cellStyle name="Comma 2 4 3 2 2 8 4" xfId="8362"/>
    <cellStyle name="Comma 2 4 3 2 2 8 4 2" xfId="42971"/>
    <cellStyle name="Comma 2 4 3 2 2 8 4 3" xfId="36547"/>
    <cellStyle name="Comma 2 4 3 2 2 8 5" xfId="21351"/>
    <cellStyle name="Comma 2 4 3 2 2 8 5 2" xfId="39764"/>
    <cellStyle name="Comma 2 4 3 2 2 8 6" xfId="22424"/>
    <cellStyle name="Comma 2 4 3 2 2 8 7" xfId="23542"/>
    <cellStyle name="Comma 2 4 3 2 2 8 8" xfId="26746"/>
    <cellStyle name="Comma 2 4 3 2 2 8 9" xfId="30079"/>
    <cellStyle name="Comma 2 4 3 2 2 9" xfId="9064"/>
    <cellStyle name="Comma 2 4 3 2 2 9 2" xfId="25120"/>
    <cellStyle name="Comma 2 4 3 2 2 9 2 2" xfId="44547"/>
    <cellStyle name="Comma 2 4 3 2 2 9 2 3" xfId="38124"/>
    <cellStyle name="Comma 2 4 3 2 2 9 3" xfId="27299"/>
    <cellStyle name="Comma 2 4 3 2 2 9 3 2" xfId="41340"/>
    <cellStyle name="Comma 2 4 3 2 2 9 4" xfId="30634"/>
    <cellStyle name="Comma 2 4 3 2 2 9 5" xfId="34916"/>
    <cellStyle name="Comma 2 4 3 2 3" xfId="222"/>
    <cellStyle name="Comma 2 4 3 2 3 10" xfId="21352"/>
    <cellStyle name="Comma 2 4 3 2 3 10 2" xfId="39229"/>
    <cellStyle name="Comma 2 4 3 2 3 11" xfId="22425"/>
    <cellStyle name="Comma 2 4 3 2 3 12" xfId="23007"/>
    <cellStyle name="Comma 2 4 3 2 3 13" xfId="26747"/>
    <cellStyle name="Comma 2 4 3 2 3 14" xfId="30080"/>
    <cellStyle name="Comma 2 4 3 2 3 15" xfId="32805"/>
    <cellStyle name="Comma 2 4 3 2 3 2" xfId="1117"/>
    <cellStyle name="Comma 2 4 3 2 3 2 10" xfId="33341"/>
    <cellStyle name="Comma 2 4 3 2 3 2 2" xfId="9887"/>
    <cellStyle name="Comma 2 4 3 2 3 2 2 2" xfId="25687"/>
    <cellStyle name="Comma 2 4 3 2 3 2 2 2 2" xfId="45114"/>
    <cellStyle name="Comma 2 4 3 2 3 2 2 2 3" xfId="38691"/>
    <cellStyle name="Comma 2 4 3 2 3 2 2 3" xfId="27865"/>
    <cellStyle name="Comma 2 4 3 2 3 2 2 3 2" xfId="41907"/>
    <cellStyle name="Comma 2 4 3 2 3 2 2 4" xfId="31200"/>
    <cellStyle name="Comma 2 4 3 2 3 2 2 5" xfId="35483"/>
    <cellStyle name="Comma 2 4 3 2 3 2 3" xfId="15546"/>
    <cellStyle name="Comma 2 4 3 2 3 2 3 2" xfId="24561"/>
    <cellStyle name="Comma 2 4 3 2 3 2 3 2 2" xfId="43990"/>
    <cellStyle name="Comma 2 4 3 2 3 2 3 2 3" xfId="37567"/>
    <cellStyle name="Comma 2 4 3 2 3 2 3 3" xfId="28882"/>
    <cellStyle name="Comma 2 4 3 2 3 2 3 3 2" xfId="40783"/>
    <cellStyle name="Comma 2 4 3 2 3 2 3 4" xfId="32217"/>
    <cellStyle name="Comma 2 4 3 2 3 2 3 5" xfId="34359"/>
    <cellStyle name="Comma 2 4 3 2 3 2 4" xfId="8364"/>
    <cellStyle name="Comma 2 4 3 2 3 2 4 2" xfId="42972"/>
    <cellStyle name="Comma 2 4 3 2 3 2 4 3" xfId="36548"/>
    <cellStyle name="Comma 2 4 3 2 3 2 5" xfId="21353"/>
    <cellStyle name="Comma 2 4 3 2 3 2 5 2" xfId="39765"/>
    <cellStyle name="Comma 2 4 3 2 3 2 6" xfId="22426"/>
    <cellStyle name="Comma 2 4 3 2 3 2 7" xfId="23543"/>
    <cellStyle name="Comma 2 4 3 2 3 2 8" xfId="26748"/>
    <cellStyle name="Comma 2 4 3 2 3 2 9" xfId="30081"/>
    <cellStyle name="Comma 2 4 3 2 3 3" xfId="1118"/>
    <cellStyle name="Comma 2 4 3 2 3 3 10" xfId="33342"/>
    <cellStyle name="Comma 2 4 3 2 3 3 2" xfId="9888"/>
    <cellStyle name="Comma 2 4 3 2 3 3 2 2" xfId="25688"/>
    <cellStyle name="Comma 2 4 3 2 3 3 2 2 2" xfId="45115"/>
    <cellStyle name="Comma 2 4 3 2 3 3 2 2 3" xfId="38692"/>
    <cellStyle name="Comma 2 4 3 2 3 3 2 3" xfId="27866"/>
    <cellStyle name="Comma 2 4 3 2 3 3 2 3 2" xfId="41908"/>
    <cellStyle name="Comma 2 4 3 2 3 3 2 4" xfId="31201"/>
    <cellStyle name="Comma 2 4 3 2 3 3 2 5" xfId="35484"/>
    <cellStyle name="Comma 2 4 3 2 3 3 3" xfId="15547"/>
    <cellStyle name="Comma 2 4 3 2 3 3 3 2" xfId="24562"/>
    <cellStyle name="Comma 2 4 3 2 3 3 3 2 2" xfId="43991"/>
    <cellStyle name="Comma 2 4 3 2 3 3 3 2 3" xfId="37568"/>
    <cellStyle name="Comma 2 4 3 2 3 3 3 3" xfId="28883"/>
    <cellStyle name="Comma 2 4 3 2 3 3 3 3 2" xfId="40784"/>
    <cellStyle name="Comma 2 4 3 2 3 3 3 4" xfId="32218"/>
    <cellStyle name="Comma 2 4 3 2 3 3 3 5" xfId="34360"/>
    <cellStyle name="Comma 2 4 3 2 3 3 4" xfId="8365"/>
    <cellStyle name="Comma 2 4 3 2 3 3 4 2" xfId="42973"/>
    <cellStyle name="Comma 2 4 3 2 3 3 4 3" xfId="36549"/>
    <cellStyle name="Comma 2 4 3 2 3 3 5" xfId="21354"/>
    <cellStyle name="Comma 2 4 3 2 3 3 5 2" xfId="39766"/>
    <cellStyle name="Comma 2 4 3 2 3 3 6" xfId="22427"/>
    <cellStyle name="Comma 2 4 3 2 3 3 7" xfId="23544"/>
    <cellStyle name="Comma 2 4 3 2 3 3 8" xfId="26749"/>
    <cellStyle name="Comma 2 4 3 2 3 3 9" xfId="30082"/>
    <cellStyle name="Comma 2 4 3 2 3 4" xfId="1119"/>
    <cellStyle name="Comma 2 4 3 2 3 4 10" xfId="33343"/>
    <cellStyle name="Comma 2 4 3 2 3 4 2" xfId="9889"/>
    <cellStyle name="Comma 2 4 3 2 3 4 2 2" xfId="25689"/>
    <cellStyle name="Comma 2 4 3 2 3 4 2 2 2" xfId="45116"/>
    <cellStyle name="Comma 2 4 3 2 3 4 2 2 3" xfId="38693"/>
    <cellStyle name="Comma 2 4 3 2 3 4 2 3" xfId="27867"/>
    <cellStyle name="Comma 2 4 3 2 3 4 2 3 2" xfId="41909"/>
    <cellStyle name="Comma 2 4 3 2 3 4 2 4" xfId="31202"/>
    <cellStyle name="Comma 2 4 3 2 3 4 2 5" xfId="35485"/>
    <cellStyle name="Comma 2 4 3 2 3 4 3" xfId="15548"/>
    <cellStyle name="Comma 2 4 3 2 3 4 3 2" xfId="24563"/>
    <cellStyle name="Comma 2 4 3 2 3 4 3 2 2" xfId="43992"/>
    <cellStyle name="Comma 2 4 3 2 3 4 3 2 3" xfId="37569"/>
    <cellStyle name="Comma 2 4 3 2 3 4 3 3" xfId="28884"/>
    <cellStyle name="Comma 2 4 3 2 3 4 3 3 2" xfId="40785"/>
    <cellStyle name="Comma 2 4 3 2 3 4 3 4" xfId="32219"/>
    <cellStyle name="Comma 2 4 3 2 3 4 3 5" xfId="34361"/>
    <cellStyle name="Comma 2 4 3 2 3 4 4" xfId="8366"/>
    <cellStyle name="Comma 2 4 3 2 3 4 4 2" xfId="42974"/>
    <cellStyle name="Comma 2 4 3 2 3 4 4 3" xfId="36550"/>
    <cellStyle name="Comma 2 4 3 2 3 4 5" xfId="21355"/>
    <cellStyle name="Comma 2 4 3 2 3 4 5 2" xfId="39767"/>
    <cellStyle name="Comma 2 4 3 2 3 4 6" xfId="22428"/>
    <cellStyle name="Comma 2 4 3 2 3 4 7" xfId="23545"/>
    <cellStyle name="Comma 2 4 3 2 3 4 8" xfId="26750"/>
    <cellStyle name="Comma 2 4 3 2 3 4 9" xfId="30083"/>
    <cellStyle name="Comma 2 4 3 2 3 5" xfId="1120"/>
    <cellStyle name="Comma 2 4 3 2 3 5 10" xfId="33344"/>
    <cellStyle name="Comma 2 4 3 2 3 5 2" xfId="9890"/>
    <cellStyle name="Comma 2 4 3 2 3 5 2 2" xfId="25690"/>
    <cellStyle name="Comma 2 4 3 2 3 5 2 2 2" xfId="45117"/>
    <cellStyle name="Comma 2 4 3 2 3 5 2 2 3" xfId="38694"/>
    <cellStyle name="Comma 2 4 3 2 3 5 2 3" xfId="27868"/>
    <cellStyle name="Comma 2 4 3 2 3 5 2 3 2" xfId="41910"/>
    <cellStyle name="Comma 2 4 3 2 3 5 2 4" xfId="31203"/>
    <cellStyle name="Comma 2 4 3 2 3 5 2 5" xfId="35486"/>
    <cellStyle name="Comma 2 4 3 2 3 5 3" xfId="15549"/>
    <cellStyle name="Comma 2 4 3 2 3 5 3 2" xfId="24564"/>
    <cellStyle name="Comma 2 4 3 2 3 5 3 2 2" xfId="43993"/>
    <cellStyle name="Comma 2 4 3 2 3 5 3 2 3" xfId="37570"/>
    <cellStyle name="Comma 2 4 3 2 3 5 3 3" xfId="28885"/>
    <cellStyle name="Comma 2 4 3 2 3 5 3 3 2" xfId="40786"/>
    <cellStyle name="Comma 2 4 3 2 3 5 3 4" xfId="32220"/>
    <cellStyle name="Comma 2 4 3 2 3 5 3 5" xfId="34362"/>
    <cellStyle name="Comma 2 4 3 2 3 5 4" xfId="8367"/>
    <cellStyle name="Comma 2 4 3 2 3 5 4 2" xfId="42975"/>
    <cellStyle name="Comma 2 4 3 2 3 5 4 3" xfId="36551"/>
    <cellStyle name="Comma 2 4 3 2 3 5 5" xfId="21356"/>
    <cellStyle name="Comma 2 4 3 2 3 5 5 2" xfId="39768"/>
    <cellStyle name="Comma 2 4 3 2 3 5 6" xfId="22429"/>
    <cellStyle name="Comma 2 4 3 2 3 5 7" xfId="23546"/>
    <cellStyle name="Comma 2 4 3 2 3 5 8" xfId="26751"/>
    <cellStyle name="Comma 2 4 3 2 3 5 9" xfId="30084"/>
    <cellStyle name="Comma 2 4 3 2 3 6" xfId="1121"/>
    <cellStyle name="Comma 2 4 3 2 3 6 10" xfId="33345"/>
    <cellStyle name="Comma 2 4 3 2 3 6 2" xfId="9891"/>
    <cellStyle name="Comma 2 4 3 2 3 6 2 2" xfId="25691"/>
    <cellStyle name="Comma 2 4 3 2 3 6 2 2 2" xfId="45118"/>
    <cellStyle name="Comma 2 4 3 2 3 6 2 2 3" xfId="38695"/>
    <cellStyle name="Comma 2 4 3 2 3 6 2 3" xfId="27869"/>
    <cellStyle name="Comma 2 4 3 2 3 6 2 3 2" xfId="41911"/>
    <cellStyle name="Comma 2 4 3 2 3 6 2 4" xfId="31204"/>
    <cellStyle name="Comma 2 4 3 2 3 6 2 5" xfId="35487"/>
    <cellStyle name="Comma 2 4 3 2 3 6 3" xfId="15550"/>
    <cellStyle name="Comma 2 4 3 2 3 6 3 2" xfId="24565"/>
    <cellStyle name="Comma 2 4 3 2 3 6 3 2 2" xfId="43994"/>
    <cellStyle name="Comma 2 4 3 2 3 6 3 2 3" xfId="37571"/>
    <cellStyle name="Comma 2 4 3 2 3 6 3 3" xfId="28886"/>
    <cellStyle name="Comma 2 4 3 2 3 6 3 3 2" xfId="40787"/>
    <cellStyle name="Comma 2 4 3 2 3 6 3 4" xfId="32221"/>
    <cellStyle name="Comma 2 4 3 2 3 6 3 5" xfId="34363"/>
    <cellStyle name="Comma 2 4 3 2 3 6 4" xfId="8368"/>
    <cellStyle name="Comma 2 4 3 2 3 6 4 2" xfId="42976"/>
    <cellStyle name="Comma 2 4 3 2 3 6 4 3" xfId="36552"/>
    <cellStyle name="Comma 2 4 3 2 3 6 5" xfId="21357"/>
    <cellStyle name="Comma 2 4 3 2 3 6 5 2" xfId="39769"/>
    <cellStyle name="Comma 2 4 3 2 3 6 6" xfId="22430"/>
    <cellStyle name="Comma 2 4 3 2 3 6 7" xfId="23547"/>
    <cellStyle name="Comma 2 4 3 2 3 6 8" xfId="26752"/>
    <cellStyle name="Comma 2 4 3 2 3 6 9" xfId="30085"/>
    <cellStyle name="Comma 2 4 3 2 3 7" xfId="9091"/>
    <cellStyle name="Comma 2 4 3 2 3 7 2" xfId="25146"/>
    <cellStyle name="Comma 2 4 3 2 3 7 2 2" xfId="44573"/>
    <cellStyle name="Comma 2 4 3 2 3 7 2 3" xfId="38150"/>
    <cellStyle name="Comma 2 4 3 2 3 7 3" xfId="27325"/>
    <cellStyle name="Comma 2 4 3 2 3 7 3 2" xfId="41366"/>
    <cellStyle name="Comma 2 4 3 2 3 7 4" xfId="30660"/>
    <cellStyle name="Comma 2 4 3 2 3 7 5" xfId="34942"/>
    <cellStyle name="Comma 2 4 3 2 3 8" xfId="15545"/>
    <cellStyle name="Comma 2 4 3 2 3 8 2" xfId="24560"/>
    <cellStyle name="Comma 2 4 3 2 3 8 2 2" xfId="43989"/>
    <cellStyle name="Comma 2 4 3 2 3 8 2 3" xfId="37566"/>
    <cellStyle name="Comma 2 4 3 2 3 8 3" xfId="28881"/>
    <cellStyle name="Comma 2 4 3 2 3 8 3 2" xfId="40782"/>
    <cellStyle name="Comma 2 4 3 2 3 8 4" xfId="32216"/>
    <cellStyle name="Comma 2 4 3 2 3 8 5" xfId="34358"/>
    <cellStyle name="Comma 2 4 3 2 3 9" xfId="8363"/>
    <cellStyle name="Comma 2 4 3 2 3 9 2" xfId="42436"/>
    <cellStyle name="Comma 2 4 3 2 3 9 3" xfId="36012"/>
    <cellStyle name="Comma 2 4 3 2 4" xfId="1122"/>
    <cellStyle name="Comma 2 4 3 2 4 10" xfId="22431"/>
    <cellStyle name="Comma 2 4 3 2 4 11" xfId="23548"/>
    <cellStyle name="Comma 2 4 3 2 4 12" xfId="26753"/>
    <cellStyle name="Comma 2 4 3 2 4 13" xfId="30086"/>
    <cellStyle name="Comma 2 4 3 2 4 14" xfId="33346"/>
    <cellStyle name="Comma 2 4 3 2 4 2" xfId="1123"/>
    <cellStyle name="Comma 2 4 3 2 4 2 10" xfId="33347"/>
    <cellStyle name="Comma 2 4 3 2 4 2 2" xfId="9893"/>
    <cellStyle name="Comma 2 4 3 2 4 2 2 2" xfId="25693"/>
    <cellStyle name="Comma 2 4 3 2 4 2 2 2 2" xfId="45120"/>
    <cellStyle name="Comma 2 4 3 2 4 2 2 2 3" xfId="38697"/>
    <cellStyle name="Comma 2 4 3 2 4 2 2 3" xfId="27871"/>
    <cellStyle name="Comma 2 4 3 2 4 2 2 3 2" xfId="41913"/>
    <cellStyle name="Comma 2 4 3 2 4 2 2 4" xfId="31206"/>
    <cellStyle name="Comma 2 4 3 2 4 2 2 5" xfId="35489"/>
    <cellStyle name="Comma 2 4 3 2 4 2 3" xfId="15552"/>
    <cellStyle name="Comma 2 4 3 2 4 2 3 2" xfId="24567"/>
    <cellStyle name="Comma 2 4 3 2 4 2 3 2 2" xfId="43996"/>
    <cellStyle name="Comma 2 4 3 2 4 2 3 2 3" xfId="37573"/>
    <cellStyle name="Comma 2 4 3 2 4 2 3 3" xfId="28888"/>
    <cellStyle name="Comma 2 4 3 2 4 2 3 3 2" xfId="40789"/>
    <cellStyle name="Comma 2 4 3 2 4 2 3 4" xfId="32223"/>
    <cellStyle name="Comma 2 4 3 2 4 2 3 5" xfId="34365"/>
    <cellStyle name="Comma 2 4 3 2 4 2 4" xfId="8370"/>
    <cellStyle name="Comma 2 4 3 2 4 2 4 2" xfId="42978"/>
    <cellStyle name="Comma 2 4 3 2 4 2 4 3" xfId="36554"/>
    <cellStyle name="Comma 2 4 3 2 4 2 5" xfId="21359"/>
    <cellStyle name="Comma 2 4 3 2 4 2 5 2" xfId="39771"/>
    <cellStyle name="Comma 2 4 3 2 4 2 6" xfId="22432"/>
    <cellStyle name="Comma 2 4 3 2 4 2 7" xfId="23549"/>
    <cellStyle name="Comma 2 4 3 2 4 2 8" xfId="26754"/>
    <cellStyle name="Comma 2 4 3 2 4 2 9" xfId="30087"/>
    <cellStyle name="Comma 2 4 3 2 4 3" xfId="1124"/>
    <cellStyle name="Comma 2 4 3 2 4 3 10" xfId="33348"/>
    <cellStyle name="Comma 2 4 3 2 4 3 2" xfId="9894"/>
    <cellStyle name="Comma 2 4 3 2 4 3 2 2" xfId="25694"/>
    <cellStyle name="Comma 2 4 3 2 4 3 2 2 2" xfId="45121"/>
    <cellStyle name="Comma 2 4 3 2 4 3 2 2 3" xfId="38698"/>
    <cellStyle name="Comma 2 4 3 2 4 3 2 3" xfId="27872"/>
    <cellStyle name="Comma 2 4 3 2 4 3 2 3 2" xfId="41914"/>
    <cellStyle name="Comma 2 4 3 2 4 3 2 4" xfId="31207"/>
    <cellStyle name="Comma 2 4 3 2 4 3 2 5" xfId="35490"/>
    <cellStyle name="Comma 2 4 3 2 4 3 3" xfId="15553"/>
    <cellStyle name="Comma 2 4 3 2 4 3 3 2" xfId="24568"/>
    <cellStyle name="Comma 2 4 3 2 4 3 3 2 2" xfId="43997"/>
    <cellStyle name="Comma 2 4 3 2 4 3 3 2 3" xfId="37574"/>
    <cellStyle name="Comma 2 4 3 2 4 3 3 3" xfId="28889"/>
    <cellStyle name="Comma 2 4 3 2 4 3 3 3 2" xfId="40790"/>
    <cellStyle name="Comma 2 4 3 2 4 3 3 4" xfId="32224"/>
    <cellStyle name="Comma 2 4 3 2 4 3 3 5" xfId="34366"/>
    <cellStyle name="Comma 2 4 3 2 4 3 4" xfId="8371"/>
    <cellStyle name="Comma 2 4 3 2 4 3 4 2" xfId="42979"/>
    <cellStyle name="Comma 2 4 3 2 4 3 4 3" xfId="36555"/>
    <cellStyle name="Comma 2 4 3 2 4 3 5" xfId="21360"/>
    <cellStyle name="Comma 2 4 3 2 4 3 5 2" xfId="39772"/>
    <cellStyle name="Comma 2 4 3 2 4 3 6" xfId="22433"/>
    <cellStyle name="Comma 2 4 3 2 4 3 7" xfId="23550"/>
    <cellStyle name="Comma 2 4 3 2 4 3 8" xfId="26755"/>
    <cellStyle name="Comma 2 4 3 2 4 3 9" xfId="30088"/>
    <cellStyle name="Comma 2 4 3 2 4 4" xfId="1125"/>
    <cellStyle name="Comma 2 4 3 2 4 4 10" xfId="33349"/>
    <cellStyle name="Comma 2 4 3 2 4 4 2" xfId="9895"/>
    <cellStyle name="Comma 2 4 3 2 4 4 2 2" xfId="25695"/>
    <cellStyle name="Comma 2 4 3 2 4 4 2 2 2" xfId="45122"/>
    <cellStyle name="Comma 2 4 3 2 4 4 2 2 3" xfId="38699"/>
    <cellStyle name="Comma 2 4 3 2 4 4 2 3" xfId="27873"/>
    <cellStyle name="Comma 2 4 3 2 4 4 2 3 2" xfId="41915"/>
    <cellStyle name="Comma 2 4 3 2 4 4 2 4" xfId="31208"/>
    <cellStyle name="Comma 2 4 3 2 4 4 2 5" xfId="35491"/>
    <cellStyle name="Comma 2 4 3 2 4 4 3" xfId="15554"/>
    <cellStyle name="Comma 2 4 3 2 4 4 3 2" xfId="24569"/>
    <cellStyle name="Comma 2 4 3 2 4 4 3 2 2" xfId="43998"/>
    <cellStyle name="Comma 2 4 3 2 4 4 3 2 3" xfId="37575"/>
    <cellStyle name="Comma 2 4 3 2 4 4 3 3" xfId="28890"/>
    <cellStyle name="Comma 2 4 3 2 4 4 3 3 2" xfId="40791"/>
    <cellStyle name="Comma 2 4 3 2 4 4 3 4" xfId="32225"/>
    <cellStyle name="Comma 2 4 3 2 4 4 3 5" xfId="34367"/>
    <cellStyle name="Comma 2 4 3 2 4 4 4" xfId="8372"/>
    <cellStyle name="Comma 2 4 3 2 4 4 4 2" xfId="42980"/>
    <cellStyle name="Comma 2 4 3 2 4 4 4 3" xfId="36556"/>
    <cellStyle name="Comma 2 4 3 2 4 4 5" xfId="21361"/>
    <cellStyle name="Comma 2 4 3 2 4 4 5 2" xfId="39773"/>
    <cellStyle name="Comma 2 4 3 2 4 4 6" xfId="22434"/>
    <cellStyle name="Comma 2 4 3 2 4 4 7" xfId="23551"/>
    <cellStyle name="Comma 2 4 3 2 4 4 8" xfId="26756"/>
    <cellStyle name="Comma 2 4 3 2 4 4 9" xfId="30089"/>
    <cellStyle name="Comma 2 4 3 2 4 5" xfId="1126"/>
    <cellStyle name="Comma 2 4 3 2 4 5 10" xfId="33350"/>
    <cellStyle name="Comma 2 4 3 2 4 5 2" xfId="9896"/>
    <cellStyle name="Comma 2 4 3 2 4 5 2 2" xfId="25696"/>
    <cellStyle name="Comma 2 4 3 2 4 5 2 2 2" xfId="45123"/>
    <cellStyle name="Comma 2 4 3 2 4 5 2 2 3" xfId="38700"/>
    <cellStyle name="Comma 2 4 3 2 4 5 2 3" xfId="27874"/>
    <cellStyle name="Comma 2 4 3 2 4 5 2 3 2" xfId="41916"/>
    <cellStyle name="Comma 2 4 3 2 4 5 2 4" xfId="31209"/>
    <cellStyle name="Comma 2 4 3 2 4 5 2 5" xfId="35492"/>
    <cellStyle name="Comma 2 4 3 2 4 5 3" xfId="15555"/>
    <cellStyle name="Comma 2 4 3 2 4 5 3 2" xfId="24570"/>
    <cellStyle name="Comma 2 4 3 2 4 5 3 2 2" xfId="43999"/>
    <cellStyle name="Comma 2 4 3 2 4 5 3 2 3" xfId="37576"/>
    <cellStyle name="Comma 2 4 3 2 4 5 3 3" xfId="28891"/>
    <cellStyle name="Comma 2 4 3 2 4 5 3 3 2" xfId="40792"/>
    <cellStyle name="Comma 2 4 3 2 4 5 3 4" xfId="32226"/>
    <cellStyle name="Comma 2 4 3 2 4 5 3 5" xfId="34368"/>
    <cellStyle name="Comma 2 4 3 2 4 5 4" xfId="8373"/>
    <cellStyle name="Comma 2 4 3 2 4 5 4 2" xfId="42981"/>
    <cellStyle name="Comma 2 4 3 2 4 5 4 3" xfId="36557"/>
    <cellStyle name="Comma 2 4 3 2 4 5 5" xfId="21362"/>
    <cellStyle name="Comma 2 4 3 2 4 5 5 2" xfId="39774"/>
    <cellStyle name="Comma 2 4 3 2 4 5 6" xfId="22435"/>
    <cellStyle name="Comma 2 4 3 2 4 5 7" xfId="23552"/>
    <cellStyle name="Comma 2 4 3 2 4 5 8" xfId="26757"/>
    <cellStyle name="Comma 2 4 3 2 4 5 9" xfId="30090"/>
    <cellStyle name="Comma 2 4 3 2 4 6" xfId="9892"/>
    <cellStyle name="Comma 2 4 3 2 4 6 2" xfId="25692"/>
    <cellStyle name="Comma 2 4 3 2 4 6 2 2" xfId="45119"/>
    <cellStyle name="Comma 2 4 3 2 4 6 2 3" xfId="38696"/>
    <cellStyle name="Comma 2 4 3 2 4 6 3" xfId="27870"/>
    <cellStyle name="Comma 2 4 3 2 4 6 3 2" xfId="41912"/>
    <cellStyle name="Comma 2 4 3 2 4 6 4" xfId="31205"/>
    <cellStyle name="Comma 2 4 3 2 4 6 5" xfId="35488"/>
    <cellStyle name="Comma 2 4 3 2 4 7" xfId="15551"/>
    <cellStyle name="Comma 2 4 3 2 4 7 2" xfId="24566"/>
    <cellStyle name="Comma 2 4 3 2 4 7 2 2" xfId="43995"/>
    <cellStyle name="Comma 2 4 3 2 4 7 2 3" xfId="37572"/>
    <cellStyle name="Comma 2 4 3 2 4 7 3" xfId="28887"/>
    <cellStyle name="Comma 2 4 3 2 4 7 3 2" xfId="40788"/>
    <cellStyle name="Comma 2 4 3 2 4 7 4" xfId="32222"/>
    <cellStyle name="Comma 2 4 3 2 4 7 5" xfId="34364"/>
    <cellStyle name="Comma 2 4 3 2 4 8" xfId="8369"/>
    <cellStyle name="Comma 2 4 3 2 4 8 2" xfId="42977"/>
    <cellStyle name="Comma 2 4 3 2 4 8 3" xfId="36553"/>
    <cellStyle name="Comma 2 4 3 2 4 9" xfId="21358"/>
    <cellStyle name="Comma 2 4 3 2 4 9 2" xfId="39770"/>
    <cellStyle name="Comma 2 4 3 2 5" xfId="1127"/>
    <cellStyle name="Comma 2 4 3 2 5 10" xfId="22436"/>
    <cellStyle name="Comma 2 4 3 2 5 11" xfId="23553"/>
    <cellStyle name="Comma 2 4 3 2 5 12" xfId="26758"/>
    <cellStyle name="Comma 2 4 3 2 5 13" xfId="30091"/>
    <cellStyle name="Comma 2 4 3 2 5 14" xfId="33351"/>
    <cellStyle name="Comma 2 4 3 2 5 2" xfId="1128"/>
    <cellStyle name="Comma 2 4 3 2 5 2 10" xfId="33352"/>
    <cellStyle name="Comma 2 4 3 2 5 2 2" xfId="9898"/>
    <cellStyle name="Comma 2 4 3 2 5 2 2 2" xfId="25698"/>
    <cellStyle name="Comma 2 4 3 2 5 2 2 2 2" xfId="45125"/>
    <cellStyle name="Comma 2 4 3 2 5 2 2 2 3" xfId="38702"/>
    <cellStyle name="Comma 2 4 3 2 5 2 2 3" xfId="27876"/>
    <cellStyle name="Comma 2 4 3 2 5 2 2 3 2" xfId="41918"/>
    <cellStyle name="Comma 2 4 3 2 5 2 2 4" xfId="31211"/>
    <cellStyle name="Comma 2 4 3 2 5 2 2 5" xfId="35494"/>
    <cellStyle name="Comma 2 4 3 2 5 2 3" xfId="15557"/>
    <cellStyle name="Comma 2 4 3 2 5 2 3 2" xfId="24572"/>
    <cellStyle name="Comma 2 4 3 2 5 2 3 2 2" xfId="44001"/>
    <cellStyle name="Comma 2 4 3 2 5 2 3 2 3" xfId="37578"/>
    <cellStyle name="Comma 2 4 3 2 5 2 3 3" xfId="28893"/>
    <cellStyle name="Comma 2 4 3 2 5 2 3 3 2" xfId="40794"/>
    <cellStyle name="Comma 2 4 3 2 5 2 3 4" xfId="32228"/>
    <cellStyle name="Comma 2 4 3 2 5 2 3 5" xfId="34370"/>
    <cellStyle name="Comma 2 4 3 2 5 2 4" xfId="8375"/>
    <cellStyle name="Comma 2 4 3 2 5 2 4 2" xfId="42983"/>
    <cellStyle name="Comma 2 4 3 2 5 2 4 3" xfId="36559"/>
    <cellStyle name="Comma 2 4 3 2 5 2 5" xfId="21364"/>
    <cellStyle name="Comma 2 4 3 2 5 2 5 2" xfId="39776"/>
    <cellStyle name="Comma 2 4 3 2 5 2 6" xfId="22437"/>
    <cellStyle name="Comma 2 4 3 2 5 2 7" xfId="23554"/>
    <cellStyle name="Comma 2 4 3 2 5 2 8" xfId="26759"/>
    <cellStyle name="Comma 2 4 3 2 5 2 9" xfId="30092"/>
    <cellStyle name="Comma 2 4 3 2 5 3" xfId="1129"/>
    <cellStyle name="Comma 2 4 3 2 5 3 10" xfId="33353"/>
    <cellStyle name="Comma 2 4 3 2 5 3 2" xfId="9899"/>
    <cellStyle name="Comma 2 4 3 2 5 3 2 2" xfId="25699"/>
    <cellStyle name="Comma 2 4 3 2 5 3 2 2 2" xfId="45126"/>
    <cellStyle name="Comma 2 4 3 2 5 3 2 2 3" xfId="38703"/>
    <cellStyle name="Comma 2 4 3 2 5 3 2 3" xfId="27877"/>
    <cellStyle name="Comma 2 4 3 2 5 3 2 3 2" xfId="41919"/>
    <cellStyle name="Comma 2 4 3 2 5 3 2 4" xfId="31212"/>
    <cellStyle name="Comma 2 4 3 2 5 3 2 5" xfId="35495"/>
    <cellStyle name="Comma 2 4 3 2 5 3 3" xfId="15558"/>
    <cellStyle name="Comma 2 4 3 2 5 3 3 2" xfId="24573"/>
    <cellStyle name="Comma 2 4 3 2 5 3 3 2 2" xfId="44002"/>
    <cellStyle name="Comma 2 4 3 2 5 3 3 2 3" xfId="37579"/>
    <cellStyle name="Comma 2 4 3 2 5 3 3 3" xfId="28894"/>
    <cellStyle name="Comma 2 4 3 2 5 3 3 3 2" xfId="40795"/>
    <cellStyle name="Comma 2 4 3 2 5 3 3 4" xfId="32229"/>
    <cellStyle name="Comma 2 4 3 2 5 3 3 5" xfId="34371"/>
    <cellStyle name="Comma 2 4 3 2 5 3 4" xfId="8376"/>
    <cellStyle name="Comma 2 4 3 2 5 3 4 2" xfId="42984"/>
    <cellStyle name="Comma 2 4 3 2 5 3 4 3" xfId="36560"/>
    <cellStyle name="Comma 2 4 3 2 5 3 5" xfId="21365"/>
    <cellStyle name="Comma 2 4 3 2 5 3 5 2" xfId="39777"/>
    <cellStyle name="Comma 2 4 3 2 5 3 6" xfId="22438"/>
    <cellStyle name="Comma 2 4 3 2 5 3 7" xfId="23555"/>
    <cellStyle name="Comma 2 4 3 2 5 3 8" xfId="26760"/>
    <cellStyle name="Comma 2 4 3 2 5 3 9" xfId="30093"/>
    <cellStyle name="Comma 2 4 3 2 5 4" xfId="1130"/>
    <cellStyle name="Comma 2 4 3 2 5 4 10" xfId="33354"/>
    <cellStyle name="Comma 2 4 3 2 5 4 2" xfId="9900"/>
    <cellStyle name="Comma 2 4 3 2 5 4 2 2" xfId="25700"/>
    <cellStyle name="Comma 2 4 3 2 5 4 2 2 2" xfId="45127"/>
    <cellStyle name="Comma 2 4 3 2 5 4 2 2 3" xfId="38704"/>
    <cellStyle name="Comma 2 4 3 2 5 4 2 3" xfId="27878"/>
    <cellStyle name="Comma 2 4 3 2 5 4 2 3 2" xfId="41920"/>
    <cellStyle name="Comma 2 4 3 2 5 4 2 4" xfId="31213"/>
    <cellStyle name="Comma 2 4 3 2 5 4 2 5" xfId="35496"/>
    <cellStyle name="Comma 2 4 3 2 5 4 3" xfId="15559"/>
    <cellStyle name="Comma 2 4 3 2 5 4 3 2" xfId="24574"/>
    <cellStyle name="Comma 2 4 3 2 5 4 3 2 2" xfId="44003"/>
    <cellStyle name="Comma 2 4 3 2 5 4 3 2 3" xfId="37580"/>
    <cellStyle name="Comma 2 4 3 2 5 4 3 3" xfId="28895"/>
    <cellStyle name="Comma 2 4 3 2 5 4 3 3 2" xfId="40796"/>
    <cellStyle name="Comma 2 4 3 2 5 4 3 4" xfId="32230"/>
    <cellStyle name="Comma 2 4 3 2 5 4 3 5" xfId="34372"/>
    <cellStyle name="Comma 2 4 3 2 5 4 4" xfId="8377"/>
    <cellStyle name="Comma 2 4 3 2 5 4 4 2" xfId="42985"/>
    <cellStyle name="Comma 2 4 3 2 5 4 4 3" xfId="36561"/>
    <cellStyle name="Comma 2 4 3 2 5 4 5" xfId="21366"/>
    <cellStyle name="Comma 2 4 3 2 5 4 5 2" xfId="39778"/>
    <cellStyle name="Comma 2 4 3 2 5 4 6" xfId="22439"/>
    <cellStyle name="Comma 2 4 3 2 5 4 7" xfId="23556"/>
    <cellStyle name="Comma 2 4 3 2 5 4 8" xfId="26761"/>
    <cellStyle name="Comma 2 4 3 2 5 4 9" xfId="30094"/>
    <cellStyle name="Comma 2 4 3 2 5 5" xfId="1131"/>
    <cellStyle name="Comma 2 4 3 2 5 5 10" xfId="33355"/>
    <cellStyle name="Comma 2 4 3 2 5 5 2" xfId="9901"/>
    <cellStyle name="Comma 2 4 3 2 5 5 2 2" xfId="25701"/>
    <cellStyle name="Comma 2 4 3 2 5 5 2 2 2" xfId="45128"/>
    <cellStyle name="Comma 2 4 3 2 5 5 2 2 3" xfId="38705"/>
    <cellStyle name="Comma 2 4 3 2 5 5 2 3" xfId="27879"/>
    <cellStyle name="Comma 2 4 3 2 5 5 2 3 2" xfId="41921"/>
    <cellStyle name="Comma 2 4 3 2 5 5 2 4" xfId="31214"/>
    <cellStyle name="Comma 2 4 3 2 5 5 2 5" xfId="35497"/>
    <cellStyle name="Comma 2 4 3 2 5 5 3" xfId="15560"/>
    <cellStyle name="Comma 2 4 3 2 5 5 3 2" xfId="24575"/>
    <cellStyle name="Comma 2 4 3 2 5 5 3 2 2" xfId="44004"/>
    <cellStyle name="Comma 2 4 3 2 5 5 3 2 3" xfId="37581"/>
    <cellStyle name="Comma 2 4 3 2 5 5 3 3" xfId="28896"/>
    <cellStyle name="Comma 2 4 3 2 5 5 3 3 2" xfId="40797"/>
    <cellStyle name="Comma 2 4 3 2 5 5 3 4" xfId="32231"/>
    <cellStyle name="Comma 2 4 3 2 5 5 3 5" xfId="34373"/>
    <cellStyle name="Comma 2 4 3 2 5 5 4" xfId="8378"/>
    <cellStyle name="Comma 2 4 3 2 5 5 4 2" xfId="42986"/>
    <cellStyle name="Comma 2 4 3 2 5 5 4 3" xfId="36562"/>
    <cellStyle name="Comma 2 4 3 2 5 5 5" xfId="21367"/>
    <cellStyle name="Comma 2 4 3 2 5 5 5 2" xfId="39779"/>
    <cellStyle name="Comma 2 4 3 2 5 5 6" xfId="22440"/>
    <cellStyle name="Comma 2 4 3 2 5 5 7" xfId="23557"/>
    <cellStyle name="Comma 2 4 3 2 5 5 8" xfId="26762"/>
    <cellStyle name="Comma 2 4 3 2 5 5 9" xfId="30095"/>
    <cellStyle name="Comma 2 4 3 2 5 6" xfId="9897"/>
    <cellStyle name="Comma 2 4 3 2 5 6 2" xfId="25697"/>
    <cellStyle name="Comma 2 4 3 2 5 6 2 2" xfId="45124"/>
    <cellStyle name="Comma 2 4 3 2 5 6 2 3" xfId="38701"/>
    <cellStyle name="Comma 2 4 3 2 5 6 3" xfId="27875"/>
    <cellStyle name="Comma 2 4 3 2 5 6 3 2" xfId="41917"/>
    <cellStyle name="Comma 2 4 3 2 5 6 4" xfId="31210"/>
    <cellStyle name="Comma 2 4 3 2 5 6 5" xfId="35493"/>
    <cellStyle name="Comma 2 4 3 2 5 7" xfId="15556"/>
    <cellStyle name="Comma 2 4 3 2 5 7 2" xfId="24571"/>
    <cellStyle name="Comma 2 4 3 2 5 7 2 2" xfId="44000"/>
    <cellStyle name="Comma 2 4 3 2 5 7 2 3" xfId="37577"/>
    <cellStyle name="Comma 2 4 3 2 5 7 3" xfId="28892"/>
    <cellStyle name="Comma 2 4 3 2 5 7 3 2" xfId="40793"/>
    <cellStyle name="Comma 2 4 3 2 5 7 4" xfId="32227"/>
    <cellStyle name="Comma 2 4 3 2 5 7 5" xfId="34369"/>
    <cellStyle name="Comma 2 4 3 2 5 8" xfId="8374"/>
    <cellStyle name="Comma 2 4 3 2 5 8 2" xfId="42982"/>
    <cellStyle name="Comma 2 4 3 2 5 8 3" xfId="36558"/>
    <cellStyle name="Comma 2 4 3 2 5 9" xfId="21363"/>
    <cellStyle name="Comma 2 4 3 2 5 9 2" xfId="39775"/>
    <cellStyle name="Comma 2 4 3 2 6" xfId="1132"/>
    <cellStyle name="Comma 2 4 3 2 6 10" xfId="33356"/>
    <cellStyle name="Comma 2 4 3 2 6 2" xfId="9902"/>
    <cellStyle name="Comma 2 4 3 2 6 2 2" xfId="25702"/>
    <cellStyle name="Comma 2 4 3 2 6 2 2 2" xfId="45129"/>
    <cellStyle name="Comma 2 4 3 2 6 2 2 3" xfId="38706"/>
    <cellStyle name="Comma 2 4 3 2 6 2 3" xfId="27880"/>
    <cellStyle name="Comma 2 4 3 2 6 2 3 2" xfId="41922"/>
    <cellStyle name="Comma 2 4 3 2 6 2 4" xfId="31215"/>
    <cellStyle name="Comma 2 4 3 2 6 2 5" xfId="35498"/>
    <cellStyle name="Comma 2 4 3 2 6 3" xfId="15561"/>
    <cellStyle name="Comma 2 4 3 2 6 3 2" xfId="24576"/>
    <cellStyle name="Comma 2 4 3 2 6 3 2 2" xfId="44005"/>
    <cellStyle name="Comma 2 4 3 2 6 3 2 3" xfId="37582"/>
    <cellStyle name="Comma 2 4 3 2 6 3 3" xfId="28897"/>
    <cellStyle name="Comma 2 4 3 2 6 3 3 2" xfId="40798"/>
    <cellStyle name="Comma 2 4 3 2 6 3 4" xfId="32232"/>
    <cellStyle name="Comma 2 4 3 2 6 3 5" xfId="34374"/>
    <cellStyle name="Comma 2 4 3 2 6 4" xfId="8379"/>
    <cellStyle name="Comma 2 4 3 2 6 4 2" xfId="42987"/>
    <cellStyle name="Comma 2 4 3 2 6 4 3" xfId="36563"/>
    <cellStyle name="Comma 2 4 3 2 6 5" xfId="21368"/>
    <cellStyle name="Comma 2 4 3 2 6 5 2" xfId="39780"/>
    <cellStyle name="Comma 2 4 3 2 6 6" xfId="22441"/>
    <cellStyle name="Comma 2 4 3 2 6 7" xfId="23558"/>
    <cellStyle name="Comma 2 4 3 2 6 8" xfId="26763"/>
    <cellStyle name="Comma 2 4 3 2 6 9" xfId="30096"/>
    <cellStyle name="Comma 2 4 3 2 7" xfId="1133"/>
    <cellStyle name="Comma 2 4 3 2 7 10" xfId="33357"/>
    <cellStyle name="Comma 2 4 3 2 7 2" xfId="9903"/>
    <cellStyle name="Comma 2 4 3 2 7 2 2" xfId="25703"/>
    <cellStyle name="Comma 2 4 3 2 7 2 2 2" xfId="45130"/>
    <cellStyle name="Comma 2 4 3 2 7 2 2 3" xfId="38707"/>
    <cellStyle name="Comma 2 4 3 2 7 2 3" xfId="27881"/>
    <cellStyle name="Comma 2 4 3 2 7 2 3 2" xfId="41923"/>
    <cellStyle name="Comma 2 4 3 2 7 2 4" xfId="31216"/>
    <cellStyle name="Comma 2 4 3 2 7 2 5" xfId="35499"/>
    <cellStyle name="Comma 2 4 3 2 7 3" xfId="15562"/>
    <cellStyle name="Comma 2 4 3 2 7 3 2" xfId="24577"/>
    <cellStyle name="Comma 2 4 3 2 7 3 2 2" xfId="44006"/>
    <cellStyle name="Comma 2 4 3 2 7 3 2 3" xfId="37583"/>
    <cellStyle name="Comma 2 4 3 2 7 3 3" xfId="28898"/>
    <cellStyle name="Comma 2 4 3 2 7 3 3 2" xfId="40799"/>
    <cellStyle name="Comma 2 4 3 2 7 3 4" xfId="32233"/>
    <cellStyle name="Comma 2 4 3 2 7 3 5" xfId="34375"/>
    <cellStyle name="Comma 2 4 3 2 7 4" xfId="8380"/>
    <cellStyle name="Comma 2 4 3 2 7 4 2" xfId="42988"/>
    <cellStyle name="Comma 2 4 3 2 7 4 3" xfId="36564"/>
    <cellStyle name="Comma 2 4 3 2 7 5" xfId="21369"/>
    <cellStyle name="Comma 2 4 3 2 7 5 2" xfId="39781"/>
    <cellStyle name="Comma 2 4 3 2 7 6" xfId="22442"/>
    <cellStyle name="Comma 2 4 3 2 7 7" xfId="23559"/>
    <cellStyle name="Comma 2 4 3 2 7 8" xfId="26764"/>
    <cellStyle name="Comma 2 4 3 2 7 9" xfId="30097"/>
    <cellStyle name="Comma 2 4 3 2 8" xfId="1134"/>
    <cellStyle name="Comma 2 4 3 2 8 10" xfId="33358"/>
    <cellStyle name="Comma 2 4 3 2 8 2" xfId="9904"/>
    <cellStyle name="Comma 2 4 3 2 8 2 2" xfId="25704"/>
    <cellStyle name="Comma 2 4 3 2 8 2 2 2" xfId="45131"/>
    <cellStyle name="Comma 2 4 3 2 8 2 2 3" xfId="38708"/>
    <cellStyle name="Comma 2 4 3 2 8 2 3" xfId="27882"/>
    <cellStyle name="Comma 2 4 3 2 8 2 3 2" xfId="41924"/>
    <cellStyle name="Comma 2 4 3 2 8 2 4" xfId="31217"/>
    <cellStyle name="Comma 2 4 3 2 8 2 5" xfId="35500"/>
    <cellStyle name="Comma 2 4 3 2 8 3" xfId="15563"/>
    <cellStyle name="Comma 2 4 3 2 8 3 2" xfId="24578"/>
    <cellStyle name="Comma 2 4 3 2 8 3 2 2" xfId="44007"/>
    <cellStyle name="Comma 2 4 3 2 8 3 2 3" xfId="37584"/>
    <cellStyle name="Comma 2 4 3 2 8 3 3" xfId="28899"/>
    <cellStyle name="Comma 2 4 3 2 8 3 3 2" xfId="40800"/>
    <cellStyle name="Comma 2 4 3 2 8 3 4" xfId="32234"/>
    <cellStyle name="Comma 2 4 3 2 8 3 5" xfId="34376"/>
    <cellStyle name="Comma 2 4 3 2 8 4" xfId="8381"/>
    <cellStyle name="Comma 2 4 3 2 8 4 2" xfId="42989"/>
    <cellStyle name="Comma 2 4 3 2 8 4 3" xfId="36565"/>
    <cellStyle name="Comma 2 4 3 2 8 5" xfId="21370"/>
    <cellStyle name="Comma 2 4 3 2 8 5 2" xfId="39782"/>
    <cellStyle name="Comma 2 4 3 2 8 6" xfId="22443"/>
    <cellStyle name="Comma 2 4 3 2 8 7" xfId="23560"/>
    <cellStyle name="Comma 2 4 3 2 8 8" xfId="26765"/>
    <cellStyle name="Comma 2 4 3 2 8 9" xfId="30098"/>
    <cellStyle name="Comma 2 4 3 2 9" xfId="1135"/>
    <cellStyle name="Comma 2 4 3 2 9 10" xfId="33359"/>
    <cellStyle name="Comma 2 4 3 2 9 2" xfId="9905"/>
    <cellStyle name="Comma 2 4 3 2 9 2 2" xfId="25705"/>
    <cellStyle name="Comma 2 4 3 2 9 2 2 2" xfId="45132"/>
    <cellStyle name="Comma 2 4 3 2 9 2 2 3" xfId="38709"/>
    <cellStyle name="Comma 2 4 3 2 9 2 3" xfId="27883"/>
    <cellStyle name="Comma 2 4 3 2 9 2 3 2" xfId="41925"/>
    <cellStyle name="Comma 2 4 3 2 9 2 4" xfId="31218"/>
    <cellStyle name="Comma 2 4 3 2 9 2 5" xfId="35501"/>
    <cellStyle name="Comma 2 4 3 2 9 3" xfId="15564"/>
    <cellStyle name="Comma 2 4 3 2 9 3 2" xfId="24579"/>
    <cellStyle name="Comma 2 4 3 2 9 3 2 2" xfId="44008"/>
    <cellStyle name="Comma 2 4 3 2 9 3 2 3" xfId="37585"/>
    <cellStyle name="Comma 2 4 3 2 9 3 3" xfId="28900"/>
    <cellStyle name="Comma 2 4 3 2 9 3 3 2" xfId="40801"/>
    <cellStyle name="Comma 2 4 3 2 9 3 4" xfId="32235"/>
    <cellStyle name="Comma 2 4 3 2 9 3 5" xfId="34377"/>
    <cellStyle name="Comma 2 4 3 2 9 4" xfId="8382"/>
    <cellStyle name="Comma 2 4 3 2 9 4 2" xfId="42990"/>
    <cellStyle name="Comma 2 4 3 2 9 4 3" xfId="36566"/>
    <cellStyle name="Comma 2 4 3 2 9 5" xfId="21371"/>
    <cellStyle name="Comma 2 4 3 2 9 5 2" xfId="39783"/>
    <cellStyle name="Comma 2 4 3 2 9 6" xfId="22444"/>
    <cellStyle name="Comma 2 4 3 2 9 7" xfId="23561"/>
    <cellStyle name="Comma 2 4 3 2 9 8" xfId="26766"/>
    <cellStyle name="Comma 2 4 3 2 9 9" xfId="30099"/>
    <cellStyle name="Comma 2 4 3 20" xfId="32832"/>
    <cellStyle name="Comma 2 4 3 3" xfId="219"/>
    <cellStyle name="Comma 2 4 3 3 10" xfId="15565"/>
    <cellStyle name="Comma 2 4 3 3 10 2" xfId="24580"/>
    <cellStyle name="Comma 2 4 3 3 10 2 2" xfId="44009"/>
    <cellStyle name="Comma 2 4 3 3 10 2 3" xfId="37586"/>
    <cellStyle name="Comma 2 4 3 3 10 3" xfId="28901"/>
    <cellStyle name="Comma 2 4 3 3 10 3 2" xfId="40802"/>
    <cellStyle name="Comma 2 4 3 3 10 4" xfId="32236"/>
    <cellStyle name="Comma 2 4 3 3 10 5" xfId="34378"/>
    <cellStyle name="Comma 2 4 3 3 11" xfId="8383"/>
    <cellStyle name="Comma 2 4 3 3 11 2" xfId="42434"/>
    <cellStyle name="Comma 2 4 3 3 11 3" xfId="36010"/>
    <cellStyle name="Comma 2 4 3 3 12" xfId="21372"/>
    <cellStyle name="Comma 2 4 3 3 12 2" xfId="39227"/>
    <cellStyle name="Comma 2 4 3 3 13" xfId="22445"/>
    <cellStyle name="Comma 2 4 3 3 14" xfId="23005"/>
    <cellStyle name="Comma 2 4 3 3 15" xfId="26767"/>
    <cellStyle name="Comma 2 4 3 3 16" xfId="30100"/>
    <cellStyle name="Comma 2 4 3 3 17" xfId="32803"/>
    <cellStyle name="Comma 2 4 3 3 2" xfId="210"/>
    <cellStyle name="Comma 2 4 3 3 2 10" xfId="21373"/>
    <cellStyle name="Comma 2 4 3 3 2 10 2" xfId="39221"/>
    <cellStyle name="Comma 2 4 3 3 2 11" xfId="22446"/>
    <cellStyle name="Comma 2 4 3 3 2 12" xfId="22999"/>
    <cellStyle name="Comma 2 4 3 3 2 13" xfId="26768"/>
    <cellStyle name="Comma 2 4 3 3 2 14" xfId="30101"/>
    <cellStyle name="Comma 2 4 3 3 2 15" xfId="32797"/>
    <cellStyle name="Comma 2 4 3 3 2 2" xfId="1136"/>
    <cellStyle name="Comma 2 4 3 3 2 2 10" xfId="33360"/>
    <cellStyle name="Comma 2 4 3 3 2 2 2" xfId="9906"/>
    <cellStyle name="Comma 2 4 3 3 2 2 2 2" xfId="25706"/>
    <cellStyle name="Comma 2 4 3 3 2 2 2 2 2" xfId="45133"/>
    <cellStyle name="Comma 2 4 3 3 2 2 2 2 3" xfId="38710"/>
    <cellStyle name="Comma 2 4 3 3 2 2 2 3" xfId="27884"/>
    <cellStyle name="Comma 2 4 3 3 2 2 2 3 2" xfId="41926"/>
    <cellStyle name="Comma 2 4 3 3 2 2 2 4" xfId="31219"/>
    <cellStyle name="Comma 2 4 3 3 2 2 2 5" xfId="35502"/>
    <cellStyle name="Comma 2 4 3 3 2 2 3" xfId="15567"/>
    <cellStyle name="Comma 2 4 3 3 2 2 3 2" xfId="24582"/>
    <cellStyle name="Comma 2 4 3 3 2 2 3 2 2" xfId="44011"/>
    <cellStyle name="Comma 2 4 3 3 2 2 3 2 3" xfId="37588"/>
    <cellStyle name="Comma 2 4 3 3 2 2 3 3" xfId="28903"/>
    <cellStyle name="Comma 2 4 3 3 2 2 3 3 2" xfId="40804"/>
    <cellStyle name="Comma 2 4 3 3 2 2 3 4" xfId="32238"/>
    <cellStyle name="Comma 2 4 3 3 2 2 3 5" xfId="34380"/>
    <cellStyle name="Comma 2 4 3 3 2 2 4" xfId="8385"/>
    <cellStyle name="Comma 2 4 3 3 2 2 4 2" xfId="42991"/>
    <cellStyle name="Comma 2 4 3 3 2 2 4 3" xfId="36567"/>
    <cellStyle name="Comma 2 4 3 3 2 2 5" xfId="21374"/>
    <cellStyle name="Comma 2 4 3 3 2 2 5 2" xfId="39784"/>
    <cellStyle name="Comma 2 4 3 3 2 2 6" xfId="22447"/>
    <cellStyle name="Comma 2 4 3 3 2 2 7" xfId="23562"/>
    <cellStyle name="Comma 2 4 3 3 2 2 8" xfId="26769"/>
    <cellStyle name="Comma 2 4 3 3 2 2 9" xfId="30102"/>
    <cellStyle name="Comma 2 4 3 3 2 3" xfId="1137"/>
    <cellStyle name="Comma 2 4 3 3 2 3 10" xfId="33361"/>
    <cellStyle name="Comma 2 4 3 3 2 3 2" xfId="9907"/>
    <cellStyle name="Comma 2 4 3 3 2 3 2 2" xfId="25707"/>
    <cellStyle name="Comma 2 4 3 3 2 3 2 2 2" xfId="45134"/>
    <cellStyle name="Comma 2 4 3 3 2 3 2 2 3" xfId="38711"/>
    <cellStyle name="Comma 2 4 3 3 2 3 2 3" xfId="27885"/>
    <cellStyle name="Comma 2 4 3 3 2 3 2 3 2" xfId="41927"/>
    <cellStyle name="Comma 2 4 3 3 2 3 2 4" xfId="31220"/>
    <cellStyle name="Comma 2 4 3 3 2 3 2 5" xfId="35503"/>
    <cellStyle name="Comma 2 4 3 3 2 3 3" xfId="15568"/>
    <cellStyle name="Comma 2 4 3 3 2 3 3 2" xfId="24583"/>
    <cellStyle name="Comma 2 4 3 3 2 3 3 2 2" xfId="44012"/>
    <cellStyle name="Comma 2 4 3 3 2 3 3 2 3" xfId="37589"/>
    <cellStyle name="Comma 2 4 3 3 2 3 3 3" xfId="28904"/>
    <cellStyle name="Comma 2 4 3 3 2 3 3 3 2" xfId="40805"/>
    <cellStyle name="Comma 2 4 3 3 2 3 3 4" xfId="32239"/>
    <cellStyle name="Comma 2 4 3 3 2 3 3 5" xfId="34381"/>
    <cellStyle name="Comma 2 4 3 3 2 3 4" xfId="8386"/>
    <cellStyle name="Comma 2 4 3 3 2 3 4 2" xfId="42992"/>
    <cellStyle name="Comma 2 4 3 3 2 3 4 3" xfId="36568"/>
    <cellStyle name="Comma 2 4 3 3 2 3 5" xfId="21375"/>
    <cellStyle name="Comma 2 4 3 3 2 3 5 2" xfId="39785"/>
    <cellStyle name="Comma 2 4 3 3 2 3 6" xfId="22448"/>
    <cellStyle name="Comma 2 4 3 3 2 3 7" xfId="23563"/>
    <cellStyle name="Comma 2 4 3 3 2 3 8" xfId="26770"/>
    <cellStyle name="Comma 2 4 3 3 2 3 9" xfId="30103"/>
    <cellStyle name="Comma 2 4 3 3 2 4" xfId="1138"/>
    <cellStyle name="Comma 2 4 3 3 2 4 10" xfId="33362"/>
    <cellStyle name="Comma 2 4 3 3 2 4 2" xfId="9908"/>
    <cellStyle name="Comma 2 4 3 3 2 4 2 2" xfId="25708"/>
    <cellStyle name="Comma 2 4 3 3 2 4 2 2 2" xfId="45135"/>
    <cellStyle name="Comma 2 4 3 3 2 4 2 2 3" xfId="38712"/>
    <cellStyle name="Comma 2 4 3 3 2 4 2 3" xfId="27886"/>
    <cellStyle name="Comma 2 4 3 3 2 4 2 3 2" xfId="41928"/>
    <cellStyle name="Comma 2 4 3 3 2 4 2 4" xfId="31221"/>
    <cellStyle name="Comma 2 4 3 3 2 4 2 5" xfId="35504"/>
    <cellStyle name="Comma 2 4 3 3 2 4 3" xfId="15569"/>
    <cellStyle name="Comma 2 4 3 3 2 4 3 2" xfId="24584"/>
    <cellStyle name="Comma 2 4 3 3 2 4 3 2 2" xfId="44013"/>
    <cellStyle name="Comma 2 4 3 3 2 4 3 2 3" xfId="37590"/>
    <cellStyle name="Comma 2 4 3 3 2 4 3 3" xfId="28905"/>
    <cellStyle name="Comma 2 4 3 3 2 4 3 3 2" xfId="40806"/>
    <cellStyle name="Comma 2 4 3 3 2 4 3 4" xfId="32240"/>
    <cellStyle name="Comma 2 4 3 3 2 4 3 5" xfId="34382"/>
    <cellStyle name="Comma 2 4 3 3 2 4 4" xfId="8387"/>
    <cellStyle name="Comma 2 4 3 3 2 4 4 2" xfId="42993"/>
    <cellStyle name="Comma 2 4 3 3 2 4 4 3" xfId="36569"/>
    <cellStyle name="Comma 2 4 3 3 2 4 5" xfId="21376"/>
    <cellStyle name="Comma 2 4 3 3 2 4 5 2" xfId="39786"/>
    <cellStyle name="Comma 2 4 3 3 2 4 6" xfId="22449"/>
    <cellStyle name="Comma 2 4 3 3 2 4 7" xfId="23564"/>
    <cellStyle name="Comma 2 4 3 3 2 4 8" xfId="26771"/>
    <cellStyle name="Comma 2 4 3 3 2 4 9" xfId="30104"/>
    <cellStyle name="Comma 2 4 3 3 2 5" xfId="1139"/>
    <cellStyle name="Comma 2 4 3 3 2 5 10" xfId="33363"/>
    <cellStyle name="Comma 2 4 3 3 2 5 2" xfId="9909"/>
    <cellStyle name="Comma 2 4 3 3 2 5 2 2" xfId="25709"/>
    <cellStyle name="Comma 2 4 3 3 2 5 2 2 2" xfId="45136"/>
    <cellStyle name="Comma 2 4 3 3 2 5 2 2 3" xfId="38713"/>
    <cellStyle name="Comma 2 4 3 3 2 5 2 3" xfId="27887"/>
    <cellStyle name="Comma 2 4 3 3 2 5 2 3 2" xfId="41929"/>
    <cellStyle name="Comma 2 4 3 3 2 5 2 4" xfId="31222"/>
    <cellStyle name="Comma 2 4 3 3 2 5 2 5" xfId="35505"/>
    <cellStyle name="Comma 2 4 3 3 2 5 3" xfId="15570"/>
    <cellStyle name="Comma 2 4 3 3 2 5 3 2" xfId="24585"/>
    <cellStyle name="Comma 2 4 3 3 2 5 3 2 2" xfId="44014"/>
    <cellStyle name="Comma 2 4 3 3 2 5 3 2 3" xfId="37591"/>
    <cellStyle name="Comma 2 4 3 3 2 5 3 3" xfId="28906"/>
    <cellStyle name="Comma 2 4 3 3 2 5 3 3 2" xfId="40807"/>
    <cellStyle name="Comma 2 4 3 3 2 5 3 4" xfId="32241"/>
    <cellStyle name="Comma 2 4 3 3 2 5 3 5" xfId="34383"/>
    <cellStyle name="Comma 2 4 3 3 2 5 4" xfId="8388"/>
    <cellStyle name="Comma 2 4 3 3 2 5 4 2" xfId="42994"/>
    <cellStyle name="Comma 2 4 3 3 2 5 4 3" xfId="36570"/>
    <cellStyle name="Comma 2 4 3 3 2 5 5" xfId="21377"/>
    <cellStyle name="Comma 2 4 3 3 2 5 5 2" xfId="39787"/>
    <cellStyle name="Comma 2 4 3 3 2 5 6" xfId="22450"/>
    <cellStyle name="Comma 2 4 3 3 2 5 7" xfId="23565"/>
    <cellStyle name="Comma 2 4 3 3 2 5 8" xfId="26772"/>
    <cellStyle name="Comma 2 4 3 3 2 5 9" xfId="30105"/>
    <cellStyle name="Comma 2 4 3 3 2 6" xfId="1140"/>
    <cellStyle name="Comma 2 4 3 3 2 6 10" xfId="33364"/>
    <cellStyle name="Comma 2 4 3 3 2 6 2" xfId="9910"/>
    <cellStyle name="Comma 2 4 3 3 2 6 2 2" xfId="25710"/>
    <cellStyle name="Comma 2 4 3 3 2 6 2 2 2" xfId="45137"/>
    <cellStyle name="Comma 2 4 3 3 2 6 2 2 3" xfId="38714"/>
    <cellStyle name="Comma 2 4 3 3 2 6 2 3" xfId="27888"/>
    <cellStyle name="Comma 2 4 3 3 2 6 2 3 2" xfId="41930"/>
    <cellStyle name="Comma 2 4 3 3 2 6 2 4" xfId="31223"/>
    <cellStyle name="Comma 2 4 3 3 2 6 2 5" xfId="35506"/>
    <cellStyle name="Comma 2 4 3 3 2 6 3" xfId="15571"/>
    <cellStyle name="Comma 2 4 3 3 2 6 3 2" xfId="24586"/>
    <cellStyle name="Comma 2 4 3 3 2 6 3 2 2" xfId="44015"/>
    <cellStyle name="Comma 2 4 3 3 2 6 3 2 3" xfId="37592"/>
    <cellStyle name="Comma 2 4 3 3 2 6 3 3" xfId="28907"/>
    <cellStyle name="Comma 2 4 3 3 2 6 3 3 2" xfId="40808"/>
    <cellStyle name="Comma 2 4 3 3 2 6 3 4" xfId="32242"/>
    <cellStyle name="Comma 2 4 3 3 2 6 3 5" xfId="34384"/>
    <cellStyle name="Comma 2 4 3 3 2 6 4" xfId="8389"/>
    <cellStyle name="Comma 2 4 3 3 2 6 4 2" xfId="42995"/>
    <cellStyle name="Comma 2 4 3 3 2 6 4 3" xfId="36571"/>
    <cellStyle name="Comma 2 4 3 3 2 6 5" xfId="21378"/>
    <cellStyle name="Comma 2 4 3 3 2 6 5 2" xfId="39788"/>
    <cellStyle name="Comma 2 4 3 3 2 6 6" xfId="22451"/>
    <cellStyle name="Comma 2 4 3 3 2 6 7" xfId="23566"/>
    <cellStyle name="Comma 2 4 3 3 2 6 8" xfId="26773"/>
    <cellStyle name="Comma 2 4 3 3 2 6 9" xfId="30106"/>
    <cellStyle name="Comma 2 4 3 3 2 7" xfId="9083"/>
    <cellStyle name="Comma 2 4 3 3 2 7 2" xfId="25138"/>
    <cellStyle name="Comma 2 4 3 3 2 7 2 2" xfId="44565"/>
    <cellStyle name="Comma 2 4 3 3 2 7 2 3" xfId="38142"/>
    <cellStyle name="Comma 2 4 3 3 2 7 3" xfId="27317"/>
    <cellStyle name="Comma 2 4 3 3 2 7 3 2" xfId="41358"/>
    <cellStyle name="Comma 2 4 3 3 2 7 4" xfId="30652"/>
    <cellStyle name="Comma 2 4 3 3 2 7 5" xfId="34934"/>
    <cellStyle name="Comma 2 4 3 3 2 8" xfId="15566"/>
    <cellStyle name="Comma 2 4 3 3 2 8 2" xfId="24581"/>
    <cellStyle name="Comma 2 4 3 3 2 8 2 2" xfId="44010"/>
    <cellStyle name="Comma 2 4 3 3 2 8 2 3" xfId="37587"/>
    <cellStyle name="Comma 2 4 3 3 2 8 3" xfId="28902"/>
    <cellStyle name="Comma 2 4 3 3 2 8 3 2" xfId="40803"/>
    <cellStyle name="Comma 2 4 3 3 2 8 4" xfId="32237"/>
    <cellStyle name="Comma 2 4 3 3 2 8 5" xfId="34379"/>
    <cellStyle name="Comma 2 4 3 3 2 9" xfId="8384"/>
    <cellStyle name="Comma 2 4 3 3 2 9 2" xfId="42428"/>
    <cellStyle name="Comma 2 4 3 3 2 9 3" xfId="36004"/>
    <cellStyle name="Comma 2 4 3 3 3" xfId="1141"/>
    <cellStyle name="Comma 2 4 3 3 3 10" xfId="22452"/>
    <cellStyle name="Comma 2 4 3 3 3 11" xfId="23567"/>
    <cellStyle name="Comma 2 4 3 3 3 12" xfId="26774"/>
    <cellStyle name="Comma 2 4 3 3 3 13" xfId="30107"/>
    <cellStyle name="Comma 2 4 3 3 3 14" xfId="33365"/>
    <cellStyle name="Comma 2 4 3 3 3 2" xfId="1142"/>
    <cellStyle name="Comma 2 4 3 3 3 2 10" xfId="33366"/>
    <cellStyle name="Comma 2 4 3 3 3 2 2" xfId="9912"/>
    <cellStyle name="Comma 2 4 3 3 3 2 2 2" xfId="25712"/>
    <cellStyle name="Comma 2 4 3 3 3 2 2 2 2" xfId="45139"/>
    <cellStyle name="Comma 2 4 3 3 3 2 2 2 3" xfId="38716"/>
    <cellStyle name="Comma 2 4 3 3 3 2 2 3" xfId="27890"/>
    <cellStyle name="Comma 2 4 3 3 3 2 2 3 2" xfId="41932"/>
    <cellStyle name="Comma 2 4 3 3 3 2 2 4" xfId="31225"/>
    <cellStyle name="Comma 2 4 3 3 3 2 2 5" xfId="35508"/>
    <cellStyle name="Comma 2 4 3 3 3 2 3" xfId="15573"/>
    <cellStyle name="Comma 2 4 3 3 3 2 3 2" xfId="24588"/>
    <cellStyle name="Comma 2 4 3 3 3 2 3 2 2" xfId="44017"/>
    <cellStyle name="Comma 2 4 3 3 3 2 3 2 3" xfId="37594"/>
    <cellStyle name="Comma 2 4 3 3 3 2 3 3" xfId="28909"/>
    <cellStyle name="Comma 2 4 3 3 3 2 3 3 2" xfId="40810"/>
    <cellStyle name="Comma 2 4 3 3 3 2 3 4" xfId="32244"/>
    <cellStyle name="Comma 2 4 3 3 3 2 3 5" xfId="34386"/>
    <cellStyle name="Comma 2 4 3 3 3 2 4" xfId="8391"/>
    <cellStyle name="Comma 2 4 3 3 3 2 4 2" xfId="42997"/>
    <cellStyle name="Comma 2 4 3 3 3 2 4 3" xfId="36573"/>
    <cellStyle name="Comma 2 4 3 3 3 2 5" xfId="21380"/>
    <cellStyle name="Comma 2 4 3 3 3 2 5 2" xfId="39790"/>
    <cellStyle name="Comma 2 4 3 3 3 2 6" xfId="22453"/>
    <cellStyle name="Comma 2 4 3 3 3 2 7" xfId="23568"/>
    <cellStyle name="Comma 2 4 3 3 3 2 8" xfId="26775"/>
    <cellStyle name="Comma 2 4 3 3 3 2 9" xfId="30108"/>
    <cellStyle name="Comma 2 4 3 3 3 3" xfId="1143"/>
    <cellStyle name="Comma 2 4 3 3 3 3 10" xfId="33367"/>
    <cellStyle name="Comma 2 4 3 3 3 3 2" xfId="9913"/>
    <cellStyle name="Comma 2 4 3 3 3 3 2 2" xfId="25713"/>
    <cellStyle name="Comma 2 4 3 3 3 3 2 2 2" xfId="45140"/>
    <cellStyle name="Comma 2 4 3 3 3 3 2 2 3" xfId="38717"/>
    <cellStyle name="Comma 2 4 3 3 3 3 2 3" xfId="27891"/>
    <cellStyle name="Comma 2 4 3 3 3 3 2 3 2" xfId="41933"/>
    <cellStyle name="Comma 2 4 3 3 3 3 2 4" xfId="31226"/>
    <cellStyle name="Comma 2 4 3 3 3 3 2 5" xfId="35509"/>
    <cellStyle name="Comma 2 4 3 3 3 3 3" xfId="15574"/>
    <cellStyle name="Comma 2 4 3 3 3 3 3 2" xfId="24589"/>
    <cellStyle name="Comma 2 4 3 3 3 3 3 2 2" xfId="44018"/>
    <cellStyle name="Comma 2 4 3 3 3 3 3 2 3" xfId="37595"/>
    <cellStyle name="Comma 2 4 3 3 3 3 3 3" xfId="28910"/>
    <cellStyle name="Comma 2 4 3 3 3 3 3 3 2" xfId="40811"/>
    <cellStyle name="Comma 2 4 3 3 3 3 3 4" xfId="32245"/>
    <cellStyle name="Comma 2 4 3 3 3 3 3 5" xfId="34387"/>
    <cellStyle name="Comma 2 4 3 3 3 3 4" xfId="8392"/>
    <cellStyle name="Comma 2 4 3 3 3 3 4 2" xfId="42998"/>
    <cellStyle name="Comma 2 4 3 3 3 3 4 3" xfId="36574"/>
    <cellStyle name="Comma 2 4 3 3 3 3 5" xfId="21381"/>
    <cellStyle name="Comma 2 4 3 3 3 3 5 2" xfId="39791"/>
    <cellStyle name="Comma 2 4 3 3 3 3 6" xfId="22454"/>
    <cellStyle name="Comma 2 4 3 3 3 3 7" xfId="23569"/>
    <cellStyle name="Comma 2 4 3 3 3 3 8" xfId="26776"/>
    <cellStyle name="Comma 2 4 3 3 3 3 9" xfId="30109"/>
    <cellStyle name="Comma 2 4 3 3 3 4" xfId="1144"/>
    <cellStyle name="Comma 2 4 3 3 3 4 10" xfId="33368"/>
    <cellStyle name="Comma 2 4 3 3 3 4 2" xfId="9914"/>
    <cellStyle name="Comma 2 4 3 3 3 4 2 2" xfId="25714"/>
    <cellStyle name="Comma 2 4 3 3 3 4 2 2 2" xfId="45141"/>
    <cellStyle name="Comma 2 4 3 3 3 4 2 2 3" xfId="38718"/>
    <cellStyle name="Comma 2 4 3 3 3 4 2 3" xfId="27892"/>
    <cellStyle name="Comma 2 4 3 3 3 4 2 3 2" xfId="41934"/>
    <cellStyle name="Comma 2 4 3 3 3 4 2 4" xfId="31227"/>
    <cellStyle name="Comma 2 4 3 3 3 4 2 5" xfId="35510"/>
    <cellStyle name="Comma 2 4 3 3 3 4 3" xfId="15575"/>
    <cellStyle name="Comma 2 4 3 3 3 4 3 2" xfId="24590"/>
    <cellStyle name="Comma 2 4 3 3 3 4 3 2 2" xfId="44019"/>
    <cellStyle name="Comma 2 4 3 3 3 4 3 2 3" xfId="37596"/>
    <cellStyle name="Comma 2 4 3 3 3 4 3 3" xfId="28911"/>
    <cellStyle name="Comma 2 4 3 3 3 4 3 3 2" xfId="40812"/>
    <cellStyle name="Comma 2 4 3 3 3 4 3 4" xfId="32246"/>
    <cellStyle name="Comma 2 4 3 3 3 4 3 5" xfId="34388"/>
    <cellStyle name="Comma 2 4 3 3 3 4 4" xfId="8393"/>
    <cellStyle name="Comma 2 4 3 3 3 4 4 2" xfId="42999"/>
    <cellStyle name="Comma 2 4 3 3 3 4 4 3" xfId="36575"/>
    <cellStyle name="Comma 2 4 3 3 3 4 5" xfId="21382"/>
    <cellStyle name="Comma 2 4 3 3 3 4 5 2" xfId="39792"/>
    <cellStyle name="Comma 2 4 3 3 3 4 6" xfId="22455"/>
    <cellStyle name="Comma 2 4 3 3 3 4 7" xfId="23570"/>
    <cellStyle name="Comma 2 4 3 3 3 4 8" xfId="26777"/>
    <cellStyle name="Comma 2 4 3 3 3 4 9" xfId="30110"/>
    <cellStyle name="Comma 2 4 3 3 3 5" xfId="1145"/>
    <cellStyle name="Comma 2 4 3 3 3 5 10" xfId="33369"/>
    <cellStyle name="Comma 2 4 3 3 3 5 2" xfId="9915"/>
    <cellStyle name="Comma 2 4 3 3 3 5 2 2" xfId="25715"/>
    <cellStyle name="Comma 2 4 3 3 3 5 2 2 2" xfId="45142"/>
    <cellStyle name="Comma 2 4 3 3 3 5 2 2 3" xfId="38719"/>
    <cellStyle name="Comma 2 4 3 3 3 5 2 3" xfId="27893"/>
    <cellStyle name="Comma 2 4 3 3 3 5 2 3 2" xfId="41935"/>
    <cellStyle name="Comma 2 4 3 3 3 5 2 4" xfId="31228"/>
    <cellStyle name="Comma 2 4 3 3 3 5 2 5" xfId="35511"/>
    <cellStyle name="Comma 2 4 3 3 3 5 3" xfId="15576"/>
    <cellStyle name="Comma 2 4 3 3 3 5 3 2" xfId="24591"/>
    <cellStyle name="Comma 2 4 3 3 3 5 3 2 2" xfId="44020"/>
    <cellStyle name="Comma 2 4 3 3 3 5 3 2 3" xfId="37597"/>
    <cellStyle name="Comma 2 4 3 3 3 5 3 3" xfId="28912"/>
    <cellStyle name="Comma 2 4 3 3 3 5 3 3 2" xfId="40813"/>
    <cellStyle name="Comma 2 4 3 3 3 5 3 4" xfId="32247"/>
    <cellStyle name="Comma 2 4 3 3 3 5 3 5" xfId="34389"/>
    <cellStyle name="Comma 2 4 3 3 3 5 4" xfId="8394"/>
    <cellStyle name="Comma 2 4 3 3 3 5 4 2" xfId="43000"/>
    <cellStyle name="Comma 2 4 3 3 3 5 4 3" xfId="36576"/>
    <cellStyle name="Comma 2 4 3 3 3 5 5" xfId="21383"/>
    <cellStyle name="Comma 2 4 3 3 3 5 5 2" xfId="39793"/>
    <cellStyle name="Comma 2 4 3 3 3 5 6" xfId="22456"/>
    <cellStyle name="Comma 2 4 3 3 3 5 7" xfId="23571"/>
    <cellStyle name="Comma 2 4 3 3 3 5 8" xfId="26778"/>
    <cellStyle name="Comma 2 4 3 3 3 5 9" xfId="30111"/>
    <cellStyle name="Comma 2 4 3 3 3 6" xfId="9911"/>
    <cellStyle name="Comma 2 4 3 3 3 6 2" xfId="25711"/>
    <cellStyle name="Comma 2 4 3 3 3 6 2 2" xfId="45138"/>
    <cellStyle name="Comma 2 4 3 3 3 6 2 3" xfId="38715"/>
    <cellStyle name="Comma 2 4 3 3 3 6 3" xfId="27889"/>
    <cellStyle name="Comma 2 4 3 3 3 6 3 2" xfId="41931"/>
    <cellStyle name="Comma 2 4 3 3 3 6 4" xfId="31224"/>
    <cellStyle name="Comma 2 4 3 3 3 6 5" xfId="35507"/>
    <cellStyle name="Comma 2 4 3 3 3 7" xfId="15572"/>
    <cellStyle name="Comma 2 4 3 3 3 7 2" xfId="24587"/>
    <cellStyle name="Comma 2 4 3 3 3 7 2 2" xfId="44016"/>
    <cellStyle name="Comma 2 4 3 3 3 7 2 3" xfId="37593"/>
    <cellStyle name="Comma 2 4 3 3 3 7 3" xfId="28908"/>
    <cellStyle name="Comma 2 4 3 3 3 7 3 2" xfId="40809"/>
    <cellStyle name="Comma 2 4 3 3 3 7 4" xfId="32243"/>
    <cellStyle name="Comma 2 4 3 3 3 7 5" xfId="34385"/>
    <cellStyle name="Comma 2 4 3 3 3 8" xfId="8390"/>
    <cellStyle name="Comma 2 4 3 3 3 8 2" xfId="42996"/>
    <cellStyle name="Comma 2 4 3 3 3 8 3" xfId="36572"/>
    <cellStyle name="Comma 2 4 3 3 3 9" xfId="21379"/>
    <cellStyle name="Comma 2 4 3 3 3 9 2" xfId="39789"/>
    <cellStyle name="Comma 2 4 3 3 4" xfId="1146"/>
    <cellStyle name="Comma 2 4 3 3 4 10" xfId="33370"/>
    <cellStyle name="Comma 2 4 3 3 4 2" xfId="9916"/>
    <cellStyle name="Comma 2 4 3 3 4 2 2" xfId="25716"/>
    <cellStyle name="Comma 2 4 3 3 4 2 2 2" xfId="45143"/>
    <cellStyle name="Comma 2 4 3 3 4 2 2 3" xfId="38720"/>
    <cellStyle name="Comma 2 4 3 3 4 2 3" xfId="27894"/>
    <cellStyle name="Comma 2 4 3 3 4 2 3 2" xfId="41936"/>
    <cellStyle name="Comma 2 4 3 3 4 2 4" xfId="31229"/>
    <cellStyle name="Comma 2 4 3 3 4 2 5" xfId="35512"/>
    <cellStyle name="Comma 2 4 3 3 4 3" xfId="15577"/>
    <cellStyle name="Comma 2 4 3 3 4 3 2" xfId="24592"/>
    <cellStyle name="Comma 2 4 3 3 4 3 2 2" xfId="44021"/>
    <cellStyle name="Comma 2 4 3 3 4 3 2 3" xfId="37598"/>
    <cellStyle name="Comma 2 4 3 3 4 3 3" xfId="28913"/>
    <cellStyle name="Comma 2 4 3 3 4 3 3 2" xfId="40814"/>
    <cellStyle name="Comma 2 4 3 3 4 3 4" xfId="32248"/>
    <cellStyle name="Comma 2 4 3 3 4 3 5" xfId="34390"/>
    <cellStyle name="Comma 2 4 3 3 4 4" xfId="8395"/>
    <cellStyle name="Comma 2 4 3 3 4 4 2" xfId="43001"/>
    <cellStyle name="Comma 2 4 3 3 4 4 3" xfId="36577"/>
    <cellStyle name="Comma 2 4 3 3 4 5" xfId="21384"/>
    <cellStyle name="Comma 2 4 3 3 4 5 2" xfId="39794"/>
    <cellStyle name="Comma 2 4 3 3 4 6" xfId="22457"/>
    <cellStyle name="Comma 2 4 3 3 4 7" xfId="23572"/>
    <cellStyle name="Comma 2 4 3 3 4 8" xfId="26779"/>
    <cellStyle name="Comma 2 4 3 3 4 9" xfId="30112"/>
    <cellStyle name="Comma 2 4 3 3 5" xfId="1147"/>
    <cellStyle name="Comma 2 4 3 3 5 10" xfId="33371"/>
    <cellStyle name="Comma 2 4 3 3 5 2" xfId="9917"/>
    <cellStyle name="Comma 2 4 3 3 5 2 2" xfId="25717"/>
    <cellStyle name="Comma 2 4 3 3 5 2 2 2" xfId="45144"/>
    <cellStyle name="Comma 2 4 3 3 5 2 2 3" xfId="38721"/>
    <cellStyle name="Comma 2 4 3 3 5 2 3" xfId="27895"/>
    <cellStyle name="Comma 2 4 3 3 5 2 3 2" xfId="41937"/>
    <cellStyle name="Comma 2 4 3 3 5 2 4" xfId="31230"/>
    <cellStyle name="Comma 2 4 3 3 5 2 5" xfId="35513"/>
    <cellStyle name="Comma 2 4 3 3 5 3" xfId="15578"/>
    <cellStyle name="Comma 2 4 3 3 5 3 2" xfId="24593"/>
    <cellStyle name="Comma 2 4 3 3 5 3 2 2" xfId="44022"/>
    <cellStyle name="Comma 2 4 3 3 5 3 2 3" xfId="37599"/>
    <cellStyle name="Comma 2 4 3 3 5 3 3" xfId="28914"/>
    <cellStyle name="Comma 2 4 3 3 5 3 3 2" xfId="40815"/>
    <cellStyle name="Comma 2 4 3 3 5 3 4" xfId="32249"/>
    <cellStyle name="Comma 2 4 3 3 5 3 5" xfId="34391"/>
    <cellStyle name="Comma 2 4 3 3 5 4" xfId="8396"/>
    <cellStyle name="Comma 2 4 3 3 5 4 2" xfId="43002"/>
    <cellStyle name="Comma 2 4 3 3 5 4 3" xfId="36578"/>
    <cellStyle name="Comma 2 4 3 3 5 5" xfId="21385"/>
    <cellStyle name="Comma 2 4 3 3 5 5 2" xfId="39795"/>
    <cellStyle name="Comma 2 4 3 3 5 6" xfId="22458"/>
    <cellStyle name="Comma 2 4 3 3 5 7" xfId="23573"/>
    <cellStyle name="Comma 2 4 3 3 5 8" xfId="26780"/>
    <cellStyle name="Comma 2 4 3 3 5 9" xfId="30113"/>
    <cellStyle name="Comma 2 4 3 3 6" xfId="1148"/>
    <cellStyle name="Comma 2 4 3 3 6 10" xfId="33372"/>
    <cellStyle name="Comma 2 4 3 3 6 2" xfId="9918"/>
    <cellStyle name="Comma 2 4 3 3 6 2 2" xfId="25718"/>
    <cellStyle name="Comma 2 4 3 3 6 2 2 2" xfId="45145"/>
    <cellStyle name="Comma 2 4 3 3 6 2 2 3" xfId="38722"/>
    <cellStyle name="Comma 2 4 3 3 6 2 3" xfId="27896"/>
    <cellStyle name="Comma 2 4 3 3 6 2 3 2" xfId="41938"/>
    <cellStyle name="Comma 2 4 3 3 6 2 4" xfId="31231"/>
    <cellStyle name="Comma 2 4 3 3 6 2 5" xfId="35514"/>
    <cellStyle name="Comma 2 4 3 3 6 3" xfId="15579"/>
    <cellStyle name="Comma 2 4 3 3 6 3 2" xfId="24594"/>
    <cellStyle name="Comma 2 4 3 3 6 3 2 2" xfId="44023"/>
    <cellStyle name="Comma 2 4 3 3 6 3 2 3" xfId="37600"/>
    <cellStyle name="Comma 2 4 3 3 6 3 3" xfId="28915"/>
    <cellStyle name="Comma 2 4 3 3 6 3 3 2" xfId="40816"/>
    <cellStyle name="Comma 2 4 3 3 6 3 4" xfId="32250"/>
    <cellStyle name="Comma 2 4 3 3 6 3 5" xfId="34392"/>
    <cellStyle name="Comma 2 4 3 3 6 4" xfId="8397"/>
    <cellStyle name="Comma 2 4 3 3 6 4 2" xfId="43003"/>
    <cellStyle name="Comma 2 4 3 3 6 4 3" xfId="36579"/>
    <cellStyle name="Comma 2 4 3 3 6 5" xfId="21386"/>
    <cellStyle name="Comma 2 4 3 3 6 5 2" xfId="39796"/>
    <cellStyle name="Comma 2 4 3 3 6 6" xfId="22459"/>
    <cellStyle name="Comma 2 4 3 3 6 7" xfId="23574"/>
    <cellStyle name="Comma 2 4 3 3 6 8" xfId="26781"/>
    <cellStyle name="Comma 2 4 3 3 6 9" xfId="30114"/>
    <cellStyle name="Comma 2 4 3 3 7" xfId="1149"/>
    <cellStyle name="Comma 2 4 3 3 7 10" xfId="33373"/>
    <cellStyle name="Comma 2 4 3 3 7 2" xfId="9919"/>
    <cellStyle name="Comma 2 4 3 3 7 2 2" xfId="25719"/>
    <cellStyle name="Comma 2 4 3 3 7 2 2 2" xfId="45146"/>
    <cellStyle name="Comma 2 4 3 3 7 2 2 3" xfId="38723"/>
    <cellStyle name="Comma 2 4 3 3 7 2 3" xfId="27897"/>
    <cellStyle name="Comma 2 4 3 3 7 2 3 2" xfId="41939"/>
    <cellStyle name="Comma 2 4 3 3 7 2 4" xfId="31232"/>
    <cellStyle name="Comma 2 4 3 3 7 2 5" xfId="35515"/>
    <cellStyle name="Comma 2 4 3 3 7 3" xfId="15580"/>
    <cellStyle name="Comma 2 4 3 3 7 3 2" xfId="24595"/>
    <cellStyle name="Comma 2 4 3 3 7 3 2 2" xfId="44024"/>
    <cellStyle name="Comma 2 4 3 3 7 3 2 3" xfId="37601"/>
    <cellStyle name="Comma 2 4 3 3 7 3 3" xfId="28916"/>
    <cellStyle name="Comma 2 4 3 3 7 3 3 2" xfId="40817"/>
    <cellStyle name="Comma 2 4 3 3 7 3 4" xfId="32251"/>
    <cellStyle name="Comma 2 4 3 3 7 3 5" xfId="34393"/>
    <cellStyle name="Comma 2 4 3 3 7 4" xfId="8398"/>
    <cellStyle name="Comma 2 4 3 3 7 4 2" xfId="43004"/>
    <cellStyle name="Comma 2 4 3 3 7 4 3" xfId="36580"/>
    <cellStyle name="Comma 2 4 3 3 7 5" xfId="21387"/>
    <cellStyle name="Comma 2 4 3 3 7 5 2" xfId="39797"/>
    <cellStyle name="Comma 2 4 3 3 7 6" xfId="22460"/>
    <cellStyle name="Comma 2 4 3 3 7 7" xfId="23575"/>
    <cellStyle name="Comma 2 4 3 3 7 8" xfId="26782"/>
    <cellStyle name="Comma 2 4 3 3 7 9" xfId="30115"/>
    <cellStyle name="Comma 2 4 3 3 8" xfId="1150"/>
    <cellStyle name="Comma 2 4 3 3 8 10" xfId="33374"/>
    <cellStyle name="Comma 2 4 3 3 8 2" xfId="9920"/>
    <cellStyle name="Comma 2 4 3 3 8 2 2" xfId="25720"/>
    <cellStyle name="Comma 2 4 3 3 8 2 2 2" xfId="45147"/>
    <cellStyle name="Comma 2 4 3 3 8 2 2 3" xfId="38724"/>
    <cellStyle name="Comma 2 4 3 3 8 2 3" xfId="27898"/>
    <cellStyle name="Comma 2 4 3 3 8 2 3 2" xfId="41940"/>
    <cellStyle name="Comma 2 4 3 3 8 2 4" xfId="31233"/>
    <cellStyle name="Comma 2 4 3 3 8 2 5" xfId="35516"/>
    <cellStyle name="Comma 2 4 3 3 8 3" xfId="15581"/>
    <cellStyle name="Comma 2 4 3 3 8 3 2" xfId="24596"/>
    <cellStyle name="Comma 2 4 3 3 8 3 2 2" xfId="44025"/>
    <cellStyle name="Comma 2 4 3 3 8 3 2 3" xfId="37602"/>
    <cellStyle name="Comma 2 4 3 3 8 3 3" xfId="28917"/>
    <cellStyle name="Comma 2 4 3 3 8 3 3 2" xfId="40818"/>
    <cellStyle name="Comma 2 4 3 3 8 3 4" xfId="32252"/>
    <cellStyle name="Comma 2 4 3 3 8 3 5" xfId="34394"/>
    <cellStyle name="Comma 2 4 3 3 8 4" xfId="8399"/>
    <cellStyle name="Comma 2 4 3 3 8 4 2" xfId="43005"/>
    <cellStyle name="Comma 2 4 3 3 8 4 3" xfId="36581"/>
    <cellStyle name="Comma 2 4 3 3 8 5" xfId="21388"/>
    <cellStyle name="Comma 2 4 3 3 8 5 2" xfId="39798"/>
    <cellStyle name="Comma 2 4 3 3 8 6" xfId="22461"/>
    <cellStyle name="Comma 2 4 3 3 8 7" xfId="23576"/>
    <cellStyle name="Comma 2 4 3 3 8 8" xfId="26783"/>
    <cellStyle name="Comma 2 4 3 3 8 9" xfId="30116"/>
    <cellStyle name="Comma 2 4 3 3 9" xfId="9089"/>
    <cellStyle name="Comma 2 4 3 3 9 2" xfId="25144"/>
    <cellStyle name="Comma 2 4 3 3 9 2 2" xfId="44571"/>
    <cellStyle name="Comma 2 4 3 3 9 2 3" xfId="38148"/>
    <cellStyle name="Comma 2 4 3 3 9 3" xfId="27323"/>
    <cellStyle name="Comma 2 4 3 3 9 3 2" xfId="41364"/>
    <cellStyle name="Comma 2 4 3 3 9 4" xfId="30658"/>
    <cellStyle name="Comma 2 4 3 3 9 5" xfId="34940"/>
    <cellStyle name="Comma 2 4 3 4" xfId="241"/>
    <cellStyle name="Comma 2 4 3 4 10" xfId="21389"/>
    <cellStyle name="Comma 2 4 3 4 10 2" xfId="39241"/>
    <cellStyle name="Comma 2 4 3 4 11" xfId="22462"/>
    <cellStyle name="Comma 2 4 3 4 12" xfId="23019"/>
    <cellStyle name="Comma 2 4 3 4 13" xfId="26784"/>
    <cellStyle name="Comma 2 4 3 4 14" xfId="30117"/>
    <cellStyle name="Comma 2 4 3 4 15" xfId="32817"/>
    <cellStyle name="Comma 2 4 3 4 2" xfId="1151"/>
    <cellStyle name="Comma 2 4 3 4 2 10" xfId="33375"/>
    <cellStyle name="Comma 2 4 3 4 2 2" xfId="9921"/>
    <cellStyle name="Comma 2 4 3 4 2 2 2" xfId="25721"/>
    <cellStyle name="Comma 2 4 3 4 2 2 2 2" xfId="45148"/>
    <cellStyle name="Comma 2 4 3 4 2 2 2 3" xfId="38725"/>
    <cellStyle name="Comma 2 4 3 4 2 2 3" xfId="27899"/>
    <cellStyle name="Comma 2 4 3 4 2 2 3 2" xfId="41941"/>
    <cellStyle name="Comma 2 4 3 4 2 2 4" xfId="31234"/>
    <cellStyle name="Comma 2 4 3 4 2 2 5" xfId="35517"/>
    <cellStyle name="Comma 2 4 3 4 2 3" xfId="15583"/>
    <cellStyle name="Comma 2 4 3 4 2 3 2" xfId="24598"/>
    <cellStyle name="Comma 2 4 3 4 2 3 2 2" xfId="44027"/>
    <cellStyle name="Comma 2 4 3 4 2 3 2 3" xfId="37604"/>
    <cellStyle name="Comma 2 4 3 4 2 3 3" xfId="28919"/>
    <cellStyle name="Comma 2 4 3 4 2 3 3 2" xfId="40820"/>
    <cellStyle name="Comma 2 4 3 4 2 3 4" xfId="32254"/>
    <cellStyle name="Comma 2 4 3 4 2 3 5" xfId="34396"/>
    <cellStyle name="Comma 2 4 3 4 2 4" xfId="8401"/>
    <cellStyle name="Comma 2 4 3 4 2 4 2" xfId="43006"/>
    <cellStyle name="Comma 2 4 3 4 2 4 3" xfId="36582"/>
    <cellStyle name="Comma 2 4 3 4 2 5" xfId="21390"/>
    <cellStyle name="Comma 2 4 3 4 2 5 2" xfId="39799"/>
    <cellStyle name="Comma 2 4 3 4 2 6" xfId="22463"/>
    <cellStyle name="Comma 2 4 3 4 2 7" xfId="23577"/>
    <cellStyle name="Comma 2 4 3 4 2 8" xfId="26785"/>
    <cellStyle name="Comma 2 4 3 4 2 9" xfId="30118"/>
    <cellStyle name="Comma 2 4 3 4 3" xfId="1152"/>
    <cellStyle name="Comma 2 4 3 4 3 10" xfId="33376"/>
    <cellStyle name="Comma 2 4 3 4 3 2" xfId="9922"/>
    <cellStyle name="Comma 2 4 3 4 3 2 2" xfId="25722"/>
    <cellStyle name="Comma 2 4 3 4 3 2 2 2" xfId="45149"/>
    <cellStyle name="Comma 2 4 3 4 3 2 2 3" xfId="38726"/>
    <cellStyle name="Comma 2 4 3 4 3 2 3" xfId="27900"/>
    <cellStyle name="Comma 2 4 3 4 3 2 3 2" xfId="41942"/>
    <cellStyle name="Comma 2 4 3 4 3 2 4" xfId="31235"/>
    <cellStyle name="Comma 2 4 3 4 3 2 5" xfId="35518"/>
    <cellStyle name="Comma 2 4 3 4 3 3" xfId="15584"/>
    <cellStyle name="Comma 2 4 3 4 3 3 2" xfId="24599"/>
    <cellStyle name="Comma 2 4 3 4 3 3 2 2" xfId="44028"/>
    <cellStyle name="Comma 2 4 3 4 3 3 2 3" xfId="37605"/>
    <cellStyle name="Comma 2 4 3 4 3 3 3" xfId="28920"/>
    <cellStyle name="Comma 2 4 3 4 3 3 3 2" xfId="40821"/>
    <cellStyle name="Comma 2 4 3 4 3 3 4" xfId="32255"/>
    <cellStyle name="Comma 2 4 3 4 3 3 5" xfId="34397"/>
    <cellStyle name="Comma 2 4 3 4 3 4" xfId="8402"/>
    <cellStyle name="Comma 2 4 3 4 3 4 2" xfId="43007"/>
    <cellStyle name="Comma 2 4 3 4 3 4 3" xfId="36583"/>
    <cellStyle name="Comma 2 4 3 4 3 5" xfId="21391"/>
    <cellStyle name="Comma 2 4 3 4 3 5 2" xfId="39800"/>
    <cellStyle name="Comma 2 4 3 4 3 6" xfId="22464"/>
    <cellStyle name="Comma 2 4 3 4 3 7" xfId="23578"/>
    <cellStyle name="Comma 2 4 3 4 3 8" xfId="26786"/>
    <cellStyle name="Comma 2 4 3 4 3 9" xfId="30119"/>
    <cellStyle name="Comma 2 4 3 4 4" xfId="1153"/>
    <cellStyle name="Comma 2 4 3 4 4 10" xfId="33377"/>
    <cellStyle name="Comma 2 4 3 4 4 2" xfId="9923"/>
    <cellStyle name="Comma 2 4 3 4 4 2 2" xfId="25723"/>
    <cellStyle name="Comma 2 4 3 4 4 2 2 2" xfId="45150"/>
    <cellStyle name="Comma 2 4 3 4 4 2 2 3" xfId="38727"/>
    <cellStyle name="Comma 2 4 3 4 4 2 3" xfId="27901"/>
    <cellStyle name="Comma 2 4 3 4 4 2 3 2" xfId="41943"/>
    <cellStyle name="Comma 2 4 3 4 4 2 4" xfId="31236"/>
    <cellStyle name="Comma 2 4 3 4 4 2 5" xfId="35519"/>
    <cellStyle name="Comma 2 4 3 4 4 3" xfId="15585"/>
    <cellStyle name="Comma 2 4 3 4 4 3 2" xfId="24600"/>
    <cellStyle name="Comma 2 4 3 4 4 3 2 2" xfId="44029"/>
    <cellStyle name="Comma 2 4 3 4 4 3 2 3" xfId="37606"/>
    <cellStyle name="Comma 2 4 3 4 4 3 3" xfId="28921"/>
    <cellStyle name="Comma 2 4 3 4 4 3 3 2" xfId="40822"/>
    <cellStyle name="Comma 2 4 3 4 4 3 4" xfId="32256"/>
    <cellStyle name="Comma 2 4 3 4 4 3 5" xfId="34398"/>
    <cellStyle name="Comma 2 4 3 4 4 4" xfId="8403"/>
    <cellStyle name="Comma 2 4 3 4 4 4 2" xfId="43008"/>
    <cellStyle name="Comma 2 4 3 4 4 4 3" xfId="36584"/>
    <cellStyle name="Comma 2 4 3 4 4 5" xfId="21392"/>
    <cellStyle name="Comma 2 4 3 4 4 5 2" xfId="39801"/>
    <cellStyle name="Comma 2 4 3 4 4 6" xfId="22465"/>
    <cellStyle name="Comma 2 4 3 4 4 7" xfId="23579"/>
    <cellStyle name="Comma 2 4 3 4 4 8" xfId="26787"/>
    <cellStyle name="Comma 2 4 3 4 4 9" xfId="30120"/>
    <cellStyle name="Comma 2 4 3 4 5" xfId="1154"/>
    <cellStyle name="Comma 2 4 3 4 5 10" xfId="33378"/>
    <cellStyle name="Comma 2 4 3 4 5 2" xfId="9924"/>
    <cellStyle name="Comma 2 4 3 4 5 2 2" xfId="25724"/>
    <cellStyle name="Comma 2 4 3 4 5 2 2 2" xfId="45151"/>
    <cellStyle name="Comma 2 4 3 4 5 2 2 3" xfId="38728"/>
    <cellStyle name="Comma 2 4 3 4 5 2 3" xfId="27902"/>
    <cellStyle name="Comma 2 4 3 4 5 2 3 2" xfId="41944"/>
    <cellStyle name="Comma 2 4 3 4 5 2 4" xfId="31237"/>
    <cellStyle name="Comma 2 4 3 4 5 2 5" xfId="35520"/>
    <cellStyle name="Comma 2 4 3 4 5 3" xfId="15586"/>
    <cellStyle name="Comma 2 4 3 4 5 3 2" xfId="24601"/>
    <cellStyle name="Comma 2 4 3 4 5 3 2 2" xfId="44030"/>
    <cellStyle name="Comma 2 4 3 4 5 3 2 3" xfId="37607"/>
    <cellStyle name="Comma 2 4 3 4 5 3 3" xfId="28922"/>
    <cellStyle name="Comma 2 4 3 4 5 3 3 2" xfId="40823"/>
    <cellStyle name="Comma 2 4 3 4 5 3 4" xfId="32257"/>
    <cellStyle name="Comma 2 4 3 4 5 3 5" xfId="34399"/>
    <cellStyle name="Comma 2 4 3 4 5 4" xfId="8404"/>
    <cellStyle name="Comma 2 4 3 4 5 4 2" xfId="43009"/>
    <cellStyle name="Comma 2 4 3 4 5 4 3" xfId="36585"/>
    <cellStyle name="Comma 2 4 3 4 5 5" xfId="21393"/>
    <cellStyle name="Comma 2 4 3 4 5 5 2" xfId="39802"/>
    <cellStyle name="Comma 2 4 3 4 5 6" xfId="22466"/>
    <cellStyle name="Comma 2 4 3 4 5 7" xfId="23580"/>
    <cellStyle name="Comma 2 4 3 4 5 8" xfId="26788"/>
    <cellStyle name="Comma 2 4 3 4 5 9" xfId="30121"/>
    <cellStyle name="Comma 2 4 3 4 6" xfId="1155"/>
    <cellStyle name="Comma 2 4 3 4 6 10" xfId="33379"/>
    <cellStyle name="Comma 2 4 3 4 6 2" xfId="9925"/>
    <cellStyle name="Comma 2 4 3 4 6 2 2" xfId="25725"/>
    <cellStyle name="Comma 2 4 3 4 6 2 2 2" xfId="45152"/>
    <cellStyle name="Comma 2 4 3 4 6 2 2 3" xfId="38729"/>
    <cellStyle name="Comma 2 4 3 4 6 2 3" xfId="27903"/>
    <cellStyle name="Comma 2 4 3 4 6 2 3 2" xfId="41945"/>
    <cellStyle name="Comma 2 4 3 4 6 2 4" xfId="31238"/>
    <cellStyle name="Comma 2 4 3 4 6 2 5" xfId="35521"/>
    <cellStyle name="Comma 2 4 3 4 6 3" xfId="15587"/>
    <cellStyle name="Comma 2 4 3 4 6 3 2" xfId="24602"/>
    <cellStyle name="Comma 2 4 3 4 6 3 2 2" xfId="44031"/>
    <cellStyle name="Comma 2 4 3 4 6 3 2 3" xfId="37608"/>
    <cellStyle name="Comma 2 4 3 4 6 3 3" xfId="28923"/>
    <cellStyle name="Comma 2 4 3 4 6 3 3 2" xfId="40824"/>
    <cellStyle name="Comma 2 4 3 4 6 3 4" xfId="32258"/>
    <cellStyle name="Comma 2 4 3 4 6 3 5" xfId="34400"/>
    <cellStyle name="Comma 2 4 3 4 6 4" xfId="8405"/>
    <cellStyle name="Comma 2 4 3 4 6 4 2" xfId="43010"/>
    <cellStyle name="Comma 2 4 3 4 6 4 3" xfId="36586"/>
    <cellStyle name="Comma 2 4 3 4 6 5" xfId="21394"/>
    <cellStyle name="Comma 2 4 3 4 6 5 2" xfId="39803"/>
    <cellStyle name="Comma 2 4 3 4 6 6" xfId="22467"/>
    <cellStyle name="Comma 2 4 3 4 6 7" xfId="23581"/>
    <cellStyle name="Comma 2 4 3 4 6 8" xfId="26789"/>
    <cellStyle name="Comma 2 4 3 4 6 9" xfId="30122"/>
    <cellStyle name="Comma 2 4 3 4 7" xfId="9104"/>
    <cellStyle name="Comma 2 4 3 4 7 2" xfId="25158"/>
    <cellStyle name="Comma 2 4 3 4 7 2 2" xfId="44585"/>
    <cellStyle name="Comma 2 4 3 4 7 2 3" xfId="38162"/>
    <cellStyle name="Comma 2 4 3 4 7 3" xfId="27337"/>
    <cellStyle name="Comma 2 4 3 4 7 3 2" xfId="41378"/>
    <cellStyle name="Comma 2 4 3 4 7 4" xfId="30672"/>
    <cellStyle name="Comma 2 4 3 4 7 5" xfId="34954"/>
    <cellStyle name="Comma 2 4 3 4 8" xfId="15582"/>
    <cellStyle name="Comma 2 4 3 4 8 2" xfId="24597"/>
    <cellStyle name="Comma 2 4 3 4 8 2 2" xfId="44026"/>
    <cellStyle name="Comma 2 4 3 4 8 2 3" xfId="37603"/>
    <cellStyle name="Comma 2 4 3 4 8 3" xfId="28918"/>
    <cellStyle name="Comma 2 4 3 4 8 3 2" xfId="40819"/>
    <cellStyle name="Comma 2 4 3 4 8 4" xfId="32253"/>
    <cellStyle name="Comma 2 4 3 4 8 5" xfId="34395"/>
    <cellStyle name="Comma 2 4 3 4 9" xfId="8400"/>
    <cellStyle name="Comma 2 4 3 4 9 2" xfId="42448"/>
    <cellStyle name="Comma 2 4 3 4 9 3" xfId="36024"/>
    <cellStyle name="Comma 2 4 3 5" xfId="1156"/>
    <cellStyle name="Comma 2 4 3 5 10" xfId="22468"/>
    <cellStyle name="Comma 2 4 3 5 11" xfId="23582"/>
    <cellStyle name="Comma 2 4 3 5 12" xfId="26790"/>
    <cellStyle name="Comma 2 4 3 5 13" xfId="30123"/>
    <cellStyle name="Comma 2 4 3 5 14" xfId="33380"/>
    <cellStyle name="Comma 2 4 3 5 2" xfId="1157"/>
    <cellStyle name="Comma 2 4 3 5 2 10" xfId="33381"/>
    <cellStyle name="Comma 2 4 3 5 2 2" xfId="9927"/>
    <cellStyle name="Comma 2 4 3 5 2 2 2" xfId="25727"/>
    <cellStyle name="Comma 2 4 3 5 2 2 2 2" xfId="45154"/>
    <cellStyle name="Comma 2 4 3 5 2 2 2 3" xfId="38731"/>
    <cellStyle name="Comma 2 4 3 5 2 2 3" xfId="27905"/>
    <cellStyle name="Comma 2 4 3 5 2 2 3 2" xfId="41947"/>
    <cellStyle name="Comma 2 4 3 5 2 2 4" xfId="31240"/>
    <cellStyle name="Comma 2 4 3 5 2 2 5" xfId="35523"/>
    <cellStyle name="Comma 2 4 3 5 2 3" xfId="15589"/>
    <cellStyle name="Comma 2 4 3 5 2 3 2" xfId="24604"/>
    <cellStyle name="Comma 2 4 3 5 2 3 2 2" xfId="44033"/>
    <cellStyle name="Comma 2 4 3 5 2 3 2 3" xfId="37610"/>
    <cellStyle name="Comma 2 4 3 5 2 3 3" xfId="28925"/>
    <cellStyle name="Comma 2 4 3 5 2 3 3 2" xfId="40826"/>
    <cellStyle name="Comma 2 4 3 5 2 3 4" xfId="32260"/>
    <cellStyle name="Comma 2 4 3 5 2 3 5" xfId="34402"/>
    <cellStyle name="Comma 2 4 3 5 2 4" xfId="8407"/>
    <cellStyle name="Comma 2 4 3 5 2 4 2" xfId="43012"/>
    <cellStyle name="Comma 2 4 3 5 2 4 3" xfId="36588"/>
    <cellStyle name="Comma 2 4 3 5 2 5" xfId="21396"/>
    <cellStyle name="Comma 2 4 3 5 2 5 2" xfId="39805"/>
    <cellStyle name="Comma 2 4 3 5 2 6" xfId="22469"/>
    <cellStyle name="Comma 2 4 3 5 2 7" xfId="23583"/>
    <cellStyle name="Comma 2 4 3 5 2 8" xfId="26791"/>
    <cellStyle name="Comma 2 4 3 5 2 9" xfId="30124"/>
    <cellStyle name="Comma 2 4 3 5 3" xfId="1158"/>
    <cellStyle name="Comma 2 4 3 5 3 10" xfId="33382"/>
    <cellStyle name="Comma 2 4 3 5 3 2" xfId="9928"/>
    <cellStyle name="Comma 2 4 3 5 3 2 2" xfId="25728"/>
    <cellStyle name="Comma 2 4 3 5 3 2 2 2" xfId="45155"/>
    <cellStyle name="Comma 2 4 3 5 3 2 2 3" xfId="38732"/>
    <cellStyle name="Comma 2 4 3 5 3 2 3" xfId="27906"/>
    <cellStyle name="Comma 2 4 3 5 3 2 3 2" xfId="41948"/>
    <cellStyle name="Comma 2 4 3 5 3 2 4" xfId="31241"/>
    <cellStyle name="Comma 2 4 3 5 3 2 5" xfId="35524"/>
    <cellStyle name="Comma 2 4 3 5 3 3" xfId="15590"/>
    <cellStyle name="Comma 2 4 3 5 3 3 2" xfId="24605"/>
    <cellStyle name="Comma 2 4 3 5 3 3 2 2" xfId="44034"/>
    <cellStyle name="Comma 2 4 3 5 3 3 2 3" xfId="37611"/>
    <cellStyle name="Comma 2 4 3 5 3 3 3" xfId="28926"/>
    <cellStyle name="Comma 2 4 3 5 3 3 3 2" xfId="40827"/>
    <cellStyle name="Comma 2 4 3 5 3 3 4" xfId="32261"/>
    <cellStyle name="Comma 2 4 3 5 3 3 5" xfId="34403"/>
    <cellStyle name="Comma 2 4 3 5 3 4" xfId="8408"/>
    <cellStyle name="Comma 2 4 3 5 3 4 2" xfId="43013"/>
    <cellStyle name="Comma 2 4 3 5 3 4 3" xfId="36589"/>
    <cellStyle name="Comma 2 4 3 5 3 5" xfId="21397"/>
    <cellStyle name="Comma 2 4 3 5 3 5 2" xfId="39806"/>
    <cellStyle name="Comma 2 4 3 5 3 6" xfId="22470"/>
    <cellStyle name="Comma 2 4 3 5 3 7" xfId="23584"/>
    <cellStyle name="Comma 2 4 3 5 3 8" xfId="26792"/>
    <cellStyle name="Comma 2 4 3 5 3 9" xfId="30125"/>
    <cellStyle name="Comma 2 4 3 5 4" xfId="1159"/>
    <cellStyle name="Comma 2 4 3 5 4 10" xfId="33383"/>
    <cellStyle name="Comma 2 4 3 5 4 2" xfId="9929"/>
    <cellStyle name="Comma 2 4 3 5 4 2 2" xfId="25729"/>
    <cellStyle name="Comma 2 4 3 5 4 2 2 2" xfId="45156"/>
    <cellStyle name="Comma 2 4 3 5 4 2 2 3" xfId="38733"/>
    <cellStyle name="Comma 2 4 3 5 4 2 3" xfId="27907"/>
    <cellStyle name="Comma 2 4 3 5 4 2 3 2" xfId="41949"/>
    <cellStyle name="Comma 2 4 3 5 4 2 4" xfId="31242"/>
    <cellStyle name="Comma 2 4 3 5 4 2 5" xfId="35525"/>
    <cellStyle name="Comma 2 4 3 5 4 3" xfId="15591"/>
    <cellStyle name="Comma 2 4 3 5 4 3 2" xfId="24606"/>
    <cellStyle name="Comma 2 4 3 5 4 3 2 2" xfId="44035"/>
    <cellStyle name="Comma 2 4 3 5 4 3 2 3" xfId="37612"/>
    <cellStyle name="Comma 2 4 3 5 4 3 3" xfId="28927"/>
    <cellStyle name="Comma 2 4 3 5 4 3 3 2" xfId="40828"/>
    <cellStyle name="Comma 2 4 3 5 4 3 4" xfId="32262"/>
    <cellStyle name="Comma 2 4 3 5 4 3 5" xfId="34404"/>
    <cellStyle name="Comma 2 4 3 5 4 4" xfId="8409"/>
    <cellStyle name="Comma 2 4 3 5 4 4 2" xfId="43014"/>
    <cellStyle name="Comma 2 4 3 5 4 4 3" xfId="36590"/>
    <cellStyle name="Comma 2 4 3 5 4 5" xfId="21398"/>
    <cellStyle name="Comma 2 4 3 5 4 5 2" xfId="39807"/>
    <cellStyle name="Comma 2 4 3 5 4 6" xfId="22471"/>
    <cellStyle name="Comma 2 4 3 5 4 7" xfId="23585"/>
    <cellStyle name="Comma 2 4 3 5 4 8" xfId="26793"/>
    <cellStyle name="Comma 2 4 3 5 4 9" xfId="30126"/>
    <cellStyle name="Comma 2 4 3 5 5" xfId="1160"/>
    <cellStyle name="Comma 2 4 3 5 5 10" xfId="33384"/>
    <cellStyle name="Comma 2 4 3 5 5 2" xfId="9930"/>
    <cellStyle name="Comma 2 4 3 5 5 2 2" xfId="25730"/>
    <cellStyle name="Comma 2 4 3 5 5 2 2 2" xfId="45157"/>
    <cellStyle name="Comma 2 4 3 5 5 2 2 3" xfId="38734"/>
    <cellStyle name="Comma 2 4 3 5 5 2 3" xfId="27908"/>
    <cellStyle name="Comma 2 4 3 5 5 2 3 2" xfId="41950"/>
    <cellStyle name="Comma 2 4 3 5 5 2 4" xfId="31243"/>
    <cellStyle name="Comma 2 4 3 5 5 2 5" xfId="35526"/>
    <cellStyle name="Comma 2 4 3 5 5 3" xfId="15592"/>
    <cellStyle name="Comma 2 4 3 5 5 3 2" xfId="24607"/>
    <cellStyle name="Comma 2 4 3 5 5 3 2 2" xfId="44036"/>
    <cellStyle name="Comma 2 4 3 5 5 3 2 3" xfId="37613"/>
    <cellStyle name="Comma 2 4 3 5 5 3 3" xfId="28928"/>
    <cellStyle name="Comma 2 4 3 5 5 3 3 2" xfId="40829"/>
    <cellStyle name="Comma 2 4 3 5 5 3 4" xfId="32263"/>
    <cellStyle name="Comma 2 4 3 5 5 3 5" xfId="34405"/>
    <cellStyle name="Comma 2 4 3 5 5 4" xfId="8410"/>
    <cellStyle name="Comma 2 4 3 5 5 4 2" xfId="43015"/>
    <cellStyle name="Comma 2 4 3 5 5 4 3" xfId="36591"/>
    <cellStyle name="Comma 2 4 3 5 5 5" xfId="21399"/>
    <cellStyle name="Comma 2 4 3 5 5 5 2" xfId="39808"/>
    <cellStyle name="Comma 2 4 3 5 5 6" xfId="22472"/>
    <cellStyle name="Comma 2 4 3 5 5 7" xfId="23586"/>
    <cellStyle name="Comma 2 4 3 5 5 8" xfId="26794"/>
    <cellStyle name="Comma 2 4 3 5 5 9" xfId="30127"/>
    <cellStyle name="Comma 2 4 3 5 6" xfId="9926"/>
    <cellStyle name="Comma 2 4 3 5 6 2" xfId="25726"/>
    <cellStyle name="Comma 2 4 3 5 6 2 2" xfId="45153"/>
    <cellStyle name="Comma 2 4 3 5 6 2 3" xfId="38730"/>
    <cellStyle name="Comma 2 4 3 5 6 3" xfId="27904"/>
    <cellStyle name="Comma 2 4 3 5 6 3 2" xfId="41946"/>
    <cellStyle name="Comma 2 4 3 5 6 4" xfId="31239"/>
    <cellStyle name="Comma 2 4 3 5 6 5" xfId="35522"/>
    <cellStyle name="Comma 2 4 3 5 7" xfId="15588"/>
    <cellStyle name="Comma 2 4 3 5 7 2" xfId="24603"/>
    <cellStyle name="Comma 2 4 3 5 7 2 2" xfId="44032"/>
    <cellStyle name="Comma 2 4 3 5 7 2 3" xfId="37609"/>
    <cellStyle name="Comma 2 4 3 5 7 3" xfId="28924"/>
    <cellStyle name="Comma 2 4 3 5 7 3 2" xfId="40825"/>
    <cellStyle name="Comma 2 4 3 5 7 4" xfId="32259"/>
    <cellStyle name="Comma 2 4 3 5 7 5" xfId="34401"/>
    <cellStyle name="Comma 2 4 3 5 8" xfId="8406"/>
    <cellStyle name="Comma 2 4 3 5 8 2" xfId="43011"/>
    <cellStyle name="Comma 2 4 3 5 8 3" xfId="36587"/>
    <cellStyle name="Comma 2 4 3 5 9" xfId="21395"/>
    <cellStyle name="Comma 2 4 3 5 9 2" xfId="39804"/>
    <cellStyle name="Comma 2 4 3 6" xfId="1161"/>
    <cellStyle name="Comma 2 4 3 6 10" xfId="22473"/>
    <cellStyle name="Comma 2 4 3 6 11" xfId="23587"/>
    <cellStyle name="Comma 2 4 3 6 12" xfId="26795"/>
    <cellStyle name="Comma 2 4 3 6 13" xfId="30128"/>
    <cellStyle name="Comma 2 4 3 6 14" xfId="33385"/>
    <cellStyle name="Comma 2 4 3 6 2" xfId="1162"/>
    <cellStyle name="Comma 2 4 3 6 2 10" xfId="33386"/>
    <cellStyle name="Comma 2 4 3 6 2 2" xfId="9932"/>
    <cellStyle name="Comma 2 4 3 6 2 2 2" xfId="25732"/>
    <cellStyle name="Comma 2 4 3 6 2 2 2 2" xfId="45159"/>
    <cellStyle name="Comma 2 4 3 6 2 2 2 3" xfId="38736"/>
    <cellStyle name="Comma 2 4 3 6 2 2 3" xfId="27910"/>
    <cellStyle name="Comma 2 4 3 6 2 2 3 2" xfId="41952"/>
    <cellStyle name="Comma 2 4 3 6 2 2 4" xfId="31245"/>
    <cellStyle name="Comma 2 4 3 6 2 2 5" xfId="35528"/>
    <cellStyle name="Comma 2 4 3 6 2 3" xfId="15594"/>
    <cellStyle name="Comma 2 4 3 6 2 3 2" xfId="24609"/>
    <cellStyle name="Comma 2 4 3 6 2 3 2 2" xfId="44038"/>
    <cellStyle name="Comma 2 4 3 6 2 3 2 3" xfId="37615"/>
    <cellStyle name="Comma 2 4 3 6 2 3 3" xfId="28930"/>
    <cellStyle name="Comma 2 4 3 6 2 3 3 2" xfId="40831"/>
    <cellStyle name="Comma 2 4 3 6 2 3 4" xfId="32265"/>
    <cellStyle name="Comma 2 4 3 6 2 3 5" xfId="34407"/>
    <cellStyle name="Comma 2 4 3 6 2 4" xfId="8412"/>
    <cellStyle name="Comma 2 4 3 6 2 4 2" xfId="43017"/>
    <cellStyle name="Comma 2 4 3 6 2 4 3" xfId="36593"/>
    <cellStyle name="Comma 2 4 3 6 2 5" xfId="21401"/>
    <cellStyle name="Comma 2 4 3 6 2 5 2" xfId="39810"/>
    <cellStyle name="Comma 2 4 3 6 2 6" xfId="22474"/>
    <cellStyle name="Comma 2 4 3 6 2 7" xfId="23588"/>
    <cellStyle name="Comma 2 4 3 6 2 8" xfId="26796"/>
    <cellStyle name="Comma 2 4 3 6 2 9" xfId="30129"/>
    <cellStyle name="Comma 2 4 3 6 3" xfId="1163"/>
    <cellStyle name="Comma 2 4 3 6 3 10" xfId="33387"/>
    <cellStyle name="Comma 2 4 3 6 3 2" xfId="9933"/>
    <cellStyle name="Comma 2 4 3 6 3 2 2" xfId="25733"/>
    <cellStyle name="Comma 2 4 3 6 3 2 2 2" xfId="45160"/>
    <cellStyle name="Comma 2 4 3 6 3 2 2 3" xfId="38737"/>
    <cellStyle name="Comma 2 4 3 6 3 2 3" xfId="27911"/>
    <cellStyle name="Comma 2 4 3 6 3 2 3 2" xfId="41953"/>
    <cellStyle name="Comma 2 4 3 6 3 2 4" xfId="31246"/>
    <cellStyle name="Comma 2 4 3 6 3 2 5" xfId="35529"/>
    <cellStyle name="Comma 2 4 3 6 3 3" xfId="15595"/>
    <cellStyle name="Comma 2 4 3 6 3 3 2" xfId="24610"/>
    <cellStyle name="Comma 2 4 3 6 3 3 2 2" xfId="44039"/>
    <cellStyle name="Comma 2 4 3 6 3 3 2 3" xfId="37616"/>
    <cellStyle name="Comma 2 4 3 6 3 3 3" xfId="28931"/>
    <cellStyle name="Comma 2 4 3 6 3 3 3 2" xfId="40832"/>
    <cellStyle name="Comma 2 4 3 6 3 3 4" xfId="32266"/>
    <cellStyle name="Comma 2 4 3 6 3 3 5" xfId="34408"/>
    <cellStyle name="Comma 2 4 3 6 3 4" xfId="8413"/>
    <cellStyle name="Comma 2 4 3 6 3 4 2" xfId="43018"/>
    <cellStyle name="Comma 2 4 3 6 3 4 3" xfId="36594"/>
    <cellStyle name="Comma 2 4 3 6 3 5" xfId="21402"/>
    <cellStyle name="Comma 2 4 3 6 3 5 2" xfId="39811"/>
    <cellStyle name="Comma 2 4 3 6 3 6" xfId="22475"/>
    <cellStyle name="Comma 2 4 3 6 3 7" xfId="23589"/>
    <cellStyle name="Comma 2 4 3 6 3 8" xfId="26797"/>
    <cellStyle name="Comma 2 4 3 6 3 9" xfId="30130"/>
    <cellStyle name="Comma 2 4 3 6 4" xfId="1164"/>
    <cellStyle name="Comma 2 4 3 6 4 10" xfId="33388"/>
    <cellStyle name="Comma 2 4 3 6 4 2" xfId="9934"/>
    <cellStyle name="Comma 2 4 3 6 4 2 2" xfId="25734"/>
    <cellStyle name="Comma 2 4 3 6 4 2 2 2" xfId="45161"/>
    <cellStyle name="Comma 2 4 3 6 4 2 2 3" xfId="38738"/>
    <cellStyle name="Comma 2 4 3 6 4 2 3" xfId="27912"/>
    <cellStyle name="Comma 2 4 3 6 4 2 3 2" xfId="41954"/>
    <cellStyle name="Comma 2 4 3 6 4 2 4" xfId="31247"/>
    <cellStyle name="Comma 2 4 3 6 4 2 5" xfId="35530"/>
    <cellStyle name="Comma 2 4 3 6 4 3" xfId="15596"/>
    <cellStyle name="Comma 2 4 3 6 4 3 2" xfId="24611"/>
    <cellStyle name="Comma 2 4 3 6 4 3 2 2" xfId="44040"/>
    <cellStyle name="Comma 2 4 3 6 4 3 2 3" xfId="37617"/>
    <cellStyle name="Comma 2 4 3 6 4 3 3" xfId="28932"/>
    <cellStyle name="Comma 2 4 3 6 4 3 3 2" xfId="40833"/>
    <cellStyle name="Comma 2 4 3 6 4 3 4" xfId="32267"/>
    <cellStyle name="Comma 2 4 3 6 4 3 5" xfId="34409"/>
    <cellStyle name="Comma 2 4 3 6 4 4" xfId="8414"/>
    <cellStyle name="Comma 2 4 3 6 4 4 2" xfId="43019"/>
    <cellStyle name="Comma 2 4 3 6 4 4 3" xfId="36595"/>
    <cellStyle name="Comma 2 4 3 6 4 5" xfId="21403"/>
    <cellStyle name="Comma 2 4 3 6 4 5 2" xfId="39812"/>
    <cellStyle name="Comma 2 4 3 6 4 6" xfId="22476"/>
    <cellStyle name="Comma 2 4 3 6 4 7" xfId="23590"/>
    <cellStyle name="Comma 2 4 3 6 4 8" xfId="26798"/>
    <cellStyle name="Comma 2 4 3 6 4 9" xfId="30131"/>
    <cellStyle name="Comma 2 4 3 6 5" xfId="1165"/>
    <cellStyle name="Comma 2 4 3 6 5 10" xfId="33389"/>
    <cellStyle name="Comma 2 4 3 6 5 2" xfId="9935"/>
    <cellStyle name="Comma 2 4 3 6 5 2 2" xfId="25735"/>
    <cellStyle name="Comma 2 4 3 6 5 2 2 2" xfId="45162"/>
    <cellStyle name="Comma 2 4 3 6 5 2 2 3" xfId="38739"/>
    <cellStyle name="Comma 2 4 3 6 5 2 3" xfId="27913"/>
    <cellStyle name="Comma 2 4 3 6 5 2 3 2" xfId="41955"/>
    <cellStyle name="Comma 2 4 3 6 5 2 4" xfId="31248"/>
    <cellStyle name="Comma 2 4 3 6 5 2 5" xfId="35531"/>
    <cellStyle name="Comma 2 4 3 6 5 3" xfId="15597"/>
    <cellStyle name="Comma 2 4 3 6 5 3 2" xfId="24612"/>
    <cellStyle name="Comma 2 4 3 6 5 3 2 2" xfId="44041"/>
    <cellStyle name="Comma 2 4 3 6 5 3 2 3" xfId="37618"/>
    <cellStyle name="Comma 2 4 3 6 5 3 3" xfId="28933"/>
    <cellStyle name="Comma 2 4 3 6 5 3 3 2" xfId="40834"/>
    <cellStyle name="Comma 2 4 3 6 5 3 4" xfId="32268"/>
    <cellStyle name="Comma 2 4 3 6 5 3 5" xfId="34410"/>
    <cellStyle name="Comma 2 4 3 6 5 4" xfId="8415"/>
    <cellStyle name="Comma 2 4 3 6 5 4 2" xfId="43020"/>
    <cellStyle name="Comma 2 4 3 6 5 4 3" xfId="36596"/>
    <cellStyle name="Comma 2 4 3 6 5 5" xfId="21404"/>
    <cellStyle name="Comma 2 4 3 6 5 5 2" xfId="39813"/>
    <cellStyle name="Comma 2 4 3 6 5 6" xfId="22477"/>
    <cellStyle name="Comma 2 4 3 6 5 7" xfId="23591"/>
    <cellStyle name="Comma 2 4 3 6 5 8" xfId="26799"/>
    <cellStyle name="Comma 2 4 3 6 5 9" xfId="30132"/>
    <cellStyle name="Comma 2 4 3 6 6" xfId="9931"/>
    <cellStyle name="Comma 2 4 3 6 6 2" xfId="25731"/>
    <cellStyle name="Comma 2 4 3 6 6 2 2" xfId="45158"/>
    <cellStyle name="Comma 2 4 3 6 6 2 3" xfId="38735"/>
    <cellStyle name="Comma 2 4 3 6 6 3" xfId="27909"/>
    <cellStyle name="Comma 2 4 3 6 6 3 2" xfId="41951"/>
    <cellStyle name="Comma 2 4 3 6 6 4" xfId="31244"/>
    <cellStyle name="Comma 2 4 3 6 6 5" xfId="35527"/>
    <cellStyle name="Comma 2 4 3 6 7" xfId="15593"/>
    <cellStyle name="Comma 2 4 3 6 7 2" xfId="24608"/>
    <cellStyle name="Comma 2 4 3 6 7 2 2" xfId="44037"/>
    <cellStyle name="Comma 2 4 3 6 7 2 3" xfId="37614"/>
    <cellStyle name="Comma 2 4 3 6 7 3" xfId="28929"/>
    <cellStyle name="Comma 2 4 3 6 7 3 2" xfId="40830"/>
    <cellStyle name="Comma 2 4 3 6 7 4" xfId="32264"/>
    <cellStyle name="Comma 2 4 3 6 7 5" xfId="34406"/>
    <cellStyle name="Comma 2 4 3 6 8" xfId="8411"/>
    <cellStyle name="Comma 2 4 3 6 8 2" xfId="43016"/>
    <cellStyle name="Comma 2 4 3 6 8 3" xfId="36592"/>
    <cellStyle name="Comma 2 4 3 6 9" xfId="21400"/>
    <cellStyle name="Comma 2 4 3 6 9 2" xfId="39809"/>
    <cellStyle name="Comma 2 4 3 7" xfId="1166"/>
    <cellStyle name="Comma 2 4 3 7 10" xfId="33390"/>
    <cellStyle name="Comma 2 4 3 7 2" xfId="9936"/>
    <cellStyle name="Comma 2 4 3 7 2 2" xfId="25736"/>
    <cellStyle name="Comma 2 4 3 7 2 2 2" xfId="45163"/>
    <cellStyle name="Comma 2 4 3 7 2 2 3" xfId="38740"/>
    <cellStyle name="Comma 2 4 3 7 2 3" xfId="27914"/>
    <cellStyle name="Comma 2 4 3 7 2 3 2" xfId="41956"/>
    <cellStyle name="Comma 2 4 3 7 2 4" xfId="31249"/>
    <cellStyle name="Comma 2 4 3 7 2 5" xfId="35532"/>
    <cellStyle name="Comma 2 4 3 7 3" xfId="15598"/>
    <cellStyle name="Comma 2 4 3 7 3 2" xfId="24613"/>
    <cellStyle name="Comma 2 4 3 7 3 2 2" xfId="44042"/>
    <cellStyle name="Comma 2 4 3 7 3 2 3" xfId="37619"/>
    <cellStyle name="Comma 2 4 3 7 3 3" xfId="28934"/>
    <cellStyle name="Comma 2 4 3 7 3 3 2" xfId="40835"/>
    <cellStyle name="Comma 2 4 3 7 3 4" xfId="32269"/>
    <cellStyle name="Comma 2 4 3 7 3 5" xfId="34411"/>
    <cellStyle name="Comma 2 4 3 7 4" xfId="8416"/>
    <cellStyle name="Comma 2 4 3 7 4 2" xfId="43021"/>
    <cellStyle name="Comma 2 4 3 7 4 3" xfId="36597"/>
    <cellStyle name="Comma 2 4 3 7 5" xfId="21405"/>
    <cellStyle name="Comma 2 4 3 7 5 2" xfId="39814"/>
    <cellStyle name="Comma 2 4 3 7 6" xfId="22478"/>
    <cellStyle name="Comma 2 4 3 7 7" xfId="23592"/>
    <cellStyle name="Comma 2 4 3 7 8" xfId="26800"/>
    <cellStyle name="Comma 2 4 3 7 9" xfId="30133"/>
    <cellStyle name="Comma 2 4 3 8" xfId="1167"/>
    <cellStyle name="Comma 2 4 3 8 10" xfId="33391"/>
    <cellStyle name="Comma 2 4 3 8 2" xfId="9937"/>
    <cellStyle name="Comma 2 4 3 8 2 2" xfId="25737"/>
    <cellStyle name="Comma 2 4 3 8 2 2 2" xfId="45164"/>
    <cellStyle name="Comma 2 4 3 8 2 2 3" xfId="38741"/>
    <cellStyle name="Comma 2 4 3 8 2 3" xfId="27915"/>
    <cellStyle name="Comma 2 4 3 8 2 3 2" xfId="41957"/>
    <cellStyle name="Comma 2 4 3 8 2 4" xfId="31250"/>
    <cellStyle name="Comma 2 4 3 8 2 5" xfId="35533"/>
    <cellStyle name="Comma 2 4 3 8 3" xfId="15599"/>
    <cellStyle name="Comma 2 4 3 8 3 2" xfId="24614"/>
    <cellStyle name="Comma 2 4 3 8 3 2 2" xfId="44043"/>
    <cellStyle name="Comma 2 4 3 8 3 2 3" xfId="37620"/>
    <cellStyle name="Comma 2 4 3 8 3 3" xfId="28935"/>
    <cellStyle name="Comma 2 4 3 8 3 3 2" xfId="40836"/>
    <cellStyle name="Comma 2 4 3 8 3 4" xfId="32270"/>
    <cellStyle name="Comma 2 4 3 8 3 5" xfId="34412"/>
    <cellStyle name="Comma 2 4 3 8 4" xfId="8417"/>
    <cellStyle name="Comma 2 4 3 8 4 2" xfId="43022"/>
    <cellStyle name="Comma 2 4 3 8 4 3" xfId="36598"/>
    <cellStyle name="Comma 2 4 3 8 5" xfId="21406"/>
    <cellStyle name="Comma 2 4 3 8 5 2" xfId="39815"/>
    <cellStyle name="Comma 2 4 3 8 6" xfId="22479"/>
    <cellStyle name="Comma 2 4 3 8 7" xfId="23593"/>
    <cellStyle name="Comma 2 4 3 8 8" xfId="26801"/>
    <cellStyle name="Comma 2 4 3 8 9" xfId="30134"/>
    <cellStyle name="Comma 2 4 3 9" xfId="1168"/>
    <cellStyle name="Comma 2 4 3 9 10" xfId="33392"/>
    <cellStyle name="Comma 2 4 3 9 2" xfId="9938"/>
    <cellStyle name="Comma 2 4 3 9 2 2" xfId="25738"/>
    <cellStyle name="Comma 2 4 3 9 2 2 2" xfId="45165"/>
    <cellStyle name="Comma 2 4 3 9 2 2 3" xfId="38742"/>
    <cellStyle name="Comma 2 4 3 9 2 3" xfId="27916"/>
    <cellStyle name="Comma 2 4 3 9 2 3 2" xfId="41958"/>
    <cellStyle name="Comma 2 4 3 9 2 4" xfId="31251"/>
    <cellStyle name="Comma 2 4 3 9 2 5" xfId="35534"/>
    <cellStyle name="Comma 2 4 3 9 3" xfId="15600"/>
    <cellStyle name="Comma 2 4 3 9 3 2" xfId="24615"/>
    <cellStyle name="Comma 2 4 3 9 3 2 2" xfId="44044"/>
    <cellStyle name="Comma 2 4 3 9 3 2 3" xfId="37621"/>
    <cellStyle name="Comma 2 4 3 9 3 3" xfId="28936"/>
    <cellStyle name="Comma 2 4 3 9 3 3 2" xfId="40837"/>
    <cellStyle name="Comma 2 4 3 9 3 4" xfId="32271"/>
    <cellStyle name="Comma 2 4 3 9 3 5" xfId="34413"/>
    <cellStyle name="Comma 2 4 3 9 4" xfId="8418"/>
    <cellStyle name="Comma 2 4 3 9 4 2" xfId="43023"/>
    <cellStyle name="Comma 2 4 3 9 4 3" xfId="36599"/>
    <cellStyle name="Comma 2 4 3 9 5" xfId="21407"/>
    <cellStyle name="Comma 2 4 3 9 5 2" xfId="39816"/>
    <cellStyle name="Comma 2 4 3 9 6" xfId="22480"/>
    <cellStyle name="Comma 2 4 3 9 7" xfId="23594"/>
    <cellStyle name="Comma 2 4 3 9 8" xfId="26802"/>
    <cellStyle name="Comma 2 4 3 9 9" xfId="30135"/>
    <cellStyle name="Comma 2 4 4" xfId="261"/>
    <cellStyle name="Comma 2 4 4 10" xfId="1169"/>
    <cellStyle name="Comma 2 4 4 10 10" xfId="33393"/>
    <cellStyle name="Comma 2 4 4 10 2" xfId="9939"/>
    <cellStyle name="Comma 2 4 4 10 2 2" xfId="25739"/>
    <cellStyle name="Comma 2 4 4 10 2 2 2" xfId="45166"/>
    <cellStyle name="Comma 2 4 4 10 2 2 3" xfId="38743"/>
    <cellStyle name="Comma 2 4 4 10 2 3" xfId="27917"/>
    <cellStyle name="Comma 2 4 4 10 2 3 2" xfId="41959"/>
    <cellStyle name="Comma 2 4 4 10 2 4" xfId="31252"/>
    <cellStyle name="Comma 2 4 4 10 2 5" xfId="35535"/>
    <cellStyle name="Comma 2 4 4 10 3" xfId="15602"/>
    <cellStyle name="Comma 2 4 4 10 3 2" xfId="24617"/>
    <cellStyle name="Comma 2 4 4 10 3 2 2" xfId="44046"/>
    <cellStyle name="Comma 2 4 4 10 3 2 3" xfId="37623"/>
    <cellStyle name="Comma 2 4 4 10 3 3" xfId="28938"/>
    <cellStyle name="Comma 2 4 4 10 3 3 2" xfId="40839"/>
    <cellStyle name="Comma 2 4 4 10 3 4" xfId="32273"/>
    <cellStyle name="Comma 2 4 4 10 3 5" xfId="34415"/>
    <cellStyle name="Comma 2 4 4 10 4" xfId="8420"/>
    <cellStyle name="Comma 2 4 4 10 4 2" xfId="43024"/>
    <cellStyle name="Comma 2 4 4 10 4 3" xfId="36600"/>
    <cellStyle name="Comma 2 4 4 10 5" xfId="21409"/>
    <cellStyle name="Comma 2 4 4 10 5 2" xfId="39817"/>
    <cellStyle name="Comma 2 4 4 10 6" xfId="22482"/>
    <cellStyle name="Comma 2 4 4 10 7" xfId="23595"/>
    <cellStyle name="Comma 2 4 4 10 8" xfId="26804"/>
    <cellStyle name="Comma 2 4 4 10 9" xfId="30137"/>
    <cellStyle name="Comma 2 4 4 11" xfId="9118"/>
    <cellStyle name="Comma 2 4 4 11 2" xfId="25172"/>
    <cellStyle name="Comma 2 4 4 11 2 2" xfId="44599"/>
    <cellStyle name="Comma 2 4 4 11 2 3" xfId="38176"/>
    <cellStyle name="Comma 2 4 4 11 3" xfId="27351"/>
    <cellStyle name="Comma 2 4 4 11 3 2" xfId="41392"/>
    <cellStyle name="Comma 2 4 4 11 4" xfId="30686"/>
    <cellStyle name="Comma 2 4 4 11 5" xfId="34968"/>
    <cellStyle name="Comma 2 4 4 12" xfId="15601"/>
    <cellStyle name="Comma 2 4 4 12 2" xfId="24616"/>
    <cellStyle name="Comma 2 4 4 12 2 2" xfId="44045"/>
    <cellStyle name="Comma 2 4 4 12 2 3" xfId="37622"/>
    <cellStyle name="Comma 2 4 4 12 3" xfId="28937"/>
    <cellStyle name="Comma 2 4 4 12 3 2" xfId="40838"/>
    <cellStyle name="Comma 2 4 4 12 4" xfId="32272"/>
    <cellStyle name="Comma 2 4 4 12 5" xfId="34414"/>
    <cellStyle name="Comma 2 4 4 13" xfId="8419"/>
    <cellStyle name="Comma 2 4 4 13 2" xfId="42462"/>
    <cellStyle name="Comma 2 4 4 13 3" xfId="36038"/>
    <cellStyle name="Comma 2 4 4 14" xfId="21408"/>
    <cellStyle name="Comma 2 4 4 14 2" xfId="39255"/>
    <cellStyle name="Comma 2 4 4 15" xfId="22481"/>
    <cellStyle name="Comma 2 4 4 16" xfId="23033"/>
    <cellStyle name="Comma 2 4 4 17" xfId="26803"/>
    <cellStyle name="Comma 2 4 4 18" xfId="30136"/>
    <cellStyle name="Comma 2 4 4 19" xfId="32831"/>
    <cellStyle name="Comma 2 4 4 2" xfId="254"/>
    <cellStyle name="Comma 2 4 4 2 10" xfId="15603"/>
    <cellStyle name="Comma 2 4 4 2 10 2" xfId="24618"/>
    <cellStyle name="Comma 2 4 4 2 10 2 2" xfId="44047"/>
    <cellStyle name="Comma 2 4 4 2 10 2 3" xfId="37624"/>
    <cellStyle name="Comma 2 4 4 2 10 3" xfId="28939"/>
    <cellStyle name="Comma 2 4 4 2 10 3 2" xfId="40840"/>
    <cellStyle name="Comma 2 4 4 2 10 4" xfId="32274"/>
    <cellStyle name="Comma 2 4 4 2 10 5" xfId="34416"/>
    <cellStyle name="Comma 2 4 4 2 11" xfId="8421"/>
    <cellStyle name="Comma 2 4 4 2 11 2" xfId="42457"/>
    <cellStyle name="Comma 2 4 4 2 11 3" xfId="36033"/>
    <cellStyle name="Comma 2 4 4 2 12" xfId="21410"/>
    <cellStyle name="Comma 2 4 4 2 12 2" xfId="39250"/>
    <cellStyle name="Comma 2 4 4 2 13" xfId="22483"/>
    <cellStyle name="Comma 2 4 4 2 14" xfId="23028"/>
    <cellStyle name="Comma 2 4 4 2 15" xfId="26805"/>
    <cellStyle name="Comma 2 4 4 2 16" xfId="30138"/>
    <cellStyle name="Comma 2 4 4 2 17" xfId="32826"/>
    <cellStyle name="Comma 2 4 4 2 2" xfId="251"/>
    <cellStyle name="Comma 2 4 4 2 2 10" xfId="21411"/>
    <cellStyle name="Comma 2 4 4 2 2 10 2" xfId="39247"/>
    <cellStyle name="Comma 2 4 4 2 2 11" xfId="22484"/>
    <cellStyle name="Comma 2 4 4 2 2 12" xfId="23025"/>
    <cellStyle name="Comma 2 4 4 2 2 13" xfId="26806"/>
    <cellStyle name="Comma 2 4 4 2 2 14" xfId="30139"/>
    <cellStyle name="Comma 2 4 4 2 2 15" xfId="32823"/>
    <cellStyle name="Comma 2 4 4 2 2 2" xfId="1170"/>
    <cellStyle name="Comma 2 4 4 2 2 2 10" xfId="33394"/>
    <cellStyle name="Comma 2 4 4 2 2 2 2" xfId="9940"/>
    <cellStyle name="Comma 2 4 4 2 2 2 2 2" xfId="25740"/>
    <cellStyle name="Comma 2 4 4 2 2 2 2 2 2" xfId="45167"/>
    <cellStyle name="Comma 2 4 4 2 2 2 2 2 3" xfId="38744"/>
    <cellStyle name="Comma 2 4 4 2 2 2 2 3" xfId="27918"/>
    <cellStyle name="Comma 2 4 4 2 2 2 2 3 2" xfId="41960"/>
    <cellStyle name="Comma 2 4 4 2 2 2 2 4" xfId="31253"/>
    <cellStyle name="Comma 2 4 4 2 2 2 2 5" xfId="35536"/>
    <cellStyle name="Comma 2 4 4 2 2 2 3" xfId="15605"/>
    <cellStyle name="Comma 2 4 4 2 2 2 3 2" xfId="24620"/>
    <cellStyle name="Comma 2 4 4 2 2 2 3 2 2" xfId="44049"/>
    <cellStyle name="Comma 2 4 4 2 2 2 3 2 3" xfId="37626"/>
    <cellStyle name="Comma 2 4 4 2 2 2 3 3" xfId="28941"/>
    <cellStyle name="Comma 2 4 4 2 2 2 3 3 2" xfId="40842"/>
    <cellStyle name="Comma 2 4 4 2 2 2 3 4" xfId="32276"/>
    <cellStyle name="Comma 2 4 4 2 2 2 3 5" xfId="34418"/>
    <cellStyle name="Comma 2 4 4 2 2 2 4" xfId="8423"/>
    <cellStyle name="Comma 2 4 4 2 2 2 4 2" xfId="43025"/>
    <cellStyle name="Comma 2 4 4 2 2 2 4 3" xfId="36601"/>
    <cellStyle name="Comma 2 4 4 2 2 2 5" xfId="21412"/>
    <cellStyle name="Comma 2 4 4 2 2 2 5 2" xfId="39818"/>
    <cellStyle name="Comma 2 4 4 2 2 2 6" xfId="22485"/>
    <cellStyle name="Comma 2 4 4 2 2 2 7" xfId="23596"/>
    <cellStyle name="Comma 2 4 4 2 2 2 8" xfId="26807"/>
    <cellStyle name="Comma 2 4 4 2 2 2 9" xfId="30140"/>
    <cellStyle name="Comma 2 4 4 2 2 3" xfId="1171"/>
    <cellStyle name="Comma 2 4 4 2 2 3 10" xfId="33395"/>
    <cellStyle name="Comma 2 4 4 2 2 3 2" xfId="9941"/>
    <cellStyle name="Comma 2 4 4 2 2 3 2 2" xfId="25741"/>
    <cellStyle name="Comma 2 4 4 2 2 3 2 2 2" xfId="45168"/>
    <cellStyle name="Comma 2 4 4 2 2 3 2 2 3" xfId="38745"/>
    <cellStyle name="Comma 2 4 4 2 2 3 2 3" xfId="27919"/>
    <cellStyle name="Comma 2 4 4 2 2 3 2 3 2" xfId="41961"/>
    <cellStyle name="Comma 2 4 4 2 2 3 2 4" xfId="31254"/>
    <cellStyle name="Comma 2 4 4 2 2 3 2 5" xfId="35537"/>
    <cellStyle name="Comma 2 4 4 2 2 3 3" xfId="15606"/>
    <cellStyle name="Comma 2 4 4 2 2 3 3 2" xfId="24621"/>
    <cellStyle name="Comma 2 4 4 2 2 3 3 2 2" xfId="44050"/>
    <cellStyle name="Comma 2 4 4 2 2 3 3 2 3" xfId="37627"/>
    <cellStyle name="Comma 2 4 4 2 2 3 3 3" xfId="28942"/>
    <cellStyle name="Comma 2 4 4 2 2 3 3 3 2" xfId="40843"/>
    <cellStyle name="Comma 2 4 4 2 2 3 3 4" xfId="32277"/>
    <cellStyle name="Comma 2 4 4 2 2 3 3 5" xfId="34419"/>
    <cellStyle name="Comma 2 4 4 2 2 3 4" xfId="8424"/>
    <cellStyle name="Comma 2 4 4 2 2 3 4 2" xfId="43026"/>
    <cellStyle name="Comma 2 4 4 2 2 3 4 3" xfId="36602"/>
    <cellStyle name="Comma 2 4 4 2 2 3 5" xfId="21413"/>
    <cellStyle name="Comma 2 4 4 2 2 3 5 2" xfId="39819"/>
    <cellStyle name="Comma 2 4 4 2 2 3 6" xfId="22486"/>
    <cellStyle name="Comma 2 4 4 2 2 3 7" xfId="23597"/>
    <cellStyle name="Comma 2 4 4 2 2 3 8" xfId="26808"/>
    <cellStyle name="Comma 2 4 4 2 2 3 9" xfId="30141"/>
    <cellStyle name="Comma 2 4 4 2 2 4" xfId="1172"/>
    <cellStyle name="Comma 2 4 4 2 2 4 10" xfId="33396"/>
    <cellStyle name="Comma 2 4 4 2 2 4 2" xfId="9942"/>
    <cellStyle name="Comma 2 4 4 2 2 4 2 2" xfId="25742"/>
    <cellStyle name="Comma 2 4 4 2 2 4 2 2 2" xfId="45169"/>
    <cellStyle name="Comma 2 4 4 2 2 4 2 2 3" xfId="38746"/>
    <cellStyle name="Comma 2 4 4 2 2 4 2 3" xfId="27920"/>
    <cellStyle name="Comma 2 4 4 2 2 4 2 3 2" xfId="41962"/>
    <cellStyle name="Comma 2 4 4 2 2 4 2 4" xfId="31255"/>
    <cellStyle name="Comma 2 4 4 2 2 4 2 5" xfId="35538"/>
    <cellStyle name="Comma 2 4 4 2 2 4 3" xfId="15607"/>
    <cellStyle name="Comma 2 4 4 2 2 4 3 2" xfId="24622"/>
    <cellStyle name="Comma 2 4 4 2 2 4 3 2 2" xfId="44051"/>
    <cellStyle name="Comma 2 4 4 2 2 4 3 2 3" xfId="37628"/>
    <cellStyle name="Comma 2 4 4 2 2 4 3 3" xfId="28943"/>
    <cellStyle name="Comma 2 4 4 2 2 4 3 3 2" xfId="40844"/>
    <cellStyle name="Comma 2 4 4 2 2 4 3 4" xfId="32278"/>
    <cellStyle name="Comma 2 4 4 2 2 4 3 5" xfId="34420"/>
    <cellStyle name="Comma 2 4 4 2 2 4 4" xfId="8425"/>
    <cellStyle name="Comma 2 4 4 2 2 4 4 2" xfId="43027"/>
    <cellStyle name="Comma 2 4 4 2 2 4 4 3" xfId="36603"/>
    <cellStyle name="Comma 2 4 4 2 2 4 5" xfId="21414"/>
    <cellStyle name="Comma 2 4 4 2 2 4 5 2" xfId="39820"/>
    <cellStyle name="Comma 2 4 4 2 2 4 6" xfId="22487"/>
    <cellStyle name="Comma 2 4 4 2 2 4 7" xfId="23598"/>
    <cellStyle name="Comma 2 4 4 2 2 4 8" xfId="26809"/>
    <cellStyle name="Comma 2 4 4 2 2 4 9" xfId="30142"/>
    <cellStyle name="Comma 2 4 4 2 2 5" xfId="1173"/>
    <cellStyle name="Comma 2 4 4 2 2 5 10" xfId="33397"/>
    <cellStyle name="Comma 2 4 4 2 2 5 2" xfId="9943"/>
    <cellStyle name="Comma 2 4 4 2 2 5 2 2" xfId="25743"/>
    <cellStyle name="Comma 2 4 4 2 2 5 2 2 2" xfId="45170"/>
    <cellStyle name="Comma 2 4 4 2 2 5 2 2 3" xfId="38747"/>
    <cellStyle name="Comma 2 4 4 2 2 5 2 3" xfId="27921"/>
    <cellStyle name="Comma 2 4 4 2 2 5 2 3 2" xfId="41963"/>
    <cellStyle name="Comma 2 4 4 2 2 5 2 4" xfId="31256"/>
    <cellStyle name="Comma 2 4 4 2 2 5 2 5" xfId="35539"/>
    <cellStyle name="Comma 2 4 4 2 2 5 3" xfId="15608"/>
    <cellStyle name="Comma 2 4 4 2 2 5 3 2" xfId="24623"/>
    <cellStyle name="Comma 2 4 4 2 2 5 3 2 2" xfId="44052"/>
    <cellStyle name="Comma 2 4 4 2 2 5 3 2 3" xfId="37629"/>
    <cellStyle name="Comma 2 4 4 2 2 5 3 3" xfId="28944"/>
    <cellStyle name="Comma 2 4 4 2 2 5 3 3 2" xfId="40845"/>
    <cellStyle name="Comma 2 4 4 2 2 5 3 4" xfId="32279"/>
    <cellStyle name="Comma 2 4 4 2 2 5 3 5" xfId="34421"/>
    <cellStyle name="Comma 2 4 4 2 2 5 4" xfId="8426"/>
    <cellStyle name="Comma 2 4 4 2 2 5 4 2" xfId="43028"/>
    <cellStyle name="Comma 2 4 4 2 2 5 4 3" xfId="36604"/>
    <cellStyle name="Comma 2 4 4 2 2 5 5" xfId="21415"/>
    <cellStyle name="Comma 2 4 4 2 2 5 5 2" xfId="39821"/>
    <cellStyle name="Comma 2 4 4 2 2 5 6" xfId="22488"/>
    <cellStyle name="Comma 2 4 4 2 2 5 7" xfId="23599"/>
    <cellStyle name="Comma 2 4 4 2 2 5 8" xfId="26810"/>
    <cellStyle name="Comma 2 4 4 2 2 5 9" xfId="30143"/>
    <cellStyle name="Comma 2 4 4 2 2 6" xfId="1174"/>
    <cellStyle name="Comma 2 4 4 2 2 6 10" xfId="33398"/>
    <cellStyle name="Comma 2 4 4 2 2 6 2" xfId="9944"/>
    <cellStyle name="Comma 2 4 4 2 2 6 2 2" xfId="25744"/>
    <cellStyle name="Comma 2 4 4 2 2 6 2 2 2" xfId="45171"/>
    <cellStyle name="Comma 2 4 4 2 2 6 2 2 3" xfId="38748"/>
    <cellStyle name="Comma 2 4 4 2 2 6 2 3" xfId="27922"/>
    <cellStyle name="Comma 2 4 4 2 2 6 2 3 2" xfId="41964"/>
    <cellStyle name="Comma 2 4 4 2 2 6 2 4" xfId="31257"/>
    <cellStyle name="Comma 2 4 4 2 2 6 2 5" xfId="35540"/>
    <cellStyle name="Comma 2 4 4 2 2 6 3" xfId="15609"/>
    <cellStyle name="Comma 2 4 4 2 2 6 3 2" xfId="24624"/>
    <cellStyle name="Comma 2 4 4 2 2 6 3 2 2" xfId="44053"/>
    <cellStyle name="Comma 2 4 4 2 2 6 3 2 3" xfId="37630"/>
    <cellStyle name="Comma 2 4 4 2 2 6 3 3" xfId="28945"/>
    <cellStyle name="Comma 2 4 4 2 2 6 3 3 2" xfId="40846"/>
    <cellStyle name="Comma 2 4 4 2 2 6 3 4" xfId="32280"/>
    <cellStyle name="Comma 2 4 4 2 2 6 3 5" xfId="34422"/>
    <cellStyle name="Comma 2 4 4 2 2 6 4" xfId="8427"/>
    <cellStyle name="Comma 2 4 4 2 2 6 4 2" xfId="43029"/>
    <cellStyle name="Comma 2 4 4 2 2 6 4 3" xfId="36605"/>
    <cellStyle name="Comma 2 4 4 2 2 6 5" xfId="21416"/>
    <cellStyle name="Comma 2 4 4 2 2 6 5 2" xfId="39822"/>
    <cellStyle name="Comma 2 4 4 2 2 6 6" xfId="22489"/>
    <cellStyle name="Comma 2 4 4 2 2 6 7" xfId="23600"/>
    <cellStyle name="Comma 2 4 4 2 2 6 8" xfId="26811"/>
    <cellStyle name="Comma 2 4 4 2 2 6 9" xfId="30144"/>
    <cellStyle name="Comma 2 4 4 2 2 7" xfId="9110"/>
    <cellStyle name="Comma 2 4 4 2 2 7 2" xfId="25164"/>
    <cellStyle name="Comma 2 4 4 2 2 7 2 2" xfId="44591"/>
    <cellStyle name="Comma 2 4 4 2 2 7 2 3" xfId="38168"/>
    <cellStyle name="Comma 2 4 4 2 2 7 3" xfId="27343"/>
    <cellStyle name="Comma 2 4 4 2 2 7 3 2" xfId="41384"/>
    <cellStyle name="Comma 2 4 4 2 2 7 4" xfId="30678"/>
    <cellStyle name="Comma 2 4 4 2 2 7 5" xfId="34960"/>
    <cellStyle name="Comma 2 4 4 2 2 8" xfId="15604"/>
    <cellStyle name="Comma 2 4 4 2 2 8 2" xfId="24619"/>
    <cellStyle name="Comma 2 4 4 2 2 8 2 2" xfId="44048"/>
    <cellStyle name="Comma 2 4 4 2 2 8 2 3" xfId="37625"/>
    <cellStyle name="Comma 2 4 4 2 2 8 3" xfId="28940"/>
    <cellStyle name="Comma 2 4 4 2 2 8 3 2" xfId="40841"/>
    <cellStyle name="Comma 2 4 4 2 2 8 4" xfId="32275"/>
    <cellStyle name="Comma 2 4 4 2 2 8 5" xfId="34417"/>
    <cellStyle name="Comma 2 4 4 2 2 9" xfId="8422"/>
    <cellStyle name="Comma 2 4 4 2 2 9 2" xfId="42454"/>
    <cellStyle name="Comma 2 4 4 2 2 9 3" xfId="36030"/>
    <cellStyle name="Comma 2 4 4 2 3" xfId="1175"/>
    <cellStyle name="Comma 2 4 4 2 3 10" xfId="22490"/>
    <cellStyle name="Comma 2 4 4 2 3 11" xfId="23601"/>
    <cellStyle name="Comma 2 4 4 2 3 12" xfId="26812"/>
    <cellStyle name="Comma 2 4 4 2 3 13" xfId="30145"/>
    <cellStyle name="Comma 2 4 4 2 3 14" xfId="33399"/>
    <cellStyle name="Comma 2 4 4 2 3 2" xfId="1176"/>
    <cellStyle name="Comma 2 4 4 2 3 2 10" xfId="33400"/>
    <cellStyle name="Comma 2 4 4 2 3 2 2" xfId="9946"/>
    <cellStyle name="Comma 2 4 4 2 3 2 2 2" xfId="25746"/>
    <cellStyle name="Comma 2 4 4 2 3 2 2 2 2" xfId="45173"/>
    <cellStyle name="Comma 2 4 4 2 3 2 2 2 3" xfId="38750"/>
    <cellStyle name="Comma 2 4 4 2 3 2 2 3" xfId="27924"/>
    <cellStyle name="Comma 2 4 4 2 3 2 2 3 2" xfId="41966"/>
    <cellStyle name="Comma 2 4 4 2 3 2 2 4" xfId="31259"/>
    <cellStyle name="Comma 2 4 4 2 3 2 2 5" xfId="35542"/>
    <cellStyle name="Comma 2 4 4 2 3 2 3" xfId="15611"/>
    <cellStyle name="Comma 2 4 4 2 3 2 3 2" xfId="24626"/>
    <cellStyle name="Comma 2 4 4 2 3 2 3 2 2" xfId="44055"/>
    <cellStyle name="Comma 2 4 4 2 3 2 3 2 3" xfId="37632"/>
    <cellStyle name="Comma 2 4 4 2 3 2 3 3" xfId="28947"/>
    <cellStyle name="Comma 2 4 4 2 3 2 3 3 2" xfId="40848"/>
    <cellStyle name="Comma 2 4 4 2 3 2 3 4" xfId="32282"/>
    <cellStyle name="Comma 2 4 4 2 3 2 3 5" xfId="34424"/>
    <cellStyle name="Comma 2 4 4 2 3 2 4" xfId="8429"/>
    <cellStyle name="Comma 2 4 4 2 3 2 4 2" xfId="43031"/>
    <cellStyle name="Comma 2 4 4 2 3 2 4 3" xfId="36607"/>
    <cellStyle name="Comma 2 4 4 2 3 2 5" xfId="21418"/>
    <cellStyle name="Comma 2 4 4 2 3 2 5 2" xfId="39824"/>
    <cellStyle name="Comma 2 4 4 2 3 2 6" xfId="22491"/>
    <cellStyle name="Comma 2 4 4 2 3 2 7" xfId="23602"/>
    <cellStyle name="Comma 2 4 4 2 3 2 8" xfId="26813"/>
    <cellStyle name="Comma 2 4 4 2 3 2 9" xfId="30146"/>
    <cellStyle name="Comma 2 4 4 2 3 3" xfId="1177"/>
    <cellStyle name="Comma 2 4 4 2 3 3 10" xfId="33401"/>
    <cellStyle name="Comma 2 4 4 2 3 3 2" xfId="9947"/>
    <cellStyle name="Comma 2 4 4 2 3 3 2 2" xfId="25747"/>
    <cellStyle name="Comma 2 4 4 2 3 3 2 2 2" xfId="45174"/>
    <cellStyle name="Comma 2 4 4 2 3 3 2 2 3" xfId="38751"/>
    <cellStyle name="Comma 2 4 4 2 3 3 2 3" xfId="27925"/>
    <cellStyle name="Comma 2 4 4 2 3 3 2 3 2" xfId="41967"/>
    <cellStyle name="Comma 2 4 4 2 3 3 2 4" xfId="31260"/>
    <cellStyle name="Comma 2 4 4 2 3 3 2 5" xfId="35543"/>
    <cellStyle name="Comma 2 4 4 2 3 3 3" xfId="15612"/>
    <cellStyle name="Comma 2 4 4 2 3 3 3 2" xfId="24627"/>
    <cellStyle name="Comma 2 4 4 2 3 3 3 2 2" xfId="44056"/>
    <cellStyle name="Comma 2 4 4 2 3 3 3 2 3" xfId="37633"/>
    <cellStyle name="Comma 2 4 4 2 3 3 3 3" xfId="28948"/>
    <cellStyle name="Comma 2 4 4 2 3 3 3 3 2" xfId="40849"/>
    <cellStyle name="Comma 2 4 4 2 3 3 3 4" xfId="32283"/>
    <cellStyle name="Comma 2 4 4 2 3 3 3 5" xfId="34425"/>
    <cellStyle name="Comma 2 4 4 2 3 3 4" xfId="8430"/>
    <cellStyle name="Comma 2 4 4 2 3 3 4 2" xfId="43032"/>
    <cellStyle name="Comma 2 4 4 2 3 3 4 3" xfId="36608"/>
    <cellStyle name="Comma 2 4 4 2 3 3 5" xfId="21419"/>
    <cellStyle name="Comma 2 4 4 2 3 3 5 2" xfId="39825"/>
    <cellStyle name="Comma 2 4 4 2 3 3 6" xfId="22492"/>
    <cellStyle name="Comma 2 4 4 2 3 3 7" xfId="23603"/>
    <cellStyle name="Comma 2 4 4 2 3 3 8" xfId="26814"/>
    <cellStyle name="Comma 2 4 4 2 3 3 9" xfId="30147"/>
    <cellStyle name="Comma 2 4 4 2 3 4" xfId="1178"/>
    <cellStyle name="Comma 2 4 4 2 3 4 10" xfId="33402"/>
    <cellStyle name="Comma 2 4 4 2 3 4 2" xfId="9948"/>
    <cellStyle name="Comma 2 4 4 2 3 4 2 2" xfId="25748"/>
    <cellStyle name="Comma 2 4 4 2 3 4 2 2 2" xfId="45175"/>
    <cellStyle name="Comma 2 4 4 2 3 4 2 2 3" xfId="38752"/>
    <cellStyle name="Comma 2 4 4 2 3 4 2 3" xfId="27926"/>
    <cellStyle name="Comma 2 4 4 2 3 4 2 3 2" xfId="41968"/>
    <cellStyle name="Comma 2 4 4 2 3 4 2 4" xfId="31261"/>
    <cellStyle name="Comma 2 4 4 2 3 4 2 5" xfId="35544"/>
    <cellStyle name="Comma 2 4 4 2 3 4 3" xfId="15613"/>
    <cellStyle name="Comma 2 4 4 2 3 4 3 2" xfId="24628"/>
    <cellStyle name="Comma 2 4 4 2 3 4 3 2 2" xfId="44057"/>
    <cellStyle name="Comma 2 4 4 2 3 4 3 2 3" xfId="37634"/>
    <cellStyle name="Comma 2 4 4 2 3 4 3 3" xfId="28949"/>
    <cellStyle name="Comma 2 4 4 2 3 4 3 3 2" xfId="40850"/>
    <cellStyle name="Comma 2 4 4 2 3 4 3 4" xfId="32284"/>
    <cellStyle name="Comma 2 4 4 2 3 4 3 5" xfId="34426"/>
    <cellStyle name="Comma 2 4 4 2 3 4 4" xfId="8431"/>
    <cellStyle name="Comma 2 4 4 2 3 4 4 2" xfId="43033"/>
    <cellStyle name="Comma 2 4 4 2 3 4 4 3" xfId="36609"/>
    <cellStyle name="Comma 2 4 4 2 3 4 5" xfId="21420"/>
    <cellStyle name="Comma 2 4 4 2 3 4 5 2" xfId="39826"/>
    <cellStyle name="Comma 2 4 4 2 3 4 6" xfId="22493"/>
    <cellStyle name="Comma 2 4 4 2 3 4 7" xfId="23604"/>
    <cellStyle name="Comma 2 4 4 2 3 4 8" xfId="26815"/>
    <cellStyle name="Comma 2 4 4 2 3 4 9" xfId="30148"/>
    <cellStyle name="Comma 2 4 4 2 3 5" xfId="1179"/>
    <cellStyle name="Comma 2 4 4 2 3 5 10" xfId="33403"/>
    <cellStyle name="Comma 2 4 4 2 3 5 2" xfId="9949"/>
    <cellStyle name="Comma 2 4 4 2 3 5 2 2" xfId="25749"/>
    <cellStyle name="Comma 2 4 4 2 3 5 2 2 2" xfId="45176"/>
    <cellStyle name="Comma 2 4 4 2 3 5 2 2 3" xfId="38753"/>
    <cellStyle name="Comma 2 4 4 2 3 5 2 3" xfId="27927"/>
    <cellStyle name="Comma 2 4 4 2 3 5 2 3 2" xfId="41969"/>
    <cellStyle name="Comma 2 4 4 2 3 5 2 4" xfId="31262"/>
    <cellStyle name="Comma 2 4 4 2 3 5 2 5" xfId="35545"/>
    <cellStyle name="Comma 2 4 4 2 3 5 3" xfId="15614"/>
    <cellStyle name="Comma 2 4 4 2 3 5 3 2" xfId="24629"/>
    <cellStyle name="Comma 2 4 4 2 3 5 3 2 2" xfId="44058"/>
    <cellStyle name="Comma 2 4 4 2 3 5 3 2 3" xfId="37635"/>
    <cellStyle name="Comma 2 4 4 2 3 5 3 3" xfId="28950"/>
    <cellStyle name="Comma 2 4 4 2 3 5 3 3 2" xfId="40851"/>
    <cellStyle name="Comma 2 4 4 2 3 5 3 4" xfId="32285"/>
    <cellStyle name="Comma 2 4 4 2 3 5 3 5" xfId="34427"/>
    <cellStyle name="Comma 2 4 4 2 3 5 4" xfId="8432"/>
    <cellStyle name="Comma 2 4 4 2 3 5 4 2" xfId="43034"/>
    <cellStyle name="Comma 2 4 4 2 3 5 4 3" xfId="36610"/>
    <cellStyle name="Comma 2 4 4 2 3 5 5" xfId="21421"/>
    <cellStyle name="Comma 2 4 4 2 3 5 5 2" xfId="39827"/>
    <cellStyle name="Comma 2 4 4 2 3 5 6" xfId="22494"/>
    <cellStyle name="Comma 2 4 4 2 3 5 7" xfId="23605"/>
    <cellStyle name="Comma 2 4 4 2 3 5 8" xfId="26816"/>
    <cellStyle name="Comma 2 4 4 2 3 5 9" xfId="30149"/>
    <cellStyle name="Comma 2 4 4 2 3 6" xfId="9945"/>
    <cellStyle name="Comma 2 4 4 2 3 6 2" xfId="25745"/>
    <cellStyle name="Comma 2 4 4 2 3 6 2 2" xfId="45172"/>
    <cellStyle name="Comma 2 4 4 2 3 6 2 3" xfId="38749"/>
    <cellStyle name="Comma 2 4 4 2 3 6 3" xfId="27923"/>
    <cellStyle name="Comma 2 4 4 2 3 6 3 2" xfId="41965"/>
    <cellStyle name="Comma 2 4 4 2 3 6 4" xfId="31258"/>
    <cellStyle name="Comma 2 4 4 2 3 6 5" xfId="35541"/>
    <cellStyle name="Comma 2 4 4 2 3 7" xfId="15610"/>
    <cellStyle name="Comma 2 4 4 2 3 7 2" xfId="24625"/>
    <cellStyle name="Comma 2 4 4 2 3 7 2 2" xfId="44054"/>
    <cellStyle name="Comma 2 4 4 2 3 7 2 3" xfId="37631"/>
    <cellStyle name="Comma 2 4 4 2 3 7 3" xfId="28946"/>
    <cellStyle name="Comma 2 4 4 2 3 7 3 2" xfId="40847"/>
    <cellStyle name="Comma 2 4 4 2 3 7 4" xfId="32281"/>
    <cellStyle name="Comma 2 4 4 2 3 7 5" xfId="34423"/>
    <cellStyle name="Comma 2 4 4 2 3 8" xfId="8428"/>
    <cellStyle name="Comma 2 4 4 2 3 8 2" xfId="43030"/>
    <cellStyle name="Comma 2 4 4 2 3 8 3" xfId="36606"/>
    <cellStyle name="Comma 2 4 4 2 3 9" xfId="21417"/>
    <cellStyle name="Comma 2 4 4 2 3 9 2" xfId="39823"/>
    <cellStyle name="Comma 2 4 4 2 4" xfId="1180"/>
    <cellStyle name="Comma 2 4 4 2 4 10" xfId="33404"/>
    <cellStyle name="Comma 2 4 4 2 4 2" xfId="9950"/>
    <cellStyle name="Comma 2 4 4 2 4 2 2" xfId="25750"/>
    <cellStyle name="Comma 2 4 4 2 4 2 2 2" xfId="45177"/>
    <cellStyle name="Comma 2 4 4 2 4 2 2 3" xfId="38754"/>
    <cellStyle name="Comma 2 4 4 2 4 2 3" xfId="27928"/>
    <cellStyle name="Comma 2 4 4 2 4 2 3 2" xfId="41970"/>
    <cellStyle name="Comma 2 4 4 2 4 2 4" xfId="31263"/>
    <cellStyle name="Comma 2 4 4 2 4 2 5" xfId="35546"/>
    <cellStyle name="Comma 2 4 4 2 4 3" xfId="15615"/>
    <cellStyle name="Comma 2 4 4 2 4 3 2" xfId="24630"/>
    <cellStyle name="Comma 2 4 4 2 4 3 2 2" xfId="44059"/>
    <cellStyle name="Comma 2 4 4 2 4 3 2 3" xfId="37636"/>
    <cellStyle name="Comma 2 4 4 2 4 3 3" xfId="28951"/>
    <cellStyle name="Comma 2 4 4 2 4 3 3 2" xfId="40852"/>
    <cellStyle name="Comma 2 4 4 2 4 3 4" xfId="32286"/>
    <cellStyle name="Comma 2 4 4 2 4 3 5" xfId="34428"/>
    <cellStyle name="Comma 2 4 4 2 4 4" xfId="8433"/>
    <cellStyle name="Comma 2 4 4 2 4 4 2" xfId="43035"/>
    <cellStyle name="Comma 2 4 4 2 4 4 3" xfId="36611"/>
    <cellStyle name="Comma 2 4 4 2 4 5" xfId="21422"/>
    <cellStyle name="Comma 2 4 4 2 4 5 2" xfId="39828"/>
    <cellStyle name="Comma 2 4 4 2 4 6" xfId="22495"/>
    <cellStyle name="Comma 2 4 4 2 4 7" xfId="23606"/>
    <cellStyle name="Comma 2 4 4 2 4 8" xfId="26817"/>
    <cellStyle name="Comma 2 4 4 2 4 9" xfId="30150"/>
    <cellStyle name="Comma 2 4 4 2 5" xfId="1181"/>
    <cellStyle name="Comma 2 4 4 2 5 10" xfId="33405"/>
    <cellStyle name="Comma 2 4 4 2 5 2" xfId="9951"/>
    <cellStyle name="Comma 2 4 4 2 5 2 2" xfId="25751"/>
    <cellStyle name="Comma 2 4 4 2 5 2 2 2" xfId="45178"/>
    <cellStyle name="Comma 2 4 4 2 5 2 2 3" xfId="38755"/>
    <cellStyle name="Comma 2 4 4 2 5 2 3" xfId="27929"/>
    <cellStyle name="Comma 2 4 4 2 5 2 3 2" xfId="41971"/>
    <cellStyle name="Comma 2 4 4 2 5 2 4" xfId="31264"/>
    <cellStyle name="Comma 2 4 4 2 5 2 5" xfId="35547"/>
    <cellStyle name="Comma 2 4 4 2 5 3" xfId="15616"/>
    <cellStyle name="Comma 2 4 4 2 5 3 2" xfId="24631"/>
    <cellStyle name="Comma 2 4 4 2 5 3 2 2" xfId="44060"/>
    <cellStyle name="Comma 2 4 4 2 5 3 2 3" xfId="37637"/>
    <cellStyle name="Comma 2 4 4 2 5 3 3" xfId="28952"/>
    <cellStyle name="Comma 2 4 4 2 5 3 3 2" xfId="40853"/>
    <cellStyle name="Comma 2 4 4 2 5 3 4" xfId="32287"/>
    <cellStyle name="Comma 2 4 4 2 5 3 5" xfId="34429"/>
    <cellStyle name="Comma 2 4 4 2 5 4" xfId="8434"/>
    <cellStyle name="Comma 2 4 4 2 5 4 2" xfId="43036"/>
    <cellStyle name="Comma 2 4 4 2 5 4 3" xfId="36612"/>
    <cellStyle name="Comma 2 4 4 2 5 5" xfId="21423"/>
    <cellStyle name="Comma 2 4 4 2 5 5 2" xfId="39829"/>
    <cellStyle name="Comma 2 4 4 2 5 6" xfId="22496"/>
    <cellStyle name="Comma 2 4 4 2 5 7" xfId="23607"/>
    <cellStyle name="Comma 2 4 4 2 5 8" xfId="26818"/>
    <cellStyle name="Comma 2 4 4 2 5 9" xfId="30151"/>
    <cellStyle name="Comma 2 4 4 2 6" xfId="1182"/>
    <cellStyle name="Comma 2 4 4 2 6 10" xfId="33406"/>
    <cellStyle name="Comma 2 4 4 2 6 2" xfId="9952"/>
    <cellStyle name="Comma 2 4 4 2 6 2 2" xfId="25752"/>
    <cellStyle name="Comma 2 4 4 2 6 2 2 2" xfId="45179"/>
    <cellStyle name="Comma 2 4 4 2 6 2 2 3" xfId="38756"/>
    <cellStyle name="Comma 2 4 4 2 6 2 3" xfId="27930"/>
    <cellStyle name="Comma 2 4 4 2 6 2 3 2" xfId="41972"/>
    <cellStyle name="Comma 2 4 4 2 6 2 4" xfId="31265"/>
    <cellStyle name="Comma 2 4 4 2 6 2 5" xfId="35548"/>
    <cellStyle name="Comma 2 4 4 2 6 3" xfId="15617"/>
    <cellStyle name="Comma 2 4 4 2 6 3 2" xfId="24632"/>
    <cellStyle name="Comma 2 4 4 2 6 3 2 2" xfId="44061"/>
    <cellStyle name="Comma 2 4 4 2 6 3 2 3" xfId="37638"/>
    <cellStyle name="Comma 2 4 4 2 6 3 3" xfId="28953"/>
    <cellStyle name="Comma 2 4 4 2 6 3 3 2" xfId="40854"/>
    <cellStyle name="Comma 2 4 4 2 6 3 4" xfId="32288"/>
    <cellStyle name="Comma 2 4 4 2 6 3 5" xfId="34430"/>
    <cellStyle name="Comma 2 4 4 2 6 4" xfId="8435"/>
    <cellStyle name="Comma 2 4 4 2 6 4 2" xfId="43037"/>
    <cellStyle name="Comma 2 4 4 2 6 4 3" xfId="36613"/>
    <cellStyle name="Comma 2 4 4 2 6 5" xfId="21424"/>
    <cellStyle name="Comma 2 4 4 2 6 5 2" xfId="39830"/>
    <cellStyle name="Comma 2 4 4 2 6 6" xfId="22497"/>
    <cellStyle name="Comma 2 4 4 2 6 7" xfId="23608"/>
    <cellStyle name="Comma 2 4 4 2 6 8" xfId="26819"/>
    <cellStyle name="Comma 2 4 4 2 6 9" xfId="30152"/>
    <cellStyle name="Comma 2 4 4 2 7" xfId="1183"/>
    <cellStyle name="Comma 2 4 4 2 7 10" xfId="33407"/>
    <cellStyle name="Comma 2 4 4 2 7 2" xfId="9953"/>
    <cellStyle name="Comma 2 4 4 2 7 2 2" xfId="25753"/>
    <cellStyle name="Comma 2 4 4 2 7 2 2 2" xfId="45180"/>
    <cellStyle name="Comma 2 4 4 2 7 2 2 3" xfId="38757"/>
    <cellStyle name="Comma 2 4 4 2 7 2 3" xfId="27931"/>
    <cellStyle name="Comma 2 4 4 2 7 2 3 2" xfId="41973"/>
    <cellStyle name="Comma 2 4 4 2 7 2 4" xfId="31266"/>
    <cellStyle name="Comma 2 4 4 2 7 2 5" xfId="35549"/>
    <cellStyle name="Comma 2 4 4 2 7 3" xfId="15618"/>
    <cellStyle name="Comma 2 4 4 2 7 3 2" xfId="24633"/>
    <cellStyle name="Comma 2 4 4 2 7 3 2 2" xfId="44062"/>
    <cellStyle name="Comma 2 4 4 2 7 3 2 3" xfId="37639"/>
    <cellStyle name="Comma 2 4 4 2 7 3 3" xfId="28954"/>
    <cellStyle name="Comma 2 4 4 2 7 3 3 2" xfId="40855"/>
    <cellStyle name="Comma 2 4 4 2 7 3 4" xfId="32289"/>
    <cellStyle name="Comma 2 4 4 2 7 3 5" xfId="34431"/>
    <cellStyle name="Comma 2 4 4 2 7 4" xfId="8436"/>
    <cellStyle name="Comma 2 4 4 2 7 4 2" xfId="43038"/>
    <cellStyle name="Comma 2 4 4 2 7 4 3" xfId="36614"/>
    <cellStyle name="Comma 2 4 4 2 7 5" xfId="21425"/>
    <cellStyle name="Comma 2 4 4 2 7 5 2" xfId="39831"/>
    <cellStyle name="Comma 2 4 4 2 7 6" xfId="22498"/>
    <cellStyle name="Comma 2 4 4 2 7 7" xfId="23609"/>
    <cellStyle name="Comma 2 4 4 2 7 8" xfId="26820"/>
    <cellStyle name="Comma 2 4 4 2 7 9" xfId="30153"/>
    <cellStyle name="Comma 2 4 4 2 8" xfId="1184"/>
    <cellStyle name="Comma 2 4 4 2 8 10" xfId="33408"/>
    <cellStyle name="Comma 2 4 4 2 8 2" xfId="9954"/>
    <cellStyle name="Comma 2 4 4 2 8 2 2" xfId="25754"/>
    <cellStyle name="Comma 2 4 4 2 8 2 2 2" xfId="45181"/>
    <cellStyle name="Comma 2 4 4 2 8 2 2 3" xfId="38758"/>
    <cellStyle name="Comma 2 4 4 2 8 2 3" xfId="27932"/>
    <cellStyle name="Comma 2 4 4 2 8 2 3 2" xfId="41974"/>
    <cellStyle name="Comma 2 4 4 2 8 2 4" xfId="31267"/>
    <cellStyle name="Comma 2 4 4 2 8 2 5" xfId="35550"/>
    <cellStyle name="Comma 2 4 4 2 8 3" xfId="15619"/>
    <cellStyle name="Comma 2 4 4 2 8 3 2" xfId="24634"/>
    <cellStyle name="Comma 2 4 4 2 8 3 2 2" xfId="44063"/>
    <cellStyle name="Comma 2 4 4 2 8 3 2 3" xfId="37640"/>
    <cellStyle name="Comma 2 4 4 2 8 3 3" xfId="28955"/>
    <cellStyle name="Comma 2 4 4 2 8 3 3 2" xfId="40856"/>
    <cellStyle name="Comma 2 4 4 2 8 3 4" xfId="32290"/>
    <cellStyle name="Comma 2 4 4 2 8 3 5" xfId="34432"/>
    <cellStyle name="Comma 2 4 4 2 8 4" xfId="8437"/>
    <cellStyle name="Comma 2 4 4 2 8 4 2" xfId="43039"/>
    <cellStyle name="Comma 2 4 4 2 8 4 3" xfId="36615"/>
    <cellStyle name="Comma 2 4 4 2 8 5" xfId="21426"/>
    <cellStyle name="Comma 2 4 4 2 8 5 2" xfId="39832"/>
    <cellStyle name="Comma 2 4 4 2 8 6" xfId="22499"/>
    <cellStyle name="Comma 2 4 4 2 8 7" xfId="23610"/>
    <cellStyle name="Comma 2 4 4 2 8 8" xfId="26821"/>
    <cellStyle name="Comma 2 4 4 2 8 9" xfId="30154"/>
    <cellStyle name="Comma 2 4 4 2 9" xfId="9113"/>
    <cellStyle name="Comma 2 4 4 2 9 2" xfId="25167"/>
    <cellStyle name="Comma 2 4 4 2 9 2 2" xfId="44594"/>
    <cellStyle name="Comma 2 4 4 2 9 2 3" xfId="38171"/>
    <cellStyle name="Comma 2 4 4 2 9 3" xfId="27346"/>
    <cellStyle name="Comma 2 4 4 2 9 3 2" xfId="41387"/>
    <cellStyle name="Comma 2 4 4 2 9 4" xfId="30681"/>
    <cellStyle name="Comma 2 4 4 2 9 5" xfId="34963"/>
    <cellStyle name="Comma 2 4 4 3" xfId="239"/>
    <cellStyle name="Comma 2 4 4 3 10" xfId="21427"/>
    <cellStyle name="Comma 2 4 4 3 10 2" xfId="39239"/>
    <cellStyle name="Comma 2 4 4 3 11" xfId="22500"/>
    <cellStyle name="Comma 2 4 4 3 12" xfId="23017"/>
    <cellStyle name="Comma 2 4 4 3 13" xfId="26822"/>
    <cellStyle name="Comma 2 4 4 3 14" xfId="30155"/>
    <cellStyle name="Comma 2 4 4 3 15" xfId="32815"/>
    <cellStyle name="Comma 2 4 4 3 2" xfId="1185"/>
    <cellStyle name="Comma 2 4 4 3 2 10" xfId="33409"/>
    <cellStyle name="Comma 2 4 4 3 2 2" xfId="9955"/>
    <cellStyle name="Comma 2 4 4 3 2 2 2" xfId="25755"/>
    <cellStyle name="Comma 2 4 4 3 2 2 2 2" xfId="45182"/>
    <cellStyle name="Comma 2 4 4 3 2 2 2 3" xfId="38759"/>
    <cellStyle name="Comma 2 4 4 3 2 2 3" xfId="27933"/>
    <cellStyle name="Comma 2 4 4 3 2 2 3 2" xfId="41975"/>
    <cellStyle name="Comma 2 4 4 3 2 2 4" xfId="31268"/>
    <cellStyle name="Comma 2 4 4 3 2 2 5" xfId="35551"/>
    <cellStyle name="Comma 2 4 4 3 2 3" xfId="15621"/>
    <cellStyle name="Comma 2 4 4 3 2 3 2" xfId="24636"/>
    <cellStyle name="Comma 2 4 4 3 2 3 2 2" xfId="44065"/>
    <cellStyle name="Comma 2 4 4 3 2 3 2 3" xfId="37642"/>
    <cellStyle name="Comma 2 4 4 3 2 3 3" xfId="28957"/>
    <cellStyle name="Comma 2 4 4 3 2 3 3 2" xfId="40858"/>
    <cellStyle name="Comma 2 4 4 3 2 3 4" xfId="32292"/>
    <cellStyle name="Comma 2 4 4 3 2 3 5" xfId="34434"/>
    <cellStyle name="Comma 2 4 4 3 2 4" xfId="8439"/>
    <cellStyle name="Comma 2 4 4 3 2 4 2" xfId="43040"/>
    <cellStyle name="Comma 2 4 4 3 2 4 3" xfId="36616"/>
    <cellStyle name="Comma 2 4 4 3 2 5" xfId="21428"/>
    <cellStyle name="Comma 2 4 4 3 2 5 2" xfId="39833"/>
    <cellStyle name="Comma 2 4 4 3 2 6" xfId="22501"/>
    <cellStyle name="Comma 2 4 4 3 2 7" xfId="23611"/>
    <cellStyle name="Comma 2 4 4 3 2 8" xfId="26823"/>
    <cellStyle name="Comma 2 4 4 3 2 9" xfId="30156"/>
    <cellStyle name="Comma 2 4 4 3 3" xfId="1186"/>
    <cellStyle name="Comma 2 4 4 3 3 10" xfId="33410"/>
    <cellStyle name="Comma 2 4 4 3 3 2" xfId="9956"/>
    <cellStyle name="Comma 2 4 4 3 3 2 2" xfId="25756"/>
    <cellStyle name="Comma 2 4 4 3 3 2 2 2" xfId="45183"/>
    <cellStyle name="Comma 2 4 4 3 3 2 2 3" xfId="38760"/>
    <cellStyle name="Comma 2 4 4 3 3 2 3" xfId="27934"/>
    <cellStyle name="Comma 2 4 4 3 3 2 3 2" xfId="41976"/>
    <cellStyle name="Comma 2 4 4 3 3 2 4" xfId="31269"/>
    <cellStyle name="Comma 2 4 4 3 3 2 5" xfId="35552"/>
    <cellStyle name="Comma 2 4 4 3 3 3" xfId="15622"/>
    <cellStyle name="Comma 2 4 4 3 3 3 2" xfId="24637"/>
    <cellStyle name="Comma 2 4 4 3 3 3 2 2" xfId="44066"/>
    <cellStyle name="Comma 2 4 4 3 3 3 2 3" xfId="37643"/>
    <cellStyle name="Comma 2 4 4 3 3 3 3" xfId="28958"/>
    <cellStyle name="Comma 2 4 4 3 3 3 3 2" xfId="40859"/>
    <cellStyle name="Comma 2 4 4 3 3 3 4" xfId="32293"/>
    <cellStyle name="Comma 2 4 4 3 3 3 5" xfId="34435"/>
    <cellStyle name="Comma 2 4 4 3 3 4" xfId="8440"/>
    <cellStyle name="Comma 2 4 4 3 3 4 2" xfId="43041"/>
    <cellStyle name="Comma 2 4 4 3 3 4 3" xfId="36617"/>
    <cellStyle name="Comma 2 4 4 3 3 5" xfId="21429"/>
    <cellStyle name="Comma 2 4 4 3 3 5 2" xfId="39834"/>
    <cellStyle name="Comma 2 4 4 3 3 6" xfId="22502"/>
    <cellStyle name="Comma 2 4 4 3 3 7" xfId="23612"/>
    <cellStyle name="Comma 2 4 4 3 3 8" xfId="26824"/>
    <cellStyle name="Comma 2 4 4 3 3 9" xfId="30157"/>
    <cellStyle name="Comma 2 4 4 3 4" xfId="1187"/>
    <cellStyle name="Comma 2 4 4 3 4 10" xfId="33411"/>
    <cellStyle name="Comma 2 4 4 3 4 2" xfId="9957"/>
    <cellStyle name="Comma 2 4 4 3 4 2 2" xfId="25757"/>
    <cellStyle name="Comma 2 4 4 3 4 2 2 2" xfId="45184"/>
    <cellStyle name="Comma 2 4 4 3 4 2 2 3" xfId="38761"/>
    <cellStyle name="Comma 2 4 4 3 4 2 3" xfId="27935"/>
    <cellStyle name="Comma 2 4 4 3 4 2 3 2" xfId="41977"/>
    <cellStyle name="Comma 2 4 4 3 4 2 4" xfId="31270"/>
    <cellStyle name="Comma 2 4 4 3 4 2 5" xfId="35553"/>
    <cellStyle name="Comma 2 4 4 3 4 3" xfId="15623"/>
    <cellStyle name="Comma 2 4 4 3 4 3 2" xfId="24638"/>
    <cellStyle name="Comma 2 4 4 3 4 3 2 2" xfId="44067"/>
    <cellStyle name="Comma 2 4 4 3 4 3 2 3" xfId="37644"/>
    <cellStyle name="Comma 2 4 4 3 4 3 3" xfId="28959"/>
    <cellStyle name="Comma 2 4 4 3 4 3 3 2" xfId="40860"/>
    <cellStyle name="Comma 2 4 4 3 4 3 4" xfId="32294"/>
    <cellStyle name="Comma 2 4 4 3 4 3 5" xfId="34436"/>
    <cellStyle name="Comma 2 4 4 3 4 4" xfId="8441"/>
    <cellStyle name="Comma 2 4 4 3 4 4 2" xfId="43042"/>
    <cellStyle name="Comma 2 4 4 3 4 4 3" xfId="36618"/>
    <cellStyle name="Comma 2 4 4 3 4 5" xfId="21430"/>
    <cellStyle name="Comma 2 4 4 3 4 5 2" xfId="39835"/>
    <cellStyle name="Comma 2 4 4 3 4 6" xfId="22503"/>
    <cellStyle name="Comma 2 4 4 3 4 7" xfId="23613"/>
    <cellStyle name="Comma 2 4 4 3 4 8" xfId="26825"/>
    <cellStyle name="Comma 2 4 4 3 4 9" xfId="30158"/>
    <cellStyle name="Comma 2 4 4 3 5" xfId="1188"/>
    <cellStyle name="Comma 2 4 4 3 5 10" xfId="33412"/>
    <cellStyle name="Comma 2 4 4 3 5 2" xfId="9958"/>
    <cellStyle name="Comma 2 4 4 3 5 2 2" xfId="25758"/>
    <cellStyle name="Comma 2 4 4 3 5 2 2 2" xfId="45185"/>
    <cellStyle name="Comma 2 4 4 3 5 2 2 3" xfId="38762"/>
    <cellStyle name="Comma 2 4 4 3 5 2 3" xfId="27936"/>
    <cellStyle name="Comma 2 4 4 3 5 2 3 2" xfId="41978"/>
    <cellStyle name="Comma 2 4 4 3 5 2 4" xfId="31271"/>
    <cellStyle name="Comma 2 4 4 3 5 2 5" xfId="35554"/>
    <cellStyle name="Comma 2 4 4 3 5 3" xfId="15624"/>
    <cellStyle name="Comma 2 4 4 3 5 3 2" xfId="24639"/>
    <cellStyle name="Comma 2 4 4 3 5 3 2 2" xfId="44068"/>
    <cellStyle name="Comma 2 4 4 3 5 3 2 3" xfId="37645"/>
    <cellStyle name="Comma 2 4 4 3 5 3 3" xfId="28960"/>
    <cellStyle name="Comma 2 4 4 3 5 3 3 2" xfId="40861"/>
    <cellStyle name="Comma 2 4 4 3 5 3 4" xfId="32295"/>
    <cellStyle name="Comma 2 4 4 3 5 3 5" xfId="34437"/>
    <cellStyle name="Comma 2 4 4 3 5 4" xfId="8442"/>
    <cellStyle name="Comma 2 4 4 3 5 4 2" xfId="43043"/>
    <cellStyle name="Comma 2 4 4 3 5 4 3" xfId="36619"/>
    <cellStyle name="Comma 2 4 4 3 5 5" xfId="21431"/>
    <cellStyle name="Comma 2 4 4 3 5 5 2" xfId="39836"/>
    <cellStyle name="Comma 2 4 4 3 5 6" xfId="22504"/>
    <cellStyle name="Comma 2 4 4 3 5 7" xfId="23614"/>
    <cellStyle name="Comma 2 4 4 3 5 8" xfId="26826"/>
    <cellStyle name="Comma 2 4 4 3 5 9" xfId="30159"/>
    <cellStyle name="Comma 2 4 4 3 6" xfId="1189"/>
    <cellStyle name="Comma 2 4 4 3 6 10" xfId="33413"/>
    <cellStyle name="Comma 2 4 4 3 6 2" xfId="9959"/>
    <cellStyle name="Comma 2 4 4 3 6 2 2" xfId="25759"/>
    <cellStyle name="Comma 2 4 4 3 6 2 2 2" xfId="45186"/>
    <cellStyle name="Comma 2 4 4 3 6 2 2 3" xfId="38763"/>
    <cellStyle name="Comma 2 4 4 3 6 2 3" xfId="27937"/>
    <cellStyle name="Comma 2 4 4 3 6 2 3 2" xfId="41979"/>
    <cellStyle name="Comma 2 4 4 3 6 2 4" xfId="31272"/>
    <cellStyle name="Comma 2 4 4 3 6 2 5" xfId="35555"/>
    <cellStyle name="Comma 2 4 4 3 6 3" xfId="15625"/>
    <cellStyle name="Comma 2 4 4 3 6 3 2" xfId="24640"/>
    <cellStyle name="Comma 2 4 4 3 6 3 2 2" xfId="44069"/>
    <cellStyle name="Comma 2 4 4 3 6 3 2 3" xfId="37646"/>
    <cellStyle name="Comma 2 4 4 3 6 3 3" xfId="28961"/>
    <cellStyle name="Comma 2 4 4 3 6 3 3 2" xfId="40862"/>
    <cellStyle name="Comma 2 4 4 3 6 3 4" xfId="32296"/>
    <cellStyle name="Comma 2 4 4 3 6 3 5" xfId="34438"/>
    <cellStyle name="Comma 2 4 4 3 6 4" xfId="8443"/>
    <cellStyle name="Comma 2 4 4 3 6 4 2" xfId="43044"/>
    <cellStyle name="Comma 2 4 4 3 6 4 3" xfId="36620"/>
    <cellStyle name="Comma 2 4 4 3 6 5" xfId="21432"/>
    <cellStyle name="Comma 2 4 4 3 6 5 2" xfId="39837"/>
    <cellStyle name="Comma 2 4 4 3 6 6" xfId="22505"/>
    <cellStyle name="Comma 2 4 4 3 6 7" xfId="23615"/>
    <cellStyle name="Comma 2 4 4 3 6 8" xfId="26827"/>
    <cellStyle name="Comma 2 4 4 3 6 9" xfId="30160"/>
    <cellStyle name="Comma 2 4 4 3 7" xfId="9102"/>
    <cellStyle name="Comma 2 4 4 3 7 2" xfId="25156"/>
    <cellStyle name="Comma 2 4 4 3 7 2 2" xfId="44583"/>
    <cellStyle name="Comma 2 4 4 3 7 2 3" xfId="38160"/>
    <cellStyle name="Comma 2 4 4 3 7 3" xfId="27335"/>
    <cellStyle name="Comma 2 4 4 3 7 3 2" xfId="41376"/>
    <cellStyle name="Comma 2 4 4 3 7 4" xfId="30670"/>
    <cellStyle name="Comma 2 4 4 3 7 5" xfId="34952"/>
    <cellStyle name="Comma 2 4 4 3 8" xfId="15620"/>
    <cellStyle name="Comma 2 4 4 3 8 2" xfId="24635"/>
    <cellStyle name="Comma 2 4 4 3 8 2 2" xfId="44064"/>
    <cellStyle name="Comma 2 4 4 3 8 2 3" xfId="37641"/>
    <cellStyle name="Comma 2 4 4 3 8 3" xfId="28956"/>
    <cellStyle name="Comma 2 4 4 3 8 3 2" xfId="40857"/>
    <cellStyle name="Comma 2 4 4 3 8 4" xfId="32291"/>
    <cellStyle name="Comma 2 4 4 3 8 5" xfId="34433"/>
    <cellStyle name="Comma 2 4 4 3 9" xfId="8438"/>
    <cellStyle name="Comma 2 4 4 3 9 2" xfId="42446"/>
    <cellStyle name="Comma 2 4 4 3 9 3" xfId="36022"/>
    <cellStyle name="Comma 2 4 4 4" xfId="1190"/>
    <cellStyle name="Comma 2 4 4 4 10" xfId="22506"/>
    <cellStyle name="Comma 2 4 4 4 11" xfId="23616"/>
    <cellStyle name="Comma 2 4 4 4 12" xfId="26828"/>
    <cellStyle name="Comma 2 4 4 4 13" xfId="30161"/>
    <cellStyle name="Comma 2 4 4 4 14" xfId="33414"/>
    <cellStyle name="Comma 2 4 4 4 2" xfId="1191"/>
    <cellStyle name="Comma 2 4 4 4 2 10" xfId="33415"/>
    <cellStyle name="Comma 2 4 4 4 2 2" xfId="9961"/>
    <cellStyle name="Comma 2 4 4 4 2 2 2" xfId="25761"/>
    <cellStyle name="Comma 2 4 4 4 2 2 2 2" xfId="45188"/>
    <cellStyle name="Comma 2 4 4 4 2 2 2 3" xfId="38765"/>
    <cellStyle name="Comma 2 4 4 4 2 2 3" xfId="27939"/>
    <cellStyle name="Comma 2 4 4 4 2 2 3 2" xfId="41981"/>
    <cellStyle name="Comma 2 4 4 4 2 2 4" xfId="31274"/>
    <cellStyle name="Comma 2 4 4 4 2 2 5" xfId="35557"/>
    <cellStyle name="Comma 2 4 4 4 2 3" xfId="15627"/>
    <cellStyle name="Comma 2 4 4 4 2 3 2" xfId="24642"/>
    <cellStyle name="Comma 2 4 4 4 2 3 2 2" xfId="44071"/>
    <cellStyle name="Comma 2 4 4 4 2 3 2 3" xfId="37648"/>
    <cellStyle name="Comma 2 4 4 4 2 3 3" xfId="28963"/>
    <cellStyle name="Comma 2 4 4 4 2 3 3 2" xfId="40864"/>
    <cellStyle name="Comma 2 4 4 4 2 3 4" xfId="32298"/>
    <cellStyle name="Comma 2 4 4 4 2 3 5" xfId="34440"/>
    <cellStyle name="Comma 2 4 4 4 2 4" xfId="8445"/>
    <cellStyle name="Comma 2 4 4 4 2 4 2" xfId="43046"/>
    <cellStyle name="Comma 2 4 4 4 2 4 3" xfId="36622"/>
    <cellStyle name="Comma 2 4 4 4 2 5" xfId="21434"/>
    <cellStyle name="Comma 2 4 4 4 2 5 2" xfId="39839"/>
    <cellStyle name="Comma 2 4 4 4 2 6" xfId="22507"/>
    <cellStyle name="Comma 2 4 4 4 2 7" xfId="23617"/>
    <cellStyle name="Comma 2 4 4 4 2 8" xfId="26829"/>
    <cellStyle name="Comma 2 4 4 4 2 9" xfId="30162"/>
    <cellStyle name="Comma 2 4 4 4 3" xfId="1192"/>
    <cellStyle name="Comma 2 4 4 4 3 10" xfId="33416"/>
    <cellStyle name="Comma 2 4 4 4 3 2" xfId="9962"/>
    <cellStyle name="Comma 2 4 4 4 3 2 2" xfId="25762"/>
    <cellStyle name="Comma 2 4 4 4 3 2 2 2" xfId="45189"/>
    <cellStyle name="Comma 2 4 4 4 3 2 2 3" xfId="38766"/>
    <cellStyle name="Comma 2 4 4 4 3 2 3" xfId="27940"/>
    <cellStyle name="Comma 2 4 4 4 3 2 3 2" xfId="41982"/>
    <cellStyle name="Comma 2 4 4 4 3 2 4" xfId="31275"/>
    <cellStyle name="Comma 2 4 4 4 3 2 5" xfId="35558"/>
    <cellStyle name="Comma 2 4 4 4 3 3" xfId="15628"/>
    <cellStyle name="Comma 2 4 4 4 3 3 2" xfId="24643"/>
    <cellStyle name="Comma 2 4 4 4 3 3 2 2" xfId="44072"/>
    <cellStyle name="Comma 2 4 4 4 3 3 2 3" xfId="37649"/>
    <cellStyle name="Comma 2 4 4 4 3 3 3" xfId="28964"/>
    <cellStyle name="Comma 2 4 4 4 3 3 3 2" xfId="40865"/>
    <cellStyle name="Comma 2 4 4 4 3 3 4" xfId="32299"/>
    <cellStyle name="Comma 2 4 4 4 3 3 5" xfId="34441"/>
    <cellStyle name="Comma 2 4 4 4 3 4" xfId="8446"/>
    <cellStyle name="Comma 2 4 4 4 3 4 2" xfId="43047"/>
    <cellStyle name="Comma 2 4 4 4 3 4 3" xfId="36623"/>
    <cellStyle name="Comma 2 4 4 4 3 5" xfId="21435"/>
    <cellStyle name="Comma 2 4 4 4 3 5 2" xfId="39840"/>
    <cellStyle name="Comma 2 4 4 4 3 6" xfId="22508"/>
    <cellStyle name="Comma 2 4 4 4 3 7" xfId="23618"/>
    <cellStyle name="Comma 2 4 4 4 3 8" xfId="26830"/>
    <cellStyle name="Comma 2 4 4 4 3 9" xfId="30163"/>
    <cellStyle name="Comma 2 4 4 4 4" xfId="1193"/>
    <cellStyle name="Comma 2 4 4 4 4 10" xfId="33417"/>
    <cellStyle name="Comma 2 4 4 4 4 2" xfId="9963"/>
    <cellStyle name="Comma 2 4 4 4 4 2 2" xfId="25763"/>
    <cellStyle name="Comma 2 4 4 4 4 2 2 2" xfId="45190"/>
    <cellStyle name="Comma 2 4 4 4 4 2 2 3" xfId="38767"/>
    <cellStyle name="Comma 2 4 4 4 4 2 3" xfId="27941"/>
    <cellStyle name="Comma 2 4 4 4 4 2 3 2" xfId="41983"/>
    <cellStyle name="Comma 2 4 4 4 4 2 4" xfId="31276"/>
    <cellStyle name="Comma 2 4 4 4 4 2 5" xfId="35559"/>
    <cellStyle name="Comma 2 4 4 4 4 3" xfId="15629"/>
    <cellStyle name="Comma 2 4 4 4 4 3 2" xfId="24644"/>
    <cellStyle name="Comma 2 4 4 4 4 3 2 2" xfId="44073"/>
    <cellStyle name="Comma 2 4 4 4 4 3 2 3" xfId="37650"/>
    <cellStyle name="Comma 2 4 4 4 4 3 3" xfId="28965"/>
    <cellStyle name="Comma 2 4 4 4 4 3 3 2" xfId="40866"/>
    <cellStyle name="Comma 2 4 4 4 4 3 4" xfId="32300"/>
    <cellStyle name="Comma 2 4 4 4 4 3 5" xfId="34442"/>
    <cellStyle name="Comma 2 4 4 4 4 4" xfId="8447"/>
    <cellStyle name="Comma 2 4 4 4 4 4 2" xfId="43048"/>
    <cellStyle name="Comma 2 4 4 4 4 4 3" xfId="36624"/>
    <cellStyle name="Comma 2 4 4 4 4 5" xfId="21436"/>
    <cellStyle name="Comma 2 4 4 4 4 5 2" xfId="39841"/>
    <cellStyle name="Comma 2 4 4 4 4 6" xfId="22509"/>
    <cellStyle name="Comma 2 4 4 4 4 7" xfId="23619"/>
    <cellStyle name="Comma 2 4 4 4 4 8" xfId="26831"/>
    <cellStyle name="Comma 2 4 4 4 4 9" xfId="30164"/>
    <cellStyle name="Comma 2 4 4 4 5" xfId="1194"/>
    <cellStyle name="Comma 2 4 4 4 5 10" xfId="33418"/>
    <cellStyle name="Comma 2 4 4 4 5 2" xfId="9964"/>
    <cellStyle name="Comma 2 4 4 4 5 2 2" xfId="25764"/>
    <cellStyle name="Comma 2 4 4 4 5 2 2 2" xfId="45191"/>
    <cellStyle name="Comma 2 4 4 4 5 2 2 3" xfId="38768"/>
    <cellStyle name="Comma 2 4 4 4 5 2 3" xfId="27942"/>
    <cellStyle name="Comma 2 4 4 4 5 2 3 2" xfId="41984"/>
    <cellStyle name="Comma 2 4 4 4 5 2 4" xfId="31277"/>
    <cellStyle name="Comma 2 4 4 4 5 2 5" xfId="35560"/>
    <cellStyle name="Comma 2 4 4 4 5 3" xfId="15630"/>
    <cellStyle name="Comma 2 4 4 4 5 3 2" xfId="24645"/>
    <cellStyle name="Comma 2 4 4 4 5 3 2 2" xfId="44074"/>
    <cellStyle name="Comma 2 4 4 4 5 3 2 3" xfId="37651"/>
    <cellStyle name="Comma 2 4 4 4 5 3 3" xfId="28966"/>
    <cellStyle name="Comma 2 4 4 4 5 3 3 2" xfId="40867"/>
    <cellStyle name="Comma 2 4 4 4 5 3 4" xfId="32301"/>
    <cellStyle name="Comma 2 4 4 4 5 3 5" xfId="34443"/>
    <cellStyle name="Comma 2 4 4 4 5 4" xfId="8448"/>
    <cellStyle name="Comma 2 4 4 4 5 4 2" xfId="43049"/>
    <cellStyle name="Comma 2 4 4 4 5 4 3" xfId="36625"/>
    <cellStyle name="Comma 2 4 4 4 5 5" xfId="21437"/>
    <cellStyle name="Comma 2 4 4 4 5 5 2" xfId="39842"/>
    <cellStyle name="Comma 2 4 4 4 5 6" xfId="22510"/>
    <cellStyle name="Comma 2 4 4 4 5 7" xfId="23620"/>
    <cellStyle name="Comma 2 4 4 4 5 8" xfId="26832"/>
    <cellStyle name="Comma 2 4 4 4 5 9" xfId="30165"/>
    <cellStyle name="Comma 2 4 4 4 6" xfId="9960"/>
    <cellStyle name="Comma 2 4 4 4 6 2" xfId="25760"/>
    <cellStyle name="Comma 2 4 4 4 6 2 2" xfId="45187"/>
    <cellStyle name="Comma 2 4 4 4 6 2 3" xfId="38764"/>
    <cellStyle name="Comma 2 4 4 4 6 3" xfId="27938"/>
    <cellStyle name="Comma 2 4 4 4 6 3 2" xfId="41980"/>
    <cellStyle name="Comma 2 4 4 4 6 4" xfId="31273"/>
    <cellStyle name="Comma 2 4 4 4 6 5" xfId="35556"/>
    <cellStyle name="Comma 2 4 4 4 7" xfId="15626"/>
    <cellStyle name="Comma 2 4 4 4 7 2" xfId="24641"/>
    <cellStyle name="Comma 2 4 4 4 7 2 2" xfId="44070"/>
    <cellStyle name="Comma 2 4 4 4 7 2 3" xfId="37647"/>
    <cellStyle name="Comma 2 4 4 4 7 3" xfId="28962"/>
    <cellStyle name="Comma 2 4 4 4 7 3 2" xfId="40863"/>
    <cellStyle name="Comma 2 4 4 4 7 4" xfId="32297"/>
    <cellStyle name="Comma 2 4 4 4 7 5" xfId="34439"/>
    <cellStyle name="Comma 2 4 4 4 8" xfId="8444"/>
    <cellStyle name="Comma 2 4 4 4 8 2" xfId="43045"/>
    <cellStyle name="Comma 2 4 4 4 8 3" xfId="36621"/>
    <cellStyle name="Comma 2 4 4 4 9" xfId="21433"/>
    <cellStyle name="Comma 2 4 4 4 9 2" xfId="39838"/>
    <cellStyle name="Comma 2 4 4 5" xfId="1195"/>
    <cellStyle name="Comma 2 4 4 5 10" xfId="22511"/>
    <cellStyle name="Comma 2 4 4 5 11" xfId="23621"/>
    <cellStyle name="Comma 2 4 4 5 12" xfId="26833"/>
    <cellStyle name="Comma 2 4 4 5 13" xfId="30166"/>
    <cellStyle name="Comma 2 4 4 5 14" xfId="33419"/>
    <cellStyle name="Comma 2 4 4 5 2" xfId="1196"/>
    <cellStyle name="Comma 2 4 4 5 2 10" xfId="33420"/>
    <cellStyle name="Comma 2 4 4 5 2 2" xfId="9966"/>
    <cellStyle name="Comma 2 4 4 5 2 2 2" xfId="25766"/>
    <cellStyle name="Comma 2 4 4 5 2 2 2 2" xfId="45193"/>
    <cellStyle name="Comma 2 4 4 5 2 2 2 3" xfId="38770"/>
    <cellStyle name="Comma 2 4 4 5 2 2 3" xfId="27944"/>
    <cellStyle name="Comma 2 4 4 5 2 2 3 2" xfId="41986"/>
    <cellStyle name="Comma 2 4 4 5 2 2 4" xfId="31279"/>
    <cellStyle name="Comma 2 4 4 5 2 2 5" xfId="35562"/>
    <cellStyle name="Comma 2 4 4 5 2 3" xfId="15632"/>
    <cellStyle name="Comma 2 4 4 5 2 3 2" xfId="24647"/>
    <cellStyle name="Comma 2 4 4 5 2 3 2 2" xfId="44076"/>
    <cellStyle name="Comma 2 4 4 5 2 3 2 3" xfId="37653"/>
    <cellStyle name="Comma 2 4 4 5 2 3 3" xfId="28968"/>
    <cellStyle name="Comma 2 4 4 5 2 3 3 2" xfId="40869"/>
    <cellStyle name="Comma 2 4 4 5 2 3 4" xfId="32303"/>
    <cellStyle name="Comma 2 4 4 5 2 3 5" xfId="34445"/>
    <cellStyle name="Comma 2 4 4 5 2 4" xfId="8450"/>
    <cellStyle name="Comma 2 4 4 5 2 4 2" xfId="43051"/>
    <cellStyle name="Comma 2 4 4 5 2 4 3" xfId="36627"/>
    <cellStyle name="Comma 2 4 4 5 2 5" xfId="21439"/>
    <cellStyle name="Comma 2 4 4 5 2 5 2" xfId="39844"/>
    <cellStyle name="Comma 2 4 4 5 2 6" xfId="22512"/>
    <cellStyle name="Comma 2 4 4 5 2 7" xfId="23622"/>
    <cellStyle name="Comma 2 4 4 5 2 8" xfId="26834"/>
    <cellStyle name="Comma 2 4 4 5 2 9" xfId="30167"/>
    <cellStyle name="Comma 2 4 4 5 3" xfId="1197"/>
    <cellStyle name="Comma 2 4 4 5 3 10" xfId="33421"/>
    <cellStyle name="Comma 2 4 4 5 3 2" xfId="9967"/>
    <cellStyle name="Comma 2 4 4 5 3 2 2" xfId="25767"/>
    <cellStyle name="Comma 2 4 4 5 3 2 2 2" xfId="45194"/>
    <cellStyle name="Comma 2 4 4 5 3 2 2 3" xfId="38771"/>
    <cellStyle name="Comma 2 4 4 5 3 2 3" xfId="27945"/>
    <cellStyle name="Comma 2 4 4 5 3 2 3 2" xfId="41987"/>
    <cellStyle name="Comma 2 4 4 5 3 2 4" xfId="31280"/>
    <cellStyle name="Comma 2 4 4 5 3 2 5" xfId="35563"/>
    <cellStyle name="Comma 2 4 4 5 3 3" xfId="15633"/>
    <cellStyle name="Comma 2 4 4 5 3 3 2" xfId="24648"/>
    <cellStyle name="Comma 2 4 4 5 3 3 2 2" xfId="44077"/>
    <cellStyle name="Comma 2 4 4 5 3 3 2 3" xfId="37654"/>
    <cellStyle name="Comma 2 4 4 5 3 3 3" xfId="28969"/>
    <cellStyle name="Comma 2 4 4 5 3 3 3 2" xfId="40870"/>
    <cellStyle name="Comma 2 4 4 5 3 3 4" xfId="32304"/>
    <cellStyle name="Comma 2 4 4 5 3 3 5" xfId="34446"/>
    <cellStyle name="Comma 2 4 4 5 3 4" xfId="8451"/>
    <cellStyle name="Comma 2 4 4 5 3 4 2" xfId="43052"/>
    <cellStyle name="Comma 2 4 4 5 3 4 3" xfId="36628"/>
    <cellStyle name="Comma 2 4 4 5 3 5" xfId="21440"/>
    <cellStyle name="Comma 2 4 4 5 3 5 2" xfId="39845"/>
    <cellStyle name="Comma 2 4 4 5 3 6" xfId="22513"/>
    <cellStyle name="Comma 2 4 4 5 3 7" xfId="23623"/>
    <cellStyle name="Comma 2 4 4 5 3 8" xfId="26835"/>
    <cellStyle name="Comma 2 4 4 5 3 9" xfId="30168"/>
    <cellStyle name="Comma 2 4 4 5 4" xfId="1198"/>
    <cellStyle name="Comma 2 4 4 5 4 10" xfId="33422"/>
    <cellStyle name="Comma 2 4 4 5 4 2" xfId="9968"/>
    <cellStyle name="Comma 2 4 4 5 4 2 2" xfId="25768"/>
    <cellStyle name="Comma 2 4 4 5 4 2 2 2" xfId="45195"/>
    <cellStyle name="Comma 2 4 4 5 4 2 2 3" xfId="38772"/>
    <cellStyle name="Comma 2 4 4 5 4 2 3" xfId="27946"/>
    <cellStyle name="Comma 2 4 4 5 4 2 3 2" xfId="41988"/>
    <cellStyle name="Comma 2 4 4 5 4 2 4" xfId="31281"/>
    <cellStyle name="Comma 2 4 4 5 4 2 5" xfId="35564"/>
    <cellStyle name="Comma 2 4 4 5 4 3" xfId="15634"/>
    <cellStyle name="Comma 2 4 4 5 4 3 2" xfId="24649"/>
    <cellStyle name="Comma 2 4 4 5 4 3 2 2" xfId="44078"/>
    <cellStyle name="Comma 2 4 4 5 4 3 2 3" xfId="37655"/>
    <cellStyle name="Comma 2 4 4 5 4 3 3" xfId="28970"/>
    <cellStyle name="Comma 2 4 4 5 4 3 3 2" xfId="40871"/>
    <cellStyle name="Comma 2 4 4 5 4 3 4" xfId="32305"/>
    <cellStyle name="Comma 2 4 4 5 4 3 5" xfId="34447"/>
    <cellStyle name="Comma 2 4 4 5 4 4" xfId="8452"/>
    <cellStyle name="Comma 2 4 4 5 4 4 2" xfId="43053"/>
    <cellStyle name="Comma 2 4 4 5 4 4 3" xfId="36629"/>
    <cellStyle name="Comma 2 4 4 5 4 5" xfId="21441"/>
    <cellStyle name="Comma 2 4 4 5 4 5 2" xfId="39846"/>
    <cellStyle name="Comma 2 4 4 5 4 6" xfId="22514"/>
    <cellStyle name="Comma 2 4 4 5 4 7" xfId="23624"/>
    <cellStyle name="Comma 2 4 4 5 4 8" xfId="26836"/>
    <cellStyle name="Comma 2 4 4 5 4 9" xfId="30169"/>
    <cellStyle name="Comma 2 4 4 5 5" xfId="1199"/>
    <cellStyle name="Comma 2 4 4 5 5 10" xfId="33423"/>
    <cellStyle name="Comma 2 4 4 5 5 2" xfId="9969"/>
    <cellStyle name="Comma 2 4 4 5 5 2 2" xfId="25769"/>
    <cellStyle name="Comma 2 4 4 5 5 2 2 2" xfId="45196"/>
    <cellStyle name="Comma 2 4 4 5 5 2 2 3" xfId="38773"/>
    <cellStyle name="Comma 2 4 4 5 5 2 3" xfId="27947"/>
    <cellStyle name="Comma 2 4 4 5 5 2 3 2" xfId="41989"/>
    <cellStyle name="Comma 2 4 4 5 5 2 4" xfId="31282"/>
    <cellStyle name="Comma 2 4 4 5 5 2 5" xfId="35565"/>
    <cellStyle name="Comma 2 4 4 5 5 3" xfId="15635"/>
    <cellStyle name="Comma 2 4 4 5 5 3 2" xfId="24650"/>
    <cellStyle name="Comma 2 4 4 5 5 3 2 2" xfId="44079"/>
    <cellStyle name="Comma 2 4 4 5 5 3 2 3" xfId="37656"/>
    <cellStyle name="Comma 2 4 4 5 5 3 3" xfId="28971"/>
    <cellStyle name="Comma 2 4 4 5 5 3 3 2" xfId="40872"/>
    <cellStyle name="Comma 2 4 4 5 5 3 4" xfId="32306"/>
    <cellStyle name="Comma 2 4 4 5 5 3 5" xfId="34448"/>
    <cellStyle name="Comma 2 4 4 5 5 4" xfId="8453"/>
    <cellStyle name="Comma 2 4 4 5 5 4 2" xfId="43054"/>
    <cellStyle name="Comma 2 4 4 5 5 4 3" xfId="36630"/>
    <cellStyle name="Comma 2 4 4 5 5 5" xfId="21442"/>
    <cellStyle name="Comma 2 4 4 5 5 5 2" xfId="39847"/>
    <cellStyle name="Comma 2 4 4 5 5 6" xfId="22515"/>
    <cellStyle name="Comma 2 4 4 5 5 7" xfId="23625"/>
    <cellStyle name="Comma 2 4 4 5 5 8" xfId="26837"/>
    <cellStyle name="Comma 2 4 4 5 5 9" xfId="30170"/>
    <cellStyle name="Comma 2 4 4 5 6" xfId="9965"/>
    <cellStyle name="Comma 2 4 4 5 6 2" xfId="25765"/>
    <cellStyle name="Comma 2 4 4 5 6 2 2" xfId="45192"/>
    <cellStyle name="Comma 2 4 4 5 6 2 3" xfId="38769"/>
    <cellStyle name="Comma 2 4 4 5 6 3" xfId="27943"/>
    <cellStyle name="Comma 2 4 4 5 6 3 2" xfId="41985"/>
    <cellStyle name="Comma 2 4 4 5 6 4" xfId="31278"/>
    <cellStyle name="Comma 2 4 4 5 6 5" xfId="35561"/>
    <cellStyle name="Comma 2 4 4 5 7" xfId="15631"/>
    <cellStyle name="Comma 2 4 4 5 7 2" xfId="24646"/>
    <cellStyle name="Comma 2 4 4 5 7 2 2" xfId="44075"/>
    <cellStyle name="Comma 2 4 4 5 7 2 3" xfId="37652"/>
    <cellStyle name="Comma 2 4 4 5 7 3" xfId="28967"/>
    <cellStyle name="Comma 2 4 4 5 7 3 2" xfId="40868"/>
    <cellStyle name="Comma 2 4 4 5 7 4" xfId="32302"/>
    <cellStyle name="Comma 2 4 4 5 7 5" xfId="34444"/>
    <cellStyle name="Comma 2 4 4 5 8" xfId="8449"/>
    <cellStyle name="Comma 2 4 4 5 8 2" xfId="43050"/>
    <cellStyle name="Comma 2 4 4 5 8 3" xfId="36626"/>
    <cellStyle name="Comma 2 4 4 5 9" xfId="21438"/>
    <cellStyle name="Comma 2 4 4 5 9 2" xfId="39843"/>
    <cellStyle name="Comma 2 4 4 6" xfId="1200"/>
    <cellStyle name="Comma 2 4 4 6 10" xfId="33424"/>
    <cellStyle name="Comma 2 4 4 6 2" xfId="9970"/>
    <cellStyle name="Comma 2 4 4 6 2 2" xfId="25770"/>
    <cellStyle name="Comma 2 4 4 6 2 2 2" xfId="45197"/>
    <cellStyle name="Comma 2 4 4 6 2 2 3" xfId="38774"/>
    <cellStyle name="Comma 2 4 4 6 2 3" xfId="27948"/>
    <cellStyle name="Comma 2 4 4 6 2 3 2" xfId="41990"/>
    <cellStyle name="Comma 2 4 4 6 2 4" xfId="31283"/>
    <cellStyle name="Comma 2 4 4 6 2 5" xfId="35566"/>
    <cellStyle name="Comma 2 4 4 6 3" xfId="15636"/>
    <cellStyle name="Comma 2 4 4 6 3 2" xfId="24651"/>
    <cellStyle name="Comma 2 4 4 6 3 2 2" xfId="44080"/>
    <cellStyle name="Comma 2 4 4 6 3 2 3" xfId="37657"/>
    <cellStyle name="Comma 2 4 4 6 3 3" xfId="28972"/>
    <cellStyle name="Comma 2 4 4 6 3 3 2" xfId="40873"/>
    <cellStyle name="Comma 2 4 4 6 3 4" xfId="32307"/>
    <cellStyle name="Comma 2 4 4 6 3 5" xfId="34449"/>
    <cellStyle name="Comma 2 4 4 6 4" xfId="8454"/>
    <cellStyle name="Comma 2 4 4 6 4 2" xfId="43055"/>
    <cellStyle name="Comma 2 4 4 6 4 3" xfId="36631"/>
    <cellStyle name="Comma 2 4 4 6 5" xfId="21443"/>
    <cellStyle name="Comma 2 4 4 6 5 2" xfId="39848"/>
    <cellStyle name="Comma 2 4 4 6 6" xfId="22516"/>
    <cellStyle name="Comma 2 4 4 6 7" xfId="23626"/>
    <cellStyle name="Comma 2 4 4 6 8" xfId="26838"/>
    <cellStyle name="Comma 2 4 4 6 9" xfId="30171"/>
    <cellStyle name="Comma 2 4 4 7" xfId="1201"/>
    <cellStyle name="Comma 2 4 4 7 10" xfId="33425"/>
    <cellStyle name="Comma 2 4 4 7 2" xfId="9971"/>
    <cellStyle name="Comma 2 4 4 7 2 2" xfId="25771"/>
    <cellStyle name="Comma 2 4 4 7 2 2 2" xfId="45198"/>
    <cellStyle name="Comma 2 4 4 7 2 2 3" xfId="38775"/>
    <cellStyle name="Comma 2 4 4 7 2 3" xfId="27949"/>
    <cellStyle name="Comma 2 4 4 7 2 3 2" xfId="41991"/>
    <cellStyle name="Comma 2 4 4 7 2 4" xfId="31284"/>
    <cellStyle name="Comma 2 4 4 7 2 5" xfId="35567"/>
    <cellStyle name="Comma 2 4 4 7 3" xfId="15637"/>
    <cellStyle name="Comma 2 4 4 7 3 2" xfId="24652"/>
    <cellStyle name="Comma 2 4 4 7 3 2 2" xfId="44081"/>
    <cellStyle name="Comma 2 4 4 7 3 2 3" xfId="37658"/>
    <cellStyle name="Comma 2 4 4 7 3 3" xfId="28973"/>
    <cellStyle name="Comma 2 4 4 7 3 3 2" xfId="40874"/>
    <cellStyle name="Comma 2 4 4 7 3 4" xfId="32308"/>
    <cellStyle name="Comma 2 4 4 7 3 5" xfId="34450"/>
    <cellStyle name="Comma 2 4 4 7 4" xfId="8455"/>
    <cellStyle name="Comma 2 4 4 7 4 2" xfId="43056"/>
    <cellStyle name="Comma 2 4 4 7 4 3" xfId="36632"/>
    <cellStyle name="Comma 2 4 4 7 5" xfId="21444"/>
    <cellStyle name="Comma 2 4 4 7 5 2" xfId="39849"/>
    <cellStyle name="Comma 2 4 4 7 6" xfId="22517"/>
    <cellStyle name="Comma 2 4 4 7 7" xfId="23627"/>
    <cellStyle name="Comma 2 4 4 7 8" xfId="26839"/>
    <cellStyle name="Comma 2 4 4 7 9" xfId="30172"/>
    <cellStyle name="Comma 2 4 4 8" xfId="1202"/>
    <cellStyle name="Comma 2 4 4 8 10" xfId="33426"/>
    <cellStyle name="Comma 2 4 4 8 2" xfId="9972"/>
    <cellStyle name="Comma 2 4 4 8 2 2" xfId="25772"/>
    <cellStyle name="Comma 2 4 4 8 2 2 2" xfId="45199"/>
    <cellStyle name="Comma 2 4 4 8 2 2 3" xfId="38776"/>
    <cellStyle name="Comma 2 4 4 8 2 3" xfId="27950"/>
    <cellStyle name="Comma 2 4 4 8 2 3 2" xfId="41992"/>
    <cellStyle name="Comma 2 4 4 8 2 4" xfId="31285"/>
    <cellStyle name="Comma 2 4 4 8 2 5" xfId="35568"/>
    <cellStyle name="Comma 2 4 4 8 3" xfId="15638"/>
    <cellStyle name="Comma 2 4 4 8 3 2" xfId="24653"/>
    <cellStyle name="Comma 2 4 4 8 3 2 2" xfId="44082"/>
    <cellStyle name="Comma 2 4 4 8 3 2 3" xfId="37659"/>
    <cellStyle name="Comma 2 4 4 8 3 3" xfId="28974"/>
    <cellStyle name="Comma 2 4 4 8 3 3 2" xfId="40875"/>
    <cellStyle name="Comma 2 4 4 8 3 4" xfId="32309"/>
    <cellStyle name="Comma 2 4 4 8 3 5" xfId="34451"/>
    <cellStyle name="Comma 2 4 4 8 4" xfId="8456"/>
    <cellStyle name="Comma 2 4 4 8 4 2" xfId="43057"/>
    <cellStyle name="Comma 2 4 4 8 4 3" xfId="36633"/>
    <cellStyle name="Comma 2 4 4 8 5" xfId="21445"/>
    <cellStyle name="Comma 2 4 4 8 5 2" xfId="39850"/>
    <cellStyle name="Comma 2 4 4 8 6" xfId="22518"/>
    <cellStyle name="Comma 2 4 4 8 7" xfId="23628"/>
    <cellStyle name="Comma 2 4 4 8 8" xfId="26840"/>
    <cellStyle name="Comma 2 4 4 8 9" xfId="30173"/>
    <cellStyle name="Comma 2 4 4 9" xfId="1203"/>
    <cellStyle name="Comma 2 4 4 9 10" xfId="33427"/>
    <cellStyle name="Comma 2 4 4 9 2" xfId="9973"/>
    <cellStyle name="Comma 2 4 4 9 2 2" xfId="25773"/>
    <cellStyle name="Comma 2 4 4 9 2 2 2" xfId="45200"/>
    <cellStyle name="Comma 2 4 4 9 2 2 3" xfId="38777"/>
    <cellStyle name="Comma 2 4 4 9 2 3" xfId="27951"/>
    <cellStyle name="Comma 2 4 4 9 2 3 2" xfId="41993"/>
    <cellStyle name="Comma 2 4 4 9 2 4" xfId="31286"/>
    <cellStyle name="Comma 2 4 4 9 2 5" xfId="35569"/>
    <cellStyle name="Comma 2 4 4 9 3" xfId="15639"/>
    <cellStyle name="Comma 2 4 4 9 3 2" xfId="24654"/>
    <cellStyle name="Comma 2 4 4 9 3 2 2" xfId="44083"/>
    <cellStyle name="Comma 2 4 4 9 3 2 3" xfId="37660"/>
    <cellStyle name="Comma 2 4 4 9 3 3" xfId="28975"/>
    <cellStyle name="Comma 2 4 4 9 3 3 2" xfId="40876"/>
    <cellStyle name="Comma 2 4 4 9 3 4" xfId="32310"/>
    <cellStyle name="Comma 2 4 4 9 3 5" xfId="34452"/>
    <cellStyle name="Comma 2 4 4 9 4" xfId="8457"/>
    <cellStyle name="Comma 2 4 4 9 4 2" xfId="43058"/>
    <cellStyle name="Comma 2 4 4 9 4 3" xfId="36634"/>
    <cellStyle name="Comma 2 4 4 9 5" xfId="21446"/>
    <cellStyle name="Comma 2 4 4 9 5 2" xfId="39851"/>
    <cellStyle name="Comma 2 4 4 9 6" xfId="22519"/>
    <cellStyle name="Comma 2 4 4 9 7" xfId="23629"/>
    <cellStyle name="Comma 2 4 4 9 8" xfId="26841"/>
    <cellStyle name="Comma 2 4 4 9 9" xfId="30174"/>
    <cellStyle name="Comma 2 4 5" xfId="179"/>
    <cellStyle name="Comma 2 4 5 10" xfId="15640"/>
    <cellStyle name="Comma 2 4 5 10 2" xfId="24655"/>
    <cellStyle name="Comma 2 4 5 10 2 2" xfId="44084"/>
    <cellStyle name="Comma 2 4 5 10 2 3" xfId="37661"/>
    <cellStyle name="Comma 2 4 5 10 3" xfId="28976"/>
    <cellStyle name="Comma 2 4 5 10 3 2" xfId="40877"/>
    <cellStyle name="Comma 2 4 5 10 4" xfId="32311"/>
    <cellStyle name="Comma 2 4 5 10 5" xfId="34453"/>
    <cellStyle name="Comma 2 4 5 11" xfId="8458"/>
    <cellStyle name="Comma 2 4 5 11 2" xfId="42409"/>
    <cellStyle name="Comma 2 4 5 11 3" xfId="35985"/>
    <cellStyle name="Comma 2 4 5 12" xfId="21447"/>
    <cellStyle name="Comma 2 4 5 12 2" xfId="39202"/>
    <cellStyle name="Comma 2 4 5 13" xfId="22520"/>
    <cellStyle name="Comma 2 4 5 14" xfId="22980"/>
    <cellStyle name="Comma 2 4 5 15" xfId="26842"/>
    <cellStyle name="Comma 2 4 5 16" xfId="30175"/>
    <cellStyle name="Comma 2 4 5 17" xfId="32778"/>
    <cellStyle name="Comma 2 4 5 2" xfId="218"/>
    <cellStyle name="Comma 2 4 5 2 10" xfId="21448"/>
    <cellStyle name="Comma 2 4 5 2 10 2" xfId="39226"/>
    <cellStyle name="Comma 2 4 5 2 11" xfId="22521"/>
    <cellStyle name="Comma 2 4 5 2 12" xfId="23004"/>
    <cellStyle name="Comma 2 4 5 2 13" xfId="26843"/>
    <cellStyle name="Comma 2 4 5 2 14" xfId="30176"/>
    <cellStyle name="Comma 2 4 5 2 15" xfId="32802"/>
    <cellStyle name="Comma 2 4 5 2 2" xfId="1204"/>
    <cellStyle name="Comma 2 4 5 2 2 10" xfId="33428"/>
    <cellStyle name="Comma 2 4 5 2 2 2" xfId="9974"/>
    <cellStyle name="Comma 2 4 5 2 2 2 2" xfId="25774"/>
    <cellStyle name="Comma 2 4 5 2 2 2 2 2" xfId="45201"/>
    <cellStyle name="Comma 2 4 5 2 2 2 2 3" xfId="38778"/>
    <cellStyle name="Comma 2 4 5 2 2 2 3" xfId="27952"/>
    <cellStyle name="Comma 2 4 5 2 2 2 3 2" xfId="41994"/>
    <cellStyle name="Comma 2 4 5 2 2 2 4" xfId="31287"/>
    <cellStyle name="Comma 2 4 5 2 2 2 5" xfId="35570"/>
    <cellStyle name="Comma 2 4 5 2 2 3" xfId="15642"/>
    <cellStyle name="Comma 2 4 5 2 2 3 2" xfId="24657"/>
    <cellStyle name="Comma 2 4 5 2 2 3 2 2" xfId="44086"/>
    <cellStyle name="Comma 2 4 5 2 2 3 2 3" xfId="37663"/>
    <cellStyle name="Comma 2 4 5 2 2 3 3" xfId="28978"/>
    <cellStyle name="Comma 2 4 5 2 2 3 3 2" xfId="40879"/>
    <cellStyle name="Comma 2 4 5 2 2 3 4" xfId="32313"/>
    <cellStyle name="Comma 2 4 5 2 2 3 5" xfId="34455"/>
    <cellStyle name="Comma 2 4 5 2 2 4" xfId="8460"/>
    <cellStyle name="Comma 2 4 5 2 2 4 2" xfId="43059"/>
    <cellStyle name="Comma 2 4 5 2 2 4 3" xfId="36635"/>
    <cellStyle name="Comma 2 4 5 2 2 5" xfId="21449"/>
    <cellStyle name="Comma 2 4 5 2 2 5 2" xfId="39852"/>
    <cellStyle name="Comma 2 4 5 2 2 6" xfId="22522"/>
    <cellStyle name="Comma 2 4 5 2 2 7" xfId="23630"/>
    <cellStyle name="Comma 2 4 5 2 2 8" xfId="26844"/>
    <cellStyle name="Comma 2 4 5 2 2 9" xfId="30177"/>
    <cellStyle name="Comma 2 4 5 2 3" xfId="1205"/>
    <cellStyle name="Comma 2 4 5 2 3 10" xfId="33429"/>
    <cellStyle name="Comma 2 4 5 2 3 2" xfId="9975"/>
    <cellStyle name="Comma 2 4 5 2 3 2 2" xfId="25775"/>
    <cellStyle name="Comma 2 4 5 2 3 2 2 2" xfId="45202"/>
    <cellStyle name="Comma 2 4 5 2 3 2 2 3" xfId="38779"/>
    <cellStyle name="Comma 2 4 5 2 3 2 3" xfId="27953"/>
    <cellStyle name="Comma 2 4 5 2 3 2 3 2" xfId="41995"/>
    <cellStyle name="Comma 2 4 5 2 3 2 4" xfId="31288"/>
    <cellStyle name="Comma 2 4 5 2 3 2 5" xfId="35571"/>
    <cellStyle name="Comma 2 4 5 2 3 3" xfId="15643"/>
    <cellStyle name="Comma 2 4 5 2 3 3 2" xfId="24658"/>
    <cellStyle name="Comma 2 4 5 2 3 3 2 2" xfId="44087"/>
    <cellStyle name="Comma 2 4 5 2 3 3 2 3" xfId="37664"/>
    <cellStyle name="Comma 2 4 5 2 3 3 3" xfId="28979"/>
    <cellStyle name="Comma 2 4 5 2 3 3 3 2" xfId="40880"/>
    <cellStyle name="Comma 2 4 5 2 3 3 4" xfId="32314"/>
    <cellStyle name="Comma 2 4 5 2 3 3 5" xfId="34456"/>
    <cellStyle name="Comma 2 4 5 2 3 4" xfId="8461"/>
    <cellStyle name="Comma 2 4 5 2 3 4 2" xfId="43060"/>
    <cellStyle name="Comma 2 4 5 2 3 4 3" xfId="36636"/>
    <cellStyle name="Comma 2 4 5 2 3 5" xfId="21450"/>
    <cellStyle name="Comma 2 4 5 2 3 5 2" xfId="39853"/>
    <cellStyle name="Comma 2 4 5 2 3 6" xfId="22523"/>
    <cellStyle name="Comma 2 4 5 2 3 7" xfId="23631"/>
    <cellStyle name="Comma 2 4 5 2 3 8" xfId="26845"/>
    <cellStyle name="Comma 2 4 5 2 3 9" xfId="30178"/>
    <cellStyle name="Comma 2 4 5 2 4" xfId="1206"/>
    <cellStyle name="Comma 2 4 5 2 4 10" xfId="33430"/>
    <cellStyle name="Comma 2 4 5 2 4 2" xfId="9976"/>
    <cellStyle name="Comma 2 4 5 2 4 2 2" xfId="25776"/>
    <cellStyle name="Comma 2 4 5 2 4 2 2 2" xfId="45203"/>
    <cellStyle name="Comma 2 4 5 2 4 2 2 3" xfId="38780"/>
    <cellStyle name="Comma 2 4 5 2 4 2 3" xfId="27954"/>
    <cellStyle name="Comma 2 4 5 2 4 2 3 2" xfId="41996"/>
    <cellStyle name="Comma 2 4 5 2 4 2 4" xfId="31289"/>
    <cellStyle name="Comma 2 4 5 2 4 2 5" xfId="35572"/>
    <cellStyle name="Comma 2 4 5 2 4 3" xfId="15644"/>
    <cellStyle name="Comma 2 4 5 2 4 3 2" xfId="24659"/>
    <cellStyle name="Comma 2 4 5 2 4 3 2 2" xfId="44088"/>
    <cellStyle name="Comma 2 4 5 2 4 3 2 3" xfId="37665"/>
    <cellStyle name="Comma 2 4 5 2 4 3 3" xfId="28980"/>
    <cellStyle name="Comma 2 4 5 2 4 3 3 2" xfId="40881"/>
    <cellStyle name="Comma 2 4 5 2 4 3 4" xfId="32315"/>
    <cellStyle name="Comma 2 4 5 2 4 3 5" xfId="34457"/>
    <cellStyle name="Comma 2 4 5 2 4 4" xfId="8462"/>
    <cellStyle name="Comma 2 4 5 2 4 4 2" xfId="43061"/>
    <cellStyle name="Comma 2 4 5 2 4 4 3" xfId="36637"/>
    <cellStyle name="Comma 2 4 5 2 4 5" xfId="21451"/>
    <cellStyle name="Comma 2 4 5 2 4 5 2" xfId="39854"/>
    <cellStyle name="Comma 2 4 5 2 4 6" xfId="22524"/>
    <cellStyle name="Comma 2 4 5 2 4 7" xfId="23632"/>
    <cellStyle name="Comma 2 4 5 2 4 8" xfId="26846"/>
    <cellStyle name="Comma 2 4 5 2 4 9" xfId="30179"/>
    <cellStyle name="Comma 2 4 5 2 5" xfId="1207"/>
    <cellStyle name="Comma 2 4 5 2 5 10" xfId="33431"/>
    <cellStyle name="Comma 2 4 5 2 5 2" xfId="9977"/>
    <cellStyle name="Comma 2 4 5 2 5 2 2" xfId="25777"/>
    <cellStyle name="Comma 2 4 5 2 5 2 2 2" xfId="45204"/>
    <cellStyle name="Comma 2 4 5 2 5 2 2 3" xfId="38781"/>
    <cellStyle name="Comma 2 4 5 2 5 2 3" xfId="27955"/>
    <cellStyle name="Comma 2 4 5 2 5 2 3 2" xfId="41997"/>
    <cellStyle name="Comma 2 4 5 2 5 2 4" xfId="31290"/>
    <cellStyle name="Comma 2 4 5 2 5 2 5" xfId="35573"/>
    <cellStyle name="Comma 2 4 5 2 5 3" xfId="15645"/>
    <cellStyle name="Comma 2 4 5 2 5 3 2" xfId="24660"/>
    <cellStyle name="Comma 2 4 5 2 5 3 2 2" xfId="44089"/>
    <cellStyle name="Comma 2 4 5 2 5 3 2 3" xfId="37666"/>
    <cellStyle name="Comma 2 4 5 2 5 3 3" xfId="28981"/>
    <cellStyle name="Comma 2 4 5 2 5 3 3 2" xfId="40882"/>
    <cellStyle name="Comma 2 4 5 2 5 3 4" xfId="32316"/>
    <cellStyle name="Comma 2 4 5 2 5 3 5" xfId="34458"/>
    <cellStyle name="Comma 2 4 5 2 5 4" xfId="8463"/>
    <cellStyle name="Comma 2 4 5 2 5 4 2" xfId="43062"/>
    <cellStyle name="Comma 2 4 5 2 5 4 3" xfId="36638"/>
    <cellStyle name="Comma 2 4 5 2 5 5" xfId="21452"/>
    <cellStyle name="Comma 2 4 5 2 5 5 2" xfId="39855"/>
    <cellStyle name="Comma 2 4 5 2 5 6" xfId="22525"/>
    <cellStyle name="Comma 2 4 5 2 5 7" xfId="23633"/>
    <cellStyle name="Comma 2 4 5 2 5 8" xfId="26847"/>
    <cellStyle name="Comma 2 4 5 2 5 9" xfId="30180"/>
    <cellStyle name="Comma 2 4 5 2 6" xfId="1208"/>
    <cellStyle name="Comma 2 4 5 2 6 10" xfId="33432"/>
    <cellStyle name="Comma 2 4 5 2 6 2" xfId="9978"/>
    <cellStyle name="Comma 2 4 5 2 6 2 2" xfId="25778"/>
    <cellStyle name="Comma 2 4 5 2 6 2 2 2" xfId="45205"/>
    <cellStyle name="Comma 2 4 5 2 6 2 2 3" xfId="38782"/>
    <cellStyle name="Comma 2 4 5 2 6 2 3" xfId="27956"/>
    <cellStyle name="Comma 2 4 5 2 6 2 3 2" xfId="41998"/>
    <cellStyle name="Comma 2 4 5 2 6 2 4" xfId="31291"/>
    <cellStyle name="Comma 2 4 5 2 6 2 5" xfId="35574"/>
    <cellStyle name="Comma 2 4 5 2 6 3" xfId="15646"/>
    <cellStyle name="Comma 2 4 5 2 6 3 2" xfId="24661"/>
    <cellStyle name="Comma 2 4 5 2 6 3 2 2" xfId="44090"/>
    <cellStyle name="Comma 2 4 5 2 6 3 2 3" xfId="37667"/>
    <cellStyle name="Comma 2 4 5 2 6 3 3" xfId="28982"/>
    <cellStyle name="Comma 2 4 5 2 6 3 3 2" xfId="40883"/>
    <cellStyle name="Comma 2 4 5 2 6 3 4" xfId="32317"/>
    <cellStyle name="Comma 2 4 5 2 6 3 5" xfId="34459"/>
    <cellStyle name="Comma 2 4 5 2 6 4" xfId="8464"/>
    <cellStyle name="Comma 2 4 5 2 6 4 2" xfId="43063"/>
    <cellStyle name="Comma 2 4 5 2 6 4 3" xfId="36639"/>
    <cellStyle name="Comma 2 4 5 2 6 5" xfId="21453"/>
    <cellStyle name="Comma 2 4 5 2 6 5 2" xfId="39856"/>
    <cellStyle name="Comma 2 4 5 2 6 6" xfId="22526"/>
    <cellStyle name="Comma 2 4 5 2 6 7" xfId="23634"/>
    <cellStyle name="Comma 2 4 5 2 6 8" xfId="26848"/>
    <cellStyle name="Comma 2 4 5 2 6 9" xfId="30181"/>
    <cellStyle name="Comma 2 4 5 2 7" xfId="9088"/>
    <cellStyle name="Comma 2 4 5 2 7 2" xfId="25143"/>
    <cellStyle name="Comma 2 4 5 2 7 2 2" xfId="44570"/>
    <cellStyle name="Comma 2 4 5 2 7 2 3" xfId="38147"/>
    <cellStyle name="Comma 2 4 5 2 7 3" xfId="27322"/>
    <cellStyle name="Comma 2 4 5 2 7 3 2" xfId="41363"/>
    <cellStyle name="Comma 2 4 5 2 7 4" xfId="30657"/>
    <cellStyle name="Comma 2 4 5 2 7 5" xfId="34939"/>
    <cellStyle name="Comma 2 4 5 2 8" xfId="15641"/>
    <cellStyle name="Comma 2 4 5 2 8 2" xfId="24656"/>
    <cellStyle name="Comma 2 4 5 2 8 2 2" xfId="44085"/>
    <cellStyle name="Comma 2 4 5 2 8 2 3" xfId="37662"/>
    <cellStyle name="Comma 2 4 5 2 8 3" xfId="28977"/>
    <cellStyle name="Comma 2 4 5 2 8 3 2" xfId="40878"/>
    <cellStyle name="Comma 2 4 5 2 8 4" xfId="32312"/>
    <cellStyle name="Comma 2 4 5 2 8 5" xfId="34454"/>
    <cellStyle name="Comma 2 4 5 2 9" xfId="8459"/>
    <cellStyle name="Comma 2 4 5 2 9 2" xfId="42433"/>
    <cellStyle name="Comma 2 4 5 2 9 3" xfId="36009"/>
    <cellStyle name="Comma 2 4 5 3" xfId="1209"/>
    <cellStyle name="Comma 2 4 5 3 10" xfId="22527"/>
    <cellStyle name="Comma 2 4 5 3 11" xfId="23635"/>
    <cellStyle name="Comma 2 4 5 3 12" xfId="26849"/>
    <cellStyle name="Comma 2 4 5 3 13" xfId="30182"/>
    <cellStyle name="Comma 2 4 5 3 14" xfId="33433"/>
    <cellStyle name="Comma 2 4 5 3 2" xfId="1210"/>
    <cellStyle name="Comma 2 4 5 3 2 10" xfId="33434"/>
    <cellStyle name="Comma 2 4 5 3 2 2" xfId="9980"/>
    <cellStyle name="Comma 2 4 5 3 2 2 2" xfId="25780"/>
    <cellStyle name="Comma 2 4 5 3 2 2 2 2" xfId="45207"/>
    <cellStyle name="Comma 2 4 5 3 2 2 2 3" xfId="38784"/>
    <cellStyle name="Comma 2 4 5 3 2 2 3" xfId="27958"/>
    <cellStyle name="Comma 2 4 5 3 2 2 3 2" xfId="42000"/>
    <cellStyle name="Comma 2 4 5 3 2 2 4" xfId="31293"/>
    <cellStyle name="Comma 2 4 5 3 2 2 5" xfId="35576"/>
    <cellStyle name="Comma 2 4 5 3 2 3" xfId="15648"/>
    <cellStyle name="Comma 2 4 5 3 2 3 2" xfId="24663"/>
    <cellStyle name="Comma 2 4 5 3 2 3 2 2" xfId="44092"/>
    <cellStyle name="Comma 2 4 5 3 2 3 2 3" xfId="37669"/>
    <cellStyle name="Comma 2 4 5 3 2 3 3" xfId="28984"/>
    <cellStyle name="Comma 2 4 5 3 2 3 3 2" xfId="40885"/>
    <cellStyle name="Comma 2 4 5 3 2 3 4" xfId="32319"/>
    <cellStyle name="Comma 2 4 5 3 2 3 5" xfId="34461"/>
    <cellStyle name="Comma 2 4 5 3 2 4" xfId="8466"/>
    <cellStyle name="Comma 2 4 5 3 2 4 2" xfId="43065"/>
    <cellStyle name="Comma 2 4 5 3 2 4 3" xfId="36641"/>
    <cellStyle name="Comma 2 4 5 3 2 5" xfId="21455"/>
    <cellStyle name="Comma 2 4 5 3 2 5 2" xfId="39858"/>
    <cellStyle name="Comma 2 4 5 3 2 6" xfId="22528"/>
    <cellStyle name="Comma 2 4 5 3 2 7" xfId="23636"/>
    <cellStyle name="Comma 2 4 5 3 2 8" xfId="26850"/>
    <cellStyle name="Comma 2 4 5 3 2 9" xfId="30183"/>
    <cellStyle name="Comma 2 4 5 3 3" xfId="1211"/>
    <cellStyle name="Comma 2 4 5 3 3 10" xfId="33435"/>
    <cellStyle name="Comma 2 4 5 3 3 2" xfId="9981"/>
    <cellStyle name="Comma 2 4 5 3 3 2 2" xfId="25781"/>
    <cellStyle name="Comma 2 4 5 3 3 2 2 2" xfId="45208"/>
    <cellStyle name="Comma 2 4 5 3 3 2 2 3" xfId="38785"/>
    <cellStyle name="Comma 2 4 5 3 3 2 3" xfId="27959"/>
    <cellStyle name="Comma 2 4 5 3 3 2 3 2" xfId="42001"/>
    <cellStyle name="Comma 2 4 5 3 3 2 4" xfId="31294"/>
    <cellStyle name="Comma 2 4 5 3 3 2 5" xfId="35577"/>
    <cellStyle name="Comma 2 4 5 3 3 3" xfId="15649"/>
    <cellStyle name="Comma 2 4 5 3 3 3 2" xfId="24664"/>
    <cellStyle name="Comma 2 4 5 3 3 3 2 2" xfId="44093"/>
    <cellStyle name="Comma 2 4 5 3 3 3 2 3" xfId="37670"/>
    <cellStyle name="Comma 2 4 5 3 3 3 3" xfId="28985"/>
    <cellStyle name="Comma 2 4 5 3 3 3 3 2" xfId="40886"/>
    <cellStyle name="Comma 2 4 5 3 3 3 4" xfId="32320"/>
    <cellStyle name="Comma 2 4 5 3 3 3 5" xfId="34462"/>
    <cellStyle name="Comma 2 4 5 3 3 4" xfId="8467"/>
    <cellStyle name="Comma 2 4 5 3 3 4 2" xfId="43066"/>
    <cellStyle name="Comma 2 4 5 3 3 4 3" xfId="36642"/>
    <cellStyle name="Comma 2 4 5 3 3 5" xfId="21456"/>
    <cellStyle name="Comma 2 4 5 3 3 5 2" xfId="39859"/>
    <cellStyle name="Comma 2 4 5 3 3 6" xfId="22529"/>
    <cellStyle name="Comma 2 4 5 3 3 7" xfId="23637"/>
    <cellStyle name="Comma 2 4 5 3 3 8" xfId="26851"/>
    <cellStyle name="Comma 2 4 5 3 3 9" xfId="30184"/>
    <cellStyle name="Comma 2 4 5 3 4" xfId="1212"/>
    <cellStyle name="Comma 2 4 5 3 4 10" xfId="33436"/>
    <cellStyle name="Comma 2 4 5 3 4 2" xfId="9982"/>
    <cellStyle name="Comma 2 4 5 3 4 2 2" xfId="25782"/>
    <cellStyle name="Comma 2 4 5 3 4 2 2 2" xfId="45209"/>
    <cellStyle name="Comma 2 4 5 3 4 2 2 3" xfId="38786"/>
    <cellStyle name="Comma 2 4 5 3 4 2 3" xfId="27960"/>
    <cellStyle name="Comma 2 4 5 3 4 2 3 2" xfId="42002"/>
    <cellStyle name="Comma 2 4 5 3 4 2 4" xfId="31295"/>
    <cellStyle name="Comma 2 4 5 3 4 2 5" xfId="35578"/>
    <cellStyle name="Comma 2 4 5 3 4 3" xfId="15650"/>
    <cellStyle name="Comma 2 4 5 3 4 3 2" xfId="24665"/>
    <cellStyle name="Comma 2 4 5 3 4 3 2 2" xfId="44094"/>
    <cellStyle name="Comma 2 4 5 3 4 3 2 3" xfId="37671"/>
    <cellStyle name="Comma 2 4 5 3 4 3 3" xfId="28986"/>
    <cellStyle name="Comma 2 4 5 3 4 3 3 2" xfId="40887"/>
    <cellStyle name="Comma 2 4 5 3 4 3 4" xfId="32321"/>
    <cellStyle name="Comma 2 4 5 3 4 3 5" xfId="34463"/>
    <cellStyle name="Comma 2 4 5 3 4 4" xfId="8468"/>
    <cellStyle name="Comma 2 4 5 3 4 4 2" xfId="43067"/>
    <cellStyle name="Comma 2 4 5 3 4 4 3" xfId="36643"/>
    <cellStyle name="Comma 2 4 5 3 4 5" xfId="21457"/>
    <cellStyle name="Comma 2 4 5 3 4 5 2" xfId="39860"/>
    <cellStyle name="Comma 2 4 5 3 4 6" xfId="22530"/>
    <cellStyle name="Comma 2 4 5 3 4 7" xfId="23638"/>
    <cellStyle name="Comma 2 4 5 3 4 8" xfId="26852"/>
    <cellStyle name="Comma 2 4 5 3 4 9" xfId="30185"/>
    <cellStyle name="Comma 2 4 5 3 5" xfId="1213"/>
    <cellStyle name="Comma 2 4 5 3 5 10" xfId="33437"/>
    <cellStyle name="Comma 2 4 5 3 5 2" xfId="9983"/>
    <cellStyle name="Comma 2 4 5 3 5 2 2" xfId="25783"/>
    <cellStyle name="Comma 2 4 5 3 5 2 2 2" xfId="45210"/>
    <cellStyle name="Comma 2 4 5 3 5 2 2 3" xfId="38787"/>
    <cellStyle name="Comma 2 4 5 3 5 2 3" xfId="27961"/>
    <cellStyle name="Comma 2 4 5 3 5 2 3 2" xfId="42003"/>
    <cellStyle name="Comma 2 4 5 3 5 2 4" xfId="31296"/>
    <cellStyle name="Comma 2 4 5 3 5 2 5" xfId="35579"/>
    <cellStyle name="Comma 2 4 5 3 5 3" xfId="15651"/>
    <cellStyle name="Comma 2 4 5 3 5 3 2" xfId="24666"/>
    <cellStyle name="Comma 2 4 5 3 5 3 2 2" xfId="44095"/>
    <cellStyle name="Comma 2 4 5 3 5 3 2 3" xfId="37672"/>
    <cellStyle name="Comma 2 4 5 3 5 3 3" xfId="28987"/>
    <cellStyle name="Comma 2 4 5 3 5 3 3 2" xfId="40888"/>
    <cellStyle name="Comma 2 4 5 3 5 3 4" xfId="32322"/>
    <cellStyle name="Comma 2 4 5 3 5 3 5" xfId="34464"/>
    <cellStyle name="Comma 2 4 5 3 5 4" xfId="8469"/>
    <cellStyle name="Comma 2 4 5 3 5 4 2" xfId="43068"/>
    <cellStyle name="Comma 2 4 5 3 5 4 3" xfId="36644"/>
    <cellStyle name="Comma 2 4 5 3 5 5" xfId="21458"/>
    <cellStyle name="Comma 2 4 5 3 5 5 2" xfId="39861"/>
    <cellStyle name="Comma 2 4 5 3 5 6" xfId="22531"/>
    <cellStyle name="Comma 2 4 5 3 5 7" xfId="23639"/>
    <cellStyle name="Comma 2 4 5 3 5 8" xfId="26853"/>
    <cellStyle name="Comma 2 4 5 3 5 9" xfId="30186"/>
    <cellStyle name="Comma 2 4 5 3 6" xfId="9979"/>
    <cellStyle name="Comma 2 4 5 3 6 2" xfId="25779"/>
    <cellStyle name="Comma 2 4 5 3 6 2 2" xfId="45206"/>
    <cellStyle name="Comma 2 4 5 3 6 2 3" xfId="38783"/>
    <cellStyle name="Comma 2 4 5 3 6 3" xfId="27957"/>
    <cellStyle name="Comma 2 4 5 3 6 3 2" xfId="41999"/>
    <cellStyle name="Comma 2 4 5 3 6 4" xfId="31292"/>
    <cellStyle name="Comma 2 4 5 3 6 5" xfId="35575"/>
    <cellStyle name="Comma 2 4 5 3 7" xfId="15647"/>
    <cellStyle name="Comma 2 4 5 3 7 2" xfId="24662"/>
    <cellStyle name="Comma 2 4 5 3 7 2 2" xfId="44091"/>
    <cellStyle name="Comma 2 4 5 3 7 2 3" xfId="37668"/>
    <cellStyle name="Comma 2 4 5 3 7 3" xfId="28983"/>
    <cellStyle name="Comma 2 4 5 3 7 3 2" xfId="40884"/>
    <cellStyle name="Comma 2 4 5 3 7 4" xfId="32318"/>
    <cellStyle name="Comma 2 4 5 3 7 5" xfId="34460"/>
    <cellStyle name="Comma 2 4 5 3 8" xfId="8465"/>
    <cellStyle name="Comma 2 4 5 3 8 2" xfId="43064"/>
    <cellStyle name="Comma 2 4 5 3 8 3" xfId="36640"/>
    <cellStyle name="Comma 2 4 5 3 9" xfId="21454"/>
    <cellStyle name="Comma 2 4 5 3 9 2" xfId="39857"/>
    <cellStyle name="Comma 2 4 5 4" xfId="1214"/>
    <cellStyle name="Comma 2 4 5 4 10" xfId="33438"/>
    <cellStyle name="Comma 2 4 5 4 2" xfId="9984"/>
    <cellStyle name="Comma 2 4 5 4 2 2" xfId="25784"/>
    <cellStyle name="Comma 2 4 5 4 2 2 2" xfId="45211"/>
    <cellStyle name="Comma 2 4 5 4 2 2 3" xfId="38788"/>
    <cellStyle name="Comma 2 4 5 4 2 3" xfId="27962"/>
    <cellStyle name="Comma 2 4 5 4 2 3 2" xfId="42004"/>
    <cellStyle name="Comma 2 4 5 4 2 4" xfId="31297"/>
    <cellStyle name="Comma 2 4 5 4 2 5" xfId="35580"/>
    <cellStyle name="Comma 2 4 5 4 3" xfId="15652"/>
    <cellStyle name="Comma 2 4 5 4 3 2" xfId="24667"/>
    <cellStyle name="Comma 2 4 5 4 3 2 2" xfId="44096"/>
    <cellStyle name="Comma 2 4 5 4 3 2 3" xfId="37673"/>
    <cellStyle name="Comma 2 4 5 4 3 3" xfId="28988"/>
    <cellStyle name="Comma 2 4 5 4 3 3 2" xfId="40889"/>
    <cellStyle name="Comma 2 4 5 4 3 4" xfId="32323"/>
    <cellStyle name="Comma 2 4 5 4 3 5" xfId="34465"/>
    <cellStyle name="Comma 2 4 5 4 4" xfId="8470"/>
    <cellStyle name="Comma 2 4 5 4 4 2" xfId="43069"/>
    <cellStyle name="Comma 2 4 5 4 4 3" xfId="36645"/>
    <cellStyle name="Comma 2 4 5 4 5" xfId="21459"/>
    <cellStyle name="Comma 2 4 5 4 5 2" xfId="39862"/>
    <cellStyle name="Comma 2 4 5 4 6" xfId="22532"/>
    <cellStyle name="Comma 2 4 5 4 7" xfId="23640"/>
    <cellStyle name="Comma 2 4 5 4 8" xfId="26854"/>
    <cellStyle name="Comma 2 4 5 4 9" xfId="30187"/>
    <cellStyle name="Comma 2 4 5 5" xfId="1215"/>
    <cellStyle name="Comma 2 4 5 5 10" xfId="33439"/>
    <cellStyle name="Comma 2 4 5 5 2" xfId="9985"/>
    <cellStyle name="Comma 2 4 5 5 2 2" xfId="25785"/>
    <cellStyle name="Comma 2 4 5 5 2 2 2" xfId="45212"/>
    <cellStyle name="Comma 2 4 5 5 2 2 3" xfId="38789"/>
    <cellStyle name="Comma 2 4 5 5 2 3" xfId="27963"/>
    <cellStyle name="Comma 2 4 5 5 2 3 2" xfId="42005"/>
    <cellStyle name="Comma 2 4 5 5 2 4" xfId="31298"/>
    <cellStyle name="Comma 2 4 5 5 2 5" xfId="35581"/>
    <cellStyle name="Comma 2 4 5 5 3" xfId="15653"/>
    <cellStyle name="Comma 2 4 5 5 3 2" xfId="24668"/>
    <cellStyle name="Comma 2 4 5 5 3 2 2" xfId="44097"/>
    <cellStyle name="Comma 2 4 5 5 3 2 3" xfId="37674"/>
    <cellStyle name="Comma 2 4 5 5 3 3" xfId="28989"/>
    <cellStyle name="Comma 2 4 5 5 3 3 2" xfId="40890"/>
    <cellStyle name="Comma 2 4 5 5 3 4" xfId="32324"/>
    <cellStyle name="Comma 2 4 5 5 3 5" xfId="34466"/>
    <cellStyle name="Comma 2 4 5 5 4" xfId="8471"/>
    <cellStyle name="Comma 2 4 5 5 4 2" xfId="43070"/>
    <cellStyle name="Comma 2 4 5 5 4 3" xfId="36646"/>
    <cellStyle name="Comma 2 4 5 5 5" xfId="21460"/>
    <cellStyle name="Comma 2 4 5 5 5 2" xfId="39863"/>
    <cellStyle name="Comma 2 4 5 5 6" xfId="22533"/>
    <cellStyle name="Comma 2 4 5 5 7" xfId="23641"/>
    <cellStyle name="Comma 2 4 5 5 8" xfId="26855"/>
    <cellStyle name="Comma 2 4 5 5 9" xfId="30188"/>
    <cellStyle name="Comma 2 4 5 6" xfId="1216"/>
    <cellStyle name="Comma 2 4 5 6 10" xfId="33440"/>
    <cellStyle name="Comma 2 4 5 6 2" xfId="9986"/>
    <cellStyle name="Comma 2 4 5 6 2 2" xfId="25786"/>
    <cellStyle name="Comma 2 4 5 6 2 2 2" xfId="45213"/>
    <cellStyle name="Comma 2 4 5 6 2 2 3" xfId="38790"/>
    <cellStyle name="Comma 2 4 5 6 2 3" xfId="27964"/>
    <cellStyle name="Comma 2 4 5 6 2 3 2" xfId="42006"/>
    <cellStyle name="Comma 2 4 5 6 2 4" xfId="31299"/>
    <cellStyle name="Comma 2 4 5 6 2 5" xfId="35582"/>
    <cellStyle name="Comma 2 4 5 6 3" xfId="15654"/>
    <cellStyle name="Comma 2 4 5 6 3 2" xfId="24669"/>
    <cellStyle name="Comma 2 4 5 6 3 2 2" xfId="44098"/>
    <cellStyle name="Comma 2 4 5 6 3 2 3" xfId="37675"/>
    <cellStyle name="Comma 2 4 5 6 3 3" xfId="28990"/>
    <cellStyle name="Comma 2 4 5 6 3 3 2" xfId="40891"/>
    <cellStyle name="Comma 2 4 5 6 3 4" xfId="32325"/>
    <cellStyle name="Comma 2 4 5 6 3 5" xfId="34467"/>
    <cellStyle name="Comma 2 4 5 6 4" xfId="8472"/>
    <cellStyle name="Comma 2 4 5 6 4 2" xfId="43071"/>
    <cellStyle name="Comma 2 4 5 6 4 3" xfId="36647"/>
    <cellStyle name="Comma 2 4 5 6 5" xfId="21461"/>
    <cellStyle name="Comma 2 4 5 6 5 2" xfId="39864"/>
    <cellStyle name="Comma 2 4 5 6 6" xfId="22534"/>
    <cellStyle name="Comma 2 4 5 6 7" xfId="23642"/>
    <cellStyle name="Comma 2 4 5 6 8" xfId="26856"/>
    <cellStyle name="Comma 2 4 5 6 9" xfId="30189"/>
    <cellStyle name="Comma 2 4 5 7" xfId="1217"/>
    <cellStyle name="Comma 2 4 5 7 10" xfId="33441"/>
    <cellStyle name="Comma 2 4 5 7 2" xfId="9987"/>
    <cellStyle name="Comma 2 4 5 7 2 2" xfId="25787"/>
    <cellStyle name="Comma 2 4 5 7 2 2 2" xfId="45214"/>
    <cellStyle name="Comma 2 4 5 7 2 2 3" xfId="38791"/>
    <cellStyle name="Comma 2 4 5 7 2 3" xfId="27965"/>
    <cellStyle name="Comma 2 4 5 7 2 3 2" xfId="42007"/>
    <cellStyle name="Comma 2 4 5 7 2 4" xfId="31300"/>
    <cellStyle name="Comma 2 4 5 7 2 5" xfId="35583"/>
    <cellStyle name="Comma 2 4 5 7 3" xfId="15655"/>
    <cellStyle name="Comma 2 4 5 7 3 2" xfId="24670"/>
    <cellStyle name="Comma 2 4 5 7 3 2 2" xfId="44099"/>
    <cellStyle name="Comma 2 4 5 7 3 2 3" xfId="37676"/>
    <cellStyle name="Comma 2 4 5 7 3 3" xfId="28991"/>
    <cellStyle name="Comma 2 4 5 7 3 3 2" xfId="40892"/>
    <cellStyle name="Comma 2 4 5 7 3 4" xfId="32326"/>
    <cellStyle name="Comma 2 4 5 7 3 5" xfId="34468"/>
    <cellStyle name="Comma 2 4 5 7 4" xfId="8473"/>
    <cellStyle name="Comma 2 4 5 7 4 2" xfId="43072"/>
    <cellStyle name="Comma 2 4 5 7 4 3" xfId="36648"/>
    <cellStyle name="Comma 2 4 5 7 5" xfId="21462"/>
    <cellStyle name="Comma 2 4 5 7 5 2" xfId="39865"/>
    <cellStyle name="Comma 2 4 5 7 6" xfId="22535"/>
    <cellStyle name="Comma 2 4 5 7 7" xfId="23643"/>
    <cellStyle name="Comma 2 4 5 7 8" xfId="26857"/>
    <cellStyle name="Comma 2 4 5 7 9" xfId="30190"/>
    <cellStyle name="Comma 2 4 5 8" xfId="1218"/>
    <cellStyle name="Comma 2 4 5 8 10" xfId="33442"/>
    <cellStyle name="Comma 2 4 5 8 2" xfId="9988"/>
    <cellStyle name="Comma 2 4 5 8 2 2" xfId="25788"/>
    <cellStyle name="Comma 2 4 5 8 2 2 2" xfId="45215"/>
    <cellStyle name="Comma 2 4 5 8 2 2 3" xfId="38792"/>
    <cellStyle name="Comma 2 4 5 8 2 3" xfId="27966"/>
    <cellStyle name="Comma 2 4 5 8 2 3 2" xfId="42008"/>
    <cellStyle name="Comma 2 4 5 8 2 4" xfId="31301"/>
    <cellStyle name="Comma 2 4 5 8 2 5" xfId="35584"/>
    <cellStyle name="Comma 2 4 5 8 3" xfId="15656"/>
    <cellStyle name="Comma 2 4 5 8 3 2" xfId="24671"/>
    <cellStyle name="Comma 2 4 5 8 3 2 2" xfId="44100"/>
    <cellStyle name="Comma 2 4 5 8 3 2 3" xfId="37677"/>
    <cellStyle name="Comma 2 4 5 8 3 3" xfId="28992"/>
    <cellStyle name="Comma 2 4 5 8 3 3 2" xfId="40893"/>
    <cellStyle name="Comma 2 4 5 8 3 4" xfId="32327"/>
    <cellStyle name="Comma 2 4 5 8 3 5" xfId="34469"/>
    <cellStyle name="Comma 2 4 5 8 4" xfId="8474"/>
    <cellStyle name="Comma 2 4 5 8 4 2" xfId="43073"/>
    <cellStyle name="Comma 2 4 5 8 4 3" xfId="36649"/>
    <cellStyle name="Comma 2 4 5 8 5" xfId="21463"/>
    <cellStyle name="Comma 2 4 5 8 5 2" xfId="39866"/>
    <cellStyle name="Comma 2 4 5 8 6" xfId="22536"/>
    <cellStyle name="Comma 2 4 5 8 7" xfId="23644"/>
    <cellStyle name="Comma 2 4 5 8 8" xfId="26858"/>
    <cellStyle name="Comma 2 4 5 8 9" xfId="30191"/>
    <cellStyle name="Comma 2 4 5 9" xfId="9062"/>
    <cellStyle name="Comma 2 4 5 9 2" xfId="25118"/>
    <cellStyle name="Comma 2 4 5 9 2 2" xfId="44545"/>
    <cellStyle name="Comma 2 4 5 9 2 3" xfId="38122"/>
    <cellStyle name="Comma 2 4 5 9 3" xfId="27297"/>
    <cellStyle name="Comma 2 4 5 9 3 2" xfId="41338"/>
    <cellStyle name="Comma 2 4 5 9 4" xfId="30632"/>
    <cellStyle name="Comma 2 4 5 9 5" xfId="34914"/>
    <cellStyle name="Comma 2 4 6" xfId="209"/>
    <cellStyle name="Comma 2 4 6 10" xfId="21464"/>
    <cellStyle name="Comma 2 4 6 10 2" xfId="39220"/>
    <cellStyle name="Comma 2 4 6 11" xfId="22537"/>
    <cellStyle name="Comma 2 4 6 12" xfId="22998"/>
    <cellStyle name="Comma 2 4 6 13" xfId="26859"/>
    <cellStyle name="Comma 2 4 6 14" xfId="30192"/>
    <cellStyle name="Comma 2 4 6 15" xfId="32796"/>
    <cellStyle name="Comma 2 4 6 2" xfId="1219"/>
    <cellStyle name="Comma 2 4 6 2 10" xfId="33443"/>
    <cellStyle name="Comma 2 4 6 2 2" xfId="9989"/>
    <cellStyle name="Comma 2 4 6 2 2 2" xfId="25789"/>
    <cellStyle name="Comma 2 4 6 2 2 2 2" xfId="45216"/>
    <cellStyle name="Comma 2 4 6 2 2 2 3" xfId="38793"/>
    <cellStyle name="Comma 2 4 6 2 2 3" xfId="27967"/>
    <cellStyle name="Comma 2 4 6 2 2 3 2" xfId="42009"/>
    <cellStyle name="Comma 2 4 6 2 2 4" xfId="31302"/>
    <cellStyle name="Comma 2 4 6 2 2 5" xfId="35585"/>
    <cellStyle name="Comma 2 4 6 2 3" xfId="15658"/>
    <cellStyle name="Comma 2 4 6 2 3 2" xfId="24673"/>
    <cellStyle name="Comma 2 4 6 2 3 2 2" xfId="44102"/>
    <cellStyle name="Comma 2 4 6 2 3 2 3" xfId="37679"/>
    <cellStyle name="Comma 2 4 6 2 3 3" xfId="28994"/>
    <cellStyle name="Comma 2 4 6 2 3 3 2" xfId="40895"/>
    <cellStyle name="Comma 2 4 6 2 3 4" xfId="32329"/>
    <cellStyle name="Comma 2 4 6 2 3 5" xfId="34471"/>
    <cellStyle name="Comma 2 4 6 2 4" xfId="8476"/>
    <cellStyle name="Comma 2 4 6 2 4 2" xfId="43074"/>
    <cellStyle name="Comma 2 4 6 2 4 3" xfId="36650"/>
    <cellStyle name="Comma 2 4 6 2 5" xfId="21465"/>
    <cellStyle name="Comma 2 4 6 2 5 2" xfId="39867"/>
    <cellStyle name="Comma 2 4 6 2 6" xfId="22538"/>
    <cellStyle name="Comma 2 4 6 2 7" xfId="23645"/>
    <cellStyle name="Comma 2 4 6 2 8" xfId="26860"/>
    <cellStyle name="Comma 2 4 6 2 9" xfId="30193"/>
    <cellStyle name="Comma 2 4 6 3" xfId="1220"/>
    <cellStyle name="Comma 2 4 6 3 10" xfId="33444"/>
    <cellStyle name="Comma 2 4 6 3 2" xfId="9990"/>
    <cellStyle name="Comma 2 4 6 3 2 2" xfId="25790"/>
    <cellStyle name="Comma 2 4 6 3 2 2 2" xfId="45217"/>
    <cellStyle name="Comma 2 4 6 3 2 2 3" xfId="38794"/>
    <cellStyle name="Comma 2 4 6 3 2 3" xfId="27968"/>
    <cellStyle name="Comma 2 4 6 3 2 3 2" xfId="42010"/>
    <cellStyle name="Comma 2 4 6 3 2 4" xfId="31303"/>
    <cellStyle name="Comma 2 4 6 3 2 5" xfId="35586"/>
    <cellStyle name="Comma 2 4 6 3 3" xfId="15659"/>
    <cellStyle name="Comma 2 4 6 3 3 2" xfId="24674"/>
    <cellStyle name="Comma 2 4 6 3 3 2 2" xfId="44103"/>
    <cellStyle name="Comma 2 4 6 3 3 2 3" xfId="37680"/>
    <cellStyle name="Comma 2 4 6 3 3 3" xfId="28995"/>
    <cellStyle name="Comma 2 4 6 3 3 3 2" xfId="40896"/>
    <cellStyle name="Comma 2 4 6 3 3 4" xfId="32330"/>
    <cellStyle name="Comma 2 4 6 3 3 5" xfId="34472"/>
    <cellStyle name="Comma 2 4 6 3 4" xfId="8477"/>
    <cellStyle name="Comma 2 4 6 3 4 2" xfId="43075"/>
    <cellStyle name="Comma 2 4 6 3 4 3" xfId="36651"/>
    <cellStyle name="Comma 2 4 6 3 5" xfId="21466"/>
    <cellStyle name="Comma 2 4 6 3 5 2" xfId="39868"/>
    <cellStyle name="Comma 2 4 6 3 6" xfId="22539"/>
    <cellStyle name="Comma 2 4 6 3 7" xfId="23646"/>
    <cellStyle name="Comma 2 4 6 3 8" xfId="26861"/>
    <cellStyle name="Comma 2 4 6 3 9" xfId="30194"/>
    <cellStyle name="Comma 2 4 6 4" xfId="1221"/>
    <cellStyle name="Comma 2 4 6 4 10" xfId="33445"/>
    <cellStyle name="Comma 2 4 6 4 2" xfId="9991"/>
    <cellStyle name="Comma 2 4 6 4 2 2" xfId="25791"/>
    <cellStyle name="Comma 2 4 6 4 2 2 2" xfId="45218"/>
    <cellStyle name="Comma 2 4 6 4 2 2 3" xfId="38795"/>
    <cellStyle name="Comma 2 4 6 4 2 3" xfId="27969"/>
    <cellStyle name="Comma 2 4 6 4 2 3 2" xfId="42011"/>
    <cellStyle name="Comma 2 4 6 4 2 4" xfId="31304"/>
    <cellStyle name="Comma 2 4 6 4 2 5" xfId="35587"/>
    <cellStyle name="Comma 2 4 6 4 3" xfId="15660"/>
    <cellStyle name="Comma 2 4 6 4 3 2" xfId="24675"/>
    <cellStyle name="Comma 2 4 6 4 3 2 2" xfId="44104"/>
    <cellStyle name="Comma 2 4 6 4 3 2 3" xfId="37681"/>
    <cellStyle name="Comma 2 4 6 4 3 3" xfId="28996"/>
    <cellStyle name="Comma 2 4 6 4 3 3 2" xfId="40897"/>
    <cellStyle name="Comma 2 4 6 4 3 4" xfId="32331"/>
    <cellStyle name="Comma 2 4 6 4 3 5" xfId="34473"/>
    <cellStyle name="Comma 2 4 6 4 4" xfId="8478"/>
    <cellStyle name="Comma 2 4 6 4 4 2" xfId="43076"/>
    <cellStyle name="Comma 2 4 6 4 4 3" xfId="36652"/>
    <cellStyle name="Comma 2 4 6 4 5" xfId="21467"/>
    <cellStyle name="Comma 2 4 6 4 5 2" xfId="39869"/>
    <cellStyle name="Comma 2 4 6 4 6" xfId="22540"/>
    <cellStyle name="Comma 2 4 6 4 7" xfId="23647"/>
    <cellStyle name="Comma 2 4 6 4 8" xfId="26862"/>
    <cellStyle name="Comma 2 4 6 4 9" xfId="30195"/>
    <cellStyle name="Comma 2 4 6 5" xfId="1222"/>
    <cellStyle name="Comma 2 4 6 5 10" xfId="33446"/>
    <cellStyle name="Comma 2 4 6 5 2" xfId="9992"/>
    <cellStyle name="Comma 2 4 6 5 2 2" xfId="25792"/>
    <cellStyle name="Comma 2 4 6 5 2 2 2" xfId="45219"/>
    <cellStyle name="Comma 2 4 6 5 2 2 3" xfId="38796"/>
    <cellStyle name="Comma 2 4 6 5 2 3" xfId="27970"/>
    <cellStyle name="Comma 2 4 6 5 2 3 2" xfId="42012"/>
    <cellStyle name="Comma 2 4 6 5 2 4" xfId="31305"/>
    <cellStyle name="Comma 2 4 6 5 2 5" xfId="35588"/>
    <cellStyle name="Comma 2 4 6 5 3" xfId="15661"/>
    <cellStyle name="Comma 2 4 6 5 3 2" xfId="24676"/>
    <cellStyle name="Comma 2 4 6 5 3 2 2" xfId="44105"/>
    <cellStyle name="Comma 2 4 6 5 3 2 3" xfId="37682"/>
    <cellStyle name="Comma 2 4 6 5 3 3" xfId="28997"/>
    <cellStyle name="Comma 2 4 6 5 3 3 2" xfId="40898"/>
    <cellStyle name="Comma 2 4 6 5 3 4" xfId="32332"/>
    <cellStyle name="Comma 2 4 6 5 3 5" xfId="34474"/>
    <cellStyle name="Comma 2 4 6 5 4" xfId="8479"/>
    <cellStyle name="Comma 2 4 6 5 4 2" xfId="43077"/>
    <cellStyle name="Comma 2 4 6 5 4 3" xfId="36653"/>
    <cellStyle name="Comma 2 4 6 5 5" xfId="21468"/>
    <cellStyle name="Comma 2 4 6 5 5 2" xfId="39870"/>
    <cellStyle name="Comma 2 4 6 5 6" xfId="22541"/>
    <cellStyle name="Comma 2 4 6 5 7" xfId="23648"/>
    <cellStyle name="Comma 2 4 6 5 8" xfId="26863"/>
    <cellStyle name="Comma 2 4 6 5 9" xfId="30196"/>
    <cellStyle name="Comma 2 4 6 6" xfId="1223"/>
    <cellStyle name="Comma 2 4 6 6 10" xfId="33447"/>
    <cellStyle name="Comma 2 4 6 6 2" xfId="9993"/>
    <cellStyle name="Comma 2 4 6 6 2 2" xfId="25793"/>
    <cellStyle name="Comma 2 4 6 6 2 2 2" xfId="45220"/>
    <cellStyle name="Comma 2 4 6 6 2 2 3" xfId="38797"/>
    <cellStyle name="Comma 2 4 6 6 2 3" xfId="27971"/>
    <cellStyle name="Comma 2 4 6 6 2 3 2" xfId="42013"/>
    <cellStyle name="Comma 2 4 6 6 2 4" xfId="31306"/>
    <cellStyle name="Comma 2 4 6 6 2 5" xfId="35589"/>
    <cellStyle name="Comma 2 4 6 6 3" xfId="15662"/>
    <cellStyle name="Comma 2 4 6 6 3 2" xfId="24677"/>
    <cellStyle name="Comma 2 4 6 6 3 2 2" xfId="44106"/>
    <cellStyle name="Comma 2 4 6 6 3 2 3" xfId="37683"/>
    <cellStyle name="Comma 2 4 6 6 3 3" xfId="28998"/>
    <cellStyle name="Comma 2 4 6 6 3 3 2" xfId="40899"/>
    <cellStyle name="Comma 2 4 6 6 3 4" xfId="32333"/>
    <cellStyle name="Comma 2 4 6 6 3 5" xfId="34475"/>
    <cellStyle name="Comma 2 4 6 6 4" xfId="8480"/>
    <cellStyle name="Comma 2 4 6 6 4 2" xfId="43078"/>
    <cellStyle name="Comma 2 4 6 6 4 3" xfId="36654"/>
    <cellStyle name="Comma 2 4 6 6 5" xfId="21469"/>
    <cellStyle name="Comma 2 4 6 6 5 2" xfId="39871"/>
    <cellStyle name="Comma 2 4 6 6 6" xfId="22542"/>
    <cellStyle name="Comma 2 4 6 6 7" xfId="23649"/>
    <cellStyle name="Comma 2 4 6 6 8" xfId="26864"/>
    <cellStyle name="Comma 2 4 6 6 9" xfId="30197"/>
    <cellStyle name="Comma 2 4 6 7" xfId="9082"/>
    <cellStyle name="Comma 2 4 6 7 2" xfId="25137"/>
    <cellStyle name="Comma 2 4 6 7 2 2" xfId="44564"/>
    <cellStyle name="Comma 2 4 6 7 2 3" xfId="38141"/>
    <cellStyle name="Comma 2 4 6 7 3" xfId="27316"/>
    <cellStyle name="Comma 2 4 6 7 3 2" xfId="41357"/>
    <cellStyle name="Comma 2 4 6 7 4" xfId="30651"/>
    <cellStyle name="Comma 2 4 6 7 5" xfId="34933"/>
    <cellStyle name="Comma 2 4 6 8" xfId="15657"/>
    <cellStyle name="Comma 2 4 6 8 2" xfId="24672"/>
    <cellStyle name="Comma 2 4 6 8 2 2" xfId="44101"/>
    <cellStyle name="Comma 2 4 6 8 2 3" xfId="37678"/>
    <cellStyle name="Comma 2 4 6 8 3" xfId="28993"/>
    <cellStyle name="Comma 2 4 6 8 3 2" xfId="40894"/>
    <cellStyle name="Comma 2 4 6 8 4" xfId="32328"/>
    <cellStyle name="Comma 2 4 6 8 5" xfId="34470"/>
    <cellStyle name="Comma 2 4 6 9" xfId="8475"/>
    <cellStyle name="Comma 2 4 6 9 2" xfId="42427"/>
    <cellStyle name="Comma 2 4 6 9 3" xfId="36003"/>
    <cellStyle name="Comma 2 4 7" xfId="1224"/>
    <cellStyle name="Comma 2 4 7 10" xfId="22543"/>
    <cellStyle name="Comma 2 4 7 11" xfId="23650"/>
    <cellStyle name="Comma 2 4 7 12" xfId="26865"/>
    <cellStyle name="Comma 2 4 7 13" xfId="30198"/>
    <cellStyle name="Comma 2 4 7 14" xfId="33448"/>
    <cellStyle name="Comma 2 4 7 2" xfId="1225"/>
    <cellStyle name="Comma 2 4 7 2 10" xfId="33449"/>
    <cellStyle name="Comma 2 4 7 2 2" xfId="9995"/>
    <cellStyle name="Comma 2 4 7 2 2 2" xfId="25795"/>
    <cellStyle name="Comma 2 4 7 2 2 2 2" xfId="45222"/>
    <cellStyle name="Comma 2 4 7 2 2 2 3" xfId="38799"/>
    <cellStyle name="Comma 2 4 7 2 2 3" xfId="27973"/>
    <cellStyle name="Comma 2 4 7 2 2 3 2" xfId="42015"/>
    <cellStyle name="Comma 2 4 7 2 2 4" xfId="31308"/>
    <cellStyle name="Comma 2 4 7 2 2 5" xfId="35591"/>
    <cellStyle name="Comma 2 4 7 2 3" xfId="15664"/>
    <cellStyle name="Comma 2 4 7 2 3 2" xfId="24679"/>
    <cellStyle name="Comma 2 4 7 2 3 2 2" xfId="44108"/>
    <cellStyle name="Comma 2 4 7 2 3 2 3" xfId="37685"/>
    <cellStyle name="Comma 2 4 7 2 3 3" xfId="29000"/>
    <cellStyle name="Comma 2 4 7 2 3 3 2" xfId="40901"/>
    <cellStyle name="Comma 2 4 7 2 3 4" xfId="32335"/>
    <cellStyle name="Comma 2 4 7 2 3 5" xfId="34477"/>
    <cellStyle name="Comma 2 4 7 2 4" xfId="8482"/>
    <cellStyle name="Comma 2 4 7 2 4 2" xfId="43080"/>
    <cellStyle name="Comma 2 4 7 2 4 3" xfId="36656"/>
    <cellStyle name="Comma 2 4 7 2 5" xfId="21471"/>
    <cellStyle name="Comma 2 4 7 2 5 2" xfId="39873"/>
    <cellStyle name="Comma 2 4 7 2 6" xfId="22544"/>
    <cellStyle name="Comma 2 4 7 2 7" xfId="23651"/>
    <cellStyle name="Comma 2 4 7 2 8" xfId="26866"/>
    <cellStyle name="Comma 2 4 7 2 9" xfId="30199"/>
    <cellStyle name="Comma 2 4 7 3" xfId="1226"/>
    <cellStyle name="Comma 2 4 7 3 10" xfId="33450"/>
    <cellStyle name="Comma 2 4 7 3 2" xfId="9996"/>
    <cellStyle name="Comma 2 4 7 3 2 2" xfId="25796"/>
    <cellStyle name="Comma 2 4 7 3 2 2 2" xfId="45223"/>
    <cellStyle name="Comma 2 4 7 3 2 2 3" xfId="38800"/>
    <cellStyle name="Comma 2 4 7 3 2 3" xfId="27974"/>
    <cellStyle name="Comma 2 4 7 3 2 3 2" xfId="42016"/>
    <cellStyle name="Comma 2 4 7 3 2 4" xfId="31309"/>
    <cellStyle name="Comma 2 4 7 3 2 5" xfId="35592"/>
    <cellStyle name="Comma 2 4 7 3 3" xfId="15665"/>
    <cellStyle name="Comma 2 4 7 3 3 2" xfId="24680"/>
    <cellStyle name="Comma 2 4 7 3 3 2 2" xfId="44109"/>
    <cellStyle name="Comma 2 4 7 3 3 2 3" xfId="37686"/>
    <cellStyle name="Comma 2 4 7 3 3 3" xfId="29001"/>
    <cellStyle name="Comma 2 4 7 3 3 3 2" xfId="40902"/>
    <cellStyle name="Comma 2 4 7 3 3 4" xfId="32336"/>
    <cellStyle name="Comma 2 4 7 3 3 5" xfId="34478"/>
    <cellStyle name="Comma 2 4 7 3 4" xfId="8483"/>
    <cellStyle name="Comma 2 4 7 3 4 2" xfId="43081"/>
    <cellStyle name="Comma 2 4 7 3 4 3" xfId="36657"/>
    <cellStyle name="Comma 2 4 7 3 5" xfId="21472"/>
    <cellStyle name="Comma 2 4 7 3 5 2" xfId="39874"/>
    <cellStyle name="Comma 2 4 7 3 6" xfId="22545"/>
    <cellStyle name="Comma 2 4 7 3 7" xfId="23652"/>
    <cellStyle name="Comma 2 4 7 3 8" xfId="26867"/>
    <cellStyle name="Comma 2 4 7 3 9" xfId="30200"/>
    <cellStyle name="Comma 2 4 7 4" xfId="1227"/>
    <cellStyle name="Comma 2 4 7 4 10" xfId="33451"/>
    <cellStyle name="Comma 2 4 7 4 2" xfId="9997"/>
    <cellStyle name="Comma 2 4 7 4 2 2" xfId="25797"/>
    <cellStyle name="Comma 2 4 7 4 2 2 2" xfId="45224"/>
    <cellStyle name="Comma 2 4 7 4 2 2 3" xfId="38801"/>
    <cellStyle name="Comma 2 4 7 4 2 3" xfId="27975"/>
    <cellStyle name="Comma 2 4 7 4 2 3 2" xfId="42017"/>
    <cellStyle name="Comma 2 4 7 4 2 4" xfId="31310"/>
    <cellStyle name="Comma 2 4 7 4 2 5" xfId="35593"/>
    <cellStyle name="Comma 2 4 7 4 3" xfId="15666"/>
    <cellStyle name="Comma 2 4 7 4 3 2" xfId="24681"/>
    <cellStyle name="Comma 2 4 7 4 3 2 2" xfId="44110"/>
    <cellStyle name="Comma 2 4 7 4 3 2 3" xfId="37687"/>
    <cellStyle name="Comma 2 4 7 4 3 3" xfId="29002"/>
    <cellStyle name="Comma 2 4 7 4 3 3 2" xfId="40903"/>
    <cellStyle name="Comma 2 4 7 4 3 4" xfId="32337"/>
    <cellStyle name="Comma 2 4 7 4 3 5" xfId="34479"/>
    <cellStyle name="Comma 2 4 7 4 4" xfId="8484"/>
    <cellStyle name="Comma 2 4 7 4 4 2" xfId="43082"/>
    <cellStyle name="Comma 2 4 7 4 4 3" xfId="36658"/>
    <cellStyle name="Comma 2 4 7 4 5" xfId="21473"/>
    <cellStyle name="Comma 2 4 7 4 5 2" xfId="39875"/>
    <cellStyle name="Comma 2 4 7 4 6" xfId="22546"/>
    <cellStyle name="Comma 2 4 7 4 7" xfId="23653"/>
    <cellStyle name="Comma 2 4 7 4 8" xfId="26868"/>
    <cellStyle name="Comma 2 4 7 4 9" xfId="30201"/>
    <cellStyle name="Comma 2 4 7 5" xfId="1228"/>
    <cellStyle name="Comma 2 4 7 5 10" xfId="33452"/>
    <cellStyle name="Comma 2 4 7 5 2" xfId="9998"/>
    <cellStyle name="Comma 2 4 7 5 2 2" xfId="25798"/>
    <cellStyle name="Comma 2 4 7 5 2 2 2" xfId="45225"/>
    <cellStyle name="Comma 2 4 7 5 2 2 3" xfId="38802"/>
    <cellStyle name="Comma 2 4 7 5 2 3" xfId="27976"/>
    <cellStyle name="Comma 2 4 7 5 2 3 2" xfId="42018"/>
    <cellStyle name="Comma 2 4 7 5 2 4" xfId="31311"/>
    <cellStyle name="Comma 2 4 7 5 2 5" xfId="35594"/>
    <cellStyle name="Comma 2 4 7 5 3" xfId="15667"/>
    <cellStyle name="Comma 2 4 7 5 3 2" xfId="24682"/>
    <cellStyle name="Comma 2 4 7 5 3 2 2" xfId="44111"/>
    <cellStyle name="Comma 2 4 7 5 3 2 3" xfId="37688"/>
    <cellStyle name="Comma 2 4 7 5 3 3" xfId="29003"/>
    <cellStyle name="Comma 2 4 7 5 3 3 2" xfId="40904"/>
    <cellStyle name="Comma 2 4 7 5 3 4" xfId="32338"/>
    <cellStyle name="Comma 2 4 7 5 3 5" xfId="34480"/>
    <cellStyle name="Comma 2 4 7 5 4" xfId="8485"/>
    <cellStyle name="Comma 2 4 7 5 4 2" xfId="43083"/>
    <cellStyle name="Comma 2 4 7 5 4 3" xfId="36659"/>
    <cellStyle name="Comma 2 4 7 5 5" xfId="21474"/>
    <cellStyle name="Comma 2 4 7 5 5 2" xfId="39876"/>
    <cellStyle name="Comma 2 4 7 5 6" xfId="22547"/>
    <cellStyle name="Comma 2 4 7 5 7" xfId="23654"/>
    <cellStyle name="Comma 2 4 7 5 8" xfId="26869"/>
    <cellStyle name="Comma 2 4 7 5 9" xfId="30202"/>
    <cellStyle name="Comma 2 4 7 6" xfId="9994"/>
    <cellStyle name="Comma 2 4 7 6 2" xfId="25794"/>
    <cellStyle name="Comma 2 4 7 6 2 2" xfId="45221"/>
    <cellStyle name="Comma 2 4 7 6 2 3" xfId="38798"/>
    <cellStyle name="Comma 2 4 7 6 3" xfId="27972"/>
    <cellStyle name="Comma 2 4 7 6 3 2" xfId="42014"/>
    <cellStyle name="Comma 2 4 7 6 4" xfId="31307"/>
    <cellStyle name="Comma 2 4 7 6 5" xfId="35590"/>
    <cellStyle name="Comma 2 4 7 7" xfId="15663"/>
    <cellStyle name="Comma 2 4 7 7 2" xfId="24678"/>
    <cellStyle name="Comma 2 4 7 7 2 2" xfId="44107"/>
    <cellStyle name="Comma 2 4 7 7 2 3" xfId="37684"/>
    <cellStyle name="Comma 2 4 7 7 3" xfId="28999"/>
    <cellStyle name="Comma 2 4 7 7 3 2" xfId="40900"/>
    <cellStyle name="Comma 2 4 7 7 4" xfId="32334"/>
    <cellStyle name="Comma 2 4 7 7 5" xfId="34476"/>
    <cellStyle name="Comma 2 4 7 8" xfId="8481"/>
    <cellStyle name="Comma 2 4 7 8 2" xfId="43079"/>
    <cellStyle name="Comma 2 4 7 8 3" xfId="36655"/>
    <cellStyle name="Comma 2 4 7 9" xfId="21470"/>
    <cellStyle name="Comma 2 4 7 9 2" xfId="39872"/>
    <cellStyle name="Comma 2 4 8" xfId="1229"/>
    <cellStyle name="Comma 2 4 8 10" xfId="22548"/>
    <cellStyle name="Comma 2 4 8 11" xfId="23655"/>
    <cellStyle name="Comma 2 4 8 12" xfId="26870"/>
    <cellStyle name="Comma 2 4 8 13" xfId="30203"/>
    <cellStyle name="Comma 2 4 8 14" xfId="33453"/>
    <cellStyle name="Comma 2 4 8 2" xfId="1230"/>
    <cellStyle name="Comma 2 4 8 2 10" xfId="33454"/>
    <cellStyle name="Comma 2 4 8 2 2" xfId="10000"/>
    <cellStyle name="Comma 2 4 8 2 2 2" xfId="25800"/>
    <cellStyle name="Comma 2 4 8 2 2 2 2" xfId="45227"/>
    <cellStyle name="Comma 2 4 8 2 2 2 3" xfId="38804"/>
    <cellStyle name="Comma 2 4 8 2 2 3" xfId="27978"/>
    <cellStyle name="Comma 2 4 8 2 2 3 2" xfId="42020"/>
    <cellStyle name="Comma 2 4 8 2 2 4" xfId="31313"/>
    <cellStyle name="Comma 2 4 8 2 2 5" xfId="35596"/>
    <cellStyle name="Comma 2 4 8 2 3" xfId="15669"/>
    <cellStyle name="Comma 2 4 8 2 3 2" xfId="24684"/>
    <cellStyle name="Comma 2 4 8 2 3 2 2" xfId="44113"/>
    <cellStyle name="Comma 2 4 8 2 3 2 3" xfId="37690"/>
    <cellStyle name="Comma 2 4 8 2 3 3" xfId="29005"/>
    <cellStyle name="Comma 2 4 8 2 3 3 2" xfId="40906"/>
    <cellStyle name="Comma 2 4 8 2 3 4" xfId="32340"/>
    <cellStyle name="Comma 2 4 8 2 3 5" xfId="34482"/>
    <cellStyle name="Comma 2 4 8 2 4" xfId="8487"/>
    <cellStyle name="Comma 2 4 8 2 4 2" xfId="43085"/>
    <cellStyle name="Comma 2 4 8 2 4 3" xfId="36661"/>
    <cellStyle name="Comma 2 4 8 2 5" xfId="21476"/>
    <cellStyle name="Comma 2 4 8 2 5 2" xfId="39878"/>
    <cellStyle name="Comma 2 4 8 2 6" xfId="22549"/>
    <cellStyle name="Comma 2 4 8 2 7" xfId="23656"/>
    <cellStyle name="Comma 2 4 8 2 8" xfId="26871"/>
    <cellStyle name="Comma 2 4 8 2 9" xfId="30204"/>
    <cellStyle name="Comma 2 4 8 3" xfId="1231"/>
    <cellStyle name="Comma 2 4 8 3 10" xfId="33455"/>
    <cellStyle name="Comma 2 4 8 3 2" xfId="10001"/>
    <cellStyle name="Comma 2 4 8 3 2 2" xfId="25801"/>
    <cellStyle name="Comma 2 4 8 3 2 2 2" xfId="45228"/>
    <cellStyle name="Comma 2 4 8 3 2 2 3" xfId="38805"/>
    <cellStyle name="Comma 2 4 8 3 2 3" xfId="27979"/>
    <cellStyle name="Comma 2 4 8 3 2 3 2" xfId="42021"/>
    <cellStyle name="Comma 2 4 8 3 2 4" xfId="31314"/>
    <cellStyle name="Comma 2 4 8 3 2 5" xfId="35597"/>
    <cellStyle name="Comma 2 4 8 3 3" xfId="15670"/>
    <cellStyle name="Comma 2 4 8 3 3 2" xfId="24685"/>
    <cellStyle name="Comma 2 4 8 3 3 2 2" xfId="44114"/>
    <cellStyle name="Comma 2 4 8 3 3 2 3" xfId="37691"/>
    <cellStyle name="Comma 2 4 8 3 3 3" xfId="29006"/>
    <cellStyle name="Comma 2 4 8 3 3 3 2" xfId="40907"/>
    <cellStyle name="Comma 2 4 8 3 3 4" xfId="32341"/>
    <cellStyle name="Comma 2 4 8 3 3 5" xfId="34483"/>
    <cellStyle name="Comma 2 4 8 3 4" xfId="8488"/>
    <cellStyle name="Comma 2 4 8 3 4 2" xfId="43086"/>
    <cellStyle name="Comma 2 4 8 3 4 3" xfId="36662"/>
    <cellStyle name="Comma 2 4 8 3 5" xfId="21477"/>
    <cellStyle name="Comma 2 4 8 3 5 2" xfId="39879"/>
    <cellStyle name="Comma 2 4 8 3 6" xfId="22550"/>
    <cellStyle name="Comma 2 4 8 3 7" xfId="23657"/>
    <cellStyle name="Comma 2 4 8 3 8" xfId="26872"/>
    <cellStyle name="Comma 2 4 8 3 9" xfId="30205"/>
    <cellStyle name="Comma 2 4 8 4" xfId="1232"/>
    <cellStyle name="Comma 2 4 8 4 10" xfId="33456"/>
    <cellStyle name="Comma 2 4 8 4 2" xfId="10002"/>
    <cellStyle name="Comma 2 4 8 4 2 2" xfId="25802"/>
    <cellStyle name="Comma 2 4 8 4 2 2 2" xfId="45229"/>
    <cellStyle name="Comma 2 4 8 4 2 2 3" xfId="38806"/>
    <cellStyle name="Comma 2 4 8 4 2 3" xfId="27980"/>
    <cellStyle name="Comma 2 4 8 4 2 3 2" xfId="42022"/>
    <cellStyle name="Comma 2 4 8 4 2 4" xfId="31315"/>
    <cellStyle name="Comma 2 4 8 4 2 5" xfId="35598"/>
    <cellStyle name="Comma 2 4 8 4 3" xfId="15671"/>
    <cellStyle name="Comma 2 4 8 4 3 2" xfId="24686"/>
    <cellStyle name="Comma 2 4 8 4 3 2 2" xfId="44115"/>
    <cellStyle name="Comma 2 4 8 4 3 2 3" xfId="37692"/>
    <cellStyle name="Comma 2 4 8 4 3 3" xfId="29007"/>
    <cellStyle name="Comma 2 4 8 4 3 3 2" xfId="40908"/>
    <cellStyle name="Comma 2 4 8 4 3 4" xfId="32342"/>
    <cellStyle name="Comma 2 4 8 4 3 5" xfId="34484"/>
    <cellStyle name="Comma 2 4 8 4 4" xfId="8489"/>
    <cellStyle name="Comma 2 4 8 4 4 2" xfId="43087"/>
    <cellStyle name="Comma 2 4 8 4 4 3" xfId="36663"/>
    <cellStyle name="Comma 2 4 8 4 5" xfId="21478"/>
    <cellStyle name="Comma 2 4 8 4 5 2" xfId="39880"/>
    <cellStyle name="Comma 2 4 8 4 6" xfId="22551"/>
    <cellStyle name="Comma 2 4 8 4 7" xfId="23658"/>
    <cellStyle name="Comma 2 4 8 4 8" xfId="26873"/>
    <cellStyle name="Comma 2 4 8 4 9" xfId="30206"/>
    <cellStyle name="Comma 2 4 8 5" xfId="1233"/>
    <cellStyle name="Comma 2 4 8 5 10" xfId="33457"/>
    <cellStyle name="Comma 2 4 8 5 2" xfId="10003"/>
    <cellStyle name="Comma 2 4 8 5 2 2" xfId="25803"/>
    <cellStyle name="Comma 2 4 8 5 2 2 2" xfId="45230"/>
    <cellStyle name="Comma 2 4 8 5 2 2 3" xfId="38807"/>
    <cellStyle name="Comma 2 4 8 5 2 3" xfId="27981"/>
    <cellStyle name="Comma 2 4 8 5 2 3 2" xfId="42023"/>
    <cellStyle name="Comma 2 4 8 5 2 4" xfId="31316"/>
    <cellStyle name="Comma 2 4 8 5 2 5" xfId="35599"/>
    <cellStyle name="Comma 2 4 8 5 3" xfId="15672"/>
    <cellStyle name="Comma 2 4 8 5 3 2" xfId="24687"/>
    <cellStyle name="Comma 2 4 8 5 3 2 2" xfId="44116"/>
    <cellStyle name="Comma 2 4 8 5 3 2 3" xfId="37693"/>
    <cellStyle name="Comma 2 4 8 5 3 3" xfId="29008"/>
    <cellStyle name="Comma 2 4 8 5 3 3 2" xfId="40909"/>
    <cellStyle name="Comma 2 4 8 5 3 4" xfId="32343"/>
    <cellStyle name="Comma 2 4 8 5 3 5" xfId="34485"/>
    <cellStyle name="Comma 2 4 8 5 4" xfId="8490"/>
    <cellStyle name="Comma 2 4 8 5 4 2" xfId="43088"/>
    <cellStyle name="Comma 2 4 8 5 4 3" xfId="36664"/>
    <cellStyle name="Comma 2 4 8 5 5" xfId="21479"/>
    <cellStyle name="Comma 2 4 8 5 5 2" xfId="39881"/>
    <cellStyle name="Comma 2 4 8 5 6" xfId="22552"/>
    <cellStyle name="Comma 2 4 8 5 7" xfId="23659"/>
    <cellStyle name="Comma 2 4 8 5 8" xfId="26874"/>
    <cellStyle name="Comma 2 4 8 5 9" xfId="30207"/>
    <cellStyle name="Comma 2 4 8 6" xfId="9999"/>
    <cellStyle name="Comma 2 4 8 6 2" xfId="25799"/>
    <cellStyle name="Comma 2 4 8 6 2 2" xfId="45226"/>
    <cellStyle name="Comma 2 4 8 6 2 3" xfId="38803"/>
    <cellStyle name="Comma 2 4 8 6 3" xfId="27977"/>
    <cellStyle name="Comma 2 4 8 6 3 2" xfId="42019"/>
    <cellStyle name="Comma 2 4 8 6 4" xfId="31312"/>
    <cellStyle name="Comma 2 4 8 6 5" xfId="35595"/>
    <cellStyle name="Comma 2 4 8 7" xfId="15668"/>
    <cellStyle name="Comma 2 4 8 7 2" xfId="24683"/>
    <cellStyle name="Comma 2 4 8 7 2 2" xfId="44112"/>
    <cellStyle name="Comma 2 4 8 7 2 3" xfId="37689"/>
    <cellStyle name="Comma 2 4 8 7 3" xfId="29004"/>
    <cellStyle name="Comma 2 4 8 7 3 2" xfId="40905"/>
    <cellStyle name="Comma 2 4 8 7 4" xfId="32339"/>
    <cellStyle name="Comma 2 4 8 7 5" xfId="34481"/>
    <cellStyle name="Comma 2 4 8 8" xfId="8486"/>
    <cellStyle name="Comma 2 4 8 8 2" xfId="43084"/>
    <cellStyle name="Comma 2 4 8 8 3" xfId="36660"/>
    <cellStyle name="Comma 2 4 8 9" xfId="21475"/>
    <cellStyle name="Comma 2 4 8 9 2" xfId="39877"/>
    <cellStyle name="Comma 2 4 9" xfId="1234"/>
    <cellStyle name="Comma 2 4 9 10" xfId="33458"/>
    <cellStyle name="Comma 2 4 9 2" xfId="10004"/>
    <cellStyle name="Comma 2 4 9 2 2" xfId="25804"/>
    <cellStyle name="Comma 2 4 9 2 2 2" xfId="45231"/>
    <cellStyle name="Comma 2 4 9 2 2 3" xfId="38808"/>
    <cellStyle name="Comma 2 4 9 2 3" xfId="27982"/>
    <cellStyle name="Comma 2 4 9 2 3 2" xfId="42024"/>
    <cellStyle name="Comma 2 4 9 2 4" xfId="31317"/>
    <cellStyle name="Comma 2 4 9 2 5" xfId="35600"/>
    <cellStyle name="Comma 2 4 9 3" xfId="15673"/>
    <cellStyle name="Comma 2 4 9 3 2" xfId="24688"/>
    <cellStyle name="Comma 2 4 9 3 2 2" xfId="44117"/>
    <cellStyle name="Comma 2 4 9 3 2 3" xfId="37694"/>
    <cellStyle name="Comma 2 4 9 3 3" xfId="29009"/>
    <cellStyle name="Comma 2 4 9 3 3 2" xfId="40910"/>
    <cellStyle name="Comma 2 4 9 3 4" xfId="32344"/>
    <cellStyle name="Comma 2 4 9 3 5" xfId="34486"/>
    <cellStyle name="Comma 2 4 9 4" xfId="8491"/>
    <cellStyle name="Comma 2 4 9 4 2" xfId="43089"/>
    <cellStyle name="Comma 2 4 9 4 3" xfId="36665"/>
    <cellStyle name="Comma 2 4 9 5" xfId="21480"/>
    <cellStyle name="Comma 2 4 9 5 2" xfId="39882"/>
    <cellStyle name="Comma 2 4 9 6" xfId="22553"/>
    <cellStyle name="Comma 2 4 9 7" xfId="23660"/>
    <cellStyle name="Comma 2 4 9 8" xfId="26875"/>
    <cellStyle name="Comma 2 4 9 9" xfId="30208"/>
    <cellStyle name="Comma 2 5" xfId="202"/>
    <cellStyle name="Comma 2 5 10" xfId="1235"/>
    <cellStyle name="Comma 2 5 10 10" xfId="33459"/>
    <cellStyle name="Comma 2 5 10 2" xfId="10005"/>
    <cellStyle name="Comma 2 5 10 2 2" xfId="25805"/>
    <cellStyle name="Comma 2 5 10 2 2 2" xfId="45232"/>
    <cellStyle name="Comma 2 5 10 2 2 3" xfId="38809"/>
    <cellStyle name="Comma 2 5 10 2 3" xfId="27983"/>
    <cellStyle name="Comma 2 5 10 2 3 2" xfId="42025"/>
    <cellStyle name="Comma 2 5 10 2 4" xfId="31318"/>
    <cellStyle name="Comma 2 5 10 2 5" xfId="35601"/>
    <cellStyle name="Comma 2 5 10 3" xfId="15675"/>
    <cellStyle name="Comma 2 5 10 3 2" xfId="24690"/>
    <cellStyle name="Comma 2 5 10 3 2 2" xfId="44119"/>
    <cellStyle name="Comma 2 5 10 3 2 3" xfId="37696"/>
    <cellStyle name="Comma 2 5 10 3 3" xfId="29011"/>
    <cellStyle name="Comma 2 5 10 3 3 2" xfId="40912"/>
    <cellStyle name="Comma 2 5 10 3 4" xfId="32346"/>
    <cellStyle name="Comma 2 5 10 3 5" xfId="34488"/>
    <cellStyle name="Comma 2 5 10 4" xfId="8493"/>
    <cellStyle name="Comma 2 5 10 4 2" xfId="43090"/>
    <cellStyle name="Comma 2 5 10 4 3" xfId="36666"/>
    <cellStyle name="Comma 2 5 10 5" xfId="21482"/>
    <cellStyle name="Comma 2 5 10 5 2" xfId="39883"/>
    <cellStyle name="Comma 2 5 10 6" xfId="22555"/>
    <cellStyle name="Comma 2 5 10 7" xfId="23661"/>
    <cellStyle name="Comma 2 5 10 8" xfId="26877"/>
    <cellStyle name="Comma 2 5 10 9" xfId="30210"/>
    <cellStyle name="Comma 2 5 11" xfId="1236"/>
    <cellStyle name="Comma 2 5 11 10" xfId="33460"/>
    <cellStyle name="Comma 2 5 11 2" xfId="10006"/>
    <cellStyle name="Comma 2 5 11 2 2" xfId="25806"/>
    <cellStyle name="Comma 2 5 11 2 2 2" xfId="45233"/>
    <cellStyle name="Comma 2 5 11 2 2 3" xfId="38810"/>
    <cellStyle name="Comma 2 5 11 2 3" xfId="27984"/>
    <cellStyle name="Comma 2 5 11 2 3 2" xfId="42026"/>
    <cellStyle name="Comma 2 5 11 2 4" xfId="31319"/>
    <cellStyle name="Comma 2 5 11 2 5" xfId="35602"/>
    <cellStyle name="Comma 2 5 11 3" xfId="15676"/>
    <cellStyle name="Comma 2 5 11 3 2" xfId="24691"/>
    <cellStyle name="Comma 2 5 11 3 2 2" xfId="44120"/>
    <cellStyle name="Comma 2 5 11 3 2 3" xfId="37697"/>
    <cellStyle name="Comma 2 5 11 3 3" xfId="29012"/>
    <cellStyle name="Comma 2 5 11 3 3 2" xfId="40913"/>
    <cellStyle name="Comma 2 5 11 3 4" xfId="32347"/>
    <cellStyle name="Comma 2 5 11 3 5" xfId="34489"/>
    <cellStyle name="Comma 2 5 11 4" xfId="8494"/>
    <cellStyle name="Comma 2 5 11 4 2" xfId="43091"/>
    <cellStyle name="Comma 2 5 11 4 3" xfId="36667"/>
    <cellStyle name="Comma 2 5 11 5" xfId="21483"/>
    <cellStyle name="Comma 2 5 11 5 2" xfId="39884"/>
    <cellStyle name="Comma 2 5 11 6" xfId="22556"/>
    <cellStyle name="Comma 2 5 11 7" xfId="23662"/>
    <cellStyle name="Comma 2 5 11 8" xfId="26878"/>
    <cellStyle name="Comma 2 5 11 9" xfId="30211"/>
    <cellStyle name="Comma 2 5 12" xfId="1237"/>
    <cellStyle name="Comma 2 5 12 10" xfId="33461"/>
    <cellStyle name="Comma 2 5 12 2" xfId="10007"/>
    <cellStyle name="Comma 2 5 12 2 2" xfId="25807"/>
    <cellStyle name="Comma 2 5 12 2 2 2" xfId="45234"/>
    <cellStyle name="Comma 2 5 12 2 2 3" xfId="38811"/>
    <cellStyle name="Comma 2 5 12 2 3" xfId="27985"/>
    <cellStyle name="Comma 2 5 12 2 3 2" xfId="42027"/>
    <cellStyle name="Comma 2 5 12 2 4" xfId="31320"/>
    <cellStyle name="Comma 2 5 12 2 5" xfId="35603"/>
    <cellStyle name="Comma 2 5 12 3" xfId="15677"/>
    <cellStyle name="Comma 2 5 12 3 2" xfId="24692"/>
    <cellStyle name="Comma 2 5 12 3 2 2" xfId="44121"/>
    <cellStyle name="Comma 2 5 12 3 2 3" xfId="37698"/>
    <cellStyle name="Comma 2 5 12 3 3" xfId="29013"/>
    <cellStyle name="Comma 2 5 12 3 3 2" xfId="40914"/>
    <cellStyle name="Comma 2 5 12 3 4" xfId="32348"/>
    <cellStyle name="Comma 2 5 12 3 5" xfId="34490"/>
    <cellStyle name="Comma 2 5 12 4" xfId="8495"/>
    <cellStyle name="Comma 2 5 12 4 2" xfId="43092"/>
    <cellStyle name="Comma 2 5 12 4 3" xfId="36668"/>
    <cellStyle name="Comma 2 5 12 5" xfId="21484"/>
    <cellStyle name="Comma 2 5 12 5 2" xfId="39885"/>
    <cellStyle name="Comma 2 5 12 6" xfId="22557"/>
    <cellStyle name="Comma 2 5 12 7" xfId="23663"/>
    <cellStyle name="Comma 2 5 12 8" xfId="26879"/>
    <cellStyle name="Comma 2 5 12 9" xfId="30212"/>
    <cellStyle name="Comma 2 5 13" xfId="1238"/>
    <cellStyle name="Comma 2 5 13 10" xfId="33462"/>
    <cellStyle name="Comma 2 5 13 2" xfId="10008"/>
    <cellStyle name="Comma 2 5 13 2 2" xfId="25808"/>
    <cellStyle name="Comma 2 5 13 2 2 2" xfId="45235"/>
    <cellStyle name="Comma 2 5 13 2 2 3" xfId="38812"/>
    <cellStyle name="Comma 2 5 13 2 3" xfId="27986"/>
    <cellStyle name="Comma 2 5 13 2 3 2" xfId="42028"/>
    <cellStyle name="Comma 2 5 13 2 4" xfId="31321"/>
    <cellStyle name="Comma 2 5 13 2 5" xfId="35604"/>
    <cellStyle name="Comma 2 5 13 3" xfId="15678"/>
    <cellStyle name="Comma 2 5 13 3 2" xfId="24693"/>
    <cellStyle name="Comma 2 5 13 3 2 2" xfId="44122"/>
    <cellStyle name="Comma 2 5 13 3 2 3" xfId="37699"/>
    <cellStyle name="Comma 2 5 13 3 3" xfId="29014"/>
    <cellStyle name="Comma 2 5 13 3 3 2" xfId="40915"/>
    <cellStyle name="Comma 2 5 13 3 4" xfId="32349"/>
    <cellStyle name="Comma 2 5 13 3 5" xfId="34491"/>
    <cellStyle name="Comma 2 5 13 4" xfId="8496"/>
    <cellStyle name="Comma 2 5 13 4 2" xfId="43093"/>
    <cellStyle name="Comma 2 5 13 4 3" xfId="36669"/>
    <cellStyle name="Comma 2 5 13 5" xfId="21485"/>
    <cellStyle name="Comma 2 5 13 5 2" xfId="39886"/>
    <cellStyle name="Comma 2 5 13 6" xfId="22558"/>
    <cellStyle name="Comma 2 5 13 7" xfId="23664"/>
    <cellStyle name="Comma 2 5 13 8" xfId="26880"/>
    <cellStyle name="Comma 2 5 13 9" xfId="30213"/>
    <cellStyle name="Comma 2 5 14" xfId="9076"/>
    <cellStyle name="Comma 2 5 14 2" xfId="25131"/>
    <cellStyle name="Comma 2 5 14 2 2" xfId="44558"/>
    <cellStyle name="Comma 2 5 14 2 3" xfId="38135"/>
    <cellStyle name="Comma 2 5 14 3" xfId="27310"/>
    <cellStyle name="Comma 2 5 14 3 2" xfId="41351"/>
    <cellStyle name="Comma 2 5 14 4" xfId="30645"/>
    <cellStyle name="Comma 2 5 14 5" xfId="34927"/>
    <cellStyle name="Comma 2 5 15" xfId="15674"/>
    <cellStyle name="Comma 2 5 15 2" xfId="24689"/>
    <cellStyle name="Comma 2 5 15 2 2" xfId="44118"/>
    <cellStyle name="Comma 2 5 15 2 3" xfId="37695"/>
    <cellStyle name="Comma 2 5 15 3" xfId="29010"/>
    <cellStyle name="Comma 2 5 15 3 2" xfId="40911"/>
    <cellStyle name="Comma 2 5 15 4" xfId="32345"/>
    <cellStyle name="Comma 2 5 15 5" xfId="34487"/>
    <cellStyle name="Comma 2 5 16" xfId="8492"/>
    <cellStyle name="Comma 2 5 16 2" xfId="42421"/>
    <cellStyle name="Comma 2 5 16 3" xfId="35997"/>
    <cellStyle name="Comma 2 5 17" xfId="21481"/>
    <cellStyle name="Comma 2 5 17 2" xfId="39214"/>
    <cellStyle name="Comma 2 5 18" xfId="22554"/>
    <cellStyle name="Comma 2 5 19" xfId="22992"/>
    <cellStyle name="Comma 2 5 2" xfId="270"/>
    <cellStyle name="Comma 2 5 2 10" xfId="1239"/>
    <cellStyle name="Comma 2 5 2 10 10" xfId="33463"/>
    <cellStyle name="Comma 2 5 2 10 2" xfId="10009"/>
    <cellStyle name="Comma 2 5 2 10 2 2" xfId="25809"/>
    <cellStyle name="Comma 2 5 2 10 2 2 2" xfId="45236"/>
    <cellStyle name="Comma 2 5 2 10 2 2 3" xfId="38813"/>
    <cellStyle name="Comma 2 5 2 10 2 3" xfId="27987"/>
    <cellStyle name="Comma 2 5 2 10 2 3 2" xfId="42029"/>
    <cellStyle name="Comma 2 5 2 10 2 4" xfId="31322"/>
    <cellStyle name="Comma 2 5 2 10 2 5" xfId="35605"/>
    <cellStyle name="Comma 2 5 2 10 3" xfId="15680"/>
    <cellStyle name="Comma 2 5 2 10 3 2" xfId="24695"/>
    <cellStyle name="Comma 2 5 2 10 3 2 2" xfId="44124"/>
    <cellStyle name="Comma 2 5 2 10 3 2 3" xfId="37701"/>
    <cellStyle name="Comma 2 5 2 10 3 3" xfId="29016"/>
    <cellStyle name="Comma 2 5 2 10 3 3 2" xfId="40917"/>
    <cellStyle name="Comma 2 5 2 10 3 4" xfId="32351"/>
    <cellStyle name="Comma 2 5 2 10 3 5" xfId="34493"/>
    <cellStyle name="Comma 2 5 2 10 4" xfId="8498"/>
    <cellStyle name="Comma 2 5 2 10 4 2" xfId="43094"/>
    <cellStyle name="Comma 2 5 2 10 4 3" xfId="36670"/>
    <cellStyle name="Comma 2 5 2 10 5" xfId="21487"/>
    <cellStyle name="Comma 2 5 2 10 5 2" xfId="39887"/>
    <cellStyle name="Comma 2 5 2 10 6" xfId="22560"/>
    <cellStyle name="Comma 2 5 2 10 7" xfId="23665"/>
    <cellStyle name="Comma 2 5 2 10 8" xfId="26882"/>
    <cellStyle name="Comma 2 5 2 10 9" xfId="30215"/>
    <cellStyle name="Comma 2 5 2 11" xfId="1240"/>
    <cellStyle name="Comma 2 5 2 11 10" xfId="33464"/>
    <cellStyle name="Comma 2 5 2 11 2" xfId="10010"/>
    <cellStyle name="Comma 2 5 2 11 2 2" xfId="25810"/>
    <cellStyle name="Comma 2 5 2 11 2 2 2" xfId="45237"/>
    <cellStyle name="Comma 2 5 2 11 2 2 3" xfId="38814"/>
    <cellStyle name="Comma 2 5 2 11 2 3" xfId="27988"/>
    <cellStyle name="Comma 2 5 2 11 2 3 2" xfId="42030"/>
    <cellStyle name="Comma 2 5 2 11 2 4" xfId="31323"/>
    <cellStyle name="Comma 2 5 2 11 2 5" xfId="35606"/>
    <cellStyle name="Comma 2 5 2 11 3" xfId="15681"/>
    <cellStyle name="Comma 2 5 2 11 3 2" xfId="24696"/>
    <cellStyle name="Comma 2 5 2 11 3 2 2" xfId="44125"/>
    <cellStyle name="Comma 2 5 2 11 3 2 3" xfId="37702"/>
    <cellStyle name="Comma 2 5 2 11 3 3" xfId="29017"/>
    <cellStyle name="Comma 2 5 2 11 3 3 2" xfId="40918"/>
    <cellStyle name="Comma 2 5 2 11 3 4" xfId="32352"/>
    <cellStyle name="Comma 2 5 2 11 3 5" xfId="34494"/>
    <cellStyle name="Comma 2 5 2 11 4" xfId="8499"/>
    <cellStyle name="Comma 2 5 2 11 4 2" xfId="43095"/>
    <cellStyle name="Comma 2 5 2 11 4 3" xfId="36671"/>
    <cellStyle name="Comma 2 5 2 11 5" xfId="21488"/>
    <cellStyle name="Comma 2 5 2 11 5 2" xfId="39888"/>
    <cellStyle name="Comma 2 5 2 11 6" xfId="22561"/>
    <cellStyle name="Comma 2 5 2 11 7" xfId="23666"/>
    <cellStyle name="Comma 2 5 2 11 8" xfId="26883"/>
    <cellStyle name="Comma 2 5 2 11 9" xfId="30216"/>
    <cellStyle name="Comma 2 5 2 12" xfId="1241"/>
    <cellStyle name="Comma 2 5 2 12 10" xfId="33465"/>
    <cellStyle name="Comma 2 5 2 12 2" xfId="10011"/>
    <cellStyle name="Comma 2 5 2 12 2 2" xfId="25811"/>
    <cellStyle name="Comma 2 5 2 12 2 2 2" xfId="45238"/>
    <cellStyle name="Comma 2 5 2 12 2 2 3" xfId="38815"/>
    <cellStyle name="Comma 2 5 2 12 2 3" xfId="27989"/>
    <cellStyle name="Comma 2 5 2 12 2 3 2" xfId="42031"/>
    <cellStyle name="Comma 2 5 2 12 2 4" xfId="31324"/>
    <cellStyle name="Comma 2 5 2 12 2 5" xfId="35607"/>
    <cellStyle name="Comma 2 5 2 12 3" xfId="15682"/>
    <cellStyle name="Comma 2 5 2 12 3 2" xfId="24697"/>
    <cellStyle name="Comma 2 5 2 12 3 2 2" xfId="44126"/>
    <cellStyle name="Comma 2 5 2 12 3 2 3" xfId="37703"/>
    <cellStyle name="Comma 2 5 2 12 3 3" xfId="29018"/>
    <cellStyle name="Comma 2 5 2 12 3 3 2" xfId="40919"/>
    <cellStyle name="Comma 2 5 2 12 3 4" xfId="32353"/>
    <cellStyle name="Comma 2 5 2 12 3 5" xfId="34495"/>
    <cellStyle name="Comma 2 5 2 12 4" xfId="8500"/>
    <cellStyle name="Comma 2 5 2 12 4 2" xfId="43096"/>
    <cellStyle name="Comma 2 5 2 12 4 3" xfId="36672"/>
    <cellStyle name="Comma 2 5 2 12 5" xfId="21489"/>
    <cellStyle name="Comma 2 5 2 12 5 2" xfId="39889"/>
    <cellStyle name="Comma 2 5 2 12 6" xfId="22562"/>
    <cellStyle name="Comma 2 5 2 12 7" xfId="23667"/>
    <cellStyle name="Comma 2 5 2 12 8" xfId="26884"/>
    <cellStyle name="Comma 2 5 2 12 9" xfId="30217"/>
    <cellStyle name="Comma 2 5 2 13" xfId="9126"/>
    <cellStyle name="Comma 2 5 2 13 2" xfId="25180"/>
    <cellStyle name="Comma 2 5 2 13 2 2" xfId="44607"/>
    <cellStyle name="Comma 2 5 2 13 2 3" xfId="38184"/>
    <cellStyle name="Comma 2 5 2 13 3" xfId="27359"/>
    <cellStyle name="Comma 2 5 2 13 3 2" xfId="41400"/>
    <cellStyle name="Comma 2 5 2 13 4" xfId="30694"/>
    <cellStyle name="Comma 2 5 2 13 5" xfId="34976"/>
    <cellStyle name="Comma 2 5 2 14" xfId="15679"/>
    <cellStyle name="Comma 2 5 2 14 2" xfId="24694"/>
    <cellStyle name="Comma 2 5 2 14 2 2" xfId="44123"/>
    <cellStyle name="Comma 2 5 2 14 2 3" xfId="37700"/>
    <cellStyle name="Comma 2 5 2 14 3" xfId="29015"/>
    <cellStyle name="Comma 2 5 2 14 3 2" xfId="40916"/>
    <cellStyle name="Comma 2 5 2 14 4" xfId="32350"/>
    <cellStyle name="Comma 2 5 2 14 5" xfId="34492"/>
    <cellStyle name="Comma 2 5 2 15" xfId="8497"/>
    <cellStyle name="Comma 2 5 2 15 2" xfId="42470"/>
    <cellStyle name="Comma 2 5 2 15 3" xfId="36046"/>
    <cellStyle name="Comma 2 5 2 16" xfId="21486"/>
    <cellStyle name="Comma 2 5 2 16 2" xfId="39263"/>
    <cellStyle name="Comma 2 5 2 17" xfId="22559"/>
    <cellStyle name="Comma 2 5 2 18" xfId="23041"/>
    <cellStyle name="Comma 2 5 2 19" xfId="26881"/>
    <cellStyle name="Comma 2 5 2 2" xfId="178"/>
    <cellStyle name="Comma 2 5 2 2 10" xfId="1242"/>
    <cellStyle name="Comma 2 5 2 2 10 10" xfId="33466"/>
    <cellStyle name="Comma 2 5 2 2 10 2" xfId="10012"/>
    <cellStyle name="Comma 2 5 2 2 10 2 2" xfId="25812"/>
    <cellStyle name="Comma 2 5 2 2 10 2 2 2" xfId="45239"/>
    <cellStyle name="Comma 2 5 2 2 10 2 2 3" xfId="38816"/>
    <cellStyle name="Comma 2 5 2 2 10 2 3" xfId="27990"/>
    <cellStyle name="Comma 2 5 2 2 10 2 3 2" xfId="42032"/>
    <cellStyle name="Comma 2 5 2 2 10 2 4" xfId="31325"/>
    <cellStyle name="Comma 2 5 2 2 10 2 5" xfId="35608"/>
    <cellStyle name="Comma 2 5 2 2 10 3" xfId="15684"/>
    <cellStyle name="Comma 2 5 2 2 10 3 2" xfId="24699"/>
    <cellStyle name="Comma 2 5 2 2 10 3 2 2" xfId="44128"/>
    <cellStyle name="Comma 2 5 2 2 10 3 2 3" xfId="37705"/>
    <cellStyle name="Comma 2 5 2 2 10 3 3" xfId="29020"/>
    <cellStyle name="Comma 2 5 2 2 10 3 3 2" xfId="40921"/>
    <cellStyle name="Comma 2 5 2 2 10 3 4" xfId="32355"/>
    <cellStyle name="Comma 2 5 2 2 10 3 5" xfId="34497"/>
    <cellStyle name="Comma 2 5 2 2 10 4" xfId="8502"/>
    <cellStyle name="Comma 2 5 2 2 10 4 2" xfId="43097"/>
    <cellStyle name="Comma 2 5 2 2 10 4 3" xfId="36673"/>
    <cellStyle name="Comma 2 5 2 2 10 5" xfId="21491"/>
    <cellStyle name="Comma 2 5 2 2 10 5 2" xfId="39890"/>
    <cellStyle name="Comma 2 5 2 2 10 6" xfId="22564"/>
    <cellStyle name="Comma 2 5 2 2 10 7" xfId="23668"/>
    <cellStyle name="Comma 2 5 2 2 10 8" xfId="26886"/>
    <cellStyle name="Comma 2 5 2 2 10 9" xfId="30219"/>
    <cellStyle name="Comma 2 5 2 2 11" xfId="1243"/>
    <cellStyle name="Comma 2 5 2 2 11 10" xfId="33467"/>
    <cellStyle name="Comma 2 5 2 2 11 2" xfId="10013"/>
    <cellStyle name="Comma 2 5 2 2 11 2 2" xfId="25813"/>
    <cellStyle name="Comma 2 5 2 2 11 2 2 2" xfId="45240"/>
    <cellStyle name="Comma 2 5 2 2 11 2 2 3" xfId="38817"/>
    <cellStyle name="Comma 2 5 2 2 11 2 3" xfId="27991"/>
    <cellStyle name="Comma 2 5 2 2 11 2 3 2" xfId="42033"/>
    <cellStyle name="Comma 2 5 2 2 11 2 4" xfId="31326"/>
    <cellStyle name="Comma 2 5 2 2 11 2 5" xfId="35609"/>
    <cellStyle name="Comma 2 5 2 2 11 3" xfId="15685"/>
    <cellStyle name="Comma 2 5 2 2 11 3 2" xfId="24700"/>
    <cellStyle name="Comma 2 5 2 2 11 3 2 2" xfId="44129"/>
    <cellStyle name="Comma 2 5 2 2 11 3 2 3" xfId="37706"/>
    <cellStyle name="Comma 2 5 2 2 11 3 3" xfId="29021"/>
    <cellStyle name="Comma 2 5 2 2 11 3 3 2" xfId="40922"/>
    <cellStyle name="Comma 2 5 2 2 11 3 4" xfId="32356"/>
    <cellStyle name="Comma 2 5 2 2 11 3 5" xfId="34498"/>
    <cellStyle name="Comma 2 5 2 2 11 4" xfId="8503"/>
    <cellStyle name="Comma 2 5 2 2 11 4 2" xfId="43098"/>
    <cellStyle name="Comma 2 5 2 2 11 4 3" xfId="36674"/>
    <cellStyle name="Comma 2 5 2 2 11 5" xfId="21492"/>
    <cellStyle name="Comma 2 5 2 2 11 5 2" xfId="39891"/>
    <cellStyle name="Comma 2 5 2 2 11 6" xfId="22565"/>
    <cellStyle name="Comma 2 5 2 2 11 7" xfId="23669"/>
    <cellStyle name="Comma 2 5 2 2 11 8" xfId="26887"/>
    <cellStyle name="Comma 2 5 2 2 11 9" xfId="30220"/>
    <cellStyle name="Comma 2 5 2 2 12" xfId="9061"/>
    <cellStyle name="Comma 2 5 2 2 12 2" xfId="25117"/>
    <cellStyle name="Comma 2 5 2 2 12 2 2" xfId="44544"/>
    <cellStyle name="Comma 2 5 2 2 12 2 3" xfId="38121"/>
    <cellStyle name="Comma 2 5 2 2 12 3" xfId="27296"/>
    <cellStyle name="Comma 2 5 2 2 12 3 2" xfId="41337"/>
    <cellStyle name="Comma 2 5 2 2 12 4" xfId="30631"/>
    <cellStyle name="Comma 2 5 2 2 12 5" xfId="34913"/>
    <cellStyle name="Comma 2 5 2 2 13" xfId="15683"/>
    <cellStyle name="Comma 2 5 2 2 13 2" xfId="24698"/>
    <cellStyle name="Comma 2 5 2 2 13 2 2" xfId="44127"/>
    <cellStyle name="Comma 2 5 2 2 13 2 3" xfId="37704"/>
    <cellStyle name="Comma 2 5 2 2 13 3" xfId="29019"/>
    <cellStyle name="Comma 2 5 2 2 13 3 2" xfId="40920"/>
    <cellStyle name="Comma 2 5 2 2 13 4" xfId="32354"/>
    <cellStyle name="Comma 2 5 2 2 13 5" xfId="34496"/>
    <cellStyle name="Comma 2 5 2 2 14" xfId="8501"/>
    <cellStyle name="Comma 2 5 2 2 14 2" xfId="42408"/>
    <cellStyle name="Comma 2 5 2 2 14 3" xfId="35984"/>
    <cellStyle name="Comma 2 5 2 2 15" xfId="21490"/>
    <cellStyle name="Comma 2 5 2 2 15 2" xfId="39201"/>
    <cellStyle name="Comma 2 5 2 2 16" xfId="22563"/>
    <cellStyle name="Comma 2 5 2 2 17" xfId="22979"/>
    <cellStyle name="Comma 2 5 2 2 18" xfId="26885"/>
    <cellStyle name="Comma 2 5 2 2 19" xfId="30218"/>
    <cellStyle name="Comma 2 5 2 2 2" xfId="271"/>
    <cellStyle name="Comma 2 5 2 2 2 10" xfId="1244"/>
    <cellStyle name="Comma 2 5 2 2 2 10 10" xfId="33468"/>
    <cellStyle name="Comma 2 5 2 2 2 10 2" xfId="10014"/>
    <cellStyle name="Comma 2 5 2 2 2 10 2 2" xfId="25814"/>
    <cellStyle name="Comma 2 5 2 2 2 10 2 2 2" xfId="45241"/>
    <cellStyle name="Comma 2 5 2 2 2 10 2 2 3" xfId="38818"/>
    <cellStyle name="Comma 2 5 2 2 2 10 2 3" xfId="27992"/>
    <cellStyle name="Comma 2 5 2 2 2 10 2 3 2" xfId="42034"/>
    <cellStyle name="Comma 2 5 2 2 2 10 2 4" xfId="31327"/>
    <cellStyle name="Comma 2 5 2 2 2 10 2 5" xfId="35610"/>
    <cellStyle name="Comma 2 5 2 2 2 10 3" xfId="15687"/>
    <cellStyle name="Comma 2 5 2 2 2 10 3 2" xfId="24702"/>
    <cellStyle name="Comma 2 5 2 2 2 10 3 2 2" xfId="44131"/>
    <cellStyle name="Comma 2 5 2 2 2 10 3 2 3" xfId="37708"/>
    <cellStyle name="Comma 2 5 2 2 2 10 3 3" xfId="29023"/>
    <cellStyle name="Comma 2 5 2 2 2 10 3 3 2" xfId="40924"/>
    <cellStyle name="Comma 2 5 2 2 2 10 3 4" xfId="32358"/>
    <cellStyle name="Comma 2 5 2 2 2 10 3 5" xfId="34500"/>
    <cellStyle name="Comma 2 5 2 2 2 10 4" xfId="8505"/>
    <cellStyle name="Comma 2 5 2 2 2 10 4 2" xfId="43099"/>
    <cellStyle name="Comma 2 5 2 2 2 10 4 3" xfId="36675"/>
    <cellStyle name="Comma 2 5 2 2 2 10 5" xfId="21494"/>
    <cellStyle name="Comma 2 5 2 2 2 10 5 2" xfId="39892"/>
    <cellStyle name="Comma 2 5 2 2 2 10 6" xfId="22567"/>
    <cellStyle name="Comma 2 5 2 2 2 10 7" xfId="23670"/>
    <cellStyle name="Comma 2 5 2 2 2 10 8" xfId="26889"/>
    <cellStyle name="Comma 2 5 2 2 2 10 9" xfId="30222"/>
    <cellStyle name="Comma 2 5 2 2 2 11" xfId="9127"/>
    <cellStyle name="Comma 2 5 2 2 2 11 2" xfId="25181"/>
    <cellStyle name="Comma 2 5 2 2 2 11 2 2" xfId="44608"/>
    <cellStyle name="Comma 2 5 2 2 2 11 2 3" xfId="38185"/>
    <cellStyle name="Comma 2 5 2 2 2 11 3" xfId="27360"/>
    <cellStyle name="Comma 2 5 2 2 2 11 3 2" xfId="41401"/>
    <cellStyle name="Comma 2 5 2 2 2 11 4" xfId="30695"/>
    <cellStyle name="Comma 2 5 2 2 2 11 5" xfId="34977"/>
    <cellStyle name="Comma 2 5 2 2 2 12" xfId="15686"/>
    <cellStyle name="Comma 2 5 2 2 2 12 2" xfId="24701"/>
    <cellStyle name="Comma 2 5 2 2 2 12 2 2" xfId="44130"/>
    <cellStyle name="Comma 2 5 2 2 2 12 2 3" xfId="37707"/>
    <cellStyle name="Comma 2 5 2 2 2 12 3" xfId="29022"/>
    <cellStyle name="Comma 2 5 2 2 2 12 3 2" xfId="40923"/>
    <cellStyle name="Comma 2 5 2 2 2 12 4" xfId="32357"/>
    <cellStyle name="Comma 2 5 2 2 2 12 5" xfId="34499"/>
    <cellStyle name="Comma 2 5 2 2 2 13" xfId="8504"/>
    <cellStyle name="Comma 2 5 2 2 2 13 2" xfId="42471"/>
    <cellStyle name="Comma 2 5 2 2 2 13 3" xfId="36047"/>
    <cellStyle name="Comma 2 5 2 2 2 14" xfId="21493"/>
    <cellStyle name="Comma 2 5 2 2 2 14 2" xfId="39264"/>
    <cellStyle name="Comma 2 5 2 2 2 15" xfId="22566"/>
    <cellStyle name="Comma 2 5 2 2 2 16" xfId="23042"/>
    <cellStyle name="Comma 2 5 2 2 2 17" xfId="26888"/>
    <cellStyle name="Comma 2 5 2 2 2 18" xfId="30221"/>
    <cellStyle name="Comma 2 5 2 2 2 19" xfId="32840"/>
    <cellStyle name="Comma 2 5 2 2 2 2" xfId="272"/>
    <cellStyle name="Comma 2 5 2 2 2 2 10" xfId="15688"/>
    <cellStyle name="Comma 2 5 2 2 2 2 10 2" xfId="24703"/>
    <cellStyle name="Comma 2 5 2 2 2 2 10 2 2" xfId="44132"/>
    <cellStyle name="Comma 2 5 2 2 2 2 10 2 3" xfId="37709"/>
    <cellStyle name="Comma 2 5 2 2 2 2 10 3" xfId="29024"/>
    <cellStyle name="Comma 2 5 2 2 2 2 10 3 2" xfId="40925"/>
    <cellStyle name="Comma 2 5 2 2 2 2 10 4" xfId="32359"/>
    <cellStyle name="Comma 2 5 2 2 2 2 10 5" xfId="34501"/>
    <cellStyle name="Comma 2 5 2 2 2 2 11" xfId="8506"/>
    <cellStyle name="Comma 2 5 2 2 2 2 11 2" xfId="42472"/>
    <cellStyle name="Comma 2 5 2 2 2 2 11 3" xfId="36048"/>
    <cellStyle name="Comma 2 5 2 2 2 2 12" xfId="21495"/>
    <cellStyle name="Comma 2 5 2 2 2 2 12 2" xfId="39265"/>
    <cellStyle name="Comma 2 5 2 2 2 2 13" xfId="22568"/>
    <cellStyle name="Comma 2 5 2 2 2 2 14" xfId="23043"/>
    <cellStyle name="Comma 2 5 2 2 2 2 15" xfId="26890"/>
    <cellStyle name="Comma 2 5 2 2 2 2 16" xfId="30223"/>
    <cellStyle name="Comma 2 5 2 2 2 2 17" xfId="32841"/>
    <cellStyle name="Comma 2 5 2 2 2 2 2" xfId="273"/>
    <cellStyle name="Comma 2 5 2 2 2 2 2 10" xfId="21496"/>
    <cellStyle name="Comma 2 5 2 2 2 2 2 10 2" xfId="39266"/>
    <cellStyle name="Comma 2 5 2 2 2 2 2 11" xfId="22569"/>
    <cellStyle name="Comma 2 5 2 2 2 2 2 12" xfId="23044"/>
    <cellStyle name="Comma 2 5 2 2 2 2 2 13" xfId="26891"/>
    <cellStyle name="Comma 2 5 2 2 2 2 2 14" xfId="30224"/>
    <cellStyle name="Comma 2 5 2 2 2 2 2 15" xfId="32842"/>
    <cellStyle name="Comma 2 5 2 2 2 2 2 2" xfId="1245"/>
    <cellStyle name="Comma 2 5 2 2 2 2 2 2 10" xfId="33469"/>
    <cellStyle name="Comma 2 5 2 2 2 2 2 2 2" xfId="10015"/>
    <cellStyle name="Comma 2 5 2 2 2 2 2 2 2 2" xfId="25815"/>
    <cellStyle name="Comma 2 5 2 2 2 2 2 2 2 2 2" xfId="45242"/>
    <cellStyle name="Comma 2 5 2 2 2 2 2 2 2 2 3" xfId="38819"/>
    <cellStyle name="Comma 2 5 2 2 2 2 2 2 2 3" xfId="27993"/>
    <cellStyle name="Comma 2 5 2 2 2 2 2 2 2 3 2" xfId="42035"/>
    <cellStyle name="Comma 2 5 2 2 2 2 2 2 2 4" xfId="31328"/>
    <cellStyle name="Comma 2 5 2 2 2 2 2 2 2 5" xfId="35611"/>
    <cellStyle name="Comma 2 5 2 2 2 2 2 2 3" xfId="15690"/>
    <cellStyle name="Comma 2 5 2 2 2 2 2 2 3 2" xfId="24705"/>
    <cellStyle name="Comma 2 5 2 2 2 2 2 2 3 2 2" xfId="44134"/>
    <cellStyle name="Comma 2 5 2 2 2 2 2 2 3 2 3" xfId="37711"/>
    <cellStyle name="Comma 2 5 2 2 2 2 2 2 3 3" xfId="29026"/>
    <cellStyle name="Comma 2 5 2 2 2 2 2 2 3 3 2" xfId="40927"/>
    <cellStyle name="Comma 2 5 2 2 2 2 2 2 3 4" xfId="32361"/>
    <cellStyle name="Comma 2 5 2 2 2 2 2 2 3 5" xfId="34503"/>
    <cellStyle name="Comma 2 5 2 2 2 2 2 2 4" xfId="8508"/>
    <cellStyle name="Comma 2 5 2 2 2 2 2 2 4 2" xfId="43100"/>
    <cellStyle name="Comma 2 5 2 2 2 2 2 2 4 3" xfId="36676"/>
    <cellStyle name="Comma 2 5 2 2 2 2 2 2 5" xfId="21497"/>
    <cellStyle name="Comma 2 5 2 2 2 2 2 2 5 2" xfId="39893"/>
    <cellStyle name="Comma 2 5 2 2 2 2 2 2 6" xfId="22570"/>
    <cellStyle name="Comma 2 5 2 2 2 2 2 2 7" xfId="23671"/>
    <cellStyle name="Comma 2 5 2 2 2 2 2 2 8" xfId="26892"/>
    <cellStyle name="Comma 2 5 2 2 2 2 2 2 9" xfId="30225"/>
    <cellStyle name="Comma 2 5 2 2 2 2 2 3" xfId="1246"/>
    <cellStyle name="Comma 2 5 2 2 2 2 2 3 10" xfId="33470"/>
    <cellStyle name="Comma 2 5 2 2 2 2 2 3 2" xfId="10016"/>
    <cellStyle name="Comma 2 5 2 2 2 2 2 3 2 2" xfId="25816"/>
    <cellStyle name="Comma 2 5 2 2 2 2 2 3 2 2 2" xfId="45243"/>
    <cellStyle name="Comma 2 5 2 2 2 2 2 3 2 2 3" xfId="38820"/>
    <cellStyle name="Comma 2 5 2 2 2 2 2 3 2 3" xfId="27994"/>
    <cellStyle name="Comma 2 5 2 2 2 2 2 3 2 3 2" xfId="42036"/>
    <cellStyle name="Comma 2 5 2 2 2 2 2 3 2 4" xfId="31329"/>
    <cellStyle name="Comma 2 5 2 2 2 2 2 3 2 5" xfId="35612"/>
    <cellStyle name="Comma 2 5 2 2 2 2 2 3 3" xfId="15691"/>
    <cellStyle name="Comma 2 5 2 2 2 2 2 3 3 2" xfId="24706"/>
    <cellStyle name="Comma 2 5 2 2 2 2 2 3 3 2 2" xfId="44135"/>
    <cellStyle name="Comma 2 5 2 2 2 2 2 3 3 2 3" xfId="37712"/>
    <cellStyle name="Comma 2 5 2 2 2 2 2 3 3 3" xfId="29027"/>
    <cellStyle name="Comma 2 5 2 2 2 2 2 3 3 3 2" xfId="40928"/>
    <cellStyle name="Comma 2 5 2 2 2 2 2 3 3 4" xfId="32362"/>
    <cellStyle name="Comma 2 5 2 2 2 2 2 3 3 5" xfId="34504"/>
    <cellStyle name="Comma 2 5 2 2 2 2 2 3 4" xfId="8509"/>
    <cellStyle name="Comma 2 5 2 2 2 2 2 3 4 2" xfId="43101"/>
    <cellStyle name="Comma 2 5 2 2 2 2 2 3 4 3" xfId="36677"/>
    <cellStyle name="Comma 2 5 2 2 2 2 2 3 5" xfId="21498"/>
    <cellStyle name="Comma 2 5 2 2 2 2 2 3 5 2" xfId="39894"/>
    <cellStyle name="Comma 2 5 2 2 2 2 2 3 6" xfId="22571"/>
    <cellStyle name="Comma 2 5 2 2 2 2 2 3 7" xfId="23672"/>
    <cellStyle name="Comma 2 5 2 2 2 2 2 3 8" xfId="26893"/>
    <cellStyle name="Comma 2 5 2 2 2 2 2 3 9" xfId="30226"/>
    <cellStyle name="Comma 2 5 2 2 2 2 2 4" xfId="1247"/>
    <cellStyle name="Comma 2 5 2 2 2 2 2 4 10" xfId="33471"/>
    <cellStyle name="Comma 2 5 2 2 2 2 2 4 2" xfId="10017"/>
    <cellStyle name="Comma 2 5 2 2 2 2 2 4 2 2" xfId="25817"/>
    <cellStyle name="Comma 2 5 2 2 2 2 2 4 2 2 2" xfId="45244"/>
    <cellStyle name="Comma 2 5 2 2 2 2 2 4 2 2 3" xfId="38821"/>
    <cellStyle name="Comma 2 5 2 2 2 2 2 4 2 3" xfId="27995"/>
    <cellStyle name="Comma 2 5 2 2 2 2 2 4 2 3 2" xfId="42037"/>
    <cellStyle name="Comma 2 5 2 2 2 2 2 4 2 4" xfId="31330"/>
    <cellStyle name="Comma 2 5 2 2 2 2 2 4 2 5" xfId="35613"/>
    <cellStyle name="Comma 2 5 2 2 2 2 2 4 3" xfId="15692"/>
    <cellStyle name="Comma 2 5 2 2 2 2 2 4 3 2" xfId="24707"/>
    <cellStyle name="Comma 2 5 2 2 2 2 2 4 3 2 2" xfId="44136"/>
    <cellStyle name="Comma 2 5 2 2 2 2 2 4 3 2 3" xfId="37713"/>
    <cellStyle name="Comma 2 5 2 2 2 2 2 4 3 3" xfId="29028"/>
    <cellStyle name="Comma 2 5 2 2 2 2 2 4 3 3 2" xfId="40929"/>
    <cellStyle name="Comma 2 5 2 2 2 2 2 4 3 4" xfId="32363"/>
    <cellStyle name="Comma 2 5 2 2 2 2 2 4 3 5" xfId="34505"/>
    <cellStyle name="Comma 2 5 2 2 2 2 2 4 4" xfId="8510"/>
    <cellStyle name="Comma 2 5 2 2 2 2 2 4 4 2" xfId="43102"/>
    <cellStyle name="Comma 2 5 2 2 2 2 2 4 4 3" xfId="36678"/>
    <cellStyle name="Comma 2 5 2 2 2 2 2 4 5" xfId="21499"/>
    <cellStyle name="Comma 2 5 2 2 2 2 2 4 5 2" xfId="39895"/>
    <cellStyle name="Comma 2 5 2 2 2 2 2 4 6" xfId="22572"/>
    <cellStyle name="Comma 2 5 2 2 2 2 2 4 7" xfId="23673"/>
    <cellStyle name="Comma 2 5 2 2 2 2 2 4 8" xfId="26894"/>
    <cellStyle name="Comma 2 5 2 2 2 2 2 4 9" xfId="30227"/>
    <cellStyle name="Comma 2 5 2 2 2 2 2 5" xfId="1248"/>
    <cellStyle name="Comma 2 5 2 2 2 2 2 5 10" xfId="33472"/>
    <cellStyle name="Comma 2 5 2 2 2 2 2 5 2" xfId="10018"/>
    <cellStyle name="Comma 2 5 2 2 2 2 2 5 2 2" xfId="25818"/>
    <cellStyle name="Comma 2 5 2 2 2 2 2 5 2 2 2" xfId="45245"/>
    <cellStyle name="Comma 2 5 2 2 2 2 2 5 2 2 3" xfId="38822"/>
    <cellStyle name="Comma 2 5 2 2 2 2 2 5 2 3" xfId="27996"/>
    <cellStyle name="Comma 2 5 2 2 2 2 2 5 2 3 2" xfId="42038"/>
    <cellStyle name="Comma 2 5 2 2 2 2 2 5 2 4" xfId="31331"/>
    <cellStyle name="Comma 2 5 2 2 2 2 2 5 2 5" xfId="35614"/>
    <cellStyle name="Comma 2 5 2 2 2 2 2 5 3" xfId="15693"/>
    <cellStyle name="Comma 2 5 2 2 2 2 2 5 3 2" xfId="24708"/>
    <cellStyle name="Comma 2 5 2 2 2 2 2 5 3 2 2" xfId="44137"/>
    <cellStyle name="Comma 2 5 2 2 2 2 2 5 3 2 3" xfId="37714"/>
    <cellStyle name="Comma 2 5 2 2 2 2 2 5 3 3" xfId="29029"/>
    <cellStyle name="Comma 2 5 2 2 2 2 2 5 3 3 2" xfId="40930"/>
    <cellStyle name="Comma 2 5 2 2 2 2 2 5 3 4" xfId="32364"/>
    <cellStyle name="Comma 2 5 2 2 2 2 2 5 3 5" xfId="34506"/>
    <cellStyle name="Comma 2 5 2 2 2 2 2 5 4" xfId="8511"/>
    <cellStyle name="Comma 2 5 2 2 2 2 2 5 4 2" xfId="43103"/>
    <cellStyle name="Comma 2 5 2 2 2 2 2 5 4 3" xfId="36679"/>
    <cellStyle name="Comma 2 5 2 2 2 2 2 5 5" xfId="21500"/>
    <cellStyle name="Comma 2 5 2 2 2 2 2 5 5 2" xfId="39896"/>
    <cellStyle name="Comma 2 5 2 2 2 2 2 5 6" xfId="22573"/>
    <cellStyle name="Comma 2 5 2 2 2 2 2 5 7" xfId="23674"/>
    <cellStyle name="Comma 2 5 2 2 2 2 2 5 8" xfId="26895"/>
    <cellStyle name="Comma 2 5 2 2 2 2 2 5 9" xfId="30228"/>
    <cellStyle name="Comma 2 5 2 2 2 2 2 6" xfId="1249"/>
    <cellStyle name="Comma 2 5 2 2 2 2 2 6 10" xfId="33473"/>
    <cellStyle name="Comma 2 5 2 2 2 2 2 6 2" xfId="10019"/>
    <cellStyle name="Comma 2 5 2 2 2 2 2 6 2 2" xfId="25819"/>
    <cellStyle name="Comma 2 5 2 2 2 2 2 6 2 2 2" xfId="45246"/>
    <cellStyle name="Comma 2 5 2 2 2 2 2 6 2 2 3" xfId="38823"/>
    <cellStyle name="Comma 2 5 2 2 2 2 2 6 2 3" xfId="27997"/>
    <cellStyle name="Comma 2 5 2 2 2 2 2 6 2 3 2" xfId="42039"/>
    <cellStyle name="Comma 2 5 2 2 2 2 2 6 2 4" xfId="31332"/>
    <cellStyle name="Comma 2 5 2 2 2 2 2 6 2 5" xfId="35615"/>
    <cellStyle name="Comma 2 5 2 2 2 2 2 6 3" xfId="15694"/>
    <cellStyle name="Comma 2 5 2 2 2 2 2 6 3 2" xfId="24709"/>
    <cellStyle name="Comma 2 5 2 2 2 2 2 6 3 2 2" xfId="44138"/>
    <cellStyle name="Comma 2 5 2 2 2 2 2 6 3 2 3" xfId="37715"/>
    <cellStyle name="Comma 2 5 2 2 2 2 2 6 3 3" xfId="29030"/>
    <cellStyle name="Comma 2 5 2 2 2 2 2 6 3 3 2" xfId="40931"/>
    <cellStyle name="Comma 2 5 2 2 2 2 2 6 3 4" xfId="32365"/>
    <cellStyle name="Comma 2 5 2 2 2 2 2 6 3 5" xfId="34507"/>
    <cellStyle name="Comma 2 5 2 2 2 2 2 6 4" xfId="8512"/>
    <cellStyle name="Comma 2 5 2 2 2 2 2 6 4 2" xfId="43104"/>
    <cellStyle name="Comma 2 5 2 2 2 2 2 6 4 3" xfId="36680"/>
    <cellStyle name="Comma 2 5 2 2 2 2 2 6 5" xfId="21501"/>
    <cellStyle name="Comma 2 5 2 2 2 2 2 6 5 2" xfId="39897"/>
    <cellStyle name="Comma 2 5 2 2 2 2 2 6 6" xfId="22574"/>
    <cellStyle name="Comma 2 5 2 2 2 2 2 6 7" xfId="23675"/>
    <cellStyle name="Comma 2 5 2 2 2 2 2 6 8" xfId="26896"/>
    <cellStyle name="Comma 2 5 2 2 2 2 2 6 9" xfId="30229"/>
    <cellStyle name="Comma 2 5 2 2 2 2 2 7" xfId="9129"/>
    <cellStyle name="Comma 2 5 2 2 2 2 2 7 2" xfId="25183"/>
    <cellStyle name="Comma 2 5 2 2 2 2 2 7 2 2" xfId="44610"/>
    <cellStyle name="Comma 2 5 2 2 2 2 2 7 2 3" xfId="38187"/>
    <cellStyle name="Comma 2 5 2 2 2 2 2 7 3" xfId="27362"/>
    <cellStyle name="Comma 2 5 2 2 2 2 2 7 3 2" xfId="41403"/>
    <cellStyle name="Comma 2 5 2 2 2 2 2 7 4" xfId="30697"/>
    <cellStyle name="Comma 2 5 2 2 2 2 2 7 5" xfId="34979"/>
    <cellStyle name="Comma 2 5 2 2 2 2 2 8" xfId="15689"/>
    <cellStyle name="Comma 2 5 2 2 2 2 2 8 2" xfId="24704"/>
    <cellStyle name="Comma 2 5 2 2 2 2 2 8 2 2" xfId="44133"/>
    <cellStyle name="Comma 2 5 2 2 2 2 2 8 2 3" xfId="37710"/>
    <cellStyle name="Comma 2 5 2 2 2 2 2 8 3" xfId="29025"/>
    <cellStyle name="Comma 2 5 2 2 2 2 2 8 3 2" xfId="40926"/>
    <cellStyle name="Comma 2 5 2 2 2 2 2 8 4" xfId="32360"/>
    <cellStyle name="Comma 2 5 2 2 2 2 2 8 5" xfId="34502"/>
    <cellStyle name="Comma 2 5 2 2 2 2 2 9" xfId="8507"/>
    <cellStyle name="Comma 2 5 2 2 2 2 2 9 2" xfId="42473"/>
    <cellStyle name="Comma 2 5 2 2 2 2 2 9 3" xfId="36049"/>
    <cellStyle name="Comma 2 5 2 2 2 2 3" xfId="1250"/>
    <cellStyle name="Comma 2 5 2 2 2 2 3 10" xfId="22575"/>
    <cellStyle name="Comma 2 5 2 2 2 2 3 11" xfId="23676"/>
    <cellStyle name="Comma 2 5 2 2 2 2 3 12" xfId="26897"/>
    <cellStyle name="Comma 2 5 2 2 2 2 3 13" xfId="30230"/>
    <cellStyle name="Comma 2 5 2 2 2 2 3 14" xfId="33474"/>
    <cellStyle name="Comma 2 5 2 2 2 2 3 2" xfId="1251"/>
    <cellStyle name="Comma 2 5 2 2 2 2 3 2 10" xfId="33475"/>
    <cellStyle name="Comma 2 5 2 2 2 2 3 2 2" xfId="10021"/>
    <cellStyle name="Comma 2 5 2 2 2 2 3 2 2 2" xfId="25821"/>
    <cellStyle name="Comma 2 5 2 2 2 2 3 2 2 2 2" xfId="45248"/>
    <cellStyle name="Comma 2 5 2 2 2 2 3 2 2 2 3" xfId="38825"/>
    <cellStyle name="Comma 2 5 2 2 2 2 3 2 2 3" xfId="27999"/>
    <cellStyle name="Comma 2 5 2 2 2 2 3 2 2 3 2" xfId="42041"/>
    <cellStyle name="Comma 2 5 2 2 2 2 3 2 2 4" xfId="31334"/>
    <cellStyle name="Comma 2 5 2 2 2 2 3 2 2 5" xfId="35617"/>
    <cellStyle name="Comma 2 5 2 2 2 2 3 2 3" xfId="15696"/>
    <cellStyle name="Comma 2 5 2 2 2 2 3 2 3 2" xfId="24711"/>
    <cellStyle name="Comma 2 5 2 2 2 2 3 2 3 2 2" xfId="44140"/>
    <cellStyle name="Comma 2 5 2 2 2 2 3 2 3 2 3" xfId="37717"/>
    <cellStyle name="Comma 2 5 2 2 2 2 3 2 3 3" xfId="29032"/>
    <cellStyle name="Comma 2 5 2 2 2 2 3 2 3 3 2" xfId="40933"/>
    <cellStyle name="Comma 2 5 2 2 2 2 3 2 3 4" xfId="32367"/>
    <cellStyle name="Comma 2 5 2 2 2 2 3 2 3 5" xfId="34509"/>
    <cellStyle name="Comma 2 5 2 2 2 2 3 2 4" xfId="8514"/>
    <cellStyle name="Comma 2 5 2 2 2 2 3 2 4 2" xfId="43106"/>
    <cellStyle name="Comma 2 5 2 2 2 2 3 2 4 3" xfId="36682"/>
    <cellStyle name="Comma 2 5 2 2 2 2 3 2 5" xfId="21503"/>
    <cellStyle name="Comma 2 5 2 2 2 2 3 2 5 2" xfId="39899"/>
    <cellStyle name="Comma 2 5 2 2 2 2 3 2 6" xfId="22576"/>
    <cellStyle name="Comma 2 5 2 2 2 2 3 2 7" xfId="23677"/>
    <cellStyle name="Comma 2 5 2 2 2 2 3 2 8" xfId="26898"/>
    <cellStyle name="Comma 2 5 2 2 2 2 3 2 9" xfId="30231"/>
    <cellStyle name="Comma 2 5 2 2 2 2 3 3" xfId="1252"/>
    <cellStyle name="Comma 2 5 2 2 2 2 3 3 10" xfId="33476"/>
    <cellStyle name="Comma 2 5 2 2 2 2 3 3 2" xfId="10022"/>
    <cellStyle name="Comma 2 5 2 2 2 2 3 3 2 2" xfId="25822"/>
    <cellStyle name="Comma 2 5 2 2 2 2 3 3 2 2 2" xfId="45249"/>
    <cellStyle name="Comma 2 5 2 2 2 2 3 3 2 2 3" xfId="38826"/>
    <cellStyle name="Comma 2 5 2 2 2 2 3 3 2 3" xfId="28000"/>
    <cellStyle name="Comma 2 5 2 2 2 2 3 3 2 3 2" xfId="42042"/>
    <cellStyle name="Comma 2 5 2 2 2 2 3 3 2 4" xfId="31335"/>
    <cellStyle name="Comma 2 5 2 2 2 2 3 3 2 5" xfId="35618"/>
    <cellStyle name="Comma 2 5 2 2 2 2 3 3 3" xfId="15697"/>
    <cellStyle name="Comma 2 5 2 2 2 2 3 3 3 2" xfId="24712"/>
    <cellStyle name="Comma 2 5 2 2 2 2 3 3 3 2 2" xfId="44141"/>
    <cellStyle name="Comma 2 5 2 2 2 2 3 3 3 2 3" xfId="37718"/>
    <cellStyle name="Comma 2 5 2 2 2 2 3 3 3 3" xfId="29033"/>
    <cellStyle name="Comma 2 5 2 2 2 2 3 3 3 3 2" xfId="40934"/>
    <cellStyle name="Comma 2 5 2 2 2 2 3 3 3 4" xfId="32368"/>
    <cellStyle name="Comma 2 5 2 2 2 2 3 3 3 5" xfId="34510"/>
    <cellStyle name="Comma 2 5 2 2 2 2 3 3 4" xfId="8515"/>
    <cellStyle name="Comma 2 5 2 2 2 2 3 3 4 2" xfId="43107"/>
    <cellStyle name="Comma 2 5 2 2 2 2 3 3 4 3" xfId="36683"/>
    <cellStyle name="Comma 2 5 2 2 2 2 3 3 5" xfId="21504"/>
    <cellStyle name="Comma 2 5 2 2 2 2 3 3 5 2" xfId="39900"/>
    <cellStyle name="Comma 2 5 2 2 2 2 3 3 6" xfId="22577"/>
    <cellStyle name="Comma 2 5 2 2 2 2 3 3 7" xfId="23678"/>
    <cellStyle name="Comma 2 5 2 2 2 2 3 3 8" xfId="26899"/>
    <cellStyle name="Comma 2 5 2 2 2 2 3 3 9" xfId="30232"/>
    <cellStyle name="Comma 2 5 2 2 2 2 3 4" xfId="1253"/>
    <cellStyle name="Comma 2 5 2 2 2 2 3 4 10" xfId="33477"/>
    <cellStyle name="Comma 2 5 2 2 2 2 3 4 2" xfId="10023"/>
    <cellStyle name="Comma 2 5 2 2 2 2 3 4 2 2" xfId="25823"/>
    <cellStyle name="Comma 2 5 2 2 2 2 3 4 2 2 2" xfId="45250"/>
    <cellStyle name="Comma 2 5 2 2 2 2 3 4 2 2 3" xfId="38827"/>
    <cellStyle name="Comma 2 5 2 2 2 2 3 4 2 3" xfId="28001"/>
    <cellStyle name="Comma 2 5 2 2 2 2 3 4 2 3 2" xfId="42043"/>
    <cellStyle name="Comma 2 5 2 2 2 2 3 4 2 4" xfId="31336"/>
    <cellStyle name="Comma 2 5 2 2 2 2 3 4 2 5" xfId="35619"/>
    <cellStyle name="Comma 2 5 2 2 2 2 3 4 3" xfId="15698"/>
    <cellStyle name="Comma 2 5 2 2 2 2 3 4 3 2" xfId="24713"/>
    <cellStyle name="Comma 2 5 2 2 2 2 3 4 3 2 2" xfId="44142"/>
    <cellStyle name="Comma 2 5 2 2 2 2 3 4 3 2 3" xfId="37719"/>
    <cellStyle name="Comma 2 5 2 2 2 2 3 4 3 3" xfId="29034"/>
    <cellStyle name="Comma 2 5 2 2 2 2 3 4 3 3 2" xfId="40935"/>
    <cellStyle name="Comma 2 5 2 2 2 2 3 4 3 4" xfId="32369"/>
    <cellStyle name="Comma 2 5 2 2 2 2 3 4 3 5" xfId="34511"/>
    <cellStyle name="Comma 2 5 2 2 2 2 3 4 4" xfId="8516"/>
    <cellStyle name="Comma 2 5 2 2 2 2 3 4 4 2" xfId="43108"/>
    <cellStyle name="Comma 2 5 2 2 2 2 3 4 4 3" xfId="36684"/>
    <cellStyle name="Comma 2 5 2 2 2 2 3 4 5" xfId="21505"/>
    <cellStyle name="Comma 2 5 2 2 2 2 3 4 5 2" xfId="39901"/>
    <cellStyle name="Comma 2 5 2 2 2 2 3 4 6" xfId="22578"/>
    <cellStyle name="Comma 2 5 2 2 2 2 3 4 7" xfId="23679"/>
    <cellStyle name="Comma 2 5 2 2 2 2 3 4 8" xfId="26900"/>
    <cellStyle name="Comma 2 5 2 2 2 2 3 4 9" xfId="30233"/>
    <cellStyle name="Comma 2 5 2 2 2 2 3 5" xfId="1254"/>
    <cellStyle name="Comma 2 5 2 2 2 2 3 5 10" xfId="33478"/>
    <cellStyle name="Comma 2 5 2 2 2 2 3 5 2" xfId="10024"/>
    <cellStyle name="Comma 2 5 2 2 2 2 3 5 2 2" xfId="25824"/>
    <cellStyle name="Comma 2 5 2 2 2 2 3 5 2 2 2" xfId="45251"/>
    <cellStyle name="Comma 2 5 2 2 2 2 3 5 2 2 3" xfId="38828"/>
    <cellStyle name="Comma 2 5 2 2 2 2 3 5 2 3" xfId="28002"/>
    <cellStyle name="Comma 2 5 2 2 2 2 3 5 2 3 2" xfId="42044"/>
    <cellStyle name="Comma 2 5 2 2 2 2 3 5 2 4" xfId="31337"/>
    <cellStyle name="Comma 2 5 2 2 2 2 3 5 2 5" xfId="35620"/>
    <cellStyle name="Comma 2 5 2 2 2 2 3 5 3" xfId="15699"/>
    <cellStyle name="Comma 2 5 2 2 2 2 3 5 3 2" xfId="24714"/>
    <cellStyle name="Comma 2 5 2 2 2 2 3 5 3 2 2" xfId="44143"/>
    <cellStyle name="Comma 2 5 2 2 2 2 3 5 3 2 3" xfId="37720"/>
    <cellStyle name="Comma 2 5 2 2 2 2 3 5 3 3" xfId="29035"/>
    <cellStyle name="Comma 2 5 2 2 2 2 3 5 3 3 2" xfId="40936"/>
    <cellStyle name="Comma 2 5 2 2 2 2 3 5 3 4" xfId="32370"/>
    <cellStyle name="Comma 2 5 2 2 2 2 3 5 3 5" xfId="34512"/>
    <cellStyle name="Comma 2 5 2 2 2 2 3 5 4" xfId="8517"/>
    <cellStyle name="Comma 2 5 2 2 2 2 3 5 4 2" xfId="43109"/>
    <cellStyle name="Comma 2 5 2 2 2 2 3 5 4 3" xfId="36685"/>
    <cellStyle name="Comma 2 5 2 2 2 2 3 5 5" xfId="21506"/>
    <cellStyle name="Comma 2 5 2 2 2 2 3 5 5 2" xfId="39902"/>
    <cellStyle name="Comma 2 5 2 2 2 2 3 5 6" xfId="22579"/>
    <cellStyle name="Comma 2 5 2 2 2 2 3 5 7" xfId="23680"/>
    <cellStyle name="Comma 2 5 2 2 2 2 3 5 8" xfId="26901"/>
    <cellStyle name="Comma 2 5 2 2 2 2 3 5 9" xfId="30234"/>
    <cellStyle name="Comma 2 5 2 2 2 2 3 6" xfId="10020"/>
    <cellStyle name="Comma 2 5 2 2 2 2 3 6 2" xfId="25820"/>
    <cellStyle name="Comma 2 5 2 2 2 2 3 6 2 2" xfId="45247"/>
    <cellStyle name="Comma 2 5 2 2 2 2 3 6 2 3" xfId="38824"/>
    <cellStyle name="Comma 2 5 2 2 2 2 3 6 3" xfId="27998"/>
    <cellStyle name="Comma 2 5 2 2 2 2 3 6 3 2" xfId="42040"/>
    <cellStyle name="Comma 2 5 2 2 2 2 3 6 4" xfId="31333"/>
    <cellStyle name="Comma 2 5 2 2 2 2 3 6 5" xfId="35616"/>
    <cellStyle name="Comma 2 5 2 2 2 2 3 7" xfId="15695"/>
    <cellStyle name="Comma 2 5 2 2 2 2 3 7 2" xfId="24710"/>
    <cellStyle name="Comma 2 5 2 2 2 2 3 7 2 2" xfId="44139"/>
    <cellStyle name="Comma 2 5 2 2 2 2 3 7 2 3" xfId="37716"/>
    <cellStyle name="Comma 2 5 2 2 2 2 3 7 3" xfId="29031"/>
    <cellStyle name="Comma 2 5 2 2 2 2 3 7 3 2" xfId="40932"/>
    <cellStyle name="Comma 2 5 2 2 2 2 3 7 4" xfId="32366"/>
    <cellStyle name="Comma 2 5 2 2 2 2 3 7 5" xfId="34508"/>
    <cellStyle name="Comma 2 5 2 2 2 2 3 8" xfId="8513"/>
    <cellStyle name="Comma 2 5 2 2 2 2 3 8 2" xfId="43105"/>
    <cellStyle name="Comma 2 5 2 2 2 2 3 8 3" xfId="36681"/>
    <cellStyle name="Comma 2 5 2 2 2 2 3 9" xfId="21502"/>
    <cellStyle name="Comma 2 5 2 2 2 2 3 9 2" xfId="39898"/>
    <cellStyle name="Comma 2 5 2 2 2 2 4" xfId="1255"/>
    <cellStyle name="Comma 2 5 2 2 2 2 4 10" xfId="33479"/>
    <cellStyle name="Comma 2 5 2 2 2 2 4 2" xfId="10025"/>
    <cellStyle name="Comma 2 5 2 2 2 2 4 2 2" xfId="25825"/>
    <cellStyle name="Comma 2 5 2 2 2 2 4 2 2 2" xfId="45252"/>
    <cellStyle name="Comma 2 5 2 2 2 2 4 2 2 3" xfId="38829"/>
    <cellStyle name="Comma 2 5 2 2 2 2 4 2 3" xfId="28003"/>
    <cellStyle name="Comma 2 5 2 2 2 2 4 2 3 2" xfId="42045"/>
    <cellStyle name="Comma 2 5 2 2 2 2 4 2 4" xfId="31338"/>
    <cellStyle name="Comma 2 5 2 2 2 2 4 2 5" xfId="35621"/>
    <cellStyle name="Comma 2 5 2 2 2 2 4 3" xfId="15700"/>
    <cellStyle name="Comma 2 5 2 2 2 2 4 3 2" xfId="24715"/>
    <cellStyle name="Comma 2 5 2 2 2 2 4 3 2 2" xfId="44144"/>
    <cellStyle name="Comma 2 5 2 2 2 2 4 3 2 3" xfId="37721"/>
    <cellStyle name="Comma 2 5 2 2 2 2 4 3 3" xfId="29036"/>
    <cellStyle name="Comma 2 5 2 2 2 2 4 3 3 2" xfId="40937"/>
    <cellStyle name="Comma 2 5 2 2 2 2 4 3 4" xfId="32371"/>
    <cellStyle name="Comma 2 5 2 2 2 2 4 3 5" xfId="34513"/>
    <cellStyle name="Comma 2 5 2 2 2 2 4 4" xfId="8518"/>
    <cellStyle name="Comma 2 5 2 2 2 2 4 4 2" xfId="43110"/>
    <cellStyle name="Comma 2 5 2 2 2 2 4 4 3" xfId="36686"/>
    <cellStyle name="Comma 2 5 2 2 2 2 4 5" xfId="21507"/>
    <cellStyle name="Comma 2 5 2 2 2 2 4 5 2" xfId="39903"/>
    <cellStyle name="Comma 2 5 2 2 2 2 4 6" xfId="22580"/>
    <cellStyle name="Comma 2 5 2 2 2 2 4 7" xfId="23681"/>
    <cellStyle name="Comma 2 5 2 2 2 2 4 8" xfId="26902"/>
    <cellStyle name="Comma 2 5 2 2 2 2 4 9" xfId="30235"/>
    <cellStyle name="Comma 2 5 2 2 2 2 5" xfId="1256"/>
    <cellStyle name="Comma 2 5 2 2 2 2 5 10" xfId="33480"/>
    <cellStyle name="Comma 2 5 2 2 2 2 5 2" xfId="10026"/>
    <cellStyle name="Comma 2 5 2 2 2 2 5 2 2" xfId="25826"/>
    <cellStyle name="Comma 2 5 2 2 2 2 5 2 2 2" xfId="45253"/>
    <cellStyle name="Comma 2 5 2 2 2 2 5 2 2 3" xfId="38830"/>
    <cellStyle name="Comma 2 5 2 2 2 2 5 2 3" xfId="28004"/>
    <cellStyle name="Comma 2 5 2 2 2 2 5 2 3 2" xfId="42046"/>
    <cellStyle name="Comma 2 5 2 2 2 2 5 2 4" xfId="31339"/>
    <cellStyle name="Comma 2 5 2 2 2 2 5 2 5" xfId="35622"/>
    <cellStyle name="Comma 2 5 2 2 2 2 5 3" xfId="15701"/>
    <cellStyle name="Comma 2 5 2 2 2 2 5 3 2" xfId="24716"/>
    <cellStyle name="Comma 2 5 2 2 2 2 5 3 2 2" xfId="44145"/>
    <cellStyle name="Comma 2 5 2 2 2 2 5 3 2 3" xfId="37722"/>
    <cellStyle name="Comma 2 5 2 2 2 2 5 3 3" xfId="29037"/>
    <cellStyle name="Comma 2 5 2 2 2 2 5 3 3 2" xfId="40938"/>
    <cellStyle name="Comma 2 5 2 2 2 2 5 3 4" xfId="32372"/>
    <cellStyle name="Comma 2 5 2 2 2 2 5 3 5" xfId="34514"/>
    <cellStyle name="Comma 2 5 2 2 2 2 5 4" xfId="8519"/>
    <cellStyle name="Comma 2 5 2 2 2 2 5 4 2" xfId="43111"/>
    <cellStyle name="Comma 2 5 2 2 2 2 5 4 3" xfId="36687"/>
    <cellStyle name="Comma 2 5 2 2 2 2 5 5" xfId="21508"/>
    <cellStyle name="Comma 2 5 2 2 2 2 5 5 2" xfId="39904"/>
    <cellStyle name="Comma 2 5 2 2 2 2 5 6" xfId="22581"/>
    <cellStyle name="Comma 2 5 2 2 2 2 5 7" xfId="23682"/>
    <cellStyle name="Comma 2 5 2 2 2 2 5 8" xfId="26903"/>
    <cellStyle name="Comma 2 5 2 2 2 2 5 9" xfId="30236"/>
    <cellStyle name="Comma 2 5 2 2 2 2 6" xfId="1257"/>
    <cellStyle name="Comma 2 5 2 2 2 2 6 10" xfId="33481"/>
    <cellStyle name="Comma 2 5 2 2 2 2 6 2" xfId="10027"/>
    <cellStyle name="Comma 2 5 2 2 2 2 6 2 2" xfId="25827"/>
    <cellStyle name="Comma 2 5 2 2 2 2 6 2 2 2" xfId="45254"/>
    <cellStyle name="Comma 2 5 2 2 2 2 6 2 2 3" xfId="38831"/>
    <cellStyle name="Comma 2 5 2 2 2 2 6 2 3" xfId="28005"/>
    <cellStyle name="Comma 2 5 2 2 2 2 6 2 3 2" xfId="42047"/>
    <cellStyle name="Comma 2 5 2 2 2 2 6 2 4" xfId="31340"/>
    <cellStyle name="Comma 2 5 2 2 2 2 6 2 5" xfId="35623"/>
    <cellStyle name="Comma 2 5 2 2 2 2 6 3" xfId="15702"/>
    <cellStyle name="Comma 2 5 2 2 2 2 6 3 2" xfId="24717"/>
    <cellStyle name="Comma 2 5 2 2 2 2 6 3 2 2" xfId="44146"/>
    <cellStyle name="Comma 2 5 2 2 2 2 6 3 2 3" xfId="37723"/>
    <cellStyle name="Comma 2 5 2 2 2 2 6 3 3" xfId="29038"/>
    <cellStyle name="Comma 2 5 2 2 2 2 6 3 3 2" xfId="40939"/>
    <cellStyle name="Comma 2 5 2 2 2 2 6 3 4" xfId="32373"/>
    <cellStyle name="Comma 2 5 2 2 2 2 6 3 5" xfId="34515"/>
    <cellStyle name="Comma 2 5 2 2 2 2 6 4" xfId="8520"/>
    <cellStyle name="Comma 2 5 2 2 2 2 6 4 2" xfId="43112"/>
    <cellStyle name="Comma 2 5 2 2 2 2 6 4 3" xfId="36688"/>
    <cellStyle name="Comma 2 5 2 2 2 2 6 5" xfId="21509"/>
    <cellStyle name="Comma 2 5 2 2 2 2 6 5 2" xfId="39905"/>
    <cellStyle name="Comma 2 5 2 2 2 2 6 6" xfId="22582"/>
    <cellStyle name="Comma 2 5 2 2 2 2 6 7" xfId="23683"/>
    <cellStyle name="Comma 2 5 2 2 2 2 6 8" xfId="26904"/>
    <cellStyle name="Comma 2 5 2 2 2 2 6 9" xfId="30237"/>
    <cellStyle name="Comma 2 5 2 2 2 2 7" xfId="1258"/>
    <cellStyle name="Comma 2 5 2 2 2 2 7 10" xfId="33482"/>
    <cellStyle name="Comma 2 5 2 2 2 2 7 2" xfId="10028"/>
    <cellStyle name="Comma 2 5 2 2 2 2 7 2 2" xfId="25828"/>
    <cellStyle name="Comma 2 5 2 2 2 2 7 2 2 2" xfId="45255"/>
    <cellStyle name="Comma 2 5 2 2 2 2 7 2 2 3" xfId="38832"/>
    <cellStyle name="Comma 2 5 2 2 2 2 7 2 3" xfId="28006"/>
    <cellStyle name="Comma 2 5 2 2 2 2 7 2 3 2" xfId="42048"/>
    <cellStyle name="Comma 2 5 2 2 2 2 7 2 4" xfId="31341"/>
    <cellStyle name="Comma 2 5 2 2 2 2 7 2 5" xfId="35624"/>
    <cellStyle name="Comma 2 5 2 2 2 2 7 3" xfId="15703"/>
    <cellStyle name="Comma 2 5 2 2 2 2 7 3 2" xfId="24718"/>
    <cellStyle name="Comma 2 5 2 2 2 2 7 3 2 2" xfId="44147"/>
    <cellStyle name="Comma 2 5 2 2 2 2 7 3 2 3" xfId="37724"/>
    <cellStyle name="Comma 2 5 2 2 2 2 7 3 3" xfId="29039"/>
    <cellStyle name="Comma 2 5 2 2 2 2 7 3 3 2" xfId="40940"/>
    <cellStyle name="Comma 2 5 2 2 2 2 7 3 4" xfId="32374"/>
    <cellStyle name="Comma 2 5 2 2 2 2 7 3 5" xfId="34516"/>
    <cellStyle name="Comma 2 5 2 2 2 2 7 4" xfId="8521"/>
    <cellStyle name="Comma 2 5 2 2 2 2 7 4 2" xfId="43113"/>
    <cellStyle name="Comma 2 5 2 2 2 2 7 4 3" xfId="36689"/>
    <cellStyle name="Comma 2 5 2 2 2 2 7 5" xfId="21510"/>
    <cellStyle name="Comma 2 5 2 2 2 2 7 5 2" xfId="39906"/>
    <cellStyle name="Comma 2 5 2 2 2 2 7 6" xfId="22583"/>
    <cellStyle name="Comma 2 5 2 2 2 2 7 7" xfId="23684"/>
    <cellStyle name="Comma 2 5 2 2 2 2 7 8" xfId="26905"/>
    <cellStyle name="Comma 2 5 2 2 2 2 7 9" xfId="30238"/>
    <cellStyle name="Comma 2 5 2 2 2 2 8" xfId="1259"/>
    <cellStyle name="Comma 2 5 2 2 2 2 8 10" xfId="33483"/>
    <cellStyle name="Comma 2 5 2 2 2 2 8 2" xfId="10029"/>
    <cellStyle name="Comma 2 5 2 2 2 2 8 2 2" xfId="25829"/>
    <cellStyle name="Comma 2 5 2 2 2 2 8 2 2 2" xfId="45256"/>
    <cellStyle name="Comma 2 5 2 2 2 2 8 2 2 3" xfId="38833"/>
    <cellStyle name="Comma 2 5 2 2 2 2 8 2 3" xfId="28007"/>
    <cellStyle name="Comma 2 5 2 2 2 2 8 2 3 2" xfId="42049"/>
    <cellStyle name="Comma 2 5 2 2 2 2 8 2 4" xfId="31342"/>
    <cellStyle name="Comma 2 5 2 2 2 2 8 2 5" xfId="35625"/>
    <cellStyle name="Comma 2 5 2 2 2 2 8 3" xfId="15704"/>
    <cellStyle name="Comma 2 5 2 2 2 2 8 3 2" xfId="24719"/>
    <cellStyle name="Comma 2 5 2 2 2 2 8 3 2 2" xfId="44148"/>
    <cellStyle name="Comma 2 5 2 2 2 2 8 3 2 3" xfId="37725"/>
    <cellStyle name="Comma 2 5 2 2 2 2 8 3 3" xfId="29040"/>
    <cellStyle name="Comma 2 5 2 2 2 2 8 3 3 2" xfId="40941"/>
    <cellStyle name="Comma 2 5 2 2 2 2 8 3 4" xfId="32375"/>
    <cellStyle name="Comma 2 5 2 2 2 2 8 3 5" xfId="34517"/>
    <cellStyle name="Comma 2 5 2 2 2 2 8 4" xfId="8522"/>
    <cellStyle name="Comma 2 5 2 2 2 2 8 4 2" xfId="43114"/>
    <cellStyle name="Comma 2 5 2 2 2 2 8 4 3" xfId="36690"/>
    <cellStyle name="Comma 2 5 2 2 2 2 8 5" xfId="21511"/>
    <cellStyle name="Comma 2 5 2 2 2 2 8 5 2" xfId="39907"/>
    <cellStyle name="Comma 2 5 2 2 2 2 8 6" xfId="22584"/>
    <cellStyle name="Comma 2 5 2 2 2 2 8 7" xfId="23685"/>
    <cellStyle name="Comma 2 5 2 2 2 2 8 8" xfId="26906"/>
    <cellStyle name="Comma 2 5 2 2 2 2 8 9" xfId="30239"/>
    <cellStyle name="Comma 2 5 2 2 2 2 9" xfId="9128"/>
    <cellStyle name="Comma 2 5 2 2 2 2 9 2" xfId="25182"/>
    <cellStyle name="Comma 2 5 2 2 2 2 9 2 2" xfId="44609"/>
    <cellStyle name="Comma 2 5 2 2 2 2 9 2 3" xfId="38186"/>
    <cellStyle name="Comma 2 5 2 2 2 2 9 3" xfId="27361"/>
    <cellStyle name="Comma 2 5 2 2 2 2 9 3 2" xfId="41402"/>
    <cellStyle name="Comma 2 5 2 2 2 2 9 4" xfId="30696"/>
    <cellStyle name="Comma 2 5 2 2 2 2 9 5" xfId="34978"/>
    <cellStyle name="Comma 2 5 2 2 2 3" xfId="274"/>
    <cellStyle name="Comma 2 5 2 2 2 3 10" xfId="21512"/>
    <cellStyle name="Comma 2 5 2 2 2 3 10 2" xfId="39267"/>
    <cellStyle name="Comma 2 5 2 2 2 3 11" xfId="22585"/>
    <cellStyle name="Comma 2 5 2 2 2 3 12" xfId="23045"/>
    <cellStyle name="Comma 2 5 2 2 2 3 13" xfId="26907"/>
    <cellStyle name="Comma 2 5 2 2 2 3 14" xfId="30240"/>
    <cellStyle name="Comma 2 5 2 2 2 3 15" xfId="32843"/>
    <cellStyle name="Comma 2 5 2 2 2 3 2" xfId="1260"/>
    <cellStyle name="Comma 2 5 2 2 2 3 2 10" xfId="33484"/>
    <cellStyle name="Comma 2 5 2 2 2 3 2 2" xfId="10030"/>
    <cellStyle name="Comma 2 5 2 2 2 3 2 2 2" xfId="25830"/>
    <cellStyle name="Comma 2 5 2 2 2 3 2 2 2 2" xfId="45257"/>
    <cellStyle name="Comma 2 5 2 2 2 3 2 2 2 3" xfId="38834"/>
    <cellStyle name="Comma 2 5 2 2 2 3 2 2 3" xfId="28008"/>
    <cellStyle name="Comma 2 5 2 2 2 3 2 2 3 2" xfId="42050"/>
    <cellStyle name="Comma 2 5 2 2 2 3 2 2 4" xfId="31343"/>
    <cellStyle name="Comma 2 5 2 2 2 3 2 2 5" xfId="35626"/>
    <cellStyle name="Comma 2 5 2 2 2 3 2 3" xfId="15706"/>
    <cellStyle name="Comma 2 5 2 2 2 3 2 3 2" xfId="24721"/>
    <cellStyle name="Comma 2 5 2 2 2 3 2 3 2 2" xfId="44150"/>
    <cellStyle name="Comma 2 5 2 2 2 3 2 3 2 3" xfId="37727"/>
    <cellStyle name="Comma 2 5 2 2 2 3 2 3 3" xfId="29042"/>
    <cellStyle name="Comma 2 5 2 2 2 3 2 3 3 2" xfId="40943"/>
    <cellStyle name="Comma 2 5 2 2 2 3 2 3 4" xfId="32377"/>
    <cellStyle name="Comma 2 5 2 2 2 3 2 3 5" xfId="34519"/>
    <cellStyle name="Comma 2 5 2 2 2 3 2 4" xfId="8524"/>
    <cellStyle name="Comma 2 5 2 2 2 3 2 4 2" xfId="43115"/>
    <cellStyle name="Comma 2 5 2 2 2 3 2 4 3" xfId="36691"/>
    <cellStyle name="Comma 2 5 2 2 2 3 2 5" xfId="21513"/>
    <cellStyle name="Comma 2 5 2 2 2 3 2 5 2" xfId="39908"/>
    <cellStyle name="Comma 2 5 2 2 2 3 2 6" xfId="22586"/>
    <cellStyle name="Comma 2 5 2 2 2 3 2 7" xfId="23686"/>
    <cellStyle name="Comma 2 5 2 2 2 3 2 8" xfId="26908"/>
    <cellStyle name="Comma 2 5 2 2 2 3 2 9" xfId="30241"/>
    <cellStyle name="Comma 2 5 2 2 2 3 3" xfId="1261"/>
    <cellStyle name="Comma 2 5 2 2 2 3 3 10" xfId="33485"/>
    <cellStyle name="Comma 2 5 2 2 2 3 3 2" xfId="10031"/>
    <cellStyle name="Comma 2 5 2 2 2 3 3 2 2" xfId="25831"/>
    <cellStyle name="Comma 2 5 2 2 2 3 3 2 2 2" xfId="45258"/>
    <cellStyle name="Comma 2 5 2 2 2 3 3 2 2 3" xfId="38835"/>
    <cellStyle name="Comma 2 5 2 2 2 3 3 2 3" xfId="28009"/>
    <cellStyle name="Comma 2 5 2 2 2 3 3 2 3 2" xfId="42051"/>
    <cellStyle name="Comma 2 5 2 2 2 3 3 2 4" xfId="31344"/>
    <cellStyle name="Comma 2 5 2 2 2 3 3 2 5" xfId="35627"/>
    <cellStyle name="Comma 2 5 2 2 2 3 3 3" xfId="15707"/>
    <cellStyle name="Comma 2 5 2 2 2 3 3 3 2" xfId="24722"/>
    <cellStyle name="Comma 2 5 2 2 2 3 3 3 2 2" xfId="44151"/>
    <cellStyle name="Comma 2 5 2 2 2 3 3 3 2 3" xfId="37728"/>
    <cellStyle name="Comma 2 5 2 2 2 3 3 3 3" xfId="29043"/>
    <cellStyle name="Comma 2 5 2 2 2 3 3 3 3 2" xfId="40944"/>
    <cellStyle name="Comma 2 5 2 2 2 3 3 3 4" xfId="32378"/>
    <cellStyle name="Comma 2 5 2 2 2 3 3 3 5" xfId="34520"/>
    <cellStyle name="Comma 2 5 2 2 2 3 3 4" xfId="8525"/>
    <cellStyle name="Comma 2 5 2 2 2 3 3 4 2" xfId="43116"/>
    <cellStyle name="Comma 2 5 2 2 2 3 3 4 3" xfId="36692"/>
    <cellStyle name="Comma 2 5 2 2 2 3 3 5" xfId="21514"/>
    <cellStyle name="Comma 2 5 2 2 2 3 3 5 2" xfId="39909"/>
    <cellStyle name="Comma 2 5 2 2 2 3 3 6" xfId="22587"/>
    <cellStyle name="Comma 2 5 2 2 2 3 3 7" xfId="23687"/>
    <cellStyle name="Comma 2 5 2 2 2 3 3 8" xfId="26909"/>
    <cellStyle name="Comma 2 5 2 2 2 3 3 9" xfId="30242"/>
    <cellStyle name="Comma 2 5 2 2 2 3 4" xfId="1262"/>
    <cellStyle name="Comma 2 5 2 2 2 3 4 10" xfId="33486"/>
    <cellStyle name="Comma 2 5 2 2 2 3 4 2" xfId="10032"/>
    <cellStyle name="Comma 2 5 2 2 2 3 4 2 2" xfId="25832"/>
    <cellStyle name="Comma 2 5 2 2 2 3 4 2 2 2" xfId="45259"/>
    <cellStyle name="Comma 2 5 2 2 2 3 4 2 2 3" xfId="38836"/>
    <cellStyle name="Comma 2 5 2 2 2 3 4 2 3" xfId="28010"/>
    <cellStyle name="Comma 2 5 2 2 2 3 4 2 3 2" xfId="42052"/>
    <cellStyle name="Comma 2 5 2 2 2 3 4 2 4" xfId="31345"/>
    <cellStyle name="Comma 2 5 2 2 2 3 4 2 5" xfId="35628"/>
    <cellStyle name="Comma 2 5 2 2 2 3 4 3" xfId="15708"/>
    <cellStyle name="Comma 2 5 2 2 2 3 4 3 2" xfId="24723"/>
    <cellStyle name="Comma 2 5 2 2 2 3 4 3 2 2" xfId="44152"/>
    <cellStyle name="Comma 2 5 2 2 2 3 4 3 2 3" xfId="37729"/>
    <cellStyle name="Comma 2 5 2 2 2 3 4 3 3" xfId="29044"/>
    <cellStyle name="Comma 2 5 2 2 2 3 4 3 3 2" xfId="40945"/>
    <cellStyle name="Comma 2 5 2 2 2 3 4 3 4" xfId="32379"/>
    <cellStyle name="Comma 2 5 2 2 2 3 4 3 5" xfId="34521"/>
    <cellStyle name="Comma 2 5 2 2 2 3 4 4" xfId="8526"/>
    <cellStyle name="Comma 2 5 2 2 2 3 4 4 2" xfId="43117"/>
    <cellStyle name="Comma 2 5 2 2 2 3 4 4 3" xfId="36693"/>
    <cellStyle name="Comma 2 5 2 2 2 3 4 5" xfId="21515"/>
    <cellStyle name="Comma 2 5 2 2 2 3 4 5 2" xfId="39910"/>
    <cellStyle name="Comma 2 5 2 2 2 3 4 6" xfId="22588"/>
    <cellStyle name="Comma 2 5 2 2 2 3 4 7" xfId="23688"/>
    <cellStyle name="Comma 2 5 2 2 2 3 4 8" xfId="26910"/>
    <cellStyle name="Comma 2 5 2 2 2 3 4 9" xfId="30243"/>
    <cellStyle name="Comma 2 5 2 2 2 3 5" xfId="1263"/>
    <cellStyle name="Comma 2 5 2 2 2 3 5 10" xfId="33487"/>
    <cellStyle name="Comma 2 5 2 2 2 3 5 2" xfId="10033"/>
    <cellStyle name="Comma 2 5 2 2 2 3 5 2 2" xfId="25833"/>
    <cellStyle name="Comma 2 5 2 2 2 3 5 2 2 2" xfId="45260"/>
    <cellStyle name="Comma 2 5 2 2 2 3 5 2 2 3" xfId="38837"/>
    <cellStyle name="Comma 2 5 2 2 2 3 5 2 3" xfId="28011"/>
    <cellStyle name="Comma 2 5 2 2 2 3 5 2 3 2" xfId="42053"/>
    <cellStyle name="Comma 2 5 2 2 2 3 5 2 4" xfId="31346"/>
    <cellStyle name="Comma 2 5 2 2 2 3 5 2 5" xfId="35629"/>
    <cellStyle name="Comma 2 5 2 2 2 3 5 3" xfId="15709"/>
    <cellStyle name="Comma 2 5 2 2 2 3 5 3 2" xfId="24724"/>
    <cellStyle name="Comma 2 5 2 2 2 3 5 3 2 2" xfId="44153"/>
    <cellStyle name="Comma 2 5 2 2 2 3 5 3 2 3" xfId="37730"/>
    <cellStyle name="Comma 2 5 2 2 2 3 5 3 3" xfId="29045"/>
    <cellStyle name="Comma 2 5 2 2 2 3 5 3 3 2" xfId="40946"/>
    <cellStyle name="Comma 2 5 2 2 2 3 5 3 4" xfId="32380"/>
    <cellStyle name="Comma 2 5 2 2 2 3 5 3 5" xfId="34522"/>
    <cellStyle name="Comma 2 5 2 2 2 3 5 4" xfId="8527"/>
    <cellStyle name="Comma 2 5 2 2 2 3 5 4 2" xfId="43118"/>
    <cellStyle name="Comma 2 5 2 2 2 3 5 4 3" xfId="36694"/>
    <cellStyle name="Comma 2 5 2 2 2 3 5 5" xfId="21516"/>
    <cellStyle name="Comma 2 5 2 2 2 3 5 5 2" xfId="39911"/>
    <cellStyle name="Comma 2 5 2 2 2 3 5 6" xfId="22589"/>
    <cellStyle name="Comma 2 5 2 2 2 3 5 7" xfId="23689"/>
    <cellStyle name="Comma 2 5 2 2 2 3 5 8" xfId="26911"/>
    <cellStyle name="Comma 2 5 2 2 2 3 5 9" xfId="30244"/>
    <cellStyle name="Comma 2 5 2 2 2 3 6" xfId="1264"/>
    <cellStyle name="Comma 2 5 2 2 2 3 6 10" xfId="33488"/>
    <cellStyle name="Comma 2 5 2 2 2 3 6 2" xfId="10034"/>
    <cellStyle name="Comma 2 5 2 2 2 3 6 2 2" xfId="25834"/>
    <cellStyle name="Comma 2 5 2 2 2 3 6 2 2 2" xfId="45261"/>
    <cellStyle name="Comma 2 5 2 2 2 3 6 2 2 3" xfId="38838"/>
    <cellStyle name="Comma 2 5 2 2 2 3 6 2 3" xfId="28012"/>
    <cellStyle name="Comma 2 5 2 2 2 3 6 2 3 2" xfId="42054"/>
    <cellStyle name="Comma 2 5 2 2 2 3 6 2 4" xfId="31347"/>
    <cellStyle name="Comma 2 5 2 2 2 3 6 2 5" xfId="35630"/>
    <cellStyle name="Comma 2 5 2 2 2 3 6 3" xfId="15710"/>
    <cellStyle name="Comma 2 5 2 2 2 3 6 3 2" xfId="24725"/>
    <cellStyle name="Comma 2 5 2 2 2 3 6 3 2 2" xfId="44154"/>
    <cellStyle name="Comma 2 5 2 2 2 3 6 3 2 3" xfId="37731"/>
    <cellStyle name="Comma 2 5 2 2 2 3 6 3 3" xfId="29046"/>
    <cellStyle name="Comma 2 5 2 2 2 3 6 3 3 2" xfId="40947"/>
    <cellStyle name="Comma 2 5 2 2 2 3 6 3 4" xfId="32381"/>
    <cellStyle name="Comma 2 5 2 2 2 3 6 3 5" xfId="34523"/>
    <cellStyle name="Comma 2 5 2 2 2 3 6 4" xfId="8528"/>
    <cellStyle name="Comma 2 5 2 2 2 3 6 4 2" xfId="43119"/>
    <cellStyle name="Comma 2 5 2 2 2 3 6 4 3" xfId="36695"/>
    <cellStyle name="Comma 2 5 2 2 2 3 6 5" xfId="21517"/>
    <cellStyle name="Comma 2 5 2 2 2 3 6 5 2" xfId="39912"/>
    <cellStyle name="Comma 2 5 2 2 2 3 6 6" xfId="22590"/>
    <cellStyle name="Comma 2 5 2 2 2 3 6 7" xfId="23690"/>
    <cellStyle name="Comma 2 5 2 2 2 3 6 8" xfId="26912"/>
    <cellStyle name="Comma 2 5 2 2 2 3 6 9" xfId="30245"/>
    <cellStyle name="Comma 2 5 2 2 2 3 7" xfId="9130"/>
    <cellStyle name="Comma 2 5 2 2 2 3 7 2" xfId="25184"/>
    <cellStyle name="Comma 2 5 2 2 2 3 7 2 2" xfId="44611"/>
    <cellStyle name="Comma 2 5 2 2 2 3 7 2 3" xfId="38188"/>
    <cellStyle name="Comma 2 5 2 2 2 3 7 3" xfId="27363"/>
    <cellStyle name="Comma 2 5 2 2 2 3 7 3 2" xfId="41404"/>
    <cellStyle name="Comma 2 5 2 2 2 3 7 4" xfId="30698"/>
    <cellStyle name="Comma 2 5 2 2 2 3 7 5" xfId="34980"/>
    <cellStyle name="Comma 2 5 2 2 2 3 8" xfId="15705"/>
    <cellStyle name="Comma 2 5 2 2 2 3 8 2" xfId="24720"/>
    <cellStyle name="Comma 2 5 2 2 2 3 8 2 2" xfId="44149"/>
    <cellStyle name="Comma 2 5 2 2 2 3 8 2 3" xfId="37726"/>
    <cellStyle name="Comma 2 5 2 2 2 3 8 3" xfId="29041"/>
    <cellStyle name="Comma 2 5 2 2 2 3 8 3 2" xfId="40942"/>
    <cellStyle name="Comma 2 5 2 2 2 3 8 4" xfId="32376"/>
    <cellStyle name="Comma 2 5 2 2 2 3 8 5" xfId="34518"/>
    <cellStyle name="Comma 2 5 2 2 2 3 9" xfId="8523"/>
    <cellStyle name="Comma 2 5 2 2 2 3 9 2" xfId="42474"/>
    <cellStyle name="Comma 2 5 2 2 2 3 9 3" xfId="36050"/>
    <cellStyle name="Comma 2 5 2 2 2 4" xfId="1265"/>
    <cellStyle name="Comma 2 5 2 2 2 4 10" xfId="22591"/>
    <cellStyle name="Comma 2 5 2 2 2 4 11" xfId="23691"/>
    <cellStyle name="Comma 2 5 2 2 2 4 12" xfId="26913"/>
    <cellStyle name="Comma 2 5 2 2 2 4 13" xfId="30246"/>
    <cellStyle name="Comma 2 5 2 2 2 4 14" xfId="33489"/>
    <cellStyle name="Comma 2 5 2 2 2 4 2" xfId="1266"/>
    <cellStyle name="Comma 2 5 2 2 2 4 2 10" xfId="33490"/>
    <cellStyle name="Comma 2 5 2 2 2 4 2 2" xfId="10036"/>
    <cellStyle name="Comma 2 5 2 2 2 4 2 2 2" xfId="25836"/>
    <cellStyle name="Comma 2 5 2 2 2 4 2 2 2 2" xfId="45263"/>
    <cellStyle name="Comma 2 5 2 2 2 4 2 2 2 3" xfId="38840"/>
    <cellStyle name="Comma 2 5 2 2 2 4 2 2 3" xfId="28014"/>
    <cellStyle name="Comma 2 5 2 2 2 4 2 2 3 2" xfId="42056"/>
    <cellStyle name="Comma 2 5 2 2 2 4 2 2 4" xfId="31349"/>
    <cellStyle name="Comma 2 5 2 2 2 4 2 2 5" xfId="35632"/>
    <cellStyle name="Comma 2 5 2 2 2 4 2 3" xfId="15712"/>
    <cellStyle name="Comma 2 5 2 2 2 4 2 3 2" xfId="24727"/>
    <cellStyle name="Comma 2 5 2 2 2 4 2 3 2 2" xfId="44156"/>
    <cellStyle name="Comma 2 5 2 2 2 4 2 3 2 3" xfId="37733"/>
    <cellStyle name="Comma 2 5 2 2 2 4 2 3 3" xfId="29048"/>
    <cellStyle name="Comma 2 5 2 2 2 4 2 3 3 2" xfId="40949"/>
    <cellStyle name="Comma 2 5 2 2 2 4 2 3 4" xfId="32383"/>
    <cellStyle name="Comma 2 5 2 2 2 4 2 3 5" xfId="34525"/>
    <cellStyle name="Comma 2 5 2 2 2 4 2 4" xfId="8530"/>
    <cellStyle name="Comma 2 5 2 2 2 4 2 4 2" xfId="43121"/>
    <cellStyle name="Comma 2 5 2 2 2 4 2 4 3" xfId="36697"/>
    <cellStyle name="Comma 2 5 2 2 2 4 2 5" xfId="21519"/>
    <cellStyle name="Comma 2 5 2 2 2 4 2 5 2" xfId="39914"/>
    <cellStyle name="Comma 2 5 2 2 2 4 2 6" xfId="22592"/>
    <cellStyle name="Comma 2 5 2 2 2 4 2 7" xfId="23692"/>
    <cellStyle name="Comma 2 5 2 2 2 4 2 8" xfId="26914"/>
    <cellStyle name="Comma 2 5 2 2 2 4 2 9" xfId="30247"/>
    <cellStyle name="Comma 2 5 2 2 2 4 3" xfId="1267"/>
    <cellStyle name="Comma 2 5 2 2 2 4 3 10" xfId="33491"/>
    <cellStyle name="Comma 2 5 2 2 2 4 3 2" xfId="10037"/>
    <cellStyle name="Comma 2 5 2 2 2 4 3 2 2" xfId="25837"/>
    <cellStyle name="Comma 2 5 2 2 2 4 3 2 2 2" xfId="45264"/>
    <cellStyle name="Comma 2 5 2 2 2 4 3 2 2 3" xfId="38841"/>
    <cellStyle name="Comma 2 5 2 2 2 4 3 2 3" xfId="28015"/>
    <cellStyle name="Comma 2 5 2 2 2 4 3 2 3 2" xfId="42057"/>
    <cellStyle name="Comma 2 5 2 2 2 4 3 2 4" xfId="31350"/>
    <cellStyle name="Comma 2 5 2 2 2 4 3 2 5" xfId="35633"/>
    <cellStyle name="Comma 2 5 2 2 2 4 3 3" xfId="15713"/>
    <cellStyle name="Comma 2 5 2 2 2 4 3 3 2" xfId="24728"/>
    <cellStyle name="Comma 2 5 2 2 2 4 3 3 2 2" xfId="44157"/>
    <cellStyle name="Comma 2 5 2 2 2 4 3 3 2 3" xfId="37734"/>
    <cellStyle name="Comma 2 5 2 2 2 4 3 3 3" xfId="29049"/>
    <cellStyle name="Comma 2 5 2 2 2 4 3 3 3 2" xfId="40950"/>
    <cellStyle name="Comma 2 5 2 2 2 4 3 3 4" xfId="32384"/>
    <cellStyle name="Comma 2 5 2 2 2 4 3 3 5" xfId="34526"/>
    <cellStyle name="Comma 2 5 2 2 2 4 3 4" xfId="8531"/>
    <cellStyle name="Comma 2 5 2 2 2 4 3 4 2" xfId="43122"/>
    <cellStyle name="Comma 2 5 2 2 2 4 3 4 3" xfId="36698"/>
    <cellStyle name="Comma 2 5 2 2 2 4 3 5" xfId="21520"/>
    <cellStyle name="Comma 2 5 2 2 2 4 3 5 2" xfId="39915"/>
    <cellStyle name="Comma 2 5 2 2 2 4 3 6" xfId="22593"/>
    <cellStyle name="Comma 2 5 2 2 2 4 3 7" xfId="23693"/>
    <cellStyle name="Comma 2 5 2 2 2 4 3 8" xfId="26915"/>
    <cellStyle name="Comma 2 5 2 2 2 4 3 9" xfId="30248"/>
    <cellStyle name="Comma 2 5 2 2 2 4 4" xfId="1268"/>
    <cellStyle name="Comma 2 5 2 2 2 4 4 10" xfId="33492"/>
    <cellStyle name="Comma 2 5 2 2 2 4 4 2" xfId="10038"/>
    <cellStyle name="Comma 2 5 2 2 2 4 4 2 2" xfId="25838"/>
    <cellStyle name="Comma 2 5 2 2 2 4 4 2 2 2" xfId="45265"/>
    <cellStyle name="Comma 2 5 2 2 2 4 4 2 2 3" xfId="38842"/>
    <cellStyle name="Comma 2 5 2 2 2 4 4 2 3" xfId="28016"/>
    <cellStyle name="Comma 2 5 2 2 2 4 4 2 3 2" xfId="42058"/>
    <cellStyle name="Comma 2 5 2 2 2 4 4 2 4" xfId="31351"/>
    <cellStyle name="Comma 2 5 2 2 2 4 4 2 5" xfId="35634"/>
    <cellStyle name="Comma 2 5 2 2 2 4 4 3" xfId="15714"/>
    <cellStyle name="Comma 2 5 2 2 2 4 4 3 2" xfId="24729"/>
    <cellStyle name="Comma 2 5 2 2 2 4 4 3 2 2" xfId="44158"/>
    <cellStyle name="Comma 2 5 2 2 2 4 4 3 2 3" xfId="37735"/>
    <cellStyle name="Comma 2 5 2 2 2 4 4 3 3" xfId="29050"/>
    <cellStyle name="Comma 2 5 2 2 2 4 4 3 3 2" xfId="40951"/>
    <cellStyle name="Comma 2 5 2 2 2 4 4 3 4" xfId="32385"/>
    <cellStyle name="Comma 2 5 2 2 2 4 4 3 5" xfId="34527"/>
    <cellStyle name="Comma 2 5 2 2 2 4 4 4" xfId="8532"/>
    <cellStyle name="Comma 2 5 2 2 2 4 4 4 2" xfId="43123"/>
    <cellStyle name="Comma 2 5 2 2 2 4 4 4 3" xfId="36699"/>
    <cellStyle name="Comma 2 5 2 2 2 4 4 5" xfId="21521"/>
    <cellStyle name="Comma 2 5 2 2 2 4 4 5 2" xfId="39916"/>
    <cellStyle name="Comma 2 5 2 2 2 4 4 6" xfId="22594"/>
    <cellStyle name="Comma 2 5 2 2 2 4 4 7" xfId="23694"/>
    <cellStyle name="Comma 2 5 2 2 2 4 4 8" xfId="26916"/>
    <cellStyle name="Comma 2 5 2 2 2 4 4 9" xfId="30249"/>
    <cellStyle name="Comma 2 5 2 2 2 4 5" xfId="1269"/>
    <cellStyle name="Comma 2 5 2 2 2 4 5 10" xfId="33493"/>
    <cellStyle name="Comma 2 5 2 2 2 4 5 2" xfId="10039"/>
    <cellStyle name="Comma 2 5 2 2 2 4 5 2 2" xfId="25839"/>
    <cellStyle name="Comma 2 5 2 2 2 4 5 2 2 2" xfId="45266"/>
    <cellStyle name="Comma 2 5 2 2 2 4 5 2 2 3" xfId="38843"/>
    <cellStyle name="Comma 2 5 2 2 2 4 5 2 3" xfId="28017"/>
    <cellStyle name="Comma 2 5 2 2 2 4 5 2 3 2" xfId="42059"/>
    <cellStyle name="Comma 2 5 2 2 2 4 5 2 4" xfId="31352"/>
    <cellStyle name="Comma 2 5 2 2 2 4 5 2 5" xfId="35635"/>
    <cellStyle name="Comma 2 5 2 2 2 4 5 3" xfId="15715"/>
    <cellStyle name="Comma 2 5 2 2 2 4 5 3 2" xfId="24730"/>
    <cellStyle name="Comma 2 5 2 2 2 4 5 3 2 2" xfId="44159"/>
    <cellStyle name="Comma 2 5 2 2 2 4 5 3 2 3" xfId="37736"/>
    <cellStyle name="Comma 2 5 2 2 2 4 5 3 3" xfId="29051"/>
    <cellStyle name="Comma 2 5 2 2 2 4 5 3 3 2" xfId="40952"/>
    <cellStyle name="Comma 2 5 2 2 2 4 5 3 4" xfId="32386"/>
    <cellStyle name="Comma 2 5 2 2 2 4 5 3 5" xfId="34528"/>
    <cellStyle name="Comma 2 5 2 2 2 4 5 4" xfId="8533"/>
    <cellStyle name="Comma 2 5 2 2 2 4 5 4 2" xfId="43124"/>
    <cellStyle name="Comma 2 5 2 2 2 4 5 4 3" xfId="36700"/>
    <cellStyle name="Comma 2 5 2 2 2 4 5 5" xfId="21522"/>
    <cellStyle name="Comma 2 5 2 2 2 4 5 5 2" xfId="39917"/>
    <cellStyle name="Comma 2 5 2 2 2 4 5 6" xfId="22595"/>
    <cellStyle name="Comma 2 5 2 2 2 4 5 7" xfId="23695"/>
    <cellStyle name="Comma 2 5 2 2 2 4 5 8" xfId="26917"/>
    <cellStyle name="Comma 2 5 2 2 2 4 5 9" xfId="30250"/>
    <cellStyle name="Comma 2 5 2 2 2 4 6" xfId="10035"/>
    <cellStyle name="Comma 2 5 2 2 2 4 6 2" xfId="25835"/>
    <cellStyle name="Comma 2 5 2 2 2 4 6 2 2" xfId="45262"/>
    <cellStyle name="Comma 2 5 2 2 2 4 6 2 3" xfId="38839"/>
    <cellStyle name="Comma 2 5 2 2 2 4 6 3" xfId="28013"/>
    <cellStyle name="Comma 2 5 2 2 2 4 6 3 2" xfId="42055"/>
    <cellStyle name="Comma 2 5 2 2 2 4 6 4" xfId="31348"/>
    <cellStyle name="Comma 2 5 2 2 2 4 6 5" xfId="35631"/>
    <cellStyle name="Comma 2 5 2 2 2 4 7" xfId="15711"/>
    <cellStyle name="Comma 2 5 2 2 2 4 7 2" xfId="24726"/>
    <cellStyle name="Comma 2 5 2 2 2 4 7 2 2" xfId="44155"/>
    <cellStyle name="Comma 2 5 2 2 2 4 7 2 3" xfId="37732"/>
    <cellStyle name="Comma 2 5 2 2 2 4 7 3" xfId="29047"/>
    <cellStyle name="Comma 2 5 2 2 2 4 7 3 2" xfId="40948"/>
    <cellStyle name="Comma 2 5 2 2 2 4 7 4" xfId="32382"/>
    <cellStyle name="Comma 2 5 2 2 2 4 7 5" xfId="34524"/>
    <cellStyle name="Comma 2 5 2 2 2 4 8" xfId="8529"/>
    <cellStyle name="Comma 2 5 2 2 2 4 8 2" xfId="43120"/>
    <cellStyle name="Comma 2 5 2 2 2 4 8 3" xfId="36696"/>
    <cellStyle name="Comma 2 5 2 2 2 4 9" xfId="21518"/>
    <cellStyle name="Comma 2 5 2 2 2 4 9 2" xfId="39913"/>
    <cellStyle name="Comma 2 5 2 2 2 5" xfId="1270"/>
    <cellStyle name="Comma 2 5 2 2 2 5 10" xfId="22596"/>
    <cellStyle name="Comma 2 5 2 2 2 5 11" xfId="23696"/>
    <cellStyle name="Comma 2 5 2 2 2 5 12" xfId="26918"/>
    <cellStyle name="Comma 2 5 2 2 2 5 13" xfId="30251"/>
    <cellStyle name="Comma 2 5 2 2 2 5 14" xfId="33494"/>
    <cellStyle name="Comma 2 5 2 2 2 5 2" xfId="1271"/>
    <cellStyle name="Comma 2 5 2 2 2 5 2 10" xfId="33495"/>
    <cellStyle name="Comma 2 5 2 2 2 5 2 2" xfId="10041"/>
    <cellStyle name="Comma 2 5 2 2 2 5 2 2 2" xfId="25841"/>
    <cellStyle name="Comma 2 5 2 2 2 5 2 2 2 2" xfId="45268"/>
    <cellStyle name="Comma 2 5 2 2 2 5 2 2 2 3" xfId="38845"/>
    <cellStyle name="Comma 2 5 2 2 2 5 2 2 3" xfId="28019"/>
    <cellStyle name="Comma 2 5 2 2 2 5 2 2 3 2" xfId="42061"/>
    <cellStyle name="Comma 2 5 2 2 2 5 2 2 4" xfId="31354"/>
    <cellStyle name="Comma 2 5 2 2 2 5 2 2 5" xfId="35637"/>
    <cellStyle name="Comma 2 5 2 2 2 5 2 3" xfId="15717"/>
    <cellStyle name="Comma 2 5 2 2 2 5 2 3 2" xfId="24732"/>
    <cellStyle name="Comma 2 5 2 2 2 5 2 3 2 2" xfId="44161"/>
    <cellStyle name="Comma 2 5 2 2 2 5 2 3 2 3" xfId="37738"/>
    <cellStyle name="Comma 2 5 2 2 2 5 2 3 3" xfId="29053"/>
    <cellStyle name="Comma 2 5 2 2 2 5 2 3 3 2" xfId="40954"/>
    <cellStyle name="Comma 2 5 2 2 2 5 2 3 4" xfId="32388"/>
    <cellStyle name="Comma 2 5 2 2 2 5 2 3 5" xfId="34530"/>
    <cellStyle name="Comma 2 5 2 2 2 5 2 4" xfId="8535"/>
    <cellStyle name="Comma 2 5 2 2 2 5 2 4 2" xfId="43126"/>
    <cellStyle name="Comma 2 5 2 2 2 5 2 4 3" xfId="36702"/>
    <cellStyle name="Comma 2 5 2 2 2 5 2 5" xfId="21524"/>
    <cellStyle name="Comma 2 5 2 2 2 5 2 5 2" xfId="39919"/>
    <cellStyle name="Comma 2 5 2 2 2 5 2 6" xfId="22597"/>
    <cellStyle name="Comma 2 5 2 2 2 5 2 7" xfId="23697"/>
    <cellStyle name="Comma 2 5 2 2 2 5 2 8" xfId="26919"/>
    <cellStyle name="Comma 2 5 2 2 2 5 2 9" xfId="30252"/>
    <cellStyle name="Comma 2 5 2 2 2 5 3" xfId="1272"/>
    <cellStyle name="Comma 2 5 2 2 2 5 3 10" xfId="33496"/>
    <cellStyle name="Comma 2 5 2 2 2 5 3 2" xfId="10042"/>
    <cellStyle name="Comma 2 5 2 2 2 5 3 2 2" xfId="25842"/>
    <cellStyle name="Comma 2 5 2 2 2 5 3 2 2 2" xfId="45269"/>
    <cellStyle name="Comma 2 5 2 2 2 5 3 2 2 3" xfId="38846"/>
    <cellStyle name="Comma 2 5 2 2 2 5 3 2 3" xfId="28020"/>
    <cellStyle name="Comma 2 5 2 2 2 5 3 2 3 2" xfId="42062"/>
    <cellStyle name="Comma 2 5 2 2 2 5 3 2 4" xfId="31355"/>
    <cellStyle name="Comma 2 5 2 2 2 5 3 2 5" xfId="35638"/>
    <cellStyle name="Comma 2 5 2 2 2 5 3 3" xfId="15718"/>
    <cellStyle name="Comma 2 5 2 2 2 5 3 3 2" xfId="24733"/>
    <cellStyle name="Comma 2 5 2 2 2 5 3 3 2 2" xfId="44162"/>
    <cellStyle name="Comma 2 5 2 2 2 5 3 3 2 3" xfId="37739"/>
    <cellStyle name="Comma 2 5 2 2 2 5 3 3 3" xfId="29054"/>
    <cellStyle name="Comma 2 5 2 2 2 5 3 3 3 2" xfId="40955"/>
    <cellStyle name="Comma 2 5 2 2 2 5 3 3 4" xfId="32389"/>
    <cellStyle name="Comma 2 5 2 2 2 5 3 3 5" xfId="34531"/>
    <cellStyle name="Comma 2 5 2 2 2 5 3 4" xfId="8536"/>
    <cellStyle name="Comma 2 5 2 2 2 5 3 4 2" xfId="43127"/>
    <cellStyle name="Comma 2 5 2 2 2 5 3 4 3" xfId="36703"/>
    <cellStyle name="Comma 2 5 2 2 2 5 3 5" xfId="21525"/>
    <cellStyle name="Comma 2 5 2 2 2 5 3 5 2" xfId="39920"/>
    <cellStyle name="Comma 2 5 2 2 2 5 3 6" xfId="22598"/>
    <cellStyle name="Comma 2 5 2 2 2 5 3 7" xfId="23698"/>
    <cellStyle name="Comma 2 5 2 2 2 5 3 8" xfId="26920"/>
    <cellStyle name="Comma 2 5 2 2 2 5 3 9" xfId="30253"/>
    <cellStyle name="Comma 2 5 2 2 2 5 4" xfId="1273"/>
    <cellStyle name="Comma 2 5 2 2 2 5 4 10" xfId="33497"/>
    <cellStyle name="Comma 2 5 2 2 2 5 4 2" xfId="10043"/>
    <cellStyle name="Comma 2 5 2 2 2 5 4 2 2" xfId="25843"/>
    <cellStyle name="Comma 2 5 2 2 2 5 4 2 2 2" xfId="45270"/>
    <cellStyle name="Comma 2 5 2 2 2 5 4 2 2 3" xfId="38847"/>
    <cellStyle name="Comma 2 5 2 2 2 5 4 2 3" xfId="28021"/>
    <cellStyle name="Comma 2 5 2 2 2 5 4 2 3 2" xfId="42063"/>
    <cellStyle name="Comma 2 5 2 2 2 5 4 2 4" xfId="31356"/>
    <cellStyle name="Comma 2 5 2 2 2 5 4 2 5" xfId="35639"/>
    <cellStyle name="Comma 2 5 2 2 2 5 4 3" xfId="15719"/>
    <cellStyle name="Comma 2 5 2 2 2 5 4 3 2" xfId="24734"/>
    <cellStyle name="Comma 2 5 2 2 2 5 4 3 2 2" xfId="44163"/>
    <cellStyle name="Comma 2 5 2 2 2 5 4 3 2 3" xfId="37740"/>
    <cellStyle name="Comma 2 5 2 2 2 5 4 3 3" xfId="29055"/>
    <cellStyle name="Comma 2 5 2 2 2 5 4 3 3 2" xfId="40956"/>
    <cellStyle name="Comma 2 5 2 2 2 5 4 3 4" xfId="32390"/>
    <cellStyle name="Comma 2 5 2 2 2 5 4 3 5" xfId="34532"/>
    <cellStyle name="Comma 2 5 2 2 2 5 4 4" xfId="8537"/>
    <cellStyle name="Comma 2 5 2 2 2 5 4 4 2" xfId="43128"/>
    <cellStyle name="Comma 2 5 2 2 2 5 4 4 3" xfId="36704"/>
    <cellStyle name="Comma 2 5 2 2 2 5 4 5" xfId="21526"/>
    <cellStyle name="Comma 2 5 2 2 2 5 4 5 2" xfId="39921"/>
    <cellStyle name="Comma 2 5 2 2 2 5 4 6" xfId="22599"/>
    <cellStyle name="Comma 2 5 2 2 2 5 4 7" xfId="23699"/>
    <cellStyle name="Comma 2 5 2 2 2 5 4 8" xfId="26921"/>
    <cellStyle name="Comma 2 5 2 2 2 5 4 9" xfId="30254"/>
    <cellStyle name="Comma 2 5 2 2 2 5 5" xfId="1274"/>
    <cellStyle name="Comma 2 5 2 2 2 5 5 10" xfId="33498"/>
    <cellStyle name="Comma 2 5 2 2 2 5 5 2" xfId="10044"/>
    <cellStyle name="Comma 2 5 2 2 2 5 5 2 2" xfId="25844"/>
    <cellStyle name="Comma 2 5 2 2 2 5 5 2 2 2" xfId="45271"/>
    <cellStyle name="Comma 2 5 2 2 2 5 5 2 2 3" xfId="38848"/>
    <cellStyle name="Comma 2 5 2 2 2 5 5 2 3" xfId="28022"/>
    <cellStyle name="Comma 2 5 2 2 2 5 5 2 3 2" xfId="42064"/>
    <cellStyle name="Comma 2 5 2 2 2 5 5 2 4" xfId="31357"/>
    <cellStyle name="Comma 2 5 2 2 2 5 5 2 5" xfId="35640"/>
    <cellStyle name="Comma 2 5 2 2 2 5 5 3" xfId="15720"/>
    <cellStyle name="Comma 2 5 2 2 2 5 5 3 2" xfId="24735"/>
    <cellStyle name="Comma 2 5 2 2 2 5 5 3 2 2" xfId="44164"/>
    <cellStyle name="Comma 2 5 2 2 2 5 5 3 2 3" xfId="37741"/>
    <cellStyle name="Comma 2 5 2 2 2 5 5 3 3" xfId="29056"/>
    <cellStyle name="Comma 2 5 2 2 2 5 5 3 3 2" xfId="40957"/>
    <cellStyle name="Comma 2 5 2 2 2 5 5 3 4" xfId="32391"/>
    <cellStyle name="Comma 2 5 2 2 2 5 5 3 5" xfId="34533"/>
    <cellStyle name="Comma 2 5 2 2 2 5 5 4" xfId="8538"/>
    <cellStyle name="Comma 2 5 2 2 2 5 5 4 2" xfId="43129"/>
    <cellStyle name="Comma 2 5 2 2 2 5 5 4 3" xfId="36705"/>
    <cellStyle name="Comma 2 5 2 2 2 5 5 5" xfId="21527"/>
    <cellStyle name="Comma 2 5 2 2 2 5 5 5 2" xfId="39922"/>
    <cellStyle name="Comma 2 5 2 2 2 5 5 6" xfId="22600"/>
    <cellStyle name="Comma 2 5 2 2 2 5 5 7" xfId="23700"/>
    <cellStyle name="Comma 2 5 2 2 2 5 5 8" xfId="26922"/>
    <cellStyle name="Comma 2 5 2 2 2 5 5 9" xfId="30255"/>
    <cellStyle name="Comma 2 5 2 2 2 5 6" xfId="10040"/>
    <cellStyle name="Comma 2 5 2 2 2 5 6 2" xfId="25840"/>
    <cellStyle name="Comma 2 5 2 2 2 5 6 2 2" xfId="45267"/>
    <cellStyle name="Comma 2 5 2 2 2 5 6 2 3" xfId="38844"/>
    <cellStyle name="Comma 2 5 2 2 2 5 6 3" xfId="28018"/>
    <cellStyle name="Comma 2 5 2 2 2 5 6 3 2" xfId="42060"/>
    <cellStyle name="Comma 2 5 2 2 2 5 6 4" xfId="31353"/>
    <cellStyle name="Comma 2 5 2 2 2 5 6 5" xfId="35636"/>
    <cellStyle name="Comma 2 5 2 2 2 5 7" xfId="15716"/>
    <cellStyle name="Comma 2 5 2 2 2 5 7 2" xfId="24731"/>
    <cellStyle name="Comma 2 5 2 2 2 5 7 2 2" xfId="44160"/>
    <cellStyle name="Comma 2 5 2 2 2 5 7 2 3" xfId="37737"/>
    <cellStyle name="Comma 2 5 2 2 2 5 7 3" xfId="29052"/>
    <cellStyle name="Comma 2 5 2 2 2 5 7 3 2" xfId="40953"/>
    <cellStyle name="Comma 2 5 2 2 2 5 7 4" xfId="32387"/>
    <cellStyle name="Comma 2 5 2 2 2 5 7 5" xfId="34529"/>
    <cellStyle name="Comma 2 5 2 2 2 5 8" xfId="8534"/>
    <cellStyle name="Comma 2 5 2 2 2 5 8 2" xfId="43125"/>
    <cellStyle name="Comma 2 5 2 2 2 5 8 3" xfId="36701"/>
    <cellStyle name="Comma 2 5 2 2 2 5 9" xfId="21523"/>
    <cellStyle name="Comma 2 5 2 2 2 5 9 2" xfId="39918"/>
    <cellStyle name="Comma 2 5 2 2 2 6" xfId="1275"/>
    <cellStyle name="Comma 2 5 2 2 2 6 10" xfId="33499"/>
    <cellStyle name="Comma 2 5 2 2 2 6 2" xfId="10045"/>
    <cellStyle name="Comma 2 5 2 2 2 6 2 2" xfId="25845"/>
    <cellStyle name="Comma 2 5 2 2 2 6 2 2 2" xfId="45272"/>
    <cellStyle name="Comma 2 5 2 2 2 6 2 2 3" xfId="38849"/>
    <cellStyle name="Comma 2 5 2 2 2 6 2 3" xfId="28023"/>
    <cellStyle name="Comma 2 5 2 2 2 6 2 3 2" xfId="42065"/>
    <cellStyle name="Comma 2 5 2 2 2 6 2 4" xfId="31358"/>
    <cellStyle name="Comma 2 5 2 2 2 6 2 5" xfId="35641"/>
    <cellStyle name="Comma 2 5 2 2 2 6 3" xfId="15721"/>
    <cellStyle name="Comma 2 5 2 2 2 6 3 2" xfId="24736"/>
    <cellStyle name="Comma 2 5 2 2 2 6 3 2 2" xfId="44165"/>
    <cellStyle name="Comma 2 5 2 2 2 6 3 2 3" xfId="37742"/>
    <cellStyle name="Comma 2 5 2 2 2 6 3 3" xfId="29057"/>
    <cellStyle name="Comma 2 5 2 2 2 6 3 3 2" xfId="40958"/>
    <cellStyle name="Comma 2 5 2 2 2 6 3 4" xfId="32392"/>
    <cellStyle name="Comma 2 5 2 2 2 6 3 5" xfId="34534"/>
    <cellStyle name="Comma 2 5 2 2 2 6 4" xfId="8539"/>
    <cellStyle name="Comma 2 5 2 2 2 6 4 2" xfId="43130"/>
    <cellStyle name="Comma 2 5 2 2 2 6 4 3" xfId="36706"/>
    <cellStyle name="Comma 2 5 2 2 2 6 5" xfId="21528"/>
    <cellStyle name="Comma 2 5 2 2 2 6 5 2" xfId="39923"/>
    <cellStyle name="Comma 2 5 2 2 2 6 6" xfId="22601"/>
    <cellStyle name="Comma 2 5 2 2 2 6 7" xfId="23701"/>
    <cellStyle name="Comma 2 5 2 2 2 6 8" xfId="26923"/>
    <cellStyle name="Comma 2 5 2 2 2 6 9" xfId="30256"/>
    <cellStyle name="Comma 2 5 2 2 2 7" xfId="1276"/>
    <cellStyle name="Comma 2 5 2 2 2 7 10" xfId="33500"/>
    <cellStyle name="Comma 2 5 2 2 2 7 2" xfId="10046"/>
    <cellStyle name="Comma 2 5 2 2 2 7 2 2" xfId="25846"/>
    <cellStyle name="Comma 2 5 2 2 2 7 2 2 2" xfId="45273"/>
    <cellStyle name="Comma 2 5 2 2 2 7 2 2 3" xfId="38850"/>
    <cellStyle name="Comma 2 5 2 2 2 7 2 3" xfId="28024"/>
    <cellStyle name="Comma 2 5 2 2 2 7 2 3 2" xfId="42066"/>
    <cellStyle name="Comma 2 5 2 2 2 7 2 4" xfId="31359"/>
    <cellStyle name="Comma 2 5 2 2 2 7 2 5" xfId="35642"/>
    <cellStyle name="Comma 2 5 2 2 2 7 3" xfId="15722"/>
    <cellStyle name="Comma 2 5 2 2 2 7 3 2" xfId="24737"/>
    <cellStyle name="Comma 2 5 2 2 2 7 3 2 2" xfId="44166"/>
    <cellStyle name="Comma 2 5 2 2 2 7 3 2 3" xfId="37743"/>
    <cellStyle name="Comma 2 5 2 2 2 7 3 3" xfId="29058"/>
    <cellStyle name="Comma 2 5 2 2 2 7 3 3 2" xfId="40959"/>
    <cellStyle name="Comma 2 5 2 2 2 7 3 4" xfId="32393"/>
    <cellStyle name="Comma 2 5 2 2 2 7 3 5" xfId="34535"/>
    <cellStyle name="Comma 2 5 2 2 2 7 4" xfId="8540"/>
    <cellStyle name="Comma 2 5 2 2 2 7 4 2" xfId="43131"/>
    <cellStyle name="Comma 2 5 2 2 2 7 4 3" xfId="36707"/>
    <cellStyle name="Comma 2 5 2 2 2 7 5" xfId="21529"/>
    <cellStyle name="Comma 2 5 2 2 2 7 5 2" xfId="39924"/>
    <cellStyle name="Comma 2 5 2 2 2 7 6" xfId="22602"/>
    <cellStyle name="Comma 2 5 2 2 2 7 7" xfId="23702"/>
    <cellStyle name="Comma 2 5 2 2 2 7 8" xfId="26924"/>
    <cellStyle name="Comma 2 5 2 2 2 7 9" xfId="30257"/>
    <cellStyle name="Comma 2 5 2 2 2 8" xfId="1277"/>
    <cellStyle name="Comma 2 5 2 2 2 8 10" xfId="33501"/>
    <cellStyle name="Comma 2 5 2 2 2 8 2" xfId="10047"/>
    <cellStyle name="Comma 2 5 2 2 2 8 2 2" xfId="25847"/>
    <cellStyle name="Comma 2 5 2 2 2 8 2 2 2" xfId="45274"/>
    <cellStyle name="Comma 2 5 2 2 2 8 2 2 3" xfId="38851"/>
    <cellStyle name="Comma 2 5 2 2 2 8 2 3" xfId="28025"/>
    <cellStyle name="Comma 2 5 2 2 2 8 2 3 2" xfId="42067"/>
    <cellStyle name="Comma 2 5 2 2 2 8 2 4" xfId="31360"/>
    <cellStyle name="Comma 2 5 2 2 2 8 2 5" xfId="35643"/>
    <cellStyle name="Comma 2 5 2 2 2 8 3" xfId="15723"/>
    <cellStyle name="Comma 2 5 2 2 2 8 3 2" xfId="24738"/>
    <cellStyle name="Comma 2 5 2 2 2 8 3 2 2" xfId="44167"/>
    <cellStyle name="Comma 2 5 2 2 2 8 3 2 3" xfId="37744"/>
    <cellStyle name="Comma 2 5 2 2 2 8 3 3" xfId="29059"/>
    <cellStyle name="Comma 2 5 2 2 2 8 3 3 2" xfId="40960"/>
    <cellStyle name="Comma 2 5 2 2 2 8 3 4" xfId="32394"/>
    <cellStyle name="Comma 2 5 2 2 2 8 3 5" xfId="34536"/>
    <cellStyle name="Comma 2 5 2 2 2 8 4" xfId="8541"/>
    <cellStyle name="Comma 2 5 2 2 2 8 4 2" xfId="43132"/>
    <cellStyle name="Comma 2 5 2 2 2 8 4 3" xfId="36708"/>
    <cellStyle name="Comma 2 5 2 2 2 8 5" xfId="21530"/>
    <cellStyle name="Comma 2 5 2 2 2 8 5 2" xfId="39925"/>
    <cellStyle name="Comma 2 5 2 2 2 8 6" xfId="22603"/>
    <cellStyle name="Comma 2 5 2 2 2 8 7" xfId="23703"/>
    <cellStyle name="Comma 2 5 2 2 2 8 8" xfId="26925"/>
    <cellStyle name="Comma 2 5 2 2 2 8 9" xfId="30258"/>
    <cellStyle name="Comma 2 5 2 2 2 9" xfId="1278"/>
    <cellStyle name="Comma 2 5 2 2 2 9 10" xfId="33502"/>
    <cellStyle name="Comma 2 5 2 2 2 9 2" xfId="10048"/>
    <cellStyle name="Comma 2 5 2 2 2 9 2 2" xfId="25848"/>
    <cellStyle name="Comma 2 5 2 2 2 9 2 2 2" xfId="45275"/>
    <cellStyle name="Comma 2 5 2 2 2 9 2 2 3" xfId="38852"/>
    <cellStyle name="Comma 2 5 2 2 2 9 2 3" xfId="28026"/>
    <cellStyle name="Comma 2 5 2 2 2 9 2 3 2" xfId="42068"/>
    <cellStyle name="Comma 2 5 2 2 2 9 2 4" xfId="31361"/>
    <cellStyle name="Comma 2 5 2 2 2 9 2 5" xfId="35644"/>
    <cellStyle name="Comma 2 5 2 2 2 9 3" xfId="15724"/>
    <cellStyle name="Comma 2 5 2 2 2 9 3 2" xfId="24739"/>
    <cellStyle name="Comma 2 5 2 2 2 9 3 2 2" xfId="44168"/>
    <cellStyle name="Comma 2 5 2 2 2 9 3 2 3" xfId="37745"/>
    <cellStyle name="Comma 2 5 2 2 2 9 3 3" xfId="29060"/>
    <cellStyle name="Comma 2 5 2 2 2 9 3 3 2" xfId="40961"/>
    <cellStyle name="Comma 2 5 2 2 2 9 3 4" xfId="32395"/>
    <cellStyle name="Comma 2 5 2 2 2 9 3 5" xfId="34537"/>
    <cellStyle name="Comma 2 5 2 2 2 9 4" xfId="8542"/>
    <cellStyle name="Comma 2 5 2 2 2 9 4 2" xfId="43133"/>
    <cellStyle name="Comma 2 5 2 2 2 9 4 3" xfId="36709"/>
    <cellStyle name="Comma 2 5 2 2 2 9 5" xfId="21531"/>
    <cellStyle name="Comma 2 5 2 2 2 9 5 2" xfId="39926"/>
    <cellStyle name="Comma 2 5 2 2 2 9 6" xfId="22604"/>
    <cellStyle name="Comma 2 5 2 2 2 9 7" xfId="23704"/>
    <cellStyle name="Comma 2 5 2 2 2 9 8" xfId="26926"/>
    <cellStyle name="Comma 2 5 2 2 2 9 9" xfId="30259"/>
    <cellStyle name="Comma 2 5 2 2 20" xfId="32777"/>
    <cellStyle name="Comma 2 5 2 2 3" xfId="275"/>
    <cellStyle name="Comma 2 5 2 2 3 10" xfId="15725"/>
    <cellStyle name="Comma 2 5 2 2 3 10 2" xfId="24740"/>
    <cellStyle name="Comma 2 5 2 2 3 10 2 2" xfId="44169"/>
    <cellStyle name="Comma 2 5 2 2 3 10 2 3" xfId="37746"/>
    <cellStyle name="Comma 2 5 2 2 3 10 3" xfId="29061"/>
    <cellStyle name="Comma 2 5 2 2 3 10 3 2" xfId="40962"/>
    <cellStyle name="Comma 2 5 2 2 3 10 4" xfId="32396"/>
    <cellStyle name="Comma 2 5 2 2 3 10 5" xfId="34538"/>
    <cellStyle name="Comma 2 5 2 2 3 11" xfId="8543"/>
    <cellStyle name="Comma 2 5 2 2 3 11 2" xfId="42475"/>
    <cellStyle name="Comma 2 5 2 2 3 11 3" xfId="36051"/>
    <cellStyle name="Comma 2 5 2 2 3 12" xfId="21532"/>
    <cellStyle name="Comma 2 5 2 2 3 12 2" xfId="39268"/>
    <cellStyle name="Comma 2 5 2 2 3 13" xfId="22605"/>
    <cellStyle name="Comma 2 5 2 2 3 14" xfId="23046"/>
    <cellStyle name="Comma 2 5 2 2 3 15" xfId="26927"/>
    <cellStyle name="Comma 2 5 2 2 3 16" xfId="30260"/>
    <cellStyle name="Comma 2 5 2 2 3 17" xfId="32844"/>
    <cellStyle name="Comma 2 5 2 2 3 2" xfId="276"/>
    <cellStyle name="Comma 2 5 2 2 3 2 10" xfId="21533"/>
    <cellStyle name="Comma 2 5 2 2 3 2 10 2" xfId="39269"/>
    <cellStyle name="Comma 2 5 2 2 3 2 11" xfId="22606"/>
    <cellStyle name="Comma 2 5 2 2 3 2 12" xfId="23047"/>
    <cellStyle name="Comma 2 5 2 2 3 2 13" xfId="26928"/>
    <cellStyle name="Comma 2 5 2 2 3 2 14" xfId="30261"/>
    <cellStyle name="Comma 2 5 2 2 3 2 15" xfId="32845"/>
    <cellStyle name="Comma 2 5 2 2 3 2 2" xfId="1279"/>
    <cellStyle name="Comma 2 5 2 2 3 2 2 10" xfId="33503"/>
    <cellStyle name="Comma 2 5 2 2 3 2 2 2" xfId="10049"/>
    <cellStyle name="Comma 2 5 2 2 3 2 2 2 2" xfId="25849"/>
    <cellStyle name="Comma 2 5 2 2 3 2 2 2 2 2" xfId="45276"/>
    <cellStyle name="Comma 2 5 2 2 3 2 2 2 2 3" xfId="38853"/>
    <cellStyle name="Comma 2 5 2 2 3 2 2 2 3" xfId="28027"/>
    <cellStyle name="Comma 2 5 2 2 3 2 2 2 3 2" xfId="42069"/>
    <cellStyle name="Comma 2 5 2 2 3 2 2 2 4" xfId="31362"/>
    <cellStyle name="Comma 2 5 2 2 3 2 2 2 5" xfId="35645"/>
    <cellStyle name="Comma 2 5 2 2 3 2 2 3" xfId="15727"/>
    <cellStyle name="Comma 2 5 2 2 3 2 2 3 2" xfId="24742"/>
    <cellStyle name="Comma 2 5 2 2 3 2 2 3 2 2" xfId="44171"/>
    <cellStyle name="Comma 2 5 2 2 3 2 2 3 2 3" xfId="37748"/>
    <cellStyle name="Comma 2 5 2 2 3 2 2 3 3" xfId="29063"/>
    <cellStyle name="Comma 2 5 2 2 3 2 2 3 3 2" xfId="40964"/>
    <cellStyle name="Comma 2 5 2 2 3 2 2 3 4" xfId="32398"/>
    <cellStyle name="Comma 2 5 2 2 3 2 2 3 5" xfId="34540"/>
    <cellStyle name="Comma 2 5 2 2 3 2 2 4" xfId="8545"/>
    <cellStyle name="Comma 2 5 2 2 3 2 2 4 2" xfId="43134"/>
    <cellStyle name="Comma 2 5 2 2 3 2 2 4 3" xfId="36710"/>
    <cellStyle name="Comma 2 5 2 2 3 2 2 5" xfId="21534"/>
    <cellStyle name="Comma 2 5 2 2 3 2 2 5 2" xfId="39927"/>
    <cellStyle name="Comma 2 5 2 2 3 2 2 6" xfId="22607"/>
    <cellStyle name="Comma 2 5 2 2 3 2 2 7" xfId="23705"/>
    <cellStyle name="Comma 2 5 2 2 3 2 2 8" xfId="26929"/>
    <cellStyle name="Comma 2 5 2 2 3 2 2 9" xfId="30262"/>
    <cellStyle name="Comma 2 5 2 2 3 2 3" xfId="1280"/>
    <cellStyle name="Comma 2 5 2 2 3 2 3 10" xfId="33504"/>
    <cellStyle name="Comma 2 5 2 2 3 2 3 2" xfId="10050"/>
    <cellStyle name="Comma 2 5 2 2 3 2 3 2 2" xfId="25850"/>
    <cellStyle name="Comma 2 5 2 2 3 2 3 2 2 2" xfId="45277"/>
    <cellStyle name="Comma 2 5 2 2 3 2 3 2 2 3" xfId="38854"/>
    <cellStyle name="Comma 2 5 2 2 3 2 3 2 3" xfId="28028"/>
    <cellStyle name="Comma 2 5 2 2 3 2 3 2 3 2" xfId="42070"/>
    <cellStyle name="Comma 2 5 2 2 3 2 3 2 4" xfId="31363"/>
    <cellStyle name="Comma 2 5 2 2 3 2 3 2 5" xfId="35646"/>
    <cellStyle name="Comma 2 5 2 2 3 2 3 3" xfId="15728"/>
    <cellStyle name="Comma 2 5 2 2 3 2 3 3 2" xfId="24743"/>
    <cellStyle name="Comma 2 5 2 2 3 2 3 3 2 2" xfId="44172"/>
    <cellStyle name="Comma 2 5 2 2 3 2 3 3 2 3" xfId="37749"/>
    <cellStyle name="Comma 2 5 2 2 3 2 3 3 3" xfId="29064"/>
    <cellStyle name="Comma 2 5 2 2 3 2 3 3 3 2" xfId="40965"/>
    <cellStyle name="Comma 2 5 2 2 3 2 3 3 4" xfId="32399"/>
    <cellStyle name="Comma 2 5 2 2 3 2 3 3 5" xfId="34541"/>
    <cellStyle name="Comma 2 5 2 2 3 2 3 4" xfId="8546"/>
    <cellStyle name="Comma 2 5 2 2 3 2 3 4 2" xfId="43135"/>
    <cellStyle name="Comma 2 5 2 2 3 2 3 4 3" xfId="36711"/>
    <cellStyle name="Comma 2 5 2 2 3 2 3 5" xfId="21535"/>
    <cellStyle name="Comma 2 5 2 2 3 2 3 5 2" xfId="39928"/>
    <cellStyle name="Comma 2 5 2 2 3 2 3 6" xfId="22608"/>
    <cellStyle name="Comma 2 5 2 2 3 2 3 7" xfId="23706"/>
    <cellStyle name="Comma 2 5 2 2 3 2 3 8" xfId="26930"/>
    <cellStyle name="Comma 2 5 2 2 3 2 3 9" xfId="30263"/>
    <cellStyle name="Comma 2 5 2 2 3 2 4" xfId="1281"/>
    <cellStyle name="Comma 2 5 2 2 3 2 4 10" xfId="33505"/>
    <cellStyle name="Comma 2 5 2 2 3 2 4 2" xfId="10051"/>
    <cellStyle name="Comma 2 5 2 2 3 2 4 2 2" xfId="25851"/>
    <cellStyle name="Comma 2 5 2 2 3 2 4 2 2 2" xfId="45278"/>
    <cellStyle name="Comma 2 5 2 2 3 2 4 2 2 3" xfId="38855"/>
    <cellStyle name="Comma 2 5 2 2 3 2 4 2 3" xfId="28029"/>
    <cellStyle name="Comma 2 5 2 2 3 2 4 2 3 2" xfId="42071"/>
    <cellStyle name="Comma 2 5 2 2 3 2 4 2 4" xfId="31364"/>
    <cellStyle name="Comma 2 5 2 2 3 2 4 2 5" xfId="35647"/>
    <cellStyle name="Comma 2 5 2 2 3 2 4 3" xfId="15729"/>
    <cellStyle name="Comma 2 5 2 2 3 2 4 3 2" xfId="24744"/>
    <cellStyle name="Comma 2 5 2 2 3 2 4 3 2 2" xfId="44173"/>
    <cellStyle name="Comma 2 5 2 2 3 2 4 3 2 3" xfId="37750"/>
    <cellStyle name="Comma 2 5 2 2 3 2 4 3 3" xfId="29065"/>
    <cellStyle name="Comma 2 5 2 2 3 2 4 3 3 2" xfId="40966"/>
    <cellStyle name="Comma 2 5 2 2 3 2 4 3 4" xfId="32400"/>
    <cellStyle name="Comma 2 5 2 2 3 2 4 3 5" xfId="34542"/>
    <cellStyle name="Comma 2 5 2 2 3 2 4 4" xfId="8547"/>
    <cellStyle name="Comma 2 5 2 2 3 2 4 4 2" xfId="43136"/>
    <cellStyle name="Comma 2 5 2 2 3 2 4 4 3" xfId="36712"/>
    <cellStyle name="Comma 2 5 2 2 3 2 4 5" xfId="21536"/>
    <cellStyle name="Comma 2 5 2 2 3 2 4 5 2" xfId="39929"/>
    <cellStyle name="Comma 2 5 2 2 3 2 4 6" xfId="22609"/>
    <cellStyle name="Comma 2 5 2 2 3 2 4 7" xfId="23707"/>
    <cellStyle name="Comma 2 5 2 2 3 2 4 8" xfId="26931"/>
    <cellStyle name="Comma 2 5 2 2 3 2 4 9" xfId="30264"/>
    <cellStyle name="Comma 2 5 2 2 3 2 5" xfId="1282"/>
    <cellStyle name="Comma 2 5 2 2 3 2 5 10" xfId="33506"/>
    <cellStyle name="Comma 2 5 2 2 3 2 5 2" xfId="10052"/>
    <cellStyle name="Comma 2 5 2 2 3 2 5 2 2" xfId="25852"/>
    <cellStyle name="Comma 2 5 2 2 3 2 5 2 2 2" xfId="45279"/>
    <cellStyle name="Comma 2 5 2 2 3 2 5 2 2 3" xfId="38856"/>
    <cellStyle name="Comma 2 5 2 2 3 2 5 2 3" xfId="28030"/>
    <cellStyle name="Comma 2 5 2 2 3 2 5 2 3 2" xfId="42072"/>
    <cellStyle name="Comma 2 5 2 2 3 2 5 2 4" xfId="31365"/>
    <cellStyle name="Comma 2 5 2 2 3 2 5 2 5" xfId="35648"/>
    <cellStyle name="Comma 2 5 2 2 3 2 5 3" xfId="15730"/>
    <cellStyle name="Comma 2 5 2 2 3 2 5 3 2" xfId="24745"/>
    <cellStyle name="Comma 2 5 2 2 3 2 5 3 2 2" xfId="44174"/>
    <cellStyle name="Comma 2 5 2 2 3 2 5 3 2 3" xfId="37751"/>
    <cellStyle name="Comma 2 5 2 2 3 2 5 3 3" xfId="29066"/>
    <cellStyle name="Comma 2 5 2 2 3 2 5 3 3 2" xfId="40967"/>
    <cellStyle name="Comma 2 5 2 2 3 2 5 3 4" xfId="32401"/>
    <cellStyle name="Comma 2 5 2 2 3 2 5 3 5" xfId="34543"/>
    <cellStyle name="Comma 2 5 2 2 3 2 5 4" xfId="8548"/>
    <cellStyle name="Comma 2 5 2 2 3 2 5 4 2" xfId="43137"/>
    <cellStyle name="Comma 2 5 2 2 3 2 5 4 3" xfId="36713"/>
    <cellStyle name="Comma 2 5 2 2 3 2 5 5" xfId="21537"/>
    <cellStyle name="Comma 2 5 2 2 3 2 5 5 2" xfId="39930"/>
    <cellStyle name="Comma 2 5 2 2 3 2 5 6" xfId="22610"/>
    <cellStyle name="Comma 2 5 2 2 3 2 5 7" xfId="23708"/>
    <cellStyle name="Comma 2 5 2 2 3 2 5 8" xfId="26932"/>
    <cellStyle name="Comma 2 5 2 2 3 2 5 9" xfId="30265"/>
    <cellStyle name="Comma 2 5 2 2 3 2 6" xfId="1283"/>
    <cellStyle name="Comma 2 5 2 2 3 2 6 10" xfId="33507"/>
    <cellStyle name="Comma 2 5 2 2 3 2 6 2" xfId="10053"/>
    <cellStyle name="Comma 2 5 2 2 3 2 6 2 2" xfId="25853"/>
    <cellStyle name="Comma 2 5 2 2 3 2 6 2 2 2" xfId="45280"/>
    <cellStyle name="Comma 2 5 2 2 3 2 6 2 2 3" xfId="38857"/>
    <cellStyle name="Comma 2 5 2 2 3 2 6 2 3" xfId="28031"/>
    <cellStyle name="Comma 2 5 2 2 3 2 6 2 3 2" xfId="42073"/>
    <cellStyle name="Comma 2 5 2 2 3 2 6 2 4" xfId="31366"/>
    <cellStyle name="Comma 2 5 2 2 3 2 6 2 5" xfId="35649"/>
    <cellStyle name="Comma 2 5 2 2 3 2 6 3" xfId="15731"/>
    <cellStyle name="Comma 2 5 2 2 3 2 6 3 2" xfId="24746"/>
    <cellStyle name="Comma 2 5 2 2 3 2 6 3 2 2" xfId="44175"/>
    <cellStyle name="Comma 2 5 2 2 3 2 6 3 2 3" xfId="37752"/>
    <cellStyle name="Comma 2 5 2 2 3 2 6 3 3" xfId="29067"/>
    <cellStyle name="Comma 2 5 2 2 3 2 6 3 3 2" xfId="40968"/>
    <cellStyle name="Comma 2 5 2 2 3 2 6 3 4" xfId="32402"/>
    <cellStyle name="Comma 2 5 2 2 3 2 6 3 5" xfId="34544"/>
    <cellStyle name="Comma 2 5 2 2 3 2 6 4" xfId="8549"/>
    <cellStyle name="Comma 2 5 2 2 3 2 6 4 2" xfId="43138"/>
    <cellStyle name="Comma 2 5 2 2 3 2 6 4 3" xfId="36714"/>
    <cellStyle name="Comma 2 5 2 2 3 2 6 5" xfId="21538"/>
    <cellStyle name="Comma 2 5 2 2 3 2 6 5 2" xfId="39931"/>
    <cellStyle name="Comma 2 5 2 2 3 2 6 6" xfId="22611"/>
    <cellStyle name="Comma 2 5 2 2 3 2 6 7" xfId="23709"/>
    <cellStyle name="Comma 2 5 2 2 3 2 6 8" xfId="26933"/>
    <cellStyle name="Comma 2 5 2 2 3 2 6 9" xfId="30266"/>
    <cellStyle name="Comma 2 5 2 2 3 2 7" xfId="9132"/>
    <cellStyle name="Comma 2 5 2 2 3 2 7 2" xfId="25186"/>
    <cellStyle name="Comma 2 5 2 2 3 2 7 2 2" xfId="44613"/>
    <cellStyle name="Comma 2 5 2 2 3 2 7 2 3" xfId="38190"/>
    <cellStyle name="Comma 2 5 2 2 3 2 7 3" xfId="27365"/>
    <cellStyle name="Comma 2 5 2 2 3 2 7 3 2" xfId="41406"/>
    <cellStyle name="Comma 2 5 2 2 3 2 7 4" xfId="30700"/>
    <cellStyle name="Comma 2 5 2 2 3 2 7 5" xfId="34982"/>
    <cellStyle name="Comma 2 5 2 2 3 2 8" xfId="15726"/>
    <cellStyle name="Comma 2 5 2 2 3 2 8 2" xfId="24741"/>
    <cellStyle name="Comma 2 5 2 2 3 2 8 2 2" xfId="44170"/>
    <cellStyle name="Comma 2 5 2 2 3 2 8 2 3" xfId="37747"/>
    <cellStyle name="Comma 2 5 2 2 3 2 8 3" xfId="29062"/>
    <cellStyle name="Comma 2 5 2 2 3 2 8 3 2" xfId="40963"/>
    <cellStyle name="Comma 2 5 2 2 3 2 8 4" xfId="32397"/>
    <cellStyle name="Comma 2 5 2 2 3 2 8 5" xfId="34539"/>
    <cellStyle name="Comma 2 5 2 2 3 2 9" xfId="8544"/>
    <cellStyle name="Comma 2 5 2 2 3 2 9 2" xfId="42476"/>
    <cellStyle name="Comma 2 5 2 2 3 2 9 3" xfId="36052"/>
    <cellStyle name="Comma 2 5 2 2 3 3" xfId="1284"/>
    <cellStyle name="Comma 2 5 2 2 3 3 10" xfId="22612"/>
    <cellStyle name="Comma 2 5 2 2 3 3 11" xfId="23710"/>
    <cellStyle name="Comma 2 5 2 2 3 3 12" xfId="26934"/>
    <cellStyle name="Comma 2 5 2 2 3 3 13" xfId="30267"/>
    <cellStyle name="Comma 2 5 2 2 3 3 14" xfId="33508"/>
    <cellStyle name="Comma 2 5 2 2 3 3 2" xfId="1285"/>
    <cellStyle name="Comma 2 5 2 2 3 3 2 10" xfId="33509"/>
    <cellStyle name="Comma 2 5 2 2 3 3 2 2" xfId="10055"/>
    <cellStyle name="Comma 2 5 2 2 3 3 2 2 2" xfId="25855"/>
    <cellStyle name="Comma 2 5 2 2 3 3 2 2 2 2" xfId="45282"/>
    <cellStyle name="Comma 2 5 2 2 3 3 2 2 2 3" xfId="38859"/>
    <cellStyle name="Comma 2 5 2 2 3 3 2 2 3" xfId="28033"/>
    <cellStyle name="Comma 2 5 2 2 3 3 2 2 3 2" xfId="42075"/>
    <cellStyle name="Comma 2 5 2 2 3 3 2 2 4" xfId="31368"/>
    <cellStyle name="Comma 2 5 2 2 3 3 2 2 5" xfId="35651"/>
    <cellStyle name="Comma 2 5 2 2 3 3 2 3" xfId="15733"/>
    <cellStyle name="Comma 2 5 2 2 3 3 2 3 2" xfId="24748"/>
    <cellStyle name="Comma 2 5 2 2 3 3 2 3 2 2" xfId="44177"/>
    <cellStyle name="Comma 2 5 2 2 3 3 2 3 2 3" xfId="37754"/>
    <cellStyle name="Comma 2 5 2 2 3 3 2 3 3" xfId="29069"/>
    <cellStyle name="Comma 2 5 2 2 3 3 2 3 3 2" xfId="40970"/>
    <cellStyle name="Comma 2 5 2 2 3 3 2 3 4" xfId="32404"/>
    <cellStyle name="Comma 2 5 2 2 3 3 2 3 5" xfId="34546"/>
    <cellStyle name="Comma 2 5 2 2 3 3 2 4" xfId="8551"/>
    <cellStyle name="Comma 2 5 2 2 3 3 2 4 2" xfId="43140"/>
    <cellStyle name="Comma 2 5 2 2 3 3 2 4 3" xfId="36716"/>
    <cellStyle name="Comma 2 5 2 2 3 3 2 5" xfId="21540"/>
    <cellStyle name="Comma 2 5 2 2 3 3 2 5 2" xfId="39933"/>
    <cellStyle name="Comma 2 5 2 2 3 3 2 6" xfId="22613"/>
    <cellStyle name="Comma 2 5 2 2 3 3 2 7" xfId="23711"/>
    <cellStyle name="Comma 2 5 2 2 3 3 2 8" xfId="26935"/>
    <cellStyle name="Comma 2 5 2 2 3 3 2 9" xfId="30268"/>
    <cellStyle name="Comma 2 5 2 2 3 3 3" xfId="1286"/>
    <cellStyle name="Comma 2 5 2 2 3 3 3 10" xfId="33510"/>
    <cellStyle name="Comma 2 5 2 2 3 3 3 2" xfId="10056"/>
    <cellStyle name="Comma 2 5 2 2 3 3 3 2 2" xfId="25856"/>
    <cellStyle name="Comma 2 5 2 2 3 3 3 2 2 2" xfId="45283"/>
    <cellStyle name="Comma 2 5 2 2 3 3 3 2 2 3" xfId="38860"/>
    <cellStyle name="Comma 2 5 2 2 3 3 3 2 3" xfId="28034"/>
    <cellStyle name="Comma 2 5 2 2 3 3 3 2 3 2" xfId="42076"/>
    <cellStyle name="Comma 2 5 2 2 3 3 3 2 4" xfId="31369"/>
    <cellStyle name="Comma 2 5 2 2 3 3 3 2 5" xfId="35652"/>
    <cellStyle name="Comma 2 5 2 2 3 3 3 3" xfId="15734"/>
    <cellStyle name="Comma 2 5 2 2 3 3 3 3 2" xfId="24749"/>
    <cellStyle name="Comma 2 5 2 2 3 3 3 3 2 2" xfId="44178"/>
    <cellStyle name="Comma 2 5 2 2 3 3 3 3 2 3" xfId="37755"/>
    <cellStyle name="Comma 2 5 2 2 3 3 3 3 3" xfId="29070"/>
    <cellStyle name="Comma 2 5 2 2 3 3 3 3 3 2" xfId="40971"/>
    <cellStyle name="Comma 2 5 2 2 3 3 3 3 4" xfId="32405"/>
    <cellStyle name="Comma 2 5 2 2 3 3 3 3 5" xfId="34547"/>
    <cellStyle name="Comma 2 5 2 2 3 3 3 4" xfId="8552"/>
    <cellStyle name="Comma 2 5 2 2 3 3 3 4 2" xfId="43141"/>
    <cellStyle name="Comma 2 5 2 2 3 3 3 4 3" xfId="36717"/>
    <cellStyle name="Comma 2 5 2 2 3 3 3 5" xfId="21541"/>
    <cellStyle name="Comma 2 5 2 2 3 3 3 5 2" xfId="39934"/>
    <cellStyle name="Comma 2 5 2 2 3 3 3 6" xfId="22614"/>
    <cellStyle name="Comma 2 5 2 2 3 3 3 7" xfId="23712"/>
    <cellStyle name="Comma 2 5 2 2 3 3 3 8" xfId="26936"/>
    <cellStyle name="Comma 2 5 2 2 3 3 3 9" xfId="30269"/>
    <cellStyle name="Comma 2 5 2 2 3 3 4" xfId="1287"/>
    <cellStyle name="Comma 2 5 2 2 3 3 4 10" xfId="33511"/>
    <cellStyle name="Comma 2 5 2 2 3 3 4 2" xfId="10057"/>
    <cellStyle name="Comma 2 5 2 2 3 3 4 2 2" xfId="25857"/>
    <cellStyle name="Comma 2 5 2 2 3 3 4 2 2 2" xfId="45284"/>
    <cellStyle name="Comma 2 5 2 2 3 3 4 2 2 3" xfId="38861"/>
    <cellStyle name="Comma 2 5 2 2 3 3 4 2 3" xfId="28035"/>
    <cellStyle name="Comma 2 5 2 2 3 3 4 2 3 2" xfId="42077"/>
    <cellStyle name="Comma 2 5 2 2 3 3 4 2 4" xfId="31370"/>
    <cellStyle name="Comma 2 5 2 2 3 3 4 2 5" xfId="35653"/>
    <cellStyle name="Comma 2 5 2 2 3 3 4 3" xfId="15735"/>
    <cellStyle name="Comma 2 5 2 2 3 3 4 3 2" xfId="24750"/>
    <cellStyle name="Comma 2 5 2 2 3 3 4 3 2 2" xfId="44179"/>
    <cellStyle name="Comma 2 5 2 2 3 3 4 3 2 3" xfId="37756"/>
    <cellStyle name="Comma 2 5 2 2 3 3 4 3 3" xfId="29071"/>
    <cellStyle name="Comma 2 5 2 2 3 3 4 3 3 2" xfId="40972"/>
    <cellStyle name="Comma 2 5 2 2 3 3 4 3 4" xfId="32406"/>
    <cellStyle name="Comma 2 5 2 2 3 3 4 3 5" xfId="34548"/>
    <cellStyle name="Comma 2 5 2 2 3 3 4 4" xfId="8553"/>
    <cellStyle name="Comma 2 5 2 2 3 3 4 4 2" xfId="43142"/>
    <cellStyle name="Comma 2 5 2 2 3 3 4 4 3" xfId="36718"/>
    <cellStyle name="Comma 2 5 2 2 3 3 4 5" xfId="21542"/>
    <cellStyle name="Comma 2 5 2 2 3 3 4 5 2" xfId="39935"/>
    <cellStyle name="Comma 2 5 2 2 3 3 4 6" xfId="22615"/>
    <cellStyle name="Comma 2 5 2 2 3 3 4 7" xfId="23713"/>
    <cellStyle name="Comma 2 5 2 2 3 3 4 8" xfId="26937"/>
    <cellStyle name="Comma 2 5 2 2 3 3 4 9" xfId="30270"/>
    <cellStyle name="Comma 2 5 2 2 3 3 5" xfId="1288"/>
    <cellStyle name="Comma 2 5 2 2 3 3 5 10" xfId="33512"/>
    <cellStyle name="Comma 2 5 2 2 3 3 5 2" xfId="10058"/>
    <cellStyle name="Comma 2 5 2 2 3 3 5 2 2" xfId="25858"/>
    <cellStyle name="Comma 2 5 2 2 3 3 5 2 2 2" xfId="45285"/>
    <cellStyle name="Comma 2 5 2 2 3 3 5 2 2 3" xfId="38862"/>
    <cellStyle name="Comma 2 5 2 2 3 3 5 2 3" xfId="28036"/>
    <cellStyle name="Comma 2 5 2 2 3 3 5 2 3 2" xfId="42078"/>
    <cellStyle name="Comma 2 5 2 2 3 3 5 2 4" xfId="31371"/>
    <cellStyle name="Comma 2 5 2 2 3 3 5 2 5" xfId="35654"/>
    <cellStyle name="Comma 2 5 2 2 3 3 5 3" xfId="15736"/>
    <cellStyle name="Comma 2 5 2 2 3 3 5 3 2" xfId="24751"/>
    <cellStyle name="Comma 2 5 2 2 3 3 5 3 2 2" xfId="44180"/>
    <cellStyle name="Comma 2 5 2 2 3 3 5 3 2 3" xfId="37757"/>
    <cellStyle name="Comma 2 5 2 2 3 3 5 3 3" xfId="29072"/>
    <cellStyle name="Comma 2 5 2 2 3 3 5 3 3 2" xfId="40973"/>
    <cellStyle name="Comma 2 5 2 2 3 3 5 3 4" xfId="32407"/>
    <cellStyle name="Comma 2 5 2 2 3 3 5 3 5" xfId="34549"/>
    <cellStyle name="Comma 2 5 2 2 3 3 5 4" xfId="8554"/>
    <cellStyle name="Comma 2 5 2 2 3 3 5 4 2" xfId="43143"/>
    <cellStyle name="Comma 2 5 2 2 3 3 5 4 3" xfId="36719"/>
    <cellStyle name="Comma 2 5 2 2 3 3 5 5" xfId="21543"/>
    <cellStyle name="Comma 2 5 2 2 3 3 5 5 2" xfId="39936"/>
    <cellStyle name="Comma 2 5 2 2 3 3 5 6" xfId="22616"/>
    <cellStyle name="Comma 2 5 2 2 3 3 5 7" xfId="23714"/>
    <cellStyle name="Comma 2 5 2 2 3 3 5 8" xfId="26938"/>
    <cellStyle name="Comma 2 5 2 2 3 3 5 9" xfId="30271"/>
    <cellStyle name="Comma 2 5 2 2 3 3 6" xfId="10054"/>
    <cellStyle name="Comma 2 5 2 2 3 3 6 2" xfId="25854"/>
    <cellStyle name="Comma 2 5 2 2 3 3 6 2 2" xfId="45281"/>
    <cellStyle name="Comma 2 5 2 2 3 3 6 2 3" xfId="38858"/>
    <cellStyle name="Comma 2 5 2 2 3 3 6 3" xfId="28032"/>
    <cellStyle name="Comma 2 5 2 2 3 3 6 3 2" xfId="42074"/>
    <cellStyle name="Comma 2 5 2 2 3 3 6 4" xfId="31367"/>
    <cellStyle name="Comma 2 5 2 2 3 3 6 5" xfId="35650"/>
    <cellStyle name="Comma 2 5 2 2 3 3 7" xfId="15732"/>
    <cellStyle name="Comma 2 5 2 2 3 3 7 2" xfId="24747"/>
    <cellStyle name="Comma 2 5 2 2 3 3 7 2 2" xfId="44176"/>
    <cellStyle name="Comma 2 5 2 2 3 3 7 2 3" xfId="37753"/>
    <cellStyle name="Comma 2 5 2 2 3 3 7 3" xfId="29068"/>
    <cellStyle name="Comma 2 5 2 2 3 3 7 3 2" xfId="40969"/>
    <cellStyle name="Comma 2 5 2 2 3 3 7 4" xfId="32403"/>
    <cellStyle name="Comma 2 5 2 2 3 3 7 5" xfId="34545"/>
    <cellStyle name="Comma 2 5 2 2 3 3 8" xfId="8550"/>
    <cellStyle name="Comma 2 5 2 2 3 3 8 2" xfId="43139"/>
    <cellStyle name="Comma 2 5 2 2 3 3 8 3" xfId="36715"/>
    <cellStyle name="Comma 2 5 2 2 3 3 9" xfId="21539"/>
    <cellStyle name="Comma 2 5 2 2 3 3 9 2" xfId="39932"/>
    <cellStyle name="Comma 2 5 2 2 3 4" xfId="1289"/>
    <cellStyle name="Comma 2 5 2 2 3 4 10" xfId="33513"/>
    <cellStyle name="Comma 2 5 2 2 3 4 2" xfId="10059"/>
    <cellStyle name="Comma 2 5 2 2 3 4 2 2" xfId="25859"/>
    <cellStyle name="Comma 2 5 2 2 3 4 2 2 2" xfId="45286"/>
    <cellStyle name="Comma 2 5 2 2 3 4 2 2 3" xfId="38863"/>
    <cellStyle name="Comma 2 5 2 2 3 4 2 3" xfId="28037"/>
    <cellStyle name="Comma 2 5 2 2 3 4 2 3 2" xfId="42079"/>
    <cellStyle name="Comma 2 5 2 2 3 4 2 4" xfId="31372"/>
    <cellStyle name="Comma 2 5 2 2 3 4 2 5" xfId="35655"/>
    <cellStyle name="Comma 2 5 2 2 3 4 3" xfId="15737"/>
    <cellStyle name="Comma 2 5 2 2 3 4 3 2" xfId="24752"/>
    <cellStyle name="Comma 2 5 2 2 3 4 3 2 2" xfId="44181"/>
    <cellStyle name="Comma 2 5 2 2 3 4 3 2 3" xfId="37758"/>
    <cellStyle name="Comma 2 5 2 2 3 4 3 3" xfId="29073"/>
    <cellStyle name="Comma 2 5 2 2 3 4 3 3 2" xfId="40974"/>
    <cellStyle name="Comma 2 5 2 2 3 4 3 4" xfId="32408"/>
    <cellStyle name="Comma 2 5 2 2 3 4 3 5" xfId="34550"/>
    <cellStyle name="Comma 2 5 2 2 3 4 4" xfId="8555"/>
    <cellStyle name="Comma 2 5 2 2 3 4 4 2" xfId="43144"/>
    <cellStyle name="Comma 2 5 2 2 3 4 4 3" xfId="36720"/>
    <cellStyle name="Comma 2 5 2 2 3 4 5" xfId="21544"/>
    <cellStyle name="Comma 2 5 2 2 3 4 5 2" xfId="39937"/>
    <cellStyle name="Comma 2 5 2 2 3 4 6" xfId="22617"/>
    <cellStyle name="Comma 2 5 2 2 3 4 7" xfId="23715"/>
    <cellStyle name="Comma 2 5 2 2 3 4 8" xfId="26939"/>
    <cellStyle name="Comma 2 5 2 2 3 4 9" xfId="30272"/>
    <cellStyle name="Comma 2 5 2 2 3 5" xfId="1290"/>
    <cellStyle name="Comma 2 5 2 2 3 5 10" xfId="33514"/>
    <cellStyle name="Comma 2 5 2 2 3 5 2" xfId="10060"/>
    <cellStyle name="Comma 2 5 2 2 3 5 2 2" xfId="25860"/>
    <cellStyle name="Comma 2 5 2 2 3 5 2 2 2" xfId="45287"/>
    <cellStyle name="Comma 2 5 2 2 3 5 2 2 3" xfId="38864"/>
    <cellStyle name="Comma 2 5 2 2 3 5 2 3" xfId="28038"/>
    <cellStyle name="Comma 2 5 2 2 3 5 2 3 2" xfId="42080"/>
    <cellStyle name="Comma 2 5 2 2 3 5 2 4" xfId="31373"/>
    <cellStyle name="Comma 2 5 2 2 3 5 2 5" xfId="35656"/>
    <cellStyle name="Comma 2 5 2 2 3 5 3" xfId="15738"/>
    <cellStyle name="Comma 2 5 2 2 3 5 3 2" xfId="24753"/>
    <cellStyle name="Comma 2 5 2 2 3 5 3 2 2" xfId="44182"/>
    <cellStyle name="Comma 2 5 2 2 3 5 3 2 3" xfId="37759"/>
    <cellStyle name="Comma 2 5 2 2 3 5 3 3" xfId="29074"/>
    <cellStyle name="Comma 2 5 2 2 3 5 3 3 2" xfId="40975"/>
    <cellStyle name="Comma 2 5 2 2 3 5 3 4" xfId="32409"/>
    <cellStyle name="Comma 2 5 2 2 3 5 3 5" xfId="34551"/>
    <cellStyle name="Comma 2 5 2 2 3 5 4" xfId="8556"/>
    <cellStyle name="Comma 2 5 2 2 3 5 4 2" xfId="43145"/>
    <cellStyle name="Comma 2 5 2 2 3 5 4 3" xfId="36721"/>
    <cellStyle name="Comma 2 5 2 2 3 5 5" xfId="21545"/>
    <cellStyle name="Comma 2 5 2 2 3 5 5 2" xfId="39938"/>
    <cellStyle name="Comma 2 5 2 2 3 5 6" xfId="22618"/>
    <cellStyle name="Comma 2 5 2 2 3 5 7" xfId="23716"/>
    <cellStyle name="Comma 2 5 2 2 3 5 8" xfId="26940"/>
    <cellStyle name="Comma 2 5 2 2 3 5 9" xfId="30273"/>
    <cellStyle name="Comma 2 5 2 2 3 6" xfId="1291"/>
    <cellStyle name="Comma 2 5 2 2 3 6 10" xfId="33515"/>
    <cellStyle name="Comma 2 5 2 2 3 6 2" xfId="10061"/>
    <cellStyle name="Comma 2 5 2 2 3 6 2 2" xfId="25861"/>
    <cellStyle name="Comma 2 5 2 2 3 6 2 2 2" xfId="45288"/>
    <cellStyle name="Comma 2 5 2 2 3 6 2 2 3" xfId="38865"/>
    <cellStyle name="Comma 2 5 2 2 3 6 2 3" xfId="28039"/>
    <cellStyle name="Comma 2 5 2 2 3 6 2 3 2" xfId="42081"/>
    <cellStyle name="Comma 2 5 2 2 3 6 2 4" xfId="31374"/>
    <cellStyle name="Comma 2 5 2 2 3 6 2 5" xfId="35657"/>
    <cellStyle name="Comma 2 5 2 2 3 6 3" xfId="15739"/>
    <cellStyle name="Comma 2 5 2 2 3 6 3 2" xfId="24754"/>
    <cellStyle name="Comma 2 5 2 2 3 6 3 2 2" xfId="44183"/>
    <cellStyle name="Comma 2 5 2 2 3 6 3 2 3" xfId="37760"/>
    <cellStyle name="Comma 2 5 2 2 3 6 3 3" xfId="29075"/>
    <cellStyle name="Comma 2 5 2 2 3 6 3 3 2" xfId="40976"/>
    <cellStyle name="Comma 2 5 2 2 3 6 3 4" xfId="32410"/>
    <cellStyle name="Comma 2 5 2 2 3 6 3 5" xfId="34552"/>
    <cellStyle name="Comma 2 5 2 2 3 6 4" xfId="8557"/>
    <cellStyle name="Comma 2 5 2 2 3 6 4 2" xfId="43146"/>
    <cellStyle name="Comma 2 5 2 2 3 6 4 3" xfId="36722"/>
    <cellStyle name="Comma 2 5 2 2 3 6 5" xfId="21546"/>
    <cellStyle name="Comma 2 5 2 2 3 6 5 2" xfId="39939"/>
    <cellStyle name="Comma 2 5 2 2 3 6 6" xfId="22619"/>
    <cellStyle name="Comma 2 5 2 2 3 6 7" xfId="23717"/>
    <cellStyle name="Comma 2 5 2 2 3 6 8" xfId="26941"/>
    <cellStyle name="Comma 2 5 2 2 3 6 9" xfId="30274"/>
    <cellStyle name="Comma 2 5 2 2 3 7" xfId="1292"/>
    <cellStyle name="Comma 2 5 2 2 3 7 10" xfId="33516"/>
    <cellStyle name="Comma 2 5 2 2 3 7 2" xfId="10062"/>
    <cellStyle name="Comma 2 5 2 2 3 7 2 2" xfId="25862"/>
    <cellStyle name="Comma 2 5 2 2 3 7 2 2 2" xfId="45289"/>
    <cellStyle name="Comma 2 5 2 2 3 7 2 2 3" xfId="38866"/>
    <cellStyle name="Comma 2 5 2 2 3 7 2 3" xfId="28040"/>
    <cellStyle name="Comma 2 5 2 2 3 7 2 3 2" xfId="42082"/>
    <cellStyle name="Comma 2 5 2 2 3 7 2 4" xfId="31375"/>
    <cellStyle name="Comma 2 5 2 2 3 7 2 5" xfId="35658"/>
    <cellStyle name="Comma 2 5 2 2 3 7 3" xfId="15740"/>
    <cellStyle name="Comma 2 5 2 2 3 7 3 2" xfId="24755"/>
    <cellStyle name="Comma 2 5 2 2 3 7 3 2 2" xfId="44184"/>
    <cellStyle name="Comma 2 5 2 2 3 7 3 2 3" xfId="37761"/>
    <cellStyle name="Comma 2 5 2 2 3 7 3 3" xfId="29076"/>
    <cellStyle name="Comma 2 5 2 2 3 7 3 3 2" xfId="40977"/>
    <cellStyle name="Comma 2 5 2 2 3 7 3 4" xfId="32411"/>
    <cellStyle name="Comma 2 5 2 2 3 7 3 5" xfId="34553"/>
    <cellStyle name="Comma 2 5 2 2 3 7 4" xfId="8558"/>
    <cellStyle name="Comma 2 5 2 2 3 7 4 2" xfId="43147"/>
    <cellStyle name="Comma 2 5 2 2 3 7 4 3" xfId="36723"/>
    <cellStyle name="Comma 2 5 2 2 3 7 5" xfId="21547"/>
    <cellStyle name="Comma 2 5 2 2 3 7 5 2" xfId="39940"/>
    <cellStyle name="Comma 2 5 2 2 3 7 6" xfId="22620"/>
    <cellStyle name="Comma 2 5 2 2 3 7 7" xfId="23718"/>
    <cellStyle name="Comma 2 5 2 2 3 7 8" xfId="26942"/>
    <cellStyle name="Comma 2 5 2 2 3 7 9" xfId="30275"/>
    <cellStyle name="Comma 2 5 2 2 3 8" xfId="1293"/>
    <cellStyle name="Comma 2 5 2 2 3 8 10" xfId="33517"/>
    <cellStyle name="Comma 2 5 2 2 3 8 2" xfId="10063"/>
    <cellStyle name="Comma 2 5 2 2 3 8 2 2" xfId="25863"/>
    <cellStyle name="Comma 2 5 2 2 3 8 2 2 2" xfId="45290"/>
    <cellStyle name="Comma 2 5 2 2 3 8 2 2 3" xfId="38867"/>
    <cellStyle name="Comma 2 5 2 2 3 8 2 3" xfId="28041"/>
    <cellStyle name="Comma 2 5 2 2 3 8 2 3 2" xfId="42083"/>
    <cellStyle name="Comma 2 5 2 2 3 8 2 4" xfId="31376"/>
    <cellStyle name="Comma 2 5 2 2 3 8 2 5" xfId="35659"/>
    <cellStyle name="Comma 2 5 2 2 3 8 3" xfId="15741"/>
    <cellStyle name="Comma 2 5 2 2 3 8 3 2" xfId="24756"/>
    <cellStyle name="Comma 2 5 2 2 3 8 3 2 2" xfId="44185"/>
    <cellStyle name="Comma 2 5 2 2 3 8 3 2 3" xfId="37762"/>
    <cellStyle name="Comma 2 5 2 2 3 8 3 3" xfId="29077"/>
    <cellStyle name="Comma 2 5 2 2 3 8 3 3 2" xfId="40978"/>
    <cellStyle name="Comma 2 5 2 2 3 8 3 4" xfId="32412"/>
    <cellStyle name="Comma 2 5 2 2 3 8 3 5" xfId="34554"/>
    <cellStyle name="Comma 2 5 2 2 3 8 4" xfId="8559"/>
    <cellStyle name="Comma 2 5 2 2 3 8 4 2" xfId="43148"/>
    <cellStyle name="Comma 2 5 2 2 3 8 4 3" xfId="36724"/>
    <cellStyle name="Comma 2 5 2 2 3 8 5" xfId="21548"/>
    <cellStyle name="Comma 2 5 2 2 3 8 5 2" xfId="39941"/>
    <cellStyle name="Comma 2 5 2 2 3 8 6" xfId="22621"/>
    <cellStyle name="Comma 2 5 2 2 3 8 7" xfId="23719"/>
    <cellStyle name="Comma 2 5 2 2 3 8 8" xfId="26943"/>
    <cellStyle name="Comma 2 5 2 2 3 8 9" xfId="30276"/>
    <cellStyle name="Comma 2 5 2 2 3 9" xfId="9131"/>
    <cellStyle name="Comma 2 5 2 2 3 9 2" xfId="25185"/>
    <cellStyle name="Comma 2 5 2 2 3 9 2 2" xfId="44612"/>
    <cellStyle name="Comma 2 5 2 2 3 9 2 3" xfId="38189"/>
    <cellStyle name="Comma 2 5 2 2 3 9 3" xfId="27364"/>
    <cellStyle name="Comma 2 5 2 2 3 9 3 2" xfId="41405"/>
    <cellStyle name="Comma 2 5 2 2 3 9 4" xfId="30699"/>
    <cellStyle name="Comma 2 5 2 2 3 9 5" xfId="34981"/>
    <cellStyle name="Comma 2 5 2 2 4" xfId="277"/>
    <cellStyle name="Comma 2 5 2 2 4 10" xfId="21549"/>
    <cellStyle name="Comma 2 5 2 2 4 10 2" xfId="39270"/>
    <cellStyle name="Comma 2 5 2 2 4 11" xfId="22622"/>
    <cellStyle name="Comma 2 5 2 2 4 12" xfId="23048"/>
    <cellStyle name="Comma 2 5 2 2 4 13" xfId="26944"/>
    <cellStyle name="Comma 2 5 2 2 4 14" xfId="30277"/>
    <cellStyle name="Comma 2 5 2 2 4 15" xfId="32846"/>
    <cellStyle name="Comma 2 5 2 2 4 2" xfId="1294"/>
    <cellStyle name="Comma 2 5 2 2 4 2 10" xfId="33518"/>
    <cellStyle name="Comma 2 5 2 2 4 2 2" xfId="10064"/>
    <cellStyle name="Comma 2 5 2 2 4 2 2 2" xfId="25864"/>
    <cellStyle name="Comma 2 5 2 2 4 2 2 2 2" xfId="45291"/>
    <cellStyle name="Comma 2 5 2 2 4 2 2 2 3" xfId="38868"/>
    <cellStyle name="Comma 2 5 2 2 4 2 2 3" xfId="28042"/>
    <cellStyle name="Comma 2 5 2 2 4 2 2 3 2" xfId="42084"/>
    <cellStyle name="Comma 2 5 2 2 4 2 2 4" xfId="31377"/>
    <cellStyle name="Comma 2 5 2 2 4 2 2 5" xfId="35660"/>
    <cellStyle name="Comma 2 5 2 2 4 2 3" xfId="15743"/>
    <cellStyle name="Comma 2 5 2 2 4 2 3 2" xfId="24758"/>
    <cellStyle name="Comma 2 5 2 2 4 2 3 2 2" xfId="44187"/>
    <cellStyle name="Comma 2 5 2 2 4 2 3 2 3" xfId="37764"/>
    <cellStyle name="Comma 2 5 2 2 4 2 3 3" xfId="29079"/>
    <cellStyle name="Comma 2 5 2 2 4 2 3 3 2" xfId="40980"/>
    <cellStyle name="Comma 2 5 2 2 4 2 3 4" xfId="32414"/>
    <cellStyle name="Comma 2 5 2 2 4 2 3 5" xfId="34556"/>
    <cellStyle name="Comma 2 5 2 2 4 2 4" xfId="8561"/>
    <cellStyle name="Comma 2 5 2 2 4 2 4 2" xfId="43149"/>
    <cellStyle name="Comma 2 5 2 2 4 2 4 3" xfId="36725"/>
    <cellStyle name="Comma 2 5 2 2 4 2 5" xfId="21550"/>
    <cellStyle name="Comma 2 5 2 2 4 2 5 2" xfId="39942"/>
    <cellStyle name="Comma 2 5 2 2 4 2 6" xfId="22623"/>
    <cellStyle name="Comma 2 5 2 2 4 2 7" xfId="23720"/>
    <cellStyle name="Comma 2 5 2 2 4 2 8" xfId="26945"/>
    <cellStyle name="Comma 2 5 2 2 4 2 9" xfId="30278"/>
    <cellStyle name="Comma 2 5 2 2 4 3" xfId="1295"/>
    <cellStyle name="Comma 2 5 2 2 4 3 10" xfId="33519"/>
    <cellStyle name="Comma 2 5 2 2 4 3 2" xfId="10065"/>
    <cellStyle name="Comma 2 5 2 2 4 3 2 2" xfId="25865"/>
    <cellStyle name="Comma 2 5 2 2 4 3 2 2 2" xfId="45292"/>
    <cellStyle name="Comma 2 5 2 2 4 3 2 2 3" xfId="38869"/>
    <cellStyle name="Comma 2 5 2 2 4 3 2 3" xfId="28043"/>
    <cellStyle name="Comma 2 5 2 2 4 3 2 3 2" xfId="42085"/>
    <cellStyle name="Comma 2 5 2 2 4 3 2 4" xfId="31378"/>
    <cellStyle name="Comma 2 5 2 2 4 3 2 5" xfId="35661"/>
    <cellStyle name="Comma 2 5 2 2 4 3 3" xfId="15744"/>
    <cellStyle name="Comma 2 5 2 2 4 3 3 2" xfId="24759"/>
    <cellStyle name="Comma 2 5 2 2 4 3 3 2 2" xfId="44188"/>
    <cellStyle name="Comma 2 5 2 2 4 3 3 2 3" xfId="37765"/>
    <cellStyle name="Comma 2 5 2 2 4 3 3 3" xfId="29080"/>
    <cellStyle name="Comma 2 5 2 2 4 3 3 3 2" xfId="40981"/>
    <cellStyle name="Comma 2 5 2 2 4 3 3 4" xfId="32415"/>
    <cellStyle name="Comma 2 5 2 2 4 3 3 5" xfId="34557"/>
    <cellStyle name="Comma 2 5 2 2 4 3 4" xfId="8562"/>
    <cellStyle name="Comma 2 5 2 2 4 3 4 2" xfId="43150"/>
    <cellStyle name="Comma 2 5 2 2 4 3 4 3" xfId="36726"/>
    <cellStyle name="Comma 2 5 2 2 4 3 5" xfId="21551"/>
    <cellStyle name="Comma 2 5 2 2 4 3 5 2" xfId="39943"/>
    <cellStyle name="Comma 2 5 2 2 4 3 6" xfId="22624"/>
    <cellStyle name="Comma 2 5 2 2 4 3 7" xfId="23721"/>
    <cellStyle name="Comma 2 5 2 2 4 3 8" xfId="26946"/>
    <cellStyle name="Comma 2 5 2 2 4 3 9" xfId="30279"/>
    <cellStyle name="Comma 2 5 2 2 4 4" xfId="1296"/>
    <cellStyle name="Comma 2 5 2 2 4 4 10" xfId="33520"/>
    <cellStyle name="Comma 2 5 2 2 4 4 2" xfId="10066"/>
    <cellStyle name="Comma 2 5 2 2 4 4 2 2" xfId="25866"/>
    <cellStyle name="Comma 2 5 2 2 4 4 2 2 2" xfId="45293"/>
    <cellStyle name="Comma 2 5 2 2 4 4 2 2 3" xfId="38870"/>
    <cellStyle name="Comma 2 5 2 2 4 4 2 3" xfId="28044"/>
    <cellStyle name="Comma 2 5 2 2 4 4 2 3 2" xfId="42086"/>
    <cellStyle name="Comma 2 5 2 2 4 4 2 4" xfId="31379"/>
    <cellStyle name="Comma 2 5 2 2 4 4 2 5" xfId="35662"/>
    <cellStyle name="Comma 2 5 2 2 4 4 3" xfId="15745"/>
    <cellStyle name="Comma 2 5 2 2 4 4 3 2" xfId="24760"/>
    <cellStyle name="Comma 2 5 2 2 4 4 3 2 2" xfId="44189"/>
    <cellStyle name="Comma 2 5 2 2 4 4 3 2 3" xfId="37766"/>
    <cellStyle name="Comma 2 5 2 2 4 4 3 3" xfId="29081"/>
    <cellStyle name="Comma 2 5 2 2 4 4 3 3 2" xfId="40982"/>
    <cellStyle name="Comma 2 5 2 2 4 4 3 4" xfId="32416"/>
    <cellStyle name="Comma 2 5 2 2 4 4 3 5" xfId="34558"/>
    <cellStyle name="Comma 2 5 2 2 4 4 4" xfId="8563"/>
    <cellStyle name="Comma 2 5 2 2 4 4 4 2" xfId="43151"/>
    <cellStyle name="Comma 2 5 2 2 4 4 4 3" xfId="36727"/>
    <cellStyle name="Comma 2 5 2 2 4 4 5" xfId="21552"/>
    <cellStyle name="Comma 2 5 2 2 4 4 5 2" xfId="39944"/>
    <cellStyle name="Comma 2 5 2 2 4 4 6" xfId="22625"/>
    <cellStyle name="Comma 2 5 2 2 4 4 7" xfId="23722"/>
    <cellStyle name="Comma 2 5 2 2 4 4 8" xfId="26947"/>
    <cellStyle name="Comma 2 5 2 2 4 4 9" xfId="30280"/>
    <cellStyle name="Comma 2 5 2 2 4 5" xfId="1297"/>
    <cellStyle name="Comma 2 5 2 2 4 5 10" xfId="33521"/>
    <cellStyle name="Comma 2 5 2 2 4 5 2" xfId="10067"/>
    <cellStyle name="Comma 2 5 2 2 4 5 2 2" xfId="25867"/>
    <cellStyle name="Comma 2 5 2 2 4 5 2 2 2" xfId="45294"/>
    <cellStyle name="Comma 2 5 2 2 4 5 2 2 3" xfId="38871"/>
    <cellStyle name="Comma 2 5 2 2 4 5 2 3" xfId="28045"/>
    <cellStyle name="Comma 2 5 2 2 4 5 2 3 2" xfId="42087"/>
    <cellStyle name="Comma 2 5 2 2 4 5 2 4" xfId="31380"/>
    <cellStyle name="Comma 2 5 2 2 4 5 2 5" xfId="35663"/>
    <cellStyle name="Comma 2 5 2 2 4 5 3" xfId="15746"/>
    <cellStyle name="Comma 2 5 2 2 4 5 3 2" xfId="24761"/>
    <cellStyle name="Comma 2 5 2 2 4 5 3 2 2" xfId="44190"/>
    <cellStyle name="Comma 2 5 2 2 4 5 3 2 3" xfId="37767"/>
    <cellStyle name="Comma 2 5 2 2 4 5 3 3" xfId="29082"/>
    <cellStyle name="Comma 2 5 2 2 4 5 3 3 2" xfId="40983"/>
    <cellStyle name="Comma 2 5 2 2 4 5 3 4" xfId="32417"/>
    <cellStyle name="Comma 2 5 2 2 4 5 3 5" xfId="34559"/>
    <cellStyle name="Comma 2 5 2 2 4 5 4" xfId="8564"/>
    <cellStyle name="Comma 2 5 2 2 4 5 4 2" xfId="43152"/>
    <cellStyle name="Comma 2 5 2 2 4 5 4 3" xfId="36728"/>
    <cellStyle name="Comma 2 5 2 2 4 5 5" xfId="21553"/>
    <cellStyle name="Comma 2 5 2 2 4 5 5 2" xfId="39945"/>
    <cellStyle name="Comma 2 5 2 2 4 5 6" xfId="22626"/>
    <cellStyle name="Comma 2 5 2 2 4 5 7" xfId="23723"/>
    <cellStyle name="Comma 2 5 2 2 4 5 8" xfId="26948"/>
    <cellStyle name="Comma 2 5 2 2 4 5 9" xfId="30281"/>
    <cellStyle name="Comma 2 5 2 2 4 6" xfId="1298"/>
    <cellStyle name="Comma 2 5 2 2 4 6 10" xfId="33522"/>
    <cellStyle name="Comma 2 5 2 2 4 6 2" xfId="10068"/>
    <cellStyle name="Comma 2 5 2 2 4 6 2 2" xfId="25868"/>
    <cellStyle name="Comma 2 5 2 2 4 6 2 2 2" xfId="45295"/>
    <cellStyle name="Comma 2 5 2 2 4 6 2 2 3" xfId="38872"/>
    <cellStyle name="Comma 2 5 2 2 4 6 2 3" xfId="28046"/>
    <cellStyle name="Comma 2 5 2 2 4 6 2 3 2" xfId="42088"/>
    <cellStyle name="Comma 2 5 2 2 4 6 2 4" xfId="31381"/>
    <cellStyle name="Comma 2 5 2 2 4 6 2 5" xfId="35664"/>
    <cellStyle name="Comma 2 5 2 2 4 6 3" xfId="15747"/>
    <cellStyle name="Comma 2 5 2 2 4 6 3 2" xfId="24762"/>
    <cellStyle name="Comma 2 5 2 2 4 6 3 2 2" xfId="44191"/>
    <cellStyle name="Comma 2 5 2 2 4 6 3 2 3" xfId="37768"/>
    <cellStyle name="Comma 2 5 2 2 4 6 3 3" xfId="29083"/>
    <cellStyle name="Comma 2 5 2 2 4 6 3 3 2" xfId="40984"/>
    <cellStyle name="Comma 2 5 2 2 4 6 3 4" xfId="32418"/>
    <cellStyle name="Comma 2 5 2 2 4 6 3 5" xfId="34560"/>
    <cellStyle name="Comma 2 5 2 2 4 6 4" xfId="8565"/>
    <cellStyle name="Comma 2 5 2 2 4 6 4 2" xfId="43153"/>
    <cellStyle name="Comma 2 5 2 2 4 6 4 3" xfId="36729"/>
    <cellStyle name="Comma 2 5 2 2 4 6 5" xfId="21554"/>
    <cellStyle name="Comma 2 5 2 2 4 6 5 2" xfId="39946"/>
    <cellStyle name="Comma 2 5 2 2 4 6 6" xfId="22627"/>
    <cellStyle name="Comma 2 5 2 2 4 6 7" xfId="23724"/>
    <cellStyle name="Comma 2 5 2 2 4 6 8" xfId="26949"/>
    <cellStyle name="Comma 2 5 2 2 4 6 9" xfId="30282"/>
    <cellStyle name="Comma 2 5 2 2 4 7" xfId="9133"/>
    <cellStyle name="Comma 2 5 2 2 4 7 2" xfId="25187"/>
    <cellStyle name="Comma 2 5 2 2 4 7 2 2" xfId="44614"/>
    <cellStyle name="Comma 2 5 2 2 4 7 2 3" xfId="38191"/>
    <cellStyle name="Comma 2 5 2 2 4 7 3" xfId="27366"/>
    <cellStyle name="Comma 2 5 2 2 4 7 3 2" xfId="41407"/>
    <cellStyle name="Comma 2 5 2 2 4 7 4" xfId="30701"/>
    <cellStyle name="Comma 2 5 2 2 4 7 5" xfId="34983"/>
    <cellStyle name="Comma 2 5 2 2 4 8" xfId="15742"/>
    <cellStyle name="Comma 2 5 2 2 4 8 2" xfId="24757"/>
    <cellStyle name="Comma 2 5 2 2 4 8 2 2" xfId="44186"/>
    <cellStyle name="Comma 2 5 2 2 4 8 2 3" xfId="37763"/>
    <cellStyle name="Comma 2 5 2 2 4 8 3" xfId="29078"/>
    <cellStyle name="Comma 2 5 2 2 4 8 3 2" xfId="40979"/>
    <cellStyle name="Comma 2 5 2 2 4 8 4" xfId="32413"/>
    <cellStyle name="Comma 2 5 2 2 4 8 5" xfId="34555"/>
    <cellStyle name="Comma 2 5 2 2 4 9" xfId="8560"/>
    <cellStyle name="Comma 2 5 2 2 4 9 2" xfId="42477"/>
    <cellStyle name="Comma 2 5 2 2 4 9 3" xfId="36053"/>
    <cellStyle name="Comma 2 5 2 2 5" xfId="1299"/>
    <cellStyle name="Comma 2 5 2 2 5 10" xfId="22628"/>
    <cellStyle name="Comma 2 5 2 2 5 11" xfId="23725"/>
    <cellStyle name="Comma 2 5 2 2 5 12" xfId="26950"/>
    <cellStyle name="Comma 2 5 2 2 5 13" xfId="30283"/>
    <cellStyle name="Comma 2 5 2 2 5 14" xfId="33523"/>
    <cellStyle name="Comma 2 5 2 2 5 2" xfId="1300"/>
    <cellStyle name="Comma 2 5 2 2 5 2 10" xfId="33524"/>
    <cellStyle name="Comma 2 5 2 2 5 2 2" xfId="10070"/>
    <cellStyle name="Comma 2 5 2 2 5 2 2 2" xfId="25870"/>
    <cellStyle name="Comma 2 5 2 2 5 2 2 2 2" xfId="45297"/>
    <cellStyle name="Comma 2 5 2 2 5 2 2 2 3" xfId="38874"/>
    <cellStyle name="Comma 2 5 2 2 5 2 2 3" xfId="28048"/>
    <cellStyle name="Comma 2 5 2 2 5 2 2 3 2" xfId="42090"/>
    <cellStyle name="Comma 2 5 2 2 5 2 2 4" xfId="31383"/>
    <cellStyle name="Comma 2 5 2 2 5 2 2 5" xfId="35666"/>
    <cellStyle name="Comma 2 5 2 2 5 2 3" xfId="15749"/>
    <cellStyle name="Comma 2 5 2 2 5 2 3 2" xfId="24764"/>
    <cellStyle name="Comma 2 5 2 2 5 2 3 2 2" xfId="44193"/>
    <cellStyle name="Comma 2 5 2 2 5 2 3 2 3" xfId="37770"/>
    <cellStyle name="Comma 2 5 2 2 5 2 3 3" xfId="29085"/>
    <cellStyle name="Comma 2 5 2 2 5 2 3 3 2" xfId="40986"/>
    <cellStyle name="Comma 2 5 2 2 5 2 3 4" xfId="32420"/>
    <cellStyle name="Comma 2 5 2 2 5 2 3 5" xfId="34562"/>
    <cellStyle name="Comma 2 5 2 2 5 2 4" xfId="8567"/>
    <cellStyle name="Comma 2 5 2 2 5 2 4 2" xfId="43155"/>
    <cellStyle name="Comma 2 5 2 2 5 2 4 3" xfId="36731"/>
    <cellStyle name="Comma 2 5 2 2 5 2 5" xfId="21556"/>
    <cellStyle name="Comma 2 5 2 2 5 2 5 2" xfId="39948"/>
    <cellStyle name="Comma 2 5 2 2 5 2 6" xfId="22629"/>
    <cellStyle name="Comma 2 5 2 2 5 2 7" xfId="23726"/>
    <cellStyle name="Comma 2 5 2 2 5 2 8" xfId="26951"/>
    <cellStyle name="Comma 2 5 2 2 5 2 9" xfId="30284"/>
    <cellStyle name="Comma 2 5 2 2 5 3" xfId="1301"/>
    <cellStyle name="Comma 2 5 2 2 5 3 10" xfId="33525"/>
    <cellStyle name="Comma 2 5 2 2 5 3 2" xfId="10071"/>
    <cellStyle name="Comma 2 5 2 2 5 3 2 2" xfId="25871"/>
    <cellStyle name="Comma 2 5 2 2 5 3 2 2 2" xfId="45298"/>
    <cellStyle name="Comma 2 5 2 2 5 3 2 2 3" xfId="38875"/>
    <cellStyle name="Comma 2 5 2 2 5 3 2 3" xfId="28049"/>
    <cellStyle name="Comma 2 5 2 2 5 3 2 3 2" xfId="42091"/>
    <cellStyle name="Comma 2 5 2 2 5 3 2 4" xfId="31384"/>
    <cellStyle name="Comma 2 5 2 2 5 3 2 5" xfId="35667"/>
    <cellStyle name="Comma 2 5 2 2 5 3 3" xfId="15750"/>
    <cellStyle name="Comma 2 5 2 2 5 3 3 2" xfId="24765"/>
    <cellStyle name="Comma 2 5 2 2 5 3 3 2 2" xfId="44194"/>
    <cellStyle name="Comma 2 5 2 2 5 3 3 2 3" xfId="37771"/>
    <cellStyle name="Comma 2 5 2 2 5 3 3 3" xfId="29086"/>
    <cellStyle name="Comma 2 5 2 2 5 3 3 3 2" xfId="40987"/>
    <cellStyle name="Comma 2 5 2 2 5 3 3 4" xfId="32421"/>
    <cellStyle name="Comma 2 5 2 2 5 3 3 5" xfId="34563"/>
    <cellStyle name="Comma 2 5 2 2 5 3 4" xfId="8568"/>
    <cellStyle name="Comma 2 5 2 2 5 3 4 2" xfId="43156"/>
    <cellStyle name="Comma 2 5 2 2 5 3 4 3" xfId="36732"/>
    <cellStyle name="Comma 2 5 2 2 5 3 5" xfId="21557"/>
    <cellStyle name="Comma 2 5 2 2 5 3 5 2" xfId="39949"/>
    <cellStyle name="Comma 2 5 2 2 5 3 6" xfId="22630"/>
    <cellStyle name="Comma 2 5 2 2 5 3 7" xfId="23727"/>
    <cellStyle name="Comma 2 5 2 2 5 3 8" xfId="26952"/>
    <cellStyle name="Comma 2 5 2 2 5 3 9" xfId="30285"/>
    <cellStyle name="Comma 2 5 2 2 5 4" xfId="1302"/>
    <cellStyle name="Comma 2 5 2 2 5 4 10" xfId="33526"/>
    <cellStyle name="Comma 2 5 2 2 5 4 2" xfId="10072"/>
    <cellStyle name="Comma 2 5 2 2 5 4 2 2" xfId="25872"/>
    <cellStyle name="Comma 2 5 2 2 5 4 2 2 2" xfId="45299"/>
    <cellStyle name="Comma 2 5 2 2 5 4 2 2 3" xfId="38876"/>
    <cellStyle name="Comma 2 5 2 2 5 4 2 3" xfId="28050"/>
    <cellStyle name="Comma 2 5 2 2 5 4 2 3 2" xfId="42092"/>
    <cellStyle name="Comma 2 5 2 2 5 4 2 4" xfId="31385"/>
    <cellStyle name="Comma 2 5 2 2 5 4 2 5" xfId="35668"/>
    <cellStyle name="Comma 2 5 2 2 5 4 3" xfId="15751"/>
    <cellStyle name="Comma 2 5 2 2 5 4 3 2" xfId="24766"/>
    <cellStyle name="Comma 2 5 2 2 5 4 3 2 2" xfId="44195"/>
    <cellStyle name="Comma 2 5 2 2 5 4 3 2 3" xfId="37772"/>
    <cellStyle name="Comma 2 5 2 2 5 4 3 3" xfId="29087"/>
    <cellStyle name="Comma 2 5 2 2 5 4 3 3 2" xfId="40988"/>
    <cellStyle name="Comma 2 5 2 2 5 4 3 4" xfId="32422"/>
    <cellStyle name="Comma 2 5 2 2 5 4 3 5" xfId="34564"/>
    <cellStyle name="Comma 2 5 2 2 5 4 4" xfId="8569"/>
    <cellStyle name="Comma 2 5 2 2 5 4 4 2" xfId="43157"/>
    <cellStyle name="Comma 2 5 2 2 5 4 4 3" xfId="36733"/>
    <cellStyle name="Comma 2 5 2 2 5 4 5" xfId="21558"/>
    <cellStyle name="Comma 2 5 2 2 5 4 5 2" xfId="39950"/>
    <cellStyle name="Comma 2 5 2 2 5 4 6" xfId="22631"/>
    <cellStyle name="Comma 2 5 2 2 5 4 7" xfId="23728"/>
    <cellStyle name="Comma 2 5 2 2 5 4 8" xfId="26953"/>
    <cellStyle name="Comma 2 5 2 2 5 4 9" xfId="30286"/>
    <cellStyle name="Comma 2 5 2 2 5 5" xfId="1303"/>
    <cellStyle name="Comma 2 5 2 2 5 5 10" xfId="33527"/>
    <cellStyle name="Comma 2 5 2 2 5 5 2" xfId="10073"/>
    <cellStyle name="Comma 2 5 2 2 5 5 2 2" xfId="25873"/>
    <cellStyle name="Comma 2 5 2 2 5 5 2 2 2" xfId="45300"/>
    <cellStyle name="Comma 2 5 2 2 5 5 2 2 3" xfId="38877"/>
    <cellStyle name="Comma 2 5 2 2 5 5 2 3" xfId="28051"/>
    <cellStyle name="Comma 2 5 2 2 5 5 2 3 2" xfId="42093"/>
    <cellStyle name="Comma 2 5 2 2 5 5 2 4" xfId="31386"/>
    <cellStyle name="Comma 2 5 2 2 5 5 2 5" xfId="35669"/>
    <cellStyle name="Comma 2 5 2 2 5 5 3" xfId="15752"/>
    <cellStyle name="Comma 2 5 2 2 5 5 3 2" xfId="24767"/>
    <cellStyle name="Comma 2 5 2 2 5 5 3 2 2" xfId="44196"/>
    <cellStyle name="Comma 2 5 2 2 5 5 3 2 3" xfId="37773"/>
    <cellStyle name="Comma 2 5 2 2 5 5 3 3" xfId="29088"/>
    <cellStyle name="Comma 2 5 2 2 5 5 3 3 2" xfId="40989"/>
    <cellStyle name="Comma 2 5 2 2 5 5 3 4" xfId="32423"/>
    <cellStyle name="Comma 2 5 2 2 5 5 3 5" xfId="34565"/>
    <cellStyle name="Comma 2 5 2 2 5 5 4" xfId="8570"/>
    <cellStyle name="Comma 2 5 2 2 5 5 4 2" xfId="43158"/>
    <cellStyle name="Comma 2 5 2 2 5 5 4 3" xfId="36734"/>
    <cellStyle name="Comma 2 5 2 2 5 5 5" xfId="21559"/>
    <cellStyle name="Comma 2 5 2 2 5 5 5 2" xfId="39951"/>
    <cellStyle name="Comma 2 5 2 2 5 5 6" xfId="22632"/>
    <cellStyle name="Comma 2 5 2 2 5 5 7" xfId="23729"/>
    <cellStyle name="Comma 2 5 2 2 5 5 8" xfId="26954"/>
    <cellStyle name="Comma 2 5 2 2 5 5 9" xfId="30287"/>
    <cellStyle name="Comma 2 5 2 2 5 6" xfId="10069"/>
    <cellStyle name="Comma 2 5 2 2 5 6 2" xfId="25869"/>
    <cellStyle name="Comma 2 5 2 2 5 6 2 2" xfId="45296"/>
    <cellStyle name="Comma 2 5 2 2 5 6 2 3" xfId="38873"/>
    <cellStyle name="Comma 2 5 2 2 5 6 3" xfId="28047"/>
    <cellStyle name="Comma 2 5 2 2 5 6 3 2" xfId="42089"/>
    <cellStyle name="Comma 2 5 2 2 5 6 4" xfId="31382"/>
    <cellStyle name="Comma 2 5 2 2 5 6 5" xfId="35665"/>
    <cellStyle name="Comma 2 5 2 2 5 7" xfId="15748"/>
    <cellStyle name="Comma 2 5 2 2 5 7 2" xfId="24763"/>
    <cellStyle name="Comma 2 5 2 2 5 7 2 2" xfId="44192"/>
    <cellStyle name="Comma 2 5 2 2 5 7 2 3" xfId="37769"/>
    <cellStyle name="Comma 2 5 2 2 5 7 3" xfId="29084"/>
    <cellStyle name="Comma 2 5 2 2 5 7 3 2" xfId="40985"/>
    <cellStyle name="Comma 2 5 2 2 5 7 4" xfId="32419"/>
    <cellStyle name="Comma 2 5 2 2 5 7 5" xfId="34561"/>
    <cellStyle name="Comma 2 5 2 2 5 8" xfId="8566"/>
    <cellStyle name="Comma 2 5 2 2 5 8 2" xfId="43154"/>
    <cellStyle name="Comma 2 5 2 2 5 8 3" xfId="36730"/>
    <cellStyle name="Comma 2 5 2 2 5 9" xfId="21555"/>
    <cellStyle name="Comma 2 5 2 2 5 9 2" xfId="39947"/>
    <cellStyle name="Comma 2 5 2 2 6" xfId="1304"/>
    <cellStyle name="Comma 2 5 2 2 6 10" xfId="22633"/>
    <cellStyle name="Comma 2 5 2 2 6 11" xfId="23730"/>
    <cellStyle name="Comma 2 5 2 2 6 12" xfId="26955"/>
    <cellStyle name="Comma 2 5 2 2 6 13" xfId="30288"/>
    <cellStyle name="Comma 2 5 2 2 6 14" xfId="33528"/>
    <cellStyle name="Comma 2 5 2 2 6 2" xfId="1305"/>
    <cellStyle name="Comma 2 5 2 2 6 2 10" xfId="33529"/>
    <cellStyle name="Comma 2 5 2 2 6 2 2" xfId="10075"/>
    <cellStyle name="Comma 2 5 2 2 6 2 2 2" xfId="25875"/>
    <cellStyle name="Comma 2 5 2 2 6 2 2 2 2" xfId="45302"/>
    <cellStyle name="Comma 2 5 2 2 6 2 2 2 3" xfId="38879"/>
    <cellStyle name="Comma 2 5 2 2 6 2 2 3" xfId="28053"/>
    <cellStyle name="Comma 2 5 2 2 6 2 2 3 2" xfId="42095"/>
    <cellStyle name="Comma 2 5 2 2 6 2 2 4" xfId="31388"/>
    <cellStyle name="Comma 2 5 2 2 6 2 2 5" xfId="35671"/>
    <cellStyle name="Comma 2 5 2 2 6 2 3" xfId="15754"/>
    <cellStyle name="Comma 2 5 2 2 6 2 3 2" xfId="24769"/>
    <cellStyle name="Comma 2 5 2 2 6 2 3 2 2" xfId="44198"/>
    <cellStyle name="Comma 2 5 2 2 6 2 3 2 3" xfId="37775"/>
    <cellStyle name="Comma 2 5 2 2 6 2 3 3" xfId="29090"/>
    <cellStyle name="Comma 2 5 2 2 6 2 3 3 2" xfId="40991"/>
    <cellStyle name="Comma 2 5 2 2 6 2 3 4" xfId="32425"/>
    <cellStyle name="Comma 2 5 2 2 6 2 3 5" xfId="34567"/>
    <cellStyle name="Comma 2 5 2 2 6 2 4" xfId="8572"/>
    <cellStyle name="Comma 2 5 2 2 6 2 4 2" xfId="43160"/>
    <cellStyle name="Comma 2 5 2 2 6 2 4 3" xfId="36736"/>
    <cellStyle name="Comma 2 5 2 2 6 2 5" xfId="21561"/>
    <cellStyle name="Comma 2 5 2 2 6 2 5 2" xfId="39953"/>
    <cellStyle name="Comma 2 5 2 2 6 2 6" xfId="22634"/>
    <cellStyle name="Comma 2 5 2 2 6 2 7" xfId="23731"/>
    <cellStyle name="Comma 2 5 2 2 6 2 8" xfId="26956"/>
    <cellStyle name="Comma 2 5 2 2 6 2 9" xfId="30289"/>
    <cellStyle name="Comma 2 5 2 2 6 3" xfId="1306"/>
    <cellStyle name="Comma 2 5 2 2 6 3 10" xfId="33530"/>
    <cellStyle name="Comma 2 5 2 2 6 3 2" xfId="10076"/>
    <cellStyle name="Comma 2 5 2 2 6 3 2 2" xfId="25876"/>
    <cellStyle name="Comma 2 5 2 2 6 3 2 2 2" xfId="45303"/>
    <cellStyle name="Comma 2 5 2 2 6 3 2 2 3" xfId="38880"/>
    <cellStyle name="Comma 2 5 2 2 6 3 2 3" xfId="28054"/>
    <cellStyle name="Comma 2 5 2 2 6 3 2 3 2" xfId="42096"/>
    <cellStyle name="Comma 2 5 2 2 6 3 2 4" xfId="31389"/>
    <cellStyle name="Comma 2 5 2 2 6 3 2 5" xfId="35672"/>
    <cellStyle name="Comma 2 5 2 2 6 3 3" xfId="15755"/>
    <cellStyle name="Comma 2 5 2 2 6 3 3 2" xfId="24770"/>
    <cellStyle name="Comma 2 5 2 2 6 3 3 2 2" xfId="44199"/>
    <cellStyle name="Comma 2 5 2 2 6 3 3 2 3" xfId="37776"/>
    <cellStyle name="Comma 2 5 2 2 6 3 3 3" xfId="29091"/>
    <cellStyle name="Comma 2 5 2 2 6 3 3 3 2" xfId="40992"/>
    <cellStyle name="Comma 2 5 2 2 6 3 3 4" xfId="32426"/>
    <cellStyle name="Comma 2 5 2 2 6 3 3 5" xfId="34568"/>
    <cellStyle name="Comma 2 5 2 2 6 3 4" xfId="8573"/>
    <cellStyle name="Comma 2 5 2 2 6 3 4 2" xfId="43161"/>
    <cellStyle name="Comma 2 5 2 2 6 3 4 3" xfId="36737"/>
    <cellStyle name="Comma 2 5 2 2 6 3 5" xfId="21562"/>
    <cellStyle name="Comma 2 5 2 2 6 3 5 2" xfId="39954"/>
    <cellStyle name="Comma 2 5 2 2 6 3 6" xfId="22635"/>
    <cellStyle name="Comma 2 5 2 2 6 3 7" xfId="23732"/>
    <cellStyle name="Comma 2 5 2 2 6 3 8" xfId="26957"/>
    <cellStyle name="Comma 2 5 2 2 6 3 9" xfId="30290"/>
    <cellStyle name="Comma 2 5 2 2 6 4" xfId="1307"/>
    <cellStyle name="Comma 2 5 2 2 6 4 10" xfId="33531"/>
    <cellStyle name="Comma 2 5 2 2 6 4 2" xfId="10077"/>
    <cellStyle name="Comma 2 5 2 2 6 4 2 2" xfId="25877"/>
    <cellStyle name="Comma 2 5 2 2 6 4 2 2 2" xfId="45304"/>
    <cellStyle name="Comma 2 5 2 2 6 4 2 2 3" xfId="38881"/>
    <cellStyle name="Comma 2 5 2 2 6 4 2 3" xfId="28055"/>
    <cellStyle name="Comma 2 5 2 2 6 4 2 3 2" xfId="42097"/>
    <cellStyle name="Comma 2 5 2 2 6 4 2 4" xfId="31390"/>
    <cellStyle name="Comma 2 5 2 2 6 4 2 5" xfId="35673"/>
    <cellStyle name="Comma 2 5 2 2 6 4 3" xfId="15756"/>
    <cellStyle name="Comma 2 5 2 2 6 4 3 2" xfId="24771"/>
    <cellStyle name="Comma 2 5 2 2 6 4 3 2 2" xfId="44200"/>
    <cellStyle name="Comma 2 5 2 2 6 4 3 2 3" xfId="37777"/>
    <cellStyle name="Comma 2 5 2 2 6 4 3 3" xfId="29092"/>
    <cellStyle name="Comma 2 5 2 2 6 4 3 3 2" xfId="40993"/>
    <cellStyle name="Comma 2 5 2 2 6 4 3 4" xfId="32427"/>
    <cellStyle name="Comma 2 5 2 2 6 4 3 5" xfId="34569"/>
    <cellStyle name="Comma 2 5 2 2 6 4 4" xfId="8574"/>
    <cellStyle name="Comma 2 5 2 2 6 4 4 2" xfId="43162"/>
    <cellStyle name="Comma 2 5 2 2 6 4 4 3" xfId="36738"/>
    <cellStyle name="Comma 2 5 2 2 6 4 5" xfId="21563"/>
    <cellStyle name="Comma 2 5 2 2 6 4 5 2" xfId="39955"/>
    <cellStyle name="Comma 2 5 2 2 6 4 6" xfId="22636"/>
    <cellStyle name="Comma 2 5 2 2 6 4 7" xfId="23733"/>
    <cellStyle name="Comma 2 5 2 2 6 4 8" xfId="26958"/>
    <cellStyle name="Comma 2 5 2 2 6 4 9" xfId="30291"/>
    <cellStyle name="Comma 2 5 2 2 6 5" xfId="1308"/>
    <cellStyle name="Comma 2 5 2 2 6 5 10" xfId="33532"/>
    <cellStyle name="Comma 2 5 2 2 6 5 2" xfId="10078"/>
    <cellStyle name="Comma 2 5 2 2 6 5 2 2" xfId="25878"/>
    <cellStyle name="Comma 2 5 2 2 6 5 2 2 2" xfId="45305"/>
    <cellStyle name="Comma 2 5 2 2 6 5 2 2 3" xfId="38882"/>
    <cellStyle name="Comma 2 5 2 2 6 5 2 3" xfId="28056"/>
    <cellStyle name="Comma 2 5 2 2 6 5 2 3 2" xfId="42098"/>
    <cellStyle name="Comma 2 5 2 2 6 5 2 4" xfId="31391"/>
    <cellStyle name="Comma 2 5 2 2 6 5 2 5" xfId="35674"/>
    <cellStyle name="Comma 2 5 2 2 6 5 3" xfId="15757"/>
    <cellStyle name="Comma 2 5 2 2 6 5 3 2" xfId="24772"/>
    <cellStyle name="Comma 2 5 2 2 6 5 3 2 2" xfId="44201"/>
    <cellStyle name="Comma 2 5 2 2 6 5 3 2 3" xfId="37778"/>
    <cellStyle name="Comma 2 5 2 2 6 5 3 3" xfId="29093"/>
    <cellStyle name="Comma 2 5 2 2 6 5 3 3 2" xfId="40994"/>
    <cellStyle name="Comma 2 5 2 2 6 5 3 4" xfId="32428"/>
    <cellStyle name="Comma 2 5 2 2 6 5 3 5" xfId="34570"/>
    <cellStyle name="Comma 2 5 2 2 6 5 4" xfId="8575"/>
    <cellStyle name="Comma 2 5 2 2 6 5 4 2" xfId="43163"/>
    <cellStyle name="Comma 2 5 2 2 6 5 4 3" xfId="36739"/>
    <cellStyle name="Comma 2 5 2 2 6 5 5" xfId="21564"/>
    <cellStyle name="Comma 2 5 2 2 6 5 5 2" xfId="39956"/>
    <cellStyle name="Comma 2 5 2 2 6 5 6" xfId="22637"/>
    <cellStyle name="Comma 2 5 2 2 6 5 7" xfId="23734"/>
    <cellStyle name="Comma 2 5 2 2 6 5 8" xfId="26959"/>
    <cellStyle name="Comma 2 5 2 2 6 5 9" xfId="30292"/>
    <cellStyle name="Comma 2 5 2 2 6 6" xfId="10074"/>
    <cellStyle name="Comma 2 5 2 2 6 6 2" xfId="25874"/>
    <cellStyle name="Comma 2 5 2 2 6 6 2 2" xfId="45301"/>
    <cellStyle name="Comma 2 5 2 2 6 6 2 3" xfId="38878"/>
    <cellStyle name="Comma 2 5 2 2 6 6 3" xfId="28052"/>
    <cellStyle name="Comma 2 5 2 2 6 6 3 2" xfId="42094"/>
    <cellStyle name="Comma 2 5 2 2 6 6 4" xfId="31387"/>
    <cellStyle name="Comma 2 5 2 2 6 6 5" xfId="35670"/>
    <cellStyle name="Comma 2 5 2 2 6 7" xfId="15753"/>
    <cellStyle name="Comma 2 5 2 2 6 7 2" xfId="24768"/>
    <cellStyle name="Comma 2 5 2 2 6 7 2 2" xfId="44197"/>
    <cellStyle name="Comma 2 5 2 2 6 7 2 3" xfId="37774"/>
    <cellStyle name="Comma 2 5 2 2 6 7 3" xfId="29089"/>
    <cellStyle name="Comma 2 5 2 2 6 7 3 2" xfId="40990"/>
    <cellStyle name="Comma 2 5 2 2 6 7 4" xfId="32424"/>
    <cellStyle name="Comma 2 5 2 2 6 7 5" xfId="34566"/>
    <cellStyle name="Comma 2 5 2 2 6 8" xfId="8571"/>
    <cellStyle name="Comma 2 5 2 2 6 8 2" xfId="43159"/>
    <cellStyle name="Comma 2 5 2 2 6 8 3" xfId="36735"/>
    <cellStyle name="Comma 2 5 2 2 6 9" xfId="21560"/>
    <cellStyle name="Comma 2 5 2 2 6 9 2" xfId="39952"/>
    <cellStyle name="Comma 2 5 2 2 7" xfId="1309"/>
    <cellStyle name="Comma 2 5 2 2 7 10" xfId="33533"/>
    <cellStyle name="Comma 2 5 2 2 7 2" xfId="10079"/>
    <cellStyle name="Comma 2 5 2 2 7 2 2" xfId="25879"/>
    <cellStyle name="Comma 2 5 2 2 7 2 2 2" xfId="45306"/>
    <cellStyle name="Comma 2 5 2 2 7 2 2 3" xfId="38883"/>
    <cellStyle name="Comma 2 5 2 2 7 2 3" xfId="28057"/>
    <cellStyle name="Comma 2 5 2 2 7 2 3 2" xfId="42099"/>
    <cellStyle name="Comma 2 5 2 2 7 2 4" xfId="31392"/>
    <cellStyle name="Comma 2 5 2 2 7 2 5" xfId="35675"/>
    <cellStyle name="Comma 2 5 2 2 7 3" xfId="15758"/>
    <cellStyle name="Comma 2 5 2 2 7 3 2" xfId="24773"/>
    <cellStyle name="Comma 2 5 2 2 7 3 2 2" xfId="44202"/>
    <cellStyle name="Comma 2 5 2 2 7 3 2 3" xfId="37779"/>
    <cellStyle name="Comma 2 5 2 2 7 3 3" xfId="29094"/>
    <cellStyle name="Comma 2 5 2 2 7 3 3 2" xfId="40995"/>
    <cellStyle name="Comma 2 5 2 2 7 3 4" xfId="32429"/>
    <cellStyle name="Comma 2 5 2 2 7 3 5" xfId="34571"/>
    <cellStyle name="Comma 2 5 2 2 7 4" xfId="8576"/>
    <cellStyle name="Comma 2 5 2 2 7 4 2" xfId="43164"/>
    <cellStyle name="Comma 2 5 2 2 7 4 3" xfId="36740"/>
    <cellStyle name="Comma 2 5 2 2 7 5" xfId="21565"/>
    <cellStyle name="Comma 2 5 2 2 7 5 2" xfId="39957"/>
    <cellStyle name="Comma 2 5 2 2 7 6" xfId="22638"/>
    <cellStyle name="Comma 2 5 2 2 7 7" xfId="23735"/>
    <cellStyle name="Comma 2 5 2 2 7 8" xfId="26960"/>
    <cellStyle name="Comma 2 5 2 2 7 9" xfId="30293"/>
    <cellStyle name="Comma 2 5 2 2 8" xfId="1310"/>
    <cellStyle name="Comma 2 5 2 2 8 10" xfId="33534"/>
    <cellStyle name="Comma 2 5 2 2 8 2" xfId="10080"/>
    <cellStyle name="Comma 2 5 2 2 8 2 2" xfId="25880"/>
    <cellStyle name="Comma 2 5 2 2 8 2 2 2" xfId="45307"/>
    <cellStyle name="Comma 2 5 2 2 8 2 2 3" xfId="38884"/>
    <cellStyle name="Comma 2 5 2 2 8 2 3" xfId="28058"/>
    <cellStyle name="Comma 2 5 2 2 8 2 3 2" xfId="42100"/>
    <cellStyle name="Comma 2 5 2 2 8 2 4" xfId="31393"/>
    <cellStyle name="Comma 2 5 2 2 8 2 5" xfId="35676"/>
    <cellStyle name="Comma 2 5 2 2 8 3" xfId="15759"/>
    <cellStyle name="Comma 2 5 2 2 8 3 2" xfId="24774"/>
    <cellStyle name="Comma 2 5 2 2 8 3 2 2" xfId="44203"/>
    <cellStyle name="Comma 2 5 2 2 8 3 2 3" xfId="37780"/>
    <cellStyle name="Comma 2 5 2 2 8 3 3" xfId="29095"/>
    <cellStyle name="Comma 2 5 2 2 8 3 3 2" xfId="40996"/>
    <cellStyle name="Comma 2 5 2 2 8 3 4" xfId="32430"/>
    <cellStyle name="Comma 2 5 2 2 8 3 5" xfId="34572"/>
    <cellStyle name="Comma 2 5 2 2 8 4" xfId="8577"/>
    <cellStyle name="Comma 2 5 2 2 8 4 2" xfId="43165"/>
    <cellStyle name="Comma 2 5 2 2 8 4 3" xfId="36741"/>
    <cellStyle name="Comma 2 5 2 2 8 5" xfId="21566"/>
    <cellStyle name="Comma 2 5 2 2 8 5 2" xfId="39958"/>
    <cellStyle name="Comma 2 5 2 2 8 6" xfId="22639"/>
    <cellStyle name="Comma 2 5 2 2 8 7" xfId="23736"/>
    <cellStyle name="Comma 2 5 2 2 8 8" xfId="26961"/>
    <cellStyle name="Comma 2 5 2 2 8 9" xfId="30294"/>
    <cellStyle name="Comma 2 5 2 2 9" xfId="1311"/>
    <cellStyle name="Comma 2 5 2 2 9 10" xfId="33535"/>
    <cellStyle name="Comma 2 5 2 2 9 2" xfId="10081"/>
    <cellStyle name="Comma 2 5 2 2 9 2 2" xfId="25881"/>
    <cellStyle name="Comma 2 5 2 2 9 2 2 2" xfId="45308"/>
    <cellStyle name="Comma 2 5 2 2 9 2 2 3" xfId="38885"/>
    <cellStyle name="Comma 2 5 2 2 9 2 3" xfId="28059"/>
    <cellStyle name="Comma 2 5 2 2 9 2 3 2" xfId="42101"/>
    <cellStyle name="Comma 2 5 2 2 9 2 4" xfId="31394"/>
    <cellStyle name="Comma 2 5 2 2 9 2 5" xfId="35677"/>
    <cellStyle name="Comma 2 5 2 2 9 3" xfId="15760"/>
    <cellStyle name="Comma 2 5 2 2 9 3 2" xfId="24775"/>
    <cellStyle name="Comma 2 5 2 2 9 3 2 2" xfId="44204"/>
    <cellStyle name="Comma 2 5 2 2 9 3 2 3" xfId="37781"/>
    <cellStyle name="Comma 2 5 2 2 9 3 3" xfId="29096"/>
    <cellStyle name="Comma 2 5 2 2 9 3 3 2" xfId="40997"/>
    <cellStyle name="Comma 2 5 2 2 9 3 4" xfId="32431"/>
    <cellStyle name="Comma 2 5 2 2 9 3 5" xfId="34573"/>
    <cellStyle name="Comma 2 5 2 2 9 4" xfId="8578"/>
    <cellStyle name="Comma 2 5 2 2 9 4 2" xfId="43166"/>
    <cellStyle name="Comma 2 5 2 2 9 4 3" xfId="36742"/>
    <cellStyle name="Comma 2 5 2 2 9 5" xfId="21567"/>
    <cellStyle name="Comma 2 5 2 2 9 5 2" xfId="39959"/>
    <cellStyle name="Comma 2 5 2 2 9 6" xfId="22640"/>
    <cellStyle name="Comma 2 5 2 2 9 7" xfId="23737"/>
    <cellStyle name="Comma 2 5 2 2 9 8" xfId="26962"/>
    <cellStyle name="Comma 2 5 2 2 9 9" xfId="30295"/>
    <cellStyle name="Comma 2 5 2 20" xfId="30214"/>
    <cellStyle name="Comma 2 5 2 21" xfId="32839"/>
    <cellStyle name="Comma 2 5 2 3" xfId="278"/>
    <cellStyle name="Comma 2 5 2 3 10" xfId="1312"/>
    <cellStyle name="Comma 2 5 2 3 10 10" xfId="33536"/>
    <cellStyle name="Comma 2 5 2 3 10 2" xfId="10082"/>
    <cellStyle name="Comma 2 5 2 3 10 2 2" xfId="25882"/>
    <cellStyle name="Comma 2 5 2 3 10 2 2 2" xfId="45309"/>
    <cellStyle name="Comma 2 5 2 3 10 2 2 3" xfId="38886"/>
    <cellStyle name="Comma 2 5 2 3 10 2 3" xfId="28060"/>
    <cellStyle name="Comma 2 5 2 3 10 2 3 2" xfId="42102"/>
    <cellStyle name="Comma 2 5 2 3 10 2 4" xfId="31395"/>
    <cellStyle name="Comma 2 5 2 3 10 2 5" xfId="35678"/>
    <cellStyle name="Comma 2 5 2 3 10 3" xfId="15762"/>
    <cellStyle name="Comma 2 5 2 3 10 3 2" xfId="24777"/>
    <cellStyle name="Comma 2 5 2 3 10 3 2 2" xfId="44206"/>
    <cellStyle name="Comma 2 5 2 3 10 3 2 3" xfId="37783"/>
    <cellStyle name="Comma 2 5 2 3 10 3 3" xfId="29098"/>
    <cellStyle name="Comma 2 5 2 3 10 3 3 2" xfId="40999"/>
    <cellStyle name="Comma 2 5 2 3 10 3 4" xfId="32433"/>
    <cellStyle name="Comma 2 5 2 3 10 3 5" xfId="34575"/>
    <cellStyle name="Comma 2 5 2 3 10 4" xfId="8580"/>
    <cellStyle name="Comma 2 5 2 3 10 4 2" xfId="43167"/>
    <cellStyle name="Comma 2 5 2 3 10 4 3" xfId="36743"/>
    <cellStyle name="Comma 2 5 2 3 10 5" xfId="21569"/>
    <cellStyle name="Comma 2 5 2 3 10 5 2" xfId="39960"/>
    <cellStyle name="Comma 2 5 2 3 10 6" xfId="22642"/>
    <cellStyle name="Comma 2 5 2 3 10 7" xfId="23738"/>
    <cellStyle name="Comma 2 5 2 3 10 8" xfId="26964"/>
    <cellStyle name="Comma 2 5 2 3 10 9" xfId="30297"/>
    <cellStyle name="Comma 2 5 2 3 11" xfId="9134"/>
    <cellStyle name="Comma 2 5 2 3 11 2" xfId="25188"/>
    <cellStyle name="Comma 2 5 2 3 11 2 2" xfId="44615"/>
    <cellStyle name="Comma 2 5 2 3 11 2 3" xfId="38192"/>
    <cellStyle name="Comma 2 5 2 3 11 3" xfId="27367"/>
    <cellStyle name="Comma 2 5 2 3 11 3 2" xfId="41408"/>
    <cellStyle name="Comma 2 5 2 3 11 4" xfId="30702"/>
    <cellStyle name="Comma 2 5 2 3 11 5" xfId="34984"/>
    <cellStyle name="Comma 2 5 2 3 12" xfId="15761"/>
    <cellStyle name="Comma 2 5 2 3 12 2" xfId="24776"/>
    <cellStyle name="Comma 2 5 2 3 12 2 2" xfId="44205"/>
    <cellStyle name="Comma 2 5 2 3 12 2 3" xfId="37782"/>
    <cellStyle name="Comma 2 5 2 3 12 3" xfId="29097"/>
    <cellStyle name="Comma 2 5 2 3 12 3 2" xfId="40998"/>
    <cellStyle name="Comma 2 5 2 3 12 4" xfId="32432"/>
    <cellStyle name="Comma 2 5 2 3 12 5" xfId="34574"/>
    <cellStyle name="Comma 2 5 2 3 13" xfId="8579"/>
    <cellStyle name="Comma 2 5 2 3 13 2" xfId="42478"/>
    <cellStyle name="Comma 2 5 2 3 13 3" xfId="36054"/>
    <cellStyle name="Comma 2 5 2 3 14" xfId="21568"/>
    <cellStyle name="Comma 2 5 2 3 14 2" xfId="39271"/>
    <cellStyle name="Comma 2 5 2 3 15" xfId="22641"/>
    <cellStyle name="Comma 2 5 2 3 16" xfId="23049"/>
    <cellStyle name="Comma 2 5 2 3 17" xfId="26963"/>
    <cellStyle name="Comma 2 5 2 3 18" xfId="30296"/>
    <cellStyle name="Comma 2 5 2 3 19" xfId="32847"/>
    <cellStyle name="Comma 2 5 2 3 2" xfId="279"/>
    <cellStyle name="Comma 2 5 2 3 2 10" xfId="15763"/>
    <cellStyle name="Comma 2 5 2 3 2 10 2" xfId="24778"/>
    <cellStyle name="Comma 2 5 2 3 2 10 2 2" xfId="44207"/>
    <cellStyle name="Comma 2 5 2 3 2 10 2 3" xfId="37784"/>
    <cellStyle name="Comma 2 5 2 3 2 10 3" xfId="29099"/>
    <cellStyle name="Comma 2 5 2 3 2 10 3 2" xfId="41000"/>
    <cellStyle name="Comma 2 5 2 3 2 10 4" xfId="32434"/>
    <cellStyle name="Comma 2 5 2 3 2 10 5" xfId="34576"/>
    <cellStyle name="Comma 2 5 2 3 2 11" xfId="8581"/>
    <cellStyle name="Comma 2 5 2 3 2 11 2" xfId="42479"/>
    <cellStyle name="Comma 2 5 2 3 2 11 3" xfId="36055"/>
    <cellStyle name="Comma 2 5 2 3 2 12" xfId="21570"/>
    <cellStyle name="Comma 2 5 2 3 2 12 2" xfId="39272"/>
    <cellStyle name="Comma 2 5 2 3 2 13" xfId="22643"/>
    <cellStyle name="Comma 2 5 2 3 2 14" xfId="23050"/>
    <cellStyle name="Comma 2 5 2 3 2 15" xfId="26965"/>
    <cellStyle name="Comma 2 5 2 3 2 16" xfId="30298"/>
    <cellStyle name="Comma 2 5 2 3 2 17" xfId="32848"/>
    <cellStyle name="Comma 2 5 2 3 2 2" xfId="280"/>
    <cellStyle name="Comma 2 5 2 3 2 2 10" xfId="21571"/>
    <cellStyle name="Comma 2 5 2 3 2 2 10 2" xfId="39273"/>
    <cellStyle name="Comma 2 5 2 3 2 2 11" xfId="22644"/>
    <cellStyle name="Comma 2 5 2 3 2 2 12" xfId="23051"/>
    <cellStyle name="Comma 2 5 2 3 2 2 13" xfId="26966"/>
    <cellStyle name="Comma 2 5 2 3 2 2 14" xfId="30299"/>
    <cellStyle name="Comma 2 5 2 3 2 2 15" xfId="32849"/>
    <cellStyle name="Comma 2 5 2 3 2 2 2" xfId="1313"/>
    <cellStyle name="Comma 2 5 2 3 2 2 2 10" xfId="33537"/>
    <cellStyle name="Comma 2 5 2 3 2 2 2 2" xfId="10083"/>
    <cellStyle name="Comma 2 5 2 3 2 2 2 2 2" xfId="25883"/>
    <cellStyle name="Comma 2 5 2 3 2 2 2 2 2 2" xfId="45310"/>
    <cellStyle name="Comma 2 5 2 3 2 2 2 2 2 3" xfId="38887"/>
    <cellStyle name="Comma 2 5 2 3 2 2 2 2 3" xfId="28061"/>
    <cellStyle name="Comma 2 5 2 3 2 2 2 2 3 2" xfId="42103"/>
    <cellStyle name="Comma 2 5 2 3 2 2 2 2 4" xfId="31396"/>
    <cellStyle name="Comma 2 5 2 3 2 2 2 2 5" xfId="35679"/>
    <cellStyle name="Comma 2 5 2 3 2 2 2 3" xfId="15765"/>
    <cellStyle name="Comma 2 5 2 3 2 2 2 3 2" xfId="24780"/>
    <cellStyle name="Comma 2 5 2 3 2 2 2 3 2 2" xfId="44209"/>
    <cellStyle name="Comma 2 5 2 3 2 2 2 3 2 3" xfId="37786"/>
    <cellStyle name="Comma 2 5 2 3 2 2 2 3 3" xfId="29101"/>
    <cellStyle name="Comma 2 5 2 3 2 2 2 3 3 2" xfId="41002"/>
    <cellStyle name="Comma 2 5 2 3 2 2 2 3 4" xfId="32436"/>
    <cellStyle name="Comma 2 5 2 3 2 2 2 3 5" xfId="34578"/>
    <cellStyle name="Comma 2 5 2 3 2 2 2 4" xfId="8583"/>
    <cellStyle name="Comma 2 5 2 3 2 2 2 4 2" xfId="43168"/>
    <cellStyle name="Comma 2 5 2 3 2 2 2 4 3" xfId="36744"/>
    <cellStyle name="Comma 2 5 2 3 2 2 2 5" xfId="21572"/>
    <cellStyle name="Comma 2 5 2 3 2 2 2 5 2" xfId="39961"/>
    <cellStyle name="Comma 2 5 2 3 2 2 2 6" xfId="22645"/>
    <cellStyle name="Comma 2 5 2 3 2 2 2 7" xfId="23739"/>
    <cellStyle name="Comma 2 5 2 3 2 2 2 8" xfId="26967"/>
    <cellStyle name="Comma 2 5 2 3 2 2 2 9" xfId="30300"/>
    <cellStyle name="Comma 2 5 2 3 2 2 3" xfId="1314"/>
    <cellStyle name="Comma 2 5 2 3 2 2 3 10" xfId="33538"/>
    <cellStyle name="Comma 2 5 2 3 2 2 3 2" xfId="10084"/>
    <cellStyle name="Comma 2 5 2 3 2 2 3 2 2" xfId="25884"/>
    <cellStyle name="Comma 2 5 2 3 2 2 3 2 2 2" xfId="45311"/>
    <cellStyle name="Comma 2 5 2 3 2 2 3 2 2 3" xfId="38888"/>
    <cellStyle name="Comma 2 5 2 3 2 2 3 2 3" xfId="28062"/>
    <cellStyle name="Comma 2 5 2 3 2 2 3 2 3 2" xfId="42104"/>
    <cellStyle name="Comma 2 5 2 3 2 2 3 2 4" xfId="31397"/>
    <cellStyle name="Comma 2 5 2 3 2 2 3 2 5" xfId="35680"/>
    <cellStyle name="Comma 2 5 2 3 2 2 3 3" xfId="15766"/>
    <cellStyle name="Comma 2 5 2 3 2 2 3 3 2" xfId="24781"/>
    <cellStyle name="Comma 2 5 2 3 2 2 3 3 2 2" xfId="44210"/>
    <cellStyle name="Comma 2 5 2 3 2 2 3 3 2 3" xfId="37787"/>
    <cellStyle name="Comma 2 5 2 3 2 2 3 3 3" xfId="29102"/>
    <cellStyle name="Comma 2 5 2 3 2 2 3 3 3 2" xfId="41003"/>
    <cellStyle name="Comma 2 5 2 3 2 2 3 3 4" xfId="32437"/>
    <cellStyle name="Comma 2 5 2 3 2 2 3 3 5" xfId="34579"/>
    <cellStyle name="Comma 2 5 2 3 2 2 3 4" xfId="8584"/>
    <cellStyle name="Comma 2 5 2 3 2 2 3 4 2" xfId="43169"/>
    <cellStyle name="Comma 2 5 2 3 2 2 3 4 3" xfId="36745"/>
    <cellStyle name="Comma 2 5 2 3 2 2 3 5" xfId="21573"/>
    <cellStyle name="Comma 2 5 2 3 2 2 3 5 2" xfId="39962"/>
    <cellStyle name="Comma 2 5 2 3 2 2 3 6" xfId="22646"/>
    <cellStyle name="Comma 2 5 2 3 2 2 3 7" xfId="23740"/>
    <cellStyle name="Comma 2 5 2 3 2 2 3 8" xfId="26968"/>
    <cellStyle name="Comma 2 5 2 3 2 2 3 9" xfId="30301"/>
    <cellStyle name="Comma 2 5 2 3 2 2 4" xfId="1315"/>
    <cellStyle name="Comma 2 5 2 3 2 2 4 10" xfId="33539"/>
    <cellStyle name="Comma 2 5 2 3 2 2 4 2" xfId="10085"/>
    <cellStyle name="Comma 2 5 2 3 2 2 4 2 2" xfId="25885"/>
    <cellStyle name="Comma 2 5 2 3 2 2 4 2 2 2" xfId="45312"/>
    <cellStyle name="Comma 2 5 2 3 2 2 4 2 2 3" xfId="38889"/>
    <cellStyle name="Comma 2 5 2 3 2 2 4 2 3" xfId="28063"/>
    <cellStyle name="Comma 2 5 2 3 2 2 4 2 3 2" xfId="42105"/>
    <cellStyle name="Comma 2 5 2 3 2 2 4 2 4" xfId="31398"/>
    <cellStyle name="Comma 2 5 2 3 2 2 4 2 5" xfId="35681"/>
    <cellStyle name="Comma 2 5 2 3 2 2 4 3" xfId="15767"/>
    <cellStyle name="Comma 2 5 2 3 2 2 4 3 2" xfId="24782"/>
    <cellStyle name="Comma 2 5 2 3 2 2 4 3 2 2" xfId="44211"/>
    <cellStyle name="Comma 2 5 2 3 2 2 4 3 2 3" xfId="37788"/>
    <cellStyle name="Comma 2 5 2 3 2 2 4 3 3" xfId="29103"/>
    <cellStyle name="Comma 2 5 2 3 2 2 4 3 3 2" xfId="41004"/>
    <cellStyle name="Comma 2 5 2 3 2 2 4 3 4" xfId="32438"/>
    <cellStyle name="Comma 2 5 2 3 2 2 4 3 5" xfId="34580"/>
    <cellStyle name="Comma 2 5 2 3 2 2 4 4" xfId="8585"/>
    <cellStyle name="Comma 2 5 2 3 2 2 4 4 2" xfId="43170"/>
    <cellStyle name="Comma 2 5 2 3 2 2 4 4 3" xfId="36746"/>
    <cellStyle name="Comma 2 5 2 3 2 2 4 5" xfId="21574"/>
    <cellStyle name="Comma 2 5 2 3 2 2 4 5 2" xfId="39963"/>
    <cellStyle name="Comma 2 5 2 3 2 2 4 6" xfId="22647"/>
    <cellStyle name="Comma 2 5 2 3 2 2 4 7" xfId="23741"/>
    <cellStyle name="Comma 2 5 2 3 2 2 4 8" xfId="26969"/>
    <cellStyle name="Comma 2 5 2 3 2 2 4 9" xfId="30302"/>
    <cellStyle name="Comma 2 5 2 3 2 2 5" xfId="1316"/>
    <cellStyle name="Comma 2 5 2 3 2 2 5 10" xfId="33540"/>
    <cellStyle name="Comma 2 5 2 3 2 2 5 2" xfId="10086"/>
    <cellStyle name="Comma 2 5 2 3 2 2 5 2 2" xfId="25886"/>
    <cellStyle name="Comma 2 5 2 3 2 2 5 2 2 2" xfId="45313"/>
    <cellStyle name="Comma 2 5 2 3 2 2 5 2 2 3" xfId="38890"/>
    <cellStyle name="Comma 2 5 2 3 2 2 5 2 3" xfId="28064"/>
    <cellStyle name="Comma 2 5 2 3 2 2 5 2 3 2" xfId="42106"/>
    <cellStyle name="Comma 2 5 2 3 2 2 5 2 4" xfId="31399"/>
    <cellStyle name="Comma 2 5 2 3 2 2 5 2 5" xfId="35682"/>
    <cellStyle name="Comma 2 5 2 3 2 2 5 3" xfId="15768"/>
    <cellStyle name="Comma 2 5 2 3 2 2 5 3 2" xfId="24783"/>
    <cellStyle name="Comma 2 5 2 3 2 2 5 3 2 2" xfId="44212"/>
    <cellStyle name="Comma 2 5 2 3 2 2 5 3 2 3" xfId="37789"/>
    <cellStyle name="Comma 2 5 2 3 2 2 5 3 3" xfId="29104"/>
    <cellStyle name="Comma 2 5 2 3 2 2 5 3 3 2" xfId="41005"/>
    <cellStyle name="Comma 2 5 2 3 2 2 5 3 4" xfId="32439"/>
    <cellStyle name="Comma 2 5 2 3 2 2 5 3 5" xfId="34581"/>
    <cellStyle name="Comma 2 5 2 3 2 2 5 4" xfId="8586"/>
    <cellStyle name="Comma 2 5 2 3 2 2 5 4 2" xfId="43171"/>
    <cellStyle name="Comma 2 5 2 3 2 2 5 4 3" xfId="36747"/>
    <cellStyle name="Comma 2 5 2 3 2 2 5 5" xfId="21575"/>
    <cellStyle name="Comma 2 5 2 3 2 2 5 5 2" xfId="39964"/>
    <cellStyle name="Comma 2 5 2 3 2 2 5 6" xfId="22648"/>
    <cellStyle name="Comma 2 5 2 3 2 2 5 7" xfId="23742"/>
    <cellStyle name="Comma 2 5 2 3 2 2 5 8" xfId="26970"/>
    <cellStyle name="Comma 2 5 2 3 2 2 5 9" xfId="30303"/>
    <cellStyle name="Comma 2 5 2 3 2 2 6" xfId="1317"/>
    <cellStyle name="Comma 2 5 2 3 2 2 6 10" xfId="33541"/>
    <cellStyle name="Comma 2 5 2 3 2 2 6 2" xfId="10087"/>
    <cellStyle name="Comma 2 5 2 3 2 2 6 2 2" xfId="25887"/>
    <cellStyle name="Comma 2 5 2 3 2 2 6 2 2 2" xfId="45314"/>
    <cellStyle name="Comma 2 5 2 3 2 2 6 2 2 3" xfId="38891"/>
    <cellStyle name="Comma 2 5 2 3 2 2 6 2 3" xfId="28065"/>
    <cellStyle name="Comma 2 5 2 3 2 2 6 2 3 2" xfId="42107"/>
    <cellStyle name="Comma 2 5 2 3 2 2 6 2 4" xfId="31400"/>
    <cellStyle name="Comma 2 5 2 3 2 2 6 2 5" xfId="35683"/>
    <cellStyle name="Comma 2 5 2 3 2 2 6 3" xfId="15769"/>
    <cellStyle name="Comma 2 5 2 3 2 2 6 3 2" xfId="24784"/>
    <cellStyle name="Comma 2 5 2 3 2 2 6 3 2 2" xfId="44213"/>
    <cellStyle name="Comma 2 5 2 3 2 2 6 3 2 3" xfId="37790"/>
    <cellStyle name="Comma 2 5 2 3 2 2 6 3 3" xfId="29105"/>
    <cellStyle name="Comma 2 5 2 3 2 2 6 3 3 2" xfId="41006"/>
    <cellStyle name="Comma 2 5 2 3 2 2 6 3 4" xfId="32440"/>
    <cellStyle name="Comma 2 5 2 3 2 2 6 3 5" xfId="34582"/>
    <cellStyle name="Comma 2 5 2 3 2 2 6 4" xfId="8587"/>
    <cellStyle name="Comma 2 5 2 3 2 2 6 4 2" xfId="43172"/>
    <cellStyle name="Comma 2 5 2 3 2 2 6 4 3" xfId="36748"/>
    <cellStyle name="Comma 2 5 2 3 2 2 6 5" xfId="21576"/>
    <cellStyle name="Comma 2 5 2 3 2 2 6 5 2" xfId="39965"/>
    <cellStyle name="Comma 2 5 2 3 2 2 6 6" xfId="22649"/>
    <cellStyle name="Comma 2 5 2 3 2 2 6 7" xfId="23743"/>
    <cellStyle name="Comma 2 5 2 3 2 2 6 8" xfId="26971"/>
    <cellStyle name="Comma 2 5 2 3 2 2 6 9" xfId="30304"/>
    <cellStyle name="Comma 2 5 2 3 2 2 7" xfId="9136"/>
    <cellStyle name="Comma 2 5 2 3 2 2 7 2" xfId="25190"/>
    <cellStyle name="Comma 2 5 2 3 2 2 7 2 2" xfId="44617"/>
    <cellStyle name="Comma 2 5 2 3 2 2 7 2 3" xfId="38194"/>
    <cellStyle name="Comma 2 5 2 3 2 2 7 3" xfId="27369"/>
    <cellStyle name="Comma 2 5 2 3 2 2 7 3 2" xfId="41410"/>
    <cellStyle name="Comma 2 5 2 3 2 2 7 4" xfId="30704"/>
    <cellStyle name="Comma 2 5 2 3 2 2 7 5" xfId="34986"/>
    <cellStyle name="Comma 2 5 2 3 2 2 8" xfId="15764"/>
    <cellStyle name="Comma 2 5 2 3 2 2 8 2" xfId="24779"/>
    <cellStyle name="Comma 2 5 2 3 2 2 8 2 2" xfId="44208"/>
    <cellStyle name="Comma 2 5 2 3 2 2 8 2 3" xfId="37785"/>
    <cellStyle name="Comma 2 5 2 3 2 2 8 3" xfId="29100"/>
    <cellStyle name="Comma 2 5 2 3 2 2 8 3 2" xfId="41001"/>
    <cellStyle name="Comma 2 5 2 3 2 2 8 4" xfId="32435"/>
    <cellStyle name="Comma 2 5 2 3 2 2 8 5" xfId="34577"/>
    <cellStyle name="Comma 2 5 2 3 2 2 9" xfId="8582"/>
    <cellStyle name="Comma 2 5 2 3 2 2 9 2" xfId="42480"/>
    <cellStyle name="Comma 2 5 2 3 2 2 9 3" xfId="36056"/>
    <cellStyle name="Comma 2 5 2 3 2 3" xfId="1318"/>
    <cellStyle name="Comma 2 5 2 3 2 3 10" xfId="22650"/>
    <cellStyle name="Comma 2 5 2 3 2 3 11" xfId="23744"/>
    <cellStyle name="Comma 2 5 2 3 2 3 12" xfId="26972"/>
    <cellStyle name="Comma 2 5 2 3 2 3 13" xfId="30305"/>
    <cellStyle name="Comma 2 5 2 3 2 3 14" xfId="33542"/>
    <cellStyle name="Comma 2 5 2 3 2 3 2" xfId="1319"/>
    <cellStyle name="Comma 2 5 2 3 2 3 2 10" xfId="33543"/>
    <cellStyle name="Comma 2 5 2 3 2 3 2 2" xfId="10089"/>
    <cellStyle name="Comma 2 5 2 3 2 3 2 2 2" xfId="25889"/>
    <cellStyle name="Comma 2 5 2 3 2 3 2 2 2 2" xfId="45316"/>
    <cellStyle name="Comma 2 5 2 3 2 3 2 2 2 3" xfId="38893"/>
    <cellStyle name="Comma 2 5 2 3 2 3 2 2 3" xfId="28067"/>
    <cellStyle name="Comma 2 5 2 3 2 3 2 2 3 2" xfId="42109"/>
    <cellStyle name="Comma 2 5 2 3 2 3 2 2 4" xfId="31402"/>
    <cellStyle name="Comma 2 5 2 3 2 3 2 2 5" xfId="35685"/>
    <cellStyle name="Comma 2 5 2 3 2 3 2 3" xfId="15771"/>
    <cellStyle name="Comma 2 5 2 3 2 3 2 3 2" xfId="24786"/>
    <cellStyle name="Comma 2 5 2 3 2 3 2 3 2 2" xfId="44215"/>
    <cellStyle name="Comma 2 5 2 3 2 3 2 3 2 3" xfId="37792"/>
    <cellStyle name="Comma 2 5 2 3 2 3 2 3 3" xfId="29107"/>
    <cellStyle name="Comma 2 5 2 3 2 3 2 3 3 2" xfId="41008"/>
    <cellStyle name="Comma 2 5 2 3 2 3 2 3 4" xfId="32442"/>
    <cellStyle name="Comma 2 5 2 3 2 3 2 3 5" xfId="34584"/>
    <cellStyle name="Comma 2 5 2 3 2 3 2 4" xfId="8589"/>
    <cellStyle name="Comma 2 5 2 3 2 3 2 4 2" xfId="43174"/>
    <cellStyle name="Comma 2 5 2 3 2 3 2 4 3" xfId="36750"/>
    <cellStyle name="Comma 2 5 2 3 2 3 2 5" xfId="21578"/>
    <cellStyle name="Comma 2 5 2 3 2 3 2 5 2" xfId="39967"/>
    <cellStyle name="Comma 2 5 2 3 2 3 2 6" xfId="22651"/>
    <cellStyle name="Comma 2 5 2 3 2 3 2 7" xfId="23745"/>
    <cellStyle name="Comma 2 5 2 3 2 3 2 8" xfId="26973"/>
    <cellStyle name="Comma 2 5 2 3 2 3 2 9" xfId="30306"/>
    <cellStyle name="Comma 2 5 2 3 2 3 3" xfId="1320"/>
    <cellStyle name="Comma 2 5 2 3 2 3 3 10" xfId="33544"/>
    <cellStyle name="Comma 2 5 2 3 2 3 3 2" xfId="10090"/>
    <cellStyle name="Comma 2 5 2 3 2 3 3 2 2" xfId="25890"/>
    <cellStyle name="Comma 2 5 2 3 2 3 3 2 2 2" xfId="45317"/>
    <cellStyle name="Comma 2 5 2 3 2 3 3 2 2 3" xfId="38894"/>
    <cellStyle name="Comma 2 5 2 3 2 3 3 2 3" xfId="28068"/>
    <cellStyle name="Comma 2 5 2 3 2 3 3 2 3 2" xfId="42110"/>
    <cellStyle name="Comma 2 5 2 3 2 3 3 2 4" xfId="31403"/>
    <cellStyle name="Comma 2 5 2 3 2 3 3 2 5" xfId="35686"/>
    <cellStyle name="Comma 2 5 2 3 2 3 3 3" xfId="15772"/>
    <cellStyle name="Comma 2 5 2 3 2 3 3 3 2" xfId="24787"/>
    <cellStyle name="Comma 2 5 2 3 2 3 3 3 2 2" xfId="44216"/>
    <cellStyle name="Comma 2 5 2 3 2 3 3 3 2 3" xfId="37793"/>
    <cellStyle name="Comma 2 5 2 3 2 3 3 3 3" xfId="29108"/>
    <cellStyle name="Comma 2 5 2 3 2 3 3 3 3 2" xfId="41009"/>
    <cellStyle name="Comma 2 5 2 3 2 3 3 3 4" xfId="32443"/>
    <cellStyle name="Comma 2 5 2 3 2 3 3 3 5" xfId="34585"/>
    <cellStyle name="Comma 2 5 2 3 2 3 3 4" xfId="8590"/>
    <cellStyle name="Comma 2 5 2 3 2 3 3 4 2" xfId="43175"/>
    <cellStyle name="Comma 2 5 2 3 2 3 3 4 3" xfId="36751"/>
    <cellStyle name="Comma 2 5 2 3 2 3 3 5" xfId="21579"/>
    <cellStyle name="Comma 2 5 2 3 2 3 3 5 2" xfId="39968"/>
    <cellStyle name="Comma 2 5 2 3 2 3 3 6" xfId="22652"/>
    <cellStyle name="Comma 2 5 2 3 2 3 3 7" xfId="23746"/>
    <cellStyle name="Comma 2 5 2 3 2 3 3 8" xfId="26974"/>
    <cellStyle name="Comma 2 5 2 3 2 3 3 9" xfId="30307"/>
    <cellStyle name="Comma 2 5 2 3 2 3 4" xfId="1321"/>
    <cellStyle name="Comma 2 5 2 3 2 3 4 10" xfId="33545"/>
    <cellStyle name="Comma 2 5 2 3 2 3 4 2" xfId="10091"/>
    <cellStyle name="Comma 2 5 2 3 2 3 4 2 2" xfId="25891"/>
    <cellStyle name="Comma 2 5 2 3 2 3 4 2 2 2" xfId="45318"/>
    <cellStyle name="Comma 2 5 2 3 2 3 4 2 2 3" xfId="38895"/>
    <cellStyle name="Comma 2 5 2 3 2 3 4 2 3" xfId="28069"/>
    <cellStyle name="Comma 2 5 2 3 2 3 4 2 3 2" xfId="42111"/>
    <cellStyle name="Comma 2 5 2 3 2 3 4 2 4" xfId="31404"/>
    <cellStyle name="Comma 2 5 2 3 2 3 4 2 5" xfId="35687"/>
    <cellStyle name="Comma 2 5 2 3 2 3 4 3" xfId="15773"/>
    <cellStyle name="Comma 2 5 2 3 2 3 4 3 2" xfId="24788"/>
    <cellStyle name="Comma 2 5 2 3 2 3 4 3 2 2" xfId="44217"/>
    <cellStyle name="Comma 2 5 2 3 2 3 4 3 2 3" xfId="37794"/>
    <cellStyle name="Comma 2 5 2 3 2 3 4 3 3" xfId="29109"/>
    <cellStyle name="Comma 2 5 2 3 2 3 4 3 3 2" xfId="41010"/>
    <cellStyle name="Comma 2 5 2 3 2 3 4 3 4" xfId="32444"/>
    <cellStyle name="Comma 2 5 2 3 2 3 4 3 5" xfId="34586"/>
    <cellStyle name="Comma 2 5 2 3 2 3 4 4" xfId="8591"/>
    <cellStyle name="Comma 2 5 2 3 2 3 4 4 2" xfId="43176"/>
    <cellStyle name="Comma 2 5 2 3 2 3 4 4 3" xfId="36752"/>
    <cellStyle name="Comma 2 5 2 3 2 3 4 5" xfId="21580"/>
    <cellStyle name="Comma 2 5 2 3 2 3 4 5 2" xfId="39969"/>
    <cellStyle name="Comma 2 5 2 3 2 3 4 6" xfId="22653"/>
    <cellStyle name="Comma 2 5 2 3 2 3 4 7" xfId="23747"/>
    <cellStyle name="Comma 2 5 2 3 2 3 4 8" xfId="26975"/>
    <cellStyle name="Comma 2 5 2 3 2 3 4 9" xfId="30308"/>
    <cellStyle name="Comma 2 5 2 3 2 3 5" xfId="1322"/>
    <cellStyle name="Comma 2 5 2 3 2 3 5 10" xfId="33546"/>
    <cellStyle name="Comma 2 5 2 3 2 3 5 2" xfId="10092"/>
    <cellStyle name="Comma 2 5 2 3 2 3 5 2 2" xfId="25892"/>
    <cellStyle name="Comma 2 5 2 3 2 3 5 2 2 2" xfId="45319"/>
    <cellStyle name="Comma 2 5 2 3 2 3 5 2 2 3" xfId="38896"/>
    <cellStyle name="Comma 2 5 2 3 2 3 5 2 3" xfId="28070"/>
    <cellStyle name="Comma 2 5 2 3 2 3 5 2 3 2" xfId="42112"/>
    <cellStyle name="Comma 2 5 2 3 2 3 5 2 4" xfId="31405"/>
    <cellStyle name="Comma 2 5 2 3 2 3 5 2 5" xfId="35688"/>
    <cellStyle name="Comma 2 5 2 3 2 3 5 3" xfId="15774"/>
    <cellStyle name="Comma 2 5 2 3 2 3 5 3 2" xfId="24789"/>
    <cellStyle name="Comma 2 5 2 3 2 3 5 3 2 2" xfId="44218"/>
    <cellStyle name="Comma 2 5 2 3 2 3 5 3 2 3" xfId="37795"/>
    <cellStyle name="Comma 2 5 2 3 2 3 5 3 3" xfId="29110"/>
    <cellStyle name="Comma 2 5 2 3 2 3 5 3 3 2" xfId="41011"/>
    <cellStyle name="Comma 2 5 2 3 2 3 5 3 4" xfId="32445"/>
    <cellStyle name="Comma 2 5 2 3 2 3 5 3 5" xfId="34587"/>
    <cellStyle name="Comma 2 5 2 3 2 3 5 4" xfId="8592"/>
    <cellStyle name="Comma 2 5 2 3 2 3 5 4 2" xfId="43177"/>
    <cellStyle name="Comma 2 5 2 3 2 3 5 4 3" xfId="36753"/>
    <cellStyle name="Comma 2 5 2 3 2 3 5 5" xfId="21581"/>
    <cellStyle name="Comma 2 5 2 3 2 3 5 5 2" xfId="39970"/>
    <cellStyle name="Comma 2 5 2 3 2 3 5 6" xfId="22654"/>
    <cellStyle name="Comma 2 5 2 3 2 3 5 7" xfId="23748"/>
    <cellStyle name="Comma 2 5 2 3 2 3 5 8" xfId="26976"/>
    <cellStyle name="Comma 2 5 2 3 2 3 5 9" xfId="30309"/>
    <cellStyle name="Comma 2 5 2 3 2 3 6" xfId="10088"/>
    <cellStyle name="Comma 2 5 2 3 2 3 6 2" xfId="25888"/>
    <cellStyle name="Comma 2 5 2 3 2 3 6 2 2" xfId="45315"/>
    <cellStyle name="Comma 2 5 2 3 2 3 6 2 3" xfId="38892"/>
    <cellStyle name="Comma 2 5 2 3 2 3 6 3" xfId="28066"/>
    <cellStyle name="Comma 2 5 2 3 2 3 6 3 2" xfId="42108"/>
    <cellStyle name="Comma 2 5 2 3 2 3 6 4" xfId="31401"/>
    <cellStyle name="Comma 2 5 2 3 2 3 6 5" xfId="35684"/>
    <cellStyle name="Comma 2 5 2 3 2 3 7" xfId="15770"/>
    <cellStyle name="Comma 2 5 2 3 2 3 7 2" xfId="24785"/>
    <cellStyle name="Comma 2 5 2 3 2 3 7 2 2" xfId="44214"/>
    <cellStyle name="Comma 2 5 2 3 2 3 7 2 3" xfId="37791"/>
    <cellStyle name="Comma 2 5 2 3 2 3 7 3" xfId="29106"/>
    <cellStyle name="Comma 2 5 2 3 2 3 7 3 2" xfId="41007"/>
    <cellStyle name="Comma 2 5 2 3 2 3 7 4" xfId="32441"/>
    <cellStyle name="Comma 2 5 2 3 2 3 7 5" xfId="34583"/>
    <cellStyle name="Comma 2 5 2 3 2 3 8" xfId="8588"/>
    <cellStyle name="Comma 2 5 2 3 2 3 8 2" xfId="43173"/>
    <cellStyle name="Comma 2 5 2 3 2 3 8 3" xfId="36749"/>
    <cellStyle name="Comma 2 5 2 3 2 3 9" xfId="21577"/>
    <cellStyle name="Comma 2 5 2 3 2 3 9 2" xfId="39966"/>
    <cellStyle name="Comma 2 5 2 3 2 4" xfId="1323"/>
    <cellStyle name="Comma 2 5 2 3 2 4 10" xfId="33547"/>
    <cellStyle name="Comma 2 5 2 3 2 4 2" xfId="10093"/>
    <cellStyle name="Comma 2 5 2 3 2 4 2 2" xfId="25893"/>
    <cellStyle name="Comma 2 5 2 3 2 4 2 2 2" xfId="45320"/>
    <cellStyle name="Comma 2 5 2 3 2 4 2 2 3" xfId="38897"/>
    <cellStyle name="Comma 2 5 2 3 2 4 2 3" xfId="28071"/>
    <cellStyle name="Comma 2 5 2 3 2 4 2 3 2" xfId="42113"/>
    <cellStyle name="Comma 2 5 2 3 2 4 2 4" xfId="31406"/>
    <cellStyle name="Comma 2 5 2 3 2 4 2 5" xfId="35689"/>
    <cellStyle name="Comma 2 5 2 3 2 4 3" xfId="15775"/>
    <cellStyle name="Comma 2 5 2 3 2 4 3 2" xfId="24790"/>
    <cellStyle name="Comma 2 5 2 3 2 4 3 2 2" xfId="44219"/>
    <cellStyle name="Comma 2 5 2 3 2 4 3 2 3" xfId="37796"/>
    <cellStyle name="Comma 2 5 2 3 2 4 3 3" xfId="29111"/>
    <cellStyle name="Comma 2 5 2 3 2 4 3 3 2" xfId="41012"/>
    <cellStyle name="Comma 2 5 2 3 2 4 3 4" xfId="32446"/>
    <cellStyle name="Comma 2 5 2 3 2 4 3 5" xfId="34588"/>
    <cellStyle name="Comma 2 5 2 3 2 4 4" xfId="8593"/>
    <cellStyle name="Comma 2 5 2 3 2 4 4 2" xfId="43178"/>
    <cellStyle name="Comma 2 5 2 3 2 4 4 3" xfId="36754"/>
    <cellStyle name="Comma 2 5 2 3 2 4 5" xfId="21582"/>
    <cellStyle name="Comma 2 5 2 3 2 4 5 2" xfId="39971"/>
    <cellStyle name="Comma 2 5 2 3 2 4 6" xfId="22655"/>
    <cellStyle name="Comma 2 5 2 3 2 4 7" xfId="23749"/>
    <cellStyle name="Comma 2 5 2 3 2 4 8" xfId="26977"/>
    <cellStyle name="Comma 2 5 2 3 2 4 9" xfId="30310"/>
    <cellStyle name="Comma 2 5 2 3 2 5" xfId="1324"/>
    <cellStyle name="Comma 2 5 2 3 2 5 10" xfId="33548"/>
    <cellStyle name="Comma 2 5 2 3 2 5 2" xfId="10094"/>
    <cellStyle name="Comma 2 5 2 3 2 5 2 2" xfId="25894"/>
    <cellStyle name="Comma 2 5 2 3 2 5 2 2 2" xfId="45321"/>
    <cellStyle name="Comma 2 5 2 3 2 5 2 2 3" xfId="38898"/>
    <cellStyle name="Comma 2 5 2 3 2 5 2 3" xfId="28072"/>
    <cellStyle name="Comma 2 5 2 3 2 5 2 3 2" xfId="42114"/>
    <cellStyle name="Comma 2 5 2 3 2 5 2 4" xfId="31407"/>
    <cellStyle name="Comma 2 5 2 3 2 5 2 5" xfId="35690"/>
    <cellStyle name="Comma 2 5 2 3 2 5 3" xfId="15776"/>
    <cellStyle name="Comma 2 5 2 3 2 5 3 2" xfId="24791"/>
    <cellStyle name="Comma 2 5 2 3 2 5 3 2 2" xfId="44220"/>
    <cellStyle name="Comma 2 5 2 3 2 5 3 2 3" xfId="37797"/>
    <cellStyle name="Comma 2 5 2 3 2 5 3 3" xfId="29112"/>
    <cellStyle name="Comma 2 5 2 3 2 5 3 3 2" xfId="41013"/>
    <cellStyle name="Comma 2 5 2 3 2 5 3 4" xfId="32447"/>
    <cellStyle name="Comma 2 5 2 3 2 5 3 5" xfId="34589"/>
    <cellStyle name="Comma 2 5 2 3 2 5 4" xfId="8594"/>
    <cellStyle name="Comma 2 5 2 3 2 5 4 2" xfId="43179"/>
    <cellStyle name="Comma 2 5 2 3 2 5 4 3" xfId="36755"/>
    <cellStyle name="Comma 2 5 2 3 2 5 5" xfId="21583"/>
    <cellStyle name="Comma 2 5 2 3 2 5 5 2" xfId="39972"/>
    <cellStyle name="Comma 2 5 2 3 2 5 6" xfId="22656"/>
    <cellStyle name="Comma 2 5 2 3 2 5 7" xfId="23750"/>
    <cellStyle name="Comma 2 5 2 3 2 5 8" xfId="26978"/>
    <cellStyle name="Comma 2 5 2 3 2 5 9" xfId="30311"/>
    <cellStyle name="Comma 2 5 2 3 2 6" xfId="1325"/>
    <cellStyle name="Comma 2 5 2 3 2 6 10" xfId="33549"/>
    <cellStyle name="Comma 2 5 2 3 2 6 2" xfId="10095"/>
    <cellStyle name="Comma 2 5 2 3 2 6 2 2" xfId="25895"/>
    <cellStyle name="Comma 2 5 2 3 2 6 2 2 2" xfId="45322"/>
    <cellStyle name="Comma 2 5 2 3 2 6 2 2 3" xfId="38899"/>
    <cellStyle name="Comma 2 5 2 3 2 6 2 3" xfId="28073"/>
    <cellStyle name="Comma 2 5 2 3 2 6 2 3 2" xfId="42115"/>
    <cellStyle name="Comma 2 5 2 3 2 6 2 4" xfId="31408"/>
    <cellStyle name="Comma 2 5 2 3 2 6 2 5" xfId="35691"/>
    <cellStyle name="Comma 2 5 2 3 2 6 3" xfId="15777"/>
    <cellStyle name="Comma 2 5 2 3 2 6 3 2" xfId="24792"/>
    <cellStyle name="Comma 2 5 2 3 2 6 3 2 2" xfId="44221"/>
    <cellStyle name="Comma 2 5 2 3 2 6 3 2 3" xfId="37798"/>
    <cellStyle name="Comma 2 5 2 3 2 6 3 3" xfId="29113"/>
    <cellStyle name="Comma 2 5 2 3 2 6 3 3 2" xfId="41014"/>
    <cellStyle name="Comma 2 5 2 3 2 6 3 4" xfId="32448"/>
    <cellStyle name="Comma 2 5 2 3 2 6 3 5" xfId="34590"/>
    <cellStyle name="Comma 2 5 2 3 2 6 4" xfId="8595"/>
    <cellStyle name="Comma 2 5 2 3 2 6 4 2" xfId="43180"/>
    <cellStyle name="Comma 2 5 2 3 2 6 4 3" xfId="36756"/>
    <cellStyle name="Comma 2 5 2 3 2 6 5" xfId="21584"/>
    <cellStyle name="Comma 2 5 2 3 2 6 5 2" xfId="39973"/>
    <cellStyle name="Comma 2 5 2 3 2 6 6" xfId="22657"/>
    <cellStyle name="Comma 2 5 2 3 2 6 7" xfId="23751"/>
    <cellStyle name="Comma 2 5 2 3 2 6 8" xfId="26979"/>
    <cellStyle name="Comma 2 5 2 3 2 6 9" xfId="30312"/>
    <cellStyle name="Comma 2 5 2 3 2 7" xfId="1326"/>
    <cellStyle name="Comma 2 5 2 3 2 7 10" xfId="33550"/>
    <cellStyle name="Comma 2 5 2 3 2 7 2" xfId="10096"/>
    <cellStyle name="Comma 2 5 2 3 2 7 2 2" xfId="25896"/>
    <cellStyle name="Comma 2 5 2 3 2 7 2 2 2" xfId="45323"/>
    <cellStyle name="Comma 2 5 2 3 2 7 2 2 3" xfId="38900"/>
    <cellStyle name="Comma 2 5 2 3 2 7 2 3" xfId="28074"/>
    <cellStyle name="Comma 2 5 2 3 2 7 2 3 2" xfId="42116"/>
    <cellStyle name="Comma 2 5 2 3 2 7 2 4" xfId="31409"/>
    <cellStyle name="Comma 2 5 2 3 2 7 2 5" xfId="35692"/>
    <cellStyle name="Comma 2 5 2 3 2 7 3" xfId="15778"/>
    <cellStyle name="Comma 2 5 2 3 2 7 3 2" xfId="24793"/>
    <cellStyle name="Comma 2 5 2 3 2 7 3 2 2" xfId="44222"/>
    <cellStyle name="Comma 2 5 2 3 2 7 3 2 3" xfId="37799"/>
    <cellStyle name="Comma 2 5 2 3 2 7 3 3" xfId="29114"/>
    <cellStyle name="Comma 2 5 2 3 2 7 3 3 2" xfId="41015"/>
    <cellStyle name="Comma 2 5 2 3 2 7 3 4" xfId="32449"/>
    <cellStyle name="Comma 2 5 2 3 2 7 3 5" xfId="34591"/>
    <cellStyle name="Comma 2 5 2 3 2 7 4" xfId="8596"/>
    <cellStyle name="Comma 2 5 2 3 2 7 4 2" xfId="43181"/>
    <cellStyle name="Comma 2 5 2 3 2 7 4 3" xfId="36757"/>
    <cellStyle name="Comma 2 5 2 3 2 7 5" xfId="21585"/>
    <cellStyle name="Comma 2 5 2 3 2 7 5 2" xfId="39974"/>
    <cellStyle name="Comma 2 5 2 3 2 7 6" xfId="22658"/>
    <cellStyle name="Comma 2 5 2 3 2 7 7" xfId="23752"/>
    <cellStyle name="Comma 2 5 2 3 2 7 8" xfId="26980"/>
    <cellStyle name="Comma 2 5 2 3 2 7 9" xfId="30313"/>
    <cellStyle name="Comma 2 5 2 3 2 8" xfId="1327"/>
    <cellStyle name="Comma 2 5 2 3 2 8 10" xfId="33551"/>
    <cellStyle name="Comma 2 5 2 3 2 8 2" xfId="10097"/>
    <cellStyle name="Comma 2 5 2 3 2 8 2 2" xfId="25897"/>
    <cellStyle name="Comma 2 5 2 3 2 8 2 2 2" xfId="45324"/>
    <cellStyle name="Comma 2 5 2 3 2 8 2 2 3" xfId="38901"/>
    <cellStyle name="Comma 2 5 2 3 2 8 2 3" xfId="28075"/>
    <cellStyle name="Comma 2 5 2 3 2 8 2 3 2" xfId="42117"/>
    <cellStyle name="Comma 2 5 2 3 2 8 2 4" xfId="31410"/>
    <cellStyle name="Comma 2 5 2 3 2 8 2 5" xfId="35693"/>
    <cellStyle name="Comma 2 5 2 3 2 8 3" xfId="15779"/>
    <cellStyle name="Comma 2 5 2 3 2 8 3 2" xfId="24794"/>
    <cellStyle name="Comma 2 5 2 3 2 8 3 2 2" xfId="44223"/>
    <cellStyle name="Comma 2 5 2 3 2 8 3 2 3" xfId="37800"/>
    <cellStyle name="Comma 2 5 2 3 2 8 3 3" xfId="29115"/>
    <cellStyle name="Comma 2 5 2 3 2 8 3 3 2" xfId="41016"/>
    <cellStyle name="Comma 2 5 2 3 2 8 3 4" xfId="32450"/>
    <cellStyle name="Comma 2 5 2 3 2 8 3 5" xfId="34592"/>
    <cellStyle name="Comma 2 5 2 3 2 8 4" xfId="8597"/>
    <cellStyle name="Comma 2 5 2 3 2 8 4 2" xfId="43182"/>
    <cellStyle name="Comma 2 5 2 3 2 8 4 3" xfId="36758"/>
    <cellStyle name="Comma 2 5 2 3 2 8 5" xfId="21586"/>
    <cellStyle name="Comma 2 5 2 3 2 8 5 2" xfId="39975"/>
    <cellStyle name="Comma 2 5 2 3 2 8 6" xfId="22659"/>
    <cellStyle name="Comma 2 5 2 3 2 8 7" xfId="23753"/>
    <cellStyle name="Comma 2 5 2 3 2 8 8" xfId="26981"/>
    <cellStyle name="Comma 2 5 2 3 2 8 9" xfId="30314"/>
    <cellStyle name="Comma 2 5 2 3 2 9" xfId="9135"/>
    <cellStyle name="Comma 2 5 2 3 2 9 2" xfId="25189"/>
    <cellStyle name="Comma 2 5 2 3 2 9 2 2" xfId="44616"/>
    <cellStyle name="Comma 2 5 2 3 2 9 2 3" xfId="38193"/>
    <cellStyle name="Comma 2 5 2 3 2 9 3" xfId="27368"/>
    <cellStyle name="Comma 2 5 2 3 2 9 3 2" xfId="41409"/>
    <cellStyle name="Comma 2 5 2 3 2 9 4" xfId="30703"/>
    <cellStyle name="Comma 2 5 2 3 2 9 5" xfId="34985"/>
    <cellStyle name="Comma 2 5 2 3 3" xfId="281"/>
    <cellStyle name="Comma 2 5 2 3 3 10" xfId="21587"/>
    <cellStyle name="Comma 2 5 2 3 3 10 2" xfId="39274"/>
    <cellStyle name="Comma 2 5 2 3 3 11" xfId="22660"/>
    <cellStyle name="Comma 2 5 2 3 3 12" xfId="23052"/>
    <cellStyle name="Comma 2 5 2 3 3 13" xfId="26982"/>
    <cellStyle name="Comma 2 5 2 3 3 14" xfId="30315"/>
    <cellStyle name="Comma 2 5 2 3 3 15" xfId="32850"/>
    <cellStyle name="Comma 2 5 2 3 3 2" xfId="1328"/>
    <cellStyle name="Comma 2 5 2 3 3 2 10" xfId="33552"/>
    <cellStyle name="Comma 2 5 2 3 3 2 2" xfId="10098"/>
    <cellStyle name="Comma 2 5 2 3 3 2 2 2" xfId="25898"/>
    <cellStyle name="Comma 2 5 2 3 3 2 2 2 2" xfId="45325"/>
    <cellStyle name="Comma 2 5 2 3 3 2 2 2 3" xfId="38902"/>
    <cellStyle name="Comma 2 5 2 3 3 2 2 3" xfId="28076"/>
    <cellStyle name="Comma 2 5 2 3 3 2 2 3 2" xfId="42118"/>
    <cellStyle name="Comma 2 5 2 3 3 2 2 4" xfId="31411"/>
    <cellStyle name="Comma 2 5 2 3 3 2 2 5" xfId="35694"/>
    <cellStyle name="Comma 2 5 2 3 3 2 3" xfId="15781"/>
    <cellStyle name="Comma 2 5 2 3 3 2 3 2" xfId="24796"/>
    <cellStyle name="Comma 2 5 2 3 3 2 3 2 2" xfId="44225"/>
    <cellStyle name="Comma 2 5 2 3 3 2 3 2 3" xfId="37802"/>
    <cellStyle name="Comma 2 5 2 3 3 2 3 3" xfId="29117"/>
    <cellStyle name="Comma 2 5 2 3 3 2 3 3 2" xfId="41018"/>
    <cellStyle name="Comma 2 5 2 3 3 2 3 4" xfId="32452"/>
    <cellStyle name="Comma 2 5 2 3 3 2 3 5" xfId="34594"/>
    <cellStyle name="Comma 2 5 2 3 3 2 4" xfId="8599"/>
    <cellStyle name="Comma 2 5 2 3 3 2 4 2" xfId="43183"/>
    <cellStyle name="Comma 2 5 2 3 3 2 4 3" xfId="36759"/>
    <cellStyle name="Comma 2 5 2 3 3 2 5" xfId="21588"/>
    <cellStyle name="Comma 2 5 2 3 3 2 5 2" xfId="39976"/>
    <cellStyle name="Comma 2 5 2 3 3 2 6" xfId="22661"/>
    <cellStyle name="Comma 2 5 2 3 3 2 7" xfId="23754"/>
    <cellStyle name="Comma 2 5 2 3 3 2 8" xfId="26983"/>
    <cellStyle name="Comma 2 5 2 3 3 2 9" xfId="30316"/>
    <cellStyle name="Comma 2 5 2 3 3 3" xfId="1329"/>
    <cellStyle name="Comma 2 5 2 3 3 3 10" xfId="33553"/>
    <cellStyle name="Comma 2 5 2 3 3 3 2" xfId="10099"/>
    <cellStyle name="Comma 2 5 2 3 3 3 2 2" xfId="25899"/>
    <cellStyle name="Comma 2 5 2 3 3 3 2 2 2" xfId="45326"/>
    <cellStyle name="Comma 2 5 2 3 3 3 2 2 3" xfId="38903"/>
    <cellStyle name="Comma 2 5 2 3 3 3 2 3" xfId="28077"/>
    <cellStyle name="Comma 2 5 2 3 3 3 2 3 2" xfId="42119"/>
    <cellStyle name="Comma 2 5 2 3 3 3 2 4" xfId="31412"/>
    <cellStyle name="Comma 2 5 2 3 3 3 2 5" xfId="35695"/>
    <cellStyle name="Comma 2 5 2 3 3 3 3" xfId="15782"/>
    <cellStyle name="Comma 2 5 2 3 3 3 3 2" xfId="24797"/>
    <cellStyle name="Comma 2 5 2 3 3 3 3 2 2" xfId="44226"/>
    <cellStyle name="Comma 2 5 2 3 3 3 3 2 3" xfId="37803"/>
    <cellStyle name="Comma 2 5 2 3 3 3 3 3" xfId="29118"/>
    <cellStyle name="Comma 2 5 2 3 3 3 3 3 2" xfId="41019"/>
    <cellStyle name="Comma 2 5 2 3 3 3 3 4" xfId="32453"/>
    <cellStyle name="Comma 2 5 2 3 3 3 3 5" xfId="34595"/>
    <cellStyle name="Comma 2 5 2 3 3 3 4" xfId="8600"/>
    <cellStyle name="Comma 2 5 2 3 3 3 4 2" xfId="43184"/>
    <cellStyle name="Comma 2 5 2 3 3 3 4 3" xfId="36760"/>
    <cellStyle name="Comma 2 5 2 3 3 3 5" xfId="21589"/>
    <cellStyle name="Comma 2 5 2 3 3 3 5 2" xfId="39977"/>
    <cellStyle name="Comma 2 5 2 3 3 3 6" xfId="22662"/>
    <cellStyle name="Comma 2 5 2 3 3 3 7" xfId="23755"/>
    <cellStyle name="Comma 2 5 2 3 3 3 8" xfId="26984"/>
    <cellStyle name="Comma 2 5 2 3 3 3 9" xfId="30317"/>
    <cellStyle name="Comma 2 5 2 3 3 4" xfId="1330"/>
    <cellStyle name="Comma 2 5 2 3 3 4 10" xfId="33554"/>
    <cellStyle name="Comma 2 5 2 3 3 4 2" xfId="10100"/>
    <cellStyle name="Comma 2 5 2 3 3 4 2 2" xfId="25900"/>
    <cellStyle name="Comma 2 5 2 3 3 4 2 2 2" xfId="45327"/>
    <cellStyle name="Comma 2 5 2 3 3 4 2 2 3" xfId="38904"/>
    <cellStyle name="Comma 2 5 2 3 3 4 2 3" xfId="28078"/>
    <cellStyle name="Comma 2 5 2 3 3 4 2 3 2" xfId="42120"/>
    <cellStyle name="Comma 2 5 2 3 3 4 2 4" xfId="31413"/>
    <cellStyle name="Comma 2 5 2 3 3 4 2 5" xfId="35696"/>
    <cellStyle name="Comma 2 5 2 3 3 4 3" xfId="15783"/>
    <cellStyle name="Comma 2 5 2 3 3 4 3 2" xfId="24798"/>
    <cellStyle name="Comma 2 5 2 3 3 4 3 2 2" xfId="44227"/>
    <cellStyle name="Comma 2 5 2 3 3 4 3 2 3" xfId="37804"/>
    <cellStyle name="Comma 2 5 2 3 3 4 3 3" xfId="29119"/>
    <cellStyle name="Comma 2 5 2 3 3 4 3 3 2" xfId="41020"/>
    <cellStyle name="Comma 2 5 2 3 3 4 3 4" xfId="32454"/>
    <cellStyle name="Comma 2 5 2 3 3 4 3 5" xfId="34596"/>
    <cellStyle name="Comma 2 5 2 3 3 4 4" xfId="8601"/>
    <cellStyle name="Comma 2 5 2 3 3 4 4 2" xfId="43185"/>
    <cellStyle name="Comma 2 5 2 3 3 4 4 3" xfId="36761"/>
    <cellStyle name="Comma 2 5 2 3 3 4 5" xfId="21590"/>
    <cellStyle name="Comma 2 5 2 3 3 4 5 2" xfId="39978"/>
    <cellStyle name="Comma 2 5 2 3 3 4 6" xfId="22663"/>
    <cellStyle name="Comma 2 5 2 3 3 4 7" xfId="23756"/>
    <cellStyle name="Comma 2 5 2 3 3 4 8" xfId="26985"/>
    <cellStyle name="Comma 2 5 2 3 3 4 9" xfId="30318"/>
    <cellStyle name="Comma 2 5 2 3 3 5" xfId="1331"/>
    <cellStyle name="Comma 2 5 2 3 3 5 10" xfId="33555"/>
    <cellStyle name="Comma 2 5 2 3 3 5 2" xfId="10101"/>
    <cellStyle name="Comma 2 5 2 3 3 5 2 2" xfId="25901"/>
    <cellStyle name="Comma 2 5 2 3 3 5 2 2 2" xfId="45328"/>
    <cellStyle name="Comma 2 5 2 3 3 5 2 2 3" xfId="38905"/>
    <cellStyle name="Comma 2 5 2 3 3 5 2 3" xfId="28079"/>
    <cellStyle name="Comma 2 5 2 3 3 5 2 3 2" xfId="42121"/>
    <cellStyle name="Comma 2 5 2 3 3 5 2 4" xfId="31414"/>
    <cellStyle name="Comma 2 5 2 3 3 5 2 5" xfId="35697"/>
    <cellStyle name="Comma 2 5 2 3 3 5 3" xfId="15784"/>
    <cellStyle name="Comma 2 5 2 3 3 5 3 2" xfId="24799"/>
    <cellStyle name="Comma 2 5 2 3 3 5 3 2 2" xfId="44228"/>
    <cellStyle name="Comma 2 5 2 3 3 5 3 2 3" xfId="37805"/>
    <cellStyle name="Comma 2 5 2 3 3 5 3 3" xfId="29120"/>
    <cellStyle name="Comma 2 5 2 3 3 5 3 3 2" xfId="41021"/>
    <cellStyle name="Comma 2 5 2 3 3 5 3 4" xfId="32455"/>
    <cellStyle name="Comma 2 5 2 3 3 5 3 5" xfId="34597"/>
    <cellStyle name="Comma 2 5 2 3 3 5 4" xfId="8602"/>
    <cellStyle name="Comma 2 5 2 3 3 5 4 2" xfId="43186"/>
    <cellStyle name="Comma 2 5 2 3 3 5 4 3" xfId="36762"/>
    <cellStyle name="Comma 2 5 2 3 3 5 5" xfId="21591"/>
    <cellStyle name="Comma 2 5 2 3 3 5 5 2" xfId="39979"/>
    <cellStyle name="Comma 2 5 2 3 3 5 6" xfId="22664"/>
    <cellStyle name="Comma 2 5 2 3 3 5 7" xfId="23757"/>
    <cellStyle name="Comma 2 5 2 3 3 5 8" xfId="26986"/>
    <cellStyle name="Comma 2 5 2 3 3 5 9" xfId="30319"/>
    <cellStyle name="Comma 2 5 2 3 3 6" xfId="1332"/>
    <cellStyle name="Comma 2 5 2 3 3 6 10" xfId="33556"/>
    <cellStyle name="Comma 2 5 2 3 3 6 2" xfId="10102"/>
    <cellStyle name="Comma 2 5 2 3 3 6 2 2" xfId="25902"/>
    <cellStyle name="Comma 2 5 2 3 3 6 2 2 2" xfId="45329"/>
    <cellStyle name="Comma 2 5 2 3 3 6 2 2 3" xfId="38906"/>
    <cellStyle name="Comma 2 5 2 3 3 6 2 3" xfId="28080"/>
    <cellStyle name="Comma 2 5 2 3 3 6 2 3 2" xfId="42122"/>
    <cellStyle name="Comma 2 5 2 3 3 6 2 4" xfId="31415"/>
    <cellStyle name="Comma 2 5 2 3 3 6 2 5" xfId="35698"/>
    <cellStyle name="Comma 2 5 2 3 3 6 3" xfId="15785"/>
    <cellStyle name="Comma 2 5 2 3 3 6 3 2" xfId="24800"/>
    <cellStyle name="Comma 2 5 2 3 3 6 3 2 2" xfId="44229"/>
    <cellStyle name="Comma 2 5 2 3 3 6 3 2 3" xfId="37806"/>
    <cellStyle name="Comma 2 5 2 3 3 6 3 3" xfId="29121"/>
    <cellStyle name="Comma 2 5 2 3 3 6 3 3 2" xfId="41022"/>
    <cellStyle name="Comma 2 5 2 3 3 6 3 4" xfId="32456"/>
    <cellStyle name="Comma 2 5 2 3 3 6 3 5" xfId="34598"/>
    <cellStyle name="Comma 2 5 2 3 3 6 4" xfId="8603"/>
    <cellStyle name="Comma 2 5 2 3 3 6 4 2" xfId="43187"/>
    <cellStyle name="Comma 2 5 2 3 3 6 4 3" xfId="36763"/>
    <cellStyle name="Comma 2 5 2 3 3 6 5" xfId="21592"/>
    <cellStyle name="Comma 2 5 2 3 3 6 5 2" xfId="39980"/>
    <cellStyle name="Comma 2 5 2 3 3 6 6" xfId="22665"/>
    <cellStyle name="Comma 2 5 2 3 3 6 7" xfId="23758"/>
    <cellStyle name="Comma 2 5 2 3 3 6 8" xfId="26987"/>
    <cellStyle name="Comma 2 5 2 3 3 6 9" xfId="30320"/>
    <cellStyle name="Comma 2 5 2 3 3 7" xfId="9137"/>
    <cellStyle name="Comma 2 5 2 3 3 7 2" xfId="25191"/>
    <cellStyle name="Comma 2 5 2 3 3 7 2 2" xfId="44618"/>
    <cellStyle name="Comma 2 5 2 3 3 7 2 3" xfId="38195"/>
    <cellStyle name="Comma 2 5 2 3 3 7 3" xfId="27370"/>
    <cellStyle name="Comma 2 5 2 3 3 7 3 2" xfId="41411"/>
    <cellStyle name="Comma 2 5 2 3 3 7 4" xfId="30705"/>
    <cellStyle name="Comma 2 5 2 3 3 7 5" xfId="34987"/>
    <cellStyle name="Comma 2 5 2 3 3 8" xfId="15780"/>
    <cellStyle name="Comma 2 5 2 3 3 8 2" xfId="24795"/>
    <cellStyle name="Comma 2 5 2 3 3 8 2 2" xfId="44224"/>
    <cellStyle name="Comma 2 5 2 3 3 8 2 3" xfId="37801"/>
    <cellStyle name="Comma 2 5 2 3 3 8 3" xfId="29116"/>
    <cellStyle name="Comma 2 5 2 3 3 8 3 2" xfId="41017"/>
    <cellStyle name="Comma 2 5 2 3 3 8 4" xfId="32451"/>
    <cellStyle name="Comma 2 5 2 3 3 8 5" xfId="34593"/>
    <cellStyle name="Comma 2 5 2 3 3 9" xfId="8598"/>
    <cellStyle name="Comma 2 5 2 3 3 9 2" xfId="42481"/>
    <cellStyle name="Comma 2 5 2 3 3 9 3" xfId="36057"/>
    <cellStyle name="Comma 2 5 2 3 4" xfId="1333"/>
    <cellStyle name="Comma 2 5 2 3 4 10" xfId="22666"/>
    <cellStyle name="Comma 2 5 2 3 4 11" xfId="23759"/>
    <cellStyle name="Comma 2 5 2 3 4 12" xfId="26988"/>
    <cellStyle name="Comma 2 5 2 3 4 13" xfId="30321"/>
    <cellStyle name="Comma 2 5 2 3 4 14" xfId="33557"/>
    <cellStyle name="Comma 2 5 2 3 4 2" xfId="1334"/>
    <cellStyle name="Comma 2 5 2 3 4 2 10" xfId="33558"/>
    <cellStyle name="Comma 2 5 2 3 4 2 2" xfId="10104"/>
    <cellStyle name="Comma 2 5 2 3 4 2 2 2" xfId="25904"/>
    <cellStyle name="Comma 2 5 2 3 4 2 2 2 2" xfId="45331"/>
    <cellStyle name="Comma 2 5 2 3 4 2 2 2 3" xfId="38908"/>
    <cellStyle name="Comma 2 5 2 3 4 2 2 3" xfId="28082"/>
    <cellStyle name="Comma 2 5 2 3 4 2 2 3 2" xfId="42124"/>
    <cellStyle name="Comma 2 5 2 3 4 2 2 4" xfId="31417"/>
    <cellStyle name="Comma 2 5 2 3 4 2 2 5" xfId="35700"/>
    <cellStyle name="Comma 2 5 2 3 4 2 3" xfId="15787"/>
    <cellStyle name="Comma 2 5 2 3 4 2 3 2" xfId="24802"/>
    <cellStyle name="Comma 2 5 2 3 4 2 3 2 2" xfId="44231"/>
    <cellStyle name="Comma 2 5 2 3 4 2 3 2 3" xfId="37808"/>
    <cellStyle name="Comma 2 5 2 3 4 2 3 3" xfId="29123"/>
    <cellStyle name="Comma 2 5 2 3 4 2 3 3 2" xfId="41024"/>
    <cellStyle name="Comma 2 5 2 3 4 2 3 4" xfId="32458"/>
    <cellStyle name="Comma 2 5 2 3 4 2 3 5" xfId="34600"/>
    <cellStyle name="Comma 2 5 2 3 4 2 4" xfId="8605"/>
    <cellStyle name="Comma 2 5 2 3 4 2 4 2" xfId="43189"/>
    <cellStyle name="Comma 2 5 2 3 4 2 4 3" xfId="36765"/>
    <cellStyle name="Comma 2 5 2 3 4 2 5" xfId="21594"/>
    <cellStyle name="Comma 2 5 2 3 4 2 5 2" xfId="39982"/>
    <cellStyle name="Comma 2 5 2 3 4 2 6" xfId="22667"/>
    <cellStyle name="Comma 2 5 2 3 4 2 7" xfId="23760"/>
    <cellStyle name="Comma 2 5 2 3 4 2 8" xfId="26989"/>
    <cellStyle name="Comma 2 5 2 3 4 2 9" xfId="30322"/>
    <cellStyle name="Comma 2 5 2 3 4 3" xfId="1335"/>
    <cellStyle name="Comma 2 5 2 3 4 3 10" xfId="33559"/>
    <cellStyle name="Comma 2 5 2 3 4 3 2" xfId="10105"/>
    <cellStyle name="Comma 2 5 2 3 4 3 2 2" xfId="25905"/>
    <cellStyle name="Comma 2 5 2 3 4 3 2 2 2" xfId="45332"/>
    <cellStyle name="Comma 2 5 2 3 4 3 2 2 3" xfId="38909"/>
    <cellStyle name="Comma 2 5 2 3 4 3 2 3" xfId="28083"/>
    <cellStyle name="Comma 2 5 2 3 4 3 2 3 2" xfId="42125"/>
    <cellStyle name="Comma 2 5 2 3 4 3 2 4" xfId="31418"/>
    <cellStyle name="Comma 2 5 2 3 4 3 2 5" xfId="35701"/>
    <cellStyle name="Comma 2 5 2 3 4 3 3" xfId="15788"/>
    <cellStyle name="Comma 2 5 2 3 4 3 3 2" xfId="24803"/>
    <cellStyle name="Comma 2 5 2 3 4 3 3 2 2" xfId="44232"/>
    <cellStyle name="Comma 2 5 2 3 4 3 3 2 3" xfId="37809"/>
    <cellStyle name="Comma 2 5 2 3 4 3 3 3" xfId="29124"/>
    <cellStyle name="Comma 2 5 2 3 4 3 3 3 2" xfId="41025"/>
    <cellStyle name="Comma 2 5 2 3 4 3 3 4" xfId="32459"/>
    <cellStyle name="Comma 2 5 2 3 4 3 3 5" xfId="34601"/>
    <cellStyle name="Comma 2 5 2 3 4 3 4" xfId="8606"/>
    <cellStyle name="Comma 2 5 2 3 4 3 4 2" xfId="43190"/>
    <cellStyle name="Comma 2 5 2 3 4 3 4 3" xfId="36766"/>
    <cellStyle name="Comma 2 5 2 3 4 3 5" xfId="21595"/>
    <cellStyle name="Comma 2 5 2 3 4 3 5 2" xfId="39983"/>
    <cellStyle name="Comma 2 5 2 3 4 3 6" xfId="22668"/>
    <cellStyle name="Comma 2 5 2 3 4 3 7" xfId="23761"/>
    <cellStyle name="Comma 2 5 2 3 4 3 8" xfId="26990"/>
    <cellStyle name="Comma 2 5 2 3 4 3 9" xfId="30323"/>
    <cellStyle name="Comma 2 5 2 3 4 4" xfId="1336"/>
    <cellStyle name="Comma 2 5 2 3 4 4 10" xfId="33560"/>
    <cellStyle name="Comma 2 5 2 3 4 4 2" xfId="10106"/>
    <cellStyle name="Comma 2 5 2 3 4 4 2 2" xfId="25906"/>
    <cellStyle name="Comma 2 5 2 3 4 4 2 2 2" xfId="45333"/>
    <cellStyle name="Comma 2 5 2 3 4 4 2 2 3" xfId="38910"/>
    <cellStyle name="Comma 2 5 2 3 4 4 2 3" xfId="28084"/>
    <cellStyle name="Comma 2 5 2 3 4 4 2 3 2" xfId="42126"/>
    <cellStyle name="Comma 2 5 2 3 4 4 2 4" xfId="31419"/>
    <cellStyle name="Comma 2 5 2 3 4 4 2 5" xfId="35702"/>
    <cellStyle name="Comma 2 5 2 3 4 4 3" xfId="15789"/>
    <cellStyle name="Comma 2 5 2 3 4 4 3 2" xfId="24804"/>
    <cellStyle name="Comma 2 5 2 3 4 4 3 2 2" xfId="44233"/>
    <cellStyle name="Comma 2 5 2 3 4 4 3 2 3" xfId="37810"/>
    <cellStyle name="Comma 2 5 2 3 4 4 3 3" xfId="29125"/>
    <cellStyle name="Comma 2 5 2 3 4 4 3 3 2" xfId="41026"/>
    <cellStyle name="Comma 2 5 2 3 4 4 3 4" xfId="32460"/>
    <cellStyle name="Comma 2 5 2 3 4 4 3 5" xfId="34602"/>
    <cellStyle name="Comma 2 5 2 3 4 4 4" xfId="8607"/>
    <cellStyle name="Comma 2 5 2 3 4 4 4 2" xfId="43191"/>
    <cellStyle name="Comma 2 5 2 3 4 4 4 3" xfId="36767"/>
    <cellStyle name="Comma 2 5 2 3 4 4 5" xfId="21596"/>
    <cellStyle name="Comma 2 5 2 3 4 4 5 2" xfId="39984"/>
    <cellStyle name="Comma 2 5 2 3 4 4 6" xfId="22669"/>
    <cellStyle name="Comma 2 5 2 3 4 4 7" xfId="23762"/>
    <cellStyle name="Comma 2 5 2 3 4 4 8" xfId="26991"/>
    <cellStyle name="Comma 2 5 2 3 4 4 9" xfId="30324"/>
    <cellStyle name="Comma 2 5 2 3 4 5" xfId="1337"/>
    <cellStyle name="Comma 2 5 2 3 4 5 10" xfId="33561"/>
    <cellStyle name="Comma 2 5 2 3 4 5 2" xfId="10107"/>
    <cellStyle name="Comma 2 5 2 3 4 5 2 2" xfId="25907"/>
    <cellStyle name="Comma 2 5 2 3 4 5 2 2 2" xfId="45334"/>
    <cellStyle name="Comma 2 5 2 3 4 5 2 2 3" xfId="38911"/>
    <cellStyle name="Comma 2 5 2 3 4 5 2 3" xfId="28085"/>
    <cellStyle name="Comma 2 5 2 3 4 5 2 3 2" xfId="42127"/>
    <cellStyle name="Comma 2 5 2 3 4 5 2 4" xfId="31420"/>
    <cellStyle name="Comma 2 5 2 3 4 5 2 5" xfId="35703"/>
    <cellStyle name="Comma 2 5 2 3 4 5 3" xfId="15790"/>
    <cellStyle name="Comma 2 5 2 3 4 5 3 2" xfId="24805"/>
    <cellStyle name="Comma 2 5 2 3 4 5 3 2 2" xfId="44234"/>
    <cellStyle name="Comma 2 5 2 3 4 5 3 2 3" xfId="37811"/>
    <cellStyle name="Comma 2 5 2 3 4 5 3 3" xfId="29126"/>
    <cellStyle name="Comma 2 5 2 3 4 5 3 3 2" xfId="41027"/>
    <cellStyle name="Comma 2 5 2 3 4 5 3 4" xfId="32461"/>
    <cellStyle name="Comma 2 5 2 3 4 5 3 5" xfId="34603"/>
    <cellStyle name="Comma 2 5 2 3 4 5 4" xfId="8608"/>
    <cellStyle name="Comma 2 5 2 3 4 5 4 2" xfId="43192"/>
    <cellStyle name="Comma 2 5 2 3 4 5 4 3" xfId="36768"/>
    <cellStyle name="Comma 2 5 2 3 4 5 5" xfId="21597"/>
    <cellStyle name="Comma 2 5 2 3 4 5 5 2" xfId="39985"/>
    <cellStyle name="Comma 2 5 2 3 4 5 6" xfId="22670"/>
    <cellStyle name="Comma 2 5 2 3 4 5 7" xfId="23763"/>
    <cellStyle name="Comma 2 5 2 3 4 5 8" xfId="26992"/>
    <cellStyle name="Comma 2 5 2 3 4 5 9" xfId="30325"/>
    <cellStyle name="Comma 2 5 2 3 4 6" xfId="10103"/>
    <cellStyle name="Comma 2 5 2 3 4 6 2" xfId="25903"/>
    <cellStyle name="Comma 2 5 2 3 4 6 2 2" xfId="45330"/>
    <cellStyle name="Comma 2 5 2 3 4 6 2 3" xfId="38907"/>
    <cellStyle name="Comma 2 5 2 3 4 6 3" xfId="28081"/>
    <cellStyle name="Comma 2 5 2 3 4 6 3 2" xfId="42123"/>
    <cellStyle name="Comma 2 5 2 3 4 6 4" xfId="31416"/>
    <cellStyle name="Comma 2 5 2 3 4 6 5" xfId="35699"/>
    <cellStyle name="Comma 2 5 2 3 4 7" xfId="15786"/>
    <cellStyle name="Comma 2 5 2 3 4 7 2" xfId="24801"/>
    <cellStyle name="Comma 2 5 2 3 4 7 2 2" xfId="44230"/>
    <cellStyle name="Comma 2 5 2 3 4 7 2 3" xfId="37807"/>
    <cellStyle name="Comma 2 5 2 3 4 7 3" xfId="29122"/>
    <cellStyle name="Comma 2 5 2 3 4 7 3 2" xfId="41023"/>
    <cellStyle name="Comma 2 5 2 3 4 7 4" xfId="32457"/>
    <cellStyle name="Comma 2 5 2 3 4 7 5" xfId="34599"/>
    <cellStyle name="Comma 2 5 2 3 4 8" xfId="8604"/>
    <cellStyle name="Comma 2 5 2 3 4 8 2" xfId="43188"/>
    <cellStyle name="Comma 2 5 2 3 4 8 3" xfId="36764"/>
    <cellStyle name="Comma 2 5 2 3 4 9" xfId="21593"/>
    <cellStyle name="Comma 2 5 2 3 4 9 2" xfId="39981"/>
    <cellStyle name="Comma 2 5 2 3 5" xfId="1338"/>
    <cellStyle name="Comma 2 5 2 3 5 10" xfId="22671"/>
    <cellStyle name="Comma 2 5 2 3 5 11" xfId="23764"/>
    <cellStyle name="Comma 2 5 2 3 5 12" xfId="26993"/>
    <cellStyle name="Comma 2 5 2 3 5 13" xfId="30326"/>
    <cellStyle name="Comma 2 5 2 3 5 14" xfId="33562"/>
    <cellStyle name="Comma 2 5 2 3 5 2" xfId="1339"/>
    <cellStyle name="Comma 2 5 2 3 5 2 10" xfId="33563"/>
    <cellStyle name="Comma 2 5 2 3 5 2 2" xfId="10109"/>
    <cellStyle name="Comma 2 5 2 3 5 2 2 2" xfId="25909"/>
    <cellStyle name="Comma 2 5 2 3 5 2 2 2 2" xfId="45336"/>
    <cellStyle name="Comma 2 5 2 3 5 2 2 2 3" xfId="38913"/>
    <cellStyle name="Comma 2 5 2 3 5 2 2 3" xfId="28087"/>
    <cellStyle name="Comma 2 5 2 3 5 2 2 3 2" xfId="42129"/>
    <cellStyle name="Comma 2 5 2 3 5 2 2 4" xfId="31422"/>
    <cellStyle name="Comma 2 5 2 3 5 2 2 5" xfId="35705"/>
    <cellStyle name="Comma 2 5 2 3 5 2 3" xfId="15792"/>
    <cellStyle name="Comma 2 5 2 3 5 2 3 2" xfId="24807"/>
    <cellStyle name="Comma 2 5 2 3 5 2 3 2 2" xfId="44236"/>
    <cellStyle name="Comma 2 5 2 3 5 2 3 2 3" xfId="37813"/>
    <cellStyle name="Comma 2 5 2 3 5 2 3 3" xfId="29128"/>
    <cellStyle name="Comma 2 5 2 3 5 2 3 3 2" xfId="41029"/>
    <cellStyle name="Comma 2 5 2 3 5 2 3 4" xfId="32463"/>
    <cellStyle name="Comma 2 5 2 3 5 2 3 5" xfId="34605"/>
    <cellStyle name="Comma 2 5 2 3 5 2 4" xfId="8610"/>
    <cellStyle name="Comma 2 5 2 3 5 2 4 2" xfId="43194"/>
    <cellStyle name="Comma 2 5 2 3 5 2 4 3" xfId="36770"/>
    <cellStyle name="Comma 2 5 2 3 5 2 5" xfId="21599"/>
    <cellStyle name="Comma 2 5 2 3 5 2 5 2" xfId="39987"/>
    <cellStyle name="Comma 2 5 2 3 5 2 6" xfId="22672"/>
    <cellStyle name="Comma 2 5 2 3 5 2 7" xfId="23765"/>
    <cellStyle name="Comma 2 5 2 3 5 2 8" xfId="26994"/>
    <cellStyle name="Comma 2 5 2 3 5 2 9" xfId="30327"/>
    <cellStyle name="Comma 2 5 2 3 5 3" xfId="1340"/>
    <cellStyle name="Comma 2 5 2 3 5 3 10" xfId="33564"/>
    <cellStyle name="Comma 2 5 2 3 5 3 2" xfId="10110"/>
    <cellStyle name="Comma 2 5 2 3 5 3 2 2" xfId="25910"/>
    <cellStyle name="Comma 2 5 2 3 5 3 2 2 2" xfId="45337"/>
    <cellStyle name="Comma 2 5 2 3 5 3 2 2 3" xfId="38914"/>
    <cellStyle name="Comma 2 5 2 3 5 3 2 3" xfId="28088"/>
    <cellStyle name="Comma 2 5 2 3 5 3 2 3 2" xfId="42130"/>
    <cellStyle name="Comma 2 5 2 3 5 3 2 4" xfId="31423"/>
    <cellStyle name="Comma 2 5 2 3 5 3 2 5" xfId="35706"/>
    <cellStyle name="Comma 2 5 2 3 5 3 3" xfId="15793"/>
    <cellStyle name="Comma 2 5 2 3 5 3 3 2" xfId="24808"/>
    <cellStyle name="Comma 2 5 2 3 5 3 3 2 2" xfId="44237"/>
    <cellStyle name="Comma 2 5 2 3 5 3 3 2 3" xfId="37814"/>
    <cellStyle name="Comma 2 5 2 3 5 3 3 3" xfId="29129"/>
    <cellStyle name="Comma 2 5 2 3 5 3 3 3 2" xfId="41030"/>
    <cellStyle name="Comma 2 5 2 3 5 3 3 4" xfId="32464"/>
    <cellStyle name="Comma 2 5 2 3 5 3 3 5" xfId="34606"/>
    <cellStyle name="Comma 2 5 2 3 5 3 4" xfId="8611"/>
    <cellStyle name="Comma 2 5 2 3 5 3 4 2" xfId="43195"/>
    <cellStyle name="Comma 2 5 2 3 5 3 4 3" xfId="36771"/>
    <cellStyle name="Comma 2 5 2 3 5 3 5" xfId="21600"/>
    <cellStyle name="Comma 2 5 2 3 5 3 5 2" xfId="39988"/>
    <cellStyle name="Comma 2 5 2 3 5 3 6" xfId="22673"/>
    <cellStyle name="Comma 2 5 2 3 5 3 7" xfId="23766"/>
    <cellStyle name="Comma 2 5 2 3 5 3 8" xfId="26995"/>
    <cellStyle name="Comma 2 5 2 3 5 3 9" xfId="30328"/>
    <cellStyle name="Comma 2 5 2 3 5 4" xfId="1341"/>
    <cellStyle name="Comma 2 5 2 3 5 4 10" xfId="33565"/>
    <cellStyle name="Comma 2 5 2 3 5 4 2" xfId="10111"/>
    <cellStyle name="Comma 2 5 2 3 5 4 2 2" xfId="25911"/>
    <cellStyle name="Comma 2 5 2 3 5 4 2 2 2" xfId="45338"/>
    <cellStyle name="Comma 2 5 2 3 5 4 2 2 3" xfId="38915"/>
    <cellStyle name="Comma 2 5 2 3 5 4 2 3" xfId="28089"/>
    <cellStyle name="Comma 2 5 2 3 5 4 2 3 2" xfId="42131"/>
    <cellStyle name="Comma 2 5 2 3 5 4 2 4" xfId="31424"/>
    <cellStyle name="Comma 2 5 2 3 5 4 2 5" xfId="35707"/>
    <cellStyle name="Comma 2 5 2 3 5 4 3" xfId="15794"/>
    <cellStyle name="Comma 2 5 2 3 5 4 3 2" xfId="24809"/>
    <cellStyle name="Comma 2 5 2 3 5 4 3 2 2" xfId="44238"/>
    <cellStyle name="Comma 2 5 2 3 5 4 3 2 3" xfId="37815"/>
    <cellStyle name="Comma 2 5 2 3 5 4 3 3" xfId="29130"/>
    <cellStyle name="Comma 2 5 2 3 5 4 3 3 2" xfId="41031"/>
    <cellStyle name="Comma 2 5 2 3 5 4 3 4" xfId="32465"/>
    <cellStyle name="Comma 2 5 2 3 5 4 3 5" xfId="34607"/>
    <cellStyle name="Comma 2 5 2 3 5 4 4" xfId="8612"/>
    <cellStyle name="Comma 2 5 2 3 5 4 4 2" xfId="43196"/>
    <cellStyle name="Comma 2 5 2 3 5 4 4 3" xfId="36772"/>
    <cellStyle name="Comma 2 5 2 3 5 4 5" xfId="21601"/>
    <cellStyle name="Comma 2 5 2 3 5 4 5 2" xfId="39989"/>
    <cellStyle name="Comma 2 5 2 3 5 4 6" xfId="22674"/>
    <cellStyle name="Comma 2 5 2 3 5 4 7" xfId="23767"/>
    <cellStyle name="Comma 2 5 2 3 5 4 8" xfId="26996"/>
    <cellStyle name="Comma 2 5 2 3 5 4 9" xfId="30329"/>
    <cellStyle name="Comma 2 5 2 3 5 5" xfId="1342"/>
    <cellStyle name="Comma 2 5 2 3 5 5 10" xfId="33566"/>
    <cellStyle name="Comma 2 5 2 3 5 5 2" xfId="10112"/>
    <cellStyle name="Comma 2 5 2 3 5 5 2 2" xfId="25912"/>
    <cellStyle name="Comma 2 5 2 3 5 5 2 2 2" xfId="45339"/>
    <cellStyle name="Comma 2 5 2 3 5 5 2 2 3" xfId="38916"/>
    <cellStyle name="Comma 2 5 2 3 5 5 2 3" xfId="28090"/>
    <cellStyle name="Comma 2 5 2 3 5 5 2 3 2" xfId="42132"/>
    <cellStyle name="Comma 2 5 2 3 5 5 2 4" xfId="31425"/>
    <cellStyle name="Comma 2 5 2 3 5 5 2 5" xfId="35708"/>
    <cellStyle name="Comma 2 5 2 3 5 5 3" xfId="15795"/>
    <cellStyle name="Comma 2 5 2 3 5 5 3 2" xfId="24810"/>
    <cellStyle name="Comma 2 5 2 3 5 5 3 2 2" xfId="44239"/>
    <cellStyle name="Comma 2 5 2 3 5 5 3 2 3" xfId="37816"/>
    <cellStyle name="Comma 2 5 2 3 5 5 3 3" xfId="29131"/>
    <cellStyle name="Comma 2 5 2 3 5 5 3 3 2" xfId="41032"/>
    <cellStyle name="Comma 2 5 2 3 5 5 3 4" xfId="32466"/>
    <cellStyle name="Comma 2 5 2 3 5 5 3 5" xfId="34608"/>
    <cellStyle name="Comma 2 5 2 3 5 5 4" xfId="8613"/>
    <cellStyle name="Comma 2 5 2 3 5 5 4 2" xfId="43197"/>
    <cellStyle name="Comma 2 5 2 3 5 5 4 3" xfId="36773"/>
    <cellStyle name="Comma 2 5 2 3 5 5 5" xfId="21602"/>
    <cellStyle name="Comma 2 5 2 3 5 5 5 2" xfId="39990"/>
    <cellStyle name="Comma 2 5 2 3 5 5 6" xfId="22675"/>
    <cellStyle name="Comma 2 5 2 3 5 5 7" xfId="23768"/>
    <cellStyle name="Comma 2 5 2 3 5 5 8" xfId="26997"/>
    <cellStyle name="Comma 2 5 2 3 5 5 9" xfId="30330"/>
    <cellStyle name="Comma 2 5 2 3 5 6" xfId="10108"/>
    <cellStyle name="Comma 2 5 2 3 5 6 2" xfId="25908"/>
    <cellStyle name="Comma 2 5 2 3 5 6 2 2" xfId="45335"/>
    <cellStyle name="Comma 2 5 2 3 5 6 2 3" xfId="38912"/>
    <cellStyle name="Comma 2 5 2 3 5 6 3" xfId="28086"/>
    <cellStyle name="Comma 2 5 2 3 5 6 3 2" xfId="42128"/>
    <cellStyle name="Comma 2 5 2 3 5 6 4" xfId="31421"/>
    <cellStyle name="Comma 2 5 2 3 5 6 5" xfId="35704"/>
    <cellStyle name="Comma 2 5 2 3 5 7" xfId="15791"/>
    <cellStyle name="Comma 2 5 2 3 5 7 2" xfId="24806"/>
    <cellStyle name="Comma 2 5 2 3 5 7 2 2" xfId="44235"/>
    <cellStyle name="Comma 2 5 2 3 5 7 2 3" xfId="37812"/>
    <cellStyle name="Comma 2 5 2 3 5 7 3" xfId="29127"/>
    <cellStyle name="Comma 2 5 2 3 5 7 3 2" xfId="41028"/>
    <cellStyle name="Comma 2 5 2 3 5 7 4" xfId="32462"/>
    <cellStyle name="Comma 2 5 2 3 5 7 5" xfId="34604"/>
    <cellStyle name="Comma 2 5 2 3 5 8" xfId="8609"/>
    <cellStyle name="Comma 2 5 2 3 5 8 2" xfId="43193"/>
    <cellStyle name="Comma 2 5 2 3 5 8 3" xfId="36769"/>
    <cellStyle name="Comma 2 5 2 3 5 9" xfId="21598"/>
    <cellStyle name="Comma 2 5 2 3 5 9 2" xfId="39986"/>
    <cellStyle name="Comma 2 5 2 3 6" xfId="1343"/>
    <cellStyle name="Comma 2 5 2 3 6 10" xfId="33567"/>
    <cellStyle name="Comma 2 5 2 3 6 2" xfId="10113"/>
    <cellStyle name="Comma 2 5 2 3 6 2 2" xfId="25913"/>
    <cellStyle name="Comma 2 5 2 3 6 2 2 2" xfId="45340"/>
    <cellStyle name="Comma 2 5 2 3 6 2 2 3" xfId="38917"/>
    <cellStyle name="Comma 2 5 2 3 6 2 3" xfId="28091"/>
    <cellStyle name="Comma 2 5 2 3 6 2 3 2" xfId="42133"/>
    <cellStyle name="Comma 2 5 2 3 6 2 4" xfId="31426"/>
    <cellStyle name="Comma 2 5 2 3 6 2 5" xfId="35709"/>
    <cellStyle name="Comma 2 5 2 3 6 3" xfId="15796"/>
    <cellStyle name="Comma 2 5 2 3 6 3 2" xfId="24811"/>
    <cellStyle name="Comma 2 5 2 3 6 3 2 2" xfId="44240"/>
    <cellStyle name="Comma 2 5 2 3 6 3 2 3" xfId="37817"/>
    <cellStyle name="Comma 2 5 2 3 6 3 3" xfId="29132"/>
    <cellStyle name="Comma 2 5 2 3 6 3 3 2" xfId="41033"/>
    <cellStyle name="Comma 2 5 2 3 6 3 4" xfId="32467"/>
    <cellStyle name="Comma 2 5 2 3 6 3 5" xfId="34609"/>
    <cellStyle name="Comma 2 5 2 3 6 4" xfId="8614"/>
    <cellStyle name="Comma 2 5 2 3 6 4 2" xfId="43198"/>
    <cellStyle name="Comma 2 5 2 3 6 4 3" xfId="36774"/>
    <cellStyle name="Comma 2 5 2 3 6 5" xfId="21603"/>
    <cellStyle name="Comma 2 5 2 3 6 5 2" xfId="39991"/>
    <cellStyle name="Comma 2 5 2 3 6 6" xfId="22676"/>
    <cellStyle name="Comma 2 5 2 3 6 7" xfId="23769"/>
    <cellStyle name="Comma 2 5 2 3 6 8" xfId="26998"/>
    <cellStyle name="Comma 2 5 2 3 6 9" xfId="30331"/>
    <cellStyle name="Comma 2 5 2 3 7" xfId="1344"/>
    <cellStyle name="Comma 2 5 2 3 7 10" xfId="33568"/>
    <cellStyle name="Comma 2 5 2 3 7 2" xfId="10114"/>
    <cellStyle name="Comma 2 5 2 3 7 2 2" xfId="25914"/>
    <cellStyle name="Comma 2 5 2 3 7 2 2 2" xfId="45341"/>
    <cellStyle name="Comma 2 5 2 3 7 2 2 3" xfId="38918"/>
    <cellStyle name="Comma 2 5 2 3 7 2 3" xfId="28092"/>
    <cellStyle name="Comma 2 5 2 3 7 2 3 2" xfId="42134"/>
    <cellStyle name="Comma 2 5 2 3 7 2 4" xfId="31427"/>
    <cellStyle name="Comma 2 5 2 3 7 2 5" xfId="35710"/>
    <cellStyle name="Comma 2 5 2 3 7 3" xfId="15797"/>
    <cellStyle name="Comma 2 5 2 3 7 3 2" xfId="24812"/>
    <cellStyle name="Comma 2 5 2 3 7 3 2 2" xfId="44241"/>
    <cellStyle name="Comma 2 5 2 3 7 3 2 3" xfId="37818"/>
    <cellStyle name="Comma 2 5 2 3 7 3 3" xfId="29133"/>
    <cellStyle name="Comma 2 5 2 3 7 3 3 2" xfId="41034"/>
    <cellStyle name="Comma 2 5 2 3 7 3 4" xfId="32468"/>
    <cellStyle name="Comma 2 5 2 3 7 3 5" xfId="34610"/>
    <cellStyle name="Comma 2 5 2 3 7 4" xfId="8615"/>
    <cellStyle name="Comma 2 5 2 3 7 4 2" xfId="43199"/>
    <cellStyle name="Comma 2 5 2 3 7 4 3" xfId="36775"/>
    <cellStyle name="Comma 2 5 2 3 7 5" xfId="21604"/>
    <cellStyle name="Comma 2 5 2 3 7 5 2" xfId="39992"/>
    <cellStyle name="Comma 2 5 2 3 7 6" xfId="22677"/>
    <cellStyle name="Comma 2 5 2 3 7 7" xfId="23770"/>
    <cellStyle name="Comma 2 5 2 3 7 8" xfId="26999"/>
    <cellStyle name="Comma 2 5 2 3 7 9" xfId="30332"/>
    <cellStyle name="Comma 2 5 2 3 8" xfId="1345"/>
    <cellStyle name="Comma 2 5 2 3 8 10" xfId="33569"/>
    <cellStyle name="Comma 2 5 2 3 8 2" xfId="10115"/>
    <cellStyle name="Comma 2 5 2 3 8 2 2" xfId="25915"/>
    <cellStyle name="Comma 2 5 2 3 8 2 2 2" xfId="45342"/>
    <cellStyle name="Comma 2 5 2 3 8 2 2 3" xfId="38919"/>
    <cellStyle name="Comma 2 5 2 3 8 2 3" xfId="28093"/>
    <cellStyle name="Comma 2 5 2 3 8 2 3 2" xfId="42135"/>
    <cellStyle name="Comma 2 5 2 3 8 2 4" xfId="31428"/>
    <cellStyle name="Comma 2 5 2 3 8 2 5" xfId="35711"/>
    <cellStyle name="Comma 2 5 2 3 8 3" xfId="15798"/>
    <cellStyle name="Comma 2 5 2 3 8 3 2" xfId="24813"/>
    <cellStyle name="Comma 2 5 2 3 8 3 2 2" xfId="44242"/>
    <cellStyle name="Comma 2 5 2 3 8 3 2 3" xfId="37819"/>
    <cellStyle name="Comma 2 5 2 3 8 3 3" xfId="29134"/>
    <cellStyle name="Comma 2 5 2 3 8 3 3 2" xfId="41035"/>
    <cellStyle name="Comma 2 5 2 3 8 3 4" xfId="32469"/>
    <cellStyle name="Comma 2 5 2 3 8 3 5" xfId="34611"/>
    <cellStyle name="Comma 2 5 2 3 8 4" xfId="8616"/>
    <cellStyle name="Comma 2 5 2 3 8 4 2" xfId="43200"/>
    <cellStyle name="Comma 2 5 2 3 8 4 3" xfId="36776"/>
    <cellStyle name="Comma 2 5 2 3 8 5" xfId="21605"/>
    <cellStyle name="Comma 2 5 2 3 8 5 2" xfId="39993"/>
    <cellStyle name="Comma 2 5 2 3 8 6" xfId="22678"/>
    <cellStyle name="Comma 2 5 2 3 8 7" xfId="23771"/>
    <cellStyle name="Comma 2 5 2 3 8 8" xfId="27000"/>
    <cellStyle name="Comma 2 5 2 3 8 9" xfId="30333"/>
    <cellStyle name="Comma 2 5 2 3 9" xfId="1346"/>
    <cellStyle name="Comma 2 5 2 3 9 10" xfId="33570"/>
    <cellStyle name="Comma 2 5 2 3 9 2" xfId="10116"/>
    <cellStyle name="Comma 2 5 2 3 9 2 2" xfId="25916"/>
    <cellStyle name="Comma 2 5 2 3 9 2 2 2" xfId="45343"/>
    <cellStyle name="Comma 2 5 2 3 9 2 2 3" xfId="38920"/>
    <cellStyle name="Comma 2 5 2 3 9 2 3" xfId="28094"/>
    <cellStyle name="Comma 2 5 2 3 9 2 3 2" xfId="42136"/>
    <cellStyle name="Comma 2 5 2 3 9 2 4" xfId="31429"/>
    <cellStyle name="Comma 2 5 2 3 9 2 5" xfId="35712"/>
    <cellStyle name="Comma 2 5 2 3 9 3" xfId="15799"/>
    <cellStyle name="Comma 2 5 2 3 9 3 2" xfId="24814"/>
    <cellStyle name="Comma 2 5 2 3 9 3 2 2" xfId="44243"/>
    <cellStyle name="Comma 2 5 2 3 9 3 2 3" xfId="37820"/>
    <cellStyle name="Comma 2 5 2 3 9 3 3" xfId="29135"/>
    <cellStyle name="Comma 2 5 2 3 9 3 3 2" xfId="41036"/>
    <cellStyle name="Comma 2 5 2 3 9 3 4" xfId="32470"/>
    <cellStyle name="Comma 2 5 2 3 9 3 5" xfId="34612"/>
    <cellStyle name="Comma 2 5 2 3 9 4" xfId="8617"/>
    <cellStyle name="Comma 2 5 2 3 9 4 2" xfId="43201"/>
    <cellStyle name="Comma 2 5 2 3 9 4 3" xfId="36777"/>
    <cellStyle name="Comma 2 5 2 3 9 5" xfId="21606"/>
    <cellStyle name="Comma 2 5 2 3 9 5 2" xfId="39994"/>
    <cellStyle name="Comma 2 5 2 3 9 6" xfId="22679"/>
    <cellStyle name="Comma 2 5 2 3 9 7" xfId="23772"/>
    <cellStyle name="Comma 2 5 2 3 9 8" xfId="27001"/>
    <cellStyle name="Comma 2 5 2 3 9 9" xfId="30334"/>
    <cellStyle name="Comma 2 5 2 4" xfId="282"/>
    <cellStyle name="Comma 2 5 2 4 10" xfId="15800"/>
    <cellStyle name="Comma 2 5 2 4 10 2" xfId="24815"/>
    <cellStyle name="Comma 2 5 2 4 10 2 2" xfId="44244"/>
    <cellStyle name="Comma 2 5 2 4 10 2 3" xfId="37821"/>
    <cellStyle name="Comma 2 5 2 4 10 3" xfId="29136"/>
    <cellStyle name="Comma 2 5 2 4 10 3 2" xfId="41037"/>
    <cellStyle name="Comma 2 5 2 4 10 4" xfId="32471"/>
    <cellStyle name="Comma 2 5 2 4 10 5" xfId="34613"/>
    <cellStyle name="Comma 2 5 2 4 11" xfId="8618"/>
    <cellStyle name="Comma 2 5 2 4 11 2" xfId="42482"/>
    <cellStyle name="Comma 2 5 2 4 11 3" xfId="36058"/>
    <cellStyle name="Comma 2 5 2 4 12" xfId="21607"/>
    <cellStyle name="Comma 2 5 2 4 12 2" xfId="39275"/>
    <cellStyle name="Comma 2 5 2 4 13" xfId="22680"/>
    <cellStyle name="Comma 2 5 2 4 14" xfId="23053"/>
    <cellStyle name="Comma 2 5 2 4 15" xfId="27002"/>
    <cellStyle name="Comma 2 5 2 4 16" xfId="30335"/>
    <cellStyle name="Comma 2 5 2 4 17" xfId="32851"/>
    <cellStyle name="Comma 2 5 2 4 2" xfId="283"/>
    <cellStyle name="Comma 2 5 2 4 2 10" xfId="21608"/>
    <cellStyle name="Comma 2 5 2 4 2 10 2" xfId="39276"/>
    <cellStyle name="Comma 2 5 2 4 2 11" xfId="22681"/>
    <cellStyle name="Comma 2 5 2 4 2 12" xfId="23054"/>
    <cellStyle name="Comma 2 5 2 4 2 13" xfId="27003"/>
    <cellStyle name="Comma 2 5 2 4 2 14" xfId="30336"/>
    <cellStyle name="Comma 2 5 2 4 2 15" xfId="32852"/>
    <cellStyle name="Comma 2 5 2 4 2 2" xfId="1347"/>
    <cellStyle name="Comma 2 5 2 4 2 2 10" xfId="33571"/>
    <cellStyle name="Comma 2 5 2 4 2 2 2" xfId="10117"/>
    <cellStyle name="Comma 2 5 2 4 2 2 2 2" xfId="25917"/>
    <cellStyle name="Comma 2 5 2 4 2 2 2 2 2" xfId="45344"/>
    <cellStyle name="Comma 2 5 2 4 2 2 2 2 3" xfId="38921"/>
    <cellStyle name="Comma 2 5 2 4 2 2 2 3" xfId="28095"/>
    <cellStyle name="Comma 2 5 2 4 2 2 2 3 2" xfId="42137"/>
    <cellStyle name="Comma 2 5 2 4 2 2 2 4" xfId="31430"/>
    <cellStyle name="Comma 2 5 2 4 2 2 2 5" xfId="35713"/>
    <cellStyle name="Comma 2 5 2 4 2 2 3" xfId="15802"/>
    <cellStyle name="Comma 2 5 2 4 2 2 3 2" xfId="24817"/>
    <cellStyle name="Comma 2 5 2 4 2 2 3 2 2" xfId="44246"/>
    <cellStyle name="Comma 2 5 2 4 2 2 3 2 3" xfId="37823"/>
    <cellStyle name="Comma 2 5 2 4 2 2 3 3" xfId="29138"/>
    <cellStyle name="Comma 2 5 2 4 2 2 3 3 2" xfId="41039"/>
    <cellStyle name="Comma 2 5 2 4 2 2 3 4" xfId="32473"/>
    <cellStyle name="Comma 2 5 2 4 2 2 3 5" xfId="34615"/>
    <cellStyle name="Comma 2 5 2 4 2 2 4" xfId="8620"/>
    <cellStyle name="Comma 2 5 2 4 2 2 4 2" xfId="43202"/>
    <cellStyle name="Comma 2 5 2 4 2 2 4 3" xfId="36778"/>
    <cellStyle name="Comma 2 5 2 4 2 2 5" xfId="21609"/>
    <cellStyle name="Comma 2 5 2 4 2 2 5 2" xfId="39995"/>
    <cellStyle name="Comma 2 5 2 4 2 2 6" xfId="22682"/>
    <cellStyle name="Comma 2 5 2 4 2 2 7" xfId="23773"/>
    <cellStyle name="Comma 2 5 2 4 2 2 8" xfId="27004"/>
    <cellStyle name="Comma 2 5 2 4 2 2 9" xfId="30337"/>
    <cellStyle name="Comma 2 5 2 4 2 3" xfId="1348"/>
    <cellStyle name="Comma 2 5 2 4 2 3 10" xfId="33572"/>
    <cellStyle name="Comma 2 5 2 4 2 3 2" xfId="10118"/>
    <cellStyle name="Comma 2 5 2 4 2 3 2 2" xfId="25918"/>
    <cellStyle name="Comma 2 5 2 4 2 3 2 2 2" xfId="45345"/>
    <cellStyle name="Comma 2 5 2 4 2 3 2 2 3" xfId="38922"/>
    <cellStyle name="Comma 2 5 2 4 2 3 2 3" xfId="28096"/>
    <cellStyle name="Comma 2 5 2 4 2 3 2 3 2" xfId="42138"/>
    <cellStyle name="Comma 2 5 2 4 2 3 2 4" xfId="31431"/>
    <cellStyle name="Comma 2 5 2 4 2 3 2 5" xfId="35714"/>
    <cellStyle name="Comma 2 5 2 4 2 3 3" xfId="15803"/>
    <cellStyle name="Comma 2 5 2 4 2 3 3 2" xfId="24818"/>
    <cellStyle name="Comma 2 5 2 4 2 3 3 2 2" xfId="44247"/>
    <cellStyle name="Comma 2 5 2 4 2 3 3 2 3" xfId="37824"/>
    <cellStyle name="Comma 2 5 2 4 2 3 3 3" xfId="29139"/>
    <cellStyle name="Comma 2 5 2 4 2 3 3 3 2" xfId="41040"/>
    <cellStyle name="Comma 2 5 2 4 2 3 3 4" xfId="32474"/>
    <cellStyle name="Comma 2 5 2 4 2 3 3 5" xfId="34616"/>
    <cellStyle name="Comma 2 5 2 4 2 3 4" xfId="8621"/>
    <cellStyle name="Comma 2 5 2 4 2 3 4 2" xfId="43203"/>
    <cellStyle name="Comma 2 5 2 4 2 3 4 3" xfId="36779"/>
    <cellStyle name="Comma 2 5 2 4 2 3 5" xfId="21610"/>
    <cellStyle name="Comma 2 5 2 4 2 3 5 2" xfId="39996"/>
    <cellStyle name="Comma 2 5 2 4 2 3 6" xfId="22683"/>
    <cellStyle name="Comma 2 5 2 4 2 3 7" xfId="23774"/>
    <cellStyle name="Comma 2 5 2 4 2 3 8" xfId="27005"/>
    <cellStyle name="Comma 2 5 2 4 2 3 9" xfId="30338"/>
    <cellStyle name="Comma 2 5 2 4 2 4" xfId="1349"/>
    <cellStyle name="Comma 2 5 2 4 2 4 10" xfId="33573"/>
    <cellStyle name="Comma 2 5 2 4 2 4 2" xfId="10119"/>
    <cellStyle name="Comma 2 5 2 4 2 4 2 2" xfId="25919"/>
    <cellStyle name="Comma 2 5 2 4 2 4 2 2 2" xfId="45346"/>
    <cellStyle name="Comma 2 5 2 4 2 4 2 2 3" xfId="38923"/>
    <cellStyle name="Comma 2 5 2 4 2 4 2 3" xfId="28097"/>
    <cellStyle name="Comma 2 5 2 4 2 4 2 3 2" xfId="42139"/>
    <cellStyle name="Comma 2 5 2 4 2 4 2 4" xfId="31432"/>
    <cellStyle name="Comma 2 5 2 4 2 4 2 5" xfId="35715"/>
    <cellStyle name="Comma 2 5 2 4 2 4 3" xfId="15804"/>
    <cellStyle name="Comma 2 5 2 4 2 4 3 2" xfId="24819"/>
    <cellStyle name="Comma 2 5 2 4 2 4 3 2 2" xfId="44248"/>
    <cellStyle name="Comma 2 5 2 4 2 4 3 2 3" xfId="37825"/>
    <cellStyle name="Comma 2 5 2 4 2 4 3 3" xfId="29140"/>
    <cellStyle name="Comma 2 5 2 4 2 4 3 3 2" xfId="41041"/>
    <cellStyle name="Comma 2 5 2 4 2 4 3 4" xfId="32475"/>
    <cellStyle name="Comma 2 5 2 4 2 4 3 5" xfId="34617"/>
    <cellStyle name="Comma 2 5 2 4 2 4 4" xfId="8622"/>
    <cellStyle name="Comma 2 5 2 4 2 4 4 2" xfId="43204"/>
    <cellStyle name="Comma 2 5 2 4 2 4 4 3" xfId="36780"/>
    <cellStyle name="Comma 2 5 2 4 2 4 5" xfId="21611"/>
    <cellStyle name="Comma 2 5 2 4 2 4 5 2" xfId="39997"/>
    <cellStyle name="Comma 2 5 2 4 2 4 6" xfId="22684"/>
    <cellStyle name="Comma 2 5 2 4 2 4 7" xfId="23775"/>
    <cellStyle name="Comma 2 5 2 4 2 4 8" xfId="27006"/>
    <cellStyle name="Comma 2 5 2 4 2 4 9" xfId="30339"/>
    <cellStyle name="Comma 2 5 2 4 2 5" xfId="1350"/>
    <cellStyle name="Comma 2 5 2 4 2 5 10" xfId="33574"/>
    <cellStyle name="Comma 2 5 2 4 2 5 2" xfId="10120"/>
    <cellStyle name="Comma 2 5 2 4 2 5 2 2" xfId="25920"/>
    <cellStyle name="Comma 2 5 2 4 2 5 2 2 2" xfId="45347"/>
    <cellStyle name="Comma 2 5 2 4 2 5 2 2 3" xfId="38924"/>
    <cellStyle name="Comma 2 5 2 4 2 5 2 3" xfId="28098"/>
    <cellStyle name="Comma 2 5 2 4 2 5 2 3 2" xfId="42140"/>
    <cellStyle name="Comma 2 5 2 4 2 5 2 4" xfId="31433"/>
    <cellStyle name="Comma 2 5 2 4 2 5 2 5" xfId="35716"/>
    <cellStyle name="Comma 2 5 2 4 2 5 3" xfId="15805"/>
    <cellStyle name="Comma 2 5 2 4 2 5 3 2" xfId="24820"/>
    <cellStyle name="Comma 2 5 2 4 2 5 3 2 2" xfId="44249"/>
    <cellStyle name="Comma 2 5 2 4 2 5 3 2 3" xfId="37826"/>
    <cellStyle name="Comma 2 5 2 4 2 5 3 3" xfId="29141"/>
    <cellStyle name="Comma 2 5 2 4 2 5 3 3 2" xfId="41042"/>
    <cellStyle name="Comma 2 5 2 4 2 5 3 4" xfId="32476"/>
    <cellStyle name="Comma 2 5 2 4 2 5 3 5" xfId="34618"/>
    <cellStyle name="Comma 2 5 2 4 2 5 4" xfId="8623"/>
    <cellStyle name="Comma 2 5 2 4 2 5 4 2" xfId="43205"/>
    <cellStyle name="Comma 2 5 2 4 2 5 4 3" xfId="36781"/>
    <cellStyle name="Comma 2 5 2 4 2 5 5" xfId="21612"/>
    <cellStyle name="Comma 2 5 2 4 2 5 5 2" xfId="39998"/>
    <cellStyle name="Comma 2 5 2 4 2 5 6" xfId="22685"/>
    <cellStyle name="Comma 2 5 2 4 2 5 7" xfId="23776"/>
    <cellStyle name="Comma 2 5 2 4 2 5 8" xfId="27007"/>
    <cellStyle name="Comma 2 5 2 4 2 5 9" xfId="30340"/>
    <cellStyle name="Comma 2 5 2 4 2 6" xfId="1351"/>
    <cellStyle name="Comma 2 5 2 4 2 6 10" xfId="33575"/>
    <cellStyle name="Comma 2 5 2 4 2 6 2" xfId="10121"/>
    <cellStyle name="Comma 2 5 2 4 2 6 2 2" xfId="25921"/>
    <cellStyle name="Comma 2 5 2 4 2 6 2 2 2" xfId="45348"/>
    <cellStyle name="Comma 2 5 2 4 2 6 2 2 3" xfId="38925"/>
    <cellStyle name="Comma 2 5 2 4 2 6 2 3" xfId="28099"/>
    <cellStyle name="Comma 2 5 2 4 2 6 2 3 2" xfId="42141"/>
    <cellStyle name="Comma 2 5 2 4 2 6 2 4" xfId="31434"/>
    <cellStyle name="Comma 2 5 2 4 2 6 2 5" xfId="35717"/>
    <cellStyle name="Comma 2 5 2 4 2 6 3" xfId="15806"/>
    <cellStyle name="Comma 2 5 2 4 2 6 3 2" xfId="24821"/>
    <cellStyle name="Comma 2 5 2 4 2 6 3 2 2" xfId="44250"/>
    <cellStyle name="Comma 2 5 2 4 2 6 3 2 3" xfId="37827"/>
    <cellStyle name="Comma 2 5 2 4 2 6 3 3" xfId="29142"/>
    <cellStyle name="Comma 2 5 2 4 2 6 3 3 2" xfId="41043"/>
    <cellStyle name="Comma 2 5 2 4 2 6 3 4" xfId="32477"/>
    <cellStyle name="Comma 2 5 2 4 2 6 3 5" xfId="34619"/>
    <cellStyle name="Comma 2 5 2 4 2 6 4" xfId="8624"/>
    <cellStyle name="Comma 2 5 2 4 2 6 4 2" xfId="43206"/>
    <cellStyle name="Comma 2 5 2 4 2 6 4 3" xfId="36782"/>
    <cellStyle name="Comma 2 5 2 4 2 6 5" xfId="21613"/>
    <cellStyle name="Comma 2 5 2 4 2 6 5 2" xfId="39999"/>
    <cellStyle name="Comma 2 5 2 4 2 6 6" xfId="22686"/>
    <cellStyle name="Comma 2 5 2 4 2 6 7" xfId="23777"/>
    <cellStyle name="Comma 2 5 2 4 2 6 8" xfId="27008"/>
    <cellStyle name="Comma 2 5 2 4 2 6 9" xfId="30341"/>
    <cellStyle name="Comma 2 5 2 4 2 7" xfId="9139"/>
    <cellStyle name="Comma 2 5 2 4 2 7 2" xfId="25193"/>
    <cellStyle name="Comma 2 5 2 4 2 7 2 2" xfId="44620"/>
    <cellStyle name="Comma 2 5 2 4 2 7 2 3" xfId="38197"/>
    <cellStyle name="Comma 2 5 2 4 2 7 3" xfId="27372"/>
    <cellStyle name="Comma 2 5 2 4 2 7 3 2" xfId="41413"/>
    <cellStyle name="Comma 2 5 2 4 2 7 4" xfId="30707"/>
    <cellStyle name="Comma 2 5 2 4 2 7 5" xfId="34989"/>
    <cellStyle name="Comma 2 5 2 4 2 8" xfId="15801"/>
    <cellStyle name="Comma 2 5 2 4 2 8 2" xfId="24816"/>
    <cellStyle name="Comma 2 5 2 4 2 8 2 2" xfId="44245"/>
    <cellStyle name="Comma 2 5 2 4 2 8 2 3" xfId="37822"/>
    <cellStyle name="Comma 2 5 2 4 2 8 3" xfId="29137"/>
    <cellStyle name="Comma 2 5 2 4 2 8 3 2" xfId="41038"/>
    <cellStyle name="Comma 2 5 2 4 2 8 4" xfId="32472"/>
    <cellStyle name="Comma 2 5 2 4 2 8 5" xfId="34614"/>
    <cellStyle name="Comma 2 5 2 4 2 9" xfId="8619"/>
    <cellStyle name="Comma 2 5 2 4 2 9 2" xfId="42483"/>
    <cellStyle name="Comma 2 5 2 4 2 9 3" xfId="36059"/>
    <cellStyle name="Comma 2 5 2 4 3" xfId="1352"/>
    <cellStyle name="Comma 2 5 2 4 3 10" xfId="22687"/>
    <cellStyle name="Comma 2 5 2 4 3 11" xfId="23778"/>
    <cellStyle name="Comma 2 5 2 4 3 12" xfId="27009"/>
    <cellStyle name="Comma 2 5 2 4 3 13" xfId="30342"/>
    <cellStyle name="Comma 2 5 2 4 3 14" xfId="33576"/>
    <cellStyle name="Comma 2 5 2 4 3 2" xfId="1353"/>
    <cellStyle name="Comma 2 5 2 4 3 2 10" xfId="33577"/>
    <cellStyle name="Comma 2 5 2 4 3 2 2" xfId="10123"/>
    <cellStyle name="Comma 2 5 2 4 3 2 2 2" xfId="25923"/>
    <cellStyle name="Comma 2 5 2 4 3 2 2 2 2" xfId="45350"/>
    <cellStyle name="Comma 2 5 2 4 3 2 2 2 3" xfId="38927"/>
    <cellStyle name="Comma 2 5 2 4 3 2 2 3" xfId="28101"/>
    <cellStyle name="Comma 2 5 2 4 3 2 2 3 2" xfId="42143"/>
    <cellStyle name="Comma 2 5 2 4 3 2 2 4" xfId="31436"/>
    <cellStyle name="Comma 2 5 2 4 3 2 2 5" xfId="35719"/>
    <cellStyle name="Comma 2 5 2 4 3 2 3" xfId="15808"/>
    <cellStyle name="Comma 2 5 2 4 3 2 3 2" xfId="24823"/>
    <cellStyle name="Comma 2 5 2 4 3 2 3 2 2" xfId="44252"/>
    <cellStyle name="Comma 2 5 2 4 3 2 3 2 3" xfId="37829"/>
    <cellStyle name="Comma 2 5 2 4 3 2 3 3" xfId="29144"/>
    <cellStyle name="Comma 2 5 2 4 3 2 3 3 2" xfId="41045"/>
    <cellStyle name="Comma 2 5 2 4 3 2 3 4" xfId="32479"/>
    <cellStyle name="Comma 2 5 2 4 3 2 3 5" xfId="34621"/>
    <cellStyle name="Comma 2 5 2 4 3 2 4" xfId="8626"/>
    <cellStyle name="Comma 2 5 2 4 3 2 4 2" xfId="43208"/>
    <cellStyle name="Comma 2 5 2 4 3 2 4 3" xfId="36784"/>
    <cellStyle name="Comma 2 5 2 4 3 2 5" xfId="21615"/>
    <cellStyle name="Comma 2 5 2 4 3 2 5 2" xfId="40001"/>
    <cellStyle name="Comma 2 5 2 4 3 2 6" xfId="22688"/>
    <cellStyle name="Comma 2 5 2 4 3 2 7" xfId="23779"/>
    <cellStyle name="Comma 2 5 2 4 3 2 8" xfId="27010"/>
    <cellStyle name="Comma 2 5 2 4 3 2 9" xfId="30343"/>
    <cellStyle name="Comma 2 5 2 4 3 3" xfId="1354"/>
    <cellStyle name="Comma 2 5 2 4 3 3 10" xfId="33578"/>
    <cellStyle name="Comma 2 5 2 4 3 3 2" xfId="10124"/>
    <cellStyle name="Comma 2 5 2 4 3 3 2 2" xfId="25924"/>
    <cellStyle name="Comma 2 5 2 4 3 3 2 2 2" xfId="45351"/>
    <cellStyle name="Comma 2 5 2 4 3 3 2 2 3" xfId="38928"/>
    <cellStyle name="Comma 2 5 2 4 3 3 2 3" xfId="28102"/>
    <cellStyle name="Comma 2 5 2 4 3 3 2 3 2" xfId="42144"/>
    <cellStyle name="Comma 2 5 2 4 3 3 2 4" xfId="31437"/>
    <cellStyle name="Comma 2 5 2 4 3 3 2 5" xfId="35720"/>
    <cellStyle name="Comma 2 5 2 4 3 3 3" xfId="15809"/>
    <cellStyle name="Comma 2 5 2 4 3 3 3 2" xfId="24824"/>
    <cellStyle name="Comma 2 5 2 4 3 3 3 2 2" xfId="44253"/>
    <cellStyle name="Comma 2 5 2 4 3 3 3 2 3" xfId="37830"/>
    <cellStyle name="Comma 2 5 2 4 3 3 3 3" xfId="29145"/>
    <cellStyle name="Comma 2 5 2 4 3 3 3 3 2" xfId="41046"/>
    <cellStyle name="Comma 2 5 2 4 3 3 3 4" xfId="32480"/>
    <cellStyle name="Comma 2 5 2 4 3 3 3 5" xfId="34622"/>
    <cellStyle name="Comma 2 5 2 4 3 3 4" xfId="8627"/>
    <cellStyle name="Comma 2 5 2 4 3 3 4 2" xfId="43209"/>
    <cellStyle name="Comma 2 5 2 4 3 3 4 3" xfId="36785"/>
    <cellStyle name="Comma 2 5 2 4 3 3 5" xfId="21616"/>
    <cellStyle name="Comma 2 5 2 4 3 3 5 2" xfId="40002"/>
    <cellStyle name="Comma 2 5 2 4 3 3 6" xfId="22689"/>
    <cellStyle name="Comma 2 5 2 4 3 3 7" xfId="23780"/>
    <cellStyle name="Comma 2 5 2 4 3 3 8" xfId="27011"/>
    <cellStyle name="Comma 2 5 2 4 3 3 9" xfId="30344"/>
    <cellStyle name="Comma 2 5 2 4 3 4" xfId="1355"/>
    <cellStyle name="Comma 2 5 2 4 3 4 10" xfId="33579"/>
    <cellStyle name="Comma 2 5 2 4 3 4 2" xfId="10125"/>
    <cellStyle name="Comma 2 5 2 4 3 4 2 2" xfId="25925"/>
    <cellStyle name="Comma 2 5 2 4 3 4 2 2 2" xfId="45352"/>
    <cellStyle name="Comma 2 5 2 4 3 4 2 2 3" xfId="38929"/>
    <cellStyle name="Comma 2 5 2 4 3 4 2 3" xfId="28103"/>
    <cellStyle name="Comma 2 5 2 4 3 4 2 3 2" xfId="42145"/>
    <cellStyle name="Comma 2 5 2 4 3 4 2 4" xfId="31438"/>
    <cellStyle name="Comma 2 5 2 4 3 4 2 5" xfId="35721"/>
    <cellStyle name="Comma 2 5 2 4 3 4 3" xfId="15810"/>
    <cellStyle name="Comma 2 5 2 4 3 4 3 2" xfId="24825"/>
    <cellStyle name="Comma 2 5 2 4 3 4 3 2 2" xfId="44254"/>
    <cellStyle name="Comma 2 5 2 4 3 4 3 2 3" xfId="37831"/>
    <cellStyle name="Comma 2 5 2 4 3 4 3 3" xfId="29146"/>
    <cellStyle name="Comma 2 5 2 4 3 4 3 3 2" xfId="41047"/>
    <cellStyle name="Comma 2 5 2 4 3 4 3 4" xfId="32481"/>
    <cellStyle name="Comma 2 5 2 4 3 4 3 5" xfId="34623"/>
    <cellStyle name="Comma 2 5 2 4 3 4 4" xfId="8628"/>
    <cellStyle name="Comma 2 5 2 4 3 4 4 2" xfId="43210"/>
    <cellStyle name="Comma 2 5 2 4 3 4 4 3" xfId="36786"/>
    <cellStyle name="Comma 2 5 2 4 3 4 5" xfId="21617"/>
    <cellStyle name="Comma 2 5 2 4 3 4 5 2" xfId="40003"/>
    <cellStyle name="Comma 2 5 2 4 3 4 6" xfId="22690"/>
    <cellStyle name="Comma 2 5 2 4 3 4 7" xfId="23781"/>
    <cellStyle name="Comma 2 5 2 4 3 4 8" xfId="27012"/>
    <cellStyle name="Comma 2 5 2 4 3 4 9" xfId="30345"/>
    <cellStyle name="Comma 2 5 2 4 3 5" xfId="1356"/>
    <cellStyle name="Comma 2 5 2 4 3 5 10" xfId="33580"/>
    <cellStyle name="Comma 2 5 2 4 3 5 2" xfId="10126"/>
    <cellStyle name="Comma 2 5 2 4 3 5 2 2" xfId="25926"/>
    <cellStyle name="Comma 2 5 2 4 3 5 2 2 2" xfId="45353"/>
    <cellStyle name="Comma 2 5 2 4 3 5 2 2 3" xfId="38930"/>
    <cellStyle name="Comma 2 5 2 4 3 5 2 3" xfId="28104"/>
    <cellStyle name="Comma 2 5 2 4 3 5 2 3 2" xfId="42146"/>
    <cellStyle name="Comma 2 5 2 4 3 5 2 4" xfId="31439"/>
    <cellStyle name="Comma 2 5 2 4 3 5 2 5" xfId="35722"/>
    <cellStyle name="Comma 2 5 2 4 3 5 3" xfId="15811"/>
    <cellStyle name="Comma 2 5 2 4 3 5 3 2" xfId="24826"/>
    <cellStyle name="Comma 2 5 2 4 3 5 3 2 2" xfId="44255"/>
    <cellStyle name="Comma 2 5 2 4 3 5 3 2 3" xfId="37832"/>
    <cellStyle name="Comma 2 5 2 4 3 5 3 3" xfId="29147"/>
    <cellStyle name="Comma 2 5 2 4 3 5 3 3 2" xfId="41048"/>
    <cellStyle name="Comma 2 5 2 4 3 5 3 4" xfId="32482"/>
    <cellStyle name="Comma 2 5 2 4 3 5 3 5" xfId="34624"/>
    <cellStyle name="Comma 2 5 2 4 3 5 4" xfId="8629"/>
    <cellStyle name="Comma 2 5 2 4 3 5 4 2" xfId="43211"/>
    <cellStyle name="Comma 2 5 2 4 3 5 4 3" xfId="36787"/>
    <cellStyle name="Comma 2 5 2 4 3 5 5" xfId="21618"/>
    <cellStyle name="Comma 2 5 2 4 3 5 5 2" xfId="40004"/>
    <cellStyle name="Comma 2 5 2 4 3 5 6" xfId="22691"/>
    <cellStyle name="Comma 2 5 2 4 3 5 7" xfId="23782"/>
    <cellStyle name="Comma 2 5 2 4 3 5 8" xfId="27013"/>
    <cellStyle name="Comma 2 5 2 4 3 5 9" xfId="30346"/>
    <cellStyle name="Comma 2 5 2 4 3 6" xfId="10122"/>
    <cellStyle name="Comma 2 5 2 4 3 6 2" xfId="25922"/>
    <cellStyle name="Comma 2 5 2 4 3 6 2 2" xfId="45349"/>
    <cellStyle name="Comma 2 5 2 4 3 6 2 3" xfId="38926"/>
    <cellStyle name="Comma 2 5 2 4 3 6 3" xfId="28100"/>
    <cellStyle name="Comma 2 5 2 4 3 6 3 2" xfId="42142"/>
    <cellStyle name="Comma 2 5 2 4 3 6 4" xfId="31435"/>
    <cellStyle name="Comma 2 5 2 4 3 6 5" xfId="35718"/>
    <cellStyle name="Comma 2 5 2 4 3 7" xfId="15807"/>
    <cellStyle name="Comma 2 5 2 4 3 7 2" xfId="24822"/>
    <cellStyle name="Comma 2 5 2 4 3 7 2 2" xfId="44251"/>
    <cellStyle name="Comma 2 5 2 4 3 7 2 3" xfId="37828"/>
    <cellStyle name="Comma 2 5 2 4 3 7 3" xfId="29143"/>
    <cellStyle name="Comma 2 5 2 4 3 7 3 2" xfId="41044"/>
    <cellStyle name="Comma 2 5 2 4 3 7 4" xfId="32478"/>
    <cellStyle name="Comma 2 5 2 4 3 7 5" xfId="34620"/>
    <cellStyle name="Comma 2 5 2 4 3 8" xfId="8625"/>
    <cellStyle name="Comma 2 5 2 4 3 8 2" xfId="43207"/>
    <cellStyle name="Comma 2 5 2 4 3 8 3" xfId="36783"/>
    <cellStyle name="Comma 2 5 2 4 3 9" xfId="21614"/>
    <cellStyle name="Comma 2 5 2 4 3 9 2" xfId="40000"/>
    <cellStyle name="Comma 2 5 2 4 4" xfId="1357"/>
    <cellStyle name="Comma 2 5 2 4 4 10" xfId="33581"/>
    <cellStyle name="Comma 2 5 2 4 4 2" xfId="10127"/>
    <cellStyle name="Comma 2 5 2 4 4 2 2" xfId="25927"/>
    <cellStyle name="Comma 2 5 2 4 4 2 2 2" xfId="45354"/>
    <cellStyle name="Comma 2 5 2 4 4 2 2 3" xfId="38931"/>
    <cellStyle name="Comma 2 5 2 4 4 2 3" xfId="28105"/>
    <cellStyle name="Comma 2 5 2 4 4 2 3 2" xfId="42147"/>
    <cellStyle name="Comma 2 5 2 4 4 2 4" xfId="31440"/>
    <cellStyle name="Comma 2 5 2 4 4 2 5" xfId="35723"/>
    <cellStyle name="Comma 2 5 2 4 4 3" xfId="15812"/>
    <cellStyle name="Comma 2 5 2 4 4 3 2" xfId="24827"/>
    <cellStyle name="Comma 2 5 2 4 4 3 2 2" xfId="44256"/>
    <cellStyle name="Comma 2 5 2 4 4 3 2 3" xfId="37833"/>
    <cellStyle name="Comma 2 5 2 4 4 3 3" xfId="29148"/>
    <cellStyle name="Comma 2 5 2 4 4 3 3 2" xfId="41049"/>
    <cellStyle name="Comma 2 5 2 4 4 3 4" xfId="32483"/>
    <cellStyle name="Comma 2 5 2 4 4 3 5" xfId="34625"/>
    <cellStyle name="Comma 2 5 2 4 4 4" xfId="8630"/>
    <cellStyle name="Comma 2 5 2 4 4 4 2" xfId="43212"/>
    <cellStyle name="Comma 2 5 2 4 4 4 3" xfId="36788"/>
    <cellStyle name="Comma 2 5 2 4 4 5" xfId="21619"/>
    <cellStyle name="Comma 2 5 2 4 4 5 2" xfId="40005"/>
    <cellStyle name="Comma 2 5 2 4 4 6" xfId="22692"/>
    <cellStyle name="Comma 2 5 2 4 4 7" xfId="23783"/>
    <cellStyle name="Comma 2 5 2 4 4 8" xfId="27014"/>
    <cellStyle name="Comma 2 5 2 4 4 9" xfId="30347"/>
    <cellStyle name="Comma 2 5 2 4 5" xfId="1358"/>
    <cellStyle name="Comma 2 5 2 4 5 10" xfId="33582"/>
    <cellStyle name="Comma 2 5 2 4 5 2" xfId="10128"/>
    <cellStyle name="Comma 2 5 2 4 5 2 2" xfId="25928"/>
    <cellStyle name="Comma 2 5 2 4 5 2 2 2" xfId="45355"/>
    <cellStyle name="Comma 2 5 2 4 5 2 2 3" xfId="38932"/>
    <cellStyle name="Comma 2 5 2 4 5 2 3" xfId="28106"/>
    <cellStyle name="Comma 2 5 2 4 5 2 3 2" xfId="42148"/>
    <cellStyle name="Comma 2 5 2 4 5 2 4" xfId="31441"/>
    <cellStyle name="Comma 2 5 2 4 5 2 5" xfId="35724"/>
    <cellStyle name="Comma 2 5 2 4 5 3" xfId="15813"/>
    <cellStyle name="Comma 2 5 2 4 5 3 2" xfId="24828"/>
    <cellStyle name="Comma 2 5 2 4 5 3 2 2" xfId="44257"/>
    <cellStyle name="Comma 2 5 2 4 5 3 2 3" xfId="37834"/>
    <cellStyle name="Comma 2 5 2 4 5 3 3" xfId="29149"/>
    <cellStyle name="Comma 2 5 2 4 5 3 3 2" xfId="41050"/>
    <cellStyle name="Comma 2 5 2 4 5 3 4" xfId="32484"/>
    <cellStyle name="Comma 2 5 2 4 5 3 5" xfId="34626"/>
    <cellStyle name="Comma 2 5 2 4 5 4" xfId="8631"/>
    <cellStyle name="Comma 2 5 2 4 5 4 2" xfId="43213"/>
    <cellStyle name="Comma 2 5 2 4 5 4 3" xfId="36789"/>
    <cellStyle name="Comma 2 5 2 4 5 5" xfId="21620"/>
    <cellStyle name="Comma 2 5 2 4 5 5 2" xfId="40006"/>
    <cellStyle name="Comma 2 5 2 4 5 6" xfId="22693"/>
    <cellStyle name="Comma 2 5 2 4 5 7" xfId="23784"/>
    <cellStyle name="Comma 2 5 2 4 5 8" xfId="27015"/>
    <cellStyle name="Comma 2 5 2 4 5 9" xfId="30348"/>
    <cellStyle name="Comma 2 5 2 4 6" xfId="1359"/>
    <cellStyle name="Comma 2 5 2 4 6 10" xfId="33583"/>
    <cellStyle name="Comma 2 5 2 4 6 2" xfId="10129"/>
    <cellStyle name="Comma 2 5 2 4 6 2 2" xfId="25929"/>
    <cellStyle name="Comma 2 5 2 4 6 2 2 2" xfId="45356"/>
    <cellStyle name="Comma 2 5 2 4 6 2 2 3" xfId="38933"/>
    <cellStyle name="Comma 2 5 2 4 6 2 3" xfId="28107"/>
    <cellStyle name="Comma 2 5 2 4 6 2 3 2" xfId="42149"/>
    <cellStyle name="Comma 2 5 2 4 6 2 4" xfId="31442"/>
    <cellStyle name="Comma 2 5 2 4 6 2 5" xfId="35725"/>
    <cellStyle name="Comma 2 5 2 4 6 3" xfId="15814"/>
    <cellStyle name="Comma 2 5 2 4 6 3 2" xfId="24829"/>
    <cellStyle name="Comma 2 5 2 4 6 3 2 2" xfId="44258"/>
    <cellStyle name="Comma 2 5 2 4 6 3 2 3" xfId="37835"/>
    <cellStyle name="Comma 2 5 2 4 6 3 3" xfId="29150"/>
    <cellStyle name="Comma 2 5 2 4 6 3 3 2" xfId="41051"/>
    <cellStyle name="Comma 2 5 2 4 6 3 4" xfId="32485"/>
    <cellStyle name="Comma 2 5 2 4 6 3 5" xfId="34627"/>
    <cellStyle name="Comma 2 5 2 4 6 4" xfId="8632"/>
    <cellStyle name="Comma 2 5 2 4 6 4 2" xfId="43214"/>
    <cellStyle name="Comma 2 5 2 4 6 4 3" xfId="36790"/>
    <cellStyle name="Comma 2 5 2 4 6 5" xfId="21621"/>
    <cellStyle name="Comma 2 5 2 4 6 5 2" xfId="40007"/>
    <cellStyle name="Comma 2 5 2 4 6 6" xfId="22694"/>
    <cellStyle name="Comma 2 5 2 4 6 7" xfId="23785"/>
    <cellStyle name="Comma 2 5 2 4 6 8" xfId="27016"/>
    <cellStyle name="Comma 2 5 2 4 6 9" xfId="30349"/>
    <cellStyle name="Comma 2 5 2 4 7" xfId="1360"/>
    <cellStyle name="Comma 2 5 2 4 7 10" xfId="33584"/>
    <cellStyle name="Comma 2 5 2 4 7 2" xfId="10130"/>
    <cellStyle name="Comma 2 5 2 4 7 2 2" xfId="25930"/>
    <cellStyle name="Comma 2 5 2 4 7 2 2 2" xfId="45357"/>
    <cellStyle name="Comma 2 5 2 4 7 2 2 3" xfId="38934"/>
    <cellStyle name="Comma 2 5 2 4 7 2 3" xfId="28108"/>
    <cellStyle name="Comma 2 5 2 4 7 2 3 2" xfId="42150"/>
    <cellStyle name="Comma 2 5 2 4 7 2 4" xfId="31443"/>
    <cellStyle name="Comma 2 5 2 4 7 2 5" xfId="35726"/>
    <cellStyle name="Comma 2 5 2 4 7 3" xfId="15815"/>
    <cellStyle name="Comma 2 5 2 4 7 3 2" xfId="24830"/>
    <cellStyle name="Comma 2 5 2 4 7 3 2 2" xfId="44259"/>
    <cellStyle name="Comma 2 5 2 4 7 3 2 3" xfId="37836"/>
    <cellStyle name="Comma 2 5 2 4 7 3 3" xfId="29151"/>
    <cellStyle name="Comma 2 5 2 4 7 3 3 2" xfId="41052"/>
    <cellStyle name="Comma 2 5 2 4 7 3 4" xfId="32486"/>
    <cellStyle name="Comma 2 5 2 4 7 3 5" xfId="34628"/>
    <cellStyle name="Comma 2 5 2 4 7 4" xfId="8633"/>
    <cellStyle name="Comma 2 5 2 4 7 4 2" xfId="43215"/>
    <cellStyle name="Comma 2 5 2 4 7 4 3" xfId="36791"/>
    <cellStyle name="Comma 2 5 2 4 7 5" xfId="21622"/>
    <cellStyle name="Comma 2 5 2 4 7 5 2" xfId="40008"/>
    <cellStyle name="Comma 2 5 2 4 7 6" xfId="22695"/>
    <cellStyle name="Comma 2 5 2 4 7 7" xfId="23786"/>
    <cellStyle name="Comma 2 5 2 4 7 8" xfId="27017"/>
    <cellStyle name="Comma 2 5 2 4 7 9" xfId="30350"/>
    <cellStyle name="Comma 2 5 2 4 8" xfId="1361"/>
    <cellStyle name="Comma 2 5 2 4 8 10" xfId="33585"/>
    <cellStyle name="Comma 2 5 2 4 8 2" xfId="10131"/>
    <cellStyle name="Comma 2 5 2 4 8 2 2" xfId="25931"/>
    <cellStyle name="Comma 2 5 2 4 8 2 2 2" xfId="45358"/>
    <cellStyle name="Comma 2 5 2 4 8 2 2 3" xfId="38935"/>
    <cellStyle name="Comma 2 5 2 4 8 2 3" xfId="28109"/>
    <cellStyle name="Comma 2 5 2 4 8 2 3 2" xfId="42151"/>
    <cellStyle name="Comma 2 5 2 4 8 2 4" xfId="31444"/>
    <cellStyle name="Comma 2 5 2 4 8 2 5" xfId="35727"/>
    <cellStyle name="Comma 2 5 2 4 8 3" xfId="15816"/>
    <cellStyle name="Comma 2 5 2 4 8 3 2" xfId="24831"/>
    <cellStyle name="Comma 2 5 2 4 8 3 2 2" xfId="44260"/>
    <cellStyle name="Comma 2 5 2 4 8 3 2 3" xfId="37837"/>
    <cellStyle name="Comma 2 5 2 4 8 3 3" xfId="29152"/>
    <cellStyle name="Comma 2 5 2 4 8 3 3 2" xfId="41053"/>
    <cellStyle name="Comma 2 5 2 4 8 3 4" xfId="32487"/>
    <cellStyle name="Comma 2 5 2 4 8 3 5" xfId="34629"/>
    <cellStyle name="Comma 2 5 2 4 8 4" xfId="8634"/>
    <cellStyle name="Comma 2 5 2 4 8 4 2" xfId="43216"/>
    <cellStyle name="Comma 2 5 2 4 8 4 3" xfId="36792"/>
    <cellStyle name="Comma 2 5 2 4 8 5" xfId="21623"/>
    <cellStyle name="Comma 2 5 2 4 8 5 2" xfId="40009"/>
    <cellStyle name="Comma 2 5 2 4 8 6" xfId="22696"/>
    <cellStyle name="Comma 2 5 2 4 8 7" xfId="23787"/>
    <cellStyle name="Comma 2 5 2 4 8 8" xfId="27018"/>
    <cellStyle name="Comma 2 5 2 4 8 9" xfId="30351"/>
    <cellStyle name="Comma 2 5 2 4 9" xfId="9138"/>
    <cellStyle name="Comma 2 5 2 4 9 2" xfId="25192"/>
    <cellStyle name="Comma 2 5 2 4 9 2 2" xfId="44619"/>
    <cellStyle name="Comma 2 5 2 4 9 2 3" xfId="38196"/>
    <cellStyle name="Comma 2 5 2 4 9 3" xfId="27371"/>
    <cellStyle name="Comma 2 5 2 4 9 3 2" xfId="41412"/>
    <cellStyle name="Comma 2 5 2 4 9 4" xfId="30706"/>
    <cellStyle name="Comma 2 5 2 4 9 5" xfId="34988"/>
    <cellStyle name="Comma 2 5 2 5" xfId="284"/>
    <cellStyle name="Comma 2 5 2 5 10" xfId="21624"/>
    <cellStyle name="Comma 2 5 2 5 10 2" xfId="39277"/>
    <cellStyle name="Comma 2 5 2 5 11" xfId="22697"/>
    <cellStyle name="Comma 2 5 2 5 12" xfId="23055"/>
    <cellStyle name="Comma 2 5 2 5 13" xfId="27019"/>
    <cellStyle name="Comma 2 5 2 5 14" xfId="30352"/>
    <cellStyle name="Comma 2 5 2 5 15" xfId="32853"/>
    <cellStyle name="Comma 2 5 2 5 2" xfId="1362"/>
    <cellStyle name="Comma 2 5 2 5 2 10" xfId="33586"/>
    <cellStyle name="Comma 2 5 2 5 2 2" xfId="10132"/>
    <cellStyle name="Comma 2 5 2 5 2 2 2" xfId="25932"/>
    <cellStyle name="Comma 2 5 2 5 2 2 2 2" xfId="45359"/>
    <cellStyle name="Comma 2 5 2 5 2 2 2 3" xfId="38936"/>
    <cellStyle name="Comma 2 5 2 5 2 2 3" xfId="28110"/>
    <cellStyle name="Comma 2 5 2 5 2 2 3 2" xfId="42152"/>
    <cellStyle name="Comma 2 5 2 5 2 2 4" xfId="31445"/>
    <cellStyle name="Comma 2 5 2 5 2 2 5" xfId="35728"/>
    <cellStyle name="Comma 2 5 2 5 2 3" xfId="15818"/>
    <cellStyle name="Comma 2 5 2 5 2 3 2" xfId="24833"/>
    <cellStyle name="Comma 2 5 2 5 2 3 2 2" xfId="44262"/>
    <cellStyle name="Comma 2 5 2 5 2 3 2 3" xfId="37839"/>
    <cellStyle name="Comma 2 5 2 5 2 3 3" xfId="29154"/>
    <cellStyle name="Comma 2 5 2 5 2 3 3 2" xfId="41055"/>
    <cellStyle name="Comma 2 5 2 5 2 3 4" xfId="32489"/>
    <cellStyle name="Comma 2 5 2 5 2 3 5" xfId="34631"/>
    <cellStyle name="Comma 2 5 2 5 2 4" xfId="8636"/>
    <cellStyle name="Comma 2 5 2 5 2 4 2" xfId="43217"/>
    <cellStyle name="Comma 2 5 2 5 2 4 3" xfId="36793"/>
    <cellStyle name="Comma 2 5 2 5 2 5" xfId="21625"/>
    <cellStyle name="Comma 2 5 2 5 2 5 2" xfId="40010"/>
    <cellStyle name="Comma 2 5 2 5 2 6" xfId="22698"/>
    <cellStyle name="Comma 2 5 2 5 2 7" xfId="23788"/>
    <cellStyle name="Comma 2 5 2 5 2 8" xfId="27020"/>
    <cellStyle name="Comma 2 5 2 5 2 9" xfId="30353"/>
    <cellStyle name="Comma 2 5 2 5 3" xfId="1363"/>
    <cellStyle name="Comma 2 5 2 5 3 10" xfId="33587"/>
    <cellStyle name="Comma 2 5 2 5 3 2" xfId="10133"/>
    <cellStyle name="Comma 2 5 2 5 3 2 2" xfId="25933"/>
    <cellStyle name="Comma 2 5 2 5 3 2 2 2" xfId="45360"/>
    <cellStyle name="Comma 2 5 2 5 3 2 2 3" xfId="38937"/>
    <cellStyle name="Comma 2 5 2 5 3 2 3" xfId="28111"/>
    <cellStyle name="Comma 2 5 2 5 3 2 3 2" xfId="42153"/>
    <cellStyle name="Comma 2 5 2 5 3 2 4" xfId="31446"/>
    <cellStyle name="Comma 2 5 2 5 3 2 5" xfId="35729"/>
    <cellStyle name="Comma 2 5 2 5 3 3" xfId="15819"/>
    <cellStyle name="Comma 2 5 2 5 3 3 2" xfId="24834"/>
    <cellStyle name="Comma 2 5 2 5 3 3 2 2" xfId="44263"/>
    <cellStyle name="Comma 2 5 2 5 3 3 2 3" xfId="37840"/>
    <cellStyle name="Comma 2 5 2 5 3 3 3" xfId="29155"/>
    <cellStyle name="Comma 2 5 2 5 3 3 3 2" xfId="41056"/>
    <cellStyle name="Comma 2 5 2 5 3 3 4" xfId="32490"/>
    <cellStyle name="Comma 2 5 2 5 3 3 5" xfId="34632"/>
    <cellStyle name="Comma 2 5 2 5 3 4" xfId="8637"/>
    <cellStyle name="Comma 2 5 2 5 3 4 2" xfId="43218"/>
    <cellStyle name="Comma 2 5 2 5 3 4 3" xfId="36794"/>
    <cellStyle name="Comma 2 5 2 5 3 5" xfId="21626"/>
    <cellStyle name="Comma 2 5 2 5 3 5 2" xfId="40011"/>
    <cellStyle name="Comma 2 5 2 5 3 6" xfId="22699"/>
    <cellStyle name="Comma 2 5 2 5 3 7" xfId="23789"/>
    <cellStyle name="Comma 2 5 2 5 3 8" xfId="27021"/>
    <cellStyle name="Comma 2 5 2 5 3 9" xfId="30354"/>
    <cellStyle name="Comma 2 5 2 5 4" xfId="1364"/>
    <cellStyle name="Comma 2 5 2 5 4 10" xfId="33588"/>
    <cellStyle name="Comma 2 5 2 5 4 2" xfId="10134"/>
    <cellStyle name="Comma 2 5 2 5 4 2 2" xfId="25934"/>
    <cellStyle name="Comma 2 5 2 5 4 2 2 2" xfId="45361"/>
    <cellStyle name="Comma 2 5 2 5 4 2 2 3" xfId="38938"/>
    <cellStyle name="Comma 2 5 2 5 4 2 3" xfId="28112"/>
    <cellStyle name="Comma 2 5 2 5 4 2 3 2" xfId="42154"/>
    <cellStyle name="Comma 2 5 2 5 4 2 4" xfId="31447"/>
    <cellStyle name="Comma 2 5 2 5 4 2 5" xfId="35730"/>
    <cellStyle name="Comma 2 5 2 5 4 3" xfId="15820"/>
    <cellStyle name="Comma 2 5 2 5 4 3 2" xfId="24835"/>
    <cellStyle name="Comma 2 5 2 5 4 3 2 2" xfId="44264"/>
    <cellStyle name="Comma 2 5 2 5 4 3 2 3" xfId="37841"/>
    <cellStyle name="Comma 2 5 2 5 4 3 3" xfId="29156"/>
    <cellStyle name="Comma 2 5 2 5 4 3 3 2" xfId="41057"/>
    <cellStyle name="Comma 2 5 2 5 4 3 4" xfId="32491"/>
    <cellStyle name="Comma 2 5 2 5 4 3 5" xfId="34633"/>
    <cellStyle name="Comma 2 5 2 5 4 4" xfId="8638"/>
    <cellStyle name="Comma 2 5 2 5 4 4 2" xfId="43219"/>
    <cellStyle name="Comma 2 5 2 5 4 4 3" xfId="36795"/>
    <cellStyle name="Comma 2 5 2 5 4 5" xfId="21627"/>
    <cellStyle name="Comma 2 5 2 5 4 5 2" xfId="40012"/>
    <cellStyle name="Comma 2 5 2 5 4 6" xfId="22700"/>
    <cellStyle name="Comma 2 5 2 5 4 7" xfId="23790"/>
    <cellStyle name="Comma 2 5 2 5 4 8" xfId="27022"/>
    <cellStyle name="Comma 2 5 2 5 4 9" xfId="30355"/>
    <cellStyle name="Comma 2 5 2 5 5" xfId="1365"/>
    <cellStyle name="Comma 2 5 2 5 5 10" xfId="33589"/>
    <cellStyle name="Comma 2 5 2 5 5 2" xfId="10135"/>
    <cellStyle name="Comma 2 5 2 5 5 2 2" xfId="25935"/>
    <cellStyle name="Comma 2 5 2 5 5 2 2 2" xfId="45362"/>
    <cellStyle name="Comma 2 5 2 5 5 2 2 3" xfId="38939"/>
    <cellStyle name="Comma 2 5 2 5 5 2 3" xfId="28113"/>
    <cellStyle name="Comma 2 5 2 5 5 2 3 2" xfId="42155"/>
    <cellStyle name="Comma 2 5 2 5 5 2 4" xfId="31448"/>
    <cellStyle name="Comma 2 5 2 5 5 2 5" xfId="35731"/>
    <cellStyle name="Comma 2 5 2 5 5 3" xfId="15821"/>
    <cellStyle name="Comma 2 5 2 5 5 3 2" xfId="24836"/>
    <cellStyle name="Comma 2 5 2 5 5 3 2 2" xfId="44265"/>
    <cellStyle name="Comma 2 5 2 5 5 3 2 3" xfId="37842"/>
    <cellStyle name="Comma 2 5 2 5 5 3 3" xfId="29157"/>
    <cellStyle name="Comma 2 5 2 5 5 3 3 2" xfId="41058"/>
    <cellStyle name="Comma 2 5 2 5 5 3 4" xfId="32492"/>
    <cellStyle name="Comma 2 5 2 5 5 3 5" xfId="34634"/>
    <cellStyle name="Comma 2 5 2 5 5 4" xfId="8639"/>
    <cellStyle name="Comma 2 5 2 5 5 4 2" xfId="43220"/>
    <cellStyle name="Comma 2 5 2 5 5 4 3" xfId="36796"/>
    <cellStyle name="Comma 2 5 2 5 5 5" xfId="21628"/>
    <cellStyle name="Comma 2 5 2 5 5 5 2" xfId="40013"/>
    <cellStyle name="Comma 2 5 2 5 5 6" xfId="22701"/>
    <cellStyle name="Comma 2 5 2 5 5 7" xfId="23791"/>
    <cellStyle name="Comma 2 5 2 5 5 8" xfId="27023"/>
    <cellStyle name="Comma 2 5 2 5 5 9" xfId="30356"/>
    <cellStyle name="Comma 2 5 2 5 6" xfId="1366"/>
    <cellStyle name="Comma 2 5 2 5 6 10" xfId="33590"/>
    <cellStyle name="Comma 2 5 2 5 6 2" xfId="10136"/>
    <cellStyle name="Comma 2 5 2 5 6 2 2" xfId="25936"/>
    <cellStyle name="Comma 2 5 2 5 6 2 2 2" xfId="45363"/>
    <cellStyle name="Comma 2 5 2 5 6 2 2 3" xfId="38940"/>
    <cellStyle name="Comma 2 5 2 5 6 2 3" xfId="28114"/>
    <cellStyle name="Comma 2 5 2 5 6 2 3 2" xfId="42156"/>
    <cellStyle name="Comma 2 5 2 5 6 2 4" xfId="31449"/>
    <cellStyle name="Comma 2 5 2 5 6 2 5" xfId="35732"/>
    <cellStyle name="Comma 2 5 2 5 6 3" xfId="15822"/>
    <cellStyle name="Comma 2 5 2 5 6 3 2" xfId="24837"/>
    <cellStyle name="Comma 2 5 2 5 6 3 2 2" xfId="44266"/>
    <cellStyle name="Comma 2 5 2 5 6 3 2 3" xfId="37843"/>
    <cellStyle name="Comma 2 5 2 5 6 3 3" xfId="29158"/>
    <cellStyle name="Comma 2 5 2 5 6 3 3 2" xfId="41059"/>
    <cellStyle name="Comma 2 5 2 5 6 3 4" xfId="32493"/>
    <cellStyle name="Comma 2 5 2 5 6 3 5" xfId="34635"/>
    <cellStyle name="Comma 2 5 2 5 6 4" xfId="8640"/>
    <cellStyle name="Comma 2 5 2 5 6 4 2" xfId="43221"/>
    <cellStyle name="Comma 2 5 2 5 6 4 3" xfId="36797"/>
    <cellStyle name="Comma 2 5 2 5 6 5" xfId="21629"/>
    <cellStyle name="Comma 2 5 2 5 6 5 2" xfId="40014"/>
    <cellStyle name="Comma 2 5 2 5 6 6" xfId="22702"/>
    <cellStyle name="Comma 2 5 2 5 6 7" xfId="23792"/>
    <cellStyle name="Comma 2 5 2 5 6 8" xfId="27024"/>
    <cellStyle name="Comma 2 5 2 5 6 9" xfId="30357"/>
    <cellStyle name="Comma 2 5 2 5 7" xfId="9140"/>
    <cellStyle name="Comma 2 5 2 5 7 2" xfId="25194"/>
    <cellStyle name="Comma 2 5 2 5 7 2 2" xfId="44621"/>
    <cellStyle name="Comma 2 5 2 5 7 2 3" xfId="38198"/>
    <cellStyle name="Comma 2 5 2 5 7 3" xfId="27373"/>
    <cellStyle name="Comma 2 5 2 5 7 3 2" xfId="41414"/>
    <cellStyle name="Comma 2 5 2 5 7 4" xfId="30708"/>
    <cellStyle name="Comma 2 5 2 5 7 5" xfId="34990"/>
    <cellStyle name="Comma 2 5 2 5 8" xfId="15817"/>
    <cellStyle name="Comma 2 5 2 5 8 2" xfId="24832"/>
    <cellStyle name="Comma 2 5 2 5 8 2 2" xfId="44261"/>
    <cellStyle name="Comma 2 5 2 5 8 2 3" xfId="37838"/>
    <cellStyle name="Comma 2 5 2 5 8 3" xfId="29153"/>
    <cellStyle name="Comma 2 5 2 5 8 3 2" xfId="41054"/>
    <cellStyle name="Comma 2 5 2 5 8 4" xfId="32488"/>
    <cellStyle name="Comma 2 5 2 5 8 5" xfId="34630"/>
    <cellStyle name="Comma 2 5 2 5 9" xfId="8635"/>
    <cellStyle name="Comma 2 5 2 5 9 2" xfId="42484"/>
    <cellStyle name="Comma 2 5 2 5 9 3" xfId="36060"/>
    <cellStyle name="Comma 2 5 2 6" xfId="1367"/>
    <cellStyle name="Comma 2 5 2 6 10" xfId="22703"/>
    <cellStyle name="Comma 2 5 2 6 11" xfId="23793"/>
    <cellStyle name="Comma 2 5 2 6 12" xfId="27025"/>
    <cellStyle name="Comma 2 5 2 6 13" xfId="30358"/>
    <cellStyle name="Comma 2 5 2 6 14" xfId="33591"/>
    <cellStyle name="Comma 2 5 2 6 2" xfId="1368"/>
    <cellStyle name="Comma 2 5 2 6 2 10" xfId="33592"/>
    <cellStyle name="Comma 2 5 2 6 2 2" xfId="10138"/>
    <cellStyle name="Comma 2 5 2 6 2 2 2" xfId="25938"/>
    <cellStyle name="Comma 2 5 2 6 2 2 2 2" xfId="45365"/>
    <cellStyle name="Comma 2 5 2 6 2 2 2 3" xfId="38942"/>
    <cellStyle name="Comma 2 5 2 6 2 2 3" xfId="28116"/>
    <cellStyle name="Comma 2 5 2 6 2 2 3 2" xfId="42158"/>
    <cellStyle name="Comma 2 5 2 6 2 2 4" xfId="31451"/>
    <cellStyle name="Comma 2 5 2 6 2 2 5" xfId="35734"/>
    <cellStyle name="Comma 2 5 2 6 2 3" xfId="15824"/>
    <cellStyle name="Comma 2 5 2 6 2 3 2" xfId="24839"/>
    <cellStyle name="Comma 2 5 2 6 2 3 2 2" xfId="44268"/>
    <cellStyle name="Comma 2 5 2 6 2 3 2 3" xfId="37845"/>
    <cellStyle name="Comma 2 5 2 6 2 3 3" xfId="29160"/>
    <cellStyle name="Comma 2 5 2 6 2 3 3 2" xfId="41061"/>
    <cellStyle name="Comma 2 5 2 6 2 3 4" xfId="32495"/>
    <cellStyle name="Comma 2 5 2 6 2 3 5" xfId="34637"/>
    <cellStyle name="Comma 2 5 2 6 2 4" xfId="8642"/>
    <cellStyle name="Comma 2 5 2 6 2 4 2" xfId="43223"/>
    <cellStyle name="Comma 2 5 2 6 2 4 3" xfId="36799"/>
    <cellStyle name="Comma 2 5 2 6 2 5" xfId="21631"/>
    <cellStyle name="Comma 2 5 2 6 2 5 2" xfId="40016"/>
    <cellStyle name="Comma 2 5 2 6 2 6" xfId="22704"/>
    <cellStyle name="Comma 2 5 2 6 2 7" xfId="23794"/>
    <cellStyle name="Comma 2 5 2 6 2 8" xfId="27026"/>
    <cellStyle name="Comma 2 5 2 6 2 9" xfId="30359"/>
    <cellStyle name="Comma 2 5 2 6 3" xfId="1369"/>
    <cellStyle name="Comma 2 5 2 6 3 10" xfId="33593"/>
    <cellStyle name="Comma 2 5 2 6 3 2" xfId="10139"/>
    <cellStyle name="Comma 2 5 2 6 3 2 2" xfId="25939"/>
    <cellStyle name="Comma 2 5 2 6 3 2 2 2" xfId="45366"/>
    <cellStyle name="Comma 2 5 2 6 3 2 2 3" xfId="38943"/>
    <cellStyle name="Comma 2 5 2 6 3 2 3" xfId="28117"/>
    <cellStyle name="Comma 2 5 2 6 3 2 3 2" xfId="42159"/>
    <cellStyle name="Comma 2 5 2 6 3 2 4" xfId="31452"/>
    <cellStyle name="Comma 2 5 2 6 3 2 5" xfId="35735"/>
    <cellStyle name="Comma 2 5 2 6 3 3" xfId="15825"/>
    <cellStyle name="Comma 2 5 2 6 3 3 2" xfId="24840"/>
    <cellStyle name="Comma 2 5 2 6 3 3 2 2" xfId="44269"/>
    <cellStyle name="Comma 2 5 2 6 3 3 2 3" xfId="37846"/>
    <cellStyle name="Comma 2 5 2 6 3 3 3" xfId="29161"/>
    <cellStyle name="Comma 2 5 2 6 3 3 3 2" xfId="41062"/>
    <cellStyle name="Comma 2 5 2 6 3 3 4" xfId="32496"/>
    <cellStyle name="Comma 2 5 2 6 3 3 5" xfId="34638"/>
    <cellStyle name="Comma 2 5 2 6 3 4" xfId="8643"/>
    <cellStyle name="Comma 2 5 2 6 3 4 2" xfId="43224"/>
    <cellStyle name="Comma 2 5 2 6 3 4 3" xfId="36800"/>
    <cellStyle name="Comma 2 5 2 6 3 5" xfId="21632"/>
    <cellStyle name="Comma 2 5 2 6 3 5 2" xfId="40017"/>
    <cellStyle name="Comma 2 5 2 6 3 6" xfId="22705"/>
    <cellStyle name="Comma 2 5 2 6 3 7" xfId="23795"/>
    <cellStyle name="Comma 2 5 2 6 3 8" xfId="27027"/>
    <cellStyle name="Comma 2 5 2 6 3 9" xfId="30360"/>
    <cellStyle name="Comma 2 5 2 6 4" xfId="1370"/>
    <cellStyle name="Comma 2 5 2 6 4 10" xfId="33594"/>
    <cellStyle name="Comma 2 5 2 6 4 2" xfId="10140"/>
    <cellStyle name="Comma 2 5 2 6 4 2 2" xfId="25940"/>
    <cellStyle name="Comma 2 5 2 6 4 2 2 2" xfId="45367"/>
    <cellStyle name="Comma 2 5 2 6 4 2 2 3" xfId="38944"/>
    <cellStyle name="Comma 2 5 2 6 4 2 3" xfId="28118"/>
    <cellStyle name="Comma 2 5 2 6 4 2 3 2" xfId="42160"/>
    <cellStyle name="Comma 2 5 2 6 4 2 4" xfId="31453"/>
    <cellStyle name="Comma 2 5 2 6 4 2 5" xfId="35736"/>
    <cellStyle name="Comma 2 5 2 6 4 3" xfId="15826"/>
    <cellStyle name="Comma 2 5 2 6 4 3 2" xfId="24841"/>
    <cellStyle name="Comma 2 5 2 6 4 3 2 2" xfId="44270"/>
    <cellStyle name="Comma 2 5 2 6 4 3 2 3" xfId="37847"/>
    <cellStyle name="Comma 2 5 2 6 4 3 3" xfId="29162"/>
    <cellStyle name="Comma 2 5 2 6 4 3 3 2" xfId="41063"/>
    <cellStyle name="Comma 2 5 2 6 4 3 4" xfId="32497"/>
    <cellStyle name="Comma 2 5 2 6 4 3 5" xfId="34639"/>
    <cellStyle name="Comma 2 5 2 6 4 4" xfId="8644"/>
    <cellStyle name="Comma 2 5 2 6 4 4 2" xfId="43225"/>
    <cellStyle name="Comma 2 5 2 6 4 4 3" xfId="36801"/>
    <cellStyle name="Comma 2 5 2 6 4 5" xfId="21633"/>
    <cellStyle name="Comma 2 5 2 6 4 5 2" xfId="40018"/>
    <cellStyle name="Comma 2 5 2 6 4 6" xfId="22706"/>
    <cellStyle name="Comma 2 5 2 6 4 7" xfId="23796"/>
    <cellStyle name="Comma 2 5 2 6 4 8" xfId="27028"/>
    <cellStyle name="Comma 2 5 2 6 4 9" xfId="30361"/>
    <cellStyle name="Comma 2 5 2 6 5" xfId="1371"/>
    <cellStyle name="Comma 2 5 2 6 5 10" xfId="33595"/>
    <cellStyle name="Comma 2 5 2 6 5 2" xfId="10141"/>
    <cellStyle name="Comma 2 5 2 6 5 2 2" xfId="25941"/>
    <cellStyle name="Comma 2 5 2 6 5 2 2 2" xfId="45368"/>
    <cellStyle name="Comma 2 5 2 6 5 2 2 3" xfId="38945"/>
    <cellStyle name="Comma 2 5 2 6 5 2 3" xfId="28119"/>
    <cellStyle name="Comma 2 5 2 6 5 2 3 2" xfId="42161"/>
    <cellStyle name="Comma 2 5 2 6 5 2 4" xfId="31454"/>
    <cellStyle name="Comma 2 5 2 6 5 2 5" xfId="35737"/>
    <cellStyle name="Comma 2 5 2 6 5 3" xfId="15827"/>
    <cellStyle name="Comma 2 5 2 6 5 3 2" xfId="24842"/>
    <cellStyle name="Comma 2 5 2 6 5 3 2 2" xfId="44271"/>
    <cellStyle name="Comma 2 5 2 6 5 3 2 3" xfId="37848"/>
    <cellStyle name="Comma 2 5 2 6 5 3 3" xfId="29163"/>
    <cellStyle name="Comma 2 5 2 6 5 3 3 2" xfId="41064"/>
    <cellStyle name="Comma 2 5 2 6 5 3 4" xfId="32498"/>
    <cellStyle name="Comma 2 5 2 6 5 3 5" xfId="34640"/>
    <cellStyle name="Comma 2 5 2 6 5 4" xfId="8645"/>
    <cellStyle name="Comma 2 5 2 6 5 4 2" xfId="43226"/>
    <cellStyle name="Comma 2 5 2 6 5 4 3" xfId="36802"/>
    <cellStyle name="Comma 2 5 2 6 5 5" xfId="21634"/>
    <cellStyle name="Comma 2 5 2 6 5 5 2" xfId="40019"/>
    <cellStyle name="Comma 2 5 2 6 5 6" xfId="22707"/>
    <cellStyle name="Comma 2 5 2 6 5 7" xfId="23797"/>
    <cellStyle name="Comma 2 5 2 6 5 8" xfId="27029"/>
    <cellStyle name="Comma 2 5 2 6 5 9" xfId="30362"/>
    <cellStyle name="Comma 2 5 2 6 6" xfId="10137"/>
    <cellStyle name="Comma 2 5 2 6 6 2" xfId="25937"/>
    <cellStyle name="Comma 2 5 2 6 6 2 2" xfId="45364"/>
    <cellStyle name="Comma 2 5 2 6 6 2 3" xfId="38941"/>
    <cellStyle name="Comma 2 5 2 6 6 3" xfId="28115"/>
    <cellStyle name="Comma 2 5 2 6 6 3 2" xfId="42157"/>
    <cellStyle name="Comma 2 5 2 6 6 4" xfId="31450"/>
    <cellStyle name="Comma 2 5 2 6 6 5" xfId="35733"/>
    <cellStyle name="Comma 2 5 2 6 7" xfId="15823"/>
    <cellStyle name="Comma 2 5 2 6 7 2" xfId="24838"/>
    <cellStyle name="Comma 2 5 2 6 7 2 2" xfId="44267"/>
    <cellStyle name="Comma 2 5 2 6 7 2 3" xfId="37844"/>
    <cellStyle name="Comma 2 5 2 6 7 3" xfId="29159"/>
    <cellStyle name="Comma 2 5 2 6 7 3 2" xfId="41060"/>
    <cellStyle name="Comma 2 5 2 6 7 4" xfId="32494"/>
    <cellStyle name="Comma 2 5 2 6 7 5" xfId="34636"/>
    <cellStyle name="Comma 2 5 2 6 8" xfId="8641"/>
    <cellStyle name="Comma 2 5 2 6 8 2" xfId="43222"/>
    <cellStyle name="Comma 2 5 2 6 8 3" xfId="36798"/>
    <cellStyle name="Comma 2 5 2 6 9" xfId="21630"/>
    <cellStyle name="Comma 2 5 2 6 9 2" xfId="40015"/>
    <cellStyle name="Comma 2 5 2 7" xfId="1372"/>
    <cellStyle name="Comma 2 5 2 7 10" xfId="22708"/>
    <cellStyle name="Comma 2 5 2 7 11" xfId="23798"/>
    <cellStyle name="Comma 2 5 2 7 12" xfId="27030"/>
    <cellStyle name="Comma 2 5 2 7 13" xfId="30363"/>
    <cellStyle name="Comma 2 5 2 7 14" xfId="33596"/>
    <cellStyle name="Comma 2 5 2 7 2" xfId="1373"/>
    <cellStyle name="Comma 2 5 2 7 2 10" xfId="33597"/>
    <cellStyle name="Comma 2 5 2 7 2 2" xfId="10143"/>
    <cellStyle name="Comma 2 5 2 7 2 2 2" xfId="25943"/>
    <cellStyle name="Comma 2 5 2 7 2 2 2 2" xfId="45370"/>
    <cellStyle name="Comma 2 5 2 7 2 2 2 3" xfId="38947"/>
    <cellStyle name="Comma 2 5 2 7 2 2 3" xfId="28121"/>
    <cellStyle name="Comma 2 5 2 7 2 2 3 2" xfId="42163"/>
    <cellStyle name="Comma 2 5 2 7 2 2 4" xfId="31456"/>
    <cellStyle name="Comma 2 5 2 7 2 2 5" xfId="35739"/>
    <cellStyle name="Comma 2 5 2 7 2 3" xfId="15829"/>
    <cellStyle name="Comma 2 5 2 7 2 3 2" xfId="24844"/>
    <cellStyle name="Comma 2 5 2 7 2 3 2 2" xfId="44273"/>
    <cellStyle name="Comma 2 5 2 7 2 3 2 3" xfId="37850"/>
    <cellStyle name="Comma 2 5 2 7 2 3 3" xfId="29165"/>
    <cellStyle name="Comma 2 5 2 7 2 3 3 2" xfId="41066"/>
    <cellStyle name="Comma 2 5 2 7 2 3 4" xfId="32500"/>
    <cellStyle name="Comma 2 5 2 7 2 3 5" xfId="34642"/>
    <cellStyle name="Comma 2 5 2 7 2 4" xfId="8647"/>
    <cellStyle name="Comma 2 5 2 7 2 4 2" xfId="43228"/>
    <cellStyle name="Comma 2 5 2 7 2 4 3" xfId="36804"/>
    <cellStyle name="Comma 2 5 2 7 2 5" xfId="21636"/>
    <cellStyle name="Comma 2 5 2 7 2 5 2" xfId="40021"/>
    <cellStyle name="Comma 2 5 2 7 2 6" xfId="22709"/>
    <cellStyle name="Comma 2 5 2 7 2 7" xfId="23799"/>
    <cellStyle name="Comma 2 5 2 7 2 8" xfId="27031"/>
    <cellStyle name="Comma 2 5 2 7 2 9" xfId="30364"/>
    <cellStyle name="Comma 2 5 2 7 3" xfId="1374"/>
    <cellStyle name="Comma 2 5 2 7 3 10" xfId="33598"/>
    <cellStyle name="Comma 2 5 2 7 3 2" xfId="10144"/>
    <cellStyle name="Comma 2 5 2 7 3 2 2" xfId="25944"/>
    <cellStyle name="Comma 2 5 2 7 3 2 2 2" xfId="45371"/>
    <cellStyle name="Comma 2 5 2 7 3 2 2 3" xfId="38948"/>
    <cellStyle name="Comma 2 5 2 7 3 2 3" xfId="28122"/>
    <cellStyle name="Comma 2 5 2 7 3 2 3 2" xfId="42164"/>
    <cellStyle name="Comma 2 5 2 7 3 2 4" xfId="31457"/>
    <cellStyle name="Comma 2 5 2 7 3 2 5" xfId="35740"/>
    <cellStyle name="Comma 2 5 2 7 3 3" xfId="15830"/>
    <cellStyle name="Comma 2 5 2 7 3 3 2" xfId="24845"/>
    <cellStyle name="Comma 2 5 2 7 3 3 2 2" xfId="44274"/>
    <cellStyle name="Comma 2 5 2 7 3 3 2 3" xfId="37851"/>
    <cellStyle name="Comma 2 5 2 7 3 3 3" xfId="29166"/>
    <cellStyle name="Comma 2 5 2 7 3 3 3 2" xfId="41067"/>
    <cellStyle name="Comma 2 5 2 7 3 3 4" xfId="32501"/>
    <cellStyle name="Comma 2 5 2 7 3 3 5" xfId="34643"/>
    <cellStyle name="Comma 2 5 2 7 3 4" xfId="8648"/>
    <cellStyle name="Comma 2 5 2 7 3 4 2" xfId="43229"/>
    <cellStyle name="Comma 2 5 2 7 3 4 3" xfId="36805"/>
    <cellStyle name="Comma 2 5 2 7 3 5" xfId="21637"/>
    <cellStyle name="Comma 2 5 2 7 3 5 2" xfId="40022"/>
    <cellStyle name="Comma 2 5 2 7 3 6" xfId="22710"/>
    <cellStyle name="Comma 2 5 2 7 3 7" xfId="23800"/>
    <cellStyle name="Comma 2 5 2 7 3 8" xfId="27032"/>
    <cellStyle name="Comma 2 5 2 7 3 9" xfId="30365"/>
    <cellStyle name="Comma 2 5 2 7 4" xfId="1375"/>
    <cellStyle name="Comma 2 5 2 7 4 10" xfId="33599"/>
    <cellStyle name="Comma 2 5 2 7 4 2" xfId="10145"/>
    <cellStyle name="Comma 2 5 2 7 4 2 2" xfId="25945"/>
    <cellStyle name="Comma 2 5 2 7 4 2 2 2" xfId="45372"/>
    <cellStyle name="Comma 2 5 2 7 4 2 2 3" xfId="38949"/>
    <cellStyle name="Comma 2 5 2 7 4 2 3" xfId="28123"/>
    <cellStyle name="Comma 2 5 2 7 4 2 3 2" xfId="42165"/>
    <cellStyle name="Comma 2 5 2 7 4 2 4" xfId="31458"/>
    <cellStyle name="Comma 2 5 2 7 4 2 5" xfId="35741"/>
    <cellStyle name="Comma 2 5 2 7 4 3" xfId="15831"/>
    <cellStyle name="Comma 2 5 2 7 4 3 2" xfId="24846"/>
    <cellStyle name="Comma 2 5 2 7 4 3 2 2" xfId="44275"/>
    <cellStyle name="Comma 2 5 2 7 4 3 2 3" xfId="37852"/>
    <cellStyle name="Comma 2 5 2 7 4 3 3" xfId="29167"/>
    <cellStyle name="Comma 2 5 2 7 4 3 3 2" xfId="41068"/>
    <cellStyle name="Comma 2 5 2 7 4 3 4" xfId="32502"/>
    <cellStyle name="Comma 2 5 2 7 4 3 5" xfId="34644"/>
    <cellStyle name="Comma 2 5 2 7 4 4" xfId="8649"/>
    <cellStyle name="Comma 2 5 2 7 4 4 2" xfId="43230"/>
    <cellStyle name="Comma 2 5 2 7 4 4 3" xfId="36806"/>
    <cellStyle name="Comma 2 5 2 7 4 5" xfId="21638"/>
    <cellStyle name="Comma 2 5 2 7 4 5 2" xfId="40023"/>
    <cellStyle name="Comma 2 5 2 7 4 6" xfId="22711"/>
    <cellStyle name="Comma 2 5 2 7 4 7" xfId="23801"/>
    <cellStyle name="Comma 2 5 2 7 4 8" xfId="27033"/>
    <cellStyle name="Comma 2 5 2 7 4 9" xfId="30366"/>
    <cellStyle name="Comma 2 5 2 7 5" xfId="1376"/>
    <cellStyle name="Comma 2 5 2 7 5 10" xfId="33600"/>
    <cellStyle name="Comma 2 5 2 7 5 2" xfId="10146"/>
    <cellStyle name="Comma 2 5 2 7 5 2 2" xfId="25946"/>
    <cellStyle name="Comma 2 5 2 7 5 2 2 2" xfId="45373"/>
    <cellStyle name="Comma 2 5 2 7 5 2 2 3" xfId="38950"/>
    <cellStyle name="Comma 2 5 2 7 5 2 3" xfId="28124"/>
    <cellStyle name="Comma 2 5 2 7 5 2 3 2" xfId="42166"/>
    <cellStyle name="Comma 2 5 2 7 5 2 4" xfId="31459"/>
    <cellStyle name="Comma 2 5 2 7 5 2 5" xfId="35742"/>
    <cellStyle name="Comma 2 5 2 7 5 3" xfId="15832"/>
    <cellStyle name="Comma 2 5 2 7 5 3 2" xfId="24847"/>
    <cellStyle name="Comma 2 5 2 7 5 3 2 2" xfId="44276"/>
    <cellStyle name="Comma 2 5 2 7 5 3 2 3" xfId="37853"/>
    <cellStyle name="Comma 2 5 2 7 5 3 3" xfId="29168"/>
    <cellStyle name="Comma 2 5 2 7 5 3 3 2" xfId="41069"/>
    <cellStyle name="Comma 2 5 2 7 5 3 4" xfId="32503"/>
    <cellStyle name="Comma 2 5 2 7 5 3 5" xfId="34645"/>
    <cellStyle name="Comma 2 5 2 7 5 4" xfId="8650"/>
    <cellStyle name="Comma 2 5 2 7 5 4 2" xfId="43231"/>
    <cellStyle name="Comma 2 5 2 7 5 4 3" xfId="36807"/>
    <cellStyle name="Comma 2 5 2 7 5 5" xfId="21639"/>
    <cellStyle name="Comma 2 5 2 7 5 5 2" xfId="40024"/>
    <cellStyle name="Comma 2 5 2 7 5 6" xfId="22712"/>
    <cellStyle name="Comma 2 5 2 7 5 7" xfId="23802"/>
    <cellStyle name="Comma 2 5 2 7 5 8" xfId="27034"/>
    <cellStyle name="Comma 2 5 2 7 5 9" xfId="30367"/>
    <cellStyle name="Comma 2 5 2 7 6" xfId="10142"/>
    <cellStyle name="Comma 2 5 2 7 6 2" xfId="25942"/>
    <cellStyle name="Comma 2 5 2 7 6 2 2" xfId="45369"/>
    <cellStyle name="Comma 2 5 2 7 6 2 3" xfId="38946"/>
    <cellStyle name="Comma 2 5 2 7 6 3" xfId="28120"/>
    <cellStyle name="Comma 2 5 2 7 6 3 2" xfId="42162"/>
    <cellStyle name="Comma 2 5 2 7 6 4" xfId="31455"/>
    <cellStyle name="Comma 2 5 2 7 6 5" xfId="35738"/>
    <cellStyle name="Comma 2 5 2 7 7" xfId="15828"/>
    <cellStyle name="Comma 2 5 2 7 7 2" xfId="24843"/>
    <cellStyle name="Comma 2 5 2 7 7 2 2" xfId="44272"/>
    <cellStyle name="Comma 2 5 2 7 7 2 3" xfId="37849"/>
    <cellStyle name="Comma 2 5 2 7 7 3" xfId="29164"/>
    <cellStyle name="Comma 2 5 2 7 7 3 2" xfId="41065"/>
    <cellStyle name="Comma 2 5 2 7 7 4" xfId="32499"/>
    <cellStyle name="Comma 2 5 2 7 7 5" xfId="34641"/>
    <cellStyle name="Comma 2 5 2 7 8" xfId="8646"/>
    <cellStyle name="Comma 2 5 2 7 8 2" xfId="43227"/>
    <cellStyle name="Comma 2 5 2 7 8 3" xfId="36803"/>
    <cellStyle name="Comma 2 5 2 7 9" xfId="21635"/>
    <cellStyle name="Comma 2 5 2 7 9 2" xfId="40020"/>
    <cellStyle name="Comma 2 5 2 8" xfId="1377"/>
    <cellStyle name="Comma 2 5 2 8 10" xfId="33601"/>
    <cellStyle name="Comma 2 5 2 8 2" xfId="10147"/>
    <cellStyle name="Comma 2 5 2 8 2 2" xfId="25947"/>
    <cellStyle name="Comma 2 5 2 8 2 2 2" xfId="45374"/>
    <cellStyle name="Comma 2 5 2 8 2 2 3" xfId="38951"/>
    <cellStyle name="Comma 2 5 2 8 2 3" xfId="28125"/>
    <cellStyle name="Comma 2 5 2 8 2 3 2" xfId="42167"/>
    <cellStyle name="Comma 2 5 2 8 2 4" xfId="31460"/>
    <cellStyle name="Comma 2 5 2 8 2 5" xfId="35743"/>
    <cellStyle name="Comma 2 5 2 8 3" xfId="15833"/>
    <cellStyle name="Comma 2 5 2 8 3 2" xfId="24848"/>
    <cellStyle name="Comma 2 5 2 8 3 2 2" xfId="44277"/>
    <cellStyle name="Comma 2 5 2 8 3 2 3" xfId="37854"/>
    <cellStyle name="Comma 2 5 2 8 3 3" xfId="29169"/>
    <cellStyle name="Comma 2 5 2 8 3 3 2" xfId="41070"/>
    <cellStyle name="Comma 2 5 2 8 3 4" xfId="32504"/>
    <cellStyle name="Comma 2 5 2 8 3 5" xfId="34646"/>
    <cellStyle name="Comma 2 5 2 8 4" xfId="8651"/>
    <cellStyle name="Comma 2 5 2 8 4 2" xfId="43232"/>
    <cellStyle name="Comma 2 5 2 8 4 3" xfId="36808"/>
    <cellStyle name="Comma 2 5 2 8 5" xfId="21640"/>
    <cellStyle name="Comma 2 5 2 8 5 2" xfId="40025"/>
    <cellStyle name="Comma 2 5 2 8 6" xfId="22713"/>
    <cellStyle name="Comma 2 5 2 8 7" xfId="23803"/>
    <cellStyle name="Comma 2 5 2 8 8" xfId="27035"/>
    <cellStyle name="Comma 2 5 2 8 9" xfId="30368"/>
    <cellStyle name="Comma 2 5 2 9" xfId="1378"/>
    <cellStyle name="Comma 2 5 2 9 10" xfId="33602"/>
    <cellStyle name="Comma 2 5 2 9 2" xfId="10148"/>
    <cellStyle name="Comma 2 5 2 9 2 2" xfId="25948"/>
    <cellStyle name="Comma 2 5 2 9 2 2 2" xfId="45375"/>
    <cellStyle name="Comma 2 5 2 9 2 2 3" xfId="38952"/>
    <cellStyle name="Comma 2 5 2 9 2 3" xfId="28126"/>
    <cellStyle name="Comma 2 5 2 9 2 3 2" xfId="42168"/>
    <cellStyle name="Comma 2 5 2 9 2 4" xfId="31461"/>
    <cellStyle name="Comma 2 5 2 9 2 5" xfId="35744"/>
    <cellStyle name="Comma 2 5 2 9 3" xfId="15834"/>
    <cellStyle name="Comma 2 5 2 9 3 2" xfId="24849"/>
    <cellStyle name="Comma 2 5 2 9 3 2 2" xfId="44278"/>
    <cellStyle name="Comma 2 5 2 9 3 2 3" xfId="37855"/>
    <cellStyle name="Comma 2 5 2 9 3 3" xfId="29170"/>
    <cellStyle name="Comma 2 5 2 9 3 3 2" xfId="41071"/>
    <cellStyle name="Comma 2 5 2 9 3 4" xfId="32505"/>
    <cellStyle name="Comma 2 5 2 9 3 5" xfId="34647"/>
    <cellStyle name="Comma 2 5 2 9 4" xfId="8652"/>
    <cellStyle name="Comma 2 5 2 9 4 2" xfId="43233"/>
    <cellStyle name="Comma 2 5 2 9 4 3" xfId="36809"/>
    <cellStyle name="Comma 2 5 2 9 5" xfId="21641"/>
    <cellStyle name="Comma 2 5 2 9 5 2" xfId="40026"/>
    <cellStyle name="Comma 2 5 2 9 6" xfId="22714"/>
    <cellStyle name="Comma 2 5 2 9 7" xfId="23804"/>
    <cellStyle name="Comma 2 5 2 9 8" xfId="27036"/>
    <cellStyle name="Comma 2 5 2 9 9" xfId="30369"/>
    <cellStyle name="Comma 2 5 20" xfId="26876"/>
    <cellStyle name="Comma 2 5 21" xfId="30209"/>
    <cellStyle name="Comma 2 5 22" xfId="32790"/>
    <cellStyle name="Comma 2 5 3" xfId="285"/>
    <cellStyle name="Comma 2 5 3 10" xfId="1379"/>
    <cellStyle name="Comma 2 5 3 10 10" xfId="33603"/>
    <cellStyle name="Comma 2 5 3 10 2" xfId="10149"/>
    <cellStyle name="Comma 2 5 3 10 2 2" xfId="25949"/>
    <cellStyle name="Comma 2 5 3 10 2 2 2" xfId="45376"/>
    <cellStyle name="Comma 2 5 3 10 2 2 3" xfId="38953"/>
    <cellStyle name="Comma 2 5 3 10 2 3" xfId="28127"/>
    <cellStyle name="Comma 2 5 3 10 2 3 2" xfId="42169"/>
    <cellStyle name="Comma 2 5 3 10 2 4" xfId="31462"/>
    <cellStyle name="Comma 2 5 3 10 2 5" xfId="35745"/>
    <cellStyle name="Comma 2 5 3 10 3" xfId="15836"/>
    <cellStyle name="Comma 2 5 3 10 3 2" xfId="24851"/>
    <cellStyle name="Comma 2 5 3 10 3 2 2" xfId="44280"/>
    <cellStyle name="Comma 2 5 3 10 3 2 3" xfId="37857"/>
    <cellStyle name="Comma 2 5 3 10 3 3" xfId="29172"/>
    <cellStyle name="Comma 2 5 3 10 3 3 2" xfId="41073"/>
    <cellStyle name="Comma 2 5 3 10 3 4" xfId="32507"/>
    <cellStyle name="Comma 2 5 3 10 3 5" xfId="34649"/>
    <cellStyle name="Comma 2 5 3 10 4" xfId="8654"/>
    <cellStyle name="Comma 2 5 3 10 4 2" xfId="43234"/>
    <cellStyle name="Comma 2 5 3 10 4 3" xfId="36810"/>
    <cellStyle name="Comma 2 5 3 10 5" xfId="21643"/>
    <cellStyle name="Comma 2 5 3 10 5 2" xfId="40027"/>
    <cellStyle name="Comma 2 5 3 10 6" xfId="22716"/>
    <cellStyle name="Comma 2 5 3 10 7" xfId="23805"/>
    <cellStyle name="Comma 2 5 3 10 8" xfId="27038"/>
    <cellStyle name="Comma 2 5 3 10 9" xfId="30371"/>
    <cellStyle name="Comma 2 5 3 11" xfId="1380"/>
    <cellStyle name="Comma 2 5 3 11 10" xfId="33604"/>
    <cellStyle name="Comma 2 5 3 11 2" xfId="10150"/>
    <cellStyle name="Comma 2 5 3 11 2 2" xfId="25950"/>
    <cellStyle name="Comma 2 5 3 11 2 2 2" xfId="45377"/>
    <cellStyle name="Comma 2 5 3 11 2 2 3" xfId="38954"/>
    <cellStyle name="Comma 2 5 3 11 2 3" xfId="28128"/>
    <cellStyle name="Comma 2 5 3 11 2 3 2" xfId="42170"/>
    <cellStyle name="Comma 2 5 3 11 2 4" xfId="31463"/>
    <cellStyle name="Comma 2 5 3 11 2 5" xfId="35746"/>
    <cellStyle name="Comma 2 5 3 11 3" xfId="15837"/>
    <cellStyle name="Comma 2 5 3 11 3 2" xfId="24852"/>
    <cellStyle name="Comma 2 5 3 11 3 2 2" xfId="44281"/>
    <cellStyle name="Comma 2 5 3 11 3 2 3" xfId="37858"/>
    <cellStyle name="Comma 2 5 3 11 3 3" xfId="29173"/>
    <cellStyle name="Comma 2 5 3 11 3 3 2" xfId="41074"/>
    <cellStyle name="Comma 2 5 3 11 3 4" xfId="32508"/>
    <cellStyle name="Comma 2 5 3 11 3 5" xfId="34650"/>
    <cellStyle name="Comma 2 5 3 11 4" xfId="8655"/>
    <cellStyle name="Comma 2 5 3 11 4 2" xfId="43235"/>
    <cellStyle name="Comma 2 5 3 11 4 3" xfId="36811"/>
    <cellStyle name="Comma 2 5 3 11 5" xfId="21644"/>
    <cellStyle name="Comma 2 5 3 11 5 2" xfId="40028"/>
    <cellStyle name="Comma 2 5 3 11 6" xfId="22717"/>
    <cellStyle name="Comma 2 5 3 11 7" xfId="23806"/>
    <cellStyle name="Comma 2 5 3 11 8" xfId="27039"/>
    <cellStyle name="Comma 2 5 3 11 9" xfId="30372"/>
    <cellStyle name="Comma 2 5 3 12" xfId="9141"/>
    <cellStyle name="Comma 2 5 3 12 2" xfId="25195"/>
    <cellStyle name="Comma 2 5 3 12 2 2" xfId="44622"/>
    <cellStyle name="Comma 2 5 3 12 2 3" xfId="38199"/>
    <cellStyle name="Comma 2 5 3 12 3" xfId="27374"/>
    <cellStyle name="Comma 2 5 3 12 3 2" xfId="41415"/>
    <cellStyle name="Comma 2 5 3 12 4" xfId="30709"/>
    <cellStyle name="Comma 2 5 3 12 5" xfId="34991"/>
    <cellStyle name="Comma 2 5 3 13" xfId="15835"/>
    <cellStyle name="Comma 2 5 3 13 2" xfId="24850"/>
    <cellStyle name="Comma 2 5 3 13 2 2" xfId="44279"/>
    <cellStyle name="Comma 2 5 3 13 2 3" xfId="37856"/>
    <cellStyle name="Comma 2 5 3 13 3" xfId="29171"/>
    <cellStyle name="Comma 2 5 3 13 3 2" xfId="41072"/>
    <cellStyle name="Comma 2 5 3 13 4" xfId="32506"/>
    <cellStyle name="Comma 2 5 3 13 5" xfId="34648"/>
    <cellStyle name="Comma 2 5 3 14" xfId="8653"/>
    <cellStyle name="Comma 2 5 3 14 2" xfId="42485"/>
    <cellStyle name="Comma 2 5 3 14 3" xfId="36061"/>
    <cellStyle name="Comma 2 5 3 15" xfId="21642"/>
    <cellStyle name="Comma 2 5 3 15 2" xfId="39278"/>
    <cellStyle name="Comma 2 5 3 16" xfId="22715"/>
    <cellStyle name="Comma 2 5 3 17" xfId="23056"/>
    <cellStyle name="Comma 2 5 3 18" xfId="27037"/>
    <cellStyle name="Comma 2 5 3 19" xfId="30370"/>
    <cellStyle name="Comma 2 5 3 2" xfId="286"/>
    <cellStyle name="Comma 2 5 3 2 10" xfId="1381"/>
    <cellStyle name="Comma 2 5 3 2 10 10" xfId="33605"/>
    <cellStyle name="Comma 2 5 3 2 10 2" xfId="10151"/>
    <cellStyle name="Comma 2 5 3 2 10 2 2" xfId="25951"/>
    <cellStyle name="Comma 2 5 3 2 10 2 2 2" xfId="45378"/>
    <cellStyle name="Comma 2 5 3 2 10 2 2 3" xfId="38955"/>
    <cellStyle name="Comma 2 5 3 2 10 2 3" xfId="28129"/>
    <cellStyle name="Comma 2 5 3 2 10 2 3 2" xfId="42171"/>
    <cellStyle name="Comma 2 5 3 2 10 2 4" xfId="31464"/>
    <cellStyle name="Comma 2 5 3 2 10 2 5" xfId="35747"/>
    <cellStyle name="Comma 2 5 3 2 10 3" xfId="15839"/>
    <cellStyle name="Comma 2 5 3 2 10 3 2" xfId="24854"/>
    <cellStyle name="Comma 2 5 3 2 10 3 2 2" xfId="44283"/>
    <cellStyle name="Comma 2 5 3 2 10 3 2 3" xfId="37860"/>
    <cellStyle name="Comma 2 5 3 2 10 3 3" xfId="29175"/>
    <cellStyle name="Comma 2 5 3 2 10 3 3 2" xfId="41076"/>
    <cellStyle name="Comma 2 5 3 2 10 3 4" xfId="32510"/>
    <cellStyle name="Comma 2 5 3 2 10 3 5" xfId="34652"/>
    <cellStyle name="Comma 2 5 3 2 10 4" xfId="8657"/>
    <cellStyle name="Comma 2 5 3 2 10 4 2" xfId="43236"/>
    <cellStyle name="Comma 2 5 3 2 10 4 3" xfId="36812"/>
    <cellStyle name="Comma 2 5 3 2 10 5" xfId="21646"/>
    <cellStyle name="Comma 2 5 3 2 10 5 2" xfId="40029"/>
    <cellStyle name="Comma 2 5 3 2 10 6" xfId="22719"/>
    <cellStyle name="Comma 2 5 3 2 10 7" xfId="23807"/>
    <cellStyle name="Comma 2 5 3 2 10 8" xfId="27041"/>
    <cellStyle name="Comma 2 5 3 2 10 9" xfId="30374"/>
    <cellStyle name="Comma 2 5 3 2 11" xfId="9142"/>
    <cellStyle name="Comma 2 5 3 2 11 2" xfId="25196"/>
    <cellStyle name="Comma 2 5 3 2 11 2 2" xfId="44623"/>
    <cellStyle name="Comma 2 5 3 2 11 2 3" xfId="38200"/>
    <cellStyle name="Comma 2 5 3 2 11 3" xfId="27375"/>
    <cellStyle name="Comma 2 5 3 2 11 3 2" xfId="41416"/>
    <cellStyle name="Comma 2 5 3 2 11 4" xfId="30710"/>
    <cellStyle name="Comma 2 5 3 2 11 5" xfId="34992"/>
    <cellStyle name="Comma 2 5 3 2 12" xfId="15838"/>
    <cellStyle name="Comma 2 5 3 2 12 2" xfId="24853"/>
    <cellStyle name="Comma 2 5 3 2 12 2 2" xfId="44282"/>
    <cellStyle name="Comma 2 5 3 2 12 2 3" xfId="37859"/>
    <cellStyle name="Comma 2 5 3 2 12 3" xfId="29174"/>
    <cellStyle name="Comma 2 5 3 2 12 3 2" xfId="41075"/>
    <cellStyle name="Comma 2 5 3 2 12 4" xfId="32509"/>
    <cellStyle name="Comma 2 5 3 2 12 5" xfId="34651"/>
    <cellStyle name="Comma 2 5 3 2 13" xfId="8656"/>
    <cellStyle name="Comma 2 5 3 2 13 2" xfId="42486"/>
    <cellStyle name="Comma 2 5 3 2 13 3" xfId="36062"/>
    <cellStyle name="Comma 2 5 3 2 14" xfId="21645"/>
    <cellStyle name="Comma 2 5 3 2 14 2" xfId="39279"/>
    <cellStyle name="Comma 2 5 3 2 15" xfId="22718"/>
    <cellStyle name="Comma 2 5 3 2 16" xfId="23057"/>
    <cellStyle name="Comma 2 5 3 2 17" xfId="27040"/>
    <cellStyle name="Comma 2 5 3 2 18" xfId="30373"/>
    <cellStyle name="Comma 2 5 3 2 19" xfId="32855"/>
    <cellStyle name="Comma 2 5 3 2 2" xfId="287"/>
    <cellStyle name="Comma 2 5 3 2 2 10" xfId="15840"/>
    <cellStyle name="Comma 2 5 3 2 2 10 2" xfId="24855"/>
    <cellStyle name="Comma 2 5 3 2 2 10 2 2" xfId="44284"/>
    <cellStyle name="Comma 2 5 3 2 2 10 2 3" xfId="37861"/>
    <cellStyle name="Comma 2 5 3 2 2 10 3" xfId="29176"/>
    <cellStyle name="Comma 2 5 3 2 2 10 3 2" xfId="41077"/>
    <cellStyle name="Comma 2 5 3 2 2 10 4" xfId="32511"/>
    <cellStyle name="Comma 2 5 3 2 2 10 5" xfId="34653"/>
    <cellStyle name="Comma 2 5 3 2 2 11" xfId="8658"/>
    <cellStyle name="Comma 2 5 3 2 2 11 2" xfId="42487"/>
    <cellStyle name="Comma 2 5 3 2 2 11 3" xfId="36063"/>
    <cellStyle name="Comma 2 5 3 2 2 12" xfId="21647"/>
    <cellStyle name="Comma 2 5 3 2 2 12 2" xfId="39280"/>
    <cellStyle name="Comma 2 5 3 2 2 13" xfId="22720"/>
    <cellStyle name="Comma 2 5 3 2 2 14" xfId="23058"/>
    <cellStyle name="Comma 2 5 3 2 2 15" xfId="27042"/>
    <cellStyle name="Comma 2 5 3 2 2 16" xfId="30375"/>
    <cellStyle name="Comma 2 5 3 2 2 17" xfId="32856"/>
    <cellStyle name="Comma 2 5 3 2 2 2" xfId="288"/>
    <cellStyle name="Comma 2 5 3 2 2 2 10" xfId="21648"/>
    <cellStyle name="Comma 2 5 3 2 2 2 10 2" xfId="39281"/>
    <cellStyle name="Comma 2 5 3 2 2 2 11" xfId="22721"/>
    <cellStyle name="Comma 2 5 3 2 2 2 12" xfId="23059"/>
    <cellStyle name="Comma 2 5 3 2 2 2 13" xfId="27043"/>
    <cellStyle name="Comma 2 5 3 2 2 2 14" xfId="30376"/>
    <cellStyle name="Comma 2 5 3 2 2 2 15" xfId="32857"/>
    <cellStyle name="Comma 2 5 3 2 2 2 2" xfId="1382"/>
    <cellStyle name="Comma 2 5 3 2 2 2 2 10" xfId="33606"/>
    <cellStyle name="Comma 2 5 3 2 2 2 2 2" xfId="10152"/>
    <cellStyle name="Comma 2 5 3 2 2 2 2 2 2" xfId="25952"/>
    <cellStyle name="Comma 2 5 3 2 2 2 2 2 2 2" xfId="45379"/>
    <cellStyle name="Comma 2 5 3 2 2 2 2 2 2 3" xfId="38956"/>
    <cellStyle name="Comma 2 5 3 2 2 2 2 2 3" xfId="28130"/>
    <cellStyle name="Comma 2 5 3 2 2 2 2 2 3 2" xfId="42172"/>
    <cellStyle name="Comma 2 5 3 2 2 2 2 2 4" xfId="31465"/>
    <cellStyle name="Comma 2 5 3 2 2 2 2 2 5" xfId="35748"/>
    <cellStyle name="Comma 2 5 3 2 2 2 2 3" xfId="15842"/>
    <cellStyle name="Comma 2 5 3 2 2 2 2 3 2" xfId="24857"/>
    <cellStyle name="Comma 2 5 3 2 2 2 2 3 2 2" xfId="44286"/>
    <cellStyle name="Comma 2 5 3 2 2 2 2 3 2 3" xfId="37863"/>
    <cellStyle name="Comma 2 5 3 2 2 2 2 3 3" xfId="29178"/>
    <cellStyle name="Comma 2 5 3 2 2 2 2 3 3 2" xfId="41079"/>
    <cellStyle name="Comma 2 5 3 2 2 2 2 3 4" xfId="32513"/>
    <cellStyle name="Comma 2 5 3 2 2 2 2 3 5" xfId="34655"/>
    <cellStyle name="Comma 2 5 3 2 2 2 2 4" xfId="8660"/>
    <cellStyle name="Comma 2 5 3 2 2 2 2 4 2" xfId="43237"/>
    <cellStyle name="Comma 2 5 3 2 2 2 2 4 3" xfId="36813"/>
    <cellStyle name="Comma 2 5 3 2 2 2 2 5" xfId="21649"/>
    <cellStyle name="Comma 2 5 3 2 2 2 2 5 2" xfId="40030"/>
    <cellStyle name="Comma 2 5 3 2 2 2 2 6" xfId="22722"/>
    <cellStyle name="Comma 2 5 3 2 2 2 2 7" xfId="23808"/>
    <cellStyle name="Comma 2 5 3 2 2 2 2 8" xfId="27044"/>
    <cellStyle name="Comma 2 5 3 2 2 2 2 9" xfId="30377"/>
    <cellStyle name="Comma 2 5 3 2 2 2 3" xfId="1383"/>
    <cellStyle name="Comma 2 5 3 2 2 2 3 10" xfId="33607"/>
    <cellStyle name="Comma 2 5 3 2 2 2 3 2" xfId="10153"/>
    <cellStyle name="Comma 2 5 3 2 2 2 3 2 2" xfId="25953"/>
    <cellStyle name="Comma 2 5 3 2 2 2 3 2 2 2" xfId="45380"/>
    <cellStyle name="Comma 2 5 3 2 2 2 3 2 2 3" xfId="38957"/>
    <cellStyle name="Comma 2 5 3 2 2 2 3 2 3" xfId="28131"/>
    <cellStyle name="Comma 2 5 3 2 2 2 3 2 3 2" xfId="42173"/>
    <cellStyle name="Comma 2 5 3 2 2 2 3 2 4" xfId="31466"/>
    <cellStyle name="Comma 2 5 3 2 2 2 3 2 5" xfId="35749"/>
    <cellStyle name="Comma 2 5 3 2 2 2 3 3" xfId="15843"/>
    <cellStyle name="Comma 2 5 3 2 2 2 3 3 2" xfId="24858"/>
    <cellStyle name="Comma 2 5 3 2 2 2 3 3 2 2" xfId="44287"/>
    <cellStyle name="Comma 2 5 3 2 2 2 3 3 2 3" xfId="37864"/>
    <cellStyle name="Comma 2 5 3 2 2 2 3 3 3" xfId="29179"/>
    <cellStyle name="Comma 2 5 3 2 2 2 3 3 3 2" xfId="41080"/>
    <cellStyle name="Comma 2 5 3 2 2 2 3 3 4" xfId="32514"/>
    <cellStyle name="Comma 2 5 3 2 2 2 3 3 5" xfId="34656"/>
    <cellStyle name="Comma 2 5 3 2 2 2 3 4" xfId="8661"/>
    <cellStyle name="Comma 2 5 3 2 2 2 3 4 2" xfId="43238"/>
    <cellStyle name="Comma 2 5 3 2 2 2 3 4 3" xfId="36814"/>
    <cellStyle name="Comma 2 5 3 2 2 2 3 5" xfId="21650"/>
    <cellStyle name="Comma 2 5 3 2 2 2 3 5 2" xfId="40031"/>
    <cellStyle name="Comma 2 5 3 2 2 2 3 6" xfId="22723"/>
    <cellStyle name="Comma 2 5 3 2 2 2 3 7" xfId="23809"/>
    <cellStyle name="Comma 2 5 3 2 2 2 3 8" xfId="27045"/>
    <cellStyle name="Comma 2 5 3 2 2 2 3 9" xfId="30378"/>
    <cellStyle name="Comma 2 5 3 2 2 2 4" xfId="1384"/>
    <cellStyle name="Comma 2 5 3 2 2 2 4 10" xfId="33608"/>
    <cellStyle name="Comma 2 5 3 2 2 2 4 2" xfId="10154"/>
    <cellStyle name="Comma 2 5 3 2 2 2 4 2 2" xfId="25954"/>
    <cellStyle name="Comma 2 5 3 2 2 2 4 2 2 2" xfId="45381"/>
    <cellStyle name="Comma 2 5 3 2 2 2 4 2 2 3" xfId="38958"/>
    <cellStyle name="Comma 2 5 3 2 2 2 4 2 3" xfId="28132"/>
    <cellStyle name="Comma 2 5 3 2 2 2 4 2 3 2" xfId="42174"/>
    <cellStyle name="Comma 2 5 3 2 2 2 4 2 4" xfId="31467"/>
    <cellStyle name="Comma 2 5 3 2 2 2 4 2 5" xfId="35750"/>
    <cellStyle name="Comma 2 5 3 2 2 2 4 3" xfId="15844"/>
    <cellStyle name="Comma 2 5 3 2 2 2 4 3 2" xfId="24859"/>
    <cellStyle name="Comma 2 5 3 2 2 2 4 3 2 2" xfId="44288"/>
    <cellStyle name="Comma 2 5 3 2 2 2 4 3 2 3" xfId="37865"/>
    <cellStyle name="Comma 2 5 3 2 2 2 4 3 3" xfId="29180"/>
    <cellStyle name="Comma 2 5 3 2 2 2 4 3 3 2" xfId="41081"/>
    <cellStyle name="Comma 2 5 3 2 2 2 4 3 4" xfId="32515"/>
    <cellStyle name="Comma 2 5 3 2 2 2 4 3 5" xfId="34657"/>
    <cellStyle name="Comma 2 5 3 2 2 2 4 4" xfId="8662"/>
    <cellStyle name="Comma 2 5 3 2 2 2 4 4 2" xfId="43239"/>
    <cellStyle name="Comma 2 5 3 2 2 2 4 4 3" xfId="36815"/>
    <cellStyle name="Comma 2 5 3 2 2 2 4 5" xfId="21651"/>
    <cellStyle name="Comma 2 5 3 2 2 2 4 5 2" xfId="40032"/>
    <cellStyle name="Comma 2 5 3 2 2 2 4 6" xfId="22724"/>
    <cellStyle name="Comma 2 5 3 2 2 2 4 7" xfId="23810"/>
    <cellStyle name="Comma 2 5 3 2 2 2 4 8" xfId="27046"/>
    <cellStyle name="Comma 2 5 3 2 2 2 4 9" xfId="30379"/>
    <cellStyle name="Comma 2 5 3 2 2 2 5" xfId="1385"/>
    <cellStyle name="Comma 2 5 3 2 2 2 5 10" xfId="33609"/>
    <cellStyle name="Comma 2 5 3 2 2 2 5 2" xfId="10155"/>
    <cellStyle name="Comma 2 5 3 2 2 2 5 2 2" xfId="25955"/>
    <cellStyle name="Comma 2 5 3 2 2 2 5 2 2 2" xfId="45382"/>
    <cellStyle name="Comma 2 5 3 2 2 2 5 2 2 3" xfId="38959"/>
    <cellStyle name="Comma 2 5 3 2 2 2 5 2 3" xfId="28133"/>
    <cellStyle name="Comma 2 5 3 2 2 2 5 2 3 2" xfId="42175"/>
    <cellStyle name="Comma 2 5 3 2 2 2 5 2 4" xfId="31468"/>
    <cellStyle name="Comma 2 5 3 2 2 2 5 2 5" xfId="35751"/>
    <cellStyle name="Comma 2 5 3 2 2 2 5 3" xfId="15845"/>
    <cellStyle name="Comma 2 5 3 2 2 2 5 3 2" xfId="24860"/>
    <cellStyle name="Comma 2 5 3 2 2 2 5 3 2 2" xfId="44289"/>
    <cellStyle name="Comma 2 5 3 2 2 2 5 3 2 3" xfId="37866"/>
    <cellStyle name="Comma 2 5 3 2 2 2 5 3 3" xfId="29181"/>
    <cellStyle name="Comma 2 5 3 2 2 2 5 3 3 2" xfId="41082"/>
    <cellStyle name="Comma 2 5 3 2 2 2 5 3 4" xfId="32516"/>
    <cellStyle name="Comma 2 5 3 2 2 2 5 3 5" xfId="34658"/>
    <cellStyle name="Comma 2 5 3 2 2 2 5 4" xfId="8663"/>
    <cellStyle name="Comma 2 5 3 2 2 2 5 4 2" xfId="43240"/>
    <cellStyle name="Comma 2 5 3 2 2 2 5 4 3" xfId="36816"/>
    <cellStyle name="Comma 2 5 3 2 2 2 5 5" xfId="21652"/>
    <cellStyle name="Comma 2 5 3 2 2 2 5 5 2" xfId="40033"/>
    <cellStyle name="Comma 2 5 3 2 2 2 5 6" xfId="22725"/>
    <cellStyle name="Comma 2 5 3 2 2 2 5 7" xfId="23811"/>
    <cellStyle name="Comma 2 5 3 2 2 2 5 8" xfId="27047"/>
    <cellStyle name="Comma 2 5 3 2 2 2 5 9" xfId="30380"/>
    <cellStyle name="Comma 2 5 3 2 2 2 6" xfId="1386"/>
    <cellStyle name="Comma 2 5 3 2 2 2 6 10" xfId="33610"/>
    <cellStyle name="Comma 2 5 3 2 2 2 6 2" xfId="10156"/>
    <cellStyle name="Comma 2 5 3 2 2 2 6 2 2" xfId="25956"/>
    <cellStyle name="Comma 2 5 3 2 2 2 6 2 2 2" xfId="45383"/>
    <cellStyle name="Comma 2 5 3 2 2 2 6 2 2 3" xfId="38960"/>
    <cellStyle name="Comma 2 5 3 2 2 2 6 2 3" xfId="28134"/>
    <cellStyle name="Comma 2 5 3 2 2 2 6 2 3 2" xfId="42176"/>
    <cellStyle name="Comma 2 5 3 2 2 2 6 2 4" xfId="31469"/>
    <cellStyle name="Comma 2 5 3 2 2 2 6 2 5" xfId="35752"/>
    <cellStyle name="Comma 2 5 3 2 2 2 6 3" xfId="15846"/>
    <cellStyle name="Comma 2 5 3 2 2 2 6 3 2" xfId="24861"/>
    <cellStyle name="Comma 2 5 3 2 2 2 6 3 2 2" xfId="44290"/>
    <cellStyle name="Comma 2 5 3 2 2 2 6 3 2 3" xfId="37867"/>
    <cellStyle name="Comma 2 5 3 2 2 2 6 3 3" xfId="29182"/>
    <cellStyle name="Comma 2 5 3 2 2 2 6 3 3 2" xfId="41083"/>
    <cellStyle name="Comma 2 5 3 2 2 2 6 3 4" xfId="32517"/>
    <cellStyle name="Comma 2 5 3 2 2 2 6 3 5" xfId="34659"/>
    <cellStyle name="Comma 2 5 3 2 2 2 6 4" xfId="8664"/>
    <cellStyle name="Comma 2 5 3 2 2 2 6 4 2" xfId="43241"/>
    <cellStyle name="Comma 2 5 3 2 2 2 6 4 3" xfId="36817"/>
    <cellStyle name="Comma 2 5 3 2 2 2 6 5" xfId="21653"/>
    <cellStyle name="Comma 2 5 3 2 2 2 6 5 2" xfId="40034"/>
    <cellStyle name="Comma 2 5 3 2 2 2 6 6" xfId="22726"/>
    <cellStyle name="Comma 2 5 3 2 2 2 6 7" xfId="23812"/>
    <cellStyle name="Comma 2 5 3 2 2 2 6 8" xfId="27048"/>
    <cellStyle name="Comma 2 5 3 2 2 2 6 9" xfId="30381"/>
    <cellStyle name="Comma 2 5 3 2 2 2 7" xfId="9144"/>
    <cellStyle name="Comma 2 5 3 2 2 2 7 2" xfId="25198"/>
    <cellStyle name="Comma 2 5 3 2 2 2 7 2 2" xfId="44625"/>
    <cellStyle name="Comma 2 5 3 2 2 2 7 2 3" xfId="38202"/>
    <cellStyle name="Comma 2 5 3 2 2 2 7 3" xfId="27377"/>
    <cellStyle name="Comma 2 5 3 2 2 2 7 3 2" xfId="41418"/>
    <cellStyle name="Comma 2 5 3 2 2 2 7 4" xfId="30712"/>
    <cellStyle name="Comma 2 5 3 2 2 2 7 5" xfId="34994"/>
    <cellStyle name="Comma 2 5 3 2 2 2 8" xfId="15841"/>
    <cellStyle name="Comma 2 5 3 2 2 2 8 2" xfId="24856"/>
    <cellStyle name="Comma 2 5 3 2 2 2 8 2 2" xfId="44285"/>
    <cellStyle name="Comma 2 5 3 2 2 2 8 2 3" xfId="37862"/>
    <cellStyle name="Comma 2 5 3 2 2 2 8 3" xfId="29177"/>
    <cellStyle name="Comma 2 5 3 2 2 2 8 3 2" xfId="41078"/>
    <cellStyle name="Comma 2 5 3 2 2 2 8 4" xfId="32512"/>
    <cellStyle name="Comma 2 5 3 2 2 2 8 5" xfId="34654"/>
    <cellStyle name="Comma 2 5 3 2 2 2 9" xfId="8659"/>
    <cellStyle name="Comma 2 5 3 2 2 2 9 2" xfId="42488"/>
    <cellStyle name="Comma 2 5 3 2 2 2 9 3" xfId="36064"/>
    <cellStyle name="Comma 2 5 3 2 2 3" xfId="1387"/>
    <cellStyle name="Comma 2 5 3 2 2 3 10" xfId="22727"/>
    <cellStyle name="Comma 2 5 3 2 2 3 11" xfId="23813"/>
    <cellStyle name="Comma 2 5 3 2 2 3 12" xfId="27049"/>
    <cellStyle name="Comma 2 5 3 2 2 3 13" xfId="30382"/>
    <cellStyle name="Comma 2 5 3 2 2 3 14" xfId="33611"/>
    <cellStyle name="Comma 2 5 3 2 2 3 2" xfId="1388"/>
    <cellStyle name="Comma 2 5 3 2 2 3 2 10" xfId="33612"/>
    <cellStyle name="Comma 2 5 3 2 2 3 2 2" xfId="10158"/>
    <cellStyle name="Comma 2 5 3 2 2 3 2 2 2" xfId="25958"/>
    <cellStyle name="Comma 2 5 3 2 2 3 2 2 2 2" xfId="45385"/>
    <cellStyle name="Comma 2 5 3 2 2 3 2 2 2 3" xfId="38962"/>
    <cellStyle name="Comma 2 5 3 2 2 3 2 2 3" xfId="28136"/>
    <cellStyle name="Comma 2 5 3 2 2 3 2 2 3 2" xfId="42178"/>
    <cellStyle name="Comma 2 5 3 2 2 3 2 2 4" xfId="31471"/>
    <cellStyle name="Comma 2 5 3 2 2 3 2 2 5" xfId="35754"/>
    <cellStyle name="Comma 2 5 3 2 2 3 2 3" xfId="15848"/>
    <cellStyle name="Comma 2 5 3 2 2 3 2 3 2" xfId="24863"/>
    <cellStyle name="Comma 2 5 3 2 2 3 2 3 2 2" xfId="44292"/>
    <cellStyle name="Comma 2 5 3 2 2 3 2 3 2 3" xfId="37869"/>
    <cellStyle name="Comma 2 5 3 2 2 3 2 3 3" xfId="29184"/>
    <cellStyle name="Comma 2 5 3 2 2 3 2 3 3 2" xfId="41085"/>
    <cellStyle name="Comma 2 5 3 2 2 3 2 3 4" xfId="32519"/>
    <cellStyle name="Comma 2 5 3 2 2 3 2 3 5" xfId="34661"/>
    <cellStyle name="Comma 2 5 3 2 2 3 2 4" xfId="8666"/>
    <cellStyle name="Comma 2 5 3 2 2 3 2 4 2" xfId="43243"/>
    <cellStyle name="Comma 2 5 3 2 2 3 2 4 3" xfId="36819"/>
    <cellStyle name="Comma 2 5 3 2 2 3 2 5" xfId="21655"/>
    <cellStyle name="Comma 2 5 3 2 2 3 2 5 2" xfId="40036"/>
    <cellStyle name="Comma 2 5 3 2 2 3 2 6" xfId="22728"/>
    <cellStyle name="Comma 2 5 3 2 2 3 2 7" xfId="23814"/>
    <cellStyle name="Comma 2 5 3 2 2 3 2 8" xfId="27050"/>
    <cellStyle name="Comma 2 5 3 2 2 3 2 9" xfId="30383"/>
    <cellStyle name="Comma 2 5 3 2 2 3 3" xfId="1389"/>
    <cellStyle name="Comma 2 5 3 2 2 3 3 10" xfId="33613"/>
    <cellStyle name="Comma 2 5 3 2 2 3 3 2" xfId="10159"/>
    <cellStyle name="Comma 2 5 3 2 2 3 3 2 2" xfId="25959"/>
    <cellStyle name="Comma 2 5 3 2 2 3 3 2 2 2" xfId="45386"/>
    <cellStyle name="Comma 2 5 3 2 2 3 3 2 2 3" xfId="38963"/>
    <cellStyle name="Comma 2 5 3 2 2 3 3 2 3" xfId="28137"/>
    <cellStyle name="Comma 2 5 3 2 2 3 3 2 3 2" xfId="42179"/>
    <cellStyle name="Comma 2 5 3 2 2 3 3 2 4" xfId="31472"/>
    <cellStyle name="Comma 2 5 3 2 2 3 3 2 5" xfId="35755"/>
    <cellStyle name="Comma 2 5 3 2 2 3 3 3" xfId="15849"/>
    <cellStyle name="Comma 2 5 3 2 2 3 3 3 2" xfId="24864"/>
    <cellStyle name="Comma 2 5 3 2 2 3 3 3 2 2" xfId="44293"/>
    <cellStyle name="Comma 2 5 3 2 2 3 3 3 2 3" xfId="37870"/>
    <cellStyle name="Comma 2 5 3 2 2 3 3 3 3" xfId="29185"/>
    <cellStyle name="Comma 2 5 3 2 2 3 3 3 3 2" xfId="41086"/>
    <cellStyle name="Comma 2 5 3 2 2 3 3 3 4" xfId="32520"/>
    <cellStyle name="Comma 2 5 3 2 2 3 3 3 5" xfId="34662"/>
    <cellStyle name="Comma 2 5 3 2 2 3 3 4" xfId="8667"/>
    <cellStyle name="Comma 2 5 3 2 2 3 3 4 2" xfId="43244"/>
    <cellStyle name="Comma 2 5 3 2 2 3 3 4 3" xfId="36820"/>
    <cellStyle name="Comma 2 5 3 2 2 3 3 5" xfId="21656"/>
    <cellStyle name="Comma 2 5 3 2 2 3 3 5 2" xfId="40037"/>
    <cellStyle name="Comma 2 5 3 2 2 3 3 6" xfId="22729"/>
    <cellStyle name="Comma 2 5 3 2 2 3 3 7" xfId="23815"/>
    <cellStyle name="Comma 2 5 3 2 2 3 3 8" xfId="27051"/>
    <cellStyle name="Comma 2 5 3 2 2 3 3 9" xfId="30384"/>
    <cellStyle name="Comma 2 5 3 2 2 3 4" xfId="1390"/>
    <cellStyle name="Comma 2 5 3 2 2 3 4 10" xfId="33614"/>
    <cellStyle name="Comma 2 5 3 2 2 3 4 2" xfId="10160"/>
    <cellStyle name="Comma 2 5 3 2 2 3 4 2 2" xfId="25960"/>
    <cellStyle name="Comma 2 5 3 2 2 3 4 2 2 2" xfId="45387"/>
    <cellStyle name="Comma 2 5 3 2 2 3 4 2 2 3" xfId="38964"/>
    <cellStyle name="Comma 2 5 3 2 2 3 4 2 3" xfId="28138"/>
    <cellStyle name="Comma 2 5 3 2 2 3 4 2 3 2" xfId="42180"/>
    <cellStyle name="Comma 2 5 3 2 2 3 4 2 4" xfId="31473"/>
    <cellStyle name="Comma 2 5 3 2 2 3 4 2 5" xfId="35756"/>
    <cellStyle name="Comma 2 5 3 2 2 3 4 3" xfId="15850"/>
    <cellStyle name="Comma 2 5 3 2 2 3 4 3 2" xfId="24865"/>
    <cellStyle name="Comma 2 5 3 2 2 3 4 3 2 2" xfId="44294"/>
    <cellStyle name="Comma 2 5 3 2 2 3 4 3 2 3" xfId="37871"/>
    <cellStyle name="Comma 2 5 3 2 2 3 4 3 3" xfId="29186"/>
    <cellStyle name="Comma 2 5 3 2 2 3 4 3 3 2" xfId="41087"/>
    <cellStyle name="Comma 2 5 3 2 2 3 4 3 4" xfId="32521"/>
    <cellStyle name="Comma 2 5 3 2 2 3 4 3 5" xfId="34663"/>
    <cellStyle name="Comma 2 5 3 2 2 3 4 4" xfId="8668"/>
    <cellStyle name="Comma 2 5 3 2 2 3 4 4 2" xfId="43245"/>
    <cellStyle name="Comma 2 5 3 2 2 3 4 4 3" xfId="36821"/>
    <cellStyle name="Comma 2 5 3 2 2 3 4 5" xfId="21657"/>
    <cellStyle name="Comma 2 5 3 2 2 3 4 5 2" xfId="40038"/>
    <cellStyle name="Comma 2 5 3 2 2 3 4 6" xfId="22730"/>
    <cellStyle name="Comma 2 5 3 2 2 3 4 7" xfId="23816"/>
    <cellStyle name="Comma 2 5 3 2 2 3 4 8" xfId="27052"/>
    <cellStyle name="Comma 2 5 3 2 2 3 4 9" xfId="30385"/>
    <cellStyle name="Comma 2 5 3 2 2 3 5" xfId="1391"/>
    <cellStyle name="Comma 2 5 3 2 2 3 5 10" xfId="33615"/>
    <cellStyle name="Comma 2 5 3 2 2 3 5 2" xfId="10161"/>
    <cellStyle name="Comma 2 5 3 2 2 3 5 2 2" xfId="25961"/>
    <cellStyle name="Comma 2 5 3 2 2 3 5 2 2 2" xfId="45388"/>
    <cellStyle name="Comma 2 5 3 2 2 3 5 2 2 3" xfId="38965"/>
    <cellStyle name="Comma 2 5 3 2 2 3 5 2 3" xfId="28139"/>
    <cellStyle name="Comma 2 5 3 2 2 3 5 2 3 2" xfId="42181"/>
    <cellStyle name="Comma 2 5 3 2 2 3 5 2 4" xfId="31474"/>
    <cellStyle name="Comma 2 5 3 2 2 3 5 2 5" xfId="35757"/>
    <cellStyle name="Comma 2 5 3 2 2 3 5 3" xfId="15851"/>
    <cellStyle name="Comma 2 5 3 2 2 3 5 3 2" xfId="24866"/>
    <cellStyle name="Comma 2 5 3 2 2 3 5 3 2 2" xfId="44295"/>
    <cellStyle name="Comma 2 5 3 2 2 3 5 3 2 3" xfId="37872"/>
    <cellStyle name="Comma 2 5 3 2 2 3 5 3 3" xfId="29187"/>
    <cellStyle name="Comma 2 5 3 2 2 3 5 3 3 2" xfId="41088"/>
    <cellStyle name="Comma 2 5 3 2 2 3 5 3 4" xfId="32522"/>
    <cellStyle name="Comma 2 5 3 2 2 3 5 3 5" xfId="34664"/>
    <cellStyle name="Comma 2 5 3 2 2 3 5 4" xfId="8669"/>
    <cellStyle name="Comma 2 5 3 2 2 3 5 4 2" xfId="43246"/>
    <cellStyle name="Comma 2 5 3 2 2 3 5 4 3" xfId="36822"/>
    <cellStyle name="Comma 2 5 3 2 2 3 5 5" xfId="21658"/>
    <cellStyle name="Comma 2 5 3 2 2 3 5 5 2" xfId="40039"/>
    <cellStyle name="Comma 2 5 3 2 2 3 5 6" xfId="22731"/>
    <cellStyle name="Comma 2 5 3 2 2 3 5 7" xfId="23817"/>
    <cellStyle name="Comma 2 5 3 2 2 3 5 8" xfId="27053"/>
    <cellStyle name="Comma 2 5 3 2 2 3 5 9" xfId="30386"/>
    <cellStyle name="Comma 2 5 3 2 2 3 6" xfId="10157"/>
    <cellStyle name="Comma 2 5 3 2 2 3 6 2" xfId="25957"/>
    <cellStyle name="Comma 2 5 3 2 2 3 6 2 2" xfId="45384"/>
    <cellStyle name="Comma 2 5 3 2 2 3 6 2 3" xfId="38961"/>
    <cellStyle name="Comma 2 5 3 2 2 3 6 3" xfId="28135"/>
    <cellStyle name="Comma 2 5 3 2 2 3 6 3 2" xfId="42177"/>
    <cellStyle name="Comma 2 5 3 2 2 3 6 4" xfId="31470"/>
    <cellStyle name="Comma 2 5 3 2 2 3 6 5" xfId="35753"/>
    <cellStyle name="Comma 2 5 3 2 2 3 7" xfId="15847"/>
    <cellStyle name="Comma 2 5 3 2 2 3 7 2" xfId="24862"/>
    <cellStyle name="Comma 2 5 3 2 2 3 7 2 2" xfId="44291"/>
    <cellStyle name="Comma 2 5 3 2 2 3 7 2 3" xfId="37868"/>
    <cellStyle name="Comma 2 5 3 2 2 3 7 3" xfId="29183"/>
    <cellStyle name="Comma 2 5 3 2 2 3 7 3 2" xfId="41084"/>
    <cellStyle name="Comma 2 5 3 2 2 3 7 4" xfId="32518"/>
    <cellStyle name="Comma 2 5 3 2 2 3 7 5" xfId="34660"/>
    <cellStyle name="Comma 2 5 3 2 2 3 8" xfId="8665"/>
    <cellStyle name="Comma 2 5 3 2 2 3 8 2" xfId="43242"/>
    <cellStyle name="Comma 2 5 3 2 2 3 8 3" xfId="36818"/>
    <cellStyle name="Comma 2 5 3 2 2 3 9" xfId="21654"/>
    <cellStyle name="Comma 2 5 3 2 2 3 9 2" xfId="40035"/>
    <cellStyle name="Comma 2 5 3 2 2 4" xfId="1392"/>
    <cellStyle name="Comma 2 5 3 2 2 4 10" xfId="33616"/>
    <cellStyle name="Comma 2 5 3 2 2 4 2" xfId="10162"/>
    <cellStyle name="Comma 2 5 3 2 2 4 2 2" xfId="25962"/>
    <cellStyle name="Comma 2 5 3 2 2 4 2 2 2" xfId="45389"/>
    <cellStyle name="Comma 2 5 3 2 2 4 2 2 3" xfId="38966"/>
    <cellStyle name="Comma 2 5 3 2 2 4 2 3" xfId="28140"/>
    <cellStyle name="Comma 2 5 3 2 2 4 2 3 2" xfId="42182"/>
    <cellStyle name="Comma 2 5 3 2 2 4 2 4" xfId="31475"/>
    <cellStyle name="Comma 2 5 3 2 2 4 2 5" xfId="35758"/>
    <cellStyle name="Comma 2 5 3 2 2 4 3" xfId="15852"/>
    <cellStyle name="Comma 2 5 3 2 2 4 3 2" xfId="24867"/>
    <cellStyle name="Comma 2 5 3 2 2 4 3 2 2" xfId="44296"/>
    <cellStyle name="Comma 2 5 3 2 2 4 3 2 3" xfId="37873"/>
    <cellStyle name="Comma 2 5 3 2 2 4 3 3" xfId="29188"/>
    <cellStyle name="Comma 2 5 3 2 2 4 3 3 2" xfId="41089"/>
    <cellStyle name="Comma 2 5 3 2 2 4 3 4" xfId="32523"/>
    <cellStyle name="Comma 2 5 3 2 2 4 3 5" xfId="34665"/>
    <cellStyle name="Comma 2 5 3 2 2 4 4" xfId="8670"/>
    <cellStyle name="Comma 2 5 3 2 2 4 4 2" xfId="43247"/>
    <cellStyle name="Comma 2 5 3 2 2 4 4 3" xfId="36823"/>
    <cellStyle name="Comma 2 5 3 2 2 4 5" xfId="21659"/>
    <cellStyle name="Comma 2 5 3 2 2 4 5 2" xfId="40040"/>
    <cellStyle name="Comma 2 5 3 2 2 4 6" xfId="22732"/>
    <cellStyle name="Comma 2 5 3 2 2 4 7" xfId="23818"/>
    <cellStyle name="Comma 2 5 3 2 2 4 8" xfId="27054"/>
    <cellStyle name="Comma 2 5 3 2 2 4 9" xfId="30387"/>
    <cellStyle name="Comma 2 5 3 2 2 5" xfId="1393"/>
    <cellStyle name="Comma 2 5 3 2 2 5 10" xfId="33617"/>
    <cellStyle name="Comma 2 5 3 2 2 5 2" xfId="10163"/>
    <cellStyle name="Comma 2 5 3 2 2 5 2 2" xfId="25963"/>
    <cellStyle name="Comma 2 5 3 2 2 5 2 2 2" xfId="45390"/>
    <cellStyle name="Comma 2 5 3 2 2 5 2 2 3" xfId="38967"/>
    <cellStyle name="Comma 2 5 3 2 2 5 2 3" xfId="28141"/>
    <cellStyle name="Comma 2 5 3 2 2 5 2 3 2" xfId="42183"/>
    <cellStyle name="Comma 2 5 3 2 2 5 2 4" xfId="31476"/>
    <cellStyle name="Comma 2 5 3 2 2 5 2 5" xfId="35759"/>
    <cellStyle name="Comma 2 5 3 2 2 5 3" xfId="15853"/>
    <cellStyle name="Comma 2 5 3 2 2 5 3 2" xfId="24868"/>
    <cellStyle name="Comma 2 5 3 2 2 5 3 2 2" xfId="44297"/>
    <cellStyle name="Comma 2 5 3 2 2 5 3 2 3" xfId="37874"/>
    <cellStyle name="Comma 2 5 3 2 2 5 3 3" xfId="29189"/>
    <cellStyle name="Comma 2 5 3 2 2 5 3 3 2" xfId="41090"/>
    <cellStyle name="Comma 2 5 3 2 2 5 3 4" xfId="32524"/>
    <cellStyle name="Comma 2 5 3 2 2 5 3 5" xfId="34666"/>
    <cellStyle name="Comma 2 5 3 2 2 5 4" xfId="8671"/>
    <cellStyle name="Comma 2 5 3 2 2 5 4 2" xfId="43248"/>
    <cellStyle name="Comma 2 5 3 2 2 5 4 3" xfId="36824"/>
    <cellStyle name="Comma 2 5 3 2 2 5 5" xfId="21660"/>
    <cellStyle name="Comma 2 5 3 2 2 5 5 2" xfId="40041"/>
    <cellStyle name="Comma 2 5 3 2 2 5 6" xfId="22733"/>
    <cellStyle name="Comma 2 5 3 2 2 5 7" xfId="23819"/>
    <cellStyle name="Comma 2 5 3 2 2 5 8" xfId="27055"/>
    <cellStyle name="Comma 2 5 3 2 2 5 9" xfId="30388"/>
    <cellStyle name="Comma 2 5 3 2 2 6" xfId="1394"/>
    <cellStyle name="Comma 2 5 3 2 2 6 10" xfId="33618"/>
    <cellStyle name="Comma 2 5 3 2 2 6 2" xfId="10164"/>
    <cellStyle name="Comma 2 5 3 2 2 6 2 2" xfId="25964"/>
    <cellStyle name="Comma 2 5 3 2 2 6 2 2 2" xfId="45391"/>
    <cellStyle name="Comma 2 5 3 2 2 6 2 2 3" xfId="38968"/>
    <cellStyle name="Comma 2 5 3 2 2 6 2 3" xfId="28142"/>
    <cellStyle name="Comma 2 5 3 2 2 6 2 3 2" xfId="42184"/>
    <cellStyle name="Comma 2 5 3 2 2 6 2 4" xfId="31477"/>
    <cellStyle name="Comma 2 5 3 2 2 6 2 5" xfId="35760"/>
    <cellStyle name="Comma 2 5 3 2 2 6 3" xfId="15854"/>
    <cellStyle name="Comma 2 5 3 2 2 6 3 2" xfId="24869"/>
    <cellStyle name="Comma 2 5 3 2 2 6 3 2 2" xfId="44298"/>
    <cellStyle name="Comma 2 5 3 2 2 6 3 2 3" xfId="37875"/>
    <cellStyle name="Comma 2 5 3 2 2 6 3 3" xfId="29190"/>
    <cellStyle name="Comma 2 5 3 2 2 6 3 3 2" xfId="41091"/>
    <cellStyle name="Comma 2 5 3 2 2 6 3 4" xfId="32525"/>
    <cellStyle name="Comma 2 5 3 2 2 6 3 5" xfId="34667"/>
    <cellStyle name="Comma 2 5 3 2 2 6 4" xfId="8672"/>
    <cellStyle name="Comma 2 5 3 2 2 6 4 2" xfId="43249"/>
    <cellStyle name="Comma 2 5 3 2 2 6 4 3" xfId="36825"/>
    <cellStyle name="Comma 2 5 3 2 2 6 5" xfId="21661"/>
    <cellStyle name="Comma 2 5 3 2 2 6 5 2" xfId="40042"/>
    <cellStyle name="Comma 2 5 3 2 2 6 6" xfId="22734"/>
    <cellStyle name="Comma 2 5 3 2 2 6 7" xfId="23820"/>
    <cellStyle name="Comma 2 5 3 2 2 6 8" xfId="27056"/>
    <cellStyle name="Comma 2 5 3 2 2 6 9" xfId="30389"/>
    <cellStyle name="Comma 2 5 3 2 2 7" xfId="1395"/>
    <cellStyle name="Comma 2 5 3 2 2 7 10" xfId="33619"/>
    <cellStyle name="Comma 2 5 3 2 2 7 2" xfId="10165"/>
    <cellStyle name="Comma 2 5 3 2 2 7 2 2" xfId="25965"/>
    <cellStyle name="Comma 2 5 3 2 2 7 2 2 2" xfId="45392"/>
    <cellStyle name="Comma 2 5 3 2 2 7 2 2 3" xfId="38969"/>
    <cellStyle name="Comma 2 5 3 2 2 7 2 3" xfId="28143"/>
    <cellStyle name="Comma 2 5 3 2 2 7 2 3 2" xfId="42185"/>
    <cellStyle name="Comma 2 5 3 2 2 7 2 4" xfId="31478"/>
    <cellStyle name="Comma 2 5 3 2 2 7 2 5" xfId="35761"/>
    <cellStyle name="Comma 2 5 3 2 2 7 3" xfId="15855"/>
    <cellStyle name="Comma 2 5 3 2 2 7 3 2" xfId="24870"/>
    <cellStyle name="Comma 2 5 3 2 2 7 3 2 2" xfId="44299"/>
    <cellStyle name="Comma 2 5 3 2 2 7 3 2 3" xfId="37876"/>
    <cellStyle name="Comma 2 5 3 2 2 7 3 3" xfId="29191"/>
    <cellStyle name="Comma 2 5 3 2 2 7 3 3 2" xfId="41092"/>
    <cellStyle name="Comma 2 5 3 2 2 7 3 4" xfId="32526"/>
    <cellStyle name="Comma 2 5 3 2 2 7 3 5" xfId="34668"/>
    <cellStyle name="Comma 2 5 3 2 2 7 4" xfId="8673"/>
    <cellStyle name="Comma 2 5 3 2 2 7 4 2" xfId="43250"/>
    <cellStyle name="Comma 2 5 3 2 2 7 4 3" xfId="36826"/>
    <cellStyle name="Comma 2 5 3 2 2 7 5" xfId="21662"/>
    <cellStyle name="Comma 2 5 3 2 2 7 5 2" xfId="40043"/>
    <cellStyle name="Comma 2 5 3 2 2 7 6" xfId="22735"/>
    <cellStyle name="Comma 2 5 3 2 2 7 7" xfId="23821"/>
    <cellStyle name="Comma 2 5 3 2 2 7 8" xfId="27057"/>
    <cellStyle name="Comma 2 5 3 2 2 7 9" xfId="30390"/>
    <cellStyle name="Comma 2 5 3 2 2 8" xfId="1396"/>
    <cellStyle name="Comma 2 5 3 2 2 8 10" xfId="33620"/>
    <cellStyle name="Comma 2 5 3 2 2 8 2" xfId="10166"/>
    <cellStyle name="Comma 2 5 3 2 2 8 2 2" xfId="25966"/>
    <cellStyle name="Comma 2 5 3 2 2 8 2 2 2" xfId="45393"/>
    <cellStyle name="Comma 2 5 3 2 2 8 2 2 3" xfId="38970"/>
    <cellStyle name="Comma 2 5 3 2 2 8 2 3" xfId="28144"/>
    <cellStyle name="Comma 2 5 3 2 2 8 2 3 2" xfId="42186"/>
    <cellStyle name="Comma 2 5 3 2 2 8 2 4" xfId="31479"/>
    <cellStyle name="Comma 2 5 3 2 2 8 2 5" xfId="35762"/>
    <cellStyle name="Comma 2 5 3 2 2 8 3" xfId="15856"/>
    <cellStyle name="Comma 2 5 3 2 2 8 3 2" xfId="24871"/>
    <cellStyle name="Comma 2 5 3 2 2 8 3 2 2" xfId="44300"/>
    <cellStyle name="Comma 2 5 3 2 2 8 3 2 3" xfId="37877"/>
    <cellStyle name="Comma 2 5 3 2 2 8 3 3" xfId="29192"/>
    <cellStyle name="Comma 2 5 3 2 2 8 3 3 2" xfId="41093"/>
    <cellStyle name="Comma 2 5 3 2 2 8 3 4" xfId="32527"/>
    <cellStyle name="Comma 2 5 3 2 2 8 3 5" xfId="34669"/>
    <cellStyle name="Comma 2 5 3 2 2 8 4" xfId="8674"/>
    <cellStyle name="Comma 2 5 3 2 2 8 4 2" xfId="43251"/>
    <cellStyle name="Comma 2 5 3 2 2 8 4 3" xfId="36827"/>
    <cellStyle name="Comma 2 5 3 2 2 8 5" xfId="21663"/>
    <cellStyle name="Comma 2 5 3 2 2 8 5 2" xfId="40044"/>
    <cellStyle name="Comma 2 5 3 2 2 8 6" xfId="22736"/>
    <cellStyle name="Comma 2 5 3 2 2 8 7" xfId="23822"/>
    <cellStyle name="Comma 2 5 3 2 2 8 8" xfId="27058"/>
    <cellStyle name="Comma 2 5 3 2 2 8 9" xfId="30391"/>
    <cellStyle name="Comma 2 5 3 2 2 9" xfId="9143"/>
    <cellStyle name="Comma 2 5 3 2 2 9 2" xfId="25197"/>
    <cellStyle name="Comma 2 5 3 2 2 9 2 2" xfId="44624"/>
    <cellStyle name="Comma 2 5 3 2 2 9 2 3" xfId="38201"/>
    <cellStyle name="Comma 2 5 3 2 2 9 3" xfId="27376"/>
    <cellStyle name="Comma 2 5 3 2 2 9 3 2" xfId="41417"/>
    <cellStyle name="Comma 2 5 3 2 2 9 4" xfId="30711"/>
    <cellStyle name="Comma 2 5 3 2 2 9 5" xfId="34993"/>
    <cellStyle name="Comma 2 5 3 2 3" xfId="289"/>
    <cellStyle name="Comma 2 5 3 2 3 10" xfId="21664"/>
    <cellStyle name="Comma 2 5 3 2 3 10 2" xfId="39282"/>
    <cellStyle name="Comma 2 5 3 2 3 11" xfId="22737"/>
    <cellStyle name="Comma 2 5 3 2 3 12" xfId="23060"/>
    <cellStyle name="Comma 2 5 3 2 3 13" xfId="27059"/>
    <cellStyle name="Comma 2 5 3 2 3 14" xfId="30392"/>
    <cellStyle name="Comma 2 5 3 2 3 15" xfId="32858"/>
    <cellStyle name="Comma 2 5 3 2 3 2" xfId="1397"/>
    <cellStyle name="Comma 2 5 3 2 3 2 10" xfId="33621"/>
    <cellStyle name="Comma 2 5 3 2 3 2 2" xfId="10167"/>
    <cellStyle name="Comma 2 5 3 2 3 2 2 2" xfId="25967"/>
    <cellStyle name="Comma 2 5 3 2 3 2 2 2 2" xfId="45394"/>
    <cellStyle name="Comma 2 5 3 2 3 2 2 2 3" xfId="38971"/>
    <cellStyle name="Comma 2 5 3 2 3 2 2 3" xfId="28145"/>
    <cellStyle name="Comma 2 5 3 2 3 2 2 3 2" xfId="42187"/>
    <cellStyle name="Comma 2 5 3 2 3 2 2 4" xfId="31480"/>
    <cellStyle name="Comma 2 5 3 2 3 2 2 5" xfId="35763"/>
    <cellStyle name="Comma 2 5 3 2 3 2 3" xfId="15858"/>
    <cellStyle name="Comma 2 5 3 2 3 2 3 2" xfId="24873"/>
    <cellStyle name="Comma 2 5 3 2 3 2 3 2 2" xfId="44302"/>
    <cellStyle name="Comma 2 5 3 2 3 2 3 2 3" xfId="37879"/>
    <cellStyle name="Comma 2 5 3 2 3 2 3 3" xfId="29194"/>
    <cellStyle name="Comma 2 5 3 2 3 2 3 3 2" xfId="41095"/>
    <cellStyle name="Comma 2 5 3 2 3 2 3 4" xfId="32529"/>
    <cellStyle name="Comma 2 5 3 2 3 2 3 5" xfId="34671"/>
    <cellStyle name="Comma 2 5 3 2 3 2 4" xfId="8676"/>
    <cellStyle name="Comma 2 5 3 2 3 2 4 2" xfId="43252"/>
    <cellStyle name="Comma 2 5 3 2 3 2 4 3" xfId="36828"/>
    <cellStyle name="Comma 2 5 3 2 3 2 5" xfId="21665"/>
    <cellStyle name="Comma 2 5 3 2 3 2 5 2" xfId="40045"/>
    <cellStyle name="Comma 2 5 3 2 3 2 6" xfId="22738"/>
    <cellStyle name="Comma 2 5 3 2 3 2 7" xfId="23823"/>
    <cellStyle name="Comma 2 5 3 2 3 2 8" xfId="27060"/>
    <cellStyle name="Comma 2 5 3 2 3 2 9" xfId="30393"/>
    <cellStyle name="Comma 2 5 3 2 3 3" xfId="1398"/>
    <cellStyle name="Comma 2 5 3 2 3 3 10" xfId="33622"/>
    <cellStyle name="Comma 2 5 3 2 3 3 2" xfId="10168"/>
    <cellStyle name="Comma 2 5 3 2 3 3 2 2" xfId="25968"/>
    <cellStyle name="Comma 2 5 3 2 3 3 2 2 2" xfId="45395"/>
    <cellStyle name="Comma 2 5 3 2 3 3 2 2 3" xfId="38972"/>
    <cellStyle name="Comma 2 5 3 2 3 3 2 3" xfId="28146"/>
    <cellStyle name="Comma 2 5 3 2 3 3 2 3 2" xfId="42188"/>
    <cellStyle name="Comma 2 5 3 2 3 3 2 4" xfId="31481"/>
    <cellStyle name="Comma 2 5 3 2 3 3 2 5" xfId="35764"/>
    <cellStyle name="Comma 2 5 3 2 3 3 3" xfId="15859"/>
    <cellStyle name="Comma 2 5 3 2 3 3 3 2" xfId="24874"/>
    <cellStyle name="Comma 2 5 3 2 3 3 3 2 2" xfId="44303"/>
    <cellStyle name="Comma 2 5 3 2 3 3 3 2 3" xfId="37880"/>
    <cellStyle name="Comma 2 5 3 2 3 3 3 3" xfId="29195"/>
    <cellStyle name="Comma 2 5 3 2 3 3 3 3 2" xfId="41096"/>
    <cellStyle name="Comma 2 5 3 2 3 3 3 4" xfId="32530"/>
    <cellStyle name="Comma 2 5 3 2 3 3 3 5" xfId="34672"/>
    <cellStyle name="Comma 2 5 3 2 3 3 4" xfId="8677"/>
    <cellStyle name="Comma 2 5 3 2 3 3 4 2" xfId="43253"/>
    <cellStyle name="Comma 2 5 3 2 3 3 4 3" xfId="36829"/>
    <cellStyle name="Comma 2 5 3 2 3 3 5" xfId="21666"/>
    <cellStyle name="Comma 2 5 3 2 3 3 5 2" xfId="40046"/>
    <cellStyle name="Comma 2 5 3 2 3 3 6" xfId="22739"/>
    <cellStyle name="Comma 2 5 3 2 3 3 7" xfId="23824"/>
    <cellStyle name="Comma 2 5 3 2 3 3 8" xfId="27061"/>
    <cellStyle name="Comma 2 5 3 2 3 3 9" xfId="30394"/>
    <cellStyle name="Comma 2 5 3 2 3 4" xfId="1399"/>
    <cellStyle name="Comma 2 5 3 2 3 4 10" xfId="33623"/>
    <cellStyle name="Comma 2 5 3 2 3 4 2" xfId="10169"/>
    <cellStyle name="Comma 2 5 3 2 3 4 2 2" xfId="25969"/>
    <cellStyle name="Comma 2 5 3 2 3 4 2 2 2" xfId="45396"/>
    <cellStyle name="Comma 2 5 3 2 3 4 2 2 3" xfId="38973"/>
    <cellStyle name="Comma 2 5 3 2 3 4 2 3" xfId="28147"/>
    <cellStyle name="Comma 2 5 3 2 3 4 2 3 2" xfId="42189"/>
    <cellStyle name="Comma 2 5 3 2 3 4 2 4" xfId="31482"/>
    <cellStyle name="Comma 2 5 3 2 3 4 2 5" xfId="35765"/>
    <cellStyle name="Comma 2 5 3 2 3 4 3" xfId="15860"/>
    <cellStyle name="Comma 2 5 3 2 3 4 3 2" xfId="24875"/>
    <cellStyle name="Comma 2 5 3 2 3 4 3 2 2" xfId="44304"/>
    <cellStyle name="Comma 2 5 3 2 3 4 3 2 3" xfId="37881"/>
    <cellStyle name="Comma 2 5 3 2 3 4 3 3" xfId="29196"/>
    <cellStyle name="Comma 2 5 3 2 3 4 3 3 2" xfId="41097"/>
    <cellStyle name="Comma 2 5 3 2 3 4 3 4" xfId="32531"/>
    <cellStyle name="Comma 2 5 3 2 3 4 3 5" xfId="34673"/>
    <cellStyle name="Comma 2 5 3 2 3 4 4" xfId="8678"/>
    <cellStyle name="Comma 2 5 3 2 3 4 4 2" xfId="43254"/>
    <cellStyle name="Comma 2 5 3 2 3 4 4 3" xfId="36830"/>
    <cellStyle name="Comma 2 5 3 2 3 4 5" xfId="21667"/>
    <cellStyle name="Comma 2 5 3 2 3 4 5 2" xfId="40047"/>
    <cellStyle name="Comma 2 5 3 2 3 4 6" xfId="22740"/>
    <cellStyle name="Comma 2 5 3 2 3 4 7" xfId="23825"/>
    <cellStyle name="Comma 2 5 3 2 3 4 8" xfId="27062"/>
    <cellStyle name="Comma 2 5 3 2 3 4 9" xfId="30395"/>
    <cellStyle name="Comma 2 5 3 2 3 5" xfId="1400"/>
    <cellStyle name="Comma 2 5 3 2 3 5 10" xfId="33624"/>
    <cellStyle name="Comma 2 5 3 2 3 5 2" xfId="10170"/>
    <cellStyle name="Comma 2 5 3 2 3 5 2 2" xfId="25970"/>
    <cellStyle name="Comma 2 5 3 2 3 5 2 2 2" xfId="45397"/>
    <cellStyle name="Comma 2 5 3 2 3 5 2 2 3" xfId="38974"/>
    <cellStyle name="Comma 2 5 3 2 3 5 2 3" xfId="28148"/>
    <cellStyle name="Comma 2 5 3 2 3 5 2 3 2" xfId="42190"/>
    <cellStyle name="Comma 2 5 3 2 3 5 2 4" xfId="31483"/>
    <cellStyle name="Comma 2 5 3 2 3 5 2 5" xfId="35766"/>
    <cellStyle name="Comma 2 5 3 2 3 5 3" xfId="15861"/>
    <cellStyle name="Comma 2 5 3 2 3 5 3 2" xfId="24876"/>
    <cellStyle name="Comma 2 5 3 2 3 5 3 2 2" xfId="44305"/>
    <cellStyle name="Comma 2 5 3 2 3 5 3 2 3" xfId="37882"/>
    <cellStyle name="Comma 2 5 3 2 3 5 3 3" xfId="29197"/>
    <cellStyle name="Comma 2 5 3 2 3 5 3 3 2" xfId="41098"/>
    <cellStyle name="Comma 2 5 3 2 3 5 3 4" xfId="32532"/>
    <cellStyle name="Comma 2 5 3 2 3 5 3 5" xfId="34674"/>
    <cellStyle name="Comma 2 5 3 2 3 5 4" xfId="8679"/>
    <cellStyle name="Comma 2 5 3 2 3 5 4 2" xfId="43255"/>
    <cellStyle name="Comma 2 5 3 2 3 5 4 3" xfId="36831"/>
    <cellStyle name="Comma 2 5 3 2 3 5 5" xfId="21668"/>
    <cellStyle name="Comma 2 5 3 2 3 5 5 2" xfId="40048"/>
    <cellStyle name="Comma 2 5 3 2 3 5 6" xfId="22741"/>
    <cellStyle name="Comma 2 5 3 2 3 5 7" xfId="23826"/>
    <cellStyle name="Comma 2 5 3 2 3 5 8" xfId="27063"/>
    <cellStyle name="Comma 2 5 3 2 3 5 9" xfId="30396"/>
    <cellStyle name="Comma 2 5 3 2 3 6" xfId="1401"/>
    <cellStyle name="Comma 2 5 3 2 3 6 10" xfId="33625"/>
    <cellStyle name="Comma 2 5 3 2 3 6 2" xfId="10171"/>
    <cellStyle name="Comma 2 5 3 2 3 6 2 2" xfId="25971"/>
    <cellStyle name="Comma 2 5 3 2 3 6 2 2 2" xfId="45398"/>
    <cellStyle name="Comma 2 5 3 2 3 6 2 2 3" xfId="38975"/>
    <cellStyle name="Comma 2 5 3 2 3 6 2 3" xfId="28149"/>
    <cellStyle name="Comma 2 5 3 2 3 6 2 3 2" xfId="42191"/>
    <cellStyle name="Comma 2 5 3 2 3 6 2 4" xfId="31484"/>
    <cellStyle name="Comma 2 5 3 2 3 6 2 5" xfId="35767"/>
    <cellStyle name="Comma 2 5 3 2 3 6 3" xfId="15862"/>
    <cellStyle name="Comma 2 5 3 2 3 6 3 2" xfId="24877"/>
    <cellStyle name="Comma 2 5 3 2 3 6 3 2 2" xfId="44306"/>
    <cellStyle name="Comma 2 5 3 2 3 6 3 2 3" xfId="37883"/>
    <cellStyle name="Comma 2 5 3 2 3 6 3 3" xfId="29198"/>
    <cellStyle name="Comma 2 5 3 2 3 6 3 3 2" xfId="41099"/>
    <cellStyle name="Comma 2 5 3 2 3 6 3 4" xfId="32533"/>
    <cellStyle name="Comma 2 5 3 2 3 6 3 5" xfId="34675"/>
    <cellStyle name="Comma 2 5 3 2 3 6 4" xfId="8680"/>
    <cellStyle name="Comma 2 5 3 2 3 6 4 2" xfId="43256"/>
    <cellStyle name="Comma 2 5 3 2 3 6 4 3" xfId="36832"/>
    <cellStyle name="Comma 2 5 3 2 3 6 5" xfId="21669"/>
    <cellStyle name="Comma 2 5 3 2 3 6 5 2" xfId="40049"/>
    <cellStyle name="Comma 2 5 3 2 3 6 6" xfId="22742"/>
    <cellStyle name="Comma 2 5 3 2 3 6 7" xfId="23827"/>
    <cellStyle name="Comma 2 5 3 2 3 6 8" xfId="27064"/>
    <cellStyle name="Comma 2 5 3 2 3 6 9" xfId="30397"/>
    <cellStyle name="Comma 2 5 3 2 3 7" xfId="9145"/>
    <cellStyle name="Comma 2 5 3 2 3 7 2" xfId="25199"/>
    <cellStyle name="Comma 2 5 3 2 3 7 2 2" xfId="44626"/>
    <cellStyle name="Comma 2 5 3 2 3 7 2 3" xfId="38203"/>
    <cellStyle name="Comma 2 5 3 2 3 7 3" xfId="27378"/>
    <cellStyle name="Comma 2 5 3 2 3 7 3 2" xfId="41419"/>
    <cellStyle name="Comma 2 5 3 2 3 7 4" xfId="30713"/>
    <cellStyle name="Comma 2 5 3 2 3 7 5" xfId="34995"/>
    <cellStyle name="Comma 2 5 3 2 3 8" xfId="15857"/>
    <cellStyle name="Comma 2 5 3 2 3 8 2" xfId="24872"/>
    <cellStyle name="Comma 2 5 3 2 3 8 2 2" xfId="44301"/>
    <cellStyle name="Comma 2 5 3 2 3 8 2 3" xfId="37878"/>
    <cellStyle name="Comma 2 5 3 2 3 8 3" xfId="29193"/>
    <cellStyle name="Comma 2 5 3 2 3 8 3 2" xfId="41094"/>
    <cellStyle name="Comma 2 5 3 2 3 8 4" xfId="32528"/>
    <cellStyle name="Comma 2 5 3 2 3 8 5" xfId="34670"/>
    <cellStyle name="Comma 2 5 3 2 3 9" xfId="8675"/>
    <cellStyle name="Comma 2 5 3 2 3 9 2" xfId="42489"/>
    <cellStyle name="Comma 2 5 3 2 3 9 3" xfId="36065"/>
    <cellStyle name="Comma 2 5 3 2 4" xfId="1402"/>
    <cellStyle name="Comma 2 5 3 2 4 10" xfId="22743"/>
    <cellStyle name="Comma 2 5 3 2 4 11" xfId="23828"/>
    <cellStyle name="Comma 2 5 3 2 4 12" xfId="27065"/>
    <cellStyle name="Comma 2 5 3 2 4 13" xfId="30398"/>
    <cellStyle name="Comma 2 5 3 2 4 14" xfId="33626"/>
    <cellStyle name="Comma 2 5 3 2 4 2" xfId="1403"/>
    <cellStyle name="Comma 2 5 3 2 4 2 10" xfId="33627"/>
    <cellStyle name="Comma 2 5 3 2 4 2 2" xfId="10173"/>
    <cellStyle name="Comma 2 5 3 2 4 2 2 2" xfId="25973"/>
    <cellStyle name="Comma 2 5 3 2 4 2 2 2 2" xfId="45400"/>
    <cellStyle name="Comma 2 5 3 2 4 2 2 2 3" xfId="38977"/>
    <cellStyle name="Comma 2 5 3 2 4 2 2 3" xfId="28151"/>
    <cellStyle name="Comma 2 5 3 2 4 2 2 3 2" xfId="42193"/>
    <cellStyle name="Comma 2 5 3 2 4 2 2 4" xfId="31486"/>
    <cellStyle name="Comma 2 5 3 2 4 2 2 5" xfId="35769"/>
    <cellStyle name="Comma 2 5 3 2 4 2 3" xfId="15864"/>
    <cellStyle name="Comma 2 5 3 2 4 2 3 2" xfId="24879"/>
    <cellStyle name="Comma 2 5 3 2 4 2 3 2 2" xfId="44308"/>
    <cellStyle name="Comma 2 5 3 2 4 2 3 2 3" xfId="37885"/>
    <cellStyle name="Comma 2 5 3 2 4 2 3 3" xfId="29200"/>
    <cellStyle name="Comma 2 5 3 2 4 2 3 3 2" xfId="41101"/>
    <cellStyle name="Comma 2 5 3 2 4 2 3 4" xfId="32535"/>
    <cellStyle name="Comma 2 5 3 2 4 2 3 5" xfId="34677"/>
    <cellStyle name="Comma 2 5 3 2 4 2 4" xfId="8682"/>
    <cellStyle name="Comma 2 5 3 2 4 2 4 2" xfId="43258"/>
    <cellStyle name="Comma 2 5 3 2 4 2 4 3" xfId="36834"/>
    <cellStyle name="Comma 2 5 3 2 4 2 5" xfId="21671"/>
    <cellStyle name="Comma 2 5 3 2 4 2 5 2" xfId="40051"/>
    <cellStyle name="Comma 2 5 3 2 4 2 6" xfId="22744"/>
    <cellStyle name="Comma 2 5 3 2 4 2 7" xfId="23829"/>
    <cellStyle name="Comma 2 5 3 2 4 2 8" xfId="27066"/>
    <cellStyle name="Comma 2 5 3 2 4 2 9" xfId="30399"/>
    <cellStyle name="Comma 2 5 3 2 4 3" xfId="1404"/>
    <cellStyle name="Comma 2 5 3 2 4 3 10" xfId="33628"/>
    <cellStyle name="Comma 2 5 3 2 4 3 2" xfId="10174"/>
    <cellStyle name="Comma 2 5 3 2 4 3 2 2" xfId="25974"/>
    <cellStyle name="Comma 2 5 3 2 4 3 2 2 2" xfId="45401"/>
    <cellStyle name="Comma 2 5 3 2 4 3 2 2 3" xfId="38978"/>
    <cellStyle name="Comma 2 5 3 2 4 3 2 3" xfId="28152"/>
    <cellStyle name="Comma 2 5 3 2 4 3 2 3 2" xfId="42194"/>
    <cellStyle name="Comma 2 5 3 2 4 3 2 4" xfId="31487"/>
    <cellStyle name="Comma 2 5 3 2 4 3 2 5" xfId="35770"/>
    <cellStyle name="Comma 2 5 3 2 4 3 3" xfId="15865"/>
    <cellStyle name="Comma 2 5 3 2 4 3 3 2" xfId="24880"/>
    <cellStyle name="Comma 2 5 3 2 4 3 3 2 2" xfId="44309"/>
    <cellStyle name="Comma 2 5 3 2 4 3 3 2 3" xfId="37886"/>
    <cellStyle name="Comma 2 5 3 2 4 3 3 3" xfId="29201"/>
    <cellStyle name="Comma 2 5 3 2 4 3 3 3 2" xfId="41102"/>
    <cellStyle name="Comma 2 5 3 2 4 3 3 4" xfId="32536"/>
    <cellStyle name="Comma 2 5 3 2 4 3 3 5" xfId="34678"/>
    <cellStyle name="Comma 2 5 3 2 4 3 4" xfId="8683"/>
    <cellStyle name="Comma 2 5 3 2 4 3 4 2" xfId="43259"/>
    <cellStyle name="Comma 2 5 3 2 4 3 4 3" xfId="36835"/>
    <cellStyle name="Comma 2 5 3 2 4 3 5" xfId="21672"/>
    <cellStyle name="Comma 2 5 3 2 4 3 5 2" xfId="40052"/>
    <cellStyle name="Comma 2 5 3 2 4 3 6" xfId="22745"/>
    <cellStyle name="Comma 2 5 3 2 4 3 7" xfId="23830"/>
    <cellStyle name="Comma 2 5 3 2 4 3 8" xfId="27067"/>
    <cellStyle name="Comma 2 5 3 2 4 3 9" xfId="30400"/>
    <cellStyle name="Comma 2 5 3 2 4 4" xfId="1405"/>
    <cellStyle name="Comma 2 5 3 2 4 4 10" xfId="33629"/>
    <cellStyle name="Comma 2 5 3 2 4 4 2" xfId="10175"/>
    <cellStyle name="Comma 2 5 3 2 4 4 2 2" xfId="25975"/>
    <cellStyle name="Comma 2 5 3 2 4 4 2 2 2" xfId="45402"/>
    <cellStyle name="Comma 2 5 3 2 4 4 2 2 3" xfId="38979"/>
    <cellStyle name="Comma 2 5 3 2 4 4 2 3" xfId="28153"/>
    <cellStyle name="Comma 2 5 3 2 4 4 2 3 2" xfId="42195"/>
    <cellStyle name="Comma 2 5 3 2 4 4 2 4" xfId="31488"/>
    <cellStyle name="Comma 2 5 3 2 4 4 2 5" xfId="35771"/>
    <cellStyle name="Comma 2 5 3 2 4 4 3" xfId="15866"/>
    <cellStyle name="Comma 2 5 3 2 4 4 3 2" xfId="24881"/>
    <cellStyle name="Comma 2 5 3 2 4 4 3 2 2" xfId="44310"/>
    <cellStyle name="Comma 2 5 3 2 4 4 3 2 3" xfId="37887"/>
    <cellStyle name="Comma 2 5 3 2 4 4 3 3" xfId="29202"/>
    <cellStyle name="Comma 2 5 3 2 4 4 3 3 2" xfId="41103"/>
    <cellStyle name="Comma 2 5 3 2 4 4 3 4" xfId="32537"/>
    <cellStyle name="Comma 2 5 3 2 4 4 3 5" xfId="34679"/>
    <cellStyle name="Comma 2 5 3 2 4 4 4" xfId="8684"/>
    <cellStyle name="Comma 2 5 3 2 4 4 4 2" xfId="43260"/>
    <cellStyle name="Comma 2 5 3 2 4 4 4 3" xfId="36836"/>
    <cellStyle name="Comma 2 5 3 2 4 4 5" xfId="21673"/>
    <cellStyle name="Comma 2 5 3 2 4 4 5 2" xfId="40053"/>
    <cellStyle name="Comma 2 5 3 2 4 4 6" xfId="22746"/>
    <cellStyle name="Comma 2 5 3 2 4 4 7" xfId="23831"/>
    <cellStyle name="Comma 2 5 3 2 4 4 8" xfId="27068"/>
    <cellStyle name="Comma 2 5 3 2 4 4 9" xfId="30401"/>
    <cellStyle name="Comma 2 5 3 2 4 5" xfId="1406"/>
    <cellStyle name="Comma 2 5 3 2 4 5 10" xfId="33630"/>
    <cellStyle name="Comma 2 5 3 2 4 5 2" xfId="10176"/>
    <cellStyle name="Comma 2 5 3 2 4 5 2 2" xfId="25976"/>
    <cellStyle name="Comma 2 5 3 2 4 5 2 2 2" xfId="45403"/>
    <cellStyle name="Comma 2 5 3 2 4 5 2 2 3" xfId="38980"/>
    <cellStyle name="Comma 2 5 3 2 4 5 2 3" xfId="28154"/>
    <cellStyle name="Comma 2 5 3 2 4 5 2 3 2" xfId="42196"/>
    <cellStyle name="Comma 2 5 3 2 4 5 2 4" xfId="31489"/>
    <cellStyle name="Comma 2 5 3 2 4 5 2 5" xfId="35772"/>
    <cellStyle name="Comma 2 5 3 2 4 5 3" xfId="15867"/>
    <cellStyle name="Comma 2 5 3 2 4 5 3 2" xfId="24882"/>
    <cellStyle name="Comma 2 5 3 2 4 5 3 2 2" xfId="44311"/>
    <cellStyle name="Comma 2 5 3 2 4 5 3 2 3" xfId="37888"/>
    <cellStyle name="Comma 2 5 3 2 4 5 3 3" xfId="29203"/>
    <cellStyle name="Comma 2 5 3 2 4 5 3 3 2" xfId="41104"/>
    <cellStyle name="Comma 2 5 3 2 4 5 3 4" xfId="32538"/>
    <cellStyle name="Comma 2 5 3 2 4 5 3 5" xfId="34680"/>
    <cellStyle name="Comma 2 5 3 2 4 5 4" xfId="8685"/>
    <cellStyle name="Comma 2 5 3 2 4 5 4 2" xfId="43261"/>
    <cellStyle name="Comma 2 5 3 2 4 5 4 3" xfId="36837"/>
    <cellStyle name="Comma 2 5 3 2 4 5 5" xfId="21674"/>
    <cellStyle name="Comma 2 5 3 2 4 5 5 2" xfId="40054"/>
    <cellStyle name="Comma 2 5 3 2 4 5 6" xfId="22747"/>
    <cellStyle name="Comma 2 5 3 2 4 5 7" xfId="23832"/>
    <cellStyle name="Comma 2 5 3 2 4 5 8" xfId="27069"/>
    <cellStyle name="Comma 2 5 3 2 4 5 9" xfId="30402"/>
    <cellStyle name="Comma 2 5 3 2 4 6" xfId="10172"/>
    <cellStyle name="Comma 2 5 3 2 4 6 2" xfId="25972"/>
    <cellStyle name="Comma 2 5 3 2 4 6 2 2" xfId="45399"/>
    <cellStyle name="Comma 2 5 3 2 4 6 2 3" xfId="38976"/>
    <cellStyle name="Comma 2 5 3 2 4 6 3" xfId="28150"/>
    <cellStyle name="Comma 2 5 3 2 4 6 3 2" xfId="42192"/>
    <cellStyle name="Comma 2 5 3 2 4 6 4" xfId="31485"/>
    <cellStyle name="Comma 2 5 3 2 4 6 5" xfId="35768"/>
    <cellStyle name="Comma 2 5 3 2 4 7" xfId="15863"/>
    <cellStyle name="Comma 2 5 3 2 4 7 2" xfId="24878"/>
    <cellStyle name="Comma 2 5 3 2 4 7 2 2" xfId="44307"/>
    <cellStyle name="Comma 2 5 3 2 4 7 2 3" xfId="37884"/>
    <cellStyle name="Comma 2 5 3 2 4 7 3" xfId="29199"/>
    <cellStyle name="Comma 2 5 3 2 4 7 3 2" xfId="41100"/>
    <cellStyle name="Comma 2 5 3 2 4 7 4" xfId="32534"/>
    <cellStyle name="Comma 2 5 3 2 4 7 5" xfId="34676"/>
    <cellStyle name="Comma 2 5 3 2 4 8" xfId="8681"/>
    <cellStyle name="Comma 2 5 3 2 4 8 2" xfId="43257"/>
    <cellStyle name="Comma 2 5 3 2 4 8 3" xfId="36833"/>
    <cellStyle name="Comma 2 5 3 2 4 9" xfId="21670"/>
    <cellStyle name="Comma 2 5 3 2 4 9 2" xfId="40050"/>
    <cellStyle name="Comma 2 5 3 2 5" xfId="1407"/>
    <cellStyle name="Comma 2 5 3 2 5 10" xfId="22748"/>
    <cellStyle name="Comma 2 5 3 2 5 11" xfId="23833"/>
    <cellStyle name="Comma 2 5 3 2 5 12" xfId="27070"/>
    <cellStyle name="Comma 2 5 3 2 5 13" xfId="30403"/>
    <cellStyle name="Comma 2 5 3 2 5 14" xfId="33631"/>
    <cellStyle name="Comma 2 5 3 2 5 2" xfId="1408"/>
    <cellStyle name="Comma 2 5 3 2 5 2 10" xfId="33632"/>
    <cellStyle name="Comma 2 5 3 2 5 2 2" xfId="10178"/>
    <cellStyle name="Comma 2 5 3 2 5 2 2 2" xfId="25978"/>
    <cellStyle name="Comma 2 5 3 2 5 2 2 2 2" xfId="45405"/>
    <cellStyle name="Comma 2 5 3 2 5 2 2 2 3" xfId="38982"/>
    <cellStyle name="Comma 2 5 3 2 5 2 2 3" xfId="28156"/>
    <cellStyle name="Comma 2 5 3 2 5 2 2 3 2" xfId="42198"/>
    <cellStyle name="Comma 2 5 3 2 5 2 2 4" xfId="31491"/>
    <cellStyle name="Comma 2 5 3 2 5 2 2 5" xfId="35774"/>
    <cellStyle name="Comma 2 5 3 2 5 2 3" xfId="15869"/>
    <cellStyle name="Comma 2 5 3 2 5 2 3 2" xfId="24884"/>
    <cellStyle name="Comma 2 5 3 2 5 2 3 2 2" xfId="44313"/>
    <cellStyle name="Comma 2 5 3 2 5 2 3 2 3" xfId="37890"/>
    <cellStyle name="Comma 2 5 3 2 5 2 3 3" xfId="29205"/>
    <cellStyle name="Comma 2 5 3 2 5 2 3 3 2" xfId="41106"/>
    <cellStyle name="Comma 2 5 3 2 5 2 3 4" xfId="32540"/>
    <cellStyle name="Comma 2 5 3 2 5 2 3 5" xfId="34682"/>
    <cellStyle name="Comma 2 5 3 2 5 2 4" xfId="8687"/>
    <cellStyle name="Comma 2 5 3 2 5 2 4 2" xfId="43263"/>
    <cellStyle name="Comma 2 5 3 2 5 2 4 3" xfId="36839"/>
    <cellStyle name="Comma 2 5 3 2 5 2 5" xfId="21676"/>
    <cellStyle name="Comma 2 5 3 2 5 2 5 2" xfId="40056"/>
    <cellStyle name="Comma 2 5 3 2 5 2 6" xfId="22749"/>
    <cellStyle name="Comma 2 5 3 2 5 2 7" xfId="23834"/>
    <cellStyle name="Comma 2 5 3 2 5 2 8" xfId="27071"/>
    <cellStyle name="Comma 2 5 3 2 5 2 9" xfId="30404"/>
    <cellStyle name="Comma 2 5 3 2 5 3" xfId="1409"/>
    <cellStyle name="Comma 2 5 3 2 5 3 10" xfId="33633"/>
    <cellStyle name="Comma 2 5 3 2 5 3 2" xfId="10179"/>
    <cellStyle name="Comma 2 5 3 2 5 3 2 2" xfId="25979"/>
    <cellStyle name="Comma 2 5 3 2 5 3 2 2 2" xfId="45406"/>
    <cellStyle name="Comma 2 5 3 2 5 3 2 2 3" xfId="38983"/>
    <cellStyle name="Comma 2 5 3 2 5 3 2 3" xfId="28157"/>
    <cellStyle name="Comma 2 5 3 2 5 3 2 3 2" xfId="42199"/>
    <cellStyle name="Comma 2 5 3 2 5 3 2 4" xfId="31492"/>
    <cellStyle name="Comma 2 5 3 2 5 3 2 5" xfId="35775"/>
    <cellStyle name="Comma 2 5 3 2 5 3 3" xfId="15870"/>
    <cellStyle name="Comma 2 5 3 2 5 3 3 2" xfId="24885"/>
    <cellStyle name="Comma 2 5 3 2 5 3 3 2 2" xfId="44314"/>
    <cellStyle name="Comma 2 5 3 2 5 3 3 2 3" xfId="37891"/>
    <cellStyle name="Comma 2 5 3 2 5 3 3 3" xfId="29206"/>
    <cellStyle name="Comma 2 5 3 2 5 3 3 3 2" xfId="41107"/>
    <cellStyle name="Comma 2 5 3 2 5 3 3 4" xfId="32541"/>
    <cellStyle name="Comma 2 5 3 2 5 3 3 5" xfId="34683"/>
    <cellStyle name="Comma 2 5 3 2 5 3 4" xfId="8688"/>
    <cellStyle name="Comma 2 5 3 2 5 3 4 2" xfId="43264"/>
    <cellStyle name="Comma 2 5 3 2 5 3 4 3" xfId="36840"/>
    <cellStyle name="Comma 2 5 3 2 5 3 5" xfId="21677"/>
    <cellStyle name="Comma 2 5 3 2 5 3 5 2" xfId="40057"/>
    <cellStyle name="Comma 2 5 3 2 5 3 6" xfId="22750"/>
    <cellStyle name="Comma 2 5 3 2 5 3 7" xfId="23835"/>
    <cellStyle name="Comma 2 5 3 2 5 3 8" xfId="27072"/>
    <cellStyle name="Comma 2 5 3 2 5 3 9" xfId="30405"/>
    <cellStyle name="Comma 2 5 3 2 5 4" xfId="1410"/>
    <cellStyle name="Comma 2 5 3 2 5 4 10" xfId="33634"/>
    <cellStyle name="Comma 2 5 3 2 5 4 2" xfId="10180"/>
    <cellStyle name="Comma 2 5 3 2 5 4 2 2" xfId="25980"/>
    <cellStyle name="Comma 2 5 3 2 5 4 2 2 2" xfId="45407"/>
    <cellStyle name="Comma 2 5 3 2 5 4 2 2 3" xfId="38984"/>
    <cellStyle name="Comma 2 5 3 2 5 4 2 3" xfId="28158"/>
    <cellStyle name="Comma 2 5 3 2 5 4 2 3 2" xfId="42200"/>
    <cellStyle name="Comma 2 5 3 2 5 4 2 4" xfId="31493"/>
    <cellStyle name="Comma 2 5 3 2 5 4 2 5" xfId="35776"/>
    <cellStyle name="Comma 2 5 3 2 5 4 3" xfId="15871"/>
    <cellStyle name="Comma 2 5 3 2 5 4 3 2" xfId="24886"/>
    <cellStyle name="Comma 2 5 3 2 5 4 3 2 2" xfId="44315"/>
    <cellStyle name="Comma 2 5 3 2 5 4 3 2 3" xfId="37892"/>
    <cellStyle name="Comma 2 5 3 2 5 4 3 3" xfId="29207"/>
    <cellStyle name="Comma 2 5 3 2 5 4 3 3 2" xfId="41108"/>
    <cellStyle name="Comma 2 5 3 2 5 4 3 4" xfId="32542"/>
    <cellStyle name="Comma 2 5 3 2 5 4 3 5" xfId="34684"/>
    <cellStyle name="Comma 2 5 3 2 5 4 4" xfId="8689"/>
    <cellStyle name="Comma 2 5 3 2 5 4 4 2" xfId="43265"/>
    <cellStyle name="Comma 2 5 3 2 5 4 4 3" xfId="36841"/>
    <cellStyle name="Comma 2 5 3 2 5 4 5" xfId="21678"/>
    <cellStyle name="Comma 2 5 3 2 5 4 5 2" xfId="40058"/>
    <cellStyle name="Comma 2 5 3 2 5 4 6" xfId="22751"/>
    <cellStyle name="Comma 2 5 3 2 5 4 7" xfId="23836"/>
    <cellStyle name="Comma 2 5 3 2 5 4 8" xfId="27073"/>
    <cellStyle name="Comma 2 5 3 2 5 4 9" xfId="30406"/>
    <cellStyle name="Comma 2 5 3 2 5 5" xfId="1411"/>
    <cellStyle name="Comma 2 5 3 2 5 5 10" xfId="33635"/>
    <cellStyle name="Comma 2 5 3 2 5 5 2" xfId="10181"/>
    <cellStyle name="Comma 2 5 3 2 5 5 2 2" xfId="25981"/>
    <cellStyle name="Comma 2 5 3 2 5 5 2 2 2" xfId="45408"/>
    <cellStyle name="Comma 2 5 3 2 5 5 2 2 3" xfId="38985"/>
    <cellStyle name="Comma 2 5 3 2 5 5 2 3" xfId="28159"/>
    <cellStyle name="Comma 2 5 3 2 5 5 2 3 2" xfId="42201"/>
    <cellStyle name="Comma 2 5 3 2 5 5 2 4" xfId="31494"/>
    <cellStyle name="Comma 2 5 3 2 5 5 2 5" xfId="35777"/>
    <cellStyle name="Comma 2 5 3 2 5 5 3" xfId="15872"/>
    <cellStyle name="Comma 2 5 3 2 5 5 3 2" xfId="24887"/>
    <cellStyle name="Comma 2 5 3 2 5 5 3 2 2" xfId="44316"/>
    <cellStyle name="Comma 2 5 3 2 5 5 3 2 3" xfId="37893"/>
    <cellStyle name="Comma 2 5 3 2 5 5 3 3" xfId="29208"/>
    <cellStyle name="Comma 2 5 3 2 5 5 3 3 2" xfId="41109"/>
    <cellStyle name="Comma 2 5 3 2 5 5 3 4" xfId="32543"/>
    <cellStyle name="Comma 2 5 3 2 5 5 3 5" xfId="34685"/>
    <cellStyle name="Comma 2 5 3 2 5 5 4" xfId="8690"/>
    <cellStyle name="Comma 2 5 3 2 5 5 4 2" xfId="43266"/>
    <cellStyle name="Comma 2 5 3 2 5 5 4 3" xfId="36842"/>
    <cellStyle name="Comma 2 5 3 2 5 5 5" xfId="21679"/>
    <cellStyle name="Comma 2 5 3 2 5 5 5 2" xfId="40059"/>
    <cellStyle name="Comma 2 5 3 2 5 5 6" xfId="22752"/>
    <cellStyle name="Comma 2 5 3 2 5 5 7" xfId="23837"/>
    <cellStyle name="Comma 2 5 3 2 5 5 8" xfId="27074"/>
    <cellStyle name="Comma 2 5 3 2 5 5 9" xfId="30407"/>
    <cellStyle name="Comma 2 5 3 2 5 6" xfId="10177"/>
    <cellStyle name="Comma 2 5 3 2 5 6 2" xfId="25977"/>
    <cellStyle name="Comma 2 5 3 2 5 6 2 2" xfId="45404"/>
    <cellStyle name="Comma 2 5 3 2 5 6 2 3" xfId="38981"/>
    <cellStyle name="Comma 2 5 3 2 5 6 3" xfId="28155"/>
    <cellStyle name="Comma 2 5 3 2 5 6 3 2" xfId="42197"/>
    <cellStyle name="Comma 2 5 3 2 5 6 4" xfId="31490"/>
    <cellStyle name="Comma 2 5 3 2 5 6 5" xfId="35773"/>
    <cellStyle name="Comma 2 5 3 2 5 7" xfId="15868"/>
    <cellStyle name="Comma 2 5 3 2 5 7 2" xfId="24883"/>
    <cellStyle name="Comma 2 5 3 2 5 7 2 2" xfId="44312"/>
    <cellStyle name="Comma 2 5 3 2 5 7 2 3" xfId="37889"/>
    <cellStyle name="Comma 2 5 3 2 5 7 3" xfId="29204"/>
    <cellStyle name="Comma 2 5 3 2 5 7 3 2" xfId="41105"/>
    <cellStyle name="Comma 2 5 3 2 5 7 4" xfId="32539"/>
    <cellStyle name="Comma 2 5 3 2 5 7 5" xfId="34681"/>
    <cellStyle name="Comma 2 5 3 2 5 8" xfId="8686"/>
    <cellStyle name="Comma 2 5 3 2 5 8 2" xfId="43262"/>
    <cellStyle name="Comma 2 5 3 2 5 8 3" xfId="36838"/>
    <cellStyle name="Comma 2 5 3 2 5 9" xfId="21675"/>
    <cellStyle name="Comma 2 5 3 2 5 9 2" xfId="40055"/>
    <cellStyle name="Comma 2 5 3 2 6" xfId="1412"/>
    <cellStyle name="Comma 2 5 3 2 6 10" xfId="33636"/>
    <cellStyle name="Comma 2 5 3 2 6 2" xfId="10182"/>
    <cellStyle name="Comma 2 5 3 2 6 2 2" xfId="25982"/>
    <cellStyle name="Comma 2 5 3 2 6 2 2 2" xfId="45409"/>
    <cellStyle name="Comma 2 5 3 2 6 2 2 3" xfId="38986"/>
    <cellStyle name="Comma 2 5 3 2 6 2 3" xfId="28160"/>
    <cellStyle name="Comma 2 5 3 2 6 2 3 2" xfId="42202"/>
    <cellStyle name="Comma 2 5 3 2 6 2 4" xfId="31495"/>
    <cellStyle name="Comma 2 5 3 2 6 2 5" xfId="35778"/>
    <cellStyle name="Comma 2 5 3 2 6 3" xfId="15873"/>
    <cellStyle name="Comma 2 5 3 2 6 3 2" xfId="24888"/>
    <cellStyle name="Comma 2 5 3 2 6 3 2 2" xfId="44317"/>
    <cellStyle name="Comma 2 5 3 2 6 3 2 3" xfId="37894"/>
    <cellStyle name="Comma 2 5 3 2 6 3 3" xfId="29209"/>
    <cellStyle name="Comma 2 5 3 2 6 3 3 2" xfId="41110"/>
    <cellStyle name="Comma 2 5 3 2 6 3 4" xfId="32544"/>
    <cellStyle name="Comma 2 5 3 2 6 3 5" xfId="34686"/>
    <cellStyle name="Comma 2 5 3 2 6 4" xfId="8691"/>
    <cellStyle name="Comma 2 5 3 2 6 4 2" xfId="43267"/>
    <cellStyle name="Comma 2 5 3 2 6 4 3" xfId="36843"/>
    <cellStyle name="Comma 2 5 3 2 6 5" xfId="21680"/>
    <cellStyle name="Comma 2 5 3 2 6 5 2" xfId="40060"/>
    <cellStyle name="Comma 2 5 3 2 6 6" xfId="22753"/>
    <cellStyle name="Comma 2 5 3 2 6 7" xfId="23838"/>
    <cellStyle name="Comma 2 5 3 2 6 8" xfId="27075"/>
    <cellStyle name="Comma 2 5 3 2 6 9" xfId="30408"/>
    <cellStyle name="Comma 2 5 3 2 7" xfId="1413"/>
    <cellStyle name="Comma 2 5 3 2 7 10" xfId="33637"/>
    <cellStyle name="Comma 2 5 3 2 7 2" xfId="10183"/>
    <cellStyle name="Comma 2 5 3 2 7 2 2" xfId="25983"/>
    <cellStyle name="Comma 2 5 3 2 7 2 2 2" xfId="45410"/>
    <cellStyle name="Comma 2 5 3 2 7 2 2 3" xfId="38987"/>
    <cellStyle name="Comma 2 5 3 2 7 2 3" xfId="28161"/>
    <cellStyle name="Comma 2 5 3 2 7 2 3 2" xfId="42203"/>
    <cellStyle name="Comma 2 5 3 2 7 2 4" xfId="31496"/>
    <cellStyle name="Comma 2 5 3 2 7 2 5" xfId="35779"/>
    <cellStyle name="Comma 2 5 3 2 7 3" xfId="15874"/>
    <cellStyle name="Comma 2 5 3 2 7 3 2" xfId="24889"/>
    <cellStyle name="Comma 2 5 3 2 7 3 2 2" xfId="44318"/>
    <cellStyle name="Comma 2 5 3 2 7 3 2 3" xfId="37895"/>
    <cellStyle name="Comma 2 5 3 2 7 3 3" xfId="29210"/>
    <cellStyle name="Comma 2 5 3 2 7 3 3 2" xfId="41111"/>
    <cellStyle name="Comma 2 5 3 2 7 3 4" xfId="32545"/>
    <cellStyle name="Comma 2 5 3 2 7 3 5" xfId="34687"/>
    <cellStyle name="Comma 2 5 3 2 7 4" xfId="8692"/>
    <cellStyle name="Comma 2 5 3 2 7 4 2" xfId="43268"/>
    <cellStyle name="Comma 2 5 3 2 7 4 3" xfId="36844"/>
    <cellStyle name="Comma 2 5 3 2 7 5" xfId="21681"/>
    <cellStyle name="Comma 2 5 3 2 7 5 2" xfId="40061"/>
    <cellStyle name="Comma 2 5 3 2 7 6" xfId="22754"/>
    <cellStyle name="Comma 2 5 3 2 7 7" xfId="23839"/>
    <cellStyle name="Comma 2 5 3 2 7 8" xfId="27076"/>
    <cellStyle name="Comma 2 5 3 2 7 9" xfId="30409"/>
    <cellStyle name="Comma 2 5 3 2 8" xfId="1414"/>
    <cellStyle name="Comma 2 5 3 2 8 10" xfId="33638"/>
    <cellStyle name="Comma 2 5 3 2 8 2" xfId="10184"/>
    <cellStyle name="Comma 2 5 3 2 8 2 2" xfId="25984"/>
    <cellStyle name="Comma 2 5 3 2 8 2 2 2" xfId="45411"/>
    <cellStyle name="Comma 2 5 3 2 8 2 2 3" xfId="38988"/>
    <cellStyle name="Comma 2 5 3 2 8 2 3" xfId="28162"/>
    <cellStyle name="Comma 2 5 3 2 8 2 3 2" xfId="42204"/>
    <cellStyle name="Comma 2 5 3 2 8 2 4" xfId="31497"/>
    <cellStyle name="Comma 2 5 3 2 8 2 5" xfId="35780"/>
    <cellStyle name="Comma 2 5 3 2 8 3" xfId="15875"/>
    <cellStyle name="Comma 2 5 3 2 8 3 2" xfId="24890"/>
    <cellStyle name="Comma 2 5 3 2 8 3 2 2" xfId="44319"/>
    <cellStyle name="Comma 2 5 3 2 8 3 2 3" xfId="37896"/>
    <cellStyle name="Comma 2 5 3 2 8 3 3" xfId="29211"/>
    <cellStyle name="Comma 2 5 3 2 8 3 3 2" xfId="41112"/>
    <cellStyle name="Comma 2 5 3 2 8 3 4" xfId="32546"/>
    <cellStyle name="Comma 2 5 3 2 8 3 5" xfId="34688"/>
    <cellStyle name="Comma 2 5 3 2 8 4" xfId="8693"/>
    <cellStyle name="Comma 2 5 3 2 8 4 2" xfId="43269"/>
    <cellStyle name="Comma 2 5 3 2 8 4 3" xfId="36845"/>
    <cellStyle name="Comma 2 5 3 2 8 5" xfId="21682"/>
    <cellStyle name="Comma 2 5 3 2 8 5 2" xfId="40062"/>
    <cellStyle name="Comma 2 5 3 2 8 6" xfId="22755"/>
    <cellStyle name="Comma 2 5 3 2 8 7" xfId="23840"/>
    <cellStyle name="Comma 2 5 3 2 8 8" xfId="27077"/>
    <cellStyle name="Comma 2 5 3 2 8 9" xfId="30410"/>
    <cellStyle name="Comma 2 5 3 2 9" xfId="1415"/>
    <cellStyle name="Comma 2 5 3 2 9 10" xfId="33639"/>
    <cellStyle name="Comma 2 5 3 2 9 2" xfId="10185"/>
    <cellStyle name="Comma 2 5 3 2 9 2 2" xfId="25985"/>
    <cellStyle name="Comma 2 5 3 2 9 2 2 2" xfId="45412"/>
    <cellStyle name="Comma 2 5 3 2 9 2 2 3" xfId="38989"/>
    <cellStyle name="Comma 2 5 3 2 9 2 3" xfId="28163"/>
    <cellStyle name="Comma 2 5 3 2 9 2 3 2" xfId="42205"/>
    <cellStyle name="Comma 2 5 3 2 9 2 4" xfId="31498"/>
    <cellStyle name="Comma 2 5 3 2 9 2 5" xfId="35781"/>
    <cellStyle name="Comma 2 5 3 2 9 3" xfId="15876"/>
    <cellStyle name="Comma 2 5 3 2 9 3 2" xfId="24891"/>
    <cellStyle name="Comma 2 5 3 2 9 3 2 2" xfId="44320"/>
    <cellStyle name="Comma 2 5 3 2 9 3 2 3" xfId="37897"/>
    <cellStyle name="Comma 2 5 3 2 9 3 3" xfId="29212"/>
    <cellStyle name="Comma 2 5 3 2 9 3 3 2" xfId="41113"/>
    <cellStyle name="Comma 2 5 3 2 9 3 4" xfId="32547"/>
    <cellStyle name="Comma 2 5 3 2 9 3 5" xfId="34689"/>
    <cellStyle name="Comma 2 5 3 2 9 4" xfId="8694"/>
    <cellStyle name="Comma 2 5 3 2 9 4 2" xfId="43270"/>
    <cellStyle name="Comma 2 5 3 2 9 4 3" xfId="36846"/>
    <cellStyle name="Comma 2 5 3 2 9 5" xfId="21683"/>
    <cellStyle name="Comma 2 5 3 2 9 5 2" xfId="40063"/>
    <cellStyle name="Comma 2 5 3 2 9 6" xfId="22756"/>
    <cellStyle name="Comma 2 5 3 2 9 7" xfId="23841"/>
    <cellStyle name="Comma 2 5 3 2 9 8" xfId="27078"/>
    <cellStyle name="Comma 2 5 3 2 9 9" xfId="30411"/>
    <cellStyle name="Comma 2 5 3 20" xfId="32854"/>
    <cellStyle name="Comma 2 5 3 3" xfId="290"/>
    <cellStyle name="Comma 2 5 3 3 10" xfId="15877"/>
    <cellStyle name="Comma 2 5 3 3 10 2" xfId="24892"/>
    <cellStyle name="Comma 2 5 3 3 10 2 2" xfId="44321"/>
    <cellStyle name="Comma 2 5 3 3 10 2 3" xfId="37898"/>
    <cellStyle name="Comma 2 5 3 3 10 3" xfId="29213"/>
    <cellStyle name="Comma 2 5 3 3 10 3 2" xfId="41114"/>
    <cellStyle name="Comma 2 5 3 3 10 4" xfId="32548"/>
    <cellStyle name="Comma 2 5 3 3 10 5" xfId="34690"/>
    <cellStyle name="Comma 2 5 3 3 11" xfId="8695"/>
    <cellStyle name="Comma 2 5 3 3 11 2" xfId="42490"/>
    <cellStyle name="Comma 2 5 3 3 11 3" xfId="36066"/>
    <cellStyle name="Comma 2 5 3 3 12" xfId="21684"/>
    <cellStyle name="Comma 2 5 3 3 12 2" xfId="39283"/>
    <cellStyle name="Comma 2 5 3 3 13" xfId="22757"/>
    <cellStyle name="Comma 2 5 3 3 14" xfId="23061"/>
    <cellStyle name="Comma 2 5 3 3 15" xfId="27079"/>
    <cellStyle name="Comma 2 5 3 3 16" xfId="30412"/>
    <cellStyle name="Comma 2 5 3 3 17" xfId="32859"/>
    <cellStyle name="Comma 2 5 3 3 2" xfId="291"/>
    <cellStyle name="Comma 2 5 3 3 2 10" xfId="21685"/>
    <cellStyle name="Comma 2 5 3 3 2 10 2" xfId="39284"/>
    <cellStyle name="Comma 2 5 3 3 2 11" xfId="22758"/>
    <cellStyle name="Comma 2 5 3 3 2 12" xfId="23062"/>
    <cellStyle name="Comma 2 5 3 3 2 13" xfId="27080"/>
    <cellStyle name="Comma 2 5 3 3 2 14" xfId="30413"/>
    <cellStyle name="Comma 2 5 3 3 2 15" xfId="32860"/>
    <cellStyle name="Comma 2 5 3 3 2 2" xfId="1416"/>
    <cellStyle name="Comma 2 5 3 3 2 2 10" xfId="33640"/>
    <cellStyle name="Comma 2 5 3 3 2 2 2" xfId="10186"/>
    <cellStyle name="Comma 2 5 3 3 2 2 2 2" xfId="25986"/>
    <cellStyle name="Comma 2 5 3 3 2 2 2 2 2" xfId="45413"/>
    <cellStyle name="Comma 2 5 3 3 2 2 2 2 3" xfId="38990"/>
    <cellStyle name="Comma 2 5 3 3 2 2 2 3" xfId="28164"/>
    <cellStyle name="Comma 2 5 3 3 2 2 2 3 2" xfId="42206"/>
    <cellStyle name="Comma 2 5 3 3 2 2 2 4" xfId="31499"/>
    <cellStyle name="Comma 2 5 3 3 2 2 2 5" xfId="35782"/>
    <cellStyle name="Comma 2 5 3 3 2 2 3" xfId="15879"/>
    <cellStyle name="Comma 2 5 3 3 2 2 3 2" xfId="24894"/>
    <cellStyle name="Comma 2 5 3 3 2 2 3 2 2" xfId="44323"/>
    <cellStyle name="Comma 2 5 3 3 2 2 3 2 3" xfId="37900"/>
    <cellStyle name="Comma 2 5 3 3 2 2 3 3" xfId="29215"/>
    <cellStyle name="Comma 2 5 3 3 2 2 3 3 2" xfId="41116"/>
    <cellStyle name="Comma 2 5 3 3 2 2 3 4" xfId="32550"/>
    <cellStyle name="Comma 2 5 3 3 2 2 3 5" xfId="34692"/>
    <cellStyle name="Comma 2 5 3 3 2 2 4" xfId="8697"/>
    <cellStyle name="Comma 2 5 3 3 2 2 4 2" xfId="43271"/>
    <cellStyle name="Comma 2 5 3 3 2 2 4 3" xfId="36847"/>
    <cellStyle name="Comma 2 5 3 3 2 2 5" xfId="21686"/>
    <cellStyle name="Comma 2 5 3 3 2 2 5 2" xfId="40064"/>
    <cellStyle name="Comma 2 5 3 3 2 2 6" xfId="22759"/>
    <cellStyle name="Comma 2 5 3 3 2 2 7" xfId="23842"/>
    <cellStyle name="Comma 2 5 3 3 2 2 8" xfId="27081"/>
    <cellStyle name="Comma 2 5 3 3 2 2 9" xfId="30414"/>
    <cellStyle name="Comma 2 5 3 3 2 3" xfId="1417"/>
    <cellStyle name="Comma 2 5 3 3 2 3 10" xfId="33641"/>
    <cellStyle name="Comma 2 5 3 3 2 3 2" xfId="10187"/>
    <cellStyle name="Comma 2 5 3 3 2 3 2 2" xfId="25987"/>
    <cellStyle name="Comma 2 5 3 3 2 3 2 2 2" xfId="45414"/>
    <cellStyle name="Comma 2 5 3 3 2 3 2 2 3" xfId="38991"/>
    <cellStyle name="Comma 2 5 3 3 2 3 2 3" xfId="28165"/>
    <cellStyle name="Comma 2 5 3 3 2 3 2 3 2" xfId="42207"/>
    <cellStyle name="Comma 2 5 3 3 2 3 2 4" xfId="31500"/>
    <cellStyle name="Comma 2 5 3 3 2 3 2 5" xfId="35783"/>
    <cellStyle name="Comma 2 5 3 3 2 3 3" xfId="15880"/>
    <cellStyle name="Comma 2 5 3 3 2 3 3 2" xfId="24895"/>
    <cellStyle name="Comma 2 5 3 3 2 3 3 2 2" xfId="44324"/>
    <cellStyle name="Comma 2 5 3 3 2 3 3 2 3" xfId="37901"/>
    <cellStyle name="Comma 2 5 3 3 2 3 3 3" xfId="29216"/>
    <cellStyle name="Comma 2 5 3 3 2 3 3 3 2" xfId="41117"/>
    <cellStyle name="Comma 2 5 3 3 2 3 3 4" xfId="32551"/>
    <cellStyle name="Comma 2 5 3 3 2 3 3 5" xfId="34693"/>
    <cellStyle name="Comma 2 5 3 3 2 3 4" xfId="8698"/>
    <cellStyle name="Comma 2 5 3 3 2 3 4 2" xfId="43272"/>
    <cellStyle name="Comma 2 5 3 3 2 3 4 3" xfId="36848"/>
    <cellStyle name="Comma 2 5 3 3 2 3 5" xfId="21687"/>
    <cellStyle name="Comma 2 5 3 3 2 3 5 2" xfId="40065"/>
    <cellStyle name="Comma 2 5 3 3 2 3 6" xfId="22760"/>
    <cellStyle name="Comma 2 5 3 3 2 3 7" xfId="23843"/>
    <cellStyle name="Comma 2 5 3 3 2 3 8" xfId="27082"/>
    <cellStyle name="Comma 2 5 3 3 2 3 9" xfId="30415"/>
    <cellStyle name="Comma 2 5 3 3 2 4" xfId="1418"/>
    <cellStyle name="Comma 2 5 3 3 2 4 10" xfId="33642"/>
    <cellStyle name="Comma 2 5 3 3 2 4 2" xfId="10188"/>
    <cellStyle name="Comma 2 5 3 3 2 4 2 2" xfId="25988"/>
    <cellStyle name="Comma 2 5 3 3 2 4 2 2 2" xfId="45415"/>
    <cellStyle name="Comma 2 5 3 3 2 4 2 2 3" xfId="38992"/>
    <cellStyle name="Comma 2 5 3 3 2 4 2 3" xfId="28166"/>
    <cellStyle name="Comma 2 5 3 3 2 4 2 3 2" xfId="42208"/>
    <cellStyle name="Comma 2 5 3 3 2 4 2 4" xfId="31501"/>
    <cellStyle name="Comma 2 5 3 3 2 4 2 5" xfId="35784"/>
    <cellStyle name="Comma 2 5 3 3 2 4 3" xfId="15881"/>
    <cellStyle name="Comma 2 5 3 3 2 4 3 2" xfId="24896"/>
    <cellStyle name="Comma 2 5 3 3 2 4 3 2 2" xfId="44325"/>
    <cellStyle name="Comma 2 5 3 3 2 4 3 2 3" xfId="37902"/>
    <cellStyle name="Comma 2 5 3 3 2 4 3 3" xfId="29217"/>
    <cellStyle name="Comma 2 5 3 3 2 4 3 3 2" xfId="41118"/>
    <cellStyle name="Comma 2 5 3 3 2 4 3 4" xfId="32552"/>
    <cellStyle name="Comma 2 5 3 3 2 4 3 5" xfId="34694"/>
    <cellStyle name="Comma 2 5 3 3 2 4 4" xfId="8699"/>
    <cellStyle name="Comma 2 5 3 3 2 4 4 2" xfId="43273"/>
    <cellStyle name="Comma 2 5 3 3 2 4 4 3" xfId="36849"/>
    <cellStyle name="Comma 2 5 3 3 2 4 5" xfId="21688"/>
    <cellStyle name="Comma 2 5 3 3 2 4 5 2" xfId="40066"/>
    <cellStyle name="Comma 2 5 3 3 2 4 6" xfId="22761"/>
    <cellStyle name="Comma 2 5 3 3 2 4 7" xfId="23844"/>
    <cellStyle name="Comma 2 5 3 3 2 4 8" xfId="27083"/>
    <cellStyle name="Comma 2 5 3 3 2 4 9" xfId="30416"/>
    <cellStyle name="Comma 2 5 3 3 2 5" xfId="1419"/>
    <cellStyle name="Comma 2 5 3 3 2 5 10" xfId="33643"/>
    <cellStyle name="Comma 2 5 3 3 2 5 2" xfId="10189"/>
    <cellStyle name="Comma 2 5 3 3 2 5 2 2" xfId="25989"/>
    <cellStyle name="Comma 2 5 3 3 2 5 2 2 2" xfId="45416"/>
    <cellStyle name="Comma 2 5 3 3 2 5 2 2 3" xfId="38993"/>
    <cellStyle name="Comma 2 5 3 3 2 5 2 3" xfId="28167"/>
    <cellStyle name="Comma 2 5 3 3 2 5 2 3 2" xfId="42209"/>
    <cellStyle name="Comma 2 5 3 3 2 5 2 4" xfId="31502"/>
    <cellStyle name="Comma 2 5 3 3 2 5 2 5" xfId="35785"/>
    <cellStyle name="Comma 2 5 3 3 2 5 3" xfId="15882"/>
    <cellStyle name="Comma 2 5 3 3 2 5 3 2" xfId="24897"/>
    <cellStyle name="Comma 2 5 3 3 2 5 3 2 2" xfId="44326"/>
    <cellStyle name="Comma 2 5 3 3 2 5 3 2 3" xfId="37903"/>
    <cellStyle name="Comma 2 5 3 3 2 5 3 3" xfId="29218"/>
    <cellStyle name="Comma 2 5 3 3 2 5 3 3 2" xfId="41119"/>
    <cellStyle name="Comma 2 5 3 3 2 5 3 4" xfId="32553"/>
    <cellStyle name="Comma 2 5 3 3 2 5 3 5" xfId="34695"/>
    <cellStyle name="Comma 2 5 3 3 2 5 4" xfId="8700"/>
    <cellStyle name="Comma 2 5 3 3 2 5 4 2" xfId="43274"/>
    <cellStyle name="Comma 2 5 3 3 2 5 4 3" xfId="36850"/>
    <cellStyle name="Comma 2 5 3 3 2 5 5" xfId="21689"/>
    <cellStyle name="Comma 2 5 3 3 2 5 5 2" xfId="40067"/>
    <cellStyle name="Comma 2 5 3 3 2 5 6" xfId="22762"/>
    <cellStyle name="Comma 2 5 3 3 2 5 7" xfId="23845"/>
    <cellStyle name="Comma 2 5 3 3 2 5 8" xfId="27084"/>
    <cellStyle name="Comma 2 5 3 3 2 5 9" xfId="30417"/>
    <cellStyle name="Comma 2 5 3 3 2 6" xfId="1420"/>
    <cellStyle name="Comma 2 5 3 3 2 6 10" xfId="33644"/>
    <cellStyle name="Comma 2 5 3 3 2 6 2" xfId="10190"/>
    <cellStyle name="Comma 2 5 3 3 2 6 2 2" xfId="25990"/>
    <cellStyle name="Comma 2 5 3 3 2 6 2 2 2" xfId="45417"/>
    <cellStyle name="Comma 2 5 3 3 2 6 2 2 3" xfId="38994"/>
    <cellStyle name="Comma 2 5 3 3 2 6 2 3" xfId="28168"/>
    <cellStyle name="Comma 2 5 3 3 2 6 2 3 2" xfId="42210"/>
    <cellStyle name="Comma 2 5 3 3 2 6 2 4" xfId="31503"/>
    <cellStyle name="Comma 2 5 3 3 2 6 2 5" xfId="35786"/>
    <cellStyle name="Comma 2 5 3 3 2 6 3" xfId="15883"/>
    <cellStyle name="Comma 2 5 3 3 2 6 3 2" xfId="24898"/>
    <cellStyle name="Comma 2 5 3 3 2 6 3 2 2" xfId="44327"/>
    <cellStyle name="Comma 2 5 3 3 2 6 3 2 3" xfId="37904"/>
    <cellStyle name="Comma 2 5 3 3 2 6 3 3" xfId="29219"/>
    <cellStyle name="Comma 2 5 3 3 2 6 3 3 2" xfId="41120"/>
    <cellStyle name="Comma 2 5 3 3 2 6 3 4" xfId="32554"/>
    <cellStyle name="Comma 2 5 3 3 2 6 3 5" xfId="34696"/>
    <cellStyle name="Comma 2 5 3 3 2 6 4" xfId="8701"/>
    <cellStyle name="Comma 2 5 3 3 2 6 4 2" xfId="43275"/>
    <cellStyle name="Comma 2 5 3 3 2 6 4 3" xfId="36851"/>
    <cellStyle name="Comma 2 5 3 3 2 6 5" xfId="21690"/>
    <cellStyle name="Comma 2 5 3 3 2 6 5 2" xfId="40068"/>
    <cellStyle name="Comma 2 5 3 3 2 6 6" xfId="22763"/>
    <cellStyle name="Comma 2 5 3 3 2 6 7" xfId="23846"/>
    <cellStyle name="Comma 2 5 3 3 2 6 8" xfId="27085"/>
    <cellStyle name="Comma 2 5 3 3 2 6 9" xfId="30418"/>
    <cellStyle name="Comma 2 5 3 3 2 7" xfId="9147"/>
    <cellStyle name="Comma 2 5 3 3 2 7 2" xfId="25201"/>
    <cellStyle name="Comma 2 5 3 3 2 7 2 2" xfId="44628"/>
    <cellStyle name="Comma 2 5 3 3 2 7 2 3" xfId="38205"/>
    <cellStyle name="Comma 2 5 3 3 2 7 3" xfId="27380"/>
    <cellStyle name="Comma 2 5 3 3 2 7 3 2" xfId="41421"/>
    <cellStyle name="Comma 2 5 3 3 2 7 4" xfId="30715"/>
    <cellStyle name="Comma 2 5 3 3 2 7 5" xfId="34997"/>
    <cellStyle name="Comma 2 5 3 3 2 8" xfId="15878"/>
    <cellStyle name="Comma 2 5 3 3 2 8 2" xfId="24893"/>
    <cellStyle name="Comma 2 5 3 3 2 8 2 2" xfId="44322"/>
    <cellStyle name="Comma 2 5 3 3 2 8 2 3" xfId="37899"/>
    <cellStyle name="Comma 2 5 3 3 2 8 3" xfId="29214"/>
    <cellStyle name="Comma 2 5 3 3 2 8 3 2" xfId="41115"/>
    <cellStyle name="Comma 2 5 3 3 2 8 4" xfId="32549"/>
    <cellStyle name="Comma 2 5 3 3 2 8 5" xfId="34691"/>
    <cellStyle name="Comma 2 5 3 3 2 9" xfId="8696"/>
    <cellStyle name="Comma 2 5 3 3 2 9 2" xfId="42491"/>
    <cellStyle name="Comma 2 5 3 3 2 9 3" xfId="36067"/>
    <cellStyle name="Comma 2 5 3 3 3" xfId="1421"/>
    <cellStyle name="Comma 2 5 3 3 3 10" xfId="22764"/>
    <cellStyle name="Comma 2 5 3 3 3 11" xfId="23847"/>
    <cellStyle name="Comma 2 5 3 3 3 12" xfId="27086"/>
    <cellStyle name="Comma 2 5 3 3 3 13" xfId="30419"/>
    <cellStyle name="Comma 2 5 3 3 3 14" xfId="33645"/>
    <cellStyle name="Comma 2 5 3 3 3 2" xfId="1422"/>
    <cellStyle name="Comma 2 5 3 3 3 2 10" xfId="33646"/>
    <cellStyle name="Comma 2 5 3 3 3 2 2" xfId="10192"/>
    <cellStyle name="Comma 2 5 3 3 3 2 2 2" xfId="25992"/>
    <cellStyle name="Comma 2 5 3 3 3 2 2 2 2" xfId="45419"/>
    <cellStyle name="Comma 2 5 3 3 3 2 2 2 3" xfId="38996"/>
    <cellStyle name="Comma 2 5 3 3 3 2 2 3" xfId="28170"/>
    <cellStyle name="Comma 2 5 3 3 3 2 2 3 2" xfId="42212"/>
    <cellStyle name="Comma 2 5 3 3 3 2 2 4" xfId="31505"/>
    <cellStyle name="Comma 2 5 3 3 3 2 2 5" xfId="35788"/>
    <cellStyle name="Comma 2 5 3 3 3 2 3" xfId="15885"/>
    <cellStyle name="Comma 2 5 3 3 3 2 3 2" xfId="24900"/>
    <cellStyle name="Comma 2 5 3 3 3 2 3 2 2" xfId="44329"/>
    <cellStyle name="Comma 2 5 3 3 3 2 3 2 3" xfId="37906"/>
    <cellStyle name="Comma 2 5 3 3 3 2 3 3" xfId="29221"/>
    <cellStyle name="Comma 2 5 3 3 3 2 3 3 2" xfId="41122"/>
    <cellStyle name="Comma 2 5 3 3 3 2 3 4" xfId="32556"/>
    <cellStyle name="Comma 2 5 3 3 3 2 3 5" xfId="34698"/>
    <cellStyle name="Comma 2 5 3 3 3 2 4" xfId="8703"/>
    <cellStyle name="Comma 2 5 3 3 3 2 4 2" xfId="43277"/>
    <cellStyle name="Comma 2 5 3 3 3 2 4 3" xfId="36853"/>
    <cellStyle name="Comma 2 5 3 3 3 2 5" xfId="21692"/>
    <cellStyle name="Comma 2 5 3 3 3 2 5 2" xfId="40070"/>
    <cellStyle name="Comma 2 5 3 3 3 2 6" xfId="22765"/>
    <cellStyle name="Comma 2 5 3 3 3 2 7" xfId="23848"/>
    <cellStyle name="Comma 2 5 3 3 3 2 8" xfId="27087"/>
    <cellStyle name="Comma 2 5 3 3 3 2 9" xfId="30420"/>
    <cellStyle name="Comma 2 5 3 3 3 3" xfId="1423"/>
    <cellStyle name="Comma 2 5 3 3 3 3 10" xfId="33647"/>
    <cellStyle name="Comma 2 5 3 3 3 3 2" xfId="10193"/>
    <cellStyle name="Comma 2 5 3 3 3 3 2 2" xfId="25993"/>
    <cellStyle name="Comma 2 5 3 3 3 3 2 2 2" xfId="45420"/>
    <cellStyle name="Comma 2 5 3 3 3 3 2 2 3" xfId="38997"/>
    <cellStyle name="Comma 2 5 3 3 3 3 2 3" xfId="28171"/>
    <cellStyle name="Comma 2 5 3 3 3 3 2 3 2" xfId="42213"/>
    <cellStyle name="Comma 2 5 3 3 3 3 2 4" xfId="31506"/>
    <cellStyle name="Comma 2 5 3 3 3 3 2 5" xfId="35789"/>
    <cellStyle name="Comma 2 5 3 3 3 3 3" xfId="15886"/>
    <cellStyle name="Comma 2 5 3 3 3 3 3 2" xfId="24901"/>
    <cellStyle name="Comma 2 5 3 3 3 3 3 2 2" xfId="44330"/>
    <cellStyle name="Comma 2 5 3 3 3 3 3 2 3" xfId="37907"/>
    <cellStyle name="Comma 2 5 3 3 3 3 3 3" xfId="29222"/>
    <cellStyle name="Comma 2 5 3 3 3 3 3 3 2" xfId="41123"/>
    <cellStyle name="Comma 2 5 3 3 3 3 3 4" xfId="32557"/>
    <cellStyle name="Comma 2 5 3 3 3 3 3 5" xfId="34699"/>
    <cellStyle name="Comma 2 5 3 3 3 3 4" xfId="8704"/>
    <cellStyle name="Comma 2 5 3 3 3 3 4 2" xfId="43278"/>
    <cellStyle name="Comma 2 5 3 3 3 3 4 3" xfId="36854"/>
    <cellStyle name="Comma 2 5 3 3 3 3 5" xfId="21693"/>
    <cellStyle name="Comma 2 5 3 3 3 3 5 2" xfId="40071"/>
    <cellStyle name="Comma 2 5 3 3 3 3 6" xfId="22766"/>
    <cellStyle name="Comma 2 5 3 3 3 3 7" xfId="23849"/>
    <cellStyle name="Comma 2 5 3 3 3 3 8" xfId="27088"/>
    <cellStyle name="Comma 2 5 3 3 3 3 9" xfId="30421"/>
    <cellStyle name="Comma 2 5 3 3 3 4" xfId="1424"/>
    <cellStyle name="Comma 2 5 3 3 3 4 10" xfId="33648"/>
    <cellStyle name="Comma 2 5 3 3 3 4 2" xfId="10194"/>
    <cellStyle name="Comma 2 5 3 3 3 4 2 2" xfId="25994"/>
    <cellStyle name="Comma 2 5 3 3 3 4 2 2 2" xfId="45421"/>
    <cellStyle name="Comma 2 5 3 3 3 4 2 2 3" xfId="38998"/>
    <cellStyle name="Comma 2 5 3 3 3 4 2 3" xfId="28172"/>
    <cellStyle name="Comma 2 5 3 3 3 4 2 3 2" xfId="42214"/>
    <cellStyle name="Comma 2 5 3 3 3 4 2 4" xfId="31507"/>
    <cellStyle name="Comma 2 5 3 3 3 4 2 5" xfId="35790"/>
    <cellStyle name="Comma 2 5 3 3 3 4 3" xfId="15887"/>
    <cellStyle name="Comma 2 5 3 3 3 4 3 2" xfId="24902"/>
    <cellStyle name="Comma 2 5 3 3 3 4 3 2 2" xfId="44331"/>
    <cellStyle name="Comma 2 5 3 3 3 4 3 2 3" xfId="37908"/>
    <cellStyle name="Comma 2 5 3 3 3 4 3 3" xfId="29223"/>
    <cellStyle name="Comma 2 5 3 3 3 4 3 3 2" xfId="41124"/>
    <cellStyle name="Comma 2 5 3 3 3 4 3 4" xfId="32558"/>
    <cellStyle name="Comma 2 5 3 3 3 4 3 5" xfId="34700"/>
    <cellStyle name="Comma 2 5 3 3 3 4 4" xfId="8705"/>
    <cellStyle name="Comma 2 5 3 3 3 4 4 2" xfId="43279"/>
    <cellStyle name="Comma 2 5 3 3 3 4 4 3" xfId="36855"/>
    <cellStyle name="Comma 2 5 3 3 3 4 5" xfId="21694"/>
    <cellStyle name="Comma 2 5 3 3 3 4 5 2" xfId="40072"/>
    <cellStyle name="Comma 2 5 3 3 3 4 6" xfId="22767"/>
    <cellStyle name="Comma 2 5 3 3 3 4 7" xfId="23850"/>
    <cellStyle name="Comma 2 5 3 3 3 4 8" xfId="27089"/>
    <cellStyle name="Comma 2 5 3 3 3 4 9" xfId="30422"/>
    <cellStyle name="Comma 2 5 3 3 3 5" xfId="1425"/>
    <cellStyle name="Comma 2 5 3 3 3 5 10" xfId="33649"/>
    <cellStyle name="Comma 2 5 3 3 3 5 2" xfId="10195"/>
    <cellStyle name="Comma 2 5 3 3 3 5 2 2" xfId="25995"/>
    <cellStyle name="Comma 2 5 3 3 3 5 2 2 2" xfId="45422"/>
    <cellStyle name="Comma 2 5 3 3 3 5 2 2 3" xfId="38999"/>
    <cellStyle name="Comma 2 5 3 3 3 5 2 3" xfId="28173"/>
    <cellStyle name="Comma 2 5 3 3 3 5 2 3 2" xfId="42215"/>
    <cellStyle name="Comma 2 5 3 3 3 5 2 4" xfId="31508"/>
    <cellStyle name="Comma 2 5 3 3 3 5 2 5" xfId="35791"/>
    <cellStyle name="Comma 2 5 3 3 3 5 3" xfId="15888"/>
    <cellStyle name="Comma 2 5 3 3 3 5 3 2" xfId="24903"/>
    <cellStyle name="Comma 2 5 3 3 3 5 3 2 2" xfId="44332"/>
    <cellStyle name="Comma 2 5 3 3 3 5 3 2 3" xfId="37909"/>
    <cellStyle name="Comma 2 5 3 3 3 5 3 3" xfId="29224"/>
    <cellStyle name="Comma 2 5 3 3 3 5 3 3 2" xfId="41125"/>
    <cellStyle name="Comma 2 5 3 3 3 5 3 4" xfId="32559"/>
    <cellStyle name="Comma 2 5 3 3 3 5 3 5" xfId="34701"/>
    <cellStyle name="Comma 2 5 3 3 3 5 4" xfId="8706"/>
    <cellStyle name="Comma 2 5 3 3 3 5 4 2" xfId="43280"/>
    <cellStyle name="Comma 2 5 3 3 3 5 4 3" xfId="36856"/>
    <cellStyle name="Comma 2 5 3 3 3 5 5" xfId="21695"/>
    <cellStyle name="Comma 2 5 3 3 3 5 5 2" xfId="40073"/>
    <cellStyle name="Comma 2 5 3 3 3 5 6" xfId="22768"/>
    <cellStyle name="Comma 2 5 3 3 3 5 7" xfId="23851"/>
    <cellStyle name="Comma 2 5 3 3 3 5 8" xfId="27090"/>
    <cellStyle name="Comma 2 5 3 3 3 5 9" xfId="30423"/>
    <cellStyle name="Comma 2 5 3 3 3 6" xfId="10191"/>
    <cellStyle name="Comma 2 5 3 3 3 6 2" xfId="25991"/>
    <cellStyle name="Comma 2 5 3 3 3 6 2 2" xfId="45418"/>
    <cellStyle name="Comma 2 5 3 3 3 6 2 3" xfId="38995"/>
    <cellStyle name="Comma 2 5 3 3 3 6 3" xfId="28169"/>
    <cellStyle name="Comma 2 5 3 3 3 6 3 2" xfId="42211"/>
    <cellStyle name="Comma 2 5 3 3 3 6 4" xfId="31504"/>
    <cellStyle name="Comma 2 5 3 3 3 6 5" xfId="35787"/>
    <cellStyle name="Comma 2 5 3 3 3 7" xfId="15884"/>
    <cellStyle name="Comma 2 5 3 3 3 7 2" xfId="24899"/>
    <cellStyle name="Comma 2 5 3 3 3 7 2 2" xfId="44328"/>
    <cellStyle name="Comma 2 5 3 3 3 7 2 3" xfId="37905"/>
    <cellStyle name="Comma 2 5 3 3 3 7 3" xfId="29220"/>
    <cellStyle name="Comma 2 5 3 3 3 7 3 2" xfId="41121"/>
    <cellStyle name="Comma 2 5 3 3 3 7 4" xfId="32555"/>
    <cellStyle name="Comma 2 5 3 3 3 7 5" xfId="34697"/>
    <cellStyle name="Comma 2 5 3 3 3 8" xfId="8702"/>
    <cellStyle name="Comma 2 5 3 3 3 8 2" xfId="43276"/>
    <cellStyle name="Comma 2 5 3 3 3 8 3" xfId="36852"/>
    <cellStyle name="Comma 2 5 3 3 3 9" xfId="21691"/>
    <cellStyle name="Comma 2 5 3 3 3 9 2" xfId="40069"/>
    <cellStyle name="Comma 2 5 3 3 4" xfId="1426"/>
    <cellStyle name="Comma 2 5 3 3 4 10" xfId="33650"/>
    <cellStyle name="Comma 2 5 3 3 4 2" xfId="10196"/>
    <cellStyle name="Comma 2 5 3 3 4 2 2" xfId="25996"/>
    <cellStyle name="Comma 2 5 3 3 4 2 2 2" xfId="45423"/>
    <cellStyle name="Comma 2 5 3 3 4 2 2 3" xfId="39000"/>
    <cellStyle name="Comma 2 5 3 3 4 2 3" xfId="28174"/>
    <cellStyle name="Comma 2 5 3 3 4 2 3 2" xfId="42216"/>
    <cellStyle name="Comma 2 5 3 3 4 2 4" xfId="31509"/>
    <cellStyle name="Comma 2 5 3 3 4 2 5" xfId="35792"/>
    <cellStyle name="Comma 2 5 3 3 4 3" xfId="15889"/>
    <cellStyle name="Comma 2 5 3 3 4 3 2" xfId="24904"/>
    <cellStyle name="Comma 2 5 3 3 4 3 2 2" xfId="44333"/>
    <cellStyle name="Comma 2 5 3 3 4 3 2 3" xfId="37910"/>
    <cellStyle name="Comma 2 5 3 3 4 3 3" xfId="29225"/>
    <cellStyle name="Comma 2 5 3 3 4 3 3 2" xfId="41126"/>
    <cellStyle name="Comma 2 5 3 3 4 3 4" xfId="32560"/>
    <cellStyle name="Comma 2 5 3 3 4 3 5" xfId="34702"/>
    <cellStyle name="Comma 2 5 3 3 4 4" xfId="8707"/>
    <cellStyle name="Comma 2 5 3 3 4 4 2" xfId="43281"/>
    <cellStyle name="Comma 2 5 3 3 4 4 3" xfId="36857"/>
    <cellStyle name="Comma 2 5 3 3 4 5" xfId="21696"/>
    <cellStyle name="Comma 2 5 3 3 4 5 2" xfId="40074"/>
    <cellStyle name="Comma 2 5 3 3 4 6" xfId="22769"/>
    <cellStyle name="Comma 2 5 3 3 4 7" xfId="23852"/>
    <cellStyle name="Comma 2 5 3 3 4 8" xfId="27091"/>
    <cellStyle name="Comma 2 5 3 3 4 9" xfId="30424"/>
    <cellStyle name="Comma 2 5 3 3 5" xfId="1427"/>
    <cellStyle name="Comma 2 5 3 3 5 10" xfId="33651"/>
    <cellStyle name="Comma 2 5 3 3 5 2" xfId="10197"/>
    <cellStyle name="Comma 2 5 3 3 5 2 2" xfId="25997"/>
    <cellStyle name="Comma 2 5 3 3 5 2 2 2" xfId="45424"/>
    <cellStyle name="Comma 2 5 3 3 5 2 2 3" xfId="39001"/>
    <cellStyle name="Comma 2 5 3 3 5 2 3" xfId="28175"/>
    <cellStyle name="Comma 2 5 3 3 5 2 3 2" xfId="42217"/>
    <cellStyle name="Comma 2 5 3 3 5 2 4" xfId="31510"/>
    <cellStyle name="Comma 2 5 3 3 5 2 5" xfId="35793"/>
    <cellStyle name="Comma 2 5 3 3 5 3" xfId="15890"/>
    <cellStyle name="Comma 2 5 3 3 5 3 2" xfId="24905"/>
    <cellStyle name="Comma 2 5 3 3 5 3 2 2" xfId="44334"/>
    <cellStyle name="Comma 2 5 3 3 5 3 2 3" xfId="37911"/>
    <cellStyle name="Comma 2 5 3 3 5 3 3" xfId="29226"/>
    <cellStyle name="Comma 2 5 3 3 5 3 3 2" xfId="41127"/>
    <cellStyle name="Comma 2 5 3 3 5 3 4" xfId="32561"/>
    <cellStyle name="Comma 2 5 3 3 5 3 5" xfId="34703"/>
    <cellStyle name="Comma 2 5 3 3 5 4" xfId="8708"/>
    <cellStyle name="Comma 2 5 3 3 5 4 2" xfId="43282"/>
    <cellStyle name="Comma 2 5 3 3 5 4 3" xfId="36858"/>
    <cellStyle name="Comma 2 5 3 3 5 5" xfId="21697"/>
    <cellStyle name="Comma 2 5 3 3 5 5 2" xfId="40075"/>
    <cellStyle name="Comma 2 5 3 3 5 6" xfId="22770"/>
    <cellStyle name="Comma 2 5 3 3 5 7" xfId="23853"/>
    <cellStyle name="Comma 2 5 3 3 5 8" xfId="27092"/>
    <cellStyle name="Comma 2 5 3 3 5 9" xfId="30425"/>
    <cellStyle name="Comma 2 5 3 3 6" xfId="1428"/>
    <cellStyle name="Comma 2 5 3 3 6 10" xfId="33652"/>
    <cellStyle name="Comma 2 5 3 3 6 2" xfId="10198"/>
    <cellStyle name="Comma 2 5 3 3 6 2 2" xfId="25998"/>
    <cellStyle name="Comma 2 5 3 3 6 2 2 2" xfId="45425"/>
    <cellStyle name="Comma 2 5 3 3 6 2 2 3" xfId="39002"/>
    <cellStyle name="Comma 2 5 3 3 6 2 3" xfId="28176"/>
    <cellStyle name="Comma 2 5 3 3 6 2 3 2" xfId="42218"/>
    <cellStyle name="Comma 2 5 3 3 6 2 4" xfId="31511"/>
    <cellStyle name="Comma 2 5 3 3 6 2 5" xfId="35794"/>
    <cellStyle name="Comma 2 5 3 3 6 3" xfId="15891"/>
    <cellStyle name="Comma 2 5 3 3 6 3 2" xfId="24906"/>
    <cellStyle name="Comma 2 5 3 3 6 3 2 2" xfId="44335"/>
    <cellStyle name="Comma 2 5 3 3 6 3 2 3" xfId="37912"/>
    <cellStyle name="Comma 2 5 3 3 6 3 3" xfId="29227"/>
    <cellStyle name="Comma 2 5 3 3 6 3 3 2" xfId="41128"/>
    <cellStyle name="Comma 2 5 3 3 6 3 4" xfId="32562"/>
    <cellStyle name="Comma 2 5 3 3 6 3 5" xfId="34704"/>
    <cellStyle name="Comma 2 5 3 3 6 4" xfId="8709"/>
    <cellStyle name="Comma 2 5 3 3 6 4 2" xfId="43283"/>
    <cellStyle name="Comma 2 5 3 3 6 4 3" xfId="36859"/>
    <cellStyle name="Comma 2 5 3 3 6 5" xfId="21698"/>
    <cellStyle name="Comma 2 5 3 3 6 5 2" xfId="40076"/>
    <cellStyle name="Comma 2 5 3 3 6 6" xfId="22771"/>
    <cellStyle name="Comma 2 5 3 3 6 7" xfId="23854"/>
    <cellStyle name="Comma 2 5 3 3 6 8" xfId="27093"/>
    <cellStyle name="Comma 2 5 3 3 6 9" xfId="30426"/>
    <cellStyle name="Comma 2 5 3 3 7" xfId="1429"/>
    <cellStyle name="Comma 2 5 3 3 7 10" xfId="33653"/>
    <cellStyle name="Comma 2 5 3 3 7 2" xfId="10199"/>
    <cellStyle name="Comma 2 5 3 3 7 2 2" xfId="25999"/>
    <cellStyle name="Comma 2 5 3 3 7 2 2 2" xfId="45426"/>
    <cellStyle name="Comma 2 5 3 3 7 2 2 3" xfId="39003"/>
    <cellStyle name="Comma 2 5 3 3 7 2 3" xfId="28177"/>
    <cellStyle name="Comma 2 5 3 3 7 2 3 2" xfId="42219"/>
    <cellStyle name="Comma 2 5 3 3 7 2 4" xfId="31512"/>
    <cellStyle name="Comma 2 5 3 3 7 2 5" xfId="35795"/>
    <cellStyle name="Comma 2 5 3 3 7 3" xfId="15892"/>
    <cellStyle name="Comma 2 5 3 3 7 3 2" xfId="24907"/>
    <cellStyle name="Comma 2 5 3 3 7 3 2 2" xfId="44336"/>
    <cellStyle name="Comma 2 5 3 3 7 3 2 3" xfId="37913"/>
    <cellStyle name="Comma 2 5 3 3 7 3 3" xfId="29228"/>
    <cellStyle name="Comma 2 5 3 3 7 3 3 2" xfId="41129"/>
    <cellStyle name="Comma 2 5 3 3 7 3 4" xfId="32563"/>
    <cellStyle name="Comma 2 5 3 3 7 3 5" xfId="34705"/>
    <cellStyle name="Comma 2 5 3 3 7 4" xfId="8710"/>
    <cellStyle name="Comma 2 5 3 3 7 4 2" xfId="43284"/>
    <cellStyle name="Comma 2 5 3 3 7 4 3" xfId="36860"/>
    <cellStyle name="Comma 2 5 3 3 7 5" xfId="21699"/>
    <cellStyle name="Comma 2 5 3 3 7 5 2" xfId="40077"/>
    <cellStyle name="Comma 2 5 3 3 7 6" xfId="22772"/>
    <cellStyle name="Comma 2 5 3 3 7 7" xfId="23855"/>
    <cellStyle name="Comma 2 5 3 3 7 8" xfId="27094"/>
    <cellStyle name="Comma 2 5 3 3 7 9" xfId="30427"/>
    <cellStyle name="Comma 2 5 3 3 8" xfId="1430"/>
    <cellStyle name="Comma 2 5 3 3 8 10" xfId="33654"/>
    <cellStyle name="Comma 2 5 3 3 8 2" xfId="10200"/>
    <cellStyle name="Comma 2 5 3 3 8 2 2" xfId="26000"/>
    <cellStyle name="Comma 2 5 3 3 8 2 2 2" xfId="45427"/>
    <cellStyle name="Comma 2 5 3 3 8 2 2 3" xfId="39004"/>
    <cellStyle name="Comma 2 5 3 3 8 2 3" xfId="28178"/>
    <cellStyle name="Comma 2 5 3 3 8 2 3 2" xfId="42220"/>
    <cellStyle name="Comma 2 5 3 3 8 2 4" xfId="31513"/>
    <cellStyle name="Comma 2 5 3 3 8 2 5" xfId="35796"/>
    <cellStyle name="Comma 2 5 3 3 8 3" xfId="15893"/>
    <cellStyle name="Comma 2 5 3 3 8 3 2" xfId="24908"/>
    <cellStyle name="Comma 2 5 3 3 8 3 2 2" xfId="44337"/>
    <cellStyle name="Comma 2 5 3 3 8 3 2 3" xfId="37914"/>
    <cellStyle name="Comma 2 5 3 3 8 3 3" xfId="29229"/>
    <cellStyle name="Comma 2 5 3 3 8 3 3 2" xfId="41130"/>
    <cellStyle name="Comma 2 5 3 3 8 3 4" xfId="32564"/>
    <cellStyle name="Comma 2 5 3 3 8 3 5" xfId="34706"/>
    <cellStyle name="Comma 2 5 3 3 8 4" xfId="8711"/>
    <cellStyle name="Comma 2 5 3 3 8 4 2" xfId="43285"/>
    <cellStyle name="Comma 2 5 3 3 8 4 3" xfId="36861"/>
    <cellStyle name="Comma 2 5 3 3 8 5" xfId="21700"/>
    <cellStyle name="Comma 2 5 3 3 8 5 2" xfId="40078"/>
    <cellStyle name="Comma 2 5 3 3 8 6" xfId="22773"/>
    <cellStyle name="Comma 2 5 3 3 8 7" xfId="23856"/>
    <cellStyle name="Comma 2 5 3 3 8 8" xfId="27095"/>
    <cellStyle name="Comma 2 5 3 3 8 9" xfId="30428"/>
    <cellStyle name="Comma 2 5 3 3 9" xfId="9146"/>
    <cellStyle name="Comma 2 5 3 3 9 2" xfId="25200"/>
    <cellStyle name="Comma 2 5 3 3 9 2 2" xfId="44627"/>
    <cellStyle name="Comma 2 5 3 3 9 2 3" xfId="38204"/>
    <cellStyle name="Comma 2 5 3 3 9 3" xfId="27379"/>
    <cellStyle name="Comma 2 5 3 3 9 3 2" xfId="41420"/>
    <cellStyle name="Comma 2 5 3 3 9 4" xfId="30714"/>
    <cellStyle name="Comma 2 5 3 3 9 5" xfId="34996"/>
    <cellStyle name="Comma 2 5 3 4" xfId="292"/>
    <cellStyle name="Comma 2 5 3 4 10" xfId="21701"/>
    <cellStyle name="Comma 2 5 3 4 10 2" xfId="39285"/>
    <cellStyle name="Comma 2 5 3 4 11" xfId="22774"/>
    <cellStyle name="Comma 2 5 3 4 12" xfId="23063"/>
    <cellStyle name="Comma 2 5 3 4 13" xfId="27096"/>
    <cellStyle name="Comma 2 5 3 4 14" xfId="30429"/>
    <cellStyle name="Comma 2 5 3 4 15" xfId="32861"/>
    <cellStyle name="Comma 2 5 3 4 2" xfId="1431"/>
    <cellStyle name="Comma 2 5 3 4 2 10" xfId="33655"/>
    <cellStyle name="Comma 2 5 3 4 2 2" xfId="10201"/>
    <cellStyle name="Comma 2 5 3 4 2 2 2" xfId="26001"/>
    <cellStyle name="Comma 2 5 3 4 2 2 2 2" xfId="45428"/>
    <cellStyle name="Comma 2 5 3 4 2 2 2 3" xfId="39005"/>
    <cellStyle name="Comma 2 5 3 4 2 2 3" xfId="28179"/>
    <cellStyle name="Comma 2 5 3 4 2 2 3 2" xfId="42221"/>
    <cellStyle name="Comma 2 5 3 4 2 2 4" xfId="31514"/>
    <cellStyle name="Comma 2 5 3 4 2 2 5" xfId="35797"/>
    <cellStyle name="Comma 2 5 3 4 2 3" xfId="15895"/>
    <cellStyle name="Comma 2 5 3 4 2 3 2" xfId="24910"/>
    <cellStyle name="Comma 2 5 3 4 2 3 2 2" xfId="44339"/>
    <cellStyle name="Comma 2 5 3 4 2 3 2 3" xfId="37916"/>
    <cellStyle name="Comma 2 5 3 4 2 3 3" xfId="29231"/>
    <cellStyle name="Comma 2 5 3 4 2 3 3 2" xfId="41132"/>
    <cellStyle name="Comma 2 5 3 4 2 3 4" xfId="32566"/>
    <cellStyle name="Comma 2 5 3 4 2 3 5" xfId="34708"/>
    <cellStyle name="Comma 2 5 3 4 2 4" xfId="8713"/>
    <cellStyle name="Comma 2 5 3 4 2 4 2" xfId="43286"/>
    <cellStyle name="Comma 2 5 3 4 2 4 3" xfId="36862"/>
    <cellStyle name="Comma 2 5 3 4 2 5" xfId="21702"/>
    <cellStyle name="Comma 2 5 3 4 2 5 2" xfId="40079"/>
    <cellStyle name="Comma 2 5 3 4 2 6" xfId="22775"/>
    <cellStyle name="Comma 2 5 3 4 2 7" xfId="23857"/>
    <cellStyle name="Comma 2 5 3 4 2 8" xfId="27097"/>
    <cellStyle name="Comma 2 5 3 4 2 9" xfId="30430"/>
    <cellStyle name="Comma 2 5 3 4 3" xfId="1432"/>
    <cellStyle name="Comma 2 5 3 4 3 10" xfId="33656"/>
    <cellStyle name="Comma 2 5 3 4 3 2" xfId="10202"/>
    <cellStyle name="Comma 2 5 3 4 3 2 2" xfId="26002"/>
    <cellStyle name="Comma 2 5 3 4 3 2 2 2" xfId="45429"/>
    <cellStyle name="Comma 2 5 3 4 3 2 2 3" xfId="39006"/>
    <cellStyle name="Comma 2 5 3 4 3 2 3" xfId="28180"/>
    <cellStyle name="Comma 2 5 3 4 3 2 3 2" xfId="42222"/>
    <cellStyle name="Comma 2 5 3 4 3 2 4" xfId="31515"/>
    <cellStyle name="Comma 2 5 3 4 3 2 5" xfId="35798"/>
    <cellStyle name="Comma 2 5 3 4 3 3" xfId="15896"/>
    <cellStyle name="Comma 2 5 3 4 3 3 2" xfId="24911"/>
    <cellStyle name="Comma 2 5 3 4 3 3 2 2" xfId="44340"/>
    <cellStyle name="Comma 2 5 3 4 3 3 2 3" xfId="37917"/>
    <cellStyle name="Comma 2 5 3 4 3 3 3" xfId="29232"/>
    <cellStyle name="Comma 2 5 3 4 3 3 3 2" xfId="41133"/>
    <cellStyle name="Comma 2 5 3 4 3 3 4" xfId="32567"/>
    <cellStyle name="Comma 2 5 3 4 3 3 5" xfId="34709"/>
    <cellStyle name="Comma 2 5 3 4 3 4" xfId="8714"/>
    <cellStyle name="Comma 2 5 3 4 3 4 2" xfId="43287"/>
    <cellStyle name="Comma 2 5 3 4 3 4 3" xfId="36863"/>
    <cellStyle name="Comma 2 5 3 4 3 5" xfId="21703"/>
    <cellStyle name="Comma 2 5 3 4 3 5 2" xfId="40080"/>
    <cellStyle name="Comma 2 5 3 4 3 6" xfId="22776"/>
    <cellStyle name="Comma 2 5 3 4 3 7" xfId="23858"/>
    <cellStyle name="Comma 2 5 3 4 3 8" xfId="27098"/>
    <cellStyle name="Comma 2 5 3 4 3 9" xfId="30431"/>
    <cellStyle name="Comma 2 5 3 4 4" xfId="1433"/>
    <cellStyle name="Comma 2 5 3 4 4 10" xfId="33657"/>
    <cellStyle name="Comma 2 5 3 4 4 2" xfId="10203"/>
    <cellStyle name="Comma 2 5 3 4 4 2 2" xfId="26003"/>
    <cellStyle name="Comma 2 5 3 4 4 2 2 2" xfId="45430"/>
    <cellStyle name="Comma 2 5 3 4 4 2 2 3" xfId="39007"/>
    <cellStyle name="Comma 2 5 3 4 4 2 3" xfId="28181"/>
    <cellStyle name="Comma 2 5 3 4 4 2 3 2" xfId="42223"/>
    <cellStyle name="Comma 2 5 3 4 4 2 4" xfId="31516"/>
    <cellStyle name="Comma 2 5 3 4 4 2 5" xfId="35799"/>
    <cellStyle name="Comma 2 5 3 4 4 3" xfId="15897"/>
    <cellStyle name="Comma 2 5 3 4 4 3 2" xfId="24912"/>
    <cellStyle name="Comma 2 5 3 4 4 3 2 2" xfId="44341"/>
    <cellStyle name="Comma 2 5 3 4 4 3 2 3" xfId="37918"/>
    <cellStyle name="Comma 2 5 3 4 4 3 3" xfId="29233"/>
    <cellStyle name="Comma 2 5 3 4 4 3 3 2" xfId="41134"/>
    <cellStyle name="Comma 2 5 3 4 4 3 4" xfId="32568"/>
    <cellStyle name="Comma 2 5 3 4 4 3 5" xfId="34710"/>
    <cellStyle name="Comma 2 5 3 4 4 4" xfId="8715"/>
    <cellStyle name="Comma 2 5 3 4 4 4 2" xfId="43288"/>
    <cellStyle name="Comma 2 5 3 4 4 4 3" xfId="36864"/>
    <cellStyle name="Comma 2 5 3 4 4 5" xfId="21704"/>
    <cellStyle name="Comma 2 5 3 4 4 5 2" xfId="40081"/>
    <cellStyle name="Comma 2 5 3 4 4 6" xfId="22777"/>
    <cellStyle name="Comma 2 5 3 4 4 7" xfId="23859"/>
    <cellStyle name="Comma 2 5 3 4 4 8" xfId="27099"/>
    <cellStyle name="Comma 2 5 3 4 4 9" xfId="30432"/>
    <cellStyle name="Comma 2 5 3 4 5" xfId="1434"/>
    <cellStyle name="Comma 2 5 3 4 5 10" xfId="33658"/>
    <cellStyle name="Comma 2 5 3 4 5 2" xfId="10204"/>
    <cellStyle name="Comma 2 5 3 4 5 2 2" xfId="26004"/>
    <cellStyle name="Comma 2 5 3 4 5 2 2 2" xfId="45431"/>
    <cellStyle name="Comma 2 5 3 4 5 2 2 3" xfId="39008"/>
    <cellStyle name="Comma 2 5 3 4 5 2 3" xfId="28182"/>
    <cellStyle name="Comma 2 5 3 4 5 2 3 2" xfId="42224"/>
    <cellStyle name="Comma 2 5 3 4 5 2 4" xfId="31517"/>
    <cellStyle name="Comma 2 5 3 4 5 2 5" xfId="35800"/>
    <cellStyle name="Comma 2 5 3 4 5 3" xfId="15898"/>
    <cellStyle name="Comma 2 5 3 4 5 3 2" xfId="24913"/>
    <cellStyle name="Comma 2 5 3 4 5 3 2 2" xfId="44342"/>
    <cellStyle name="Comma 2 5 3 4 5 3 2 3" xfId="37919"/>
    <cellStyle name="Comma 2 5 3 4 5 3 3" xfId="29234"/>
    <cellStyle name="Comma 2 5 3 4 5 3 3 2" xfId="41135"/>
    <cellStyle name="Comma 2 5 3 4 5 3 4" xfId="32569"/>
    <cellStyle name="Comma 2 5 3 4 5 3 5" xfId="34711"/>
    <cellStyle name="Comma 2 5 3 4 5 4" xfId="8716"/>
    <cellStyle name="Comma 2 5 3 4 5 4 2" xfId="43289"/>
    <cellStyle name="Comma 2 5 3 4 5 4 3" xfId="36865"/>
    <cellStyle name="Comma 2 5 3 4 5 5" xfId="21705"/>
    <cellStyle name="Comma 2 5 3 4 5 5 2" xfId="40082"/>
    <cellStyle name="Comma 2 5 3 4 5 6" xfId="22778"/>
    <cellStyle name="Comma 2 5 3 4 5 7" xfId="23860"/>
    <cellStyle name="Comma 2 5 3 4 5 8" xfId="27100"/>
    <cellStyle name="Comma 2 5 3 4 5 9" xfId="30433"/>
    <cellStyle name="Comma 2 5 3 4 6" xfId="1435"/>
    <cellStyle name="Comma 2 5 3 4 6 10" xfId="33659"/>
    <cellStyle name="Comma 2 5 3 4 6 2" xfId="10205"/>
    <cellStyle name="Comma 2 5 3 4 6 2 2" xfId="26005"/>
    <cellStyle name="Comma 2 5 3 4 6 2 2 2" xfId="45432"/>
    <cellStyle name="Comma 2 5 3 4 6 2 2 3" xfId="39009"/>
    <cellStyle name="Comma 2 5 3 4 6 2 3" xfId="28183"/>
    <cellStyle name="Comma 2 5 3 4 6 2 3 2" xfId="42225"/>
    <cellStyle name="Comma 2 5 3 4 6 2 4" xfId="31518"/>
    <cellStyle name="Comma 2 5 3 4 6 2 5" xfId="35801"/>
    <cellStyle name="Comma 2 5 3 4 6 3" xfId="15899"/>
    <cellStyle name="Comma 2 5 3 4 6 3 2" xfId="24914"/>
    <cellStyle name="Comma 2 5 3 4 6 3 2 2" xfId="44343"/>
    <cellStyle name="Comma 2 5 3 4 6 3 2 3" xfId="37920"/>
    <cellStyle name="Comma 2 5 3 4 6 3 3" xfId="29235"/>
    <cellStyle name="Comma 2 5 3 4 6 3 3 2" xfId="41136"/>
    <cellStyle name="Comma 2 5 3 4 6 3 4" xfId="32570"/>
    <cellStyle name="Comma 2 5 3 4 6 3 5" xfId="34712"/>
    <cellStyle name="Comma 2 5 3 4 6 4" xfId="8717"/>
    <cellStyle name="Comma 2 5 3 4 6 4 2" xfId="43290"/>
    <cellStyle name="Comma 2 5 3 4 6 4 3" xfId="36866"/>
    <cellStyle name="Comma 2 5 3 4 6 5" xfId="21706"/>
    <cellStyle name="Comma 2 5 3 4 6 5 2" xfId="40083"/>
    <cellStyle name="Comma 2 5 3 4 6 6" xfId="22779"/>
    <cellStyle name="Comma 2 5 3 4 6 7" xfId="23861"/>
    <cellStyle name="Comma 2 5 3 4 6 8" xfId="27101"/>
    <cellStyle name="Comma 2 5 3 4 6 9" xfId="30434"/>
    <cellStyle name="Comma 2 5 3 4 7" xfId="9148"/>
    <cellStyle name="Comma 2 5 3 4 7 2" xfId="25202"/>
    <cellStyle name="Comma 2 5 3 4 7 2 2" xfId="44629"/>
    <cellStyle name="Comma 2 5 3 4 7 2 3" xfId="38206"/>
    <cellStyle name="Comma 2 5 3 4 7 3" xfId="27381"/>
    <cellStyle name="Comma 2 5 3 4 7 3 2" xfId="41422"/>
    <cellStyle name="Comma 2 5 3 4 7 4" xfId="30716"/>
    <cellStyle name="Comma 2 5 3 4 7 5" xfId="34998"/>
    <cellStyle name="Comma 2 5 3 4 8" xfId="15894"/>
    <cellStyle name="Comma 2 5 3 4 8 2" xfId="24909"/>
    <cellStyle name="Comma 2 5 3 4 8 2 2" xfId="44338"/>
    <cellStyle name="Comma 2 5 3 4 8 2 3" xfId="37915"/>
    <cellStyle name="Comma 2 5 3 4 8 3" xfId="29230"/>
    <cellStyle name="Comma 2 5 3 4 8 3 2" xfId="41131"/>
    <cellStyle name="Comma 2 5 3 4 8 4" xfId="32565"/>
    <cellStyle name="Comma 2 5 3 4 8 5" xfId="34707"/>
    <cellStyle name="Comma 2 5 3 4 9" xfId="8712"/>
    <cellStyle name="Comma 2 5 3 4 9 2" xfId="42492"/>
    <cellStyle name="Comma 2 5 3 4 9 3" xfId="36068"/>
    <cellStyle name="Comma 2 5 3 5" xfId="1436"/>
    <cellStyle name="Comma 2 5 3 5 10" xfId="22780"/>
    <cellStyle name="Comma 2 5 3 5 11" xfId="23862"/>
    <cellStyle name="Comma 2 5 3 5 12" xfId="27102"/>
    <cellStyle name="Comma 2 5 3 5 13" xfId="30435"/>
    <cellStyle name="Comma 2 5 3 5 14" xfId="33660"/>
    <cellStyle name="Comma 2 5 3 5 2" xfId="1437"/>
    <cellStyle name="Comma 2 5 3 5 2 10" xfId="33661"/>
    <cellStyle name="Comma 2 5 3 5 2 2" xfId="10207"/>
    <cellStyle name="Comma 2 5 3 5 2 2 2" xfId="26007"/>
    <cellStyle name="Comma 2 5 3 5 2 2 2 2" xfId="45434"/>
    <cellStyle name="Comma 2 5 3 5 2 2 2 3" xfId="39011"/>
    <cellStyle name="Comma 2 5 3 5 2 2 3" xfId="28185"/>
    <cellStyle name="Comma 2 5 3 5 2 2 3 2" xfId="42227"/>
    <cellStyle name="Comma 2 5 3 5 2 2 4" xfId="31520"/>
    <cellStyle name="Comma 2 5 3 5 2 2 5" xfId="35803"/>
    <cellStyle name="Comma 2 5 3 5 2 3" xfId="15901"/>
    <cellStyle name="Comma 2 5 3 5 2 3 2" xfId="24916"/>
    <cellStyle name="Comma 2 5 3 5 2 3 2 2" xfId="44345"/>
    <cellStyle name="Comma 2 5 3 5 2 3 2 3" xfId="37922"/>
    <cellStyle name="Comma 2 5 3 5 2 3 3" xfId="29237"/>
    <cellStyle name="Comma 2 5 3 5 2 3 3 2" xfId="41138"/>
    <cellStyle name="Comma 2 5 3 5 2 3 4" xfId="32572"/>
    <cellStyle name="Comma 2 5 3 5 2 3 5" xfId="34714"/>
    <cellStyle name="Comma 2 5 3 5 2 4" xfId="8719"/>
    <cellStyle name="Comma 2 5 3 5 2 4 2" xfId="43292"/>
    <cellStyle name="Comma 2 5 3 5 2 4 3" xfId="36868"/>
    <cellStyle name="Comma 2 5 3 5 2 5" xfId="21708"/>
    <cellStyle name="Comma 2 5 3 5 2 5 2" xfId="40085"/>
    <cellStyle name="Comma 2 5 3 5 2 6" xfId="22781"/>
    <cellStyle name="Comma 2 5 3 5 2 7" xfId="23863"/>
    <cellStyle name="Comma 2 5 3 5 2 8" xfId="27103"/>
    <cellStyle name="Comma 2 5 3 5 2 9" xfId="30436"/>
    <cellStyle name="Comma 2 5 3 5 3" xfId="1438"/>
    <cellStyle name="Comma 2 5 3 5 3 10" xfId="33662"/>
    <cellStyle name="Comma 2 5 3 5 3 2" xfId="10208"/>
    <cellStyle name="Comma 2 5 3 5 3 2 2" xfId="26008"/>
    <cellStyle name="Comma 2 5 3 5 3 2 2 2" xfId="45435"/>
    <cellStyle name="Comma 2 5 3 5 3 2 2 3" xfId="39012"/>
    <cellStyle name="Comma 2 5 3 5 3 2 3" xfId="28186"/>
    <cellStyle name="Comma 2 5 3 5 3 2 3 2" xfId="42228"/>
    <cellStyle name="Comma 2 5 3 5 3 2 4" xfId="31521"/>
    <cellStyle name="Comma 2 5 3 5 3 2 5" xfId="35804"/>
    <cellStyle name="Comma 2 5 3 5 3 3" xfId="15902"/>
    <cellStyle name="Comma 2 5 3 5 3 3 2" xfId="24917"/>
    <cellStyle name="Comma 2 5 3 5 3 3 2 2" xfId="44346"/>
    <cellStyle name="Comma 2 5 3 5 3 3 2 3" xfId="37923"/>
    <cellStyle name="Comma 2 5 3 5 3 3 3" xfId="29238"/>
    <cellStyle name="Comma 2 5 3 5 3 3 3 2" xfId="41139"/>
    <cellStyle name="Comma 2 5 3 5 3 3 4" xfId="32573"/>
    <cellStyle name="Comma 2 5 3 5 3 3 5" xfId="34715"/>
    <cellStyle name="Comma 2 5 3 5 3 4" xfId="8720"/>
    <cellStyle name="Comma 2 5 3 5 3 4 2" xfId="43293"/>
    <cellStyle name="Comma 2 5 3 5 3 4 3" xfId="36869"/>
    <cellStyle name="Comma 2 5 3 5 3 5" xfId="21709"/>
    <cellStyle name="Comma 2 5 3 5 3 5 2" xfId="40086"/>
    <cellStyle name="Comma 2 5 3 5 3 6" xfId="22782"/>
    <cellStyle name="Comma 2 5 3 5 3 7" xfId="23864"/>
    <cellStyle name="Comma 2 5 3 5 3 8" xfId="27104"/>
    <cellStyle name="Comma 2 5 3 5 3 9" xfId="30437"/>
    <cellStyle name="Comma 2 5 3 5 4" xfId="1439"/>
    <cellStyle name="Comma 2 5 3 5 4 10" xfId="33663"/>
    <cellStyle name="Comma 2 5 3 5 4 2" xfId="10209"/>
    <cellStyle name="Comma 2 5 3 5 4 2 2" xfId="26009"/>
    <cellStyle name="Comma 2 5 3 5 4 2 2 2" xfId="45436"/>
    <cellStyle name="Comma 2 5 3 5 4 2 2 3" xfId="39013"/>
    <cellStyle name="Comma 2 5 3 5 4 2 3" xfId="28187"/>
    <cellStyle name="Comma 2 5 3 5 4 2 3 2" xfId="42229"/>
    <cellStyle name="Comma 2 5 3 5 4 2 4" xfId="31522"/>
    <cellStyle name="Comma 2 5 3 5 4 2 5" xfId="35805"/>
    <cellStyle name="Comma 2 5 3 5 4 3" xfId="15903"/>
    <cellStyle name="Comma 2 5 3 5 4 3 2" xfId="24918"/>
    <cellStyle name="Comma 2 5 3 5 4 3 2 2" xfId="44347"/>
    <cellStyle name="Comma 2 5 3 5 4 3 2 3" xfId="37924"/>
    <cellStyle name="Comma 2 5 3 5 4 3 3" xfId="29239"/>
    <cellStyle name="Comma 2 5 3 5 4 3 3 2" xfId="41140"/>
    <cellStyle name="Comma 2 5 3 5 4 3 4" xfId="32574"/>
    <cellStyle name="Comma 2 5 3 5 4 3 5" xfId="34716"/>
    <cellStyle name="Comma 2 5 3 5 4 4" xfId="8721"/>
    <cellStyle name="Comma 2 5 3 5 4 4 2" xfId="43294"/>
    <cellStyle name="Comma 2 5 3 5 4 4 3" xfId="36870"/>
    <cellStyle name="Comma 2 5 3 5 4 5" xfId="21710"/>
    <cellStyle name="Comma 2 5 3 5 4 5 2" xfId="40087"/>
    <cellStyle name="Comma 2 5 3 5 4 6" xfId="22783"/>
    <cellStyle name="Comma 2 5 3 5 4 7" xfId="23865"/>
    <cellStyle name="Comma 2 5 3 5 4 8" xfId="27105"/>
    <cellStyle name="Comma 2 5 3 5 4 9" xfId="30438"/>
    <cellStyle name="Comma 2 5 3 5 5" xfId="1440"/>
    <cellStyle name="Comma 2 5 3 5 5 10" xfId="33664"/>
    <cellStyle name="Comma 2 5 3 5 5 2" xfId="10210"/>
    <cellStyle name="Comma 2 5 3 5 5 2 2" xfId="26010"/>
    <cellStyle name="Comma 2 5 3 5 5 2 2 2" xfId="45437"/>
    <cellStyle name="Comma 2 5 3 5 5 2 2 3" xfId="39014"/>
    <cellStyle name="Comma 2 5 3 5 5 2 3" xfId="28188"/>
    <cellStyle name="Comma 2 5 3 5 5 2 3 2" xfId="42230"/>
    <cellStyle name="Comma 2 5 3 5 5 2 4" xfId="31523"/>
    <cellStyle name="Comma 2 5 3 5 5 2 5" xfId="35806"/>
    <cellStyle name="Comma 2 5 3 5 5 3" xfId="15904"/>
    <cellStyle name="Comma 2 5 3 5 5 3 2" xfId="24919"/>
    <cellStyle name="Comma 2 5 3 5 5 3 2 2" xfId="44348"/>
    <cellStyle name="Comma 2 5 3 5 5 3 2 3" xfId="37925"/>
    <cellStyle name="Comma 2 5 3 5 5 3 3" xfId="29240"/>
    <cellStyle name="Comma 2 5 3 5 5 3 3 2" xfId="41141"/>
    <cellStyle name="Comma 2 5 3 5 5 3 4" xfId="32575"/>
    <cellStyle name="Comma 2 5 3 5 5 3 5" xfId="34717"/>
    <cellStyle name="Comma 2 5 3 5 5 4" xfId="8722"/>
    <cellStyle name="Comma 2 5 3 5 5 4 2" xfId="43295"/>
    <cellStyle name="Comma 2 5 3 5 5 4 3" xfId="36871"/>
    <cellStyle name="Comma 2 5 3 5 5 5" xfId="21711"/>
    <cellStyle name="Comma 2 5 3 5 5 5 2" xfId="40088"/>
    <cellStyle name="Comma 2 5 3 5 5 6" xfId="22784"/>
    <cellStyle name="Comma 2 5 3 5 5 7" xfId="23866"/>
    <cellStyle name="Comma 2 5 3 5 5 8" xfId="27106"/>
    <cellStyle name="Comma 2 5 3 5 5 9" xfId="30439"/>
    <cellStyle name="Comma 2 5 3 5 6" xfId="10206"/>
    <cellStyle name="Comma 2 5 3 5 6 2" xfId="26006"/>
    <cellStyle name="Comma 2 5 3 5 6 2 2" xfId="45433"/>
    <cellStyle name="Comma 2 5 3 5 6 2 3" xfId="39010"/>
    <cellStyle name="Comma 2 5 3 5 6 3" xfId="28184"/>
    <cellStyle name="Comma 2 5 3 5 6 3 2" xfId="42226"/>
    <cellStyle name="Comma 2 5 3 5 6 4" xfId="31519"/>
    <cellStyle name="Comma 2 5 3 5 6 5" xfId="35802"/>
    <cellStyle name="Comma 2 5 3 5 7" xfId="15900"/>
    <cellStyle name="Comma 2 5 3 5 7 2" xfId="24915"/>
    <cellStyle name="Comma 2 5 3 5 7 2 2" xfId="44344"/>
    <cellStyle name="Comma 2 5 3 5 7 2 3" xfId="37921"/>
    <cellStyle name="Comma 2 5 3 5 7 3" xfId="29236"/>
    <cellStyle name="Comma 2 5 3 5 7 3 2" xfId="41137"/>
    <cellStyle name="Comma 2 5 3 5 7 4" xfId="32571"/>
    <cellStyle name="Comma 2 5 3 5 7 5" xfId="34713"/>
    <cellStyle name="Comma 2 5 3 5 8" xfId="8718"/>
    <cellStyle name="Comma 2 5 3 5 8 2" xfId="43291"/>
    <cellStyle name="Comma 2 5 3 5 8 3" xfId="36867"/>
    <cellStyle name="Comma 2 5 3 5 9" xfId="21707"/>
    <cellStyle name="Comma 2 5 3 5 9 2" xfId="40084"/>
    <cellStyle name="Comma 2 5 3 6" xfId="1441"/>
    <cellStyle name="Comma 2 5 3 6 10" xfId="22785"/>
    <cellStyle name="Comma 2 5 3 6 11" xfId="23867"/>
    <cellStyle name="Comma 2 5 3 6 12" xfId="27107"/>
    <cellStyle name="Comma 2 5 3 6 13" xfId="30440"/>
    <cellStyle name="Comma 2 5 3 6 14" xfId="33665"/>
    <cellStyle name="Comma 2 5 3 6 2" xfId="1442"/>
    <cellStyle name="Comma 2 5 3 6 2 10" xfId="33666"/>
    <cellStyle name="Comma 2 5 3 6 2 2" xfId="10212"/>
    <cellStyle name="Comma 2 5 3 6 2 2 2" xfId="26012"/>
    <cellStyle name="Comma 2 5 3 6 2 2 2 2" xfId="45439"/>
    <cellStyle name="Comma 2 5 3 6 2 2 2 3" xfId="39016"/>
    <cellStyle name="Comma 2 5 3 6 2 2 3" xfId="28190"/>
    <cellStyle name="Comma 2 5 3 6 2 2 3 2" xfId="42232"/>
    <cellStyle name="Comma 2 5 3 6 2 2 4" xfId="31525"/>
    <cellStyle name="Comma 2 5 3 6 2 2 5" xfId="35808"/>
    <cellStyle name="Comma 2 5 3 6 2 3" xfId="15906"/>
    <cellStyle name="Comma 2 5 3 6 2 3 2" xfId="24921"/>
    <cellStyle name="Comma 2 5 3 6 2 3 2 2" xfId="44350"/>
    <cellStyle name="Comma 2 5 3 6 2 3 2 3" xfId="37927"/>
    <cellStyle name="Comma 2 5 3 6 2 3 3" xfId="29242"/>
    <cellStyle name="Comma 2 5 3 6 2 3 3 2" xfId="41143"/>
    <cellStyle name="Comma 2 5 3 6 2 3 4" xfId="32577"/>
    <cellStyle name="Comma 2 5 3 6 2 3 5" xfId="34719"/>
    <cellStyle name="Comma 2 5 3 6 2 4" xfId="8724"/>
    <cellStyle name="Comma 2 5 3 6 2 4 2" xfId="43297"/>
    <cellStyle name="Comma 2 5 3 6 2 4 3" xfId="36873"/>
    <cellStyle name="Comma 2 5 3 6 2 5" xfId="21713"/>
    <cellStyle name="Comma 2 5 3 6 2 5 2" xfId="40090"/>
    <cellStyle name="Comma 2 5 3 6 2 6" xfId="22786"/>
    <cellStyle name="Comma 2 5 3 6 2 7" xfId="23868"/>
    <cellStyle name="Comma 2 5 3 6 2 8" xfId="27108"/>
    <cellStyle name="Comma 2 5 3 6 2 9" xfId="30441"/>
    <cellStyle name="Comma 2 5 3 6 3" xfId="1443"/>
    <cellStyle name="Comma 2 5 3 6 3 10" xfId="33667"/>
    <cellStyle name="Comma 2 5 3 6 3 2" xfId="10213"/>
    <cellStyle name="Comma 2 5 3 6 3 2 2" xfId="26013"/>
    <cellStyle name="Comma 2 5 3 6 3 2 2 2" xfId="45440"/>
    <cellStyle name="Comma 2 5 3 6 3 2 2 3" xfId="39017"/>
    <cellStyle name="Comma 2 5 3 6 3 2 3" xfId="28191"/>
    <cellStyle name="Comma 2 5 3 6 3 2 3 2" xfId="42233"/>
    <cellStyle name="Comma 2 5 3 6 3 2 4" xfId="31526"/>
    <cellStyle name="Comma 2 5 3 6 3 2 5" xfId="35809"/>
    <cellStyle name="Comma 2 5 3 6 3 3" xfId="15907"/>
    <cellStyle name="Comma 2 5 3 6 3 3 2" xfId="24922"/>
    <cellStyle name="Comma 2 5 3 6 3 3 2 2" xfId="44351"/>
    <cellStyle name="Comma 2 5 3 6 3 3 2 3" xfId="37928"/>
    <cellStyle name="Comma 2 5 3 6 3 3 3" xfId="29243"/>
    <cellStyle name="Comma 2 5 3 6 3 3 3 2" xfId="41144"/>
    <cellStyle name="Comma 2 5 3 6 3 3 4" xfId="32578"/>
    <cellStyle name="Comma 2 5 3 6 3 3 5" xfId="34720"/>
    <cellStyle name="Comma 2 5 3 6 3 4" xfId="8725"/>
    <cellStyle name="Comma 2 5 3 6 3 4 2" xfId="43298"/>
    <cellStyle name="Comma 2 5 3 6 3 4 3" xfId="36874"/>
    <cellStyle name="Comma 2 5 3 6 3 5" xfId="21714"/>
    <cellStyle name="Comma 2 5 3 6 3 5 2" xfId="40091"/>
    <cellStyle name="Comma 2 5 3 6 3 6" xfId="22787"/>
    <cellStyle name="Comma 2 5 3 6 3 7" xfId="23869"/>
    <cellStyle name="Comma 2 5 3 6 3 8" xfId="27109"/>
    <cellStyle name="Comma 2 5 3 6 3 9" xfId="30442"/>
    <cellStyle name="Comma 2 5 3 6 4" xfId="1444"/>
    <cellStyle name="Comma 2 5 3 6 4 10" xfId="33668"/>
    <cellStyle name="Comma 2 5 3 6 4 2" xfId="10214"/>
    <cellStyle name="Comma 2 5 3 6 4 2 2" xfId="26014"/>
    <cellStyle name="Comma 2 5 3 6 4 2 2 2" xfId="45441"/>
    <cellStyle name="Comma 2 5 3 6 4 2 2 3" xfId="39018"/>
    <cellStyle name="Comma 2 5 3 6 4 2 3" xfId="28192"/>
    <cellStyle name="Comma 2 5 3 6 4 2 3 2" xfId="42234"/>
    <cellStyle name="Comma 2 5 3 6 4 2 4" xfId="31527"/>
    <cellStyle name="Comma 2 5 3 6 4 2 5" xfId="35810"/>
    <cellStyle name="Comma 2 5 3 6 4 3" xfId="15908"/>
    <cellStyle name="Comma 2 5 3 6 4 3 2" xfId="24923"/>
    <cellStyle name="Comma 2 5 3 6 4 3 2 2" xfId="44352"/>
    <cellStyle name="Comma 2 5 3 6 4 3 2 3" xfId="37929"/>
    <cellStyle name="Comma 2 5 3 6 4 3 3" xfId="29244"/>
    <cellStyle name="Comma 2 5 3 6 4 3 3 2" xfId="41145"/>
    <cellStyle name="Comma 2 5 3 6 4 3 4" xfId="32579"/>
    <cellStyle name="Comma 2 5 3 6 4 3 5" xfId="34721"/>
    <cellStyle name="Comma 2 5 3 6 4 4" xfId="8726"/>
    <cellStyle name="Comma 2 5 3 6 4 4 2" xfId="43299"/>
    <cellStyle name="Comma 2 5 3 6 4 4 3" xfId="36875"/>
    <cellStyle name="Comma 2 5 3 6 4 5" xfId="21715"/>
    <cellStyle name="Comma 2 5 3 6 4 5 2" xfId="40092"/>
    <cellStyle name="Comma 2 5 3 6 4 6" xfId="22788"/>
    <cellStyle name="Comma 2 5 3 6 4 7" xfId="23870"/>
    <cellStyle name="Comma 2 5 3 6 4 8" xfId="27110"/>
    <cellStyle name="Comma 2 5 3 6 4 9" xfId="30443"/>
    <cellStyle name="Comma 2 5 3 6 5" xfId="1445"/>
    <cellStyle name="Comma 2 5 3 6 5 10" xfId="33669"/>
    <cellStyle name="Comma 2 5 3 6 5 2" xfId="10215"/>
    <cellStyle name="Comma 2 5 3 6 5 2 2" xfId="26015"/>
    <cellStyle name="Comma 2 5 3 6 5 2 2 2" xfId="45442"/>
    <cellStyle name="Comma 2 5 3 6 5 2 2 3" xfId="39019"/>
    <cellStyle name="Comma 2 5 3 6 5 2 3" xfId="28193"/>
    <cellStyle name="Comma 2 5 3 6 5 2 3 2" xfId="42235"/>
    <cellStyle name="Comma 2 5 3 6 5 2 4" xfId="31528"/>
    <cellStyle name="Comma 2 5 3 6 5 2 5" xfId="35811"/>
    <cellStyle name="Comma 2 5 3 6 5 3" xfId="15909"/>
    <cellStyle name="Comma 2 5 3 6 5 3 2" xfId="24924"/>
    <cellStyle name="Comma 2 5 3 6 5 3 2 2" xfId="44353"/>
    <cellStyle name="Comma 2 5 3 6 5 3 2 3" xfId="37930"/>
    <cellStyle name="Comma 2 5 3 6 5 3 3" xfId="29245"/>
    <cellStyle name="Comma 2 5 3 6 5 3 3 2" xfId="41146"/>
    <cellStyle name="Comma 2 5 3 6 5 3 4" xfId="32580"/>
    <cellStyle name="Comma 2 5 3 6 5 3 5" xfId="34722"/>
    <cellStyle name="Comma 2 5 3 6 5 4" xfId="8727"/>
    <cellStyle name="Comma 2 5 3 6 5 4 2" xfId="43300"/>
    <cellStyle name="Comma 2 5 3 6 5 4 3" xfId="36876"/>
    <cellStyle name="Comma 2 5 3 6 5 5" xfId="21716"/>
    <cellStyle name="Comma 2 5 3 6 5 5 2" xfId="40093"/>
    <cellStyle name="Comma 2 5 3 6 5 6" xfId="22789"/>
    <cellStyle name="Comma 2 5 3 6 5 7" xfId="23871"/>
    <cellStyle name="Comma 2 5 3 6 5 8" xfId="27111"/>
    <cellStyle name="Comma 2 5 3 6 5 9" xfId="30444"/>
    <cellStyle name="Comma 2 5 3 6 6" xfId="10211"/>
    <cellStyle name="Comma 2 5 3 6 6 2" xfId="26011"/>
    <cellStyle name="Comma 2 5 3 6 6 2 2" xfId="45438"/>
    <cellStyle name="Comma 2 5 3 6 6 2 3" xfId="39015"/>
    <cellStyle name="Comma 2 5 3 6 6 3" xfId="28189"/>
    <cellStyle name="Comma 2 5 3 6 6 3 2" xfId="42231"/>
    <cellStyle name="Comma 2 5 3 6 6 4" xfId="31524"/>
    <cellStyle name="Comma 2 5 3 6 6 5" xfId="35807"/>
    <cellStyle name="Comma 2 5 3 6 7" xfId="15905"/>
    <cellStyle name="Comma 2 5 3 6 7 2" xfId="24920"/>
    <cellStyle name="Comma 2 5 3 6 7 2 2" xfId="44349"/>
    <cellStyle name="Comma 2 5 3 6 7 2 3" xfId="37926"/>
    <cellStyle name="Comma 2 5 3 6 7 3" xfId="29241"/>
    <cellStyle name="Comma 2 5 3 6 7 3 2" xfId="41142"/>
    <cellStyle name="Comma 2 5 3 6 7 4" xfId="32576"/>
    <cellStyle name="Comma 2 5 3 6 7 5" xfId="34718"/>
    <cellStyle name="Comma 2 5 3 6 8" xfId="8723"/>
    <cellStyle name="Comma 2 5 3 6 8 2" xfId="43296"/>
    <cellStyle name="Comma 2 5 3 6 8 3" xfId="36872"/>
    <cellStyle name="Comma 2 5 3 6 9" xfId="21712"/>
    <cellStyle name="Comma 2 5 3 6 9 2" xfId="40089"/>
    <cellStyle name="Comma 2 5 3 7" xfId="1446"/>
    <cellStyle name="Comma 2 5 3 7 10" xfId="33670"/>
    <cellStyle name="Comma 2 5 3 7 2" xfId="10216"/>
    <cellStyle name="Comma 2 5 3 7 2 2" xfId="26016"/>
    <cellStyle name="Comma 2 5 3 7 2 2 2" xfId="45443"/>
    <cellStyle name="Comma 2 5 3 7 2 2 3" xfId="39020"/>
    <cellStyle name="Comma 2 5 3 7 2 3" xfId="28194"/>
    <cellStyle name="Comma 2 5 3 7 2 3 2" xfId="42236"/>
    <cellStyle name="Comma 2 5 3 7 2 4" xfId="31529"/>
    <cellStyle name="Comma 2 5 3 7 2 5" xfId="35812"/>
    <cellStyle name="Comma 2 5 3 7 3" xfId="15910"/>
    <cellStyle name="Comma 2 5 3 7 3 2" xfId="24925"/>
    <cellStyle name="Comma 2 5 3 7 3 2 2" xfId="44354"/>
    <cellStyle name="Comma 2 5 3 7 3 2 3" xfId="37931"/>
    <cellStyle name="Comma 2 5 3 7 3 3" xfId="29246"/>
    <cellStyle name="Comma 2 5 3 7 3 3 2" xfId="41147"/>
    <cellStyle name="Comma 2 5 3 7 3 4" xfId="32581"/>
    <cellStyle name="Comma 2 5 3 7 3 5" xfId="34723"/>
    <cellStyle name="Comma 2 5 3 7 4" xfId="8728"/>
    <cellStyle name="Comma 2 5 3 7 4 2" xfId="43301"/>
    <cellStyle name="Comma 2 5 3 7 4 3" xfId="36877"/>
    <cellStyle name="Comma 2 5 3 7 5" xfId="21717"/>
    <cellStyle name="Comma 2 5 3 7 5 2" xfId="40094"/>
    <cellStyle name="Comma 2 5 3 7 6" xfId="22790"/>
    <cellStyle name="Comma 2 5 3 7 7" xfId="23872"/>
    <cellStyle name="Comma 2 5 3 7 8" xfId="27112"/>
    <cellStyle name="Comma 2 5 3 7 9" xfId="30445"/>
    <cellStyle name="Comma 2 5 3 8" xfId="1447"/>
    <cellStyle name="Comma 2 5 3 8 10" xfId="33671"/>
    <cellStyle name="Comma 2 5 3 8 2" xfId="10217"/>
    <cellStyle name="Comma 2 5 3 8 2 2" xfId="26017"/>
    <cellStyle name="Comma 2 5 3 8 2 2 2" xfId="45444"/>
    <cellStyle name="Comma 2 5 3 8 2 2 3" xfId="39021"/>
    <cellStyle name="Comma 2 5 3 8 2 3" xfId="28195"/>
    <cellStyle name="Comma 2 5 3 8 2 3 2" xfId="42237"/>
    <cellStyle name="Comma 2 5 3 8 2 4" xfId="31530"/>
    <cellStyle name="Comma 2 5 3 8 2 5" xfId="35813"/>
    <cellStyle name="Comma 2 5 3 8 3" xfId="15911"/>
    <cellStyle name="Comma 2 5 3 8 3 2" xfId="24926"/>
    <cellStyle name="Comma 2 5 3 8 3 2 2" xfId="44355"/>
    <cellStyle name="Comma 2 5 3 8 3 2 3" xfId="37932"/>
    <cellStyle name="Comma 2 5 3 8 3 3" xfId="29247"/>
    <cellStyle name="Comma 2 5 3 8 3 3 2" xfId="41148"/>
    <cellStyle name="Comma 2 5 3 8 3 4" xfId="32582"/>
    <cellStyle name="Comma 2 5 3 8 3 5" xfId="34724"/>
    <cellStyle name="Comma 2 5 3 8 4" xfId="8729"/>
    <cellStyle name="Comma 2 5 3 8 4 2" xfId="43302"/>
    <cellStyle name="Comma 2 5 3 8 4 3" xfId="36878"/>
    <cellStyle name="Comma 2 5 3 8 5" xfId="21718"/>
    <cellStyle name="Comma 2 5 3 8 5 2" xfId="40095"/>
    <cellStyle name="Comma 2 5 3 8 6" xfId="22791"/>
    <cellStyle name="Comma 2 5 3 8 7" xfId="23873"/>
    <cellStyle name="Comma 2 5 3 8 8" xfId="27113"/>
    <cellStyle name="Comma 2 5 3 8 9" xfId="30446"/>
    <cellStyle name="Comma 2 5 3 9" xfId="1448"/>
    <cellStyle name="Comma 2 5 3 9 10" xfId="33672"/>
    <cellStyle name="Comma 2 5 3 9 2" xfId="10218"/>
    <cellStyle name="Comma 2 5 3 9 2 2" xfId="26018"/>
    <cellStyle name="Comma 2 5 3 9 2 2 2" xfId="45445"/>
    <cellStyle name="Comma 2 5 3 9 2 2 3" xfId="39022"/>
    <cellStyle name="Comma 2 5 3 9 2 3" xfId="28196"/>
    <cellStyle name="Comma 2 5 3 9 2 3 2" xfId="42238"/>
    <cellStyle name="Comma 2 5 3 9 2 4" xfId="31531"/>
    <cellStyle name="Comma 2 5 3 9 2 5" xfId="35814"/>
    <cellStyle name="Comma 2 5 3 9 3" xfId="15912"/>
    <cellStyle name="Comma 2 5 3 9 3 2" xfId="24927"/>
    <cellStyle name="Comma 2 5 3 9 3 2 2" xfId="44356"/>
    <cellStyle name="Comma 2 5 3 9 3 2 3" xfId="37933"/>
    <cellStyle name="Comma 2 5 3 9 3 3" xfId="29248"/>
    <cellStyle name="Comma 2 5 3 9 3 3 2" xfId="41149"/>
    <cellStyle name="Comma 2 5 3 9 3 4" xfId="32583"/>
    <cellStyle name="Comma 2 5 3 9 3 5" xfId="34725"/>
    <cellStyle name="Comma 2 5 3 9 4" xfId="8730"/>
    <cellStyle name="Comma 2 5 3 9 4 2" xfId="43303"/>
    <cellStyle name="Comma 2 5 3 9 4 3" xfId="36879"/>
    <cellStyle name="Comma 2 5 3 9 5" xfId="21719"/>
    <cellStyle name="Comma 2 5 3 9 5 2" xfId="40096"/>
    <cellStyle name="Comma 2 5 3 9 6" xfId="22792"/>
    <cellStyle name="Comma 2 5 3 9 7" xfId="23874"/>
    <cellStyle name="Comma 2 5 3 9 8" xfId="27114"/>
    <cellStyle name="Comma 2 5 3 9 9" xfId="30447"/>
    <cellStyle name="Comma 2 5 4" xfId="293"/>
    <cellStyle name="Comma 2 5 4 10" xfId="1449"/>
    <cellStyle name="Comma 2 5 4 10 10" xfId="33673"/>
    <cellStyle name="Comma 2 5 4 10 2" xfId="10219"/>
    <cellStyle name="Comma 2 5 4 10 2 2" xfId="26019"/>
    <cellStyle name="Comma 2 5 4 10 2 2 2" xfId="45446"/>
    <cellStyle name="Comma 2 5 4 10 2 2 3" xfId="39023"/>
    <cellStyle name="Comma 2 5 4 10 2 3" xfId="28197"/>
    <cellStyle name="Comma 2 5 4 10 2 3 2" xfId="42239"/>
    <cellStyle name="Comma 2 5 4 10 2 4" xfId="31532"/>
    <cellStyle name="Comma 2 5 4 10 2 5" xfId="35815"/>
    <cellStyle name="Comma 2 5 4 10 3" xfId="15914"/>
    <cellStyle name="Comma 2 5 4 10 3 2" xfId="24929"/>
    <cellStyle name="Comma 2 5 4 10 3 2 2" xfId="44358"/>
    <cellStyle name="Comma 2 5 4 10 3 2 3" xfId="37935"/>
    <cellStyle name="Comma 2 5 4 10 3 3" xfId="29250"/>
    <cellStyle name="Comma 2 5 4 10 3 3 2" xfId="41151"/>
    <cellStyle name="Comma 2 5 4 10 3 4" xfId="32585"/>
    <cellStyle name="Comma 2 5 4 10 3 5" xfId="34727"/>
    <cellStyle name="Comma 2 5 4 10 4" xfId="8732"/>
    <cellStyle name="Comma 2 5 4 10 4 2" xfId="43304"/>
    <cellStyle name="Comma 2 5 4 10 4 3" xfId="36880"/>
    <cellStyle name="Comma 2 5 4 10 5" xfId="21721"/>
    <cellStyle name="Comma 2 5 4 10 5 2" xfId="40097"/>
    <cellStyle name="Comma 2 5 4 10 6" xfId="22794"/>
    <cellStyle name="Comma 2 5 4 10 7" xfId="23875"/>
    <cellStyle name="Comma 2 5 4 10 8" xfId="27116"/>
    <cellStyle name="Comma 2 5 4 10 9" xfId="30449"/>
    <cellStyle name="Comma 2 5 4 11" xfId="9149"/>
    <cellStyle name="Comma 2 5 4 11 2" xfId="25203"/>
    <cellStyle name="Comma 2 5 4 11 2 2" xfId="44630"/>
    <cellStyle name="Comma 2 5 4 11 2 3" xfId="38207"/>
    <cellStyle name="Comma 2 5 4 11 3" xfId="27382"/>
    <cellStyle name="Comma 2 5 4 11 3 2" xfId="41423"/>
    <cellStyle name="Comma 2 5 4 11 4" xfId="30717"/>
    <cellStyle name="Comma 2 5 4 11 5" xfId="34999"/>
    <cellStyle name="Comma 2 5 4 12" xfId="15913"/>
    <cellStyle name="Comma 2 5 4 12 2" xfId="24928"/>
    <cellStyle name="Comma 2 5 4 12 2 2" xfId="44357"/>
    <cellStyle name="Comma 2 5 4 12 2 3" xfId="37934"/>
    <cellStyle name="Comma 2 5 4 12 3" xfId="29249"/>
    <cellStyle name="Comma 2 5 4 12 3 2" xfId="41150"/>
    <cellStyle name="Comma 2 5 4 12 4" xfId="32584"/>
    <cellStyle name="Comma 2 5 4 12 5" xfId="34726"/>
    <cellStyle name="Comma 2 5 4 13" xfId="8731"/>
    <cellStyle name="Comma 2 5 4 13 2" xfId="42493"/>
    <cellStyle name="Comma 2 5 4 13 3" xfId="36069"/>
    <cellStyle name="Comma 2 5 4 14" xfId="21720"/>
    <cellStyle name="Comma 2 5 4 14 2" xfId="39286"/>
    <cellStyle name="Comma 2 5 4 15" xfId="22793"/>
    <cellStyle name="Comma 2 5 4 16" xfId="23064"/>
    <cellStyle name="Comma 2 5 4 17" xfId="27115"/>
    <cellStyle name="Comma 2 5 4 18" xfId="30448"/>
    <cellStyle name="Comma 2 5 4 19" xfId="32862"/>
    <cellStyle name="Comma 2 5 4 2" xfId="294"/>
    <cellStyle name="Comma 2 5 4 2 10" xfId="15915"/>
    <cellStyle name="Comma 2 5 4 2 10 2" xfId="24930"/>
    <cellStyle name="Comma 2 5 4 2 10 2 2" xfId="44359"/>
    <cellStyle name="Comma 2 5 4 2 10 2 3" xfId="37936"/>
    <cellStyle name="Comma 2 5 4 2 10 3" xfId="29251"/>
    <cellStyle name="Comma 2 5 4 2 10 3 2" xfId="41152"/>
    <cellStyle name="Comma 2 5 4 2 10 4" xfId="32586"/>
    <cellStyle name="Comma 2 5 4 2 10 5" xfId="34728"/>
    <cellStyle name="Comma 2 5 4 2 11" xfId="8733"/>
    <cellStyle name="Comma 2 5 4 2 11 2" xfId="42494"/>
    <cellStyle name="Comma 2 5 4 2 11 3" xfId="36070"/>
    <cellStyle name="Comma 2 5 4 2 12" xfId="21722"/>
    <cellStyle name="Comma 2 5 4 2 12 2" xfId="39287"/>
    <cellStyle name="Comma 2 5 4 2 13" xfId="22795"/>
    <cellStyle name="Comma 2 5 4 2 14" xfId="23065"/>
    <cellStyle name="Comma 2 5 4 2 15" xfId="27117"/>
    <cellStyle name="Comma 2 5 4 2 16" xfId="30450"/>
    <cellStyle name="Comma 2 5 4 2 17" xfId="32863"/>
    <cellStyle name="Comma 2 5 4 2 2" xfId="295"/>
    <cellStyle name="Comma 2 5 4 2 2 10" xfId="21723"/>
    <cellStyle name="Comma 2 5 4 2 2 10 2" xfId="39288"/>
    <cellStyle name="Comma 2 5 4 2 2 11" xfId="22796"/>
    <cellStyle name="Comma 2 5 4 2 2 12" xfId="23066"/>
    <cellStyle name="Comma 2 5 4 2 2 13" xfId="27118"/>
    <cellStyle name="Comma 2 5 4 2 2 14" xfId="30451"/>
    <cellStyle name="Comma 2 5 4 2 2 15" xfId="32864"/>
    <cellStyle name="Comma 2 5 4 2 2 2" xfId="1450"/>
    <cellStyle name="Comma 2 5 4 2 2 2 10" xfId="33674"/>
    <cellStyle name="Comma 2 5 4 2 2 2 2" xfId="10220"/>
    <cellStyle name="Comma 2 5 4 2 2 2 2 2" xfId="26020"/>
    <cellStyle name="Comma 2 5 4 2 2 2 2 2 2" xfId="45447"/>
    <cellStyle name="Comma 2 5 4 2 2 2 2 2 3" xfId="39024"/>
    <cellStyle name="Comma 2 5 4 2 2 2 2 3" xfId="28198"/>
    <cellStyle name="Comma 2 5 4 2 2 2 2 3 2" xfId="42240"/>
    <cellStyle name="Comma 2 5 4 2 2 2 2 4" xfId="31533"/>
    <cellStyle name="Comma 2 5 4 2 2 2 2 5" xfId="35816"/>
    <cellStyle name="Comma 2 5 4 2 2 2 3" xfId="15917"/>
    <cellStyle name="Comma 2 5 4 2 2 2 3 2" xfId="24932"/>
    <cellStyle name="Comma 2 5 4 2 2 2 3 2 2" xfId="44361"/>
    <cellStyle name="Comma 2 5 4 2 2 2 3 2 3" xfId="37938"/>
    <cellStyle name="Comma 2 5 4 2 2 2 3 3" xfId="29253"/>
    <cellStyle name="Comma 2 5 4 2 2 2 3 3 2" xfId="41154"/>
    <cellStyle name="Comma 2 5 4 2 2 2 3 4" xfId="32588"/>
    <cellStyle name="Comma 2 5 4 2 2 2 3 5" xfId="34730"/>
    <cellStyle name="Comma 2 5 4 2 2 2 4" xfId="8735"/>
    <cellStyle name="Comma 2 5 4 2 2 2 4 2" xfId="43305"/>
    <cellStyle name="Comma 2 5 4 2 2 2 4 3" xfId="36881"/>
    <cellStyle name="Comma 2 5 4 2 2 2 5" xfId="21724"/>
    <cellStyle name="Comma 2 5 4 2 2 2 5 2" xfId="40098"/>
    <cellStyle name="Comma 2 5 4 2 2 2 6" xfId="22797"/>
    <cellStyle name="Comma 2 5 4 2 2 2 7" xfId="23876"/>
    <cellStyle name="Comma 2 5 4 2 2 2 8" xfId="27119"/>
    <cellStyle name="Comma 2 5 4 2 2 2 9" xfId="30452"/>
    <cellStyle name="Comma 2 5 4 2 2 3" xfId="1451"/>
    <cellStyle name="Comma 2 5 4 2 2 3 10" xfId="33675"/>
    <cellStyle name="Comma 2 5 4 2 2 3 2" xfId="10221"/>
    <cellStyle name="Comma 2 5 4 2 2 3 2 2" xfId="26021"/>
    <cellStyle name="Comma 2 5 4 2 2 3 2 2 2" xfId="45448"/>
    <cellStyle name="Comma 2 5 4 2 2 3 2 2 3" xfId="39025"/>
    <cellStyle name="Comma 2 5 4 2 2 3 2 3" xfId="28199"/>
    <cellStyle name="Comma 2 5 4 2 2 3 2 3 2" xfId="42241"/>
    <cellStyle name="Comma 2 5 4 2 2 3 2 4" xfId="31534"/>
    <cellStyle name="Comma 2 5 4 2 2 3 2 5" xfId="35817"/>
    <cellStyle name="Comma 2 5 4 2 2 3 3" xfId="15918"/>
    <cellStyle name="Comma 2 5 4 2 2 3 3 2" xfId="24933"/>
    <cellStyle name="Comma 2 5 4 2 2 3 3 2 2" xfId="44362"/>
    <cellStyle name="Comma 2 5 4 2 2 3 3 2 3" xfId="37939"/>
    <cellStyle name="Comma 2 5 4 2 2 3 3 3" xfId="29254"/>
    <cellStyle name="Comma 2 5 4 2 2 3 3 3 2" xfId="41155"/>
    <cellStyle name="Comma 2 5 4 2 2 3 3 4" xfId="32589"/>
    <cellStyle name="Comma 2 5 4 2 2 3 3 5" xfId="34731"/>
    <cellStyle name="Comma 2 5 4 2 2 3 4" xfId="8736"/>
    <cellStyle name="Comma 2 5 4 2 2 3 4 2" xfId="43306"/>
    <cellStyle name="Comma 2 5 4 2 2 3 4 3" xfId="36882"/>
    <cellStyle name="Comma 2 5 4 2 2 3 5" xfId="21725"/>
    <cellStyle name="Comma 2 5 4 2 2 3 5 2" xfId="40099"/>
    <cellStyle name="Comma 2 5 4 2 2 3 6" xfId="22798"/>
    <cellStyle name="Comma 2 5 4 2 2 3 7" xfId="23877"/>
    <cellStyle name="Comma 2 5 4 2 2 3 8" xfId="27120"/>
    <cellStyle name="Comma 2 5 4 2 2 3 9" xfId="30453"/>
    <cellStyle name="Comma 2 5 4 2 2 4" xfId="1452"/>
    <cellStyle name="Comma 2 5 4 2 2 4 10" xfId="33676"/>
    <cellStyle name="Comma 2 5 4 2 2 4 2" xfId="10222"/>
    <cellStyle name="Comma 2 5 4 2 2 4 2 2" xfId="26022"/>
    <cellStyle name="Comma 2 5 4 2 2 4 2 2 2" xfId="45449"/>
    <cellStyle name="Comma 2 5 4 2 2 4 2 2 3" xfId="39026"/>
    <cellStyle name="Comma 2 5 4 2 2 4 2 3" xfId="28200"/>
    <cellStyle name="Comma 2 5 4 2 2 4 2 3 2" xfId="42242"/>
    <cellStyle name="Comma 2 5 4 2 2 4 2 4" xfId="31535"/>
    <cellStyle name="Comma 2 5 4 2 2 4 2 5" xfId="35818"/>
    <cellStyle name="Comma 2 5 4 2 2 4 3" xfId="15919"/>
    <cellStyle name="Comma 2 5 4 2 2 4 3 2" xfId="24934"/>
    <cellStyle name="Comma 2 5 4 2 2 4 3 2 2" xfId="44363"/>
    <cellStyle name="Comma 2 5 4 2 2 4 3 2 3" xfId="37940"/>
    <cellStyle name="Comma 2 5 4 2 2 4 3 3" xfId="29255"/>
    <cellStyle name="Comma 2 5 4 2 2 4 3 3 2" xfId="41156"/>
    <cellStyle name="Comma 2 5 4 2 2 4 3 4" xfId="32590"/>
    <cellStyle name="Comma 2 5 4 2 2 4 3 5" xfId="34732"/>
    <cellStyle name="Comma 2 5 4 2 2 4 4" xfId="8737"/>
    <cellStyle name="Comma 2 5 4 2 2 4 4 2" xfId="43307"/>
    <cellStyle name="Comma 2 5 4 2 2 4 4 3" xfId="36883"/>
    <cellStyle name="Comma 2 5 4 2 2 4 5" xfId="21726"/>
    <cellStyle name="Comma 2 5 4 2 2 4 5 2" xfId="40100"/>
    <cellStyle name="Comma 2 5 4 2 2 4 6" xfId="22799"/>
    <cellStyle name="Comma 2 5 4 2 2 4 7" xfId="23878"/>
    <cellStyle name="Comma 2 5 4 2 2 4 8" xfId="27121"/>
    <cellStyle name="Comma 2 5 4 2 2 4 9" xfId="30454"/>
    <cellStyle name="Comma 2 5 4 2 2 5" xfId="1453"/>
    <cellStyle name="Comma 2 5 4 2 2 5 10" xfId="33677"/>
    <cellStyle name="Comma 2 5 4 2 2 5 2" xfId="10223"/>
    <cellStyle name="Comma 2 5 4 2 2 5 2 2" xfId="26023"/>
    <cellStyle name="Comma 2 5 4 2 2 5 2 2 2" xfId="45450"/>
    <cellStyle name="Comma 2 5 4 2 2 5 2 2 3" xfId="39027"/>
    <cellStyle name="Comma 2 5 4 2 2 5 2 3" xfId="28201"/>
    <cellStyle name="Comma 2 5 4 2 2 5 2 3 2" xfId="42243"/>
    <cellStyle name="Comma 2 5 4 2 2 5 2 4" xfId="31536"/>
    <cellStyle name="Comma 2 5 4 2 2 5 2 5" xfId="35819"/>
    <cellStyle name="Comma 2 5 4 2 2 5 3" xfId="15920"/>
    <cellStyle name="Comma 2 5 4 2 2 5 3 2" xfId="24935"/>
    <cellStyle name="Comma 2 5 4 2 2 5 3 2 2" xfId="44364"/>
    <cellStyle name="Comma 2 5 4 2 2 5 3 2 3" xfId="37941"/>
    <cellStyle name="Comma 2 5 4 2 2 5 3 3" xfId="29256"/>
    <cellStyle name="Comma 2 5 4 2 2 5 3 3 2" xfId="41157"/>
    <cellStyle name="Comma 2 5 4 2 2 5 3 4" xfId="32591"/>
    <cellStyle name="Comma 2 5 4 2 2 5 3 5" xfId="34733"/>
    <cellStyle name="Comma 2 5 4 2 2 5 4" xfId="8738"/>
    <cellStyle name="Comma 2 5 4 2 2 5 4 2" xfId="43308"/>
    <cellStyle name="Comma 2 5 4 2 2 5 4 3" xfId="36884"/>
    <cellStyle name="Comma 2 5 4 2 2 5 5" xfId="21727"/>
    <cellStyle name="Comma 2 5 4 2 2 5 5 2" xfId="40101"/>
    <cellStyle name="Comma 2 5 4 2 2 5 6" xfId="22800"/>
    <cellStyle name="Comma 2 5 4 2 2 5 7" xfId="23879"/>
    <cellStyle name="Comma 2 5 4 2 2 5 8" xfId="27122"/>
    <cellStyle name="Comma 2 5 4 2 2 5 9" xfId="30455"/>
    <cellStyle name="Comma 2 5 4 2 2 6" xfId="1454"/>
    <cellStyle name="Comma 2 5 4 2 2 6 10" xfId="33678"/>
    <cellStyle name="Comma 2 5 4 2 2 6 2" xfId="10224"/>
    <cellStyle name="Comma 2 5 4 2 2 6 2 2" xfId="26024"/>
    <cellStyle name="Comma 2 5 4 2 2 6 2 2 2" xfId="45451"/>
    <cellStyle name="Comma 2 5 4 2 2 6 2 2 3" xfId="39028"/>
    <cellStyle name="Comma 2 5 4 2 2 6 2 3" xfId="28202"/>
    <cellStyle name="Comma 2 5 4 2 2 6 2 3 2" xfId="42244"/>
    <cellStyle name="Comma 2 5 4 2 2 6 2 4" xfId="31537"/>
    <cellStyle name="Comma 2 5 4 2 2 6 2 5" xfId="35820"/>
    <cellStyle name="Comma 2 5 4 2 2 6 3" xfId="15921"/>
    <cellStyle name="Comma 2 5 4 2 2 6 3 2" xfId="24936"/>
    <cellStyle name="Comma 2 5 4 2 2 6 3 2 2" xfId="44365"/>
    <cellStyle name="Comma 2 5 4 2 2 6 3 2 3" xfId="37942"/>
    <cellStyle name="Comma 2 5 4 2 2 6 3 3" xfId="29257"/>
    <cellStyle name="Comma 2 5 4 2 2 6 3 3 2" xfId="41158"/>
    <cellStyle name="Comma 2 5 4 2 2 6 3 4" xfId="32592"/>
    <cellStyle name="Comma 2 5 4 2 2 6 3 5" xfId="34734"/>
    <cellStyle name="Comma 2 5 4 2 2 6 4" xfId="8739"/>
    <cellStyle name="Comma 2 5 4 2 2 6 4 2" xfId="43309"/>
    <cellStyle name="Comma 2 5 4 2 2 6 4 3" xfId="36885"/>
    <cellStyle name="Comma 2 5 4 2 2 6 5" xfId="21728"/>
    <cellStyle name="Comma 2 5 4 2 2 6 5 2" xfId="40102"/>
    <cellStyle name="Comma 2 5 4 2 2 6 6" xfId="22801"/>
    <cellStyle name="Comma 2 5 4 2 2 6 7" xfId="23880"/>
    <cellStyle name="Comma 2 5 4 2 2 6 8" xfId="27123"/>
    <cellStyle name="Comma 2 5 4 2 2 6 9" xfId="30456"/>
    <cellStyle name="Comma 2 5 4 2 2 7" xfId="9151"/>
    <cellStyle name="Comma 2 5 4 2 2 7 2" xfId="25205"/>
    <cellStyle name="Comma 2 5 4 2 2 7 2 2" xfId="44632"/>
    <cellStyle name="Comma 2 5 4 2 2 7 2 3" xfId="38209"/>
    <cellStyle name="Comma 2 5 4 2 2 7 3" xfId="27384"/>
    <cellStyle name="Comma 2 5 4 2 2 7 3 2" xfId="41425"/>
    <cellStyle name="Comma 2 5 4 2 2 7 4" xfId="30719"/>
    <cellStyle name="Comma 2 5 4 2 2 7 5" xfId="35001"/>
    <cellStyle name="Comma 2 5 4 2 2 8" xfId="15916"/>
    <cellStyle name="Comma 2 5 4 2 2 8 2" xfId="24931"/>
    <cellStyle name="Comma 2 5 4 2 2 8 2 2" xfId="44360"/>
    <cellStyle name="Comma 2 5 4 2 2 8 2 3" xfId="37937"/>
    <cellStyle name="Comma 2 5 4 2 2 8 3" xfId="29252"/>
    <cellStyle name="Comma 2 5 4 2 2 8 3 2" xfId="41153"/>
    <cellStyle name="Comma 2 5 4 2 2 8 4" xfId="32587"/>
    <cellStyle name="Comma 2 5 4 2 2 8 5" xfId="34729"/>
    <cellStyle name="Comma 2 5 4 2 2 9" xfId="8734"/>
    <cellStyle name="Comma 2 5 4 2 2 9 2" xfId="42495"/>
    <cellStyle name="Comma 2 5 4 2 2 9 3" xfId="36071"/>
    <cellStyle name="Comma 2 5 4 2 3" xfId="1455"/>
    <cellStyle name="Comma 2 5 4 2 3 10" xfId="22802"/>
    <cellStyle name="Comma 2 5 4 2 3 11" xfId="23881"/>
    <cellStyle name="Comma 2 5 4 2 3 12" xfId="27124"/>
    <cellStyle name="Comma 2 5 4 2 3 13" xfId="30457"/>
    <cellStyle name="Comma 2 5 4 2 3 14" xfId="33679"/>
    <cellStyle name="Comma 2 5 4 2 3 2" xfId="1456"/>
    <cellStyle name="Comma 2 5 4 2 3 2 10" xfId="33680"/>
    <cellStyle name="Comma 2 5 4 2 3 2 2" xfId="10226"/>
    <cellStyle name="Comma 2 5 4 2 3 2 2 2" xfId="26026"/>
    <cellStyle name="Comma 2 5 4 2 3 2 2 2 2" xfId="45453"/>
    <cellStyle name="Comma 2 5 4 2 3 2 2 2 3" xfId="39030"/>
    <cellStyle name="Comma 2 5 4 2 3 2 2 3" xfId="28204"/>
    <cellStyle name="Comma 2 5 4 2 3 2 2 3 2" xfId="42246"/>
    <cellStyle name="Comma 2 5 4 2 3 2 2 4" xfId="31539"/>
    <cellStyle name="Comma 2 5 4 2 3 2 2 5" xfId="35822"/>
    <cellStyle name="Comma 2 5 4 2 3 2 3" xfId="15923"/>
    <cellStyle name="Comma 2 5 4 2 3 2 3 2" xfId="24938"/>
    <cellStyle name="Comma 2 5 4 2 3 2 3 2 2" xfId="44367"/>
    <cellStyle name="Comma 2 5 4 2 3 2 3 2 3" xfId="37944"/>
    <cellStyle name="Comma 2 5 4 2 3 2 3 3" xfId="29259"/>
    <cellStyle name="Comma 2 5 4 2 3 2 3 3 2" xfId="41160"/>
    <cellStyle name="Comma 2 5 4 2 3 2 3 4" xfId="32594"/>
    <cellStyle name="Comma 2 5 4 2 3 2 3 5" xfId="34736"/>
    <cellStyle name="Comma 2 5 4 2 3 2 4" xfId="8741"/>
    <cellStyle name="Comma 2 5 4 2 3 2 4 2" xfId="43311"/>
    <cellStyle name="Comma 2 5 4 2 3 2 4 3" xfId="36887"/>
    <cellStyle name="Comma 2 5 4 2 3 2 5" xfId="21730"/>
    <cellStyle name="Comma 2 5 4 2 3 2 5 2" xfId="40104"/>
    <cellStyle name="Comma 2 5 4 2 3 2 6" xfId="22803"/>
    <cellStyle name="Comma 2 5 4 2 3 2 7" xfId="23882"/>
    <cellStyle name="Comma 2 5 4 2 3 2 8" xfId="27125"/>
    <cellStyle name="Comma 2 5 4 2 3 2 9" xfId="30458"/>
    <cellStyle name="Comma 2 5 4 2 3 3" xfId="1457"/>
    <cellStyle name="Comma 2 5 4 2 3 3 10" xfId="33681"/>
    <cellStyle name="Comma 2 5 4 2 3 3 2" xfId="10227"/>
    <cellStyle name="Comma 2 5 4 2 3 3 2 2" xfId="26027"/>
    <cellStyle name="Comma 2 5 4 2 3 3 2 2 2" xfId="45454"/>
    <cellStyle name="Comma 2 5 4 2 3 3 2 2 3" xfId="39031"/>
    <cellStyle name="Comma 2 5 4 2 3 3 2 3" xfId="28205"/>
    <cellStyle name="Comma 2 5 4 2 3 3 2 3 2" xfId="42247"/>
    <cellStyle name="Comma 2 5 4 2 3 3 2 4" xfId="31540"/>
    <cellStyle name="Comma 2 5 4 2 3 3 2 5" xfId="35823"/>
    <cellStyle name="Comma 2 5 4 2 3 3 3" xfId="15924"/>
    <cellStyle name="Comma 2 5 4 2 3 3 3 2" xfId="24939"/>
    <cellStyle name="Comma 2 5 4 2 3 3 3 2 2" xfId="44368"/>
    <cellStyle name="Comma 2 5 4 2 3 3 3 2 3" xfId="37945"/>
    <cellStyle name="Comma 2 5 4 2 3 3 3 3" xfId="29260"/>
    <cellStyle name="Comma 2 5 4 2 3 3 3 3 2" xfId="41161"/>
    <cellStyle name="Comma 2 5 4 2 3 3 3 4" xfId="32595"/>
    <cellStyle name="Comma 2 5 4 2 3 3 3 5" xfId="34737"/>
    <cellStyle name="Comma 2 5 4 2 3 3 4" xfId="8742"/>
    <cellStyle name="Comma 2 5 4 2 3 3 4 2" xfId="43312"/>
    <cellStyle name="Comma 2 5 4 2 3 3 4 3" xfId="36888"/>
    <cellStyle name="Comma 2 5 4 2 3 3 5" xfId="21731"/>
    <cellStyle name="Comma 2 5 4 2 3 3 5 2" xfId="40105"/>
    <cellStyle name="Comma 2 5 4 2 3 3 6" xfId="22804"/>
    <cellStyle name="Comma 2 5 4 2 3 3 7" xfId="23883"/>
    <cellStyle name="Comma 2 5 4 2 3 3 8" xfId="27126"/>
    <cellStyle name="Comma 2 5 4 2 3 3 9" xfId="30459"/>
    <cellStyle name="Comma 2 5 4 2 3 4" xfId="1458"/>
    <cellStyle name="Comma 2 5 4 2 3 4 10" xfId="33682"/>
    <cellStyle name="Comma 2 5 4 2 3 4 2" xfId="10228"/>
    <cellStyle name="Comma 2 5 4 2 3 4 2 2" xfId="26028"/>
    <cellStyle name="Comma 2 5 4 2 3 4 2 2 2" xfId="45455"/>
    <cellStyle name="Comma 2 5 4 2 3 4 2 2 3" xfId="39032"/>
    <cellStyle name="Comma 2 5 4 2 3 4 2 3" xfId="28206"/>
    <cellStyle name="Comma 2 5 4 2 3 4 2 3 2" xfId="42248"/>
    <cellStyle name="Comma 2 5 4 2 3 4 2 4" xfId="31541"/>
    <cellStyle name="Comma 2 5 4 2 3 4 2 5" xfId="35824"/>
    <cellStyle name="Comma 2 5 4 2 3 4 3" xfId="15925"/>
    <cellStyle name="Comma 2 5 4 2 3 4 3 2" xfId="24940"/>
    <cellStyle name="Comma 2 5 4 2 3 4 3 2 2" xfId="44369"/>
    <cellStyle name="Comma 2 5 4 2 3 4 3 2 3" xfId="37946"/>
    <cellStyle name="Comma 2 5 4 2 3 4 3 3" xfId="29261"/>
    <cellStyle name="Comma 2 5 4 2 3 4 3 3 2" xfId="41162"/>
    <cellStyle name="Comma 2 5 4 2 3 4 3 4" xfId="32596"/>
    <cellStyle name="Comma 2 5 4 2 3 4 3 5" xfId="34738"/>
    <cellStyle name="Comma 2 5 4 2 3 4 4" xfId="8743"/>
    <cellStyle name="Comma 2 5 4 2 3 4 4 2" xfId="43313"/>
    <cellStyle name="Comma 2 5 4 2 3 4 4 3" xfId="36889"/>
    <cellStyle name="Comma 2 5 4 2 3 4 5" xfId="21732"/>
    <cellStyle name="Comma 2 5 4 2 3 4 5 2" xfId="40106"/>
    <cellStyle name="Comma 2 5 4 2 3 4 6" xfId="22805"/>
    <cellStyle name="Comma 2 5 4 2 3 4 7" xfId="23884"/>
    <cellStyle name="Comma 2 5 4 2 3 4 8" xfId="27127"/>
    <cellStyle name="Comma 2 5 4 2 3 4 9" xfId="30460"/>
    <cellStyle name="Comma 2 5 4 2 3 5" xfId="1459"/>
    <cellStyle name="Comma 2 5 4 2 3 5 10" xfId="33683"/>
    <cellStyle name="Comma 2 5 4 2 3 5 2" xfId="10229"/>
    <cellStyle name="Comma 2 5 4 2 3 5 2 2" xfId="26029"/>
    <cellStyle name="Comma 2 5 4 2 3 5 2 2 2" xfId="45456"/>
    <cellStyle name="Comma 2 5 4 2 3 5 2 2 3" xfId="39033"/>
    <cellStyle name="Comma 2 5 4 2 3 5 2 3" xfId="28207"/>
    <cellStyle name="Comma 2 5 4 2 3 5 2 3 2" xfId="42249"/>
    <cellStyle name="Comma 2 5 4 2 3 5 2 4" xfId="31542"/>
    <cellStyle name="Comma 2 5 4 2 3 5 2 5" xfId="35825"/>
    <cellStyle name="Comma 2 5 4 2 3 5 3" xfId="15926"/>
    <cellStyle name="Comma 2 5 4 2 3 5 3 2" xfId="24941"/>
    <cellStyle name="Comma 2 5 4 2 3 5 3 2 2" xfId="44370"/>
    <cellStyle name="Comma 2 5 4 2 3 5 3 2 3" xfId="37947"/>
    <cellStyle name="Comma 2 5 4 2 3 5 3 3" xfId="29262"/>
    <cellStyle name="Comma 2 5 4 2 3 5 3 3 2" xfId="41163"/>
    <cellStyle name="Comma 2 5 4 2 3 5 3 4" xfId="32597"/>
    <cellStyle name="Comma 2 5 4 2 3 5 3 5" xfId="34739"/>
    <cellStyle name="Comma 2 5 4 2 3 5 4" xfId="8744"/>
    <cellStyle name="Comma 2 5 4 2 3 5 4 2" xfId="43314"/>
    <cellStyle name="Comma 2 5 4 2 3 5 4 3" xfId="36890"/>
    <cellStyle name="Comma 2 5 4 2 3 5 5" xfId="21733"/>
    <cellStyle name="Comma 2 5 4 2 3 5 5 2" xfId="40107"/>
    <cellStyle name="Comma 2 5 4 2 3 5 6" xfId="22806"/>
    <cellStyle name="Comma 2 5 4 2 3 5 7" xfId="23885"/>
    <cellStyle name="Comma 2 5 4 2 3 5 8" xfId="27128"/>
    <cellStyle name="Comma 2 5 4 2 3 5 9" xfId="30461"/>
    <cellStyle name="Comma 2 5 4 2 3 6" xfId="10225"/>
    <cellStyle name="Comma 2 5 4 2 3 6 2" xfId="26025"/>
    <cellStyle name="Comma 2 5 4 2 3 6 2 2" xfId="45452"/>
    <cellStyle name="Comma 2 5 4 2 3 6 2 3" xfId="39029"/>
    <cellStyle name="Comma 2 5 4 2 3 6 3" xfId="28203"/>
    <cellStyle name="Comma 2 5 4 2 3 6 3 2" xfId="42245"/>
    <cellStyle name="Comma 2 5 4 2 3 6 4" xfId="31538"/>
    <cellStyle name="Comma 2 5 4 2 3 6 5" xfId="35821"/>
    <cellStyle name="Comma 2 5 4 2 3 7" xfId="15922"/>
    <cellStyle name="Comma 2 5 4 2 3 7 2" xfId="24937"/>
    <cellStyle name="Comma 2 5 4 2 3 7 2 2" xfId="44366"/>
    <cellStyle name="Comma 2 5 4 2 3 7 2 3" xfId="37943"/>
    <cellStyle name="Comma 2 5 4 2 3 7 3" xfId="29258"/>
    <cellStyle name="Comma 2 5 4 2 3 7 3 2" xfId="41159"/>
    <cellStyle name="Comma 2 5 4 2 3 7 4" xfId="32593"/>
    <cellStyle name="Comma 2 5 4 2 3 7 5" xfId="34735"/>
    <cellStyle name="Comma 2 5 4 2 3 8" xfId="8740"/>
    <cellStyle name="Comma 2 5 4 2 3 8 2" xfId="43310"/>
    <cellStyle name="Comma 2 5 4 2 3 8 3" xfId="36886"/>
    <cellStyle name="Comma 2 5 4 2 3 9" xfId="21729"/>
    <cellStyle name="Comma 2 5 4 2 3 9 2" xfId="40103"/>
    <cellStyle name="Comma 2 5 4 2 4" xfId="1460"/>
    <cellStyle name="Comma 2 5 4 2 4 10" xfId="33684"/>
    <cellStyle name="Comma 2 5 4 2 4 2" xfId="10230"/>
    <cellStyle name="Comma 2 5 4 2 4 2 2" xfId="26030"/>
    <cellStyle name="Comma 2 5 4 2 4 2 2 2" xfId="45457"/>
    <cellStyle name="Comma 2 5 4 2 4 2 2 3" xfId="39034"/>
    <cellStyle name="Comma 2 5 4 2 4 2 3" xfId="28208"/>
    <cellStyle name="Comma 2 5 4 2 4 2 3 2" xfId="42250"/>
    <cellStyle name="Comma 2 5 4 2 4 2 4" xfId="31543"/>
    <cellStyle name="Comma 2 5 4 2 4 2 5" xfId="35826"/>
    <cellStyle name="Comma 2 5 4 2 4 3" xfId="15927"/>
    <cellStyle name="Comma 2 5 4 2 4 3 2" xfId="24942"/>
    <cellStyle name="Comma 2 5 4 2 4 3 2 2" xfId="44371"/>
    <cellStyle name="Comma 2 5 4 2 4 3 2 3" xfId="37948"/>
    <cellStyle name="Comma 2 5 4 2 4 3 3" xfId="29263"/>
    <cellStyle name="Comma 2 5 4 2 4 3 3 2" xfId="41164"/>
    <cellStyle name="Comma 2 5 4 2 4 3 4" xfId="32598"/>
    <cellStyle name="Comma 2 5 4 2 4 3 5" xfId="34740"/>
    <cellStyle name="Comma 2 5 4 2 4 4" xfId="8745"/>
    <cellStyle name="Comma 2 5 4 2 4 4 2" xfId="43315"/>
    <cellStyle name="Comma 2 5 4 2 4 4 3" xfId="36891"/>
    <cellStyle name="Comma 2 5 4 2 4 5" xfId="21734"/>
    <cellStyle name="Comma 2 5 4 2 4 5 2" xfId="40108"/>
    <cellStyle name="Comma 2 5 4 2 4 6" xfId="22807"/>
    <cellStyle name="Comma 2 5 4 2 4 7" xfId="23886"/>
    <cellStyle name="Comma 2 5 4 2 4 8" xfId="27129"/>
    <cellStyle name="Comma 2 5 4 2 4 9" xfId="30462"/>
    <cellStyle name="Comma 2 5 4 2 5" xfId="1461"/>
    <cellStyle name="Comma 2 5 4 2 5 10" xfId="33685"/>
    <cellStyle name="Comma 2 5 4 2 5 2" xfId="10231"/>
    <cellStyle name="Comma 2 5 4 2 5 2 2" xfId="26031"/>
    <cellStyle name="Comma 2 5 4 2 5 2 2 2" xfId="45458"/>
    <cellStyle name="Comma 2 5 4 2 5 2 2 3" xfId="39035"/>
    <cellStyle name="Comma 2 5 4 2 5 2 3" xfId="28209"/>
    <cellStyle name="Comma 2 5 4 2 5 2 3 2" xfId="42251"/>
    <cellStyle name="Comma 2 5 4 2 5 2 4" xfId="31544"/>
    <cellStyle name="Comma 2 5 4 2 5 2 5" xfId="35827"/>
    <cellStyle name="Comma 2 5 4 2 5 3" xfId="15928"/>
    <cellStyle name="Comma 2 5 4 2 5 3 2" xfId="24943"/>
    <cellStyle name="Comma 2 5 4 2 5 3 2 2" xfId="44372"/>
    <cellStyle name="Comma 2 5 4 2 5 3 2 3" xfId="37949"/>
    <cellStyle name="Comma 2 5 4 2 5 3 3" xfId="29264"/>
    <cellStyle name="Comma 2 5 4 2 5 3 3 2" xfId="41165"/>
    <cellStyle name="Comma 2 5 4 2 5 3 4" xfId="32599"/>
    <cellStyle name="Comma 2 5 4 2 5 3 5" xfId="34741"/>
    <cellStyle name="Comma 2 5 4 2 5 4" xfId="8746"/>
    <cellStyle name="Comma 2 5 4 2 5 4 2" xfId="43316"/>
    <cellStyle name="Comma 2 5 4 2 5 4 3" xfId="36892"/>
    <cellStyle name="Comma 2 5 4 2 5 5" xfId="21735"/>
    <cellStyle name="Comma 2 5 4 2 5 5 2" xfId="40109"/>
    <cellStyle name="Comma 2 5 4 2 5 6" xfId="22808"/>
    <cellStyle name="Comma 2 5 4 2 5 7" xfId="23887"/>
    <cellStyle name="Comma 2 5 4 2 5 8" xfId="27130"/>
    <cellStyle name="Comma 2 5 4 2 5 9" xfId="30463"/>
    <cellStyle name="Comma 2 5 4 2 6" xfId="1462"/>
    <cellStyle name="Comma 2 5 4 2 6 10" xfId="33686"/>
    <cellStyle name="Comma 2 5 4 2 6 2" xfId="10232"/>
    <cellStyle name="Comma 2 5 4 2 6 2 2" xfId="26032"/>
    <cellStyle name="Comma 2 5 4 2 6 2 2 2" xfId="45459"/>
    <cellStyle name="Comma 2 5 4 2 6 2 2 3" xfId="39036"/>
    <cellStyle name="Comma 2 5 4 2 6 2 3" xfId="28210"/>
    <cellStyle name="Comma 2 5 4 2 6 2 3 2" xfId="42252"/>
    <cellStyle name="Comma 2 5 4 2 6 2 4" xfId="31545"/>
    <cellStyle name="Comma 2 5 4 2 6 2 5" xfId="35828"/>
    <cellStyle name="Comma 2 5 4 2 6 3" xfId="15929"/>
    <cellStyle name="Comma 2 5 4 2 6 3 2" xfId="24944"/>
    <cellStyle name="Comma 2 5 4 2 6 3 2 2" xfId="44373"/>
    <cellStyle name="Comma 2 5 4 2 6 3 2 3" xfId="37950"/>
    <cellStyle name="Comma 2 5 4 2 6 3 3" xfId="29265"/>
    <cellStyle name="Comma 2 5 4 2 6 3 3 2" xfId="41166"/>
    <cellStyle name="Comma 2 5 4 2 6 3 4" xfId="32600"/>
    <cellStyle name="Comma 2 5 4 2 6 3 5" xfId="34742"/>
    <cellStyle name="Comma 2 5 4 2 6 4" xfId="8747"/>
    <cellStyle name="Comma 2 5 4 2 6 4 2" xfId="43317"/>
    <cellStyle name="Comma 2 5 4 2 6 4 3" xfId="36893"/>
    <cellStyle name="Comma 2 5 4 2 6 5" xfId="21736"/>
    <cellStyle name="Comma 2 5 4 2 6 5 2" xfId="40110"/>
    <cellStyle name="Comma 2 5 4 2 6 6" xfId="22809"/>
    <cellStyle name="Comma 2 5 4 2 6 7" xfId="23888"/>
    <cellStyle name="Comma 2 5 4 2 6 8" xfId="27131"/>
    <cellStyle name="Comma 2 5 4 2 6 9" xfId="30464"/>
    <cellStyle name="Comma 2 5 4 2 7" xfId="1463"/>
    <cellStyle name="Comma 2 5 4 2 7 10" xfId="33687"/>
    <cellStyle name="Comma 2 5 4 2 7 2" xfId="10233"/>
    <cellStyle name="Comma 2 5 4 2 7 2 2" xfId="26033"/>
    <cellStyle name="Comma 2 5 4 2 7 2 2 2" xfId="45460"/>
    <cellStyle name="Comma 2 5 4 2 7 2 2 3" xfId="39037"/>
    <cellStyle name="Comma 2 5 4 2 7 2 3" xfId="28211"/>
    <cellStyle name="Comma 2 5 4 2 7 2 3 2" xfId="42253"/>
    <cellStyle name="Comma 2 5 4 2 7 2 4" xfId="31546"/>
    <cellStyle name="Comma 2 5 4 2 7 2 5" xfId="35829"/>
    <cellStyle name="Comma 2 5 4 2 7 3" xfId="15930"/>
    <cellStyle name="Comma 2 5 4 2 7 3 2" xfId="24945"/>
    <cellStyle name="Comma 2 5 4 2 7 3 2 2" xfId="44374"/>
    <cellStyle name="Comma 2 5 4 2 7 3 2 3" xfId="37951"/>
    <cellStyle name="Comma 2 5 4 2 7 3 3" xfId="29266"/>
    <cellStyle name="Comma 2 5 4 2 7 3 3 2" xfId="41167"/>
    <cellStyle name="Comma 2 5 4 2 7 3 4" xfId="32601"/>
    <cellStyle name="Comma 2 5 4 2 7 3 5" xfId="34743"/>
    <cellStyle name="Comma 2 5 4 2 7 4" xfId="8748"/>
    <cellStyle name="Comma 2 5 4 2 7 4 2" xfId="43318"/>
    <cellStyle name="Comma 2 5 4 2 7 4 3" xfId="36894"/>
    <cellStyle name="Comma 2 5 4 2 7 5" xfId="21737"/>
    <cellStyle name="Comma 2 5 4 2 7 5 2" xfId="40111"/>
    <cellStyle name="Comma 2 5 4 2 7 6" xfId="22810"/>
    <cellStyle name="Comma 2 5 4 2 7 7" xfId="23889"/>
    <cellStyle name="Comma 2 5 4 2 7 8" xfId="27132"/>
    <cellStyle name="Comma 2 5 4 2 7 9" xfId="30465"/>
    <cellStyle name="Comma 2 5 4 2 8" xfId="1464"/>
    <cellStyle name="Comma 2 5 4 2 8 10" xfId="33688"/>
    <cellStyle name="Comma 2 5 4 2 8 2" xfId="10234"/>
    <cellStyle name="Comma 2 5 4 2 8 2 2" xfId="26034"/>
    <cellStyle name="Comma 2 5 4 2 8 2 2 2" xfId="45461"/>
    <cellStyle name="Comma 2 5 4 2 8 2 2 3" xfId="39038"/>
    <cellStyle name="Comma 2 5 4 2 8 2 3" xfId="28212"/>
    <cellStyle name="Comma 2 5 4 2 8 2 3 2" xfId="42254"/>
    <cellStyle name="Comma 2 5 4 2 8 2 4" xfId="31547"/>
    <cellStyle name="Comma 2 5 4 2 8 2 5" xfId="35830"/>
    <cellStyle name="Comma 2 5 4 2 8 3" xfId="15931"/>
    <cellStyle name="Comma 2 5 4 2 8 3 2" xfId="24946"/>
    <cellStyle name="Comma 2 5 4 2 8 3 2 2" xfId="44375"/>
    <cellStyle name="Comma 2 5 4 2 8 3 2 3" xfId="37952"/>
    <cellStyle name="Comma 2 5 4 2 8 3 3" xfId="29267"/>
    <cellStyle name="Comma 2 5 4 2 8 3 3 2" xfId="41168"/>
    <cellStyle name="Comma 2 5 4 2 8 3 4" xfId="32602"/>
    <cellStyle name="Comma 2 5 4 2 8 3 5" xfId="34744"/>
    <cellStyle name="Comma 2 5 4 2 8 4" xfId="8749"/>
    <cellStyle name="Comma 2 5 4 2 8 4 2" xfId="43319"/>
    <cellStyle name="Comma 2 5 4 2 8 4 3" xfId="36895"/>
    <cellStyle name="Comma 2 5 4 2 8 5" xfId="21738"/>
    <cellStyle name="Comma 2 5 4 2 8 5 2" xfId="40112"/>
    <cellStyle name="Comma 2 5 4 2 8 6" xfId="22811"/>
    <cellStyle name="Comma 2 5 4 2 8 7" xfId="23890"/>
    <cellStyle name="Comma 2 5 4 2 8 8" xfId="27133"/>
    <cellStyle name="Comma 2 5 4 2 8 9" xfId="30466"/>
    <cellStyle name="Comma 2 5 4 2 9" xfId="9150"/>
    <cellStyle name="Comma 2 5 4 2 9 2" xfId="25204"/>
    <cellStyle name="Comma 2 5 4 2 9 2 2" xfId="44631"/>
    <cellStyle name="Comma 2 5 4 2 9 2 3" xfId="38208"/>
    <cellStyle name="Comma 2 5 4 2 9 3" xfId="27383"/>
    <cellStyle name="Comma 2 5 4 2 9 3 2" xfId="41424"/>
    <cellStyle name="Comma 2 5 4 2 9 4" xfId="30718"/>
    <cellStyle name="Comma 2 5 4 2 9 5" xfId="35000"/>
    <cellStyle name="Comma 2 5 4 3" xfId="296"/>
    <cellStyle name="Comma 2 5 4 3 10" xfId="21739"/>
    <cellStyle name="Comma 2 5 4 3 10 2" xfId="39289"/>
    <cellStyle name="Comma 2 5 4 3 11" xfId="22812"/>
    <cellStyle name="Comma 2 5 4 3 12" xfId="23067"/>
    <cellStyle name="Comma 2 5 4 3 13" xfId="27134"/>
    <cellStyle name="Comma 2 5 4 3 14" xfId="30467"/>
    <cellStyle name="Comma 2 5 4 3 15" xfId="32865"/>
    <cellStyle name="Comma 2 5 4 3 2" xfId="1465"/>
    <cellStyle name="Comma 2 5 4 3 2 10" xfId="33689"/>
    <cellStyle name="Comma 2 5 4 3 2 2" xfId="10235"/>
    <cellStyle name="Comma 2 5 4 3 2 2 2" xfId="26035"/>
    <cellStyle name="Comma 2 5 4 3 2 2 2 2" xfId="45462"/>
    <cellStyle name="Comma 2 5 4 3 2 2 2 3" xfId="39039"/>
    <cellStyle name="Comma 2 5 4 3 2 2 3" xfId="28213"/>
    <cellStyle name="Comma 2 5 4 3 2 2 3 2" xfId="42255"/>
    <cellStyle name="Comma 2 5 4 3 2 2 4" xfId="31548"/>
    <cellStyle name="Comma 2 5 4 3 2 2 5" xfId="35831"/>
    <cellStyle name="Comma 2 5 4 3 2 3" xfId="15933"/>
    <cellStyle name="Comma 2 5 4 3 2 3 2" xfId="24948"/>
    <cellStyle name="Comma 2 5 4 3 2 3 2 2" xfId="44377"/>
    <cellStyle name="Comma 2 5 4 3 2 3 2 3" xfId="37954"/>
    <cellStyle name="Comma 2 5 4 3 2 3 3" xfId="29269"/>
    <cellStyle name="Comma 2 5 4 3 2 3 3 2" xfId="41170"/>
    <cellStyle name="Comma 2 5 4 3 2 3 4" xfId="32604"/>
    <cellStyle name="Comma 2 5 4 3 2 3 5" xfId="34746"/>
    <cellStyle name="Comma 2 5 4 3 2 4" xfId="8751"/>
    <cellStyle name="Comma 2 5 4 3 2 4 2" xfId="43320"/>
    <cellStyle name="Comma 2 5 4 3 2 4 3" xfId="36896"/>
    <cellStyle name="Comma 2 5 4 3 2 5" xfId="21740"/>
    <cellStyle name="Comma 2 5 4 3 2 5 2" xfId="40113"/>
    <cellStyle name="Comma 2 5 4 3 2 6" xfId="22813"/>
    <cellStyle name="Comma 2 5 4 3 2 7" xfId="23891"/>
    <cellStyle name="Comma 2 5 4 3 2 8" xfId="27135"/>
    <cellStyle name="Comma 2 5 4 3 2 9" xfId="30468"/>
    <cellStyle name="Comma 2 5 4 3 3" xfId="1466"/>
    <cellStyle name="Comma 2 5 4 3 3 10" xfId="33690"/>
    <cellStyle name="Comma 2 5 4 3 3 2" xfId="10236"/>
    <cellStyle name="Comma 2 5 4 3 3 2 2" xfId="26036"/>
    <cellStyle name="Comma 2 5 4 3 3 2 2 2" xfId="45463"/>
    <cellStyle name="Comma 2 5 4 3 3 2 2 3" xfId="39040"/>
    <cellStyle name="Comma 2 5 4 3 3 2 3" xfId="28214"/>
    <cellStyle name="Comma 2 5 4 3 3 2 3 2" xfId="42256"/>
    <cellStyle name="Comma 2 5 4 3 3 2 4" xfId="31549"/>
    <cellStyle name="Comma 2 5 4 3 3 2 5" xfId="35832"/>
    <cellStyle name="Comma 2 5 4 3 3 3" xfId="15934"/>
    <cellStyle name="Comma 2 5 4 3 3 3 2" xfId="24949"/>
    <cellStyle name="Comma 2 5 4 3 3 3 2 2" xfId="44378"/>
    <cellStyle name="Comma 2 5 4 3 3 3 2 3" xfId="37955"/>
    <cellStyle name="Comma 2 5 4 3 3 3 3" xfId="29270"/>
    <cellStyle name="Comma 2 5 4 3 3 3 3 2" xfId="41171"/>
    <cellStyle name="Comma 2 5 4 3 3 3 4" xfId="32605"/>
    <cellStyle name="Comma 2 5 4 3 3 3 5" xfId="34747"/>
    <cellStyle name="Comma 2 5 4 3 3 4" xfId="8752"/>
    <cellStyle name="Comma 2 5 4 3 3 4 2" xfId="43321"/>
    <cellStyle name="Comma 2 5 4 3 3 4 3" xfId="36897"/>
    <cellStyle name="Comma 2 5 4 3 3 5" xfId="21741"/>
    <cellStyle name="Comma 2 5 4 3 3 5 2" xfId="40114"/>
    <cellStyle name="Comma 2 5 4 3 3 6" xfId="22814"/>
    <cellStyle name="Comma 2 5 4 3 3 7" xfId="23892"/>
    <cellStyle name="Comma 2 5 4 3 3 8" xfId="27136"/>
    <cellStyle name="Comma 2 5 4 3 3 9" xfId="30469"/>
    <cellStyle name="Comma 2 5 4 3 4" xfId="1467"/>
    <cellStyle name="Comma 2 5 4 3 4 10" xfId="33691"/>
    <cellStyle name="Comma 2 5 4 3 4 2" xfId="10237"/>
    <cellStyle name="Comma 2 5 4 3 4 2 2" xfId="26037"/>
    <cellStyle name="Comma 2 5 4 3 4 2 2 2" xfId="45464"/>
    <cellStyle name="Comma 2 5 4 3 4 2 2 3" xfId="39041"/>
    <cellStyle name="Comma 2 5 4 3 4 2 3" xfId="28215"/>
    <cellStyle name="Comma 2 5 4 3 4 2 3 2" xfId="42257"/>
    <cellStyle name="Comma 2 5 4 3 4 2 4" xfId="31550"/>
    <cellStyle name="Comma 2 5 4 3 4 2 5" xfId="35833"/>
    <cellStyle name="Comma 2 5 4 3 4 3" xfId="15935"/>
    <cellStyle name="Comma 2 5 4 3 4 3 2" xfId="24950"/>
    <cellStyle name="Comma 2 5 4 3 4 3 2 2" xfId="44379"/>
    <cellStyle name="Comma 2 5 4 3 4 3 2 3" xfId="37956"/>
    <cellStyle name="Comma 2 5 4 3 4 3 3" xfId="29271"/>
    <cellStyle name="Comma 2 5 4 3 4 3 3 2" xfId="41172"/>
    <cellStyle name="Comma 2 5 4 3 4 3 4" xfId="32606"/>
    <cellStyle name="Comma 2 5 4 3 4 3 5" xfId="34748"/>
    <cellStyle name="Comma 2 5 4 3 4 4" xfId="8753"/>
    <cellStyle name="Comma 2 5 4 3 4 4 2" xfId="43322"/>
    <cellStyle name="Comma 2 5 4 3 4 4 3" xfId="36898"/>
    <cellStyle name="Comma 2 5 4 3 4 5" xfId="21742"/>
    <cellStyle name="Comma 2 5 4 3 4 5 2" xfId="40115"/>
    <cellStyle name="Comma 2 5 4 3 4 6" xfId="22815"/>
    <cellStyle name="Comma 2 5 4 3 4 7" xfId="23893"/>
    <cellStyle name="Comma 2 5 4 3 4 8" xfId="27137"/>
    <cellStyle name="Comma 2 5 4 3 4 9" xfId="30470"/>
    <cellStyle name="Comma 2 5 4 3 5" xfId="1468"/>
    <cellStyle name="Comma 2 5 4 3 5 10" xfId="33692"/>
    <cellStyle name="Comma 2 5 4 3 5 2" xfId="10238"/>
    <cellStyle name="Comma 2 5 4 3 5 2 2" xfId="26038"/>
    <cellStyle name="Comma 2 5 4 3 5 2 2 2" xfId="45465"/>
    <cellStyle name="Comma 2 5 4 3 5 2 2 3" xfId="39042"/>
    <cellStyle name="Comma 2 5 4 3 5 2 3" xfId="28216"/>
    <cellStyle name="Comma 2 5 4 3 5 2 3 2" xfId="42258"/>
    <cellStyle name="Comma 2 5 4 3 5 2 4" xfId="31551"/>
    <cellStyle name="Comma 2 5 4 3 5 2 5" xfId="35834"/>
    <cellStyle name="Comma 2 5 4 3 5 3" xfId="15936"/>
    <cellStyle name="Comma 2 5 4 3 5 3 2" xfId="24951"/>
    <cellStyle name="Comma 2 5 4 3 5 3 2 2" xfId="44380"/>
    <cellStyle name="Comma 2 5 4 3 5 3 2 3" xfId="37957"/>
    <cellStyle name="Comma 2 5 4 3 5 3 3" xfId="29272"/>
    <cellStyle name="Comma 2 5 4 3 5 3 3 2" xfId="41173"/>
    <cellStyle name="Comma 2 5 4 3 5 3 4" xfId="32607"/>
    <cellStyle name="Comma 2 5 4 3 5 3 5" xfId="34749"/>
    <cellStyle name="Comma 2 5 4 3 5 4" xfId="8754"/>
    <cellStyle name="Comma 2 5 4 3 5 4 2" xfId="43323"/>
    <cellStyle name="Comma 2 5 4 3 5 4 3" xfId="36899"/>
    <cellStyle name="Comma 2 5 4 3 5 5" xfId="21743"/>
    <cellStyle name="Comma 2 5 4 3 5 5 2" xfId="40116"/>
    <cellStyle name="Comma 2 5 4 3 5 6" xfId="22816"/>
    <cellStyle name="Comma 2 5 4 3 5 7" xfId="23894"/>
    <cellStyle name="Comma 2 5 4 3 5 8" xfId="27138"/>
    <cellStyle name="Comma 2 5 4 3 5 9" xfId="30471"/>
    <cellStyle name="Comma 2 5 4 3 6" xfId="1469"/>
    <cellStyle name="Comma 2 5 4 3 6 10" xfId="33693"/>
    <cellStyle name="Comma 2 5 4 3 6 2" xfId="10239"/>
    <cellStyle name="Comma 2 5 4 3 6 2 2" xfId="26039"/>
    <cellStyle name="Comma 2 5 4 3 6 2 2 2" xfId="45466"/>
    <cellStyle name="Comma 2 5 4 3 6 2 2 3" xfId="39043"/>
    <cellStyle name="Comma 2 5 4 3 6 2 3" xfId="28217"/>
    <cellStyle name="Comma 2 5 4 3 6 2 3 2" xfId="42259"/>
    <cellStyle name="Comma 2 5 4 3 6 2 4" xfId="31552"/>
    <cellStyle name="Comma 2 5 4 3 6 2 5" xfId="35835"/>
    <cellStyle name="Comma 2 5 4 3 6 3" xfId="15937"/>
    <cellStyle name="Comma 2 5 4 3 6 3 2" xfId="24952"/>
    <cellStyle name="Comma 2 5 4 3 6 3 2 2" xfId="44381"/>
    <cellStyle name="Comma 2 5 4 3 6 3 2 3" xfId="37958"/>
    <cellStyle name="Comma 2 5 4 3 6 3 3" xfId="29273"/>
    <cellStyle name="Comma 2 5 4 3 6 3 3 2" xfId="41174"/>
    <cellStyle name="Comma 2 5 4 3 6 3 4" xfId="32608"/>
    <cellStyle name="Comma 2 5 4 3 6 3 5" xfId="34750"/>
    <cellStyle name="Comma 2 5 4 3 6 4" xfId="8755"/>
    <cellStyle name="Comma 2 5 4 3 6 4 2" xfId="43324"/>
    <cellStyle name="Comma 2 5 4 3 6 4 3" xfId="36900"/>
    <cellStyle name="Comma 2 5 4 3 6 5" xfId="21744"/>
    <cellStyle name="Comma 2 5 4 3 6 5 2" xfId="40117"/>
    <cellStyle name="Comma 2 5 4 3 6 6" xfId="22817"/>
    <cellStyle name="Comma 2 5 4 3 6 7" xfId="23895"/>
    <cellStyle name="Comma 2 5 4 3 6 8" xfId="27139"/>
    <cellStyle name="Comma 2 5 4 3 6 9" xfId="30472"/>
    <cellStyle name="Comma 2 5 4 3 7" xfId="9152"/>
    <cellStyle name="Comma 2 5 4 3 7 2" xfId="25206"/>
    <cellStyle name="Comma 2 5 4 3 7 2 2" xfId="44633"/>
    <cellStyle name="Comma 2 5 4 3 7 2 3" xfId="38210"/>
    <cellStyle name="Comma 2 5 4 3 7 3" xfId="27385"/>
    <cellStyle name="Comma 2 5 4 3 7 3 2" xfId="41426"/>
    <cellStyle name="Comma 2 5 4 3 7 4" xfId="30720"/>
    <cellStyle name="Comma 2 5 4 3 7 5" xfId="35002"/>
    <cellStyle name="Comma 2 5 4 3 8" xfId="15932"/>
    <cellStyle name="Comma 2 5 4 3 8 2" xfId="24947"/>
    <cellStyle name="Comma 2 5 4 3 8 2 2" xfId="44376"/>
    <cellStyle name="Comma 2 5 4 3 8 2 3" xfId="37953"/>
    <cellStyle name="Comma 2 5 4 3 8 3" xfId="29268"/>
    <cellStyle name="Comma 2 5 4 3 8 3 2" xfId="41169"/>
    <cellStyle name="Comma 2 5 4 3 8 4" xfId="32603"/>
    <cellStyle name="Comma 2 5 4 3 8 5" xfId="34745"/>
    <cellStyle name="Comma 2 5 4 3 9" xfId="8750"/>
    <cellStyle name="Comma 2 5 4 3 9 2" xfId="42496"/>
    <cellStyle name="Comma 2 5 4 3 9 3" xfId="36072"/>
    <cellStyle name="Comma 2 5 4 4" xfId="1470"/>
    <cellStyle name="Comma 2 5 4 4 10" xfId="22818"/>
    <cellStyle name="Comma 2 5 4 4 11" xfId="23896"/>
    <cellStyle name="Comma 2 5 4 4 12" xfId="27140"/>
    <cellStyle name="Comma 2 5 4 4 13" xfId="30473"/>
    <cellStyle name="Comma 2 5 4 4 14" xfId="33694"/>
    <cellStyle name="Comma 2 5 4 4 2" xfId="1471"/>
    <cellStyle name="Comma 2 5 4 4 2 10" xfId="33695"/>
    <cellStyle name="Comma 2 5 4 4 2 2" xfId="10241"/>
    <cellStyle name="Comma 2 5 4 4 2 2 2" xfId="26041"/>
    <cellStyle name="Comma 2 5 4 4 2 2 2 2" xfId="45468"/>
    <cellStyle name="Comma 2 5 4 4 2 2 2 3" xfId="39045"/>
    <cellStyle name="Comma 2 5 4 4 2 2 3" xfId="28219"/>
    <cellStyle name="Comma 2 5 4 4 2 2 3 2" xfId="42261"/>
    <cellStyle name="Comma 2 5 4 4 2 2 4" xfId="31554"/>
    <cellStyle name="Comma 2 5 4 4 2 2 5" xfId="35837"/>
    <cellStyle name="Comma 2 5 4 4 2 3" xfId="15939"/>
    <cellStyle name="Comma 2 5 4 4 2 3 2" xfId="24954"/>
    <cellStyle name="Comma 2 5 4 4 2 3 2 2" xfId="44383"/>
    <cellStyle name="Comma 2 5 4 4 2 3 2 3" xfId="37960"/>
    <cellStyle name="Comma 2 5 4 4 2 3 3" xfId="29275"/>
    <cellStyle name="Comma 2 5 4 4 2 3 3 2" xfId="41176"/>
    <cellStyle name="Comma 2 5 4 4 2 3 4" xfId="32610"/>
    <cellStyle name="Comma 2 5 4 4 2 3 5" xfId="34752"/>
    <cellStyle name="Comma 2 5 4 4 2 4" xfId="8757"/>
    <cellStyle name="Comma 2 5 4 4 2 4 2" xfId="43326"/>
    <cellStyle name="Comma 2 5 4 4 2 4 3" xfId="36902"/>
    <cellStyle name="Comma 2 5 4 4 2 5" xfId="21746"/>
    <cellStyle name="Comma 2 5 4 4 2 5 2" xfId="40119"/>
    <cellStyle name="Comma 2 5 4 4 2 6" xfId="22819"/>
    <cellStyle name="Comma 2 5 4 4 2 7" xfId="23897"/>
    <cellStyle name="Comma 2 5 4 4 2 8" xfId="27141"/>
    <cellStyle name="Comma 2 5 4 4 2 9" xfId="30474"/>
    <cellStyle name="Comma 2 5 4 4 3" xfId="1472"/>
    <cellStyle name="Comma 2 5 4 4 3 10" xfId="33696"/>
    <cellStyle name="Comma 2 5 4 4 3 2" xfId="10242"/>
    <cellStyle name="Comma 2 5 4 4 3 2 2" xfId="26042"/>
    <cellStyle name="Comma 2 5 4 4 3 2 2 2" xfId="45469"/>
    <cellStyle name="Comma 2 5 4 4 3 2 2 3" xfId="39046"/>
    <cellStyle name="Comma 2 5 4 4 3 2 3" xfId="28220"/>
    <cellStyle name="Comma 2 5 4 4 3 2 3 2" xfId="42262"/>
    <cellStyle name="Comma 2 5 4 4 3 2 4" xfId="31555"/>
    <cellStyle name="Comma 2 5 4 4 3 2 5" xfId="35838"/>
    <cellStyle name="Comma 2 5 4 4 3 3" xfId="15940"/>
    <cellStyle name="Comma 2 5 4 4 3 3 2" xfId="24955"/>
    <cellStyle name="Comma 2 5 4 4 3 3 2 2" xfId="44384"/>
    <cellStyle name="Comma 2 5 4 4 3 3 2 3" xfId="37961"/>
    <cellStyle name="Comma 2 5 4 4 3 3 3" xfId="29276"/>
    <cellStyle name="Comma 2 5 4 4 3 3 3 2" xfId="41177"/>
    <cellStyle name="Comma 2 5 4 4 3 3 4" xfId="32611"/>
    <cellStyle name="Comma 2 5 4 4 3 3 5" xfId="34753"/>
    <cellStyle name="Comma 2 5 4 4 3 4" xfId="8758"/>
    <cellStyle name="Comma 2 5 4 4 3 4 2" xfId="43327"/>
    <cellStyle name="Comma 2 5 4 4 3 4 3" xfId="36903"/>
    <cellStyle name="Comma 2 5 4 4 3 5" xfId="21747"/>
    <cellStyle name="Comma 2 5 4 4 3 5 2" xfId="40120"/>
    <cellStyle name="Comma 2 5 4 4 3 6" xfId="22820"/>
    <cellStyle name="Comma 2 5 4 4 3 7" xfId="23898"/>
    <cellStyle name="Comma 2 5 4 4 3 8" xfId="27142"/>
    <cellStyle name="Comma 2 5 4 4 3 9" xfId="30475"/>
    <cellStyle name="Comma 2 5 4 4 4" xfId="1473"/>
    <cellStyle name="Comma 2 5 4 4 4 10" xfId="33697"/>
    <cellStyle name="Comma 2 5 4 4 4 2" xfId="10243"/>
    <cellStyle name="Comma 2 5 4 4 4 2 2" xfId="26043"/>
    <cellStyle name="Comma 2 5 4 4 4 2 2 2" xfId="45470"/>
    <cellStyle name="Comma 2 5 4 4 4 2 2 3" xfId="39047"/>
    <cellStyle name="Comma 2 5 4 4 4 2 3" xfId="28221"/>
    <cellStyle name="Comma 2 5 4 4 4 2 3 2" xfId="42263"/>
    <cellStyle name="Comma 2 5 4 4 4 2 4" xfId="31556"/>
    <cellStyle name="Comma 2 5 4 4 4 2 5" xfId="35839"/>
    <cellStyle name="Comma 2 5 4 4 4 3" xfId="15941"/>
    <cellStyle name="Comma 2 5 4 4 4 3 2" xfId="24956"/>
    <cellStyle name="Comma 2 5 4 4 4 3 2 2" xfId="44385"/>
    <cellStyle name="Comma 2 5 4 4 4 3 2 3" xfId="37962"/>
    <cellStyle name="Comma 2 5 4 4 4 3 3" xfId="29277"/>
    <cellStyle name="Comma 2 5 4 4 4 3 3 2" xfId="41178"/>
    <cellStyle name="Comma 2 5 4 4 4 3 4" xfId="32612"/>
    <cellStyle name="Comma 2 5 4 4 4 3 5" xfId="34754"/>
    <cellStyle name="Comma 2 5 4 4 4 4" xfId="8759"/>
    <cellStyle name="Comma 2 5 4 4 4 4 2" xfId="43328"/>
    <cellStyle name="Comma 2 5 4 4 4 4 3" xfId="36904"/>
    <cellStyle name="Comma 2 5 4 4 4 5" xfId="21748"/>
    <cellStyle name="Comma 2 5 4 4 4 5 2" xfId="40121"/>
    <cellStyle name="Comma 2 5 4 4 4 6" xfId="22821"/>
    <cellStyle name="Comma 2 5 4 4 4 7" xfId="23899"/>
    <cellStyle name="Comma 2 5 4 4 4 8" xfId="27143"/>
    <cellStyle name="Comma 2 5 4 4 4 9" xfId="30476"/>
    <cellStyle name="Comma 2 5 4 4 5" xfId="1474"/>
    <cellStyle name="Comma 2 5 4 4 5 10" xfId="33698"/>
    <cellStyle name="Comma 2 5 4 4 5 2" xfId="10244"/>
    <cellStyle name="Comma 2 5 4 4 5 2 2" xfId="26044"/>
    <cellStyle name="Comma 2 5 4 4 5 2 2 2" xfId="45471"/>
    <cellStyle name="Comma 2 5 4 4 5 2 2 3" xfId="39048"/>
    <cellStyle name="Comma 2 5 4 4 5 2 3" xfId="28222"/>
    <cellStyle name="Comma 2 5 4 4 5 2 3 2" xfId="42264"/>
    <cellStyle name="Comma 2 5 4 4 5 2 4" xfId="31557"/>
    <cellStyle name="Comma 2 5 4 4 5 2 5" xfId="35840"/>
    <cellStyle name="Comma 2 5 4 4 5 3" xfId="15942"/>
    <cellStyle name="Comma 2 5 4 4 5 3 2" xfId="24957"/>
    <cellStyle name="Comma 2 5 4 4 5 3 2 2" xfId="44386"/>
    <cellStyle name="Comma 2 5 4 4 5 3 2 3" xfId="37963"/>
    <cellStyle name="Comma 2 5 4 4 5 3 3" xfId="29278"/>
    <cellStyle name="Comma 2 5 4 4 5 3 3 2" xfId="41179"/>
    <cellStyle name="Comma 2 5 4 4 5 3 4" xfId="32613"/>
    <cellStyle name="Comma 2 5 4 4 5 3 5" xfId="34755"/>
    <cellStyle name="Comma 2 5 4 4 5 4" xfId="8760"/>
    <cellStyle name="Comma 2 5 4 4 5 4 2" xfId="43329"/>
    <cellStyle name="Comma 2 5 4 4 5 4 3" xfId="36905"/>
    <cellStyle name="Comma 2 5 4 4 5 5" xfId="21749"/>
    <cellStyle name="Comma 2 5 4 4 5 5 2" xfId="40122"/>
    <cellStyle name="Comma 2 5 4 4 5 6" xfId="22822"/>
    <cellStyle name="Comma 2 5 4 4 5 7" xfId="23900"/>
    <cellStyle name="Comma 2 5 4 4 5 8" xfId="27144"/>
    <cellStyle name="Comma 2 5 4 4 5 9" xfId="30477"/>
    <cellStyle name="Comma 2 5 4 4 6" xfId="10240"/>
    <cellStyle name="Comma 2 5 4 4 6 2" xfId="26040"/>
    <cellStyle name="Comma 2 5 4 4 6 2 2" xfId="45467"/>
    <cellStyle name="Comma 2 5 4 4 6 2 3" xfId="39044"/>
    <cellStyle name="Comma 2 5 4 4 6 3" xfId="28218"/>
    <cellStyle name="Comma 2 5 4 4 6 3 2" xfId="42260"/>
    <cellStyle name="Comma 2 5 4 4 6 4" xfId="31553"/>
    <cellStyle name="Comma 2 5 4 4 6 5" xfId="35836"/>
    <cellStyle name="Comma 2 5 4 4 7" xfId="15938"/>
    <cellStyle name="Comma 2 5 4 4 7 2" xfId="24953"/>
    <cellStyle name="Comma 2 5 4 4 7 2 2" xfId="44382"/>
    <cellStyle name="Comma 2 5 4 4 7 2 3" xfId="37959"/>
    <cellStyle name="Comma 2 5 4 4 7 3" xfId="29274"/>
    <cellStyle name="Comma 2 5 4 4 7 3 2" xfId="41175"/>
    <cellStyle name="Comma 2 5 4 4 7 4" xfId="32609"/>
    <cellStyle name="Comma 2 5 4 4 7 5" xfId="34751"/>
    <cellStyle name="Comma 2 5 4 4 8" xfId="8756"/>
    <cellStyle name="Comma 2 5 4 4 8 2" xfId="43325"/>
    <cellStyle name="Comma 2 5 4 4 8 3" xfId="36901"/>
    <cellStyle name="Comma 2 5 4 4 9" xfId="21745"/>
    <cellStyle name="Comma 2 5 4 4 9 2" xfId="40118"/>
    <cellStyle name="Comma 2 5 4 5" xfId="1475"/>
    <cellStyle name="Comma 2 5 4 5 10" xfId="22823"/>
    <cellStyle name="Comma 2 5 4 5 11" xfId="23901"/>
    <cellStyle name="Comma 2 5 4 5 12" xfId="27145"/>
    <cellStyle name="Comma 2 5 4 5 13" xfId="30478"/>
    <cellStyle name="Comma 2 5 4 5 14" xfId="33699"/>
    <cellStyle name="Comma 2 5 4 5 2" xfId="1476"/>
    <cellStyle name="Comma 2 5 4 5 2 10" xfId="33700"/>
    <cellStyle name="Comma 2 5 4 5 2 2" xfId="10246"/>
    <cellStyle name="Comma 2 5 4 5 2 2 2" xfId="26046"/>
    <cellStyle name="Comma 2 5 4 5 2 2 2 2" xfId="45473"/>
    <cellStyle name="Comma 2 5 4 5 2 2 2 3" xfId="39050"/>
    <cellStyle name="Comma 2 5 4 5 2 2 3" xfId="28224"/>
    <cellStyle name="Comma 2 5 4 5 2 2 3 2" xfId="42266"/>
    <cellStyle name="Comma 2 5 4 5 2 2 4" xfId="31559"/>
    <cellStyle name="Comma 2 5 4 5 2 2 5" xfId="35842"/>
    <cellStyle name="Comma 2 5 4 5 2 3" xfId="15944"/>
    <cellStyle name="Comma 2 5 4 5 2 3 2" xfId="24959"/>
    <cellStyle name="Comma 2 5 4 5 2 3 2 2" xfId="44388"/>
    <cellStyle name="Comma 2 5 4 5 2 3 2 3" xfId="37965"/>
    <cellStyle name="Comma 2 5 4 5 2 3 3" xfId="29280"/>
    <cellStyle name="Comma 2 5 4 5 2 3 3 2" xfId="41181"/>
    <cellStyle name="Comma 2 5 4 5 2 3 4" xfId="32615"/>
    <cellStyle name="Comma 2 5 4 5 2 3 5" xfId="34757"/>
    <cellStyle name="Comma 2 5 4 5 2 4" xfId="8762"/>
    <cellStyle name="Comma 2 5 4 5 2 4 2" xfId="43331"/>
    <cellStyle name="Comma 2 5 4 5 2 4 3" xfId="36907"/>
    <cellStyle name="Comma 2 5 4 5 2 5" xfId="21751"/>
    <cellStyle name="Comma 2 5 4 5 2 5 2" xfId="40124"/>
    <cellStyle name="Comma 2 5 4 5 2 6" xfId="22824"/>
    <cellStyle name="Comma 2 5 4 5 2 7" xfId="23902"/>
    <cellStyle name="Comma 2 5 4 5 2 8" xfId="27146"/>
    <cellStyle name="Comma 2 5 4 5 2 9" xfId="30479"/>
    <cellStyle name="Comma 2 5 4 5 3" xfId="1477"/>
    <cellStyle name="Comma 2 5 4 5 3 10" xfId="33701"/>
    <cellStyle name="Comma 2 5 4 5 3 2" xfId="10247"/>
    <cellStyle name="Comma 2 5 4 5 3 2 2" xfId="26047"/>
    <cellStyle name="Comma 2 5 4 5 3 2 2 2" xfId="45474"/>
    <cellStyle name="Comma 2 5 4 5 3 2 2 3" xfId="39051"/>
    <cellStyle name="Comma 2 5 4 5 3 2 3" xfId="28225"/>
    <cellStyle name="Comma 2 5 4 5 3 2 3 2" xfId="42267"/>
    <cellStyle name="Comma 2 5 4 5 3 2 4" xfId="31560"/>
    <cellStyle name="Comma 2 5 4 5 3 2 5" xfId="35843"/>
    <cellStyle name="Comma 2 5 4 5 3 3" xfId="15945"/>
    <cellStyle name="Comma 2 5 4 5 3 3 2" xfId="24960"/>
    <cellStyle name="Comma 2 5 4 5 3 3 2 2" xfId="44389"/>
    <cellStyle name="Comma 2 5 4 5 3 3 2 3" xfId="37966"/>
    <cellStyle name="Comma 2 5 4 5 3 3 3" xfId="29281"/>
    <cellStyle name="Comma 2 5 4 5 3 3 3 2" xfId="41182"/>
    <cellStyle name="Comma 2 5 4 5 3 3 4" xfId="32616"/>
    <cellStyle name="Comma 2 5 4 5 3 3 5" xfId="34758"/>
    <cellStyle name="Comma 2 5 4 5 3 4" xfId="8763"/>
    <cellStyle name="Comma 2 5 4 5 3 4 2" xfId="43332"/>
    <cellStyle name="Comma 2 5 4 5 3 4 3" xfId="36908"/>
    <cellStyle name="Comma 2 5 4 5 3 5" xfId="21752"/>
    <cellStyle name="Comma 2 5 4 5 3 5 2" xfId="40125"/>
    <cellStyle name="Comma 2 5 4 5 3 6" xfId="22825"/>
    <cellStyle name="Comma 2 5 4 5 3 7" xfId="23903"/>
    <cellStyle name="Comma 2 5 4 5 3 8" xfId="27147"/>
    <cellStyle name="Comma 2 5 4 5 3 9" xfId="30480"/>
    <cellStyle name="Comma 2 5 4 5 4" xfId="1478"/>
    <cellStyle name="Comma 2 5 4 5 4 10" xfId="33702"/>
    <cellStyle name="Comma 2 5 4 5 4 2" xfId="10248"/>
    <cellStyle name="Comma 2 5 4 5 4 2 2" xfId="26048"/>
    <cellStyle name="Comma 2 5 4 5 4 2 2 2" xfId="45475"/>
    <cellStyle name="Comma 2 5 4 5 4 2 2 3" xfId="39052"/>
    <cellStyle name="Comma 2 5 4 5 4 2 3" xfId="28226"/>
    <cellStyle name="Comma 2 5 4 5 4 2 3 2" xfId="42268"/>
    <cellStyle name="Comma 2 5 4 5 4 2 4" xfId="31561"/>
    <cellStyle name="Comma 2 5 4 5 4 2 5" xfId="35844"/>
    <cellStyle name="Comma 2 5 4 5 4 3" xfId="15946"/>
    <cellStyle name="Comma 2 5 4 5 4 3 2" xfId="24961"/>
    <cellStyle name="Comma 2 5 4 5 4 3 2 2" xfId="44390"/>
    <cellStyle name="Comma 2 5 4 5 4 3 2 3" xfId="37967"/>
    <cellStyle name="Comma 2 5 4 5 4 3 3" xfId="29282"/>
    <cellStyle name="Comma 2 5 4 5 4 3 3 2" xfId="41183"/>
    <cellStyle name="Comma 2 5 4 5 4 3 4" xfId="32617"/>
    <cellStyle name="Comma 2 5 4 5 4 3 5" xfId="34759"/>
    <cellStyle name="Comma 2 5 4 5 4 4" xfId="8764"/>
    <cellStyle name="Comma 2 5 4 5 4 4 2" xfId="43333"/>
    <cellStyle name="Comma 2 5 4 5 4 4 3" xfId="36909"/>
    <cellStyle name="Comma 2 5 4 5 4 5" xfId="21753"/>
    <cellStyle name="Comma 2 5 4 5 4 5 2" xfId="40126"/>
    <cellStyle name="Comma 2 5 4 5 4 6" xfId="22826"/>
    <cellStyle name="Comma 2 5 4 5 4 7" xfId="23904"/>
    <cellStyle name="Comma 2 5 4 5 4 8" xfId="27148"/>
    <cellStyle name="Comma 2 5 4 5 4 9" xfId="30481"/>
    <cellStyle name="Comma 2 5 4 5 5" xfId="1479"/>
    <cellStyle name="Comma 2 5 4 5 5 10" xfId="33703"/>
    <cellStyle name="Comma 2 5 4 5 5 2" xfId="10249"/>
    <cellStyle name="Comma 2 5 4 5 5 2 2" xfId="26049"/>
    <cellStyle name="Comma 2 5 4 5 5 2 2 2" xfId="45476"/>
    <cellStyle name="Comma 2 5 4 5 5 2 2 3" xfId="39053"/>
    <cellStyle name="Comma 2 5 4 5 5 2 3" xfId="28227"/>
    <cellStyle name="Comma 2 5 4 5 5 2 3 2" xfId="42269"/>
    <cellStyle name="Comma 2 5 4 5 5 2 4" xfId="31562"/>
    <cellStyle name="Comma 2 5 4 5 5 2 5" xfId="35845"/>
    <cellStyle name="Comma 2 5 4 5 5 3" xfId="15947"/>
    <cellStyle name="Comma 2 5 4 5 5 3 2" xfId="24962"/>
    <cellStyle name="Comma 2 5 4 5 5 3 2 2" xfId="44391"/>
    <cellStyle name="Comma 2 5 4 5 5 3 2 3" xfId="37968"/>
    <cellStyle name="Comma 2 5 4 5 5 3 3" xfId="29283"/>
    <cellStyle name="Comma 2 5 4 5 5 3 3 2" xfId="41184"/>
    <cellStyle name="Comma 2 5 4 5 5 3 4" xfId="32618"/>
    <cellStyle name="Comma 2 5 4 5 5 3 5" xfId="34760"/>
    <cellStyle name="Comma 2 5 4 5 5 4" xfId="8765"/>
    <cellStyle name="Comma 2 5 4 5 5 4 2" xfId="43334"/>
    <cellStyle name="Comma 2 5 4 5 5 4 3" xfId="36910"/>
    <cellStyle name="Comma 2 5 4 5 5 5" xfId="21754"/>
    <cellStyle name="Comma 2 5 4 5 5 5 2" xfId="40127"/>
    <cellStyle name="Comma 2 5 4 5 5 6" xfId="22827"/>
    <cellStyle name="Comma 2 5 4 5 5 7" xfId="23905"/>
    <cellStyle name="Comma 2 5 4 5 5 8" xfId="27149"/>
    <cellStyle name="Comma 2 5 4 5 5 9" xfId="30482"/>
    <cellStyle name="Comma 2 5 4 5 6" xfId="10245"/>
    <cellStyle name="Comma 2 5 4 5 6 2" xfId="26045"/>
    <cellStyle name="Comma 2 5 4 5 6 2 2" xfId="45472"/>
    <cellStyle name="Comma 2 5 4 5 6 2 3" xfId="39049"/>
    <cellStyle name="Comma 2 5 4 5 6 3" xfId="28223"/>
    <cellStyle name="Comma 2 5 4 5 6 3 2" xfId="42265"/>
    <cellStyle name="Comma 2 5 4 5 6 4" xfId="31558"/>
    <cellStyle name="Comma 2 5 4 5 6 5" xfId="35841"/>
    <cellStyle name="Comma 2 5 4 5 7" xfId="15943"/>
    <cellStyle name="Comma 2 5 4 5 7 2" xfId="24958"/>
    <cellStyle name="Comma 2 5 4 5 7 2 2" xfId="44387"/>
    <cellStyle name="Comma 2 5 4 5 7 2 3" xfId="37964"/>
    <cellStyle name="Comma 2 5 4 5 7 3" xfId="29279"/>
    <cellStyle name="Comma 2 5 4 5 7 3 2" xfId="41180"/>
    <cellStyle name="Comma 2 5 4 5 7 4" xfId="32614"/>
    <cellStyle name="Comma 2 5 4 5 7 5" xfId="34756"/>
    <cellStyle name="Comma 2 5 4 5 8" xfId="8761"/>
    <cellStyle name="Comma 2 5 4 5 8 2" xfId="43330"/>
    <cellStyle name="Comma 2 5 4 5 8 3" xfId="36906"/>
    <cellStyle name="Comma 2 5 4 5 9" xfId="21750"/>
    <cellStyle name="Comma 2 5 4 5 9 2" xfId="40123"/>
    <cellStyle name="Comma 2 5 4 6" xfId="1480"/>
    <cellStyle name="Comma 2 5 4 6 10" xfId="33704"/>
    <cellStyle name="Comma 2 5 4 6 2" xfId="10250"/>
    <cellStyle name="Comma 2 5 4 6 2 2" xfId="26050"/>
    <cellStyle name="Comma 2 5 4 6 2 2 2" xfId="45477"/>
    <cellStyle name="Comma 2 5 4 6 2 2 3" xfId="39054"/>
    <cellStyle name="Comma 2 5 4 6 2 3" xfId="28228"/>
    <cellStyle name="Comma 2 5 4 6 2 3 2" xfId="42270"/>
    <cellStyle name="Comma 2 5 4 6 2 4" xfId="31563"/>
    <cellStyle name="Comma 2 5 4 6 2 5" xfId="35846"/>
    <cellStyle name="Comma 2 5 4 6 3" xfId="15948"/>
    <cellStyle name="Comma 2 5 4 6 3 2" xfId="24963"/>
    <cellStyle name="Comma 2 5 4 6 3 2 2" xfId="44392"/>
    <cellStyle name="Comma 2 5 4 6 3 2 3" xfId="37969"/>
    <cellStyle name="Comma 2 5 4 6 3 3" xfId="29284"/>
    <cellStyle name="Comma 2 5 4 6 3 3 2" xfId="41185"/>
    <cellStyle name="Comma 2 5 4 6 3 4" xfId="32619"/>
    <cellStyle name="Comma 2 5 4 6 3 5" xfId="34761"/>
    <cellStyle name="Comma 2 5 4 6 4" xfId="8766"/>
    <cellStyle name="Comma 2 5 4 6 4 2" xfId="43335"/>
    <cellStyle name="Comma 2 5 4 6 4 3" xfId="36911"/>
    <cellStyle name="Comma 2 5 4 6 5" xfId="21755"/>
    <cellStyle name="Comma 2 5 4 6 5 2" xfId="40128"/>
    <cellStyle name="Comma 2 5 4 6 6" xfId="22828"/>
    <cellStyle name="Comma 2 5 4 6 7" xfId="23906"/>
    <cellStyle name="Comma 2 5 4 6 8" xfId="27150"/>
    <cellStyle name="Comma 2 5 4 6 9" xfId="30483"/>
    <cellStyle name="Comma 2 5 4 7" xfId="1481"/>
    <cellStyle name="Comma 2 5 4 7 10" xfId="33705"/>
    <cellStyle name="Comma 2 5 4 7 2" xfId="10251"/>
    <cellStyle name="Comma 2 5 4 7 2 2" xfId="26051"/>
    <cellStyle name="Comma 2 5 4 7 2 2 2" xfId="45478"/>
    <cellStyle name="Comma 2 5 4 7 2 2 3" xfId="39055"/>
    <cellStyle name="Comma 2 5 4 7 2 3" xfId="28229"/>
    <cellStyle name="Comma 2 5 4 7 2 3 2" xfId="42271"/>
    <cellStyle name="Comma 2 5 4 7 2 4" xfId="31564"/>
    <cellStyle name="Comma 2 5 4 7 2 5" xfId="35847"/>
    <cellStyle name="Comma 2 5 4 7 3" xfId="15949"/>
    <cellStyle name="Comma 2 5 4 7 3 2" xfId="24964"/>
    <cellStyle name="Comma 2 5 4 7 3 2 2" xfId="44393"/>
    <cellStyle name="Comma 2 5 4 7 3 2 3" xfId="37970"/>
    <cellStyle name="Comma 2 5 4 7 3 3" xfId="29285"/>
    <cellStyle name="Comma 2 5 4 7 3 3 2" xfId="41186"/>
    <cellStyle name="Comma 2 5 4 7 3 4" xfId="32620"/>
    <cellStyle name="Comma 2 5 4 7 3 5" xfId="34762"/>
    <cellStyle name="Comma 2 5 4 7 4" xfId="8767"/>
    <cellStyle name="Comma 2 5 4 7 4 2" xfId="43336"/>
    <cellStyle name="Comma 2 5 4 7 4 3" xfId="36912"/>
    <cellStyle name="Comma 2 5 4 7 5" xfId="21756"/>
    <cellStyle name="Comma 2 5 4 7 5 2" xfId="40129"/>
    <cellStyle name="Comma 2 5 4 7 6" xfId="22829"/>
    <cellStyle name="Comma 2 5 4 7 7" xfId="23907"/>
    <cellStyle name="Comma 2 5 4 7 8" xfId="27151"/>
    <cellStyle name="Comma 2 5 4 7 9" xfId="30484"/>
    <cellStyle name="Comma 2 5 4 8" xfId="1482"/>
    <cellStyle name="Comma 2 5 4 8 10" xfId="33706"/>
    <cellStyle name="Comma 2 5 4 8 2" xfId="10252"/>
    <cellStyle name="Comma 2 5 4 8 2 2" xfId="26052"/>
    <cellStyle name="Comma 2 5 4 8 2 2 2" xfId="45479"/>
    <cellStyle name="Comma 2 5 4 8 2 2 3" xfId="39056"/>
    <cellStyle name="Comma 2 5 4 8 2 3" xfId="28230"/>
    <cellStyle name="Comma 2 5 4 8 2 3 2" xfId="42272"/>
    <cellStyle name="Comma 2 5 4 8 2 4" xfId="31565"/>
    <cellStyle name="Comma 2 5 4 8 2 5" xfId="35848"/>
    <cellStyle name="Comma 2 5 4 8 3" xfId="15950"/>
    <cellStyle name="Comma 2 5 4 8 3 2" xfId="24965"/>
    <cellStyle name="Comma 2 5 4 8 3 2 2" xfId="44394"/>
    <cellStyle name="Comma 2 5 4 8 3 2 3" xfId="37971"/>
    <cellStyle name="Comma 2 5 4 8 3 3" xfId="29286"/>
    <cellStyle name="Comma 2 5 4 8 3 3 2" xfId="41187"/>
    <cellStyle name="Comma 2 5 4 8 3 4" xfId="32621"/>
    <cellStyle name="Comma 2 5 4 8 3 5" xfId="34763"/>
    <cellStyle name="Comma 2 5 4 8 4" xfId="8768"/>
    <cellStyle name="Comma 2 5 4 8 4 2" xfId="43337"/>
    <cellStyle name="Comma 2 5 4 8 4 3" xfId="36913"/>
    <cellStyle name="Comma 2 5 4 8 5" xfId="21757"/>
    <cellStyle name="Comma 2 5 4 8 5 2" xfId="40130"/>
    <cellStyle name="Comma 2 5 4 8 6" xfId="22830"/>
    <cellStyle name="Comma 2 5 4 8 7" xfId="23908"/>
    <cellStyle name="Comma 2 5 4 8 8" xfId="27152"/>
    <cellStyle name="Comma 2 5 4 8 9" xfId="30485"/>
    <cellStyle name="Comma 2 5 4 9" xfId="1483"/>
    <cellStyle name="Comma 2 5 4 9 10" xfId="33707"/>
    <cellStyle name="Comma 2 5 4 9 2" xfId="10253"/>
    <cellStyle name="Comma 2 5 4 9 2 2" xfId="26053"/>
    <cellStyle name="Comma 2 5 4 9 2 2 2" xfId="45480"/>
    <cellStyle name="Comma 2 5 4 9 2 2 3" xfId="39057"/>
    <cellStyle name="Comma 2 5 4 9 2 3" xfId="28231"/>
    <cellStyle name="Comma 2 5 4 9 2 3 2" xfId="42273"/>
    <cellStyle name="Comma 2 5 4 9 2 4" xfId="31566"/>
    <cellStyle name="Comma 2 5 4 9 2 5" xfId="35849"/>
    <cellStyle name="Comma 2 5 4 9 3" xfId="15951"/>
    <cellStyle name="Comma 2 5 4 9 3 2" xfId="24966"/>
    <cellStyle name="Comma 2 5 4 9 3 2 2" xfId="44395"/>
    <cellStyle name="Comma 2 5 4 9 3 2 3" xfId="37972"/>
    <cellStyle name="Comma 2 5 4 9 3 3" xfId="29287"/>
    <cellStyle name="Comma 2 5 4 9 3 3 2" xfId="41188"/>
    <cellStyle name="Comma 2 5 4 9 3 4" xfId="32622"/>
    <cellStyle name="Comma 2 5 4 9 3 5" xfId="34764"/>
    <cellStyle name="Comma 2 5 4 9 4" xfId="8769"/>
    <cellStyle name="Comma 2 5 4 9 4 2" xfId="43338"/>
    <cellStyle name="Comma 2 5 4 9 4 3" xfId="36914"/>
    <cellStyle name="Comma 2 5 4 9 5" xfId="21758"/>
    <cellStyle name="Comma 2 5 4 9 5 2" xfId="40131"/>
    <cellStyle name="Comma 2 5 4 9 6" xfId="22831"/>
    <cellStyle name="Comma 2 5 4 9 7" xfId="23909"/>
    <cellStyle name="Comma 2 5 4 9 8" xfId="27153"/>
    <cellStyle name="Comma 2 5 4 9 9" xfId="30486"/>
    <cellStyle name="Comma 2 5 5" xfId="297"/>
    <cellStyle name="Comma 2 5 5 10" xfId="15952"/>
    <cellStyle name="Comma 2 5 5 10 2" xfId="24967"/>
    <cellStyle name="Comma 2 5 5 10 2 2" xfId="44396"/>
    <cellStyle name="Comma 2 5 5 10 2 3" xfId="37973"/>
    <cellStyle name="Comma 2 5 5 10 3" xfId="29288"/>
    <cellStyle name="Comma 2 5 5 10 3 2" xfId="41189"/>
    <cellStyle name="Comma 2 5 5 10 4" xfId="32623"/>
    <cellStyle name="Comma 2 5 5 10 5" xfId="34765"/>
    <cellStyle name="Comma 2 5 5 11" xfId="8770"/>
    <cellStyle name="Comma 2 5 5 11 2" xfId="42497"/>
    <cellStyle name="Comma 2 5 5 11 3" xfId="36073"/>
    <cellStyle name="Comma 2 5 5 12" xfId="21759"/>
    <cellStyle name="Comma 2 5 5 12 2" xfId="39290"/>
    <cellStyle name="Comma 2 5 5 13" xfId="22832"/>
    <cellStyle name="Comma 2 5 5 14" xfId="23068"/>
    <cellStyle name="Comma 2 5 5 15" xfId="27154"/>
    <cellStyle name="Comma 2 5 5 16" xfId="30487"/>
    <cellStyle name="Comma 2 5 5 17" xfId="32866"/>
    <cellStyle name="Comma 2 5 5 2" xfId="298"/>
    <cellStyle name="Comma 2 5 5 2 10" xfId="21760"/>
    <cellStyle name="Comma 2 5 5 2 10 2" xfId="39291"/>
    <cellStyle name="Comma 2 5 5 2 11" xfId="22833"/>
    <cellStyle name="Comma 2 5 5 2 12" xfId="23069"/>
    <cellStyle name="Comma 2 5 5 2 13" xfId="27155"/>
    <cellStyle name="Comma 2 5 5 2 14" xfId="30488"/>
    <cellStyle name="Comma 2 5 5 2 15" xfId="32867"/>
    <cellStyle name="Comma 2 5 5 2 2" xfId="1484"/>
    <cellStyle name="Comma 2 5 5 2 2 10" xfId="33708"/>
    <cellStyle name="Comma 2 5 5 2 2 2" xfId="10254"/>
    <cellStyle name="Comma 2 5 5 2 2 2 2" xfId="26054"/>
    <cellStyle name="Comma 2 5 5 2 2 2 2 2" xfId="45481"/>
    <cellStyle name="Comma 2 5 5 2 2 2 2 3" xfId="39058"/>
    <cellStyle name="Comma 2 5 5 2 2 2 3" xfId="28232"/>
    <cellStyle name="Comma 2 5 5 2 2 2 3 2" xfId="42274"/>
    <cellStyle name="Comma 2 5 5 2 2 2 4" xfId="31567"/>
    <cellStyle name="Comma 2 5 5 2 2 2 5" xfId="35850"/>
    <cellStyle name="Comma 2 5 5 2 2 3" xfId="15954"/>
    <cellStyle name="Comma 2 5 5 2 2 3 2" xfId="24969"/>
    <cellStyle name="Comma 2 5 5 2 2 3 2 2" xfId="44398"/>
    <cellStyle name="Comma 2 5 5 2 2 3 2 3" xfId="37975"/>
    <cellStyle name="Comma 2 5 5 2 2 3 3" xfId="29290"/>
    <cellStyle name="Comma 2 5 5 2 2 3 3 2" xfId="41191"/>
    <cellStyle name="Comma 2 5 5 2 2 3 4" xfId="32625"/>
    <cellStyle name="Comma 2 5 5 2 2 3 5" xfId="34767"/>
    <cellStyle name="Comma 2 5 5 2 2 4" xfId="8772"/>
    <cellStyle name="Comma 2 5 5 2 2 4 2" xfId="43339"/>
    <cellStyle name="Comma 2 5 5 2 2 4 3" xfId="36915"/>
    <cellStyle name="Comma 2 5 5 2 2 5" xfId="21761"/>
    <cellStyle name="Comma 2 5 5 2 2 5 2" xfId="40132"/>
    <cellStyle name="Comma 2 5 5 2 2 6" xfId="22834"/>
    <cellStyle name="Comma 2 5 5 2 2 7" xfId="23910"/>
    <cellStyle name="Comma 2 5 5 2 2 8" xfId="27156"/>
    <cellStyle name="Comma 2 5 5 2 2 9" xfId="30489"/>
    <cellStyle name="Comma 2 5 5 2 3" xfId="1485"/>
    <cellStyle name="Comma 2 5 5 2 3 10" xfId="33709"/>
    <cellStyle name="Comma 2 5 5 2 3 2" xfId="10255"/>
    <cellStyle name="Comma 2 5 5 2 3 2 2" xfId="26055"/>
    <cellStyle name="Comma 2 5 5 2 3 2 2 2" xfId="45482"/>
    <cellStyle name="Comma 2 5 5 2 3 2 2 3" xfId="39059"/>
    <cellStyle name="Comma 2 5 5 2 3 2 3" xfId="28233"/>
    <cellStyle name="Comma 2 5 5 2 3 2 3 2" xfId="42275"/>
    <cellStyle name="Comma 2 5 5 2 3 2 4" xfId="31568"/>
    <cellStyle name="Comma 2 5 5 2 3 2 5" xfId="35851"/>
    <cellStyle name="Comma 2 5 5 2 3 3" xfId="15955"/>
    <cellStyle name="Comma 2 5 5 2 3 3 2" xfId="24970"/>
    <cellStyle name="Comma 2 5 5 2 3 3 2 2" xfId="44399"/>
    <cellStyle name="Comma 2 5 5 2 3 3 2 3" xfId="37976"/>
    <cellStyle name="Comma 2 5 5 2 3 3 3" xfId="29291"/>
    <cellStyle name="Comma 2 5 5 2 3 3 3 2" xfId="41192"/>
    <cellStyle name="Comma 2 5 5 2 3 3 4" xfId="32626"/>
    <cellStyle name="Comma 2 5 5 2 3 3 5" xfId="34768"/>
    <cellStyle name="Comma 2 5 5 2 3 4" xfId="8773"/>
    <cellStyle name="Comma 2 5 5 2 3 4 2" xfId="43340"/>
    <cellStyle name="Comma 2 5 5 2 3 4 3" xfId="36916"/>
    <cellStyle name="Comma 2 5 5 2 3 5" xfId="21762"/>
    <cellStyle name="Comma 2 5 5 2 3 5 2" xfId="40133"/>
    <cellStyle name="Comma 2 5 5 2 3 6" xfId="22835"/>
    <cellStyle name="Comma 2 5 5 2 3 7" xfId="23911"/>
    <cellStyle name="Comma 2 5 5 2 3 8" xfId="27157"/>
    <cellStyle name="Comma 2 5 5 2 3 9" xfId="30490"/>
    <cellStyle name="Comma 2 5 5 2 4" xfId="1486"/>
    <cellStyle name="Comma 2 5 5 2 4 10" xfId="33710"/>
    <cellStyle name="Comma 2 5 5 2 4 2" xfId="10256"/>
    <cellStyle name="Comma 2 5 5 2 4 2 2" xfId="26056"/>
    <cellStyle name="Comma 2 5 5 2 4 2 2 2" xfId="45483"/>
    <cellStyle name="Comma 2 5 5 2 4 2 2 3" xfId="39060"/>
    <cellStyle name="Comma 2 5 5 2 4 2 3" xfId="28234"/>
    <cellStyle name="Comma 2 5 5 2 4 2 3 2" xfId="42276"/>
    <cellStyle name="Comma 2 5 5 2 4 2 4" xfId="31569"/>
    <cellStyle name="Comma 2 5 5 2 4 2 5" xfId="35852"/>
    <cellStyle name="Comma 2 5 5 2 4 3" xfId="15956"/>
    <cellStyle name="Comma 2 5 5 2 4 3 2" xfId="24971"/>
    <cellStyle name="Comma 2 5 5 2 4 3 2 2" xfId="44400"/>
    <cellStyle name="Comma 2 5 5 2 4 3 2 3" xfId="37977"/>
    <cellStyle name="Comma 2 5 5 2 4 3 3" xfId="29292"/>
    <cellStyle name="Comma 2 5 5 2 4 3 3 2" xfId="41193"/>
    <cellStyle name="Comma 2 5 5 2 4 3 4" xfId="32627"/>
    <cellStyle name="Comma 2 5 5 2 4 3 5" xfId="34769"/>
    <cellStyle name="Comma 2 5 5 2 4 4" xfId="8774"/>
    <cellStyle name="Comma 2 5 5 2 4 4 2" xfId="43341"/>
    <cellStyle name="Comma 2 5 5 2 4 4 3" xfId="36917"/>
    <cellStyle name="Comma 2 5 5 2 4 5" xfId="21763"/>
    <cellStyle name="Comma 2 5 5 2 4 5 2" xfId="40134"/>
    <cellStyle name="Comma 2 5 5 2 4 6" xfId="22836"/>
    <cellStyle name="Comma 2 5 5 2 4 7" xfId="23912"/>
    <cellStyle name="Comma 2 5 5 2 4 8" xfId="27158"/>
    <cellStyle name="Comma 2 5 5 2 4 9" xfId="30491"/>
    <cellStyle name="Comma 2 5 5 2 5" xfId="1487"/>
    <cellStyle name="Comma 2 5 5 2 5 10" xfId="33711"/>
    <cellStyle name="Comma 2 5 5 2 5 2" xfId="10257"/>
    <cellStyle name="Comma 2 5 5 2 5 2 2" xfId="26057"/>
    <cellStyle name="Comma 2 5 5 2 5 2 2 2" xfId="45484"/>
    <cellStyle name="Comma 2 5 5 2 5 2 2 3" xfId="39061"/>
    <cellStyle name="Comma 2 5 5 2 5 2 3" xfId="28235"/>
    <cellStyle name="Comma 2 5 5 2 5 2 3 2" xfId="42277"/>
    <cellStyle name="Comma 2 5 5 2 5 2 4" xfId="31570"/>
    <cellStyle name="Comma 2 5 5 2 5 2 5" xfId="35853"/>
    <cellStyle name="Comma 2 5 5 2 5 3" xfId="15957"/>
    <cellStyle name="Comma 2 5 5 2 5 3 2" xfId="24972"/>
    <cellStyle name="Comma 2 5 5 2 5 3 2 2" xfId="44401"/>
    <cellStyle name="Comma 2 5 5 2 5 3 2 3" xfId="37978"/>
    <cellStyle name="Comma 2 5 5 2 5 3 3" xfId="29293"/>
    <cellStyle name="Comma 2 5 5 2 5 3 3 2" xfId="41194"/>
    <cellStyle name="Comma 2 5 5 2 5 3 4" xfId="32628"/>
    <cellStyle name="Comma 2 5 5 2 5 3 5" xfId="34770"/>
    <cellStyle name="Comma 2 5 5 2 5 4" xfId="8775"/>
    <cellStyle name="Comma 2 5 5 2 5 4 2" xfId="43342"/>
    <cellStyle name="Comma 2 5 5 2 5 4 3" xfId="36918"/>
    <cellStyle name="Comma 2 5 5 2 5 5" xfId="21764"/>
    <cellStyle name="Comma 2 5 5 2 5 5 2" xfId="40135"/>
    <cellStyle name="Comma 2 5 5 2 5 6" xfId="22837"/>
    <cellStyle name="Comma 2 5 5 2 5 7" xfId="23913"/>
    <cellStyle name="Comma 2 5 5 2 5 8" xfId="27159"/>
    <cellStyle name="Comma 2 5 5 2 5 9" xfId="30492"/>
    <cellStyle name="Comma 2 5 5 2 6" xfId="1488"/>
    <cellStyle name="Comma 2 5 5 2 6 10" xfId="33712"/>
    <cellStyle name="Comma 2 5 5 2 6 2" xfId="10258"/>
    <cellStyle name="Comma 2 5 5 2 6 2 2" xfId="26058"/>
    <cellStyle name="Comma 2 5 5 2 6 2 2 2" xfId="45485"/>
    <cellStyle name="Comma 2 5 5 2 6 2 2 3" xfId="39062"/>
    <cellStyle name="Comma 2 5 5 2 6 2 3" xfId="28236"/>
    <cellStyle name="Comma 2 5 5 2 6 2 3 2" xfId="42278"/>
    <cellStyle name="Comma 2 5 5 2 6 2 4" xfId="31571"/>
    <cellStyle name="Comma 2 5 5 2 6 2 5" xfId="35854"/>
    <cellStyle name="Comma 2 5 5 2 6 3" xfId="15958"/>
    <cellStyle name="Comma 2 5 5 2 6 3 2" xfId="24973"/>
    <cellStyle name="Comma 2 5 5 2 6 3 2 2" xfId="44402"/>
    <cellStyle name="Comma 2 5 5 2 6 3 2 3" xfId="37979"/>
    <cellStyle name="Comma 2 5 5 2 6 3 3" xfId="29294"/>
    <cellStyle name="Comma 2 5 5 2 6 3 3 2" xfId="41195"/>
    <cellStyle name="Comma 2 5 5 2 6 3 4" xfId="32629"/>
    <cellStyle name="Comma 2 5 5 2 6 3 5" xfId="34771"/>
    <cellStyle name="Comma 2 5 5 2 6 4" xfId="8776"/>
    <cellStyle name="Comma 2 5 5 2 6 4 2" xfId="43343"/>
    <cellStyle name="Comma 2 5 5 2 6 4 3" xfId="36919"/>
    <cellStyle name="Comma 2 5 5 2 6 5" xfId="21765"/>
    <cellStyle name="Comma 2 5 5 2 6 5 2" xfId="40136"/>
    <cellStyle name="Comma 2 5 5 2 6 6" xfId="22838"/>
    <cellStyle name="Comma 2 5 5 2 6 7" xfId="23914"/>
    <cellStyle name="Comma 2 5 5 2 6 8" xfId="27160"/>
    <cellStyle name="Comma 2 5 5 2 6 9" xfId="30493"/>
    <cellStyle name="Comma 2 5 5 2 7" xfId="9154"/>
    <cellStyle name="Comma 2 5 5 2 7 2" xfId="25208"/>
    <cellStyle name="Comma 2 5 5 2 7 2 2" xfId="44635"/>
    <cellStyle name="Comma 2 5 5 2 7 2 3" xfId="38212"/>
    <cellStyle name="Comma 2 5 5 2 7 3" xfId="27387"/>
    <cellStyle name="Comma 2 5 5 2 7 3 2" xfId="41428"/>
    <cellStyle name="Comma 2 5 5 2 7 4" xfId="30722"/>
    <cellStyle name="Comma 2 5 5 2 7 5" xfId="35004"/>
    <cellStyle name="Comma 2 5 5 2 8" xfId="15953"/>
    <cellStyle name="Comma 2 5 5 2 8 2" xfId="24968"/>
    <cellStyle name="Comma 2 5 5 2 8 2 2" xfId="44397"/>
    <cellStyle name="Comma 2 5 5 2 8 2 3" xfId="37974"/>
    <cellStyle name="Comma 2 5 5 2 8 3" xfId="29289"/>
    <cellStyle name="Comma 2 5 5 2 8 3 2" xfId="41190"/>
    <cellStyle name="Comma 2 5 5 2 8 4" xfId="32624"/>
    <cellStyle name="Comma 2 5 5 2 8 5" xfId="34766"/>
    <cellStyle name="Comma 2 5 5 2 9" xfId="8771"/>
    <cellStyle name="Comma 2 5 5 2 9 2" xfId="42498"/>
    <cellStyle name="Comma 2 5 5 2 9 3" xfId="36074"/>
    <cellStyle name="Comma 2 5 5 3" xfId="1489"/>
    <cellStyle name="Comma 2 5 5 3 10" xfId="22839"/>
    <cellStyle name="Comma 2 5 5 3 11" xfId="23915"/>
    <cellStyle name="Comma 2 5 5 3 12" xfId="27161"/>
    <cellStyle name="Comma 2 5 5 3 13" xfId="30494"/>
    <cellStyle name="Comma 2 5 5 3 14" xfId="33713"/>
    <cellStyle name="Comma 2 5 5 3 2" xfId="1490"/>
    <cellStyle name="Comma 2 5 5 3 2 10" xfId="33714"/>
    <cellStyle name="Comma 2 5 5 3 2 2" xfId="10260"/>
    <cellStyle name="Comma 2 5 5 3 2 2 2" xfId="26060"/>
    <cellStyle name="Comma 2 5 5 3 2 2 2 2" xfId="45487"/>
    <cellStyle name="Comma 2 5 5 3 2 2 2 3" xfId="39064"/>
    <cellStyle name="Comma 2 5 5 3 2 2 3" xfId="28238"/>
    <cellStyle name="Comma 2 5 5 3 2 2 3 2" xfId="42280"/>
    <cellStyle name="Comma 2 5 5 3 2 2 4" xfId="31573"/>
    <cellStyle name="Comma 2 5 5 3 2 2 5" xfId="35856"/>
    <cellStyle name="Comma 2 5 5 3 2 3" xfId="15960"/>
    <cellStyle name="Comma 2 5 5 3 2 3 2" xfId="24975"/>
    <cellStyle name="Comma 2 5 5 3 2 3 2 2" xfId="44404"/>
    <cellStyle name="Comma 2 5 5 3 2 3 2 3" xfId="37981"/>
    <cellStyle name="Comma 2 5 5 3 2 3 3" xfId="29296"/>
    <cellStyle name="Comma 2 5 5 3 2 3 3 2" xfId="41197"/>
    <cellStyle name="Comma 2 5 5 3 2 3 4" xfId="32631"/>
    <cellStyle name="Comma 2 5 5 3 2 3 5" xfId="34773"/>
    <cellStyle name="Comma 2 5 5 3 2 4" xfId="8778"/>
    <cellStyle name="Comma 2 5 5 3 2 4 2" xfId="43345"/>
    <cellStyle name="Comma 2 5 5 3 2 4 3" xfId="36921"/>
    <cellStyle name="Comma 2 5 5 3 2 5" xfId="21767"/>
    <cellStyle name="Comma 2 5 5 3 2 5 2" xfId="40138"/>
    <cellStyle name="Comma 2 5 5 3 2 6" xfId="22840"/>
    <cellStyle name="Comma 2 5 5 3 2 7" xfId="23916"/>
    <cellStyle name="Comma 2 5 5 3 2 8" xfId="27162"/>
    <cellStyle name="Comma 2 5 5 3 2 9" xfId="30495"/>
    <cellStyle name="Comma 2 5 5 3 3" xfId="1491"/>
    <cellStyle name="Comma 2 5 5 3 3 10" xfId="33715"/>
    <cellStyle name="Comma 2 5 5 3 3 2" xfId="10261"/>
    <cellStyle name="Comma 2 5 5 3 3 2 2" xfId="26061"/>
    <cellStyle name="Comma 2 5 5 3 3 2 2 2" xfId="45488"/>
    <cellStyle name="Comma 2 5 5 3 3 2 2 3" xfId="39065"/>
    <cellStyle name="Comma 2 5 5 3 3 2 3" xfId="28239"/>
    <cellStyle name="Comma 2 5 5 3 3 2 3 2" xfId="42281"/>
    <cellStyle name="Comma 2 5 5 3 3 2 4" xfId="31574"/>
    <cellStyle name="Comma 2 5 5 3 3 2 5" xfId="35857"/>
    <cellStyle name="Comma 2 5 5 3 3 3" xfId="15961"/>
    <cellStyle name="Comma 2 5 5 3 3 3 2" xfId="24976"/>
    <cellStyle name="Comma 2 5 5 3 3 3 2 2" xfId="44405"/>
    <cellStyle name="Comma 2 5 5 3 3 3 2 3" xfId="37982"/>
    <cellStyle name="Comma 2 5 5 3 3 3 3" xfId="29297"/>
    <cellStyle name="Comma 2 5 5 3 3 3 3 2" xfId="41198"/>
    <cellStyle name="Comma 2 5 5 3 3 3 4" xfId="32632"/>
    <cellStyle name="Comma 2 5 5 3 3 3 5" xfId="34774"/>
    <cellStyle name="Comma 2 5 5 3 3 4" xfId="8779"/>
    <cellStyle name="Comma 2 5 5 3 3 4 2" xfId="43346"/>
    <cellStyle name="Comma 2 5 5 3 3 4 3" xfId="36922"/>
    <cellStyle name="Comma 2 5 5 3 3 5" xfId="21768"/>
    <cellStyle name="Comma 2 5 5 3 3 5 2" xfId="40139"/>
    <cellStyle name="Comma 2 5 5 3 3 6" xfId="22841"/>
    <cellStyle name="Comma 2 5 5 3 3 7" xfId="23917"/>
    <cellStyle name="Comma 2 5 5 3 3 8" xfId="27163"/>
    <cellStyle name="Comma 2 5 5 3 3 9" xfId="30496"/>
    <cellStyle name="Comma 2 5 5 3 4" xfId="1492"/>
    <cellStyle name="Comma 2 5 5 3 4 10" xfId="33716"/>
    <cellStyle name="Comma 2 5 5 3 4 2" xfId="10262"/>
    <cellStyle name="Comma 2 5 5 3 4 2 2" xfId="26062"/>
    <cellStyle name="Comma 2 5 5 3 4 2 2 2" xfId="45489"/>
    <cellStyle name="Comma 2 5 5 3 4 2 2 3" xfId="39066"/>
    <cellStyle name="Comma 2 5 5 3 4 2 3" xfId="28240"/>
    <cellStyle name="Comma 2 5 5 3 4 2 3 2" xfId="42282"/>
    <cellStyle name="Comma 2 5 5 3 4 2 4" xfId="31575"/>
    <cellStyle name="Comma 2 5 5 3 4 2 5" xfId="35858"/>
    <cellStyle name="Comma 2 5 5 3 4 3" xfId="15962"/>
    <cellStyle name="Comma 2 5 5 3 4 3 2" xfId="24977"/>
    <cellStyle name="Comma 2 5 5 3 4 3 2 2" xfId="44406"/>
    <cellStyle name="Comma 2 5 5 3 4 3 2 3" xfId="37983"/>
    <cellStyle name="Comma 2 5 5 3 4 3 3" xfId="29298"/>
    <cellStyle name="Comma 2 5 5 3 4 3 3 2" xfId="41199"/>
    <cellStyle name="Comma 2 5 5 3 4 3 4" xfId="32633"/>
    <cellStyle name="Comma 2 5 5 3 4 3 5" xfId="34775"/>
    <cellStyle name="Comma 2 5 5 3 4 4" xfId="8780"/>
    <cellStyle name="Comma 2 5 5 3 4 4 2" xfId="43347"/>
    <cellStyle name="Comma 2 5 5 3 4 4 3" xfId="36923"/>
    <cellStyle name="Comma 2 5 5 3 4 5" xfId="21769"/>
    <cellStyle name="Comma 2 5 5 3 4 5 2" xfId="40140"/>
    <cellStyle name="Comma 2 5 5 3 4 6" xfId="22842"/>
    <cellStyle name="Comma 2 5 5 3 4 7" xfId="23918"/>
    <cellStyle name="Comma 2 5 5 3 4 8" xfId="27164"/>
    <cellStyle name="Comma 2 5 5 3 4 9" xfId="30497"/>
    <cellStyle name="Comma 2 5 5 3 5" xfId="1493"/>
    <cellStyle name="Comma 2 5 5 3 5 10" xfId="33717"/>
    <cellStyle name="Comma 2 5 5 3 5 2" xfId="10263"/>
    <cellStyle name="Comma 2 5 5 3 5 2 2" xfId="26063"/>
    <cellStyle name="Comma 2 5 5 3 5 2 2 2" xfId="45490"/>
    <cellStyle name="Comma 2 5 5 3 5 2 2 3" xfId="39067"/>
    <cellStyle name="Comma 2 5 5 3 5 2 3" xfId="28241"/>
    <cellStyle name="Comma 2 5 5 3 5 2 3 2" xfId="42283"/>
    <cellStyle name="Comma 2 5 5 3 5 2 4" xfId="31576"/>
    <cellStyle name="Comma 2 5 5 3 5 2 5" xfId="35859"/>
    <cellStyle name="Comma 2 5 5 3 5 3" xfId="15963"/>
    <cellStyle name="Comma 2 5 5 3 5 3 2" xfId="24978"/>
    <cellStyle name="Comma 2 5 5 3 5 3 2 2" xfId="44407"/>
    <cellStyle name="Comma 2 5 5 3 5 3 2 3" xfId="37984"/>
    <cellStyle name="Comma 2 5 5 3 5 3 3" xfId="29299"/>
    <cellStyle name="Comma 2 5 5 3 5 3 3 2" xfId="41200"/>
    <cellStyle name="Comma 2 5 5 3 5 3 4" xfId="32634"/>
    <cellStyle name="Comma 2 5 5 3 5 3 5" xfId="34776"/>
    <cellStyle name="Comma 2 5 5 3 5 4" xfId="8781"/>
    <cellStyle name="Comma 2 5 5 3 5 4 2" xfId="43348"/>
    <cellStyle name="Comma 2 5 5 3 5 4 3" xfId="36924"/>
    <cellStyle name="Comma 2 5 5 3 5 5" xfId="21770"/>
    <cellStyle name="Comma 2 5 5 3 5 5 2" xfId="40141"/>
    <cellStyle name="Comma 2 5 5 3 5 6" xfId="22843"/>
    <cellStyle name="Comma 2 5 5 3 5 7" xfId="23919"/>
    <cellStyle name="Comma 2 5 5 3 5 8" xfId="27165"/>
    <cellStyle name="Comma 2 5 5 3 5 9" xfId="30498"/>
    <cellStyle name="Comma 2 5 5 3 6" xfId="10259"/>
    <cellStyle name="Comma 2 5 5 3 6 2" xfId="26059"/>
    <cellStyle name="Comma 2 5 5 3 6 2 2" xfId="45486"/>
    <cellStyle name="Comma 2 5 5 3 6 2 3" xfId="39063"/>
    <cellStyle name="Comma 2 5 5 3 6 3" xfId="28237"/>
    <cellStyle name="Comma 2 5 5 3 6 3 2" xfId="42279"/>
    <cellStyle name="Comma 2 5 5 3 6 4" xfId="31572"/>
    <cellStyle name="Comma 2 5 5 3 6 5" xfId="35855"/>
    <cellStyle name="Comma 2 5 5 3 7" xfId="15959"/>
    <cellStyle name="Comma 2 5 5 3 7 2" xfId="24974"/>
    <cellStyle name="Comma 2 5 5 3 7 2 2" xfId="44403"/>
    <cellStyle name="Comma 2 5 5 3 7 2 3" xfId="37980"/>
    <cellStyle name="Comma 2 5 5 3 7 3" xfId="29295"/>
    <cellStyle name="Comma 2 5 5 3 7 3 2" xfId="41196"/>
    <cellStyle name="Comma 2 5 5 3 7 4" xfId="32630"/>
    <cellStyle name="Comma 2 5 5 3 7 5" xfId="34772"/>
    <cellStyle name="Comma 2 5 5 3 8" xfId="8777"/>
    <cellStyle name="Comma 2 5 5 3 8 2" xfId="43344"/>
    <cellStyle name="Comma 2 5 5 3 8 3" xfId="36920"/>
    <cellStyle name="Comma 2 5 5 3 9" xfId="21766"/>
    <cellStyle name="Comma 2 5 5 3 9 2" xfId="40137"/>
    <cellStyle name="Comma 2 5 5 4" xfId="1494"/>
    <cellStyle name="Comma 2 5 5 4 10" xfId="33718"/>
    <cellStyle name="Comma 2 5 5 4 2" xfId="10264"/>
    <cellStyle name="Comma 2 5 5 4 2 2" xfId="26064"/>
    <cellStyle name="Comma 2 5 5 4 2 2 2" xfId="45491"/>
    <cellStyle name="Comma 2 5 5 4 2 2 3" xfId="39068"/>
    <cellStyle name="Comma 2 5 5 4 2 3" xfId="28242"/>
    <cellStyle name="Comma 2 5 5 4 2 3 2" xfId="42284"/>
    <cellStyle name="Comma 2 5 5 4 2 4" xfId="31577"/>
    <cellStyle name="Comma 2 5 5 4 2 5" xfId="35860"/>
    <cellStyle name="Comma 2 5 5 4 3" xfId="15964"/>
    <cellStyle name="Comma 2 5 5 4 3 2" xfId="24979"/>
    <cellStyle name="Comma 2 5 5 4 3 2 2" xfId="44408"/>
    <cellStyle name="Comma 2 5 5 4 3 2 3" xfId="37985"/>
    <cellStyle name="Comma 2 5 5 4 3 3" xfId="29300"/>
    <cellStyle name="Comma 2 5 5 4 3 3 2" xfId="41201"/>
    <cellStyle name="Comma 2 5 5 4 3 4" xfId="32635"/>
    <cellStyle name="Comma 2 5 5 4 3 5" xfId="34777"/>
    <cellStyle name="Comma 2 5 5 4 4" xfId="8782"/>
    <cellStyle name="Comma 2 5 5 4 4 2" xfId="43349"/>
    <cellStyle name="Comma 2 5 5 4 4 3" xfId="36925"/>
    <cellStyle name="Comma 2 5 5 4 5" xfId="21771"/>
    <cellStyle name="Comma 2 5 5 4 5 2" xfId="40142"/>
    <cellStyle name="Comma 2 5 5 4 6" xfId="22844"/>
    <cellStyle name="Comma 2 5 5 4 7" xfId="23920"/>
    <cellStyle name="Comma 2 5 5 4 8" xfId="27166"/>
    <cellStyle name="Comma 2 5 5 4 9" xfId="30499"/>
    <cellStyle name="Comma 2 5 5 5" xfId="1495"/>
    <cellStyle name="Comma 2 5 5 5 10" xfId="33719"/>
    <cellStyle name="Comma 2 5 5 5 2" xfId="10265"/>
    <cellStyle name="Comma 2 5 5 5 2 2" xfId="26065"/>
    <cellStyle name="Comma 2 5 5 5 2 2 2" xfId="45492"/>
    <cellStyle name="Comma 2 5 5 5 2 2 3" xfId="39069"/>
    <cellStyle name="Comma 2 5 5 5 2 3" xfId="28243"/>
    <cellStyle name="Comma 2 5 5 5 2 3 2" xfId="42285"/>
    <cellStyle name="Comma 2 5 5 5 2 4" xfId="31578"/>
    <cellStyle name="Comma 2 5 5 5 2 5" xfId="35861"/>
    <cellStyle name="Comma 2 5 5 5 3" xfId="15965"/>
    <cellStyle name="Comma 2 5 5 5 3 2" xfId="24980"/>
    <cellStyle name="Comma 2 5 5 5 3 2 2" xfId="44409"/>
    <cellStyle name="Comma 2 5 5 5 3 2 3" xfId="37986"/>
    <cellStyle name="Comma 2 5 5 5 3 3" xfId="29301"/>
    <cellStyle name="Comma 2 5 5 5 3 3 2" xfId="41202"/>
    <cellStyle name="Comma 2 5 5 5 3 4" xfId="32636"/>
    <cellStyle name="Comma 2 5 5 5 3 5" xfId="34778"/>
    <cellStyle name="Comma 2 5 5 5 4" xfId="8783"/>
    <cellStyle name="Comma 2 5 5 5 4 2" xfId="43350"/>
    <cellStyle name="Comma 2 5 5 5 4 3" xfId="36926"/>
    <cellStyle name="Comma 2 5 5 5 5" xfId="21772"/>
    <cellStyle name="Comma 2 5 5 5 5 2" xfId="40143"/>
    <cellStyle name="Comma 2 5 5 5 6" xfId="22845"/>
    <cellStyle name="Comma 2 5 5 5 7" xfId="23921"/>
    <cellStyle name="Comma 2 5 5 5 8" xfId="27167"/>
    <cellStyle name="Comma 2 5 5 5 9" xfId="30500"/>
    <cellStyle name="Comma 2 5 5 6" xfId="1496"/>
    <cellStyle name="Comma 2 5 5 6 10" xfId="33720"/>
    <cellStyle name="Comma 2 5 5 6 2" xfId="10266"/>
    <cellStyle name="Comma 2 5 5 6 2 2" xfId="26066"/>
    <cellStyle name="Comma 2 5 5 6 2 2 2" xfId="45493"/>
    <cellStyle name="Comma 2 5 5 6 2 2 3" xfId="39070"/>
    <cellStyle name="Comma 2 5 5 6 2 3" xfId="28244"/>
    <cellStyle name="Comma 2 5 5 6 2 3 2" xfId="42286"/>
    <cellStyle name="Comma 2 5 5 6 2 4" xfId="31579"/>
    <cellStyle name="Comma 2 5 5 6 2 5" xfId="35862"/>
    <cellStyle name="Comma 2 5 5 6 3" xfId="15966"/>
    <cellStyle name="Comma 2 5 5 6 3 2" xfId="24981"/>
    <cellStyle name="Comma 2 5 5 6 3 2 2" xfId="44410"/>
    <cellStyle name="Comma 2 5 5 6 3 2 3" xfId="37987"/>
    <cellStyle name="Comma 2 5 5 6 3 3" xfId="29302"/>
    <cellStyle name="Comma 2 5 5 6 3 3 2" xfId="41203"/>
    <cellStyle name="Comma 2 5 5 6 3 4" xfId="32637"/>
    <cellStyle name="Comma 2 5 5 6 3 5" xfId="34779"/>
    <cellStyle name="Comma 2 5 5 6 4" xfId="8784"/>
    <cellStyle name="Comma 2 5 5 6 4 2" xfId="43351"/>
    <cellStyle name="Comma 2 5 5 6 4 3" xfId="36927"/>
    <cellStyle name="Comma 2 5 5 6 5" xfId="21773"/>
    <cellStyle name="Comma 2 5 5 6 5 2" xfId="40144"/>
    <cellStyle name="Comma 2 5 5 6 6" xfId="22846"/>
    <cellStyle name="Comma 2 5 5 6 7" xfId="23922"/>
    <cellStyle name="Comma 2 5 5 6 8" xfId="27168"/>
    <cellStyle name="Comma 2 5 5 6 9" xfId="30501"/>
    <cellStyle name="Comma 2 5 5 7" xfId="1497"/>
    <cellStyle name="Comma 2 5 5 7 10" xfId="33721"/>
    <cellStyle name="Comma 2 5 5 7 2" xfId="10267"/>
    <cellStyle name="Comma 2 5 5 7 2 2" xfId="26067"/>
    <cellStyle name="Comma 2 5 5 7 2 2 2" xfId="45494"/>
    <cellStyle name="Comma 2 5 5 7 2 2 3" xfId="39071"/>
    <cellStyle name="Comma 2 5 5 7 2 3" xfId="28245"/>
    <cellStyle name="Comma 2 5 5 7 2 3 2" xfId="42287"/>
    <cellStyle name="Comma 2 5 5 7 2 4" xfId="31580"/>
    <cellStyle name="Comma 2 5 5 7 2 5" xfId="35863"/>
    <cellStyle name="Comma 2 5 5 7 3" xfId="15967"/>
    <cellStyle name="Comma 2 5 5 7 3 2" xfId="24982"/>
    <cellStyle name="Comma 2 5 5 7 3 2 2" xfId="44411"/>
    <cellStyle name="Comma 2 5 5 7 3 2 3" xfId="37988"/>
    <cellStyle name="Comma 2 5 5 7 3 3" xfId="29303"/>
    <cellStyle name="Comma 2 5 5 7 3 3 2" xfId="41204"/>
    <cellStyle name="Comma 2 5 5 7 3 4" xfId="32638"/>
    <cellStyle name="Comma 2 5 5 7 3 5" xfId="34780"/>
    <cellStyle name="Comma 2 5 5 7 4" xfId="8785"/>
    <cellStyle name="Comma 2 5 5 7 4 2" xfId="43352"/>
    <cellStyle name="Comma 2 5 5 7 4 3" xfId="36928"/>
    <cellStyle name="Comma 2 5 5 7 5" xfId="21774"/>
    <cellStyle name="Comma 2 5 5 7 5 2" xfId="40145"/>
    <cellStyle name="Comma 2 5 5 7 6" xfId="22847"/>
    <cellStyle name="Comma 2 5 5 7 7" xfId="23923"/>
    <cellStyle name="Comma 2 5 5 7 8" xfId="27169"/>
    <cellStyle name="Comma 2 5 5 7 9" xfId="30502"/>
    <cellStyle name="Comma 2 5 5 8" xfId="1498"/>
    <cellStyle name="Comma 2 5 5 8 10" xfId="33722"/>
    <cellStyle name="Comma 2 5 5 8 2" xfId="10268"/>
    <cellStyle name="Comma 2 5 5 8 2 2" xfId="26068"/>
    <cellStyle name="Comma 2 5 5 8 2 2 2" xfId="45495"/>
    <cellStyle name="Comma 2 5 5 8 2 2 3" xfId="39072"/>
    <cellStyle name="Comma 2 5 5 8 2 3" xfId="28246"/>
    <cellStyle name="Comma 2 5 5 8 2 3 2" xfId="42288"/>
    <cellStyle name="Comma 2 5 5 8 2 4" xfId="31581"/>
    <cellStyle name="Comma 2 5 5 8 2 5" xfId="35864"/>
    <cellStyle name="Comma 2 5 5 8 3" xfId="15968"/>
    <cellStyle name="Comma 2 5 5 8 3 2" xfId="24983"/>
    <cellStyle name="Comma 2 5 5 8 3 2 2" xfId="44412"/>
    <cellStyle name="Comma 2 5 5 8 3 2 3" xfId="37989"/>
    <cellStyle name="Comma 2 5 5 8 3 3" xfId="29304"/>
    <cellStyle name="Comma 2 5 5 8 3 3 2" xfId="41205"/>
    <cellStyle name="Comma 2 5 5 8 3 4" xfId="32639"/>
    <cellStyle name="Comma 2 5 5 8 3 5" xfId="34781"/>
    <cellStyle name="Comma 2 5 5 8 4" xfId="8786"/>
    <cellStyle name="Comma 2 5 5 8 4 2" xfId="43353"/>
    <cellStyle name="Comma 2 5 5 8 4 3" xfId="36929"/>
    <cellStyle name="Comma 2 5 5 8 5" xfId="21775"/>
    <cellStyle name="Comma 2 5 5 8 5 2" xfId="40146"/>
    <cellStyle name="Comma 2 5 5 8 6" xfId="22848"/>
    <cellStyle name="Comma 2 5 5 8 7" xfId="23924"/>
    <cellStyle name="Comma 2 5 5 8 8" xfId="27170"/>
    <cellStyle name="Comma 2 5 5 8 9" xfId="30503"/>
    <cellStyle name="Comma 2 5 5 9" xfId="9153"/>
    <cellStyle name="Comma 2 5 5 9 2" xfId="25207"/>
    <cellStyle name="Comma 2 5 5 9 2 2" xfId="44634"/>
    <cellStyle name="Comma 2 5 5 9 2 3" xfId="38211"/>
    <cellStyle name="Comma 2 5 5 9 3" xfId="27386"/>
    <cellStyle name="Comma 2 5 5 9 3 2" xfId="41427"/>
    <cellStyle name="Comma 2 5 5 9 4" xfId="30721"/>
    <cellStyle name="Comma 2 5 5 9 5" xfId="35003"/>
    <cellStyle name="Comma 2 5 6" xfId="299"/>
    <cellStyle name="Comma 2 5 6 10" xfId="21776"/>
    <cellStyle name="Comma 2 5 6 10 2" xfId="39292"/>
    <cellStyle name="Comma 2 5 6 11" xfId="22849"/>
    <cellStyle name="Comma 2 5 6 12" xfId="23070"/>
    <cellStyle name="Comma 2 5 6 13" xfId="27171"/>
    <cellStyle name="Comma 2 5 6 14" xfId="30504"/>
    <cellStyle name="Comma 2 5 6 15" xfId="32868"/>
    <cellStyle name="Comma 2 5 6 2" xfId="1499"/>
    <cellStyle name="Comma 2 5 6 2 10" xfId="33723"/>
    <cellStyle name="Comma 2 5 6 2 2" xfId="10269"/>
    <cellStyle name="Comma 2 5 6 2 2 2" xfId="26069"/>
    <cellStyle name="Comma 2 5 6 2 2 2 2" xfId="45496"/>
    <cellStyle name="Comma 2 5 6 2 2 2 3" xfId="39073"/>
    <cellStyle name="Comma 2 5 6 2 2 3" xfId="28247"/>
    <cellStyle name="Comma 2 5 6 2 2 3 2" xfId="42289"/>
    <cellStyle name="Comma 2 5 6 2 2 4" xfId="31582"/>
    <cellStyle name="Comma 2 5 6 2 2 5" xfId="35865"/>
    <cellStyle name="Comma 2 5 6 2 3" xfId="15970"/>
    <cellStyle name="Comma 2 5 6 2 3 2" xfId="24985"/>
    <cellStyle name="Comma 2 5 6 2 3 2 2" xfId="44414"/>
    <cellStyle name="Comma 2 5 6 2 3 2 3" xfId="37991"/>
    <cellStyle name="Comma 2 5 6 2 3 3" xfId="29306"/>
    <cellStyle name="Comma 2 5 6 2 3 3 2" xfId="41207"/>
    <cellStyle name="Comma 2 5 6 2 3 4" xfId="32641"/>
    <cellStyle name="Comma 2 5 6 2 3 5" xfId="34783"/>
    <cellStyle name="Comma 2 5 6 2 4" xfId="8788"/>
    <cellStyle name="Comma 2 5 6 2 4 2" xfId="43354"/>
    <cellStyle name="Comma 2 5 6 2 4 3" xfId="36930"/>
    <cellStyle name="Comma 2 5 6 2 5" xfId="21777"/>
    <cellStyle name="Comma 2 5 6 2 5 2" xfId="40147"/>
    <cellStyle name="Comma 2 5 6 2 6" xfId="22850"/>
    <cellStyle name="Comma 2 5 6 2 7" xfId="23925"/>
    <cellStyle name="Comma 2 5 6 2 8" xfId="27172"/>
    <cellStyle name="Comma 2 5 6 2 9" xfId="30505"/>
    <cellStyle name="Comma 2 5 6 3" xfId="1500"/>
    <cellStyle name="Comma 2 5 6 3 10" xfId="33724"/>
    <cellStyle name="Comma 2 5 6 3 2" xfId="10270"/>
    <cellStyle name="Comma 2 5 6 3 2 2" xfId="26070"/>
    <cellStyle name="Comma 2 5 6 3 2 2 2" xfId="45497"/>
    <cellStyle name="Comma 2 5 6 3 2 2 3" xfId="39074"/>
    <cellStyle name="Comma 2 5 6 3 2 3" xfId="28248"/>
    <cellStyle name="Comma 2 5 6 3 2 3 2" xfId="42290"/>
    <cellStyle name="Comma 2 5 6 3 2 4" xfId="31583"/>
    <cellStyle name="Comma 2 5 6 3 2 5" xfId="35866"/>
    <cellStyle name="Comma 2 5 6 3 3" xfId="15971"/>
    <cellStyle name="Comma 2 5 6 3 3 2" xfId="24986"/>
    <cellStyle name="Comma 2 5 6 3 3 2 2" xfId="44415"/>
    <cellStyle name="Comma 2 5 6 3 3 2 3" xfId="37992"/>
    <cellStyle name="Comma 2 5 6 3 3 3" xfId="29307"/>
    <cellStyle name="Comma 2 5 6 3 3 3 2" xfId="41208"/>
    <cellStyle name="Comma 2 5 6 3 3 4" xfId="32642"/>
    <cellStyle name="Comma 2 5 6 3 3 5" xfId="34784"/>
    <cellStyle name="Comma 2 5 6 3 4" xfId="8789"/>
    <cellStyle name="Comma 2 5 6 3 4 2" xfId="43355"/>
    <cellStyle name="Comma 2 5 6 3 4 3" xfId="36931"/>
    <cellStyle name="Comma 2 5 6 3 5" xfId="21778"/>
    <cellStyle name="Comma 2 5 6 3 5 2" xfId="40148"/>
    <cellStyle name="Comma 2 5 6 3 6" xfId="22851"/>
    <cellStyle name="Comma 2 5 6 3 7" xfId="23926"/>
    <cellStyle name="Comma 2 5 6 3 8" xfId="27173"/>
    <cellStyle name="Comma 2 5 6 3 9" xfId="30506"/>
    <cellStyle name="Comma 2 5 6 4" xfId="1501"/>
    <cellStyle name="Comma 2 5 6 4 10" xfId="33725"/>
    <cellStyle name="Comma 2 5 6 4 2" xfId="10271"/>
    <cellStyle name="Comma 2 5 6 4 2 2" xfId="26071"/>
    <cellStyle name="Comma 2 5 6 4 2 2 2" xfId="45498"/>
    <cellStyle name="Comma 2 5 6 4 2 2 3" xfId="39075"/>
    <cellStyle name="Comma 2 5 6 4 2 3" xfId="28249"/>
    <cellStyle name="Comma 2 5 6 4 2 3 2" xfId="42291"/>
    <cellStyle name="Comma 2 5 6 4 2 4" xfId="31584"/>
    <cellStyle name="Comma 2 5 6 4 2 5" xfId="35867"/>
    <cellStyle name="Comma 2 5 6 4 3" xfId="15972"/>
    <cellStyle name="Comma 2 5 6 4 3 2" xfId="24987"/>
    <cellStyle name="Comma 2 5 6 4 3 2 2" xfId="44416"/>
    <cellStyle name="Comma 2 5 6 4 3 2 3" xfId="37993"/>
    <cellStyle name="Comma 2 5 6 4 3 3" xfId="29308"/>
    <cellStyle name="Comma 2 5 6 4 3 3 2" xfId="41209"/>
    <cellStyle name="Comma 2 5 6 4 3 4" xfId="32643"/>
    <cellStyle name="Comma 2 5 6 4 3 5" xfId="34785"/>
    <cellStyle name="Comma 2 5 6 4 4" xfId="8790"/>
    <cellStyle name="Comma 2 5 6 4 4 2" xfId="43356"/>
    <cellStyle name="Comma 2 5 6 4 4 3" xfId="36932"/>
    <cellStyle name="Comma 2 5 6 4 5" xfId="21779"/>
    <cellStyle name="Comma 2 5 6 4 5 2" xfId="40149"/>
    <cellStyle name="Comma 2 5 6 4 6" xfId="22852"/>
    <cellStyle name="Comma 2 5 6 4 7" xfId="23927"/>
    <cellStyle name="Comma 2 5 6 4 8" xfId="27174"/>
    <cellStyle name="Comma 2 5 6 4 9" xfId="30507"/>
    <cellStyle name="Comma 2 5 6 5" xfId="1502"/>
    <cellStyle name="Comma 2 5 6 5 10" xfId="33726"/>
    <cellStyle name="Comma 2 5 6 5 2" xfId="10272"/>
    <cellStyle name="Comma 2 5 6 5 2 2" xfId="26072"/>
    <cellStyle name="Comma 2 5 6 5 2 2 2" xfId="45499"/>
    <cellStyle name="Comma 2 5 6 5 2 2 3" xfId="39076"/>
    <cellStyle name="Comma 2 5 6 5 2 3" xfId="28250"/>
    <cellStyle name="Comma 2 5 6 5 2 3 2" xfId="42292"/>
    <cellStyle name="Comma 2 5 6 5 2 4" xfId="31585"/>
    <cellStyle name="Comma 2 5 6 5 2 5" xfId="35868"/>
    <cellStyle name="Comma 2 5 6 5 3" xfId="15973"/>
    <cellStyle name="Comma 2 5 6 5 3 2" xfId="24988"/>
    <cellStyle name="Comma 2 5 6 5 3 2 2" xfId="44417"/>
    <cellStyle name="Comma 2 5 6 5 3 2 3" xfId="37994"/>
    <cellStyle name="Comma 2 5 6 5 3 3" xfId="29309"/>
    <cellStyle name="Comma 2 5 6 5 3 3 2" xfId="41210"/>
    <cellStyle name="Comma 2 5 6 5 3 4" xfId="32644"/>
    <cellStyle name="Comma 2 5 6 5 3 5" xfId="34786"/>
    <cellStyle name="Comma 2 5 6 5 4" xfId="8791"/>
    <cellStyle name="Comma 2 5 6 5 4 2" xfId="43357"/>
    <cellStyle name="Comma 2 5 6 5 4 3" xfId="36933"/>
    <cellStyle name="Comma 2 5 6 5 5" xfId="21780"/>
    <cellStyle name="Comma 2 5 6 5 5 2" xfId="40150"/>
    <cellStyle name="Comma 2 5 6 5 6" xfId="22853"/>
    <cellStyle name="Comma 2 5 6 5 7" xfId="23928"/>
    <cellStyle name="Comma 2 5 6 5 8" xfId="27175"/>
    <cellStyle name="Comma 2 5 6 5 9" xfId="30508"/>
    <cellStyle name="Comma 2 5 6 6" xfId="1503"/>
    <cellStyle name="Comma 2 5 6 6 10" xfId="33727"/>
    <cellStyle name="Comma 2 5 6 6 2" xfId="10273"/>
    <cellStyle name="Comma 2 5 6 6 2 2" xfId="26073"/>
    <cellStyle name="Comma 2 5 6 6 2 2 2" xfId="45500"/>
    <cellStyle name="Comma 2 5 6 6 2 2 3" xfId="39077"/>
    <cellStyle name="Comma 2 5 6 6 2 3" xfId="28251"/>
    <cellStyle name="Comma 2 5 6 6 2 3 2" xfId="42293"/>
    <cellStyle name="Comma 2 5 6 6 2 4" xfId="31586"/>
    <cellStyle name="Comma 2 5 6 6 2 5" xfId="35869"/>
    <cellStyle name="Comma 2 5 6 6 3" xfId="15974"/>
    <cellStyle name="Comma 2 5 6 6 3 2" xfId="24989"/>
    <cellStyle name="Comma 2 5 6 6 3 2 2" xfId="44418"/>
    <cellStyle name="Comma 2 5 6 6 3 2 3" xfId="37995"/>
    <cellStyle name="Comma 2 5 6 6 3 3" xfId="29310"/>
    <cellStyle name="Comma 2 5 6 6 3 3 2" xfId="41211"/>
    <cellStyle name="Comma 2 5 6 6 3 4" xfId="32645"/>
    <cellStyle name="Comma 2 5 6 6 3 5" xfId="34787"/>
    <cellStyle name="Comma 2 5 6 6 4" xfId="8792"/>
    <cellStyle name="Comma 2 5 6 6 4 2" xfId="43358"/>
    <cellStyle name="Comma 2 5 6 6 4 3" xfId="36934"/>
    <cellStyle name="Comma 2 5 6 6 5" xfId="21781"/>
    <cellStyle name="Comma 2 5 6 6 5 2" xfId="40151"/>
    <cellStyle name="Comma 2 5 6 6 6" xfId="22854"/>
    <cellStyle name="Comma 2 5 6 6 7" xfId="23929"/>
    <cellStyle name="Comma 2 5 6 6 8" xfId="27176"/>
    <cellStyle name="Comma 2 5 6 6 9" xfId="30509"/>
    <cellStyle name="Comma 2 5 6 7" xfId="9155"/>
    <cellStyle name="Comma 2 5 6 7 2" xfId="25209"/>
    <cellStyle name="Comma 2 5 6 7 2 2" xfId="44636"/>
    <cellStyle name="Comma 2 5 6 7 2 3" xfId="38213"/>
    <cellStyle name="Comma 2 5 6 7 3" xfId="27388"/>
    <cellStyle name="Comma 2 5 6 7 3 2" xfId="41429"/>
    <cellStyle name="Comma 2 5 6 7 4" xfId="30723"/>
    <cellStyle name="Comma 2 5 6 7 5" xfId="35005"/>
    <cellStyle name="Comma 2 5 6 8" xfId="15969"/>
    <cellStyle name="Comma 2 5 6 8 2" xfId="24984"/>
    <cellStyle name="Comma 2 5 6 8 2 2" xfId="44413"/>
    <cellStyle name="Comma 2 5 6 8 2 3" xfId="37990"/>
    <cellStyle name="Comma 2 5 6 8 3" xfId="29305"/>
    <cellStyle name="Comma 2 5 6 8 3 2" xfId="41206"/>
    <cellStyle name="Comma 2 5 6 8 4" xfId="32640"/>
    <cellStyle name="Comma 2 5 6 8 5" xfId="34782"/>
    <cellStyle name="Comma 2 5 6 9" xfId="8787"/>
    <cellStyle name="Comma 2 5 6 9 2" xfId="42499"/>
    <cellStyle name="Comma 2 5 6 9 3" xfId="36075"/>
    <cellStyle name="Comma 2 5 7" xfId="1504"/>
    <cellStyle name="Comma 2 5 7 10" xfId="22855"/>
    <cellStyle name="Comma 2 5 7 11" xfId="23930"/>
    <cellStyle name="Comma 2 5 7 12" xfId="27177"/>
    <cellStyle name="Comma 2 5 7 13" xfId="30510"/>
    <cellStyle name="Comma 2 5 7 14" xfId="33728"/>
    <cellStyle name="Comma 2 5 7 2" xfId="1505"/>
    <cellStyle name="Comma 2 5 7 2 10" xfId="33729"/>
    <cellStyle name="Comma 2 5 7 2 2" xfId="10275"/>
    <cellStyle name="Comma 2 5 7 2 2 2" xfId="26075"/>
    <cellStyle name="Comma 2 5 7 2 2 2 2" xfId="45502"/>
    <cellStyle name="Comma 2 5 7 2 2 2 3" xfId="39079"/>
    <cellStyle name="Comma 2 5 7 2 2 3" xfId="28253"/>
    <cellStyle name="Comma 2 5 7 2 2 3 2" xfId="42295"/>
    <cellStyle name="Comma 2 5 7 2 2 4" xfId="31588"/>
    <cellStyle name="Comma 2 5 7 2 2 5" xfId="35871"/>
    <cellStyle name="Comma 2 5 7 2 3" xfId="15976"/>
    <cellStyle name="Comma 2 5 7 2 3 2" xfId="24991"/>
    <cellStyle name="Comma 2 5 7 2 3 2 2" xfId="44420"/>
    <cellStyle name="Comma 2 5 7 2 3 2 3" xfId="37997"/>
    <cellStyle name="Comma 2 5 7 2 3 3" xfId="29312"/>
    <cellStyle name="Comma 2 5 7 2 3 3 2" xfId="41213"/>
    <cellStyle name="Comma 2 5 7 2 3 4" xfId="32647"/>
    <cellStyle name="Comma 2 5 7 2 3 5" xfId="34789"/>
    <cellStyle name="Comma 2 5 7 2 4" xfId="8794"/>
    <cellStyle name="Comma 2 5 7 2 4 2" xfId="43360"/>
    <cellStyle name="Comma 2 5 7 2 4 3" xfId="36936"/>
    <cellStyle name="Comma 2 5 7 2 5" xfId="21783"/>
    <cellStyle name="Comma 2 5 7 2 5 2" xfId="40153"/>
    <cellStyle name="Comma 2 5 7 2 6" xfId="22856"/>
    <cellStyle name="Comma 2 5 7 2 7" xfId="23931"/>
    <cellStyle name="Comma 2 5 7 2 8" xfId="27178"/>
    <cellStyle name="Comma 2 5 7 2 9" xfId="30511"/>
    <cellStyle name="Comma 2 5 7 3" xfId="1506"/>
    <cellStyle name="Comma 2 5 7 3 10" xfId="33730"/>
    <cellStyle name="Comma 2 5 7 3 2" xfId="10276"/>
    <cellStyle name="Comma 2 5 7 3 2 2" xfId="26076"/>
    <cellStyle name="Comma 2 5 7 3 2 2 2" xfId="45503"/>
    <cellStyle name="Comma 2 5 7 3 2 2 3" xfId="39080"/>
    <cellStyle name="Comma 2 5 7 3 2 3" xfId="28254"/>
    <cellStyle name="Comma 2 5 7 3 2 3 2" xfId="42296"/>
    <cellStyle name="Comma 2 5 7 3 2 4" xfId="31589"/>
    <cellStyle name="Comma 2 5 7 3 2 5" xfId="35872"/>
    <cellStyle name="Comma 2 5 7 3 3" xfId="15977"/>
    <cellStyle name="Comma 2 5 7 3 3 2" xfId="24992"/>
    <cellStyle name="Comma 2 5 7 3 3 2 2" xfId="44421"/>
    <cellStyle name="Comma 2 5 7 3 3 2 3" xfId="37998"/>
    <cellStyle name="Comma 2 5 7 3 3 3" xfId="29313"/>
    <cellStyle name="Comma 2 5 7 3 3 3 2" xfId="41214"/>
    <cellStyle name="Comma 2 5 7 3 3 4" xfId="32648"/>
    <cellStyle name="Comma 2 5 7 3 3 5" xfId="34790"/>
    <cellStyle name="Comma 2 5 7 3 4" xfId="8795"/>
    <cellStyle name="Comma 2 5 7 3 4 2" xfId="43361"/>
    <cellStyle name="Comma 2 5 7 3 4 3" xfId="36937"/>
    <cellStyle name="Comma 2 5 7 3 5" xfId="21784"/>
    <cellStyle name="Comma 2 5 7 3 5 2" xfId="40154"/>
    <cellStyle name="Comma 2 5 7 3 6" xfId="22857"/>
    <cellStyle name="Comma 2 5 7 3 7" xfId="23932"/>
    <cellStyle name="Comma 2 5 7 3 8" xfId="27179"/>
    <cellStyle name="Comma 2 5 7 3 9" xfId="30512"/>
    <cellStyle name="Comma 2 5 7 4" xfId="1507"/>
    <cellStyle name="Comma 2 5 7 4 10" xfId="33731"/>
    <cellStyle name="Comma 2 5 7 4 2" xfId="10277"/>
    <cellStyle name="Comma 2 5 7 4 2 2" xfId="26077"/>
    <cellStyle name="Comma 2 5 7 4 2 2 2" xfId="45504"/>
    <cellStyle name="Comma 2 5 7 4 2 2 3" xfId="39081"/>
    <cellStyle name="Comma 2 5 7 4 2 3" xfId="28255"/>
    <cellStyle name="Comma 2 5 7 4 2 3 2" xfId="42297"/>
    <cellStyle name="Comma 2 5 7 4 2 4" xfId="31590"/>
    <cellStyle name="Comma 2 5 7 4 2 5" xfId="35873"/>
    <cellStyle name="Comma 2 5 7 4 3" xfId="15978"/>
    <cellStyle name="Comma 2 5 7 4 3 2" xfId="24993"/>
    <cellStyle name="Comma 2 5 7 4 3 2 2" xfId="44422"/>
    <cellStyle name="Comma 2 5 7 4 3 2 3" xfId="37999"/>
    <cellStyle name="Comma 2 5 7 4 3 3" xfId="29314"/>
    <cellStyle name="Comma 2 5 7 4 3 3 2" xfId="41215"/>
    <cellStyle name="Comma 2 5 7 4 3 4" xfId="32649"/>
    <cellStyle name="Comma 2 5 7 4 3 5" xfId="34791"/>
    <cellStyle name="Comma 2 5 7 4 4" xfId="8796"/>
    <cellStyle name="Comma 2 5 7 4 4 2" xfId="43362"/>
    <cellStyle name="Comma 2 5 7 4 4 3" xfId="36938"/>
    <cellStyle name="Comma 2 5 7 4 5" xfId="21785"/>
    <cellStyle name="Comma 2 5 7 4 5 2" xfId="40155"/>
    <cellStyle name="Comma 2 5 7 4 6" xfId="22858"/>
    <cellStyle name="Comma 2 5 7 4 7" xfId="23933"/>
    <cellStyle name="Comma 2 5 7 4 8" xfId="27180"/>
    <cellStyle name="Comma 2 5 7 4 9" xfId="30513"/>
    <cellStyle name="Comma 2 5 7 5" xfId="1508"/>
    <cellStyle name="Comma 2 5 7 5 10" xfId="33732"/>
    <cellStyle name="Comma 2 5 7 5 2" xfId="10278"/>
    <cellStyle name="Comma 2 5 7 5 2 2" xfId="26078"/>
    <cellStyle name="Comma 2 5 7 5 2 2 2" xfId="45505"/>
    <cellStyle name="Comma 2 5 7 5 2 2 3" xfId="39082"/>
    <cellStyle name="Comma 2 5 7 5 2 3" xfId="28256"/>
    <cellStyle name="Comma 2 5 7 5 2 3 2" xfId="42298"/>
    <cellStyle name="Comma 2 5 7 5 2 4" xfId="31591"/>
    <cellStyle name="Comma 2 5 7 5 2 5" xfId="35874"/>
    <cellStyle name="Comma 2 5 7 5 3" xfId="15979"/>
    <cellStyle name="Comma 2 5 7 5 3 2" xfId="24994"/>
    <cellStyle name="Comma 2 5 7 5 3 2 2" xfId="44423"/>
    <cellStyle name="Comma 2 5 7 5 3 2 3" xfId="38000"/>
    <cellStyle name="Comma 2 5 7 5 3 3" xfId="29315"/>
    <cellStyle name="Comma 2 5 7 5 3 3 2" xfId="41216"/>
    <cellStyle name="Comma 2 5 7 5 3 4" xfId="32650"/>
    <cellStyle name="Comma 2 5 7 5 3 5" xfId="34792"/>
    <cellStyle name="Comma 2 5 7 5 4" xfId="8797"/>
    <cellStyle name="Comma 2 5 7 5 4 2" xfId="43363"/>
    <cellStyle name="Comma 2 5 7 5 4 3" xfId="36939"/>
    <cellStyle name="Comma 2 5 7 5 5" xfId="21786"/>
    <cellStyle name="Comma 2 5 7 5 5 2" xfId="40156"/>
    <cellStyle name="Comma 2 5 7 5 6" xfId="22859"/>
    <cellStyle name="Comma 2 5 7 5 7" xfId="23934"/>
    <cellStyle name="Comma 2 5 7 5 8" xfId="27181"/>
    <cellStyle name="Comma 2 5 7 5 9" xfId="30514"/>
    <cellStyle name="Comma 2 5 7 6" xfId="10274"/>
    <cellStyle name="Comma 2 5 7 6 2" xfId="26074"/>
    <cellStyle name="Comma 2 5 7 6 2 2" xfId="45501"/>
    <cellStyle name="Comma 2 5 7 6 2 3" xfId="39078"/>
    <cellStyle name="Comma 2 5 7 6 3" xfId="28252"/>
    <cellStyle name="Comma 2 5 7 6 3 2" xfId="42294"/>
    <cellStyle name="Comma 2 5 7 6 4" xfId="31587"/>
    <cellStyle name="Comma 2 5 7 6 5" xfId="35870"/>
    <cellStyle name="Comma 2 5 7 7" xfId="15975"/>
    <cellStyle name="Comma 2 5 7 7 2" xfId="24990"/>
    <cellStyle name="Comma 2 5 7 7 2 2" xfId="44419"/>
    <cellStyle name="Comma 2 5 7 7 2 3" xfId="37996"/>
    <cellStyle name="Comma 2 5 7 7 3" xfId="29311"/>
    <cellStyle name="Comma 2 5 7 7 3 2" xfId="41212"/>
    <cellStyle name="Comma 2 5 7 7 4" xfId="32646"/>
    <cellStyle name="Comma 2 5 7 7 5" xfId="34788"/>
    <cellStyle name="Comma 2 5 7 8" xfId="8793"/>
    <cellStyle name="Comma 2 5 7 8 2" xfId="43359"/>
    <cellStyle name="Comma 2 5 7 8 3" xfId="36935"/>
    <cellStyle name="Comma 2 5 7 9" xfId="21782"/>
    <cellStyle name="Comma 2 5 7 9 2" xfId="40152"/>
    <cellStyle name="Comma 2 5 8" xfId="1509"/>
    <cellStyle name="Comma 2 5 8 10" xfId="22860"/>
    <cellStyle name="Comma 2 5 8 11" xfId="23935"/>
    <cellStyle name="Comma 2 5 8 12" xfId="27182"/>
    <cellStyle name="Comma 2 5 8 13" xfId="30515"/>
    <cellStyle name="Comma 2 5 8 14" xfId="33733"/>
    <cellStyle name="Comma 2 5 8 2" xfId="1510"/>
    <cellStyle name="Comma 2 5 8 2 10" xfId="33734"/>
    <cellStyle name="Comma 2 5 8 2 2" xfId="10280"/>
    <cellStyle name="Comma 2 5 8 2 2 2" xfId="26080"/>
    <cellStyle name="Comma 2 5 8 2 2 2 2" xfId="45507"/>
    <cellStyle name="Comma 2 5 8 2 2 2 3" xfId="39084"/>
    <cellStyle name="Comma 2 5 8 2 2 3" xfId="28258"/>
    <cellStyle name="Comma 2 5 8 2 2 3 2" xfId="42300"/>
    <cellStyle name="Comma 2 5 8 2 2 4" xfId="31593"/>
    <cellStyle name="Comma 2 5 8 2 2 5" xfId="35876"/>
    <cellStyle name="Comma 2 5 8 2 3" xfId="15981"/>
    <cellStyle name="Comma 2 5 8 2 3 2" xfId="24996"/>
    <cellStyle name="Comma 2 5 8 2 3 2 2" xfId="44425"/>
    <cellStyle name="Comma 2 5 8 2 3 2 3" xfId="38002"/>
    <cellStyle name="Comma 2 5 8 2 3 3" xfId="29317"/>
    <cellStyle name="Comma 2 5 8 2 3 3 2" xfId="41218"/>
    <cellStyle name="Comma 2 5 8 2 3 4" xfId="32652"/>
    <cellStyle name="Comma 2 5 8 2 3 5" xfId="34794"/>
    <cellStyle name="Comma 2 5 8 2 4" xfId="8799"/>
    <cellStyle name="Comma 2 5 8 2 4 2" xfId="43365"/>
    <cellStyle name="Comma 2 5 8 2 4 3" xfId="36941"/>
    <cellStyle name="Comma 2 5 8 2 5" xfId="21788"/>
    <cellStyle name="Comma 2 5 8 2 5 2" xfId="40158"/>
    <cellStyle name="Comma 2 5 8 2 6" xfId="22861"/>
    <cellStyle name="Comma 2 5 8 2 7" xfId="23936"/>
    <cellStyle name="Comma 2 5 8 2 8" xfId="27183"/>
    <cellStyle name="Comma 2 5 8 2 9" xfId="30516"/>
    <cellStyle name="Comma 2 5 8 3" xfId="1511"/>
    <cellStyle name="Comma 2 5 8 3 10" xfId="33735"/>
    <cellStyle name="Comma 2 5 8 3 2" xfId="10281"/>
    <cellStyle name="Comma 2 5 8 3 2 2" xfId="26081"/>
    <cellStyle name="Comma 2 5 8 3 2 2 2" xfId="45508"/>
    <cellStyle name="Comma 2 5 8 3 2 2 3" xfId="39085"/>
    <cellStyle name="Comma 2 5 8 3 2 3" xfId="28259"/>
    <cellStyle name="Comma 2 5 8 3 2 3 2" xfId="42301"/>
    <cellStyle name="Comma 2 5 8 3 2 4" xfId="31594"/>
    <cellStyle name="Comma 2 5 8 3 2 5" xfId="35877"/>
    <cellStyle name="Comma 2 5 8 3 3" xfId="15982"/>
    <cellStyle name="Comma 2 5 8 3 3 2" xfId="24997"/>
    <cellStyle name="Comma 2 5 8 3 3 2 2" xfId="44426"/>
    <cellStyle name="Comma 2 5 8 3 3 2 3" xfId="38003"/>
    <cellStyle name="Comma 2 5 8 3 3 3" xfId="29318"/>
    <cellStyle name="Comma 2 5 8 3 3 3 2" xfId="41219"/>
    <cellStyle name="Comma 2 5 8 3 3 4" xfId="32653"/>
    <cellStyle name="Comma 2 5 8 3 3 5" xfId="34795"/>
    <cellStyle name="Comma 2 5 8 3 4" xfId="8800"/>
    <cellStyle name="Comma 2 5 8 3 4 2" xfId="43366"/>
    <cellStyle name="Comma 2 5 8 3 4 3" xfId="36942"/>
    <cellStyle name="Comma 2 5 8 3 5" xfId="21789"/>
    <cellStyle name="Comma 2 5 8 3 5 2" xfId="40159"/>
    <cellStyle name="Comma 2 5 8 3 6" xfId="22862"/>
    <cellStyle name="Comma 2 5 8 3 7" xfId="23937"/>
    <cellStyle name="Comma 2 5 8 3 8" xfId="27184"/>
    <cellStyle name="Comma 2 5 8 3 9" xfId="30517"/>
    <cellStyle name="Comma 2 5 8 4" xfId="1512"/>
    <cellStyle name="Comma 2 5 8 4 10" xfId="33736"/>
    <cellStyle name="Comma 2 5 8 4 2" xfId="10282"/>
    <cellStyle name="Comma 2 5 8 4 2 2" xfId="26082"/>
    <cellStyle name="Comma 2 5 8 4 2 2 2" xfId="45509"/>
    <cellStyle name="Comma 2 5 8 4 2 2 3" xfId="39086"/>
    <cellStyle name="Comma 2 5 8 4 2 3" xfId="28260"/>
    <cellStyle name="Comma 2 5 8 4 2 3 2" xfId="42302"/>
    <cellStyle name="Comma 2 5 8 4 2 4" xfId="31595"/>
    <cellStyle name="Comma 2 5 8 4 2 5" xfId="35878"/>
    <cellStyle name="Comma 2 5 8 4 3" xfId="15983"/>
    <cellStyle name="Comma 2 5 8 4 3 2" xfId="24998"/>
    <cellStyle name="Comma 2 5 8 4 3 2 2" xfId="44427"/>
    <cellStyle name="Comma 2 5 8 4 3 2 3" xfId="38004"/>
    <cellStyle name="Comma 2 5 8 4 3 3" xfId="29319"/>
    <cellStyle name="Comma 2 5 8 4 3 3 2" xfId="41220"/>
    <cellStyle name="Comma 2 5 8 4 3 4" xfId="32654"/>
    <cellStyle name="Comma 2 5 8 4 3 5" xfId="34796"/>
    <cellStyle name="Comma 2 5 8 4 4" xfId="8801"/>
    <cellStyle name="Comma 2 5 8 4 4 2" xfId="43367"/>
    <cellStyle name="Comma 2 5 8 4 4 3" xfId="36943"/>
    <cellStyle name="Comma 2 5 8 4 5" xfId="21790"/>
    <cellStyle name="Comma 2 5 8 4 5 2" xfId="40160"/>
    <cellStyle name="Comma 2 5 8 4 6" xfId="22863"/>
    <cellStyle name="Comma 2 5 8 4 7" xfId="23938"/>
    <cellStyle name="Comma 2 5 8 4 8" xfId="27185"/>
    <cellStyle name="Comma 2 5 8 4 9" xfId="30518"/>
    <cellStyle name="Comma 2 5 8 5" xfId="1513"/>
    <cellStyle name="Comma 2 5 8 5 10" xfId="33737"/>
    <cellStyle name="Comma 2 5 8 5 2" xfId="10283"/>
    <cellStyle name="Comma 2 5 8 5 2 2" xfId="26083"/>
    <cellStyle name="Comma 2 5 8 5 2 2 2" xfId="45510"/>
    <cellStyle name="Comma 2 5 8 5 2 2 3" xfId="39087"/>
    <cellStyle name="Comma 2 5 8 5 2 3" xfId="28261"/>
    <cellStyle name="Comma 2 5 8 5 2 3 2" xfId="42303"/>
    <cellStyle name="Comma 2 5 8 5 2 4" xfId="31596"/>
    <cellStyle name="Comma 2 5 8 5 2 5" xfId="35879"/>
    <cellStyle name="Comma 2 5 8 5 3" xfId="15984"/>
    <cellStyle name="Comma 2 5 8 5 3 2" xfId="24999"/>
    <cellStyle name="Comma 2 5 8 5 3 2 2" xfId="44428"/>
    <cellStyle name="Comma 2 5 8 5 3 2 3" xfId="38005"/>
    <cellStyle name="Comma 2 5 8 5 3 3" xfId="29320"/>
    <cellStyle name="Comma 2 5 8 5 3 3 2" xfId="41221"/>
    <cellStyle name="Comma 2 5 8 5 3 4" xfId="32655"/>
    <cellStyle name="Comma 2 5 8 5 3 5" xfId="34797"/>
    <cellStyle name="Comma 2 5 8 5 4" xfId="8802"/>
    <cellStyle name="Comma 2 5 8 5 4 2" xfId="43368"/>
    <cellStyle name="Comma 2 5 8 5 4 3" xfId="36944"/>
    <cellStyle name="Comma 2 5 8 5 5" xfId="21791"/>
    <cellStyle name="Comma 2 5 8 5 5 2" xfId="40161"/>
    <cellStyle name="Comma 2 5 8 5 6" xfId="22864"/>
    <cellStyle name="Comma 2 5 8 5 7" xfId="23939"/>
    <cellStyle name="Comma 2 5 8 5 8" xfId="27186"/>
    <cellStyle name="Comma 2 5 8 5 9" xfId="30519"/>
    <cellStyle name="Comma 2 5 8 6" xfId="10279"/>
    <cellStyle name="Comma 2 5 8 6 2" xfId="26079"/>
    <cellStyle name="Comma 2 5 8 6 2 2" xfId="45506"/>
    <cellStyle name="Comma 2 5 8 6 2 3" xfId="39083"/>
    <cellStyle name="Comma 2 5 8 6 3" xfId="28257"/>
    <cellStyle name="Comma 2 5 8 6 3 2" xfId="42299"/>
    <cellStyle name="Comma 2 5 8 6 4" xfId="31592"/>
    <cellStyle name="Comma 2 5 8 6 5" xfId="35875"/>
    <cellStyle name="Comma 2 5 8 7" xfId="15980"/>
    <cellStyle name="Comma 2 5 8 7 2" xfId="24995"/>
    <cellStyle name="Comma 2 5 8 7 2 2" xfId="44424"/>
    <cellStyle name="Comma 2 5 8 7 2 3" xfId="38001"/>
    <cellStyle name="Comma 2 5 8 7 3" xfId="29316"/>
    <cellStyle name="Comma 2 5 8 7 3 2" xfId="41217"/>
    <cellStyle name="Comma 2 5 8 7 4" xfId="32651"/>
    <cellStyle name="Comma 2 5 8 7 5" xfId="34793"/>
    <cellStyle name="Comma 2 5 8 8" xfId="8798"/>
    <cellStyle name="Comma 2 5 8 8 2" xfId="43364"/>
    <cellStyle name="Comma 2 5 8 8 3" xfId="36940"/>
    <cellStyle name="Comma 2 5 8 9" xfId="21787"/>
    <cellStyle name="Comma 2 5 8 9 2" xfId="40157"/>
    <cellStyle name="Comma 2 5 9" xfId="1514"/>
    <cellStyle name="Comma 2 5 9 10" xfId="33738"/>
    <cellStyle name="Comma 2 5 9 2" xfId="10284"/>
    <cellStyle name="Comma 2 5 9 2 2" xfId="26084"/>
    <cellStyle name="Comma 2 5 9 2 2 2" xfId="45511"/>
    <cellStyle name="Comma 2 5 9 2 2 3" xfId="39088"/>
    <cellStyle name="Comma 2 5 9 2 3" xfId="28262"/>
    <cellStyle name="Comma 2 5 9 2 3 2" xfId="42304"/>
    <cellStyle name="Comma 2 5 9 2 4" xfId="31597"/>
    <cellStyle name="Comma 2 5 9 2 5" xfId="35880"/>
    <cellStyle name="Comma 2 5 9 3" xfId="15985"/>
    <cellStyle name="Comma 2 5 9 3 2" xfId="25000"/>
    <cellStyle name="Comma 2 5 9 3 2 2" xfId="44429"/>
    <cellStyle name="Comma 2 5 9 3 2 3" xfId="38006"/>
    <cellStyle name="Comma 2 5 9 3 3" xfId="29321"/>
    <cellStyle name="Comma 2 5 9 3 3 2" xfId="41222"/>
    <cellStyle name="Comma 2 5 9 3 4" xfId="32656"/>
    <cellStyle name="Comma 2 5 9 3 5" xfId="34798"/>
    <cellStyle name="Comma 2 5 9 4" xfId="8803"/>
    <cellStyle name="Comma 2 5 9 4 2" xfId="43369"/>
    <cellStyle name="Comma 2 5 9 4 3" xfId="36945"/>
    <cellStyle name="Comma 2 5 9 5" xfId="21792"/>
    <cellStyle name="Comma 2 5 9 5 2" xfId="40162"/>
    <cellStyle name="Comma 2 5 9 6" xfId="22865"/>
    <cellStyle name="Comma 2 5 9 7" xfId="23940"/>
    <cellStyle name="Comma 2 5 9 8" xfId="27187"/>
    <cellStyle name="Comma 2 5 9 9" xfId="30520"/>
    <cellStyle name="Comma 2 6" xfId="250"/>
    <cellStyle name="Comma 2 6 10" xfId="32822"/>
    <cellStyle name="Comma 2 6 2" xfId="9109"/>
    <cellStyle name="Comma 2 6 2 2" xfId="25163"/>
    <cellStyle name="Comma 2 6 2 2 2" xfId="44590"/>
    <cellStyle name="Comma 2 6 2 2 3" xfId="38167"/>
    <cellStyle name="Comma 2 6 2 3" xfId="27342"/>
    <cellStyle name="Comma 2 6 2 3 2" xfId="41383"/>
    <cellStyle name="Comma 2 6 2 4" xfId="30677"/>
    <cellStyle name="Comma 2 6 2 5" xfId="34959"/>
    <cellStyle name="Comma 2 6 3" xfId="15986"/>
    <cellStyle name="Comma 2 6 3 2" xfId="25001"/>
    <cellStyle name="Comma 2 6 3 2 2" xfId="44430"/>
    <cellStyle name="Comma 2 6 3 2 3" xfId="38007"/>
    <cellStyle name="Comma 2 6 3 3" xfId="29322"/>
    <cellStyle name="Comma 2 6 3 3 2" xfId="41223"/>
    <cellStyle name="Comma 2 6 3 4" xfId="32657"/>
    <cellStyle name="Comma 2 6 3 5" xfId="34799"/>
    <cellStyle name="Comma 2 6 4" xfId="8804"/>
    <cellStyle name="Comma 2 6 4 2" xfId="42453"/>
    <cellStyle name="Comma 2 6 4 3" xfId="36029"/>
    <cellStyle name="Comma 2 6 5" xfId="21793"/>
    <cellStyle name="Comma 2 6 5 2" xfId="39246"/>
    <cellStyle name="Comma 2 6 6" xfId="22866"/>
    <cellStyle name="Comma 2 6 7" xfId="23024"/>
    <cellStyle name="Comma 2 6 8" xfId="27188"/>
    <cellStyle name="Comma 2 6 9" xfId="30521"/>
    <cellStyle name="Comma 2 7" xfId="1515"/>
    <cellStyle name="Comma 2 7 10" xfId="22867"/>
    <cellStyle name="Comma 2 7 11" xfId="23941"/>
    <cellStyle name="Comma 2 7 12" xfId="27189"/>
    <cellStyle name="Comma 2 7 13" xfId="30522"/>
    <cellStyle name="Comma 2 7 14" xfId="33739"/>
    <cellStyle name="Comma 2 7 2" xfId="1516"/>
    <cellStyle name="Comma 2 7 2 10" xfId="33740"/>
    <cellStyle name="Comma 2 7 2 2" xfId="10286"/>
    <cellStyle name="Comma 2 7 2 2 2" xfId="26086"/>
    <cellStyle name="Comma 2 7 2 2 2 2" xfId="45513"/>
    <cellStyle name="Comma 2 7 2 2 2 3" xfId="39090"/>
    <cellStyle name="Comma 2 7 2 2 3" xfId="28264"/>
    <cellStyle name="Comma 2 7 2 2 3 2" xfId="42306"/>
    <cellStyle name="Comma 2 7 2 2 4" xfId="31599"/>
    <cellStyle name="Comma 2 7 2 2 5" xfId="35882"/>
    <cellStyle name="Comma 2 7 2 3" xfId="15988"/>
    <cellStyle name="Comma 2 7 2 3 2" xfId="25003"/>
    <cellStyle name="Comma 2 7 2 3 2 2" xfId="44432"/>
    <cellStyle name="Comma 2 7 2 3 2 3" xfId="38009"/>
    <cellStyle name="Comma 2 7 2 3 3" xfId="29324"/>
    <cellStyle name="Comma 2 7 2 3 3 2" xfId="41225"/>
    <cellStyle name="Comma 2 7 2 3 4" xfId="32659"/>
    <cellStyle name="Comma 2 7 2 3 5" xfId="34801"/>
    <cellStyle name="Comma 2 7 2 4" xfId="8806"/>
    <cellStyle name="Comma 2 7 2 4 2" xfId="43371"/>
    <cellStyle name="Comma 2 7 2 4 3" xfId="36947"/>
    <cellStyle name="Comma 2 7 2 5" xfId="21795"/>
    <cellStyle name="Comma 2 7 2 5 2" xfId="40164"/>
    <cellStyle name="Comma 2 7 2 6" xfId="22868"/>
    <cellStyle name="Comma 2 7 2 7" xfId="23942"/>
    <cellStyle name="Comma 2 7 2 8" xfId="27190"/>
    <cellStyle name="Comma 2 7 2 9" xfId="30523"/>
    <cellStyle name="Comma 2 7 3" xfId="1517"/>
    <cellStyle name="Comma 2 7 3 10" xfId="33741"/>
    <cellStyle name="Comma 2 7 3 2" xfId="10287"/>
    <cellStyle name="Comma 2 7 3 2 2" xfId="26087"/>
    <cellStyle name="Comma 2 7 3 2 2 2" xfId="45514"/>
    <cellStyle name="Comma 2 7 3 2 2 3" xfId="39091"/>
    <cellStyle name="Comma 2 7 3 2 3" xfId="28265"/>
    <cellStyle name="Comma 2 7 3 2 3 2" xfId="42307"/>
    <cellStyle name="Comma 2 7 3 2 4" xfId="31600"/>
    <cellStyle name="Comma 2 7 3 2 5" xfId="35883"/>
    <cellStyle name="Comma 2 7 3 3" xfId="15989"/>
    <cellStyle name="Comma 2 7 3 3 2" xfId="25004"/>
    <cellStyle name="Comma 2 7 3 3 2 2" xfId="44433"/>
    <cellStyle name="Comma 2 7 3 3 2 3" xfId="38010"/>
    <cellStyle name="Comma 2 7 3 3 3" xfId="29325"/>
    <cellStyle name="Comma 2 7 3 3 3 2" xfId="41226"/>
    <cellStyle name="Comma 2 7 3 3 4" xfId="32660"/>
    <cellStyle name="Comma 2 7 3 3 5" xfId="34802"/>
    <cellStyle name="Comma 2 7 3 4" xfId="8807"/>
    <cellStyle name="Comma 2 7 3 4 2" xfId="43372"/>
    <cellStyle name="Comma 2 7 3 4 3" xfId="36948"/>
    <cellStyle name="Comma 2 7 3 5" xfId="21796"/>
    <cellStyle name="Comma 2 7 3 5 2" xfId="40165"/>
    <cellStyle name="Comma 2 7 3 6" xfId="22869"/>
    <cellStyle name="Comma 2 7 3 7" xfId="23943"/>
    <cellStyle name="Comma 2 7 3 8" xfId="27191"/>
    <cellStyle name="Comma 2 7 3 9" xfId="30524"/>
    <cellStyle name="Comma 2 7 4" xfId="1518"/>
    <cellStyle name="Comma 2 7 4 10" xfId="33742"/>
    <cellStyle name="Comma 2 7 4 2" xfId="10288"/>
    <cellStyle name="Comma 2 7 4 2 2" xfId="26088"/>
    <cellStyle name="Comma 2 7 4 2 2 2" xfId="45515"/>
    <cellStyle name="Comma 2 7 4 2 2 3" xfId="39092"/>
    <cellStyle name="Comma 2 7 4 2 3" xfId="28266"/>
    <cellStyle name="Comma 2 7 4 2 3 2" xfId="42308"/>
    <cellStyle name="Comma 2 7 4 2 4" xfId="31601"/>
    <cellStyle name="Comma 2 7 4 2 5" xfId="35884"/>
    <cellStyle name="Comma 2 7 4 3" xfId="15990"/>
    <cellStyle name="Comma 2 7 4 3 2" xfId="25005"/>
    <cellStyle name="Comma 2 7 4 3 2 2" xfId="44434"/>
    <cellStyle name="Comma 2 7 4 3 2 3" xfId="38011"/>
    <cellStyle name="Comma 2 7 4 3 3" xfId="29326"/>
    <cellStyle name="Comma 2 7 4 3 3 2" xfId="41227"/>
    <cellStyle name="Comma 2 7 4 3 4" xfId="32661"/>
    <cellStyle name="Comma 2 7 4 3 5" xfId="34803"/>
    <cellStyle name="Comma 2 7 4 4" xfId="8808"/>
    <cellStyle name="Comma 2 7 4 4 2" xfId="43373"/>
    <cellStyle name="Comma 2 7 4 4 3" xfId="36949"/>
    <cellStyle name="Comma 2 7 4 5" xfId="21797"/>
    <cellStyle name="Comma 2 7 4 5 2" xfId="40166"/>
    <cellStyle name="Comma 2 7 4 6" xfId="22870"/>
    <cellStyle name="Comma 2 7 4 7" xfId="23944"/>
    <cellStyle name="Comma 2 7 4 8" xfId="27192"/>
    <cellStyle name="Comma 2 7 4 9" xfId="30525"/>
    <cellStyle name="Comma 2 7 5" xfId="1519"/>
    <cellStyle name="Comma 2 7 5 10" xfId="33743"/>
    <cellStyle name="Comma 2 7 5 2" xfId="10289"/>
    <cellStyle name="Comma 2 7 5 2 2" xfId="26089"/>
    <cellStyle name="Comma 2 7 5 2 2 2" xfId="45516"/>
    <cellStyle name="Comma 2 7 5 2 2 3" xfId="39093"/>
    <cellStyle name="Comma 2 7 5 2 3" xfId="28267"/>
    <cellStyle name="Comma 2 7 5 2 3 2" xfId="42309"/>
    <cellStyle name="Comma 2 7 5 2 4" xfId="31602"/>
    <cellStyle name="Comma 2 7 5 2 5" xfId="35885"/>
    <cellStyle name="Comma 2 7 5 3" xfId="15991"/>
    <cellStyle name="Comma 2 7 5 3 2" xfId="25006"/>
    <cellStyle name="Comma 2 7 5 3 2 2" xfId="44435"/>
    <cellStyle name="Comma 2 7 5 3 2 3" xfId="38012"/>
    <cellStyle name="Comma 2 7 5 3 3" xfId="29327"/>
    <cellStyle name="Comma 2 7 5 3 3 2" xfId="41228"/>
    <cellStyle name="Comma 2 7 5 3 4" xfId="32662"/>
    <cellStyle name="Comma 2 7 5 3 5" xfId="34804"/>
    <cellStyle name="Comma 2 7 5 4" xfId="8809"/>
    <cellStyle name="Comma 2 7 5 4 2" xfId="43374"/>
    <cellStyle name="Comma 2 7 5 4 3" xfId="36950"/>
    <cellStyle name="Comma 2 7 5 5" xfId="21798"/>
    <cellStyle name="Comma 2 7 5 5 2" xfId="40167"/>
    <cellStyle name="Comma 2 7 5 6" xfId="22871"/>
    <cellStyle name="Comma 2 7 5 7" xfId="23945"/>
    <cellStyle name="Comma 2 7 5 8" xfId="27193"/>
    <cellStyle name="Comma 2 7 5 9" xfId="30526"/>
    <cellStyle name="Comma 2 7 6" xfId="10285"/>
    <cellStyle name="Comma 2 7 6 2" xfId="26085"/>
    <cellStyle name="Comma 2 7 6 2 2" xfId="45512"/>
    <cellStyle name="Comma 2 7 6 2 3" xfId="39089"/>
    <cellStyle name="Comma 2 7 6 3" xfId="28263"/>
    <cellStyle name="Comma 2 7 6 3 2" xfId="42305"/>
    <cellStyle name="Comma 2 7 6 4" xfId="31598"/>
    <cellStyle name="Comma 2 7 6 5" xfId="35881"/>
    <cellStyle name="Comma 2 7 7" xfId="15987"/>
    <cellStyle name="Comma 2 7 7 2" xfId="25002"/>
    <cellStyle name="Comma 2 7 7 2 2" xfId="44431"/>
    <cellStyle name="Comma 2 7 7 2 3" xfId="38008"/>
    <cellStyle name="Comma 2 7 7 3" xfId="29323"/>
    <cellStyle name="Comma 2 7 7 3 2" xfId="41224"/>
    <cellStyle name="Comma 2 7 7 4" xfId="32658"/>
    <cellStyle name="Comma 2 7 7 5" xfId="34800"/>
    <cellStyle name="Comma 2 7 8" xfId="8805"/>
    <cellStyle name="Comma 2 7 8 2" xfId="43370"/>
    <cellStyle name="Comma 2 7 8 3" xfId="36946"/>
    <cellStyle name="Comma 2 7 9" xfId="21794"/>
    <cellStyle name="Comma 2 7 9 2" xfId="40163"/>
    <cellStyle name="Comma 2 8" xfId="1520"/>
    <cellStyle name="Comma 2 8 10" xfId="22872"/>
    <cellStyle name="Comma 2 8 11" xfId="23946"/>
    <cellStyle name="Comma 2 8 12" xfId="27194"/>
    <cellStyle name="Comma 2 8 13" xfId="30527"/>
    <cellStyle name="Comma 2 8 14" xfId="33744"/>
    <cellStyle name="Comma 2 8 2" xfId="1521"/>
    <cellStyle name="Comma 2 8 2 10" xfId="33745"/>
    <cellStyle name="Comma 2 8 2 2" xfId="10291"/>
    <cellStyle name="Comma 2 8 2 2 2" xfId="26091"/>
    <cellStyle name="Comma 2 8 2 2 2 2" xfId="45518"/>
    <cellStyle name="Comma 2 8 2 2 2 3" xfId="39095"/>
    <cellStyle name="Comma 2 8 2 2 3" xfId="28269"/>
    <cellStyle name="Comma 2 8 2 2 3 2" xfId="42311"/>
    <cellStyle name="Comma 2 8 2 2 4" xfId="31604"/>
    <cellStyle name="Comma 2 8 2 2 5" xfId="35887"/>
    <cellStyle name="Comma 2 8 2 3" xfId="15993"/>
    <cellStyle name="Comma 2 8 2 3 2" xfId="25008"/>
    <cellStyle name="Comma 2 8 2 3 2 2" xfId="44437"/>
    <cellStyle name="Comma 2 8 2 3 2 3" xfId="38014"/>
    <cellStyle name="Comma 2 8 2 3 3" xfId="29329"/>
    <cellStyle name="Comma 2 8 2 3 3 2" xfId="41230"/>
    <cellStyle name="Comma 2 8 2 3 4" xfId="32664"/>
    <cellStyle name="Comma 2 8 2 3 5" xfId="34806"/>
    <cellStyle name="Comma 2 8 2 4" xfId="8811"/>
    <cellStyle name="Comma 2 8 2 4 2" xfId="43376"/>
    <cellStyle name="Comma 2 8 2 4 3" xfId="36952"/>
    <cellStyle name="Comma 2 8 2 5" xfId="21800"/>
    <cellStyle name="Comma 2 8 2 5 2" xfId="40169"/>
    <cellStyle name="Comma 2 8 2 6" xfId="22873"/>
    <cellStyle name="Comma 2 8 2 7" xfId="23947"/>
    <cellStyle name="Comma 2 8 2 8" xfId="27195"/>
    <cellStyle name="Comma 2 8 2 9" xfId="30528"/>
    <cellStyle name="Comma 2 8 3" xfId="1522"/>
    <cellStyle name="Comma 2 8 3 10" xfId="33746"/>
    <cellStyle name="Comma 2 8 3 2" xfId="10292"/>
    <cellStyle name="Comma 2 8 3 2 2" xfId="26092"/>
    <cellStyle name="Comma 2 8 3 2 2 2" xfId="45519"/>
    <cellStyle name="Comma 2 8 3 2 2 3" xfId="39096"/>
    <cellStyle name="Comma 2 8 3 2 3" xfId="28270"/>
    <cellStyle name="Comma 2 8 3 2 3 2" xfId="42312"/>
    <cellStyle name="Comma 2 8 3 2 4" xfId="31605"/>
    <cellStyle name="Comma 2 8 3 2 5" xfId="35888"/>
    <cellStyle name="Comma 2 8 3 3" xfId="15994"/>
    <cellStyle name="Comma 2 8 3 3 2" xfId="25009"/>
    <cellStyle name="Comma 2 8 3 3 2 2" xfId="44438"/>
    <cellStyle name="Comma 2 8 3 3 2 3" xfId="38015"/>
    <cellStyle name="Comma 2 8 3 3 3" xfId="29330"/>
    <cellStyle name="Comma 2 8 3 3 3 2" xfId="41231"/>
    <cellStyle name="Comma 2 8 3 3 4" xfId="32665"/>
    <cellStyle name="Comma 2 8 3 3 5" xfId="34807"/>
    <cellStyle name="Comma 2 8 3 4" xfId="8812"/>
    <cellStyle name="Comma 2 8 3 4 2" xfId="43377"/>
    <cellStyle name="Comma 2 8 3 4 3" xfId="36953"/>
    <cellStyle name="Comma 2 8 3 5" xfId="21801"/>
    <cellStyle name="Comma 2 8 3 5 2" xfId="40170"/>
    <cellStyle name="Comma 2 8 3 6" xfId="22874"/>
    <cellStyle name="Comma 2 8 3 7" xfId="23948"/>
    <cellStyle name="Comma 2 8 3 8" xfId="27196"/>
    <cellStyle name="Comma 2 8 3 9" xfId="30529"/>
    <cellStyle name="Comma 2 8 4" xfId="1523"/>
    <cellStyle name="Comma 2 8 4 10" xfId="33747"/>
    <cellStyle name="Comma 2 8 4 2" xfId="10293"/>
    <cellStyle name="Comma 2 8 4 2 2" xfId="26093"/>
    <cellStyle name="Comma 2 8 4 2 2 2" xfId="45520"/>
    <cellStyle name="Comma 2 8 4 2 2 3" xfId="39097"/>
    <cellStyle name="Comma 2 8 4 2 3" xfId="28271"/>
    <cellStyle name="Comma 2 8 4 2 3 2" xfId="42313"/>
    <cellStyle name="Comma 2 8 4 2 4" xfId="31606"/>
    <cellStyle name="Comma 2 8 4 2 5" xfId="35889"/>
    <cellStyle name="Comma 2 8 4 3" xfId="15995"/>
    <cellStyle name="Comma 2 8 4 3 2" xfId="25010"/>
    <cellStyle name="Comma 2 8 4 3 2 2" xfId="44439"/>
    <cellStyle name="Comma 2 8 4 3 2 3" xfId="38016"/>
    <cellStyle name="Comma 2 8 4 3 3" xfId="29331"/>
    <cellStyle name="Comma 2 8 4 3 3 2" xfId="41232"/>
    <cellStyle name="Comma 2 8 4 3 4" xfId="32666"/>
    <cellStyle name="Comma 2 8 4 3 5" xfId="34808"/>
    <cellStyle name="Comma 2 8 4 4" xfId="8813"/>
    <cellStyle name="Comma 2 8 4 4 2" xfId="43378"/>
    <cellStyle name="Comma 2 8 4 4 3" xfId="36954"/>
    <cellStyle name="Comma 2 8 4 5" xfId="21802"/>
    <cellStyle name="Comma 2 8 4 5 2" xfId="40171"/>
    <cellStyle name="Comma 2 8 4 6" xfId="22875"/>
    <cellStyle name="Comma 2 8 4 7" xfId="23949"/>
    <cellStyle name="Comma 2 8 4 8" xfId="27197"/>
    <cellStyle name="Comma 2 8 4 9" xfId="30530"/>
    <cellStyle name="Comma 2 8 5" xfId="1524"/>
    <cellStyle name="Comma 2 8 5 10" xfId="33748"/>
    <cellStyle name="Comma 2 8 5 2" xfId="10294"/>
    <cellStyle name="Comma 2 8 5 2 2" xfId="26094"/>
    <cellStyle name="Comma 2 8 5 2 2 2" xfId="45521"/>
    <cellStyle name="Comma 2 8 5 2 2 3" xfId="39098"/>
    <cellStyle name="Comma 2 8 5 2 3" xfId="28272"/>
    <cellStyle name="Comma 2 8 5 2 3 2" xfId="42314"/>
    <cellStyle name="Comma 2 8 5 2 4" xfId="31607"/>
    <cellStyle name="Comma 2 8 5 2 5" xfId="35890"/>
    <cellStyle name="Comma 2 8 5 3" xfId="15996"/>
    <cellStyle name="Comma 2 8 5 3 2" xfId="25011"/>
    <cellStyle name="Comma 2 8 5 3 2 2" xfId="44440"/>
    <cellStyle name="Comma 2 8 5 3 2 3" xfId="38017"/>
    <cellStyle name="Comma 2 8 5 3 3" xfId="29332"/>
    <cellStyle name="Comma 2 8 5 3 3 2" xfId="41233"/>
    <cellStyle name="Comma 2 8 5 3 4" xfId="32667"/>
    <cellStyle name="Comma 2 8 5 3 5" xfId="34809"/>
    <cellStyle name="Comma 2 8 5 4" xfId="8814"/>
    <cellStyle name="Comma 2 8 5 4 2" xfId="43379"/>
    <cellStyle name="Comma 2 8 5 4 3" xfId="36955"/>
    <cellStyle name="Comma 2 8 5 5" xfId="21803"/>
    <cellStyle name="Comma 2 8 5 5 2" xfId="40172"/>
    <cellStyle name="Comma 2 8 5 6" xfId="22876"/>
    <cellStyle name="Comma 2 8 5 7" xfId="23950"/>
    <cellStyle name="Comma 2 8 5 8" xfId="27198"/>
    <cellStyle name="Comma 2 8 5 9" xfId="30531"/>
    <cellStyle name="Comma 2 8 6" xfId="10290"/>
    <cellStyle name="Comma 2 8 6 2" xfId="26090"/>
    <cellStyle name="Comma 2 8 6 2 2" xfId="45517"/>
    <cellStyle name="Comma 2 8 6 2 3" xfId="39094"/>
    <cellStyle name="Comma 2 8 6 3" xfId="28268"/>
    <cellStyle name="Comma 2 8 6 3 2" xfId="42310"/>
    <cellStyle name="Comma 2 8 6 4" xfId="31603"/>
    <cellStyle name="Comma 2 8 6 5" xfId="35886"/>
    <cellStyle name="Comma 2 8 7" xfId="15992"/>
    <cellStyle name="Comma 2 8 7 2" xfId="25007"/>
    <cellStyle name="Comma 2 8 7 2 2" xfId="44436"/>
    <cellStyle name="Comma 2 8 7 2 3" xfId="38013"/>
    <cellStyle name="Comma 2 8 7 3" xfId="29328"/>
    <cellStyle name="Comma 2 8 7 3 2" xfId="41229"/>
    <cellStyle name="Comma 2 8 7 4" xfId="32663"/>
    <cellStyle name="Comma 2 8 7 5" xfId="34805"/>
    <cellStyle name="Comma 2 8 8" xfId="8810"/>
    <cellStyle name="Comma 2 8 8 2" xfId="43375"/>
    <cellStyle name="Comma 2 8 8 3" xfId="36951"/>
    <cellStyle name="Comma 2 8 9" xfId="21799"/>
    <cellStyle name="Comma 2 8 9 2" xfId="40168"/>
    <cellStyle name="Comma 2 9" xfId="1525"/>
    <cellStyle name="Comma 2 9 10" xfId="22877"/>
    <cellStyle name="Comma 2 9 11" xfId="23951"/>
    <cellStyle name="Comma 2 9 12" xfId="27199"/>
    <cellStyle name="Comma 2 9 13" xfId="30532"/>
    <cellStyle name="Comma 2 9 14" xfId="33749"/>
    <cellStyle name="Comma 2 9 2" xfId="1526"/>
    <cellStyle name="Comma 2 9 2 10" xfId="33750"/>
    <cellStyle name="Comma 2 9 2 2" xfId="10296"/>
    <cellStyle name="Comma 2 9 2 2 2" xfId="26096"/>
    <cellStyle name="Comma 2 9 2 2 2 2" xfId="45523"/>
    <cellStyle name="Comma 2 9 2 2 2 3" xfId="39100"/>
    <cellStyle name="Comma 2 9 2 2 3" xfId="28274"/>
    <cellStyle name="Comma 2 9 2 2 3 2" xfId="42316"/>
    <cellStyle name="Comma 2 9 2 2 4" xfId="31609"/>
    <cellStyle name="Comma 2 9 2 2 5" xfId="35892"/>
    <cellStyle name="Comma 2 9 2 3" xfId="15998"/>
    <cellStyle name="Comma 2 9 2 3 2" xfId="25013"/>
    <cellStyle name="Comma 2 9 2 3 2 2" xfId="44442"/>
    <cellStyle name="Comma 2 9 2 3 2 3" xfId="38019"/>
    <cellStyle name="Comma 2 9 2 3 3" xfId="29334"/>
    <cellStyle name="Comma 2 9 2 3 3 2" xfId="41235"/>
    <cellStyle name="Comma 2 9 2 3 4" xfId="32669"/>
    <cellStyle name="Comma 2 9 2 3 5" xfId="34811"/>
    <cellStyle name="Comma 2 9 2 4" xfId="8816"/>
    <cellStyle name="Comma 2 9 2 4 2" xfId="43381"/>
    <cellStyle name="Comma 2 9 2 4 3" xfId="36957"/>
    <cellStyle name="Comma 2 9 2 5" xfId="21805"/>
    <cellStyle name="Comma 2 9 2 5 2" xfId="40174"/>
    <cellStyle name="Comma 2 9 2 6" xfId="22878"/>
    <cellStyle name="Comma 2 9 2 7" xfId="23952"/>
    <cellStyle name="Comma 2 9 2 8" xfId="27200"/>
    <cellStyle name="Comma 2 9 2 9" xfId="30533"/>
    <cellStyle name="Comma 2 9 3" xfId="1527"/>
    <cellStyle name="Comma 2 9 3 10" xfId="33751"/>
    <cellStyle name="Comma 2 9 3 2" xfId="10297"/>
    <cellStyle name="Comma 2 9 3 2 2" xfId="26097"/>
    <cellStyle name="Comma 2 9 3 2 2 2" xfId="45524"/>
    <cellStyle name="Comma 2 9 3 2 2 3" xfId="39101"/>
    <cellStyle name="Comma 2 9 3 2 3" xfId="28275"/>
    <cellStyle name="Comma 2 9 3 2 3 2" xfId="42317"/>
    <cellStyle name="Comma 2 9 3 2 4" xfId="31610"/>
    <cellStyle name="Comma 2 9 3 2 5" xfId="35893"/>
    <cellStyle name="Comma 2 9 3 3" xfId="15999"/>
    <cellStyle name="Comma 2 9 3 3 2" xfId="25014"/>
    <cellStyle name="Comma 2 9 3 3 2 2" xfId="44443"/>
    <cellStyle name="Comma 2 9 3 3 2 3" xfId="38020"/>
    <cellStyle name="Comma 2 9 3 3 3" xfId="29335"/>
    <cellStyle name="Comma 2 9 3 3 3 2" xfId="41236"/>
    <cellStyle name="Comma 2 9 3 3 4" xfId="32670"/>
    <cellStyle name="Comma 2 9 3 3 5" xfId="34812"/>
    <cellStyle name="Comma 2 9 3 4" xfId="8817"/>
    <cellStyle name="Comma 2 9 3 4 2" xfId="43382"/>
    <cellStyle name="Comma 2 9 3 4 3" xfId="36958"/>
    <cellStyle name="Comma 2 9 3 5" xfId="21806"/>
    <cellStyle name="Comma 2 9 3 5 2" xfId="40175"/>
    <cellStyle name="Comma 2 9 3 6" xfId="22879"/>
    <cellStyle name="Comma 2 9 3 7" xfId="23953"/>
    <cellStyle name="Comma 2 9 3 8" xfId="27201"/>
    <cellStyle name="Comma 2 9 3 9" xfId="30534"/>
    <cellStyle name="Comma 2 9 4" xfId="1528"/>
    <cellStyle name="Comma 2 9 4 10" xfId="33752"/>
    <cellStyle name="Comma 2 9 4 2" xfId="10298"/>
    <cellStyle name="Comma 2 9 4 2 2" xfId="26098"/>
    <cellStyle name="Comma 2 9 4 2 2 2" xfId="45525"/>
    <cellStyle name="Comma 2 9 4 2 2 3" xfId="39102"/>
    <cellStyle name="Comma 2 9 4 2 3" xfId="28276"/>
    <cellStyle name="Comma 2 9 4 2 3 2" xfId="42318"/>
    <cellStyle name="Comma 2 9 4 2 4" xfId="31611"/>
    <cellStyle name="Comma 2 9 4 2 5" xfId="35894"/>
    <cellStyle name="Comma 2 9 4 3" xfId="16000"/>
    <cellStyle name="Comma 2 9 4 3 2" xfId="25015"/>
    <cellStyle name="Comma 2 9 4 3 2 2" xfId="44444"/>
    <cellStyle name="Comma 2 9 4 3 2 3" xfId="38021"/>
    <cellStyle name="Comma 2 9 4 3 3" xfId="29336"/>
    <cellStyle name="Comma 2 9 4 3 3 2" xfId="41237"/>
    <cellStyle name="Comma 2 9 4 3 4" xfId="32671"/>
    <cellStyle name="Comma 2 9 4 3 5" xfId="34813"/>
    <cellStyle name="Comma 2 9 4 4" xfId="8818"/>
    <cellStyle name="Comma 2 9 4 4 2" xfId="43383"/>
    <cellStyle name="Comma 2 9 4 4 3" xfId="36959"/>
    <cellStyle name="Comma 2 9 4 5" xfId="21807"/>
    <cellStyle name="Comma 2 9 4 5 2" xfId="40176"/>
    <cellStyle name="Comma 2 9 4 6" xfId="22880"/>
    <cellStyle name="Comma 2 9 4 7" xfId="23954"/>
    <cellStyle name="Comma 2 9 4 8" xfId="27202"/>
    <cellStyle name="Comma 2 9 4 9" xfId="30535"/>
    <cellStyle name="Comma 2 9 5" xfId="1529"/>
    <cellStyle name="Comma 2 9 5 10" xfId="33753"/>
    <cellStyle name="Comma 2 9 5 2" xfId="10299"/>
    <cellStyle name="Comma 2 9 5 2 2" xfId="26099"/>
    <cellStyle name="Comma 2 9 5 2 2 2" xfId="45526"/>
    <cellStyle name="Comma 2 9 5 2 2 3" xfId="39103"/>
    <cellStyle name="Comma 2 9 5 2 3" xfId="28277"/>
    <cellStyle name="Comma 2 9 5 2 3 2" xfId="42319"/>
    <cellStyle name="Comma 2 9 5 2 4" xfId="31612"/>
    <cellStyle name="Comma 2 9 5 2 5" xfId="35895"/>
    <cellStyle name="Comma 2 9 5 3" xfId="16001"/>
    <cellStyle name="Comma 2 9 5 3 2" xfId="25016"/>
    <cellStyle name="Comma 2 9 5 3 2 2" xfId="44445"/>
    <cellStyle name="Comma 2 9 5 3 2 3" xfId="38022"/>
    <cellStyle name="Comma 2 9 5 3 3" xfId="29337"/>
    <cellStyle name="Comma 2 9 5 3 3 2" xfId="41238"/>
    <cellStyle name="Comma 2 9 5 3 4" xfId="32672"/>
    <cellStyle name="Comma 2 9 5 3 5" xfId="34814"/>
    <cellStyle name="Comma 2 9 5 4" xfId="8819"/>
    <cellStyle name="Comma 2 9 5 4 2" xfId="43384"/>
    <cellStyle name="Comma 2 9 5 4 3" xfId="36960"/>
    <cellStyle name="Comma 2 9 5 5" xfId="21808"/>
    <cellStyle name="Comma 2 9 5 5 2" xfId="40177"/>
    <cellStyle name="Comma 2 9 5 6" xfId="22881"/>
    <cellStyle name="Comma 2 9 5 7" xfId="23955"/>
    <cellStyle name="Comma 2 9 5 8" xfId="27203"/>
    <cellStyle name="Comma 2 9 5 9" xfId="30536"/>
    <cellStyle name="Comma 2 9 6" xfId="10295"/>
    <cellStyle name="Comma 2 9 6 2" xfId="26095"/>
    <cellStyle name="Comma 2 9 6 2 2" xfId="45522"/>
    <cellStyle name="Comma 2 9 6 2 3" xfId="39099"/>
    <cellStyle name="Comma 2 9 6 3" xfId="28273"/>
    <cellStyle name="Comma 2 9 6 3 2" xfId="42315"/>
    <cellStyle name="Comma 2 9 6 4" xfId="31608"/>
    <cellStyle name="Comma 2 9 6 5" xfId="35891"/>
    <cellStyle name="Comma 2 9 7" xfId="15997"/>
    <cellStyle name="Comma 2 9 7 2" xfId="25012"/>
    <cellStyle name="Comma 2 9 7 2 2" xfId="44441"/>
    <cellStyle name="Comma 2 9 7 2 3" xfId="38018"/>
    <cellStyle name="Comma 2 9 7 3" xfId="29333"/>
    <cellStyle name="Comma 2 9 7 3 2" xfId="41234"/>
    <cellStyle name="Comma 2 9 7 4" xfId="32668"/>
    <cellStyle name="Comma 2 9 7 5" xfId="34810"/>
    <cellStyle name="Comma 2 9 8" xfId="8815"/>
    <cellStyle name="Comma 2 9 8 2" xfId="43380"/>
    <cellStyle name="Comma 2 9 8 3" xfId="36956"/>
    <cellStyle name="Comma 2 9 9" xfId="21804"/>
    <cellStyle name="Comma 2 9 9 2" xfId="40173"/>
    <cellStyle name="Comma 2_Gigajoule Data" xfId="171"/>
    <cellStyle name="Comma 20" xfId="14853"/>
    <cellStyle name="Comma 20 2" xfId="24029"/>
    <cellStyle name="Comma 20 2 2" xfId="43458"/>
    <cellStyle name="Comma 20 2 3" xfId="37034"/>
    <cellStyle name="Comma 20 3" xfId="28354"/>
    <cellStyle name="Comma 20 3 2" xfId="40251"/>
    <cellStyle name="Comma 20 4" xfId="31689"/>
    <cellStyle name="Comma 20 5" xfId="33827"/>
    <cellStyle name="Comma 21" xfId="20825"/>
    <cellStyle name="Comma 21 2" xfId="42397"/>
    <cellStyle name="Comma 21 3" xfId="35973"/>
    <cellStyle name="Comma 22" xfId="21898"/>
    <cellStyle name="Comma 22 2" xfId="39190"/>
    <cellStyle name="Comma 23" xfId="22967"/>
    <cellStyle name="Comma 24" xfId="26178"/>
    <cellStyle name="Comma 25" xfId="26177"/>
    <cellStyle name="Comma 26" xfId="26179"/>
    <cellStyle name="Comma 27" xfId="26180"/>
    <cellStyle name="Comma 28" xfId="26181"/>
    <cellStyle name="Comma 29" xfId="26183"/>
    <cellStyle name="Comma 3" xfId="50"/>
    <cellStyle name="Comma 3 2" xfId="136"/>
    <cellStyle name="Comma 3 2 2" xfId="26204"/>
    <cellStyle name="Comma 3 3" xfId="300"/>
    <cellStyle name="Comma 3 3 10" xfId="32869"/>
    <cellStyle name="Comma 3 3 2" xfId="9156"/>
    <cellStyle name="Comma 3 3 2 2" xfId="25210"/>
    <cellStyle name="Comma 3 3 2 2 2" xfId="44637"/>
    <cellStyle name="Comma 3 3 2 2 3" xfId="38214"/>
    <cellStyle name="Comma 3 3 2 3" xfId="27389"/>
    <cellStyle name="Comma 3 3 2 3 2" xfId="41430"/>
    <cellStyle name="Comma 3 3 2 4" xfId="30724"/>
    <cellStyle name="Comma 3 3 2 5" xfId="35006"/>
    <cellStyle name="Comma 3 3 3" xfId="16002"/>
    <cellStyle name="Comma 3 3 3 2" xfId="25017"/>
    <cellStyle name="Comma 3 3 3 2 2" xfId="44446"/>
    <cellStyle name="Comma 3 3 3 2 3" xfId="38023"/>
    <cellStyle name="Comma 3 3 3 3" xfId="29338"/>
    <cellStyle name="Comma 3 3 3 3 2" xfId="41239"/>
    <cellStyle name="Comma 3 3 3 4" xfId="32673"/>
    <cellStyle name="Comma 3 3 3 5" xfId="34815"/>
    <cellStyle name="Comma 3 3 4" xfId="8820"/>
    <cellStyle name="Comma 3 3 4 2" xfId="42500"/>
    <cellStyle name="Comma 3 3 4 3" xfId="36076"/>
    <cellStyle name="Comma 3 3 5" xfId="21809"/>
    <cellStyle name="Comma 3 3 5 2" xfId="39293"/>
    <cellStyle name="Comma 3 3 6" xfId="22883"/>
    <cellStyle name="Comma 3 3 7" xfId="23071"/>
    <cellStyle name="Comma 3 3 8" xfId="27204"/>
    <cellStyle name="Comma 3 3 9" xfId="30537"/>
    <cellStyle name="Comma 3 4" xfId="1530"/>
    <cellStyle name="Comma 3 4 10" xfId="33754"/>
    <cellStyle name="Comma 3 4 2" xfId="10300"/>
    <cellStyle name="Comma 3 4 2 2" xfId="26100"/>
    <cellStyle name="Comma 3 4 2 2 2" xfId="45527"/>
    <cellStyle name="Comma 3 4 2 2 3" xfId="39104"/>
    <cellStyle name="Comma 3 4 2 3" xfId="28278"/>
    <cellStyle name="Comma 3 4 2 3 2" xfId="42320"/>
    <cellStyle name="Comma 3 4 2 4" xfId="31613"/>
    <cellStyle name="Comma 3 4 2 5" xfId="35896"/>
    <cellStyle name="Comma 3 4 3" xfId="16003"/>
    <cellStyle name="Comma 3 4 3 2" xfId="25018"/>
    <cellStyle name="Comma 3 4 3 2 2" xfId="44447"/>
    <cellStyle name="Comma 3 4 3 2 3" xfId="38024"/>
    <cellStyle name="Comma 3 4 3 3" xfId="29339"/>
    <cellStyle name="Comma 3 4 3 3 2" xfId="41240"/>
    <cellStyle name="Comma 3 4 3 4" xfId="32674"/>
    <cellStyle name="Comma 3 4 3 5" xfId="34816"/>
    <cellStyle name="Comma 3 4 4" xfId="8821"/>
    <cellStyle name="Comma 3 4 4 2" xfId="43385"/>
    <cellStyle name="Comma 3 4 4 3" xfId="36961"/>
    <cellStyle name="Comma 3 4 5" xfId="21810"/>
    <cellStyle name="Comma 3 4 5 2" xfId="40178"/>
    <cellStyle name="Comma 3 4 6" xfId="22884"/>
    <cellStyle name="Comma 3 4 7" xfId="23956"/>
    <cellStyle name="Comma 3 4 8" xfId="27205"/>
    <cellStyle name="Comma 3 4 9" xfId="30538"/>
    <cellStyle name="Comma 3 5" xfId="1531"/>
    <cellStyle name="Comma 3 6" xfId="1532"/>
    <cellStyle name="Comma 3 6 10" xfId="33755"/>
    <cellStyle name="Comma 3 6 2" xfId="10301"/>
    <cellStyle name="Comma 3 6 2 2" xfId="26101"/>
    <cellStyle name="Comma 3 6 2 2 2" xfId="45528"/>
    <cellStyle name="Comma 3 6 2 2 3" xfId="39105"/>
    <cellStyle name="Comma 3 6 2 3" xfId="28279"/>
    <cellStyle name="Comma 3 6 2 3 2" xfId="42321"/>
    <cellStyle name="Comma 3 6 2 4" xfId="31614"/>
    <cellStyle name="Comma 3 6 2 5" xfId="35897"/>
    <cellStyle name="Comma 3 6 3" xfId="16004"/>
    <cellStyle name="Comma 3 6 3 2" xfId="25019"/>
    <cellStyle name="Comma 3 6 3 2 2" xfId="44448"/>
    <cellStyle name="Comma 3 6 3 2 3" xfId="38025"/>
    <cellStyle name="Comma 3 6 3 3" xfId="29340"/>
    <cellStyle name="Comma 3 6 3 3 2" xfId="41241"/>
    <cellStyle name="Comma 3 6 3 4" xfId="32675"/>
    <cellStyle name="Comma 3 6 3 5" xfId="34817"/>
    <cellStyle name="Comma 3 6 4" xfId="8822"/>
    <cellStyle name="Comma 3 6 4 2" xfId="43386"/>
    <cellStyle name="Comma 3 6 4 3" xfId="36962"/>
    <cellStyle name="Comma 3 6 5" xfId="21811"/>
    <cellStyle name="Comma 3 6 5 2" xfId="40179"/>
    <cellStyle name="Comma 3 6 6" xfId="22885"/>
    <cellStyle name="Comma 3 6 7" xfId="23957"/>
    <cellStyle name="Comma 3 6 8" xfId="27206"/>
    <cellStyle name="Comma 3 6 9" xfId="30539"/>
    <cellStyle name="Comma 3 7" xfId="29505"/>
    <cellStyle name="Comma 3 7 2" xfId="32762"/>
    <cellStyle name="Comma 3_Data - Monthly Commodity Prices" xfId="6388"/>
    <cellStyle name="Comma 30" xfId="26182"/>
    <cellStyle name="Comma 31" xfId="26185"/>
    <cellStyle name="Comma 32" xfId="26184"/>
    <cellStyle name="Comma 33" xfId="26186"/>
    <cellStyle name="Comma 34" xfId="26187"/>
    <cellStyle name="Comma 35" xfId="26188"/>
    <cellStyle name="Comma 36" xfId="32765"/>
    <cellStyle name="Comma 4" xfId="91"/>
    <cellStyle name="Comma 4 10" xfId="20832"/>
    <cellStyle name="Comma 4 10 2" xfId="39193"/>
    <cellStyle name="Comma 4 11" xfId="21905"/>
    <cellStyle name="Comma 4 12" xfId="22971"/>
    <cellStyle name="Comma 4 13" xfId="26225"/>
    <cellStyle name="Comma 4 14" xfId="29558"/>
    <cellStyle name="Comma 4 15" xfId="32769"/>
    <cellStyle name="Comma 4 2" xfId="302"/>
    <cellStyle name="Comma 4 2 10" xfId="27207"/>
    <cellStyle name="Comma 4 2 11" xfId="30540"/>
    <cellStyle name="Comma 4 2 12" xfId="32871"/>
    <cellStyle name="Comma 4 2 2" xfId="1533"/>
    <cellStyle name="Comma 4 2 2 10" xfId="33756"/>
    <cellStyle name="Comma 4 2 2 2" xfId="10302"/>
    <cellStyle name="Comma 4 2 2 2 2" xfId="26102"/>
    <cellStyle name="Comma 4 2 2 2 2 2" xfId="45529"/>
    <cellStyle name="Comma 4 2 2 2 2 3" xfId="39106"/>
    <cellStyle name="Comma 4 2 2 2 3" xfId="28280"/>
    <cellStyle name="Comma 4 2 2 2 3 2" xfId="42322"/>
    <cellStyle name="Comma 4 2 2 2 4" xfId="31615"/>
    <cellStyle name="Comma 4 2 2 2 5" xfId="35898"/>
    <cellStyle name="Comma 4 2 2 3" xfId="16006"/>
    <cellStyle name="Comma 4 2 2 3 2" xfId="25021"/>
    <cellStyle name="Comma 4 2 2 3 2 2" xfId="44450"/>
    <cellStyle name="Comma 4 2 2 3 2 3" xfId="38027"/>
    <cellStyle name="Comma 4 2 2 3 3" xfId="29342"/>
    <cellStyle name="Comma 4 2 2 3 3 2" xfId="41243"/>
    <cellStyle name="Comma 4 2 2 3 4" xfId="32677"/>
    <cellStyle name="Comma 4 2 2 3 5" xfId="34819"/>
    <cellStyle name="Comma 4 2 2 4" xfId="8824"/>
    <cellStyle name="Comma 4 2 2 4 2" xfId="43387"/>
    <cellStyle name="Comma 4 2 2 4 3" xfId="36963"/>
    <cellStyle name="Comma 4 2 2 5" xfId="21813"/>
    <cellStyle name="Comma 4 2 2 5 2" xfId="40180"/>
    <cellStyle name="Comma 4 2 2 6" xfId="22887"/>
    <cellStyle name="Comma 4 2 2 7" xfId="23958"/>
    <cellStyle name="Comma 4 2 2 8" xfId="27208"/>
    <cellStyle name="Comma 4 2 2 9" xfId="30541"/>
    <cellStyle name="Comma 4 2 3" xfId="1534"/>
    <cellStyle name="Comma 4 2 3 10" xfId="21814"/>
    <cellStyle name="Comma 4 2 3 10 2" xfId="40181"/>
    <cellStyle name="Comma 4 2 3 11" xfId="22888"/>
    <cellStyle name="Comma 4 2 3 12" xfId="23959"/>
    <cellStyle name="Comma 4 2 3 13" xfId="27209"/>
    <cellStyle name="Comma 4 2 3 14" xfId="30542"/>
    <cellStyle name="Comma 4 2 3 15" xfId="33757"/>
    <cellStyle name="Comma 4 2 3 2" xfId="1535"/>
    <cellStyle name="Comma 4 2 3 2 10" xfId="22889"/>
    <cellStyle name="Comma 4 2 3 2 11" xfId="23960"/>
    <cellStyle name="Comma 4 2 3 2 12" xfId="27210"/>
    <cellStyle name="Comma 4 2 3 2 13" xfId="30543"/>
    <cellStyle name="Comma 4 2 3 2 14" xfId="33758"/>
    <cellStyle name="Comma 4 2 3 2 2" xfId="1536"/>
    <cellStyle name="Comma 4 2 3 2 2 10" xfId="33759"/>
    <cellStyle name="Comma 4 2 3 2 2 2" xfId="10305"/>
    <cellStyle name="Comma 4 2 3 2 2 2 2" xfId="26105"/>
    <cellStyle name="Comma 4 2 3 2 2 2 2 2" xfId="45532"/>
    <cellStyle name="Comma 4 2 3 2 2 2 2 3" xfId="39109"/>
    <cellStyle name="Comma 4 2 3 2 2 2 3" xfId="28283"/>
    <cellStyle name="Comma 4 2 3 2 2 2 3 2" xfId="42325"/>
    <cellStyle name="Comma 4 2 3 2 2 2 4" xfId="31618"/>
    <cellStyle name="Comma 4 2 3 2 2 2 5" xfId="35901"/>
    <cellStyle name="Comma 4 2 3 2 2 3" xfId="16009"/>
    <cellStyle name="Comma 4 2 3 2 2 3 2" xfId="25024"/>
    <cellStyle name="Comma 4 2 3 2 2 3 2 2" xfId="44453"/>
    <cellStyle name="Comma 4 2 3 2 2 3 2 3" xfId="38030"/>
    <cellStyle name="Comma 4 2 3 2 2 3 3" xfId="29345"/>
    <cellStyle name="Comma 4 2 3 2 2 3 3 2" xfId="41246"/>
    <cellStyle name="Comma 4 2 3 2 2 3 4" xfId="32680"/>
    <cellStyle name="Comma 4 2 3 2 2 3 5" xfId="34822"/>
    <cellStyle name="Comma 4 2 3 2 2 4" xfId="8827"/>
    <cellStyle name="Comma 4 2 3 2 2 4 2" xfId="43390"/>
    <cellStyle name="Comma 4 2 3 2 2 4 3" xfId="36966"/>
    <cellStyle name="Comma 4 2 3 2 2 5" xfId="21816"/>
    <cellStyle name="Comma 4 2 3 2 2 5 2" xfId="40183"/>
    <cellStyle name="Comma 4 2 3 2 2 6" xfId="22890"/>
    <cellStyle name="Comma 4 2 3 2 2 7" xfId="23961"/>
    <cellStyle name="Comma 4 2 3 2 2 8" xfId="27211"/>
    <cellStyle name="Comma 4 2 3 2 2 9" xfId="30544"/>
    <cellStyle name="Comma 4 2 3 2 3" xfId="1537"/>
    <cellStyle name="Comma 4 2 3 2 3 10" xfId="33760"/>
    <cellStyle name="Comma 4 2 3 2 3 2" xfId="10306"/>
    <cellStyle name="Comma 4 2 3 2 3 2 2" xfId="26106"/>
    <cellStyle name="Comma 4 2 3 2 3 2 2 2" xfId="45533"/>
    <cellStyle name="Comma 4 2 3 2 3 2 2 3" xfId="39110"/>
    <cellStyle name="Comma 4 2 3 2 3 2 3" xfId="28284"/>
    <cellStyle name="Comma 4 2 3 2 3 2 3 2" xfId="42326"/>
    <cellStyle name="Comma 4 2 3 2 3 2 4" xfId="31619"/>
    <cellStyle name="Comma 4 2 3 2 3 2 5" xfId="35902"/>
    <cellStyle name="Comma 4 2 3 2 3 3" xfId="16010"/>
    <cellStyle name="Comma 4 2 3 2 3 3 2" xfId="25025"/>
    <cellStyle name="Comma 4 2 3 2 3 3 2 2" xfId="44454"/>
    <cellStyle name="Comma 4 2 3 2 3 3 2 3" xfId="38031"/>
    <cellStyle name="Comma 4 2 3 2 3 3 3" xfId="29346"/>
    <cellStyle name="Comma 4 2 3 2 3 3 3 2" xfId="41247"/>
    <cellStyle name="Comma 4 2 3 2 3 3 4" xfId="32681"/>
    <cellStyle name="Comma 4 2 3 2 3 3 5" xfId="34823"/>
    <cellStyle name="Comma 4 2 3 2 3 4" xfId="8828"/>
    <cellStyle name="Comma 4 2 3 2 3 4 2" xfId="43391"/>
    <cellStyle name="Comma 4 2 3 2 3 4 3" xfId="36967"/>
    <cellStyle name="Comma 4 2 3 2 3 5" xfId="21817"/>
    <cellStyle name="Comma 4 2 3 2 3 5 2" xfId="40184"/>
    <cellStyle name="Comma 4 2 3 2 3 6" xfId="22891"/>
    <cellStyle name="Comma 4 2 3 2 3 7" xfId="23962"/>
    <cellStyle name="Comma 4 2 3 2 3 8" xfId="27212"/>
    <cellStyle name="Comma 4 2 3 2 3 9" xfId="30545"/>
    <cellStyle name="Comma 4 2 3 2 4" xfId="1538"/>
    <cellStyle name="Comma 4 2 3 2 4 10" xfId="33761"/>
    <cellStyle name="Comma 4 2 3 2 4 2" xfId="10307"/>
    <cellStyle name="Comma 4 2 3 2 4 2 2" xfId="26107"/>
    <cellStyle name="Comma 4 2 3 2 4 2 2 2" xfId="45534"/>
    <cellStyle name="Comma 4 2 3 2 4 2 2 3" xfId="39111"/>
    <cellStyle name="Comma 4 2 3 2 4 2 3" xfId="28285"/>
    <cellStyle name="Comma 4 2 3 2 4 2 3 2" xfId="42327"/>
    <cellStyle name="Comma 4 2 3 2 4 2 4" xfId="31620"/>
    <cellStyle name="Comma 4 2 3 2 4 2 5" xfId="35903"/>
    <cellStyle name="Comma 4 2 3 2 4 3" xfId="16011"/>
    <cellStyle name="Comma 4 2 3 2 4 3 2" xfId="25026"/>
    <cellStyle name="Comma 4 2 3 2 4 3 2 2" xfId="44455"/>
    <cellStyle name="Comma 4 2 3 2 4 3 2 3" xfId="38032"/>
    <cellStyle name="Comma 4 2 3 2 4 3 3" xfId="29347"/>
    <cellStyle name="Comma 4 2 3 2 4 3 3 2" xfId="41248"/>
    <cellStyle name="Comma 4 2 3 2 4 3 4" xfId="32682"/>
    <cellStyle name="Comma 4 2 3 2 4 3 5" xfId="34824"/>
    <cellStyle name="Comma 4 2 3 2 4 4" xfId="8829"/>
    <cellStyle name="Comma 4 2 3 2 4 4 2" xfId="43392"/>
    <cellStyle name="Comma 4 2 3 2 4 4 3" xfId="36968"/>
    <cellStyle name="Comma 4 2 3 2 4 5" xfId="21818"/>
    <cellStyle name="Comma 4 2 3 2 4 5 2" xfId="40185"/>
    <cellStyle name="Comma 4 2 3 2 4 6" xfId="22892"/>
    <cellStyle name="Comma 4 2 3 2 4 7" xfId="23963"/>
    <cellStyle name="Comma 4 2 3 2 4 8" xfId="27213"/>
    <cellStyle name="Comma 4 2 3 2 4 9" xfId="30546"/>
    <cellStyle name="Comma 4 2 3 2 5" xfId="1539"/>
    <cellStyle name="Comma 4 2 3 2 5 10" xfId="33762"/>
    <cellStyle name="Comma 4 2 3 2 5 2" xfId="10308"/>
    <cellStyle name="Comma 4 2 3 2 5 2 2" xfId="26108"/>
    <cellStyle name="Comma 4 2 3 2 5 2 2 2" xfId="45535"/>
    <cellStyle name="Comma 4 2 3 2 5 2 2 3" xfId="39112"/>
    <cellStyle name="Comma 4 2 3 2 5 2 3" xfId="28286"/>
    <cellStyle name="Comma 4 2 3 2 5 2 3 2" xfId="42328"/>
    <cellStyle name="Comma 4 2 3 2 5 2 4" xfId="31621"/>
    <cellStyle name="Comma 4 2 3 2 5 2 5" xfId="35904"/>
    <cellStyle name="Comma 4 2 3 2 5 3" xfId="16012"/>
    <cellStyle name="Comma 4 2 3 2 5 3 2" xfId="25027"/>
    <cellStyle name="Comma 4 2 3 2 5 3 2 2" xfId="44456"/>
    <cellStyle name="Comma 4 2 3 2 5 3 2 3" xfId="38033"/>
    <cellStyle name="Comma 4 2 3 2 5 3 3" xfId="29348"/>
    <cellStyle name="Comma 4 2 3 2 5 3 3 2" xfId="41249"/>
    <cellStyle name="Comma 4 2 3 2 5 3 4" xfId="32683"/>
    <cellStyle name="Comma 4 2 3 2 5 3 5" xfId="34825"/>
    <cellStyle name="Comma 4 2 3 2 5 4" xfId="8830"/>
    <cellStyle name="Comma 4 2 3 2 5 4 2" xfId="43393"/>
    <cellStyle name="Comma 4 2 3 2 5 4 3" xfId="36969"/>
    <cellStyle name="Comma 4 2 3 2 5 5" xfId="21819"/>
    <cellStyle name="Comma 4 2 3 2 5 5 2" xfId="40186"/>
    <cellStyle name="Comma 4 2 3 2 5 6" xfId="22893"/>
    <cellStyle name="Comma 4 2 3 2 5 7" xfId="23964"/>
    <cellStyle name="Comma 4 2 3 2 5 8" xfId="27214"/>
    <cellStyle name="Comma 4 2 3 2 5 9" xfId="30547"/>
    <cellStyle name="Comma 4 2 3 2 6" xfId="10304"/>
    <cellStyle name="Comma 4 2 3 2 6 2" xfId="26104"/>
    <cellStyle name="Comma 4 2 3 2 6 2 2" xfId="45531"/>
    <cellStyle name="Comma 4 2 3 2 6 2 3" xfId="39108"/>
    <cellStyle name="Comma 4 2 3 2 6 3" xfId="28282"/>
    <cellStyle name="Comma 4 2 3 2 6 3 2" xfId="42324"/>
    <cellStyle name="Comma 4 2 3 2 6 4" xfId="31617"/>
    <cellStyle name="Comma 4 2 3 2 6 5" xfId="35900"/>
    <cellStyle name="Comma 4 2 3 2 7" xfId="16008"/>
    <cellStyle name="Comma 4 2 3 2 7 2" xfId="25023"/>
    <cellStyle name="Comma 4 2 3 2 7 2 2" xfId="44452"/>
    <cellStyle name="Comma 4 2 3 2 7 2 3" xfId="38029"/>
    <cellStyle name="Comma 4 2 3 2 7 3" xfId="29344"/>
    <cellStyle name="Comma 4 2 3 2 7 3 2" xfId="41245"/>
    <cellStyle name="Comma 4 2 3 2 7 4" xfId="32679"/>
    <cellStyle name="Comma 4 2 3 2 7 5" xfId="34821"/>
    <cellStyle name="Comma 4 2 3 2 8" xfId="8826"/>
    <cellStyle name="Comma 4 2 3 2 8 2" xfId="43389"/>
    <cellStyle name="Comma 4 2 3 2 8 3" xfId="36965"/>
    <cellStyle name="Comma 4 2 3 2 9" xfId="21815"/>
    <cellStyle name="Comma 4 2 3 2 9 2" xfId="40182"/>
    <cellStyle name="Comma 4 2 3 3" xfId="1540"/>
    <cellStyle name="Comma 4 2 3 3 10" xfId="33763"/>
    <cellStyle name="Comma 4 2 3 3 2" xfId="10309"/>
    <cellStyle name="Comma 4 2 3 3 2 2" xfId="26109"/>
    <cellStyle name="Comma 4 2 3 3 2 2 2" xfId="45536"/>
    <cellStyle name="Comma 4 2 3 3 2 2 3" xfId="39113"/>
    <cellStyle name="Comma 4 2 3 3 2 3" xfId="28287"/>
    <cellStyle name="Comma 4 2 3 3 2 3 2" xfId="42329"/>
    <cellStyle name="Comma 4 2 3 3 2 4" xfId="31622"/>
    <cellStyle name="Comma 4 2 3 3 2 5" xfId="35905"/>
    <cellStyle name="Comma 4 2 3 3 3" xfId="16013"/>
    <cellStyle name="Comma 4 2 3 3 3 2" xfId="25028"/>
    <cellStyle name="Comma 4 2 3 3 3 2 2" xfId="44457"/>
    <cellStyle name="Comma 4 2 3 3 3 2 3" xfId="38034"/>
    <cellStyle name="Comma 4 2 3 3 3 3" xfId="29349"/>
    <cellStyle name="Comma 4 2 3 3 3 3 2" xfId="41250"/>
    <cellStyle name="Comma 4 2 3 3 3 4" xfId="32684"/>
    <cellStyle name="Comma 4 2 3 3 3 5" xfId="34826"/>
    <cellStyle name="Comma 4 2 3 3 4" xfId="8831"/>
    <cellStyle name="Comma 4 2 3 3 4 2" xfId="43394"/>
    <cellStyle name="Comma 4 2 3 3 4 3" xfId="36970"/>
    <cellStyle name="Comma 4 2 3 3 5" xfId="21820"/>
    <cellStyle name="Comma 4 2 3 3 5 2" xfId="40187"/>
    <cellStyle name="Comma 4 2 3 3 6" xfId="22894"/>
    <cellStyle name="Comma 4 2 3 3 7" xfId="23965"/>
    <cellStyle name="Comma 4 2 3 3 8" xfId="27215"/>
    <cellStyle name="Comma 4 2 3 3 9" xfId="30548"/>
    <cellStyle name="Comma 4 2 3 4" xfId="1541"/>
    <cellStyle name="Comma 4 2 3 4 10" xfId="33764"/>
    <cellStyle name="Comma 4 2 3 4 2" xfId="10310"/>
    <cellStyle name="Comma 4 2 3 4 2 2" xfId="26110"/>
    <cellStyle name="Comma 4 2 3 4 2 2 2" xfId="45537"/>
    <cellStyle name="Comma 4 2 3 4 2 2 3" xfId="39114"/>
    <cellStyle name="Comma 4 2 3 4 2 3" xfId="28288"/>
    <cellStyle name="Comma 4 2 3 4 2 3 2" xfId="42330"/>
    <cellStyle name="Comma 4 2 3 4 2 4" xfId="31623"/>
    <cellStyle name="Comma 4 2 3 4 2 5" xfId="35906"/>
    <cellStyle name="Comma 4 2 3 4 3" xfId="16014"/>
    <cellStyle name="Comma 4 2 3 4 3 2" xfId="25029"/>
    <cellStyle name="Comma 4 2 3 4 3 2 2" xfId="44458"/>
    <cellStyle name="Comma 4 2 3 4 3 2 3" xfId="38035"/>
    <cellStyle name="Comma 4 2 3 4 3 3" xfId="29350"/>
    <cellStyle name="Comma 4 2 3 4 3 3 2" xfId="41251"/>
    <cellStyle name="Comma 4 2 3 4 3 4" xfId="32685"/>
    <cellStyle name="Comma 4 2 3 4 3 5" xfId="34827"/>
    <cellStyle name="Comma 4 2 3 4 4" xfId="8832"/>
    <cellStyle name="Comma 4 2 3 4 4 2" xfId="43395"/>
    <cellStyle name="Comma 4 2 3 4 4 3" xfId="36971"/>
    <cellStyle name="Comma 4 2 3 4 5" xfId="21821"/>
    <cellStyle name="Comma 4 2 3 4 5 2" xfId="40188"/>
    <cellStyle name="Comma 4 2 3 4 6" xfId="22895"/>
    <cellStyle name="Comma 4 2 3 4 7" xfId="23966"/>
    <cellStyle name="Comma 4 2 3 4 8" xfId="27216"/>
    <cellStyle name="Comma 4 2 3 4 9" xfId="30549"/>
    <cellStyle name="Comma 4 2 3 5" xfId="1542"/>
    <cellStyle name="Comma 4 2 3 5 10" xfId="33765"/>
    <cellStyle name="Comma 4 2 3 5 2" xfId="10311"/>
    <cellStyle name="Comma 4 2 3 5 2 2" xfId="26111"/>
    <cellStyle name="Comma 4 2 3 5 2 2 2" xfId="45538"/>
    <cellStyle name="Comma 4 2 3 5 2 2 3" xfId="39115"/>
    <cellStyle name="Comma 4 2 3 5 2 3" xfId="28289"/>
    <cellStyle name="Comma 4 2 3 5 2 3 2" xfId="42331"/>
    <cellStyle name="Comma 4 2 3 5 2 4" xfId="31624"/>
    <cellStyle name="Comma 4 2 3 5 2 5" xfId="35907"/>
    <cellStyle name="Comma 4 2 3 5 3" xfId="16015"/>
    <cellStyle name="Comma 4 2 3 5 3 2" xfId="25030"/>
    <cellStyle name="Comma 4 2 3 5 3 2 2" xfId="44459"/>
    <cellStyle name="Comma 4 2 3 5 3 2 3" xfId="38036"/>
    <cellStyle name="Comma 4 2 3 5 3 3" xfId="29351"/>
    <cellStyle name="Comma 4 2 3 5 3 3 2" xfId="41252"/>
    <cellStyle name="Comma 4 2 3 5 3 4" xfId="32686"/>
    <cellStyle name="Comma 4 2 3 5 3 5" xfId="34828"/>
    <cellStyle name="Comma 4 2 3 5 4" xfId="8833"/>
    <cellStyle name="Comma 4 2 3 5 4 2" xfId="43396"/>
    <cellStyle name="Comma 4 2 3 5 4 3" xfId="36972"/>
    <cellStyle name="Comma 4 2 3 5 5" xfId="21822"/>
    <cellStyle name="Comma 4 2 3 5 5 2" xfId="40189"/>
    <cellStyle name="Comma 4 2 3 5 6" xfId="22896"/>
    <cellStyle name="Comma 4 2 3 5 7" xfId="23967"/>
    <cellStyle name="Comma 4 2 3 5 8" xfId="27217"/>
    <cellStyle name="Comma 4 2 3 5 9" xfId="30550"/>
    <cellStyle name="Comma 4 2 3 6" xfId="1543"/>
    <cellStyle name="Comma 4 2 3 6 10" xfId="33766"/>
    <cellStyle name="Comma 4 2 3 6 2" xfId="10312"/>
    <cellStyle name="Comma 4 2 3 6 2 2" xfId="26112"/>
    <cellStyle name="Comma 4 2 3 6 2 2 2" xfId="45539"/>
    <cellStyle name="Comma 4 2 3 6 2 2 3" xfId="39116"/>
    <cellStyle name="Comma 4 2 3 6 2 3" xfId="28290"/>
    <cellStyle name="Comma 4 2 3 6 2 3 2" xfId="42332"/>
    <cellStyle name="Comma 4 2 3 6 2 4" xfId="31625"/>
    <cellStyle name="Comma 4 2 3 6 2 5" xfId="35908"/>
    <cellStyle name="Comma 4 2 3 6 3" xfId="16016"/>
    <cellStyle name="Comma 4 2 3 6 3 2" xfId="25031"/>
    <cellStyle name="Comma 4 2 3 6 3 2 2" xfId="44460"/>
    <cellStyle name="Comma 4 2 3 6 3 2 3" xfId="38037"/>
    <cellStyle name="Comma 4 2 3 6 3 3" xfId="29352"/>
    <cellStyle name="Comma 4 2 3 6 3 3 2" xfId="41253"/>
    <cellStyle name="Comma 4 2 3 6 3 4" xfId="32687"/>
    <cellStyle name="Comma 4 2 3 6 3 5" xfId="34829"/>
    <cellStyle name="Comma 4 2 3 6 4" xfId="8834"/>
    <cellStyle name="Comma 4 2 3 6 4 2" xfId="43397"/>
    <cellStyle name="Comma 4 2 3 6 4 3" xfId="36973"/>
    <cellStyle name="Comma 4 2 3 6 5" xfId="21823"/>
    <cellStyle name="Comma 4 2 3 6 5 2" xfId="40190"/>
    <cellStyle name="Comma 4 2 3 6 6" xfId="22897"/>
    <cellStyle name="Comma 4 2 3 6 7" xfId="23968"/>
    <cellStyle name="Comma 4 2 3 6 8" xfId="27218"/>
    <cellStyle name="Comma 4 2 3 6 9" xfId="30551"/>
    <cellStyle name="Comma 4 2 3 7" xfId="10303"/>
    <cellStyle name="Comma 4 2 3 7 2" xfId="26103"/>
    <cellStyle name="Comma 4 2 3 7 2 2" xfId="45530"/>
    <cellStyle name="Comma 4 2 3 7 2 3" xfId="39107"/>
    <cellStyle name="Comma 4 2 3 7 3" xfId="28281"/>
    <cellStyle name="Comma 4 2 3 7 3 2" xfId="42323"/>
    <cellStyle name="Comma 4 2 3 7 4" xfId="31616"/>
    <cellStyle name="Comma 4 2 3 7 5" xfId="35899"/>
    <cellStyle name="Comma 4 2 3 8" xfId="16007"/>
    <cellStyle name="Comma 4 2 3 8 2" xfId="25022"/>
    <cellStyle name="Comma 4 2 3 8 2 2" xfId="44451"/>
    <cellStyle name="Comma 4 2 3 8 2 3" xfId="38028"/>
    <cellStyle name="Comma 4 2 3 8 3" xfId="29343"/>
    <cellStyle name="Comma 4 2 3 8 3 2" xfId="41244"/>
    <cellStyle name="Comma 4 2 3 8 4" xfId="32678"/>
    <cellStyle name="Comma 4 2 3 8 5" xfId="34820"/>
    <cellStyle name="Comma 4 2 3 9" xfId="8825"/>
    <cellStyle name="Comma 4 2 3 9 2" xfId="43388"/>
    <cellStyle name="Comma 4 2 3 9 3" xfId="36964"/>
    <cellStyle name="Comma 4 2 4" xfId="9158"/>
    <cellStyle name="Comma 4 2 4 2" xfId="25212"/>
    <cellStyle name="Comma 4 2 4 2 2" xfId="44639"/>
    <cellStyle name="Comma 4 2 4 2 3" xfId="38216"/>
    <cellStyle name="Comma 4 2 4 3" xfId="27391"/>
    <cellStyle name="Comma 4 2 4 3 2" xfId="41432"/>
    <cellStyle name="Comma 4 2 4 4" xfId="30726"/>
    <cellStyle name="Comma 4 2 4 5" xfId="35008"/>
    <cellStyle name="Comma 4 2 5" xfId="16005"/>
    <cellStyle name="Comma 4 2 5 2" xfId="25020"/>
    <cellStyle name="Comma 4 2 5 2 2" xfId="44449"/>
    <cellStyle name="Comma 4 2 5 2 3" xfId="38026"/>
    <cellStyle name="Comma 4 2 5 3" xfId="29341"/>
    <cellStyle name="Comma 4 2 5 3 2" xfId="41242"/>
    <cellStyle name="Comma 4 2 5 4" xfId="32676"/>
    <cellStyle name="Comma 4 2 5 5" xfId="34818"/>
    <cellStyle name="Comma 4 2 6" xfId="8823"/>
    <cellStyle name="Comma 4 2 6 2" xfId="42502"/>
    <cellStyle name="Comma 4 2 6 3" xfId="36078"/>
    <cellStyle name="Comma 4 2 7" xfId="21812"/>
    <cellStyle name="Comma 4 2 7 2" xfId="39295"/>
    <cellStyle name="Comma 4 2 8" xfId="22886"/>
    <cellStyle name="Comma 4 2 9" xfId="23073"/>
    <cellStyle name="Comma 4 3" xfId="301"/>
    <cellStyle name="Comma 4 3 10" xfId="8835"/>
    <cellStyle name="Comma 4 3 10 2" xfId="42501"/>
    <cellStyle name="Comma 4 3 10 3" xfId="36077"/>
    <cellStyle name="Comma 4 3 11" xfId="21824"/>
    <cellStyle name="Comma 4 3 11 2" xfId="39294"/>
    <cellStyle name="Comma 4 3 12" xfId="22898"/>
    <cellStyle name="Comma 4 3 13" xfId="23072"/>
    <cellStyle name="Comma 4 3 14" xfId="27219"/>
    <cellStyle name="Comma 4 3 15" xfId="30552"/>
    <cellStyle name="Comma 4 3 16" xfId="32870"/>
    <cellStyle name="Comma 4 3 2" xfId="1544"/>
    <cellStyle name="Comma 4 3 2 10" xfId="22899"/>
    <cellStyle name="Comma 4 3 2 11" xfId="23969"/>
    <cellStyle name="Comma 4 3 2 12" xfId="27220"/>
    <cellStyle name="Comma 4 3 2 13" xfId="30553"/>
    <cellStyle name="Comma 4 3 2 14" xfId="33767"/>
    <cellStyle name="Comma 4 3 2 2" xfId="1545"/>
    <cellStyle name="Comma 4 3 2 2 10" xfId="33768"/>
    <cellStyle name="Comma 4 3 2 2 2" xfId="10314"/>
    <cellStyle name="Comma 4 3 2 2 2 2" xfId="26114"/>
    <cellStyle name="Comma 4 3 2 2 2 2 2" xfId="45541"/>
    <cellStyle name="Comma 4 3 2 2 2 2 3" xfId="39118"/>
    <cellStyle name="Comma 4 3 2 2 2 3" xfId="28292"/>
    <cellStyle name="Comma 4 3 2 2 2 3 2" xfId="42334"/>
    <cellStyle name="Comma 4 3 2 2 2 4" xfId="31627"/>
    <cellStyle name="Comma 4 3 2 2 2 5" xfId="35910"/>
    <cellStyle name="Comma 4 3 2 2 3" xfId="16019"/>
    <cellStyle name="Comma 4 3 2 2 3 2" xfId="25034"/>
    <cellStyle name="Comma 4 3 2 2 3 2 2" xfId="44463"/>
    <cellStyle name="Comma 4 3 2 2 3 2 3" xfId="38040"/>
    <cellStyle name="Comma 4 3 2 2 3 3" xfId="29355"/>
    <cellStyle name="Comma 4 3 2 2 3 3 2" xfId="41256"/>
    <cellStyle name="Comma 4 3 2 2 3 4" xfId="32690"/>
    <cellStyle name="Comma 4 3 2 2 3 5" xfId="34832"/>
    <cellStyle name="Comma 4 3 2 2 4" xfId="8837"/>
    <cellStyle name="Comma 4 3 2 2 4 2" xfId="43399"/>
    <cellStyle name="Comma 4 3 2 2 4 3" xfId="36975"/>
    <cellStyle name="Comma 4 3 2 2 5" xfId="21826"/>
    <cellStyle name="Comma 4 3 2 2 5 2" xfId="40192"/>
    <cellStyle name="Comma 4 3 2 2 6" xfId="22900"/>
    <cellStyle name="Comma 4 3 2 2 7" xfId="23970"/>
    <cellStyle name="Comma 4 3 2 2 8" xfId="27221"/>
    <cellStyle name="Comma 4 3 2 2 9" xfId="30554"/>
    <cellStyle name="Comma 4 3 2 3" xfId="1546"/>
    <cellStyle name="Comma 4 3 2 3 10" xfId="33769"/>
    <cellStyle name="Comma 4 3 2 3 2" xfId="10315"/>
    <cellStyle name="Comma 4 3 2 3 2 2" xfId="26115"/>
    <cellStyle name="Comma 4 3 2 3 2 2 2" xfId="45542"/>
    <cellStyle name="Comma 4 3 2 3 2 2 3" xfId="39119"/>
    <cellStyle name="Comma 4 3 2 3 2 3" xfId="28293"/>
    <cellStyle name="Comma 4 3 2 3 2 3 2" xfId="42335"/>
    <cellStyle name="Comma 4 3 2 3 2 4" xfId="31628"/>
    <cellStyle name="Comma 4 3 2 3 2 5" xfId="35911"/>
    <cellStyle name="Comma 4 3 2 3 3" xfId="16020"/>
    <cellStyle name="Comma 4 3 2 3 3 2" xfId="25035"/>
    <cellStyle name="Comma 4 3 2 3 3 2 2" xfId="44464"/>
    <cellStyle name="Comma 4 3 2 3 3 2 3" xfId="38041"/>
    <cellStyle name="Comma 4 3 2 3 3 3" xfId="29356"/>
    <cellStyle name="Comma 4 3 2 3 3 3 2" xfId="41257"/>
    <cellStyle name="Comma 4 3 2 3 3 4" xfId="32691"/>
    <cellStyle name="Comma 4 3 2 3 3 5" xfId="34833"/>
    <cellStyle name="Comma 4 3 2 3 4" xfId="8838"/>
    <cellStyle name="Comma 4 3 2 3 4 2" xfId="43400"/>
    <cellStyle name="Comma 4 3 2 3 4 3" xfId="36976"/>
    <cellStyle name="Comma 4 3 2 3 5" xfId="21827"/>
    <cellStyle name="Comma 4 3 2 3 5 2" xfId="40193"/>
    <cellStyle name="Comma 4 3 2 3 6" xfId="22901"/>
    <cellStyle name="Comma 4 3 2 3 7" xfId="23971"/>
    <cellStyle name="Comma 4 3 2 3 8" xfId="27222"/>
    <cellStyle name="Comma 4 3 2 3 9" xfId="30555"/>
    <cellStyle name="Comma 4 3 2 4" xfId="1547"/>
    <cellStyle name="Comma 4 3 2 4 10" xfId="33770"/>
    <cellStyle name="Comma 4 3 2 4 2" xfId="10316"/>
    <cellStyle name="Comma 4 3 2 4 2 2" xfId="26116"/>
    <cellStyle name="Comma 4 3 2 4 2 2 2" xfId="45543"/>
    <cellStyle name="Comma 4 3 2 4 2 2 3" xfId="39120"/>
    <cellStyle name="Comma 4 3 2 4 2 3" xfId="28294"/>
    <cellStyle name="Comma 4 3 2 4 2 3 2" xfId="42336"/>
    <cellStyle name="Comma 4 3 2 4 2 4" xfId="31629"/>
    <cellStyle name="Comma 4 3 2 4 2 5" xfId="35912"/>
    <cellStyle name="Comma 4 3 2 4 3" xfId="16021"/>
    <cellStyle name="Comma 4 3 2 4 3 2" xfId="25036"/>
    <cellStyle name="Comma 4 3 2 4 3 2 2" xfId="44465"/>
    <cellStyle name="Comma 4 3 2 4 3 2 3" xfId="38042"/>
    <cellStyle name="Comma 4 3 2 4 3 3" xfId="29357"/>
    <cellStyle name="Comma 4 3 2 4 3 3 2" xfId="41258"/>
    <cellStyle name="Comma 4 3 2 4 3 4" xfId="32692"/>
    <cellStyle name="Comma 4 3 2 4 3 5" xfId="34834"/>
    <cellStyle name="Comma 4 3 2 4 4" xfId="8839"/>
    <cellStyle name="Comma 4 3 2 4 4 2" xfId="43401"/>
    <cellStyle name="Comma 4 3 2 4 4 3" xfId="36977"/>
    <cellStyle name="Comma 4 3 2 4 5" xfId="21828"/>
    <cellStyle name="Comma 4 3 2 4 5 2" xfId="40194"/>
    <cellStyle name="Comma 4 3 2 4 6" xfId="22902"/>
    <cellStyle name="Comma 4 3 2 4 7" xfId="23972"/>
    <cellStyle name="Comma 4 3 2 4 8" xfId="27223"/>
    <cellStyle name="Comma 4 3 2 4 9" xfId="30556"/>
    <cellStyle name="Comma 4 3 2 5" xfId="1548"/>
    <cellStyle name="Comma 4 3 2 5 10" xfId="33771"/>
    <cellStyle name="Comma 4 3 2 5 2" xfId="10317"/>
    <cellStyle name="Comma 4 3 2 5 2 2" xfId="26117"/>
    <cellStyle name="Comma 4 3 2 5 2 2 2" xfId="45544"/>
    <cellStyle name="Comma 4 3 2 5 2 2 3" xfId="39121"/>
    <cellStyle name="Comma 4 3 2 5 2 3" xfId="28295"/>
    <cellStyle name="Comma 4 3 2 5 2 3 2" xfId="42337"/>
    <cellStyle name="Comma 4 3 2 5 2 4" xfId="31630"/>
    <cellStyle name="Comma 4 3 2 5 2 5" xfId="35913"/>
    <cellStyle name="Comma 4 3 2 5 3" xfId="16022"/>
    <cellStyle name="Comma 4 3 2 5 3 2" xfId="25037"/>
    <cellStyle name="Comma 4 3 2 5 3 2 2" xfId="44466"/>
    <cellStyle name="Comma 4 3 2 5 3 2 3" xfId="38043"/>
    <cellStyle name="Comma 4 3 2 5 3 3" xfId="29358"/>
    <cellStyle name="Comma 4 3 2 5 3 3 2" xfId="41259"/>
    <cellStyle name="Comma 4 3 2 5 3 4" xfId="32693"/>
    <cellStyle name="Comma 4 3 2 5 3 5" xfId="34835"/>
    <cellStyle name="Comma 4 3 2 5 4" xfId="8840"/>
    <cellStyle name="Comma 4 3 2 5 4 2" xfId="43402"/>
    <cellStyle name="Comma 4 3 2 5 4 3" xfId="36978"/>
    <cellStyle name="Comma 4 3 2 5 5" xfId="21829"/>
    <cellStyle name="Comma 4 3 2 5 5 2" xfId="40195"/>
    <cellStyle name="Comma 4 3 2 5 6" xfId="22903"/>
    <cellStyle name="Comma 4 3 2 5 7" xfId="23973"/>
    <cellStyle name="Comma 4 3 2 5 8" xfId="27224"/>
    <cellStyle name="Comma 4 3 2 5 9" xfId="30557"/>
    <cellStyle name="Comma 4 3 2 6" xfId="10313"/>
    <cellStyle name="Comma 4 3 2 6 2" xfId="26113"/>
    <cellStyle name="Comma 4 3 2 6 2 2" xfId="45540"/>
    <cellStyle name="Comma 4 3 2 6 2 3" xfId="39117"/>
    <cellStyle name="Comma 4 3 2 6 3" xfId="28291"/>
    <cellStyle name="Comma 4 3 2 6 3 2" xfId="42333"/>
    <cellStyle name="Comma 4 3 2 6 4" xfId="31626"/>
    <cellStyle name="Comma 4 3 2 6 5" xfId="35909"/>
    <cellStyle name="Comma 4 3 2 7" xfId="16018"/>
    <cellStyle name="Comma 4 3 2 7 2" xfId="25033"/>
    <cellStyle name="Comma 4 3 2 7 2 2" xfId="44462"/>
    <cellStyle name="Comma 4 3 2 7 2 3" xfId="38039"/>
    <cellStyle name="Comma 4 3 2 7 3" xfId="29354"/>
    <cellStyle name="Comma 4 3 2 7 3 2" xfId="41255"/>
    <cellStyle name="Comma 4 3 2 7 4" xfId="32689"/>
    <cellStyle name="Comma 4 3 2 7 5" xfId="34831"/>
    <cellStyle name="Comma 4 3 2 8" xfId="8836"/>
    <cellStyle name="Comma 4 3 2 8 2" xfId="43398"/>
    <cellStyle name="Comma 4 3 2 8 3" xfId="36974"/>
    <cellStyle name="Comma 4 3 2 9" xfId="21825"/>
    <cellStyle name="Comma 4 3 2 9 2" xfId="40191"/>
    <cellStyle name="Comma 4 3 3" xfId="1549"/>
    <cellStyle name="Comma 4 3 3 10" xfId="22904"/>
    <cellStyle name="Comma 4 3 3 11" xfId="23974"/>
    <cellStyle name="Comma 4 3 3 12" xfId="27225"/>
    <cellStyle name="Comma 4 3 3 13" xfId="30558"/>
    <cellStyle name="Comma 4 3 3 14" xfId="33772"/>
    <cellStyle name="Comma 4 3 3 2" xfId="1550"/>
    <cellStyle name="Comma 4 3 3 2 10" xfId="33773"/>
    <cellStyle name="Comma 4 3 3 2 2" xfId="10319"/>
    <cellStyle name="Comma 4 3 3 2 2 2" xfId="26119"/>
    <cellStyle name="Comma 4 3 3 2 2 2 2" xfId="45546"/>
    <cellStyle name="Comma 4 3 3 2 2 2 3" xfId="39123"/>
    <cellStyle name="Comma 4 3 3 2 2 3" xfId="28297"/>
    <cellStyle name="Comma 4 3 3 2 2 3 2" xfId="42339"/>
    <cellStyle name="Comma 4 3 3 2 2 4" xfId="31632"/>
    <cellStyle name="Comma 4 3 3 2 2 5" xfId="35915"/>
    <cellStyle name="Comma 4 3 3 2 3" xfId="16024"/>
    <cellStyle name="Comma 4 3 3 2 3 2" xfId="25039"/>
    <cellStyle name="Comma 4 3 3 2 3 2 2" xfId="44468"/>
    <cellStyle name="Comma 4 3 3 2 3 2 3" xfId="38045"/>
    <cellStyle name="Comma 4 3 3 2 3 3" xfId="29360"/>
    <cellStyle name="Comma 4 3 3 2 3 3 2" xfId="41261"/>
    <cellStyle name="Comma 4 3 3 2 3 4" xfId="32695"/>
    <cellStyle name="Comma 4 3 3 2 3 5" xfId="34837"/>
    <cellStyle name="Comma 4 3 3 2 4" xfId="8842"/>
    <cellStyle name="Comma 4 3 3 2 4 2" xfId="43404"/>
    <cellStyle name="Comma 4 3 3 2 4 3" xfId="36980"/>
    <cellStyle name="Comma 4 3 3 2 5" xfId="21831"/>
    <cellStyle name="Comma 4 3 3 2 5 2" xfId="40197"/>
    <cellStyle name="Comma 4 3 3 2 6" xfId="22905"/>
    <cellStyle name="Comma 4 3 3 2 7" xfId="23975"/>
    <cellStyle name="Comma 4 3 3 2 8" xfId="27226"/>
    <cellStyle name="Comma 4 3 3 2 9" xfId="30559"/>
    <cellStyle name="Comma 4 3 3 3" xfId="1551"/>
    <cellStyle name="Comma 4 3 3 3 10" xfId="33774"/>
    <cellStyle name="Comma 4 3 3 3 2" xfId="10320"/>
    <cellStyle name="Comma 4 3 3 3 2 2" xfId="26120"/>
    <cellStyle name="Comma 4 3 3 3 2 2 2" xfId="45547"/>
    <cellStyle name="Comma 4 3 3 3 2 2 3" xfId="39124"/>
    <cellStyle name="Comma 4 3 3 3 2 3" xfId="28298"/>
    <cellStyle name="Comma 4 3 3 3 2 3 2" xfId="42340"/>
    <cellStyle name="Comma 4 3 3 3 2 4" xfId="31633"/>
    <cellStyle name="Comma 4 3 3 3 2 5" xfId="35916"/>
    <cellStyle name="Comma 4 3 3 3 3" xfId="16025"/>
    <cellStyle name="Comma 4 3 3 3 3 2" xfId="25040"/>
    <cellStyle name="Comma 4 3 3 3 3 2 2" xfId="44469"/>
    <cellStyle name="Comma 4 3 3 3 3 2 3" xfId="38046"/>
    <cellStyle name="Comma 4 3 3 3 3 3" xfId="29361"/>
    <cellStyle name="Comma 4 3 3 3 3 3 2" xfId="41262"/>
    <cellStyle name="Comma 4 3 3 3 3 4" xfId="32696"/>
    <cellStyle name="Comma 4 3 3 3 3 5" xfId="34838"/>
    <cellStyle name="Comma 4 3 3 3 4" xfId="8843"/>
    <cellStyle name="Comma 4 3 3 3 4 2" xfId="43405"/>
    <cellStyle name="Comma 4 3 3 3 4 3" xfId="36981"/>
    <cellStyle name="Comma 4 3 3 3 5" xfId="21832"/>
    <cellStyle name="Comma 4 3 3 3 5 2" xfId="40198"/>
    <cellStyle name="Comma 4 3 3 3 6" xfId="22906"/>
    <cellStyle name="Comma 4 3 3 3 7" xfId="23976"/>
    <cellStyle name="Comma 4 3 3 3 8" xfId="27227"/>
    <cellStyle name="Comma 4 3 3 3 9" xfId="30560"/>
    <cellStyle name="Comma 4 3 3 4" xfId="1552"/>
    <cellStyle name="Comma 4 3 3 4 10" xfId="33775"/>
    <cellStyle name="Comma 4 3 3 4 2" xfId="10321"/>
    <cellStyle name="Comma 4 3 3 4 2 2" xfId="26121"/>
    <cellStyle name="Comma 4 3 3 4 2 2 2" xfId="45548"/>
    <cellStyle name="Comma 4 3 3 4 2 2 3" xfId="39125"/>
    <cellStyle name="Comma 4 3 3 4 2 3" xfId="28299"/>
    <cellStyle name="Comma 4 3 3 4 2 3 2" xfId="42341"/>
    <cellStyle name="Comma 4 3 3 4 2 4" xfId="31634"/>
    <cellStyle name="Comma 4 3 3 4 2 5" xfId="35917"/>
    <cellStyle name="Comma 4 3 3 4 3" xfId="16026"/>
    <cellStyle name="Comma 4 3 3 4 3 2" xfId="25041"/>
    <cellStyle name="Comma 4 3 3 4 3 2 2" xfId="44470"/>
    <cellStyle name="Comma 4 3 3 4 3 2 3" xfId="38047"/>
    <cellStyle name="Comma 4 3 3 4 3 3" xfId="29362"/>
    <cellStyle name="Comma 4 3 3 4 3 3 2" xfId="41263"/>
    <cellStyle name="Comma 4 3 3 4 3 4" xfId="32697"/>
    <cellStyle name="Comma 4 3 3 4 3 5" xfId="34839"/>
    <cellStyle name="Comma 4 3 3 4 4" xfId="8844"/>
    <cellStyle name="Comma 4 3 3 4 4 2" xfId="43406"/>
    <cellStyle name="Comma 4 3 3 4 4 3" xfId="36982"/>
    <cellStyle name="Comma 4 3 3 4 5" xfId="21833"/>
    <cellStyle name="Comma 4 3 3 4 5 2" xfId="40199"/>
    <cellStyle name="Comma 4 3 3 4 6" xfId="22907"/>
    <cellStyle name="Comma 4 3 3 4 7" xfId="23977"/>
    <cellStyle name="Comma 4 3 3 4 8" xfId="27228"/>
    <cellStyle name="Comma 4 3 3 4 9" xfId="30561"/>
    <cellStyle name="Comma 4 3 3 5" xfId="1553"/>
    <cellStyle name="Comma 4 3 3 5 10" xfId="33776"/>
    <cellStyle name="Comma 4 3 3 5 2" xfId="10322"/>
    <cellStyle name="Comma 4 3 3 5 2 2" xfId="26122"/>
    <cellStyle name="Comma 4 3 3 5 2 2 2" xfId="45549"/>
    <cellStyle name="Comma 4 3 3 5 2 2 3" xfId="39126"/>
    <cellStyle name="Comma 4 3 3 5 2 3" xfId="28300"/>
    <cellStyle name="Comma 4 3 3 5 2 3 2" xfId="42342"/>
    <cellStyle name="Comma 4 3 3 5 2 4" xfId="31635"/>
    <cellStyle name="Comma 4 3 3 5 2 5" xfId="35918"/>
    <cellStyle name="Comma 4 3 3 5 3" xfId="16027"/>
    <cellStyle name="Comma 4 3 3 5 3 2" xfId="25042"/>
    <cellStyle name="Comma 4 3 3 5 3 2 2" xfId="44471"/>
    <cellStyle name="Comma 4 3 3 5 3 2 3" xfId="38048"/>
    <cellStyle name="Comma 4 3 3 5 3 3" xfId="29363"/>
    <cellStyle name="Comma 4 3 3 5 3 3 2" xfId="41264"/>
    <cellStyle name="Comma 4 3 3 5 3 4" xfId="32698"/>
    <cellStyle name="Comma 4 3 3 5 3 5" xfId="34840"/>
    <cellStyle name="Comma 4 3 3 5 4" xfId="8845"/>
    <cellStyle name="Comma 4 3 3 5 4 2" xfId="43407"/>
    <cellStyle name="Comma 4 3 3 5 4 3" xfId="36983"/>
    <cellStyle name="Comma 4 3 3 5 5" xfId="21834"/>
    <cellStyle name="Comma 4 3 3 5 5 2" xfId="40200"/>
    <cellStyle name="Comma 4 3 3 5 6" xfId="22908"/>
    <cellStyle name="Comma 4 3 3 5 7" xfId="23978"/>
    <cellStyle name="Comma 4 3 3 5 8" xfId="27229"/>
    <cellStyle name="Comma 4 3 3 5 9" xfId="30562"/>
    <cellStyle name="Comma 4 3 3 6" xfId="10318"/>
    <cellStyle name="Comma 4 3 3 6 2" xfId="26118"/>
    <cellStyle name="Comma 4 3 3 6 2 2" xfId="45545"/>
    <cellStyle name="Comma 4 3 3 6 2 3" xfId="39122"/>
    <cellStyle name="Comma 4 3 3 6 3" xfId="28296"/>
    <cellStyle name="Comma 4 3 3 6 3 2" xfId="42338"/>
    <cellStyle name="Comma 4 3 3 6 4" xfId="31631"/>
    <cellStyle name="Comma 4 3 3 6 5" xfId="35914"/>
    <cellStyle name="Comma 4 3 3 7" xfId="16023"/>
    <cellStyle name="Comma 4 3 3 7 2" xfId="25038"/>
    <cellStyle name="Comma 4 3 3 7 2 2" xfId="44467"/>
    <cellStyle name="Comma 4 3 3 7 2 3" xfId="38044"/>
    <cellStyle name="Comma 4 3 3 7 3" xfId="29359"/>
    <cellStyle name="Comma 4 3 3 7 3 2" xfId="41260"/>
    <cellStyle name="Comma 4 3 3 7 4" xfId="32694"/>
    <cellStyle name="Comma 4 3 3 7 5" xfId="34836"/>
    <cellStyle name="Comma 4 3 3 8" xfId="8841"/>
    <cellStyle name="Comma 4 3 3 8 2" xfId="43403"/>
    <cellStyle name="Comma 4 3 3 8 3" xfId="36979"/>
    <cellStyle name="Comma 4 3 3 9" xfId="21830"/>
    <cellStyle name="Comma 4 3 3 9 2" xfId="40196"/>
    <cellStyle name="Comma 4 3 4" xfId="1554"/>
    <cellStyle name="Comma 4 3 4 10" xfId="33777"/>
    <cellStyle name="Comma 4 3 4 2" xfId="10323"/>
    <cellStyle name="Comma 4 3 4 2 2" xfId="26123"/>
    <cellStyle name="Comma 4 3 4 2 2 2" xfId="45550"/>
    <cellStyle name="Comma 4 3 4 2 2 3" xfId="39127"/>
    <cellStyle name="Comma 4 3 4 2 3" xfId="28301"/>
    <cellStyle name="Comma 4 3 4 2 3 2" xfId="42343"/>
    <cellStyle name="Comma 4 3 4 2 4" xfId="31636"/>
    <cellStyle name="Comma 4 3 4 2 5" xfId="35919"/>
    <cellStyle name="Comma 4 3 4 3" xfId="16028"/>
    <cellStyle name="Comma 4 3 4 3 2" xfId="25043"/>
    <cellStyle name="Comma 4 3 4 3 2 2" xfId="44472"/>
    <cellStyle name="Comma 4 3 4 3 2 3" xfId="38049"/>
    <cellStyle name="Comma 4 3 4 3 3" xfId="29364"/>
    <cellStyle name="Comma 4 3 4 3 3 2" xfId="41265"/>
    <cellStyle name="Comma 4 3 4 3 4" xfId="32699"/>
    <cellStyle name="Comma 4 3 4 3 5" xfId="34841"/>
    <cellStyle name="Comma 4 3 4 4" xfId="8846"/>
    <cellStyle name="Comma 4 3 4 4 2" xfId="43408"/>
    <cellStyle name="Comma 4 3 4 4 3" xfId="36984"/>
    <cellStyle name="Comma 4 3 4 5" xfId="21835"/>
    <cellStyle name="Comma 4 3 4 5 2" xfId="40201"/>
    <cellStyle name="Comma 4 3 4 6" xfId="22909"/>
    <cellStyle name="Comma 4 3 4 7" xfId="23979"/>
    <cellStyle name="Comma 4 3 4 8" xfId="27230"/>
    <cellStyle name="Comma 4 3 4 9" xfId="30563"/>
    <cellStyle name="Comma 4 3 5" xfId="1555"/>
    <cellStyle name="Comma 4 3 5 10" xfId="33778"/>
    <cellStyle name="Comma 4 3 5 2" xfId="10324"/>
    <cellStyle name="Comma 4 3 5 2 2" xfId="26124"/>
    <cellStyle name="Comma 4 3 5 2 2 2" xfId="45551"/>
    <cellStyle name="Comma 4 3 5 2 2 3" xfId="39128"/>
    <cellStyle name="Comma 4 3 5 2 3" xfId="28302"/>
    <cellStyle name="Comma 4 3 5 2 3 2" xfId="42344"/>
    <cellStyle name="Comma 4 3 5 2 4" xfId="31637"/>
    <cellStyle name="Comma 4 3 5 2 5" xfId="35920"/>
    <cellStyle name="Comma 4 3 5 3" xfId="16029"/>
    <cellStyle name="Comma 4 3 5 3 2" xfId="25044"/>
    <cellStyle name="Comma 4 3 5 3 2 2" xfId="44473"/>
    <cellStyle name="Comma 4 3 5 3 2 3" xfId="38050"/>
    <cellStyle name="Comma 4 3 5 3 3" xfId="29365"/>
    <cellStyle name="Comma 4 3 5 3 3 2" xfId="41266"/>
    <cellStyle name="Comma 4 3 5 3 4" xfId="32700"/>
    <cellStyle name="Comma 4 3 5 3 5" xfId="34842"/>
    <cellStyle name="Comma 4 3 5 4" xfId="8847"/>
    <cellStyle name="Comma 4 3 5 4 2" xfId="43409"/>
    <cellStyle name="Comma 4 3 5 4 3" xfId="36985"/>
    <cellStyle name="Comma 4 3 5 5" xfId="21836"/>
    <cellStyle name="Comma 4 3 5 5 2" xfId="40202"/>
    <cellStyle name="Comma 4 3 5 6" xfId="22910"/>
    <cellStyle name="Comma 4 3 5 7" xfId="23980"/>
    <cellStyle name="Comma 4 3 5 8" xfId="27231"/>
    <cellStyle name="Comma 4 3 5 9" xfId="30564"/>
    <cellStyle name="Comma 4 3 6" xfId="1556"/>
    <cellStyle name="Comma 4 3 6 10" xfId="33779"/>
    <cellStyle name="Comma 4 3 6 2" xfId="10325"/>
    <cellStyle name="Comma 4 3 6 2 2" xfId="26125"/>
    <cellStyle name="Comma 4 3 6 2 2 2" xfId="45552"/>
    <cellStyle name="Comma 4 3 6 2 2 3" xfId="39129"/>
    <cellStyle name="Comma 4 3 6 2 3" xfId="28303"/>
    <cellStyle name="Comma 4 3 6 2 3 2" xfId="42345"/>
    <cellStyle name="Comma 4 3 6 2 4" xfId="31638"/>
    <cellStyle name="Comma 4 3 6 2 5" xfId="35921"/>
    <cellStyle name="Comma 4 3 6 3" xfId="16030"/>
    <cellStyle name="Comma 4 3 6 3 2" xfId="25045"/>
    <cellStyle name="Comma 4 3 6 3 2 2" xfId="44474"/>
    <cellStyle name="Comma 4 3 6 3 2 3" xfId="38051"/>
    <cellStyle name="Comma 4 3 6 3 3" xfId="29366"/>
    <cellStyle name="Comma 4 3 6 3 3 2" xfId="41267"/>
    <cellStyle name="Comma 4 3 6 3 4" xfId="32701"/>
    <cellStyle name="Comma 4 3 6 3 5" xfId="34843"/>
    <cellStyle name="Comma 4 3 6 4" xfId="8848"/>
    <cellStyle name="Comma 4 3 6 4 2" xfId="43410"/>
    <cellStyle name="Comma 4 3 6 4 3" xfId="36986"/>
    <cellStyle name="Comma 4 3 6 5" xfId="21837"/>
    <cellStyle name="Comma 4 3 6 5 2" xfId="40203"/>
    <cellStyle name="Comma 4 3 6 6" xfId="22911"/>
    <cellStyle name="Comma 4 3 6 7" xfId="23981"/>
    <cellStyle name="Comma 4 3 6 8" xfId="27232"/>
    <cellStyle name="Comma 4 3 6 9" xfId="30565"/>
    <cellStyle name="Comma 4 3 7" xfId="1557"/>
    <cellStyle name="Comma 4 3 7 10" xfId="33780"/>
    <cellStyle name="Comma 4 3 7 2" xfId="10326"/>
    <cellStyle name="Comma 4 3 7 2 2" xfId="26126"/>
    <cellStyle name="Comma 4 3 7 2 2 2" xfId="45553"/>
    <cellStyle name="Comma 4 3 7 2 2 3" xfId="39130"/>
    <cellStyle name="Comma 4 3 7 2 3" xfId="28304"/>
    <cellStyle name="Comma 4 3 7 2 3 2" xfId="42346"/>
    <cellStyle name="Comma 4 3 7 2 4" xfId="31639"/>
    <cellStyle name="Comma 4 3 7 2 5" xfId="35922"/>
    <cellStyle name="Comma 4 3 7 3" xfId="16031"/>
    <cellStyle name="Comma 4 3 7 3 2" xfId="25046"/>
    <cellStyle name="Comma 4 3 7 3 2 2" xfId="44475"/>
    <cellStyle name="Comma 4 3 7 3 2 3" xfId="38052"/>
    <cellStyle name="Comma 4 3 7 3 3" xfId="29367"/>
    <cellStyle name="Comma 4 3 7 3 3 2" xfId="41268"/>
    <cellStyle name="Comma 4 3 7 3 4" xfId="32702"/>
    <cellStyle name="Comma 4 3 7 3 5" xfId="34844"/>
    <cellStyle name="Comma 4 3 7 4" xfId="8849"/>
    <cellStyle name="Comma 4 3 7 4 2" xfId="43411"/>
    <cellStyle name="Comma 4 3 7 4 3" xfId="36987"/>
    <cellStyle name="Comma 4 3 7 5" xfId="21838"/>
    <cellStyle name="Comma 4 3 7 5 2" xfId="40204"/>
    <cellStyle name="Comma 4 3 7 6" xfId="22912"/>
    <cellStyle name="Comma 4 3 7 7" xfId="23982"/>
    <cellStyle name="Comma 4 3 7 8" xfId="27233"/>
    <cellStyle name="Comma 4 3 7 9" xfId="30566"/>
    <cellStyle name="Comma 4 3 8" xfId="9157"/>
    <cellStyle name="Comma 4 3 8 2" xfId="25211"/>
    <cellStyle name="Comma 4 3 8 2 2" xfId="44638"/>
    <cellStyle name="Comma 4 3 8 2 3" xfId="38215"/>
    <cellStyle name="Comma 4 3 8 3" xfId="27390"/>
    <cellStyle name="Comma 4 3 8 3 2" xfId="41431"/>
    <cellStyle name="Comma 4 3 8 4" xfId="30725"/>
    <cellStyle name="Comma 4 3 8 5" xfId="35007"/>
    <cellStyle name="Comma 4 3 9" xfId="16017"/>
    <cellStyle name="Comma 4 3 9 2" xfId="25032"/>
    <cellStyle name="Comma 4 3 9 2 2" xfId="44461"/>
    <cellStyle name="Comma 4 3 9 2 3" xfId="38038"/>
    <cellStyle name="Comma 4 3 9 3" xfId="29353"/>
    <cellStyle name="Comma 4 3 9 3 2" xfId="41254"/>
    <cellStyle name="Comma 4 3 9 4" xfId="32688"/>
    <cellStyle name="Comma 4 3 9 5" xfId="34830"/>
    <cellStyle name="Comma 4 4" xfId="1558"/>
    <cellStyle name="Comma 4 4 10" xfId="33781"/>
    <cellStyle name="Comma 4 4 2" xfId="10327"/>
    <cellStyle name="Comma 4 4 2 2" xfId="26127"/>
    <cellStyle name="Comma 4 4 2 2 2" xfId="45554"/>
    <cellStyle name="Comma 4 4 2 2 3" xfId="39131"/>
    <cellStyle name="Comma 4 4 2 3" xfId="28305"/>
    <cellStyle name="Comma 4 4 2 3 2" xfId="42347"/>
    <cellStyle name="Comma 4 4 2 4" xfId="31640"/>
    <cellStyle name="Comma 4 4 2 5" xfId="35923"/>
    <cellStyle name="Comma 4 4 3" xfId="16032"/>
    <cellStyle name="Comma 4 4 3 2" xfId="25047"/>
    <cellStyle name="Comma 4 4 3 2 2" xfId="44476"/>
    <cellStyle name="Comma 4 4 3 2 3" xfId="38053"/>
    <cellStyle name="Comma 4 4 3 3" xfId="29368"/>
    <cellStyle name="Comma 4 4 3 3 2" xfId="41269"/>
    <cellStyle name="Comma 4 4 3 4" xfId="32703"/>
    <cellStyle name="Comma 4 4 3 5" xfId="34845"/>
    <cellStyle name="Comma 4 4 4" xfId="8850"/>
    <cellStyle name="Comma 4 4 4 2" xfId="43412"/>
    <cellStyle name="Comma 4 4 4 3" xfId="36988"/>
    <cellStyle name="Comma 4 4 5" xfId="21839"/>
    <cellStyle name="Comma 4 4 5 2" xfId="40205"/>
    <cellStyle name="Comma 4 4 6" xfId="22913"/>
    <cellStyle name="Comma 4 4 7" xfId="23983"/>
    <cellStyle name="Comma 4 4 8" xfId="27234"/>
    <cellStyle name="Comma 4 4 9" xfId="30567"/>
    <cellStyle name="Comma 4 5" xfId="1559"/>
    <cellStyle name="Comma 4 5 10" xfId="22914"/>
    <cellStyle name="Comma 4 5 11" xfId="23984"/>
    <cellStyle name="Comma 4 5 12" xfId="27235"/>
    <cellStyle name="Comma 4 5 13" xfId="30568"/>
    <cellStyle name="Comma 4 5 14" xfId="33782"/>
    <cellStyle name="Comma 4 5 2" xfId="1560"/>
    <cellStyle name="Comma 4 5 2 10" xfId="33783"/>
    <cellStyle name="Comma 4 5 2 2" xfId="10329"/>
    <cellStyle name="Comma 4 5 2 2 2" xfId="26129"/>
    <cellStyle name="Comma 4 5 2 2 2 2" xfId="45556"/>
    <cellStyle name="Comma 4 5 2 2 2 3" xfId="39133"/>
    <cellStyle name="Comma 4 5 2 2 3" xfId="28307"/>
    <cellStyle name="Comma 4 5 2 2 3 2" xfId="42349"/>
    <cellStyle name="Comma 4 5 2 2 4" xfId="31642"/>
    <cellStyle name="Comma 4 5 2 2 5" xfId="35925"/>
    <cellStyle name="Comma 4 5 2 3" xfId="16034"/>
    <cellStyle name="Comma 4 5 2 3 2" xfId="25049"/>
    <cellStyle name="Comma 4 5 2 3 2 2" xfId="44478"/>
    <cellStyle name="Comma 4 5 2 3 2 3" xfId="38055"/>
    <cellStyle name="Comma 4 5 2 3 3" xfId="29370"/>
    <cellStyle name="Comma 4 5 2 3 3 2" xfId="41271"/>
    <cellStyle name="Comma 4 5 2 3 4" xfId="32705"/>
    <cellStyle name="Comma 4 5 2 3 5" xfId="34847"/>
    <cellStyle name="Comma 4 5 2 4" xfId="8852"/>
    <cellStyle name="Comma 4 5 2 4 2" xfId="43414"/>
    <cellStyle name="Comma 4 5 2 4 3" xfId="36990"/>
    <cellStyle name="Comma 4 5 2 5" xfId="21841"/>
    <cellStyle name="Comma 4 5 2 5 2" xfId="40207"/>
    <cellStyle name="Comma 4 5 2 6" xfId="22915"/>
    <cellStyle name="Comma 4 5 2 7" xfId="23985"/>
    <cellStyle name="Comma 4 5 2 8" xfId="27236"/>
    <cellStyle name="Comma 4 5 2 9" xfId="30569"/>
    <cellStyle name="Comma 4 5 3" xfId="1561"/>
    <cellStyle name="Comma 4 5 3 10" xfId="33784"/>
    <cellStyle name="Comma 4 5 3 2" xfId="10330"/>
    <cellStyle name="Comma 4 5 3 2 2" xfId="26130"/>
    <cellStyle name="Comma 4 5 3 2 2 2" xfId="45557"/>
    <cellStyle name="Comma 4 5 3 2 2 3" xfId="39134"/>
    <cellStyle name="Comma 4 5 3 2 3" xfId="28308"/>
    <cellStyle name="Comma 4 5 3 2 3 2" xfId="42350"/>
    <cellStyle name="Comma 4 5 3 2 4" xfId="31643"/>
    <cellStyle name="Comma 4 5 3 2 5" xfId="35926"/>
    <cellStyle name="Comma 4 5 3 3" xfId="16035"/>
    <cellStyle name="Comma 4 5 3 3 2" xfId="25050"/>
    <cellStyle name="Comma 4 5 3 3 2 2" xfId="44479"/>
    <cellStyle name="Comma 4 5 3 3 2 3" xfId="38056"/>
    <cellStyle name="Comma 4 5 3 3 3" xfId="29371"/>
    <cellStyle name="Comma 4 5 3 3 3 2" xfId="41272"/>
    <cellStyle name="Comma 4 5 3 3 4" xfId="32706"/>
    <cellStyle name="Comma 4 5 3 3 5" xfId="34848"/>
    <cellStyle name="Comma 4 5 3 4" xfId="8853"/>
    <cellStyle name="Comma 4 5 3 4 2" xfId="43415"/>
    <cellStyle name="Comma 4 5 3 4 3" xfId="36991"/>
    <cellStyle name="Comma 4 5 3 5" xfId="21842"/>
    <cellStyle name="Comma 4 5 3 5 2" xfId="40208"/>
    <cellStyle name="Comma 4 5 3 6" xfId="22916"/>
    <cellStyle name="Comma 4 5 3 7" xfId="23986"/>
    <cellStyle name="Comma 4 5 3 8" xfId="27237"/>
    <cellStyle name="Comma 4 5 3 9" xfId="30570"/>
    <cellStyle name="Comma 4 5 4" xfId="1562"/>
    <cellStyle name="Comma 4 5 4 10" xfId="33785"/>
    <cellStyle name="Comma 4 5 4 2" xfId="10331"/>
    <cellStyle name="Comma 4 5 4 2 2" xfId="26131"/>
    <cellStyle name="Comma 4 5 4 2 2 2" xfId="45558"/>
    <cellStyle name="Comma 4 5 4 2 2 3" xfId="39135"/>
    <cellStyle name="Comma 4 5 4 2 3" xfId="28309"/>
    <cellStyle name="Comma 4 5 4 2 3 2" xfId="42351"/>
    <cellStyle name="Comma 4 5 4 2 4" xfId="31644"/>
    <cellStyle name="Comma 4 5 4 2 5" xfId="35927"/>
    <cellStyle name="Comma 4 5 4 3" xfId="16036"/>
    <cellStyle name="Comma 4 5 4 3 2" xfId="25051"/>
    <cellStyle name="Comma 4 5 4 3 2 2" xfId="44480"/>
    <cellStyle name="Comma 4 5 4 3 2 3" xfId="38057"/>
    <cellStyle name="Comma 4 5 4 3 3" xfId="29372"/>
    <cellStyle name="Comma 4 5 4 3 3 2" xfId="41273"/>
    <cellStyle name="Comma 4 5 4 3 4" xfId="32707"/>
    <cellStyle name="Comma 4 5 4 3 5" xfId="34849"/>
    <cellStyle name="Comma 4 5 4 4" xfId="8854"/>
    <cellStyle name="Comma 4 5 4 4 2" xfId="43416"/>
    <cellStyle name="Comma 4 5 4 4 3" xfId="36992"/>
    <cellStyle name="Comma 4 5 4 5" xfId="21843"/>
    <cellStyle name="Comma 4 5 4 5 2" xfId="40209"/>
    <cellStyle name="Comma 4 5 4 6" xfId="22917"/>
    <cellStyle name="Comma 4 5 4 7" xfId="23987"/>
    <cellStyle name="Comma 4 5 4 8" xfId="27238"/>
    <cellStyle name="Comma 4 5 4 9" xfId="30571"/>
    <cellStyle name="Comma 4 5 5" xfId="1563"/>
    <cellStyle name="Comma 4 5 5 10" xfId="33786"/>
    <cellStyle name="Comma 4 5 5 2" xfId="10332"/>
    <cellStyle name="Comma 4 5 5 2 2" xfId="26132"/>
    <cellStyle name="Comma 4 5 5 2 2 2" xfId="45559"/>
    <cellStyle name="Comma 4 5 5 2 2 3" xfId="39136"/>
    <cellStyle name="Comma 4 5 5 2 3" xfId="28310"/>
    <cellStyle name="Comma 4 5 5 2 3 2" xfId="42352"/>
    <cellStyle name="Comma 4 5 5 2 4" xfId="31645"/>
    <cellStyle name="Comma 4 5 5 2 5" xfId="35928"/>
    <cellStyle name="Comma 4 5 5 3" xfId="16037"/>
    <cellStyle name="Comma 4 5 5 3 2" xfId="25052"/>
    <cellStyle name="Comma 4 5 5 3 2 2" xfId="44481"/>
    <cellStyle name="Comma 4 5 5 3 2 3" xfId="38058"/>
    <cellStyle name="Comma 4 5 5 3 3" xfId="29373"/>
    <cellStyle name="Comma 4 5 5 3 3 2" xfId="41274"/>
    <cellStyle name="Comma 4 5 5 3 4" xfId="32708"/>
    <cellStyle name="Comma 4 5 5 3 5" xfId="34850"/>
    <cellStyle name="Comma 4 5 5 4" xfId="8855"/>
    <cellStyle name="Comma 4 5 5 4 2" xfId="43417"/>
    <cellStyle name="Comma 4 5 5 4 3" xfId="36993"/>
    <cellStyle name="Comma 4 5 5 5" xfId="21844"/>
    <cellStyle name="Comma 4 5 5 5 2" xfId="40210"/>
    <cellStyle name="Comma 4 5 5 6" xfId="22918"/>
    <cellStyle name="Comma 4 5 5 7" xfId="23988"/>
    <cellStyle name="Comma 4 5 5 8" xfId="27239"/>
    <cellStyle name="Comma 4 5 5 9" xfId="30572"/>
    <cellStyle name="Comma 4 5 6" xfId="10328"/>
    <cellStyle name="Comma 4 5 6 2" xfId="26128"/>
    <cellStyle name="Comma 4 5 6 2 2" xfId="45555"/>
    <cellStyle name="Comma 4 5 6 2 3" xfId="39132"/>
    <cellStyle name="Comma 4 5 6 3" xfId="28306"/>
    <cellStyle name="Comma 4 5 6 3 2" xfId="42348"/>
    <cellStyle name="Comma 4 5 6 4" xfId="31641"/>
    <cellStyle name="Comma 4 5 6 5" xfId="35924"/>
    <cellStyle name="Comma 4 5 7" xfId="16033"/>
    <cellStyle name="Comma 4 5 7 2" xfId="25048"/>
    <cellStyle name="Comma 4 5 7 2 2" xfId="44477"/>
    <cellStyle name="Comma 4 5 7 2 3" xfId="38054"/>
    <cellStyle name="Comma 4 5 7 3" xfId="29369"/>
    <cellStyle name="Comma 4 5 7 3 2" xfId="41270"/>
    <cellStyle name="Comma 4 5 7 4" xfId="32704"/>
    <cellStyle name="Comma 4 5 7 5" xfId="34846"/>
    <cellStyle name="Comma 4 5 8" xfId="8851"/>
    <cellStyle name="Comma 4 5 8 2" xfId="43413"/>
    <cellStyle name="Comma 4 5 8 3" xfId="36989"/>
    <cellStyle name="Comma 4 5 9" xfId="21840"/>
    <cellStyle name="Comma 4 5 9 2" xfId="40206"/>
    <cellStyle name="Comma 4 6" xfId="1564"/>
    <cellStyle name="Comma 4 6 10" xfId="22919"/>
    <cellStyle name="Comma 4 6 11" xfId="23989"/>
    <cellStyle name="Comma 4 6 12" xfId="27240"/>
    <cellStyle name="Comma 4 6 13" xfId="30573"/>
    <cellStyle name="Comma 4 6 14" xfId="33787"/>
    <cellStyle name="Comma 4 6 2" xfId="1565"/>
    <cellStyle name="Comma 4 6 2 10" xfId="33788"/>
    <cellStyle name="Comma 4 6 2 2" xfId="10334"/>
    <cellStyle name="Comma 4 6 2 2 2" xfId="26134"/>
    <cellStyle name="Comma 4 6 2 2 2 2" xfId="45561"/>
    <cellStyle name="Comma 4 6 2 2 2 3" xfId="39138"/>
    <cellStyle name="Comma 4 6 2 2 3" xfId="28312"/>
    <cellStyle name="Comma 4 6 2 2 3 2" xfId="42354"/>
    <cellStyle name="Comma 4 6 2 2 4" xfId="31647"/>
    <cellStyle name="Comma 4 6 2 2 5" xfId="35930"/>
    <cellStyle name="Comma 4 6 2 3" xfId="16039"/>
    <cellStyle name="Comma 4 6 2 3 2" xfId="25054"/>
    <cellStyle name="Comma 4 6 2 3 2 2" xfId="44483"/>
    <cellStyle name="Comma 4 6 2 3 2 3" xfId="38060"/>
    <cellStyle name="Comma 4 6 2 3 3" xfId="29375"/>
    <cellStyle name="Comma 4 6 2 3 3 2" xfId="41276"/>
    <cellStyle name="Comma 4 6 2 3 4" xfId="32710"/>
    <cellStyle name="Comma 4 6 2 3 5" xfId="34852"/>
    <cellStyle name="Comma 4 6 2 4" xfId="8857"/>
    <cellStyle name="Comma 4 6 2 4 2" xfId="43419"/>
    <cellStyle name="Comma 4 6 2 4 3" xfId="36995"/>
    <cellStyle name="Comma 4 6 2 5" xfId="21846"/>
    <cellStyle name="Comma 4 6 2 5 2" xfId="40212"/>
    <cellStyle name="Comma 4 6 2 6" xfId="22920"/>
    <cellStyle name="Comma 4 6 2 7" xfId="23990"/>
    <cellStyle name="Comma 4 6 2 8" xfId="27241"/>
    <cellStyle name="Comma 4 6 2 9" xfId="30574"/>
    <cellStyle name="Comma 4 6 3" xfId="1566"/>
    <cellStyle name="Comma 4 6 3 10" xfId="33789"/>
    <cellStyle name="Comma 4 6 3 2" xfId="10335"/>
    <cellStyle name="Comma 4 6 3 2 2" xfId="26135"/>
    <cellStyle name="Comma 4 6 3 2 2 2" xfId="45562"/>
    <cellStyle name="Comma 4 6 3 2 2 3" xfId="39139"/>
    <cellStyle name="Comma 4 6 3 2 3" xfId="28313"/>
    <cellStyle name="Comma 4 6 3 2 3 2" xfId="42355"/>
    <cellStyle name="Comma 4 6 3 2 4" xfId="31648"/>
    <cellStyle name="Comma 4 6 3 2 5" xfId="35931"/>
    <cellStyle name="Comma 4 6 3 3" xfId="16040"/>
    <cellStyle name="Comma 4 6 3 3 2" xfId="25055"/>
    <cellStyle name="Comma 4 6 3 3 2 2" xfId="44484"/>
    <cellStyle name="Comma 4 6 3 3 2 3" xfId="38061"/>
    <cellStyle name="Comma 4 6 3 3 3" xfId="29376"/>
    <cellStyle name="Comma 4 6 3 3 3 2" xfId="41277"/>
    <cellStyle name="Comma 4 6 3 3 4" xfId="32711"/>
    <cellStyle name="Comma 4 6 3 3 5" xfId="34853"/>
    <cellStyle name="Comma 4 6 3 4" xfId="8858"/>
    <cellStyle name="Comma 4 6 3 4 2" xfId="43420"/>
    <cellStyle name="Comma 4 6 3 4 3" xfId="36996"/>
    <cellStyle name="Comma 4 6 3 5" xfId="21847"/>
    <cellStyle name="Comma 4 6 3 5 2" xfId="40213"/>
    <cellStyle name="Comma 4 6 3 6" xfId="22921"/>
    <cellStyle name="Comma 4 6 3 7" xfId="23991"/>
    <cellStyle name="Comma 4 6 3 8" xfId="27242"/>
    <cellStyle name="Comma 4 6 3 9" xfId="30575"/>
    <cellStyle name="Comma 4 6 4" xfId="1567"/>
    <cellStyle name="Comma 4 6 4 10" xfId="33790"/>
    <cellStyle name="Comma 4 6 4 2" xfId="10336"/>
    <cellStyle name="Comma 4 6 4 2 2" xfId="26136"/>
    <cellStyle name="Comma 4 6 4 2 2 2" xfId="45563"/>
    <cellStyle name="Comma 4 6 4 2 2 3" xfId="39140"/>
    <cellStyle name="Comma 4 6 4 2 3" xfId="28314"/>
    <cellStyle name="Comma 4 6 4 2 3 2" xfId="42356"/>
    <cellStyle name="Comma 4 6 4 2 4" xfId="31649"/>
    <cellStyle name="Comma 4 6 4 2 5" xfId="35932"/>
    <cellStyle name="Comma 4 6 4 3" xfId="16041"/>
    <cellStyle name="Comma 4 6 4 3 2" xfId="25056"/>
    <cellStyle name="Comma 4 6 4 3 2 2" xfId="44485"/>
    <cellStyle name="Comma 4 6 4 3 2 3" xfId="38062"/>
    <cellStyle name="Comma 4 6 4 3 3" xfId="29377"/>
    <cellStyle name="Comma 4 6 4 3 3 2" xfId="41278"/>
    <cellStyle name="Comma 4 6 4 3 4" xfId="32712"/>
    <cellStyle name="Comma 4 6 4 3 5" xfId="34854"/>
    <cellStyle name="Comma 4 6 4 4" xfId="8859"/>
    <cellStyle name="Comma 4 6 4 4 2" xfId="43421"/>
    <cellStyle name="Comma 4 6 4 4 3" xfId="36997"/>
    <cellStyle name="Comma 4 6 4 5" xfId="21848"/>
    <cellStyle name="Comma 4 6 4 5 2" xfId="40214"/>
    <cellStyle name="Comma 4 6 4 6" xfId="22922"/>
    <cellStyle name="Comma 4 6 4 7" xfId="23992"/>
    <cellStyle name="Comma 4 6 4 8" xfId="27243"/>
    <cellStyle name="Comma 4 6 4 9" xfId="30576"/>
    <cellStyle name="Comma 4 6 5" xfId="1568"/>
    <cellStyle name="Comma 4 6 5 10" xfId="33791"/>
    <cellStyle name="Comma 4 6 5 2" xfId="10337"/>
    <cellStyle name="Comma 4 6 5 2 2" xfId="26137"/>
    <cellStyle name="Comma 4 6 5 2 2 2" xfId="45564"/>
    <cellStyle name="Comma 4 6 5 2 2 3" xfId="39141"/>
    <cellStyle name="Comma 4 6 5 2 3" xfId="28315"/>
    <cellStyle name="Comma 4 6 5 2 3 2" xfId="42357"/>
    <cellStyle name="Comma 4 6 5 2 4" xfId="31650"/>
    <cellStyle name="Comma 4 6 5 2 5" xfId="35933"/>
    <cellStyle name="Comma 4 6 5 3" xfId="16042"/>
    <cellStyle name="Comma 4 6 5 3 2" xfId="25057"/>
    <cellStyle name="Comma 4 6 5 3 2 2" xfId="44486"/>
    <cellStyle name="Comma 4 6 5 3 2 3" xfId="38063"/>
    <cellStyle name="Comma 4 6 5 3 3" xfId="29378"/>
    <cellStyle name="Comma 4 6 5 3 3 2" xfId="41279"/>
    <cellStyle name="Comma 4 6 5 3 4" xfId="32713"/>
    <cellStyle name="Comma 4 6 5 3 5" xfId="34855"/>
    <cellStyle name="Comma 4 6 5 4" xfId="8860"/>
    <cellStyle name="Comma 4 6 5 4 2" xfId="43422"/>
    <cellStyle name="Comma 4 6 5 4 3" xfId="36998"/>
    <cellStyle name="Comma 4 6 5 5" xfId="21849"/>
    <cellStyle name="Comma 4 6 5 5 2" xfId="40215"/>
    <cellStyle name="Comma 4 6 5 6" xfId="22923"/>
    <cellStyle name="Comma 4 6 5 7" xfId="23993"/>
    <cellStyle name="Comma 4 6 5 8" xfId="27244"/>
    <cellStyle name="Comma 4 6 5 9" xfId="30577"/>
    <cellStyle name="Comma 4 6 6" xfId="10333"/>
    <cellStyle name="Comma 4 6 6 2" xfId="26133"/>
    <cellStyle name="Comma 4 6 6 2 2" xfId="45560"/>
    <cellStyle name="Comma 4 6 6 2 3" xfId="39137"/>
    <cellStyle name="Comma 4 6 6 3" xfId="28311"/>
    <cellStyle name="Comma 4 6 6 3 2" xfId="42353"/>
    <cellStyle name="Comma 4 6 6 4" xfId="31646"/>
    <cellStyle name="Comma 4 6 6 5" xfId="35929"/>
    <cellStyle name="Comma 4 6 7" xfId="16038"/>
    <cellStyle name="Comma 4 6 7 2" xfId="25053"/>
    <cellStyle name="Comma 4 6 7 2 2" xfId="44482"/>
    <cellStyle name="Comma 4 6 7 2 3" xfId="38059"/>
    <cellStyle name="Comma 4 6 7 3" xfId="29374"/>
    <cellStyle name="Comma 4 6 7 3 2" xfId="41275"/>
    <cellStyle name="Comma 4 6 7 4" xfId="32709"/>
    <cellStyle name="Comma 4 6 7 5" xfId="34851"/>
    <cellStyle name="Comma 4 6 8" xfId="8856"/>
    <cellStyle name="Comma 4 6 8 2" xfId="43418"/>
    <cellStyle name="Comma 4 6 8 3" xfId="36994"/>
    <cellStyle name="Comma 4 6 9" xfId="21845"/>
    <cellStyle name="Comma 4 6 9 2" xfId="40211"/>
    <cellStyle name="Comma 4 7" xfId="8983"/>
    <cellStyle name="Comma 4 7 2" xfId="25108"/>
    <cellStyle name="Comma 4 7 2 2" xfId="44535"/>
    <cellStyle name="Comma 4 7 2 3" xfId="38112"/>
    <cellStyle name="Comma 4 7 3" xfId="27287"/>
    <cellStyle name="Comma 4 7 3 2" xfId="41328"/>
    <cellStyle name="Comma 4 7 4" xfId="30622"/>
    <cellStyle name="Comma 4 7 5" xfId="34904"/>
    <cellStyle name="Comma 4 8" xfId="15009"/>
    <cellStyle name="Comma 4 8 2" xfId="24035"/>
    <cellStyle name="Comma 4 8 2 2" xfId="43464"/>
    <cellStyle name="Comma 4 8 2 3" xfId="37041"/>
    <cellStyle name="Comma 4 8 3" xfId="28359"/>
    <cellStyle name="Comma 4 8 3 2" xfId="40257"/>
    <cellStyle name="Comma 4 8 4" xfId="31694"/>
    <cellStyle name="Comma 4 8 5" xfId="33833"/>
    <cellStyle name="Comma 4 9" xfId="7829"/>
    <cellStyle name="Comma 4 9 2" xfId="42400"/>
    <cellStyle name="Comma 4 9 3" xfId="35976"/>
    <cellStyle name="Comma 4_Data - Monthly Commodity Prices" xfId="6484"/>
    <cellStyle name="Comma 5" xfId="303"/>
    <cellStyle name="Comma 5 10" xfId="26217"/>
    <cellStyle name="Comma 5 11" xfId="26226"/>
    <cellStyle name="Comma 5 12" xfId="29559"/>
    <cellStyle name="Comma 5 13" xfId="32770"/>
    <cellStyle name="Comma 5 2" xfId="1569"/>
    <cellStyle name="Comma 5 2 10" xfId="8861"/>
    <cellStyle name="Comma 5 2 10 2" xfId="43423"/>
    <cellStyle name="Comma 5 2 10 3" xfId="36999"/>
    <cellStyle name="Comma 5 2 11" xfId="21850"/>
    <cellStyle name="Comma 5 2 11 2" xfId="40216"/>
    <cellStyle name="Comma 5 2 12" xfId="22924"/>
    <cellStyle name="Comma 5 2 13" xfId="23994"/>
    <cellStyle name="Comma 5 2 14" xfId="27245"/>
    <cellStyle name="Comma 5 2 15" xfId="30578"/>
    <cellStyle name="Comma 5 2 16" xfId="33792"/>
    <cellStyle name="Comma 5 2 2" xfId="1570"/>
    <cellStyle name="Comma 5 2 2 10" xfId="22925"/>
    <cellStyle name="Comma 5 2 2 11" xfId="23995"/>
    <cellStyle name="Comma 5 2 2 12" xfId="27246"/>
    <cellStyle name="Comma 5 2 2 13" xfId="30579"/>
    <cellStyle name="Comma 5 2 2 14" xfId="33793"/>
    <cellStyle name="Comma 5 2 2 2" xfId="1571"/>
    <cellStyle name="Comma 5 2 2 2 10" xfId="33794"/>
    <cellStyle name="Comma 5 2 2 2 2" xfId="10340"/>
    <cellStyle name="Comma 5 2 2 2 2 2" xfId="26140"/>
    <cellStyle name="Comma 5 2 2 2 2 2 2" xfId="45567"/>
    <cellStyle name="Comma 5 2 2 2 2 2 3" xfId="39144"/>
    <cellStyle name="Comma 5 2 2 2 2 3" xfId="28318"/>
    <cellStyle name="Comma 5 2 2 2 2 3 2" xfId="42360"/>
    <cellStyle name="Comma 5 2 2 2 2 4" xfId="31653"/>
    <cellStyle name="Comma 5 2 2 2 2 5" xfId="35936"/>
    <cellStyle name="Comma 5 2 2 2 3" xfId="16045"/>
    <cellStyle name="Comma 5 2 2 2 3 2" xfId="25060"/>
    <cellStyle name="Comma 5 2 2 2 3 2 2" xfId="44489"/>
    <cellStyle name="Comma 5 2 2 2 3 2 3" xfId="38066"/>
    <cellStyle name="Comma 5 2 2 2 3 3" xfId="29381"/>
    <cellStyle name="Comma 5 2 2 2 3 3 2" xfId="41282"/>
    <cellStyle name="Comma 5 2 2 2 3 4" xfId="32716"/>
    <cellStyle name="Comma 5 2 2 2 3 5" xfId="34858"/>
    <cellStyle name="Comma 5 2 2 2 4" xfId="8863"/>
    <cellStyle name="Comma 5 2 2 2 4 2" xfId="43425"/>
    <cellStyle name="Comma 5 2 2 2 4 3" xfId="37001"/>
    <cellStyle name="Comma 5 2 2 2 5" xfId="21852"/>
    <cellStyle name="Comma 5 2 2 2 5 2" xfId="40218"/>
    <cellStyle name="Comma 5 2 2 2 6" xfId="22926"/>
    <cellStyle name="Comma 5 2 2 2 7" xfId="23996"/>
    <cellStyle name="Comma 5 2 2 2 8" xfId="27247"/>
    <cellStyle name="Comma 5 2 2 2 9" xfId="30580"/>
    <cellStyle name="Comma 5 2 2 3" xfId="1572"/>
    <cellStyle name="Comma 5 2 2 3 10" xfId="33795"/>
    <cellStyle name="Comma 5 2 2 3 2" xfId="10341"/>
    <cellStyle name="Comma 5 2 2 3 2 2" xfId="26141"/>
    <cellStyle name="Comma 5 2 2 3 2 2 2" xfId="45568"/>
    <cellStyle name="Comma 5 2 2 3 2 2 3" xfId="39145"/>
    <cellStyle name="Comma 5 2 2 3 2 3" xfId="28319"/>
    <cellStyle name="Comma 5 2 2 3 2 3 2" xfId="42361"/>
    <cellStyle name="Comma 5 2 2 3 2 4" xfId="31654"/>
    <cellStyle name="Comma 5 2 2 3 2 5" xfId="35937"/>
    <cellStyle name="Comma 5 2 2 3 3" xfId="16046"/>
    <cellStyle name="Comma 5 2 2 3 3 2" xfId="25061"/>
    <cellStyle name="Comma 5 2 2 3 3 2 2" xfId="44490"/>
    <cellStyle name="Comma 5 2 2 3 3 2 3" xfId="38067"/>
    <cellStyle name="Comma 5 2 2 3 3 3" xfId="29382"/>
    <cellStyle name="Comma 5 2 2 3 3 3 2" xfId="41283"/>
    <cellStyle name="Comma 5 2 2 3 3 4" xfId="32717"/>
    <cellStyle name="Comma 5 2 2 3 3 5" xfId="34859"/>
    <cellStyle name="Comma 5 2 2 3 4" xfId="8864"/>
    <cellStyle name="Comma 5 2 2 3 4 2" xfId="43426"/>
    <cellStyle name="Comma 5 2 2 3 4 3" xfId="37002"/>
    <cellStyle name="Comma 5 2 2 3 5" xfId="21853"/>
    <cellStyle name="Comma 5 2 2 3 5 2" xfId="40219"/>
    <cellStyle name="Comma 5 2 2 3 6" xfId="22927"/>
    <cellStyle name="Comma 5 2 2 3 7" xfId="23997"/>
    <cellStyle name="Comma 5 2 2 3 8" xfId="27248"/>
    <cellStyle name="Comma 5 2 2 3 9" xfId="30581"/>
    <cellStyle name="Comma 5 2 2 4" xfId="1573"/>
    <cellStyle name="Comma 5 2 2 4 10" xfId="33796"/>
    <cellStyle name="Comma 5 2 2 4 2" xfId="10342"/>
    <cellStyle name="Comma 5 2 2 4 2 2" xfId="26142"/>
    <cellStyle name="Comma 5 2 2 4 2 2 2" xfId="45569"/>
    <cellStyle name="Comma 5 2 2 4 2 2 3" xfId="39146"/>
    <cellStyle name="Comma 5 2 2 4 2 3" xfId="28320"/>
    <cellStyle name="Comma 5 2 2 4 2 3 2" xfId="42362"/>
    <cellStyle name="Comma 5 2 2 4 2 4" xfId="31655"/>
    <cellStyle name="Comma 5 2 2 4 2 5" xfId="35938"/>
    <cellStyle name="Comma 5 2 2 4 3" xfId="16047"/>
    <cellStyle name="Comma 5 2 2 4 3 2" xfId="25062"/>
    <cellStyle name="Comma 5 2 2 4 3 2 2" xfId="44491"/>
    <cellStyle name="Comma 5 2 2 4 3 2 3" xfId="38068"/>
    <cellStyle name="Comma 5 2 2 4 3 3" xfId="29383"/>
    <cellStyle name="Comma 5 2 2 4 3 3 2" xfId="41284"/>
    <cellStyle name="Comma 5 2 2 4 3 4" xfId="32718"/>
    <cellStyle name="Comma 5 2 2 4 3 5" xfId="34860"/>
    <cellStyle name="Comma 5 2 2 4 4" xfId="8865"/>
    <cellStyle name="Comma 5 2 2 4 4 2" xfId="43427"/>
    <cellStyle name="Comma 5 2 2 4 4 3" xfId="37003"/>
    <cellStyle name="Comma 5 2 2 4 5" xfId="21854"/>
    <cellStyle name="Comma 5 2 2 4 5 2" xfId="40220"/>
    <cellStyle name="Comma 5 2 2 4 6" xfId="22928"/>
    <cellStyle name="Comma 5 2 2 4 7" xfId="23998"/>
    <cellStyle name="Comma 5 2 2 4 8" xfId="27249"/>
    <cellStyle name="Comma 5 2 2 4 9" xfId="30582"/>
    <cellStyle name="Comma 5 2 2 5" xfId="1574"/>
    <cellStyle name="Comma 5 2 2 5 10" xfId="33797"/>
    <cellStyle name="Comma 5 2 2 5 2" xfId="10343"/>
    <cellStyle name="Comma 5 2 2 5 2 2" xfId="26143"/>
    <cellStyle name="Comma 5 2 2 5 2 2 2" xfId="45570"/>
    <cellStyle name="Comma 5 2 2 5 2 2 3" xfId="39147"/>
    <cellStyle name="Comma 5 2 2 5 2 3" xfId="28321"/>
    <cellStyle name="Comma 5 2 2 5 2 3 2" xfId="42363"/>
    <cellStyle name="Comma 5 2 2 5 2 4" xfId="31656"/>
    <cellStyle name="Comma 5 2 2 5 2 5" xfId="35939"/>
    <cellStyle name="Comma 5 2 2 5 3" xfId="16048"/>
    <cellStyle name="Comma 5 2 2 5 3 2" xfId="25063"/>
    <cellStyle name="Comma 5 2 2 5 3 2 2" xfId="44492"/>
    <cellStyle name="Comma 5 2 2 5 3 2 3" xfId="38069"/>
    <cellStyle name="Comma 5 2 2 5 3 3" xfId="29384"/>
    <cellStyle name="Comma 5 2 2 5 3 3 2" xfId="41285"/>
    <cellStyle name="Comma 5 2 2 5 3 4" xfId="32719"/>
    <cellStyle name="Comma 5 2 2 5 3 5" xfId="34861"/>
    <cellStyle name="Comma 5 2 2 5 4" xfId="8866"/>
    <cellStyle name="Comma 5 2 2 5 4 2" xfId="43428"/>
    <cellStyle name="Comma 5 2 2 5 4 3" xfId="37004"/>
    <cellStyle name="Comma 5 2 2 5 5" xfId="21855"/>
    <cellStyle name="Comma 5 2 2 5 5 2" xfId="40221"/>
    <cellStyle name="Comma 5 2 2 5 6" xfId="22929"/>
    <cellStyle name="Comma 5 2 2 5 7" xfId="23999"/>
    <cellStyle name="Comma 5 2 2 5 8" xfId="27250"/>
    <cellStyle name="Comma 5 2 2 5 9" xfId="30583"/>
    <cellStyle name="Comma 5 2 2 6" xfId="10339"/>
    <cellStyle name="Comma 5 2 2 6 2" xfId="26139"/>
    <cellStyle name="Comma 5 2 2 6 2 2" xfId="45566"/>
    <cellStyle name="Comma 5 2 2 6 2 3" xfId="39143"/>
    <cellStyle name="Comma 5 2 2 6 3" xfId="28317"/>
    <cellStyle name="Comma 5 2 2 6 3 2" xfId="42359"/>
    <cellStyle name="Comma 5 2 2 6 4" xfId="31652"/>
    <cellStyle name="Comma 5 2 2 6 5" xfId="35935"/>
    <cellStyle name="Comma 5 2 2 7" xfId="16044"/>
    <cellStyle name="Comma 5 2 2 7 2" xfId="25059"/>
    <cellStyle name="Comma 5 2 2 7 2 2" xfId="44488"/>
    <cellStyle name="Comma 5 2 2 7 2 3" xfId="38065"/>
    <cellStyle name="Comma 5 2 2 7 3" xfId="29380"/>
    <cellStyle name="Comma 5 2 2 7 3 2" xfId="41281"/>
    <cellStyle name="Comma 5 2 2 7 4" xfId="32715"/>
    <cellStyle name="Comma 5 2 2 7 5" xfId="34857"/>
    <cellStyle name="Comma 5 2 2 8" xfId="8862"/>
    <cellStyle name="Comma 5 2 2 8 2" xfId="43424"/>
    <cellStyle name="Comma 5 2 2 8 3" xfId="37000"/>
    <cellStyle name="Comma 5 2 2 9" xfId="21851"/>
    <cellStyle name="Comma 5 2 2 9 2" xfId="40217"/>
    <cellStyle name="Comma 5 2 3" xfId="1575"/>
    <cellStyle name="Comma 5 2 3 10" xfId="22930"/>
    <cellStyle name="Comma 5 2 3 11" xfId="24000"/>
    <cellStyle name="Comma 5 2 3 12" xfId="27251"/>
    <cellStyle name="Comma 5 2 3 13" xfId="30584"/>
    <cellStyle name="Comma 5 2 3 14" xfId="33798"/>
    <cellStyle name="Comma 5 2 3 2" xfId="1576"/>
    <cellStyle name="Comma 5 2 3 2 10" xfId="33799"/>
    <cellStyle name="Comma 5 2 3 2 2" xfId="10345"/>
    <cellStyle name="Comma 5 2 3 2 2 2" xfId="26145"/>
    <cellStyle name="Comma 5 2 3 2 2 2 2" xfId="45572"/>
    <cellStyle name="Comma 5 2 3 2 2 2 3" xfId="39149"/>
    <cellStyle name="Comma 5 2 3 2 2 3" xfId="28323"/>
    <cellStyle name="Comma 5 2 3 2 2 3 2" xfId="42365"/>
    <cellStyle name="Comma 5 2 3 2 2 4" xfId="31658"/>
    <cellStyle name="Comma 5 2 3 2 2 5" xfId="35941"/>
    <cellStyle name="Comma 5 2 3 2 3" xfId="16050"/>
    <cellStyle name="Comma 5 2 3 2 3 2" xfId="25065"/>
    <cellStyle name="Comma 5 2 3 2 3 2 2" xfId="44494"/>
    <cellStyle name="Comma 5 2 3 2 3 2 3" xfId="38071"/>
    <cellStyle name="Comma 5 2 3 2 3 3" xfId="29386"/>
    <cellStyle name="Comma 5 2 3 2 3 3 2" xfId="41287"/>
    <cellStyle name="Comma 5 2 3 2 3 4" xfId="32721"/>
    <cellStyle name="Comma 5 2 3 2 3 5" xfId="34863"/>
    <cellStyle name="Comma 5 2 3 2 4" xfId="8868"/>
    <cellStyle name="Comma 5 2 3 2 4 2" xfId="43430"/>
    <cellStyle name="Comma 5 2 3 2 4 3" xfId="37006"/>
    <cellStyle name="Comma 5 2 3 2 5" xfId="21857"/>
    <cellStyle name="Comma 5 2 3 2 5 2" xfId="40223"/>
    <cellStyle name="Comma 5 2 3 2 6" xfId="22931"/>
    <cellStyle name="Comma 5 2 3 2 7" xfId="24001"/>
    <cellStyle name="Comma 5 2 3 2 8" xfId="27252"/>
    <cellStyle name="Comma 5 2 3 2 9" xfId="30585"/>
    <cellStyle name="Comma 5 2 3 3" xfId="1577"/>
    <cellStyle name="Comma 5 2 3 3 10" xfId="33800"/>
    <cellStyle name="Comma 5 2 3 3 2" xfId="10346"/>
    <cellStyle name="Comma 5 2 3 3 2 2" xfId="26146"/>
    <cellStyle name="Comma 5 2 3 3 2 2 2" xfId="45573"/>
    <cellStyle name="Comma 5 2 3 3 2 2 3" xfId="39150"/>
    <cellStyle name="Comma 5 2 3 3 2 3" xfId="28324"/>
    <cellStyle name="Comma 5 2 3 3 2 3 2" xfId="42366"/>
    <cellStyle name="Comma 5 2 3 3 2 4" xfId="31659"/>
    <cellStyle name="Comma 5 2 3 3 2 5" xfId="35942"/>
    <cellStyle name="Comma 5 2 3 3 3" xfId="16051"/>
    <cellStyle name="Comma 5 2 3 3 3 2" xfId="25066"/>
    <cellStyle name="Comma 5 2 3 3 3 2 2" xfId="44495"/>
    <cellStyle name="Comma 5 2 3 3 3 2 3" xfId="38072"/>
    <cellStyle name="Comma 5 2 3 3 3 3" xfId="29387"/>
    <cellStyle name="Comma 5 2 3 3 3 3 2" xfId="41288"/>
    <cellStyle name="Comma 5 2 3 3 3 4" xfId="32722"/>
    <cellStyle name="Comma 5 2 3 3 3 5" xfId="34864"/>
    <cellStyle name="Comma 5 2 3 3 4" xfId="8869"/>
    <cellStyle name="Comma 5 2 3 3 4 2" xfId="43431"/>
    <cellStyle name="Comma 5 2 3 3 4 3" xfId="37007"/>
    <cellStyle name="Comma 5 2 3 3 5" xfId="21858"/>
    <cellStyle name="Comma 5 2 3 3 5 2" xfId="40224"/>
    <cellStyle name="Comma 5 2 3 3 6" xfId="22932"/>
    <cellStyle name="Comma 5 2 3 3 7" xfId="24002"/>
    <cellStyle name="Comma 5 2 3 3 8" xfId="27253"/>
    <cellStyle name="Comma 5 2 3 3 9" xfId="30586"/>
    <cellStyle name="Comma 5 2 3 4" xfId="1578"/>
    <cellStyle name="Comma 5 2 3 4 10" xfId="33801"/>
    <cellStyle name="Comma 5 2 3 4 2" xfId="10347"/>
    <cellStyle name="Comma 5 2 3 4 2 2" xfId="26147"/>
    <cellStyle name="Comma 5 2 3 4 2 2 2" xfId="45574"/>
    <cellStyle name="Comma 5 2 3 4 2 2 3" xfId="39151"/>
    <cellStyle name="Comma 5 2 3 4 2 3" xfId="28325"/>
    <cellStyle name="Comma 5 2 3 4 2 3 2" xfId="42367"/>
    <cellStyle name="Comma 5 2 3 4 2 4" xfId="31660"/>
    <cellStyle name="Comma 5 2 3 4 2 5" xfId="35943"/>
    <cellStyle name="Comma 5 2 3 4 3" xfId="16052"/>
    <cellStyle name="Comma 5 2 3 4 3 2" xfId="25067"/>
    <cellStyle name="Comma 5 2 3 4 3 2 2" xfId="44496"/>
    <cellStyle name="Comma 5 2 3 4 3 2 3" xfId="38073"/>
    <cellStyle name="Comma 5 2 3 4 3 3" xfId="29388"/>
    <cellStyle name="Comma 5 2 3 4 3 3 2" xfId="41289"/>
    <cellStyle name="Comma 5 2 3 4 3 4" xfId="32723"/>
    <cellStyle name="Comma 5 2 3 4 3 5" xfId="34865"/>
    <cellStyle name="Comma 5 2 3 4 4" xfId="8870"/>
    <cellStyle name="Comma 5 2 3 4 4 2" xfId="43432"/>
    <cellStyle name="Comma 5 2 3 4 4 3" xfId="37008"/>
    <cellStyle name="Comma 5 2 3 4 5" xfId="21859"/>
    <cellStyle name="Comma 5 2 3 4 5 2" xfId="40225"/>
    <cellStyle name="Comma 5 2 3 4 6" xfId="22933"/>
    <cellStyle name="Comma 5 2 3 4 7" xfId="24003"/>
    <cellStyle name="Comma 5 2 3 4 8" xfId="27254"/>
    <cellStyle name="Comma 5 2 3 4 9" xfId="30587"/>
    <cellStyle name="Comma 5 2 3 5" xfId="1579"/>
    <cellStyle name="Comma 5 2 3 5 10" xfId="33802"/>
    <cellStyle name="Comma 5 2 3 5 2" xfId="10348"/>
    <cellStyle name="Comma 5 2 3 5 2 2" xfId="26148"/>
    <cellStyle name="Comma 5 2 3 5 2 2 2" xfId="45575"/>
    <cellStyle name="Comma 5 2 3 5 2 2 3" xfId="39152"/>
    <cellStyle name="Comma 5 2 3 5 2 3" xfId="28326"/>
    <cellStyle name="Comma 5 2 3 5 2 3 2" xfId="42368"/>
    <cellStyle name="Comma 5 2 3 5 2 4" xfId="31661"/>
    <cellStyle name="Comma 5 2 3 5 2 5" xfId="35944"/>
    <cellStyle name="Comma 5 2 3 5 3" xfId="16053"/>
    <cellStyle name="Comma 5 2 3 5 3 2" xfId="25068"/>
    <cellStyle name="Comma 5 2 3 5 3 2 2" xfId="44497"/>
    <cellStyle name="Comma 5 2 3 5 3 2 3" xfId="38074"/>
    <cellStyle name="Comma 5 2 3 5 3 3" xfId="29389"/>
    <cellStyle name="Comma 5 2 3 5 3 3 2" xfId="41290"/>
    <cellStyle name="Comma 5 2 3 5 3 4" xfId="32724"/>
    <cellStyle name="Comma 5 2 3 5 3 5" xfId="34866"/>
    <cellStyle name="Comma 5 2 3 5 4" xfId="8871"/>
    <cellStyle name="Comma 5 2 3 5 4 2" xfId="43433"/>
    <cellStyle name="Comma 5 2 3 5 4 3" xfId="37009"/>
    <cellStyle name="Comma 5 2 3 5 5" xfId="21860"/>
    <cellStyle name="Comma 5 2 3 5 5 2" xfId="40226"/>
    <cellStyle name="Comma 5 2 3 5 6" xfId="22934"/>
    <cellStyle name="Comma 5 2 3 5 7" xfId="24004"/>
    <cellStyle name="Comma 5 2 3 5 8" xfId="27255"/>
    <cellStyle name="Comma 5 2 3 5 9" xfId="30588"/>
    <cellStyle name="Comma 5 2 3 6" xfId="10344"/>
    <cellStyle name="Comma 5 2 3 6 2" xfId="26144"/>
    <cellStyle name="Comma 5 2 3 6 2 2" xfId="45571"/>
    <cellStyle name="Comma 5 2 3 6 2 3" xfId="39148"/>
    <cellStyle name="Comma 5 2 3 6 3" xfId="28322"/>
    <cellStyle name="Comma 5 2 3 6 3 2" xfId="42364"/>
    <cellStyle name="Comma 5 2 3 6 4" xfId="31657"/>
    <cellStyle name="Comma 5 2 3 6 5" xfId="35940"/>
    <cellStyle name="Comma 5 2 3 7" xfId="16049"/>
    <cellStyle name="Comma 5 2 3 7 2" xfId="25064"/>
    <cellStyle name="Comma 5 2 3 7 2 2" xfId="44493"/>
    <cellStyle name="Comma 5 2 3 7 2 3" xfId="38070"/>
    <cellStyle name="Comma 5 2 3 7 3" xfId="29385"/>
    <cellStyle name="Comma 5 2 3 7 3 2" xfId="41286"/>
    <cellStyle name="Comma 5 2 3 7 4" xfId="32720"/>
    <cellStyle name="Comma 5 2 3 7 5" xfId="34862"/>
    <cellStyle name="Comma 5 2 3 8" xfId="8867"/>
    <cellStyle name="Comma 5 2 3 8 2" xfId="43429"/>
    <cellStyle name="Comma 5 2 3 8 3" xfId="37005"/>
    <cellStyle name="Comma 5 2 3 9" xfId="21856"/>
    <cellStyle name="Comma 5 2 3 9 2" xfId="40222"/>
    <cellStyle name="Comma 5 2 4" xfId="1580"/>
    <cellStyle name="Comma 5 2 4 10" xfId="33803"/>
    <cellStyle name="Comma 5 2 4 2" xfId="10349"/>
    <cellStyle name="Comma 5 2 4 2 2" xfId="26149"/>
    <cellStyle name="Comma 5 2 4 2 2 2" xfId="45576"/>
    <cellStyle name="Comma 5 2 4 2 2 3" xfId="39153"/>
    <cellStyle name="Comma 5 2 4 2 3" xfId="28327"/>
    <cellStyle name="Comma 5 2 4 2 3 2" xfId="42369"/>
    <cellStyle name="Comma 5 2 4 2 4" xfId="31662"/>
    <cellStyle name="Comma 5 2 4 2 5" xfId="35945"/>
    <cellStyle name="Comma 5 2 4 3" xfId="16054"/>
    <cellStyle name="Comma 5 2 4 3 2" xfId="25069"/>
    <cellStyle name="Comma 5 2 4 3 2 2" xfId="44498"/>
    <cellStyle name="Comma 5 2 4 3 2 3" xfId="38075"/>
    <cellStyle name="Comma 5 2 4 3 3" xfId="29390"/>
    <cellStyle name="Comma 5 2 4 3 3 2" xfId="41291"/>
    <cellStyle name="Comma 5 2 4 3 4" xfId="32725"/>
    <cellStyle name="Comma 5 2 4 3 5" xfId="34867"/>
    <cellStyle name="Comma 5 2 4 4" xfId="8872"/>
    <cellStyle name="Comma 5 2 4 4 2" xfId="43434"/>
    <cellStyle name="Comma 5 2 4 4 3" xfId="37010"/>
    <cellStyle name="Comma 5 2 4 5" xfId="21861"/>
    <cellStyle name="Comma 5 2 4 5 2" xfId="40227"/>
    <cellStyle name="Comma 5 2 4 6" xfId="22935"/>
    <cellStyle name="Comma 5 2 4 7" xfId="24005"/>
    <cellStyle name="Comma 5 2 4 8" xfId="27256"/>
    <cellStyle name="Comma 5 2 4 9" xfId="30589"/>
    <cellStyle name="Comma 5 2 5" xfId="1581"/>
    <cellStyle name="Comma 5 2 5 10" xfId="33804"/>
    <cellStyle name="Comma 5 2 5 2" xfId="10350"/>
    <cellStyle name="Comma 5 2 5 2 2" xfId="26150"/>
    <cellStyle name="Comma 5 2 5 2 2 2" xfId="45577"/>
    <cellStyle name="Comma 5 2 5 2 2 3" xfId="39154"/>
    <cellStyle name="Comma 5 2 5 2 3" xfId="28328"/>
    <cellStyle name="Comma 5 2 5 2 3 2" xfId="42370"/>
    <cellStyle name="Comma 5 2 5 2 4" xfId="31663"/>
    <cellStyle name="Comma 5 2 5 2 5" xfId="35946"/>
    <cellStyle name="Comma 5 2 5 3" xfId="16055"/>
    <cellStyle name="Comma 5 2 5 3 2" xfId="25070"/>
    <cellStyle name="Comma 5 2 5 3 2 2" xfId="44499"/>
    <cellStyle name="Comma 5 2 5 3 2 3" xfId="38076"/>
    <cellStyle name="Comma 5 2 5 3 3" xfId="29391"/>
    <cellStyle name="Comma 5 2 5 3 3 2" xfId="41292"/>
    <cellStyle name="Comma 5 2 5 3 4" xfId="32726"/>
    <cellStyle name="Comma 5 2 5 3 5" xfId="34868"/>
    <cellStyle name="Comma 5 2 5 4" xfId="8873"/>
    <cellStyle name="Comma 5 2 5 4 2" xfId="43435"/>
    <cellStyle name="Comma 5 2 5 4 3" xfId="37011"/>
    <cellStyle name="Comma 5 2 5 5" xfId="21862"/>
    <cellStyle name="Comma 5 2 5 5 2" xfId="40228"/>
    <cellStyle name="Comma 5 2 5 6" xfId="22936"/>
    <cellStyle name="Comma 5 2 5 7" xfId="24006"/>
    <cellStyle name="Comma 5 2 5 8" xfId="27257"/>
    <cellStyle name="Comma 5 2 5 9" xfId="30590"/>
    <cellStyle name="Comma 5 2 6" xfId="1582"/>
    <cellStyle name="Comma 5 2 6 10" xfId="33805"/>
    <cellStyle name="Comma 5 2 6 2" xfId="10351"/>
    <cellStyle name="Comma 5 2 6 2 2" xfId="26151"/>
    <cellStyle name="Comma 5 2 6 2 2 2" xfId="45578"/>
    <cellStyle name="Comma 5 2 6 2 2 3" xfId="39155"/>
    <cellStyle name="Comma 5 2 6 2 3" xfId="28329"/>
    <cellStyle name="Comma 5 2 6 2 3 2" xfId="42371"/>
    <cellStyle name="Comma 5 2 6 2 4" xfId="31664"/>
    <cellStyle name="Comma 5 2 6 2 5" xfId="35947"/>
    <cellStyle name="Comma 5 2 6 3" xfId="16056"/>
    <cellStyle name="Comma 5 2 6 3 2" xfId="25071"/>
    <cellStyle name="Comma 5 2 6 3 2 2" xfId="44500"/>
    <cellStyle name="Comma 5 2 6 3 2 3" xfId="38077"/>
    <cellStyle name="Comma 5 2 6 3 3" xfId="29392"/>
    <cellStyle name="Comma 5 2 6 3 3 2" xfId="41293"/>
    <cellStyle name="Comma 5 2 6 3 4" xfId="32727"/>
    <cellStyle name="Comma 5 2 6 3 5" xfId="34869"/>
    <cellStyle name="Comma 5 2 6 4" xfId="8874"/>
    <cellStyle name="Comma 5 2 6 4 2" xfId="43436"/>
    <cellStyle name="Comma 5 2 6 4 3" xfId="37012"/>
    <cellStyle name="Comma 5 2 6 5" xfId="21863"/>
    <cellStyle name="Comma 5 2 6 5 2" xfId="40229"/>
    <cellStyle name="Comma 5 2 6 6" xfId="22937"/>
    <cellStyle name="Comma 5 2 6 7" xfId="24007"/>
    <cellStyle name="Comma 5 2 6 8" xfId="27258"/>
    <cellStyle name="Comma 5 2 6 9" xfId="30591"/>
    <cellStyle name="Comma 5 2 7" xfId="1583"/>
    <cellStyle name="Comma 5 2 7 10" xfId="33806"/>
    <cellStyle name="Comma 5 2 7 2" xfId="10352"/>
    <cellStyle name="Comma 5 2 7 2 2" xfId="26152"/>
    <cellStyle name="Comma 5 2 7 2 2 2" xfId="45579"/>
    <cellStyle name="Comma 5 2 7 2 2 3" xfId="39156"/>
    <cellStyle name="Comma 5 2 7 2 3" xfId="28330"/>
    <cellStyle name="Comma 5 2 7 2 3 2" xfId="42372"/>
    <cellStyle name="Comma 5 2 7 2 4" xfId="31665"/>
    <cellStyle name="Comma 5 2 7 2 5" xfId="35948"/>
    <cellStyle name="Comma 5 2 7 3" xfId="16057"/>
    <cellStyle name="Comma 5 2 7 3 2" xfId="25072"/>
    <cellStyle name="Comma 5 2 7 3 2 2" xfId="44501"/>
    <cellStyle name="Comma 5 2 7 3 2 3" xfId="38078"/>
    <cellStyle name="Comma 5 2 7 3 3" xfId="29393"/>
    <cellStyle name="Comma 5 2 7 3 3 2" xfId="41294"/>
    <cellStyle name="Comma 5 2 7 3 4" xfId="32728"/>
    <cellStyle name="Comma 5 2 7 3 5" xfId="34870"/>
    <cellStyle name="Comma 5 2 7 4" xfId="8875"/>
    <cellStyle name="Comma 5 2 7 4 2" xfId="43437"/>
    <cellStyle name="Comma 5 2 7 4 3" xfId="37013"/>
    <cellStyle name="Comma 5 2 7 5" xfId="21864"/>
    <cellStyle name="Comma 5 2 7 5 2" xfId="40230"/>
    <cellStyle name="Comma 5 2 7 6" xfId="22938"/>
    <cellStyle name="Comma 5 2 7 7" xfId="24008"/>
    <cellStyle name="Comma 5 2 7 8" xfId="27259"/>
    <cellStyle name="Comma 5 2 7 9" xfId="30592"/>
    <cellStyle name="Comma 5 2 8" xfId="10338"/>
    <cellStyle name="Comma 5 2 8 2" xfId="26138"/>
    <cellStyle name="Comma 5 2 8 2 2" xfId="45565"/>
    <cellStyle name="Comma 5 2 8 2 3" xfId="39142"/>
    <cellStyle name="Comma 5 2 8 3" xfId="28316"/>
    <cellStyle name="Comma 5 2 8 3 2" xfId="42358"/>
    <cellStyle name="Comma 5 2 8 4" xfId="31651"/>
    <cellStyle name="Comma 5 2 8 5" xfId="35934"/>
    <cellStyle name="Comma 5 2 9" xfId="16043"/>
    <cellStyle name="Comma 5 2 9 2" xfId="25058"/>
    <cellStyle name="Comma 5 2 9 2 2" xfId="44487"/>
    <cellStyle name="Comma 5 2 9 2 3" xfId="38064"/>
    <cellStyle name="Comma 5 2 9 3" xfId="29379"/>
    <cellStyle name="Comma 5 2 9 3 2" xfId="41280"/>
    <cellStyle name="Comma 5 2 9 4" xfId="32714"/>
    <cellStyle name="Comma 5 2 9 5" xfId="34856"/>
    <cellStyle name="Comma 5 3" xfId="8984"/>
    <cellStyle name="Comma 5 3 2" xfId="25109"/>
    <cellStyle name="Comma 5 3 2 2" xfId="44536"/>
    <cellStyle name="Comma 5 3 2 3" xfId="38113"/>
    <cellStyle name="Comma 5 3 3" xfId="27288"/>
    <cellStyle name="Comma 5 3 3 2" xfId="41329"/>
    <cellStyle name="Comma 5 3 4" xfId="30623"/>
    <cellStyle name="Comma 5 3 5" xfId="34905"/>
    <cellStyle name="Comma 5 4" xfId="15010"/>
    <cellStyle name="Comma 5 4 2" xfId="24036"/>
    <cellStyle name="Comma 5 4 2 2" xfId="43465"/>
    <cellStyle name="Comma 5 4 2 3" xfId="37042"/>
    <cellStyle name="Comma 5 4 3" xfId="28360"/>
    <cellStyle name="Comma 5 4 3 2" xfId="40258"/>
    <cellStyle name="Comma 5 4 4" xfId="31695"/>
    <cellStyle name="Comma 5 4 5" xfId="33834"/>
    <cellStyle name="Comma 5 5" xfId="7830"/>
    <cellStyle name="Comma 5 5 2" xfId="42401"/>
    <cellStyle name="Comma 5 5 3" xfId="35977"/>
    <cellStyle name="Comma 5 6" xfId="20833"/>
    <cellStyle name="Comma 5 6 2" xfId="39194"/>
    <cellStyle name="Comma 5 7" xfId="21906"/>
    <cellStyle name="Comma 5 8" xfId="22972"/>
    <cellStyle name="Comma 5 9" xfId="26203"/>
    <cellStyle name="Comma 6" xfId="304"/>
    <cellStyle name="Comma 6 10" xfId="29555"/>
    <cellStyle name="Comma 6 11" xfId="32872"/>
    <cellStyle name="Comma 6 2" xfId="1584"/>
    <cellStyle name="Comma 6 2 10" xfId="33807"/>
    <cellStyle name="Comma 6 2 2" xfId="10353"/>
    <cellStyle name="Comma 6 2 2 2" xfId="26153"/>
    <cellStyle name="Comma 6 2 2 2 2" xfId="45580"/>
    <cellStyle name="Comma 6 2 2 2 3" xfId="39157"/>
    <cellStyle name="Comma 6 2 2 3" xfId="28331"/>
    <cellStyle name="Comma 6 2 2 3 2" xfId="42373"/>
    <cellStyle name="Comma 6 2 2 4" xfId="31666"/>
    <cellStyle name="Comma 6 2 2 5" xfId="35949"/>
    <cellStyle name="Comma 6 2 3" xfId="16058"/>
    <cellStyle name="Comma 6 2 3 2" xfId="25073"/>
    <cellStyle name="Comma 6 2 3 2 2" xfId="44502"/>
    <cellStyle name="Comma 6 2 3 2 3" xfId="38079"/>
    <cellStyle name="Comma 6 2 3 3" xfId="29394"/>
    <cellStyle name="Comma 6 2 3 3 2" xfId="41295"/>
    <cellStyle name="Comma 6 2 3 4" xfId="32729"/>
    <cellStyle name="Comma 6 2 3 5" xfId="34871"/>
    <cellStyle name="Comma 6 2 4" xfId="8876"/>
    <cellStyle name="Comma 6 2 4 2" xfId="43438"/>
    <cellStyle name="Comma 6 2 4 3" xfId="37014"/>
    <cellStyle name="Comma 6 2 5" xfId="21865"/>
    <cellStyle name="Comma 6 2 5 2" xfId="40231"/>
    <cellStyle name="Comma 6 2 6" xfId="22939"/>
    <cellStyle name="Comma 6 2 7" xfId="24009"/>
    <cellStyle name="Comma 6 2 8" xfId="27260"/>
    <cellStyle name="Comma 6 2 9" xfId="30593"/>
    <cellStyle name="Comma 6 3" xfId="9159"/>
    <cellStyle name="Comma 6 3 2" xfId="25213"/>
    <cellStyle name="Comma 6 3 2 2" xfId="44640"/>
    <cellStyle name="Comma 6 3 2 3" xfId="38217"/>
    <cellStyle name="Comma 6 3 3" xfId="27392"/>
    <cellStyle name="Comma 6 3 3 2" xfId="41433"/>
    <cellStyle name="Comma 6 3 4" xfId="30727"/>
    <cellStyle name="Comma 6 3 5" xfId="35009"/>
    <cellStyle name="Comma 6 4" xfId="14955"/>
    <cellStyle name="Comma 6 4 2" xfId="24033"/>
    <cellStyle name="Comma 6 4 2 2" xfId="43462"/>
    <cellStyle name="Comma 6 4 2 3" xfId="37039"/>
    <cellStyle name="Comma 6 4 3" xfId="28357"/>
    <cellStyle name="Comma 6 4 3 2" xfId="40255"/>
    <cellStyle name="Comma 6 4 4" xfId="31692"/>
    <cellStyle name="Comma 6 4 5" xfId="33831"/>
    <cellStyle name="Comma 6 5" xfId="7808"/>
    <cellStyle name="Comma 6 5 2" xfId="42503"/>
    <cellStyle name="Comma 6 5 3" xfId="36079"/>
    <cellStyle name="Comma 6 6" xfId="20829"/>
    <cellStyle name="Comma 6 6 2" xfId="39296"/>
    <cellStyle name="Comma 6 7" xfId="21902"/>
    <cellStyle name="Comma 6 8" xfId="23074"/>
    <cellStyle name="Comma 6 9" xfId="26222"/>
    <cellStyle name="Comma 7" xfId="305"/>
    <cellStyle name="Comma 7 10" xfId="27261"/>
    <cellStyle name="Comma 7 11" xfId="30594"/>
    <cellStyle name="Comma 7 12" xfId="32873"/>
    <cellStyle name="Comma 7 2" xfId="306"/>
    <cellStyle name="Comma 7 2 10" xfId="30595"/>
    <cellStyle name="Comma 7 2 11" xfId="32874"/>
    <cellStyle name="Comma 7 2 2" xfId="1585"/>
    <cellStyle name="Comma 7 2 2 10" xfId="33808"/>
    <cellStyle name="Comma 7 2 2 2" xfId="10354"/>
    <cellStyle name="Comma 7 2 2 2 2" xfId="26154"/>
    <cellStyle name="Comma 7 2 2 2 2 2" xfId="45581"/>
    <cellStyle name="Comma 7 2 2 2 2 3" xfId="39158"/>
    <cellStyle name="Comma 7 2 2 2 3" xfId="28332"/>
    <cellStyle name="Comma 7 2 2 2 3 2" xfId="42374"/>
    <cellStyle name="Comma 7 2 2 2 4" xfId="31667"/>
    <cellStyle name="Comma 7 2 2 2 5" xfId="35950"/>
    <cellStyle name="Comma 7 2 2 3" xfId="16061"/>
    <cellStyle name="Comma 7 2 2 3 2" xfId="25076"/>
    <cellStyle name="Comma 7 2 2 3 2 2" xfId="44505"/>
    <cellStyle name="Comma 7 2 2 3 2 3" xfId="38082"/>
    <cellStyle name="Comma 7 2 2 3 3" xfId="29397"/>
    <cellStyle name="Comma 7 2 2 3 3 2" xfId="41298"/>
    <cellStyle name="Comma 7 2 2 3 4" xfId="32732"/>
    <cellStyle name="Comma 7 2 2 3 5" xfId="34874"/>
    <cellStyle name="Comma 7 2 2 4" xfId="8879"/>
    <cellStyle name="Comma 7 2 2 4 2" xfId="43439"/>
    <cellStyle name="Comma 7 2 2 4 3" xfId="37015"/>
    <cellStyle name="Comma 7 2 2 5" xfId="21868"/>
    <cellStyle name="Comma 7 2 2 5 2" xfId="40232"/>
    <cellStyle name="Comma 7 2 2 6" xfId="22942"/>
    <cellStyle name="Comma 7 2 2 7" xfId="24010"/>
    <cellStyle name="Comma 7 2 2 8" xfId="27263"/>
    <cellStyle name="Comma 7 2 2 9" xfId="30596"/>
    <cellStyle name="Comma 7 2 3" xfId="9161"/>
    <cellStyle name="Comma 7 2 3 2" xfId="25215"/>
    <cellStyle name="Comma 7 2 3 2 2" xfId="44642"/>
    <cellStyle name="Comma 7 2 3 2 3" xfId="38219"/>
    <cellStyle name="Comma 7 2 3 3" xfId="27394"/>
    <cellStyle name="Comma 7 2 3 3 2" xfId="41435"/>
    <cellStyle name="Comma 7 2 3 4" xfId="30729"/>
    <cellStyle name="Comma 7 2 3 5" xfId="35011"/>
    <cellStyle name="Comma 7 2 4" xfId="16060"/>
    <cellStyle name="Comma 7 2 4 2" xfId="25075"/>
    <cellStyle name="Comma 7 2 4 2 2" xfId="44504"/>
    <cellStyle name="Comma 7 2 4 2 3" xfId="38081"/>
    <cellStyle name="Comma 7 2 4 3" xfId="29396"/>
    <cellStyle name="Comma 7 2 4 3 2" xfId="41297"/>
    <cellStyle name="Comma 7 2 4 4" xfId="32731"/>
    <cellStyle name="Comma 7 2 4 5" xfId="34873"/>
    <cellStyle name="Comma 7 2 5" xfId="8878"/>
    <cellStyle name="Comma 7 2 5 2" xfId="42505"/>
    <cellStyle name="Comma 7 2 5 3" xfId="36081"/>
    <cellStyle name="Comma 7 2 6" xfId="21867"/>
    <cellStyle name="Comma 7 2 6 2" xfId="39298"/>
    <cellStyle name="Comma 7 2 7" xfId="22941"/>
    <cellStyle name="Comma 7 2 8" xfId="23076"/>
    <cellStyle name="Comma 7 2 9" xfId="27262"/>
    <cellStyle name="Comma 7 3" xfId="1586"/>
    <cellStyle name="Comma 7 3 10" xfId="33809"/>
    <cellStyle name="Comma 7 3 2" xfId="10355"/>
    <cellStyle name="Comma 7 3 2 2" xfId="26155"/>
    <cellStyle name="Comma 7 3 2 2 2" xfId="45582"/>
    <cellStyle name="Comma 7 3 2 2 3" xfId="39159"/>
    <cellStyle name="Comma 7 3 2 3" xfId="28333"/>
    <cellStyle name="Comma 7 3 2 3 2" xfId="42375"/>
    <cellStyle name="Comma 7 3 2 4" xfId="31668"/>
    <cellStyle name="Comma 7 3 2 5" xfId="35951"/>
    <cellStyle name="Comma 7 3 3" xfId="16062"/>
    <cellStyle name="Comma 7 3 3 2" xfId="25077"/>
    <cellStyle name="Comma 7 3 3 2 2" xfId="44506"/>
    <cellStyle name="Comma 7 3 3 2 3" xfId="38083"/>
    <cellStyle name="Comma 7 3 3 3" xfId="29398"/>
    <cellStyle name="Comma 7 3 3 3 2" xfId="41299"/>
    <cellStyle name="Comma 7 3 3 4" xfId="32733"/>
    <cellStyle name="Comma 7 3 3 5" xfId="34875"/>
    <cellStyle name="Comma 7 3 4" xfId="8880"/>
    <cellStyle name="Comma 7 3 4 2" xfId="43440"/>
    <cellStyle name="Comma 7 3 4 3" xfId="37016"/>
    <cellStyle name="Comma 7 3 5" xfId="21869"/>
    <cellStyle name="Comma 7 3 5 2" xfId="40233"/>
    <cellStyle name="Comma 7 3 6" xfId="22943"/>
    <cellStyle name="Comma 7 3 7" xfId="24011"/>
    <cellStyle name="Comma 7 3 8" xfId="27264"/>
    <cellStyle name="Comma 7 3 9" xfId="30597"/>
    <cellStyle name="Comma 7 4" xfId="9160"/>
    <cellStyle name="Comma 7 4 2" xfId="25214"/>
    <cellStyle name="Comma 7 4 2 2" xfId="44641"/>
    <cellStyle name="Comma 7 4 2 3" xfId="38218"/>
    <cellStyle name="Comma 7 4 3" xfId="27393"/>
    <cellStyle name="Comma 7 4 3 2" xfId="41434"/>
    <cellStyle name="Comma 7 4 4" xfId="30728"/>
    <cellStyle name="Comma 7 4 5" xfId="35010"/>
    <cellStyle name="Comma 7 5" xfId="16059"/>
    <cellStyle name="Comma 7 5 2" xfId="25074"/>
    <cellStyle name="Comma 7 5 2 2" xfId="44503"/>
    <cellStyle name="Comma 7 5 2 3" xfId="38080"/>
    <cellStyle name="Comma 7 5 3" xfId="29395"/>
    <cellStyle name="Comma 7 5 3 2" xfId="41296"/>
    <cellStyle name="Comma 7 5 4" xfId="32730"/>
    <cellStyle name="Comma 7 5 5" xfId="34872"/>
    <cellStyle name="Comma 7 6" xfId="8877"/>
    <cellStyle name="Comma 7 6 2" xfId="42504"/>
    <cellStyle name="Comma 7 6 3" xfId="36080"/>
    <cellStyle name="Comma 7 7" xfId="21866"/>
    <cellStyle name="Comma 7 7 2" xfId="39297"/>
    <cellStyle name="Comma 7 8" xfId="22940"/>
    <cellStyle name="Comma 7 9" xfId="23075"/>
    <cellStyle name="Comma 8" xfId="307"/>
    <cellStyle name="Comma 8 10" xfId="16063"/>
    <cellStyle name="Comma 8 10 2" xfId="25078"/>
    <cellStyle name="Comma 8 10 2 2" xfId="44507"/>
    <cellStyle name="Comma 8 10 2 3" xfId="38084"/>
    <cellStyle name="Comma 8 10 3" xfId="29399"/>
    <cellStyle name="Comma 8 10 3 2" xfId="41300"/>
    <cellStyle name="Comma 8 10 4" xfId="32734"/>
    <cellStyle name="Comma 8 10 5" xfId="34876"/>
    <cellStyle name="Comma 8 11" xfId="8881"/>
    <cellStyle name="Comma 8 11 2" xfId="42506"/>
    <cellStyle name="Comma 8 11 3" xfId="36082"/>
    <cellStyle name="Comma 8 12" xfId="21870"/>
    <cellStyle name="Comma 8 12 2" xfId="39299"/>
    <cellStyle name="Comma 8 13" xfId="22944"/>
    <cellStyle name="Comma 8 14" xfId="23077"/>
    <cellStyle name="Comma 8 15" xfId="27265"/>
    <cellStyle name="Comma 8 16" xfId="30598"/>
    <cellStyle name="Comma 8 17" xfId="32875"/>
    <cellStyle name="Comma 8 2" xfId="1587"/>
    <cellStyle name="Comma 8 2 10" xfId="22945"/>
    <cellStyle name="Comma 8 2 11" xfId="24012"/>
    <cellStyle name="Comma 8 2 12" xfId="27266"/>
    <cellStyle name="Comma 8 2 13" xfId="30599"/>
    <cellStyle name="Comma 8 2 14" xfId="33810"/>
    <cellStyle name="Comma 8 2 2" xfId="1588"/>
    <cellStyle name="Comma 8 2 2 10" xfId="33811"/>
    <cellStyle name="Comma 8 2 2 2" xfId="10357"/>
    <cellStyle name="Comma 8 2 2 2 2" xfId="26157"/>
    <cellStyle name="Comma 8 2 2 2 2 2" xfId="45584"/>
    <cellStyle name="Comma 8 2 2 2 2 3" xfId="39161"/>
    <cellStyle name="Comma 8 2 2 2 3" xfId="28335"/>
    <cellStyle name="Comma 8 2 2 2 3 2" xfId="42377"/>
    <cellStyle name="Comma 8 2 2 2 4" xfId="31670"/>
    <cellStyle name="Comma 8 2 2 2 5" xfId="35953"/>
    <cellStyle name="Comma 8 2 2 3" xfId="16065"/>
    <cellStyle name="Comma 8 2 2 3 2" xfId="25080"/>
    <cellStyle name="Comma 8 2 2 3 2 2" xfId="44509"/>
    <cellStyle name="Comma 8 2 2 3 2 3" xfId="38086"/>
    <cellStyle name="Comma 8 2 2 3 3" xfId="29401"/>
    <cellStyle name="Comma 8 2 2 3 3 2" xfId="41302"/>
    <cellStyle name="Comma 8 2 2 3 4" xfId="32736"/>
    <cellStyle name="Comma 8 2 2 3 5" xfId="34878"/>
    <cellStyle name="Comma 8 2 2 4" xfId="8883"/>
    <cellStyle name="Comma 8 2 2 4 2" xfId="43442"/>
    <cellStyle name="Comma 8 2 2 4 3" xfId="37018"/>
    <cellStyle name="Comma 8 2 2 5" xfId="21872"/>
    <cellStyle name="Comma 8 2 2 5 2" xfId="40235"/>
    <cellStyle name="Comma 8 2 2 6" xfId="22946"/>
    <cellStyle name="Comma 8 2 2 7" xfId="24013"/>
    <cellStyle name="Comma 8 2 2 8" xfId="27267"/>
    <cellStyle name="Comma 8 2 2 9" xfId="30600"/>
    <cellStyle name="Comma 8 2 3" xfId="1589"/>
    <cellStyle name="Comma 8 2 3 10" xfId="33812"/>
    <cellStyle name="Comma 8 2 3 2" xfId="10358"/>
    <cellStyle name="Comma 8 2 3 2 2" xfId="26158"/>
    <cellStyle name="Comma 8 2 3 2 2 2" xfId="45585"/>
    <cellStyle name="Comma 8 2 3 2 2 3" xfId="39162"/>
    <cellStyle name="Comma 8 2 3 2 3" xfId="28336"/>
    <cellStyle name="Comma 8 2 3 2 3 2" xfId="42378"/>
    <cellStyle name="Comma 8 2 3 2 4" xfId="31671"/>
    <cellStyle name="Comma 8 2 3 2 5" xfId="35954"/>
    <cellStyle name="Comma 8 2 3 3" xfId="16066"/>
    <cellStyle name="Comma 8 2 3 3 2" xfId="25081"/>
    <cellStyle name="Comma 8 2 3 3 2 2" xfId="44510"/>
    <cellStyle name="Comma 8 2 3 3 2 3" xfId="38087"/>
    <cellStyle name="Comma 8 2 3 3 3" xfId="29402"/>
    <cellStyle name="Comma 8 2 3 3 3 2" xfId="41303"/>
    <cellStyle name="Comma 8 2 3 3 4" xfId="32737"/>
    <cellStyle name="Comma 8 2 3 3 5" xfId="34879"/>
    <cellStyle name="Comma 8 2 3 4" xfId="8884"/>
    <cellStyle name="Comma 8 2 3 4 2" xfId="43443"/>
    <cellStyle name="Comma 8 2 3 4 3" xfId="37019"/>
    <cellStyle name="Comma 8 2 3 5" xfId="21873"/>
    <cellStyle name="Comma 8 2 3 5 2" xfId="40236"/>
    <cellStyle name="Comma 8 2 3 6" xfId="22947"/>
    <cellStyle name="Comma 8 2 3 7" xfId="24014"/>
    <cellStyle name="Comma 8 2 3 8" xfId="27268"/>
    <cellStyle name="Comma 8 2 3 9" xfId="30601"/>
    <cellStyle name="Comma 8 2 4" xfId="1590"/>
    <cellStyle name="Comma 8 2 4 10" xfId="33813"/>
    <cellStyle name="Comma 8 2 4 2" xfId="10359"/>
    <cellStyle name="Comma 8 2 4 2 2" xfId="26159"/>
    <cellStyle name="Comma 8 2 4 2 2 2" xfId="45586"/>
    <cellStyle name="Comma 8 2 4 2 2 3" xfId="39163"/>
    <cellStyle name="Comma 8 2 4 2 3" xfId="28337"/>
    <cellStyle name="Comma 8 2 4 2 3 2" xfId="42379"/>
    <cellStyle name="Comma 8 2 4 2 4" xfId="31672"/>
    <cellStyle name="Comma 8 2 4 2 5" xfId="35955"/>
    <cellStyle name="Comma 8 2 4 3" xfId="16067"/>
    <cellStyle name="Comma 8 2 4 3 2" xfId="25082"/>
    <cellStyle name="Comma 8 2 4 3 2 2" xfId="44511"/>
    <cellStyle name="Comma 8 2 4 3 2 3" xfId="38088"/>
    <cellStyle name="Comma 8 2 4 3 3" xfId="29403"/>
    <cellStyle name="Comma 8 2 4 3 3 2" xfId="41304"/>
    <cellStyle name="Comma 8 2 4 3 4" xfId="32738"/>
    <cellStyle name="Comma 8 2 4 3 5" xfId="34880"/>
    <cellStyle name="Comma 8 2 4 4" xfId="8885"/>
    <cellStyle name="Comma 8 2 4 4 2" xfId="43444"/>
    <cellStyle name="Comma 8 2 4 4 3" xfId="37020"/>
    <cellStyle name="Comma 8 2 4 5" xfId="21874"/>
    <cellStyle name="Comma 8 2 4 5 2" xfId="40237"/>
    <cellStyle name="Comma 8 2 4 6" xfId="22948"/>
    <cellStyle name="Comma 8 2 4 7" xfId="24015"/>
    <cellStyle name="Comma 8 2 4 8" xfId="27269"/>
    <cellStyle name="Comma 8 2 4 9" xfId="30602"/>
    <cellStyle name="Comma 8 2 5" xfId="1591"/>
    <cellStyle name="Comma 8 2 5 10" xfId="33814"/>
    <cellStyle name="Comma 8 2 5 2" xfId="10360"/>
    <cellStyle name="Comma 8 2 5 2 2" xfId="26160"/>
    <cellStyle name="Comma 8 2 5 2 2 2" xfId="45587"/>
    <cellStyle name="Comma 8 2 5 2 2 3" xfId="39164"/>
    <cellStyle name="Comma 8 2 5 2 3" xfId="28338"/>
    <cellStyle name="Comma 8 2 5 2 3 2" xfId="42380"/>
    <cellStyle name="Comma 8 2 5 2 4" xfId="31673"/>
    <cellStyle name="Comma 8 2 5 2 5" xfId="35956"/>
    <cellStyle name="Comma 8 2 5 3" xfId="16068"/>
    <cellStyle name="Comma 8 2 5 3 2" xfId="25083"/>
    <cellStyle name="Comma 8 2 5 3 2 2" xfId="44512"/>
    <cellStyle name="Comma 8 2 5 3 2 3" xfId="38089"/>
    <cellStyle name="Comma 8 2 5 3 3" xfId="29404"/>
    <cellStyle name="Comma 8 2 5 3 3 2" xfId="41305"/>
    <cellStyle name="Comma 8 2 5 3 4" xfId="32739"/>
    <cellStyle name="Comma 8 2 5 3 5" xfId="34881"/>
    <cellStyle name="Comma 8 2 5 4" xfId="8886"/>
    <cellStyle name="Comma 8 2 5 4 2" xfId="43445"/>
    <cellStyle name="Comma 8 2 5 4 3" xfId="37021"/>
    <cellStyle name="Comma 8 2 5 5" xfId="21875"/>
    <cellStyle name="Comma 8 2 5 5 2" xfId="40238"/>
    <cellStyle name="Comma 8 2 5 6" xfId="22949"/>
    <cellStyle name="Comma 8 2 5 7" xfId="24016"/>
    <cellStyle name="Comma 8 2 5 8" xfId="27270"/>
    <cellStyle name="Comma 8 2 5 9" xfId="30603"/>
    <cellStyle name="Comma 8 2 6" xfId="10356"/>
    <cellStyle name="Comma 8 2 6 2" xfId="26156"/>
    <cellStyle name="Comma 8 2 6 2 2" xfId="45583"/>
    <cellStyle name="Comma 8 2 6 2 3" xfId="39160"/>
    <cellStyle name="Comma 8 2 6 3" xfId="28334"/>
    <cellStyle name="Comma 8 2 6 3 2" xfId="42376"/>
    <cellStyle name="Comma 8 2 6 4" xfId="31669"/>
    <cellStyle name="Comma 8 2 6 5" xfId="35952"/>
    <cellStyle name="Comma 8 2 7" xfId="16064"/>
    <cellStyle name="Comma 8 2 7 2" xfId="25079"/>
    <cellStyle name="Comma 8 2 7 2 2" xfId="44508"/>
    <cellStyle name="Comma 8 2 7 2 3" xfId="38085"/>
    <cellStyle name="Comma 8 2 7 3" xfId="29400"/>
    <cellStyle name="Comma 8 2 7 3 2" xfId="41301"/>
    <cellStyle name="Comma 8 2 7 4" xfId="32735"/>
    <cellStyle name="Comma 8 2 7 5" xfId="34877"/>
    <cellStyle name="Comma 8 2 8" xfId="8882"/>
    <cellStyle name="Comma 8 2 8 2" xfId="43441"/>
    <cellStyle name="Comma 8 2 8 3" xfId="37017"/>
    <cellStyle name="Comma 8 2 9" xfId="21871"/>
    <cellStyle name="Comma 8 2 9 2" xfId="40234"/>
    <cellStyle name="Comma 8 3" xfId="1592"/>
    <cellStyle name="Comma 8 3 10" xfId="22950"/>
    <cellStyle name="Comma 8 3 11" xfId="24017"/>
    <cellStyle name="Comma 8 3 12" xfId="27271"/>
    <cellStyle name="Comma 8 3 13" xfId="30604"/>
    <cellStyle name="Comma 8 3 14" xfId="33815"/>
    <cellStyle name="Comma 8 3 2" xfId="1593"/>
    <cellStyle name="Comma 8 3 2 10" xfId="33816"/>
    <cellStyle name="Comma 8 3 2 2" xfId="10362"/>
    <cellStyle name="Comma 8 3 2 2 2" xfId="26162"/>
    <cellStyle name="Comma 8 3 2 2 2 2" xfId="45589"/>
    <cellStyle name="Comma 8 3 2 2 2 3" xfId="39166"/>
    <cellStyle name="Comma 8 3 2 2 3" xfId="28340"/>
    <cellStyle name="Comma 8 3 2 2 3 2" xfId="42382"/>
    <cellStyle name="Comma 8 3 2 2 4" xfId="31675"/>
    <cellStyle name="Comma 8 3 2 2 5" xfId="35958"/>
    <cellStyle name="Comma 8 3 2 3" xfId="16070"/>
    <cellStyle name="Comma 8 3 2 3 2" xfId="25085"/>
    <cellStyle name="Comma 8 3 2 3 2 2" xfId="44514"/>
    <cellStyle name="Comma 8 3 2 3 2 3" xfId="38091"/>
    <cellStyle name="Comma 8 3 2 3 3" xfId="29406"/>
    <cellStyle name="Comma 8 3 2 3 3 2" xfId="41307"/>
    <cellStyle name="Comma 8 3 2 3 4" xfId="32741"/>
    <cellStyle name="Comma 8 3 2 3 5" xfId="34883"/>
    <cellStyle name="Comma 8 3 2 4" xfId="8888"/>
    <cellStyle name="Comma 8 3 2 4 2" xfId="43447"/>
    <cellStyle name="Comma 8 3 2 4 3" xfId="37023"/>
    <cellStyle name="Comma 8 3 2 5" xfId="21877"/>
    <cellStyle name="Comma 8 3 2 5 2" xfId="40240"/>
    <cellStyle name="Comma 8 3 2 6" xfId="22951"/>
    <cellStyle name="Comma 8 3 2 7" xfId="24018"/>
    <cellStyle name="Comma 8 3 2 8" xfId="27272"/>
    <cellStyle name="Comma 8 3 2 9" xfId="30605"/>
    <cellStyle name="Comma 8 3 3" xfId="1594"/>
    <cellStyle name="Comma 8 3 3 10" xfId="33817"/>
    <cellStyle name="Comma 8 3 3 2" xfId="10363"/>
    <cellStyle name="Comma 8 3 3 2 2" xfId="26163"/>
    <cellStyle name="Comma 8 3 3 2 2 2" xfId="45590"/>
    <cellStyle name="Comma 8 3 3 2 2 3" xfId="39167"/>
    <cellStyle name="Comma 8 3 3 2 3" xfId="28341"/>
    <cellStyle name="Comma 8 3 3 2 3 2" xfId="42383"/>
    <cellStyle name="Comma 8 3 3 2 4" xfId="31676"/>
    <cellStyle name="Comma 8 3 3 2 5" xfId="35959"/>
    <cellStyle name="Comma 8 3 3 3" xfId="16071"/>
    <cellStyle name="Comma 8 3 3 3 2" xfId="25086"/>
    <cellStyle name="Comma 8 3 3 3 2 2" xfId="44515"/>
    <cellStyle name="Comma 8 3 3 3 2 3" xfId="38092"/>
    <cellStyle name="Comma 8 3 3 3 3" xfId="29407"/>
    <cellStyle name="Comma 8 3 3 3 3 2" xfId="41308"/>
    <cellStyle name="Comma 8 3 3 3 4" xfId="32742"/>
    <cellStyle name="Comma 8 3 3 3 5" xfId="34884"/>
    <cellStyle name="Comma 8 3 3 4" xfId="8889"/>
    <cellStyle name="Comma 8 3 3 4 2" xfId="43448"/>
    <cellStyle name="Comma 8 3 3 4 3" xfId="37024"/>
    <cellStyle name="Comma 8 3 3 5" xfId="21878"/>
    <cellStyle name="Comma 8 3 3 5 2" xfId="40241"/>
    <cellStyle name="Comma 8 3 3 6" xfId="22952"/>
    <cellStyle name="Comma 8 3 3 7" xfId="24019"/>
    <cellStyle name="Comma 8 3 3 8" xfId="27273"/>
    <cellStyle name="Comma 8 3 3 9" xfId="30606"/>
    <cellStyle name="Comma 8 3 4" xfId="1595"/>
    <cellStyle name="Comma 8 3 4 10" xfId="33818"/>
    <cellStyle name="Comma 8 3 4 2" xfId="10364"/>
    <cellStyle name="Comma 8 3 4 2 2" xfId="26164"/>
    <cellStyle name="Comma 8 3 4 2 2 2" xfId="45591"/>
    <cellStyle name="Comma 8 3 4 2 2 3" xfId="39168"/>
    <cellStyle name="Comma 8 3 4 2 3" xfId="28342"/>
    <cellStyle name="Comma 8 3 4 2 3 2" xfId="42384"/>
    <cellStyle name="Comma 8 3 4 2 4" xfId="31677"/>
    <cellStyle name="Comma 8 3 4 2 5" xfId="35960"/>
    <cellStyle name="Comma 8 3 4 3" xfId="16072"/>
    <cellStyle name="Comma 8 3 4 3 2" xfId="25087"/>
    <cellStyle name="Comma 8 3 4 3 2 2" xfId="44516"/>
    <cellStyle name="Comma 8 3 4 3 2 3" xfId="38093"/>
    <cellStyle name="Comma 8 3 4 3 3" xfId="29408"/>
    <cellStyle name="Comma 8 3 4 3 3 2" xfId="41309"/>
    <cellStyle name="Comma 8 3 4 3 4" xfId="32743"/>
    <cellStyle name="Comma 8 3 4 3 5" xfId="34885"/>
    <cellStyle name="Comma 8 3 4 4" xfId="8890"/>
    <cellStyle name="Comma 8 3 4 4 2" xfId="43449"/>
    <cellStyle name="Comma 8 3 4 4 3" xfId="37025"/>
    <cellStyle name="Comma 8 3 4 5" xfId="21879"/>
    <cellStyle name="Comma 8 3 4 5 2" xfId="40242"/>
    <cellStyle name="Comma 8 3 4 6" xfId="22953"/>
    <cellStyle name="Comma 8 3 4 7" xfId="24020"/>
    <cellStyle name="Comma 8 3 4 8" xfId="27274"/>
    <cellStyle name="Comma 8 3 4 9" xfId="30607"/>
    <cellStyle name="Comma 8 3 5" xfId="1596"/>
    <cellStyle name="Comma 8 3 5 10" xfId="33819"/>
    <cellStyle name="Comma 8 3 5 2" xfId="10365"/>
    <cellStyle name="Comma 8 3 5 2 2" xfId="26165"/>
    <cellStyle name="Comma 8 3 5 2 2 2" xfId="45592"/>
    <cellStyle name="Comma 8 3 5 2 2 3" xfId="39169"/>
    <cellStyle name="Comma 8 3 5 2 3" xfId="28343"/>
    <cellStyle name="Comma 8 3 5 2 3 2" xfId="42385"/>
    <cellStyle name="Comma 8 3 5 2 4" xfId="31678"/>
    <cellStyle name="Comma 8 3 5 2 5" xfId="35961"/>
    <cellStyle name="Comma 8 3 5 3" xfId="16073"/>
    <cellStyle name="Comma 8 3 5 3 2" xfId="25088"/>
    <cellStyle name="Comma 8 3 5 3 2 2" xfId="44517"/>
    <cellStyle name="Comma 8 3 5 3 2 3" xfId="38094"/>
    <cellStyle name="Comma 8 3 5 3 3" xfId="29409"/>
    <cellStyle name="Comma 8 3 5 3 3 2" xfId="41310"/>
    <cellStyle name="Comma 8 3 5 3 4" xfId="32744"/>
    <cellStyle name="Comma 8 3 5 3 5" xfId="34886"/>
    <cellStyle name="Comma 8 3 5 4" xfId="8891"/>
    <cellStyle name="Comma 8 3 5 4 2" xfId="43450"/>
    <cellStyle name="Comma 8 3 5 4 3" xfId="37026"/>
    <cellStyle name="Comma 8 3 5 5" xfId="21880"/>
    <cellStyle name="Comma 8 3 5 5 2" xfId="40243"/>
    <cellStyle name="Comma 8 3 5 6" xfId="22954"/>
    <cellStyle name="Comma 8 3 5 7" xfId="24021"/>
    <cellStyle name="Comma 8 3 5 8" xfId="27275"/>
    <cellStyle name="Comma 8 3 5 9" xfId="30608"/>
    <cellStyle name="Comma 8 3 6" xfId="10361"/>
    <cellStyle name="Comma 8 3 6 2" xfId="26161"/>
    <cellStyle name="Comma 8 3 6 2 2" xfId="45588"/>
    <cellStyle name="Comma 8 3 6 2 3" xfId="39165"/>
    <cellStyle name="Comma 8 3 6 3" xfId="28339"/>
    <cellStyle name="Comma 8 3 6 3 2" xfId="42381"/>
    <cellStyle name="Comma 8 3 6 4" xfId="31674"/>
    <cellStyle name="Comma 8 3 6 5" xfId="35957"/>
    <cellStyle name="Comma 8 3 7" xfId="16069"/>
    <cellStyle name="Comma 8 3 7 2" xfId="25084"/>
    <cellStyle name="Comma 8 3 7 2 2" xfId="44513"/>
    <cellStyle name="Comma 8 3 7 2 3" xfId="38090"/>
    <cellStyle name="Comma 8 3 7 3" xfId="29405"/>
    <cellStyle name="Comma 8 3 7 3 2" xfId="41306"/>
    <cellStyle name="Comma 8 3 7 4" xfId="32740"/>
    <cellStyle name="Comma 8 3 7 5" xfId="34882"/>
    <cellStyle name="Comma 8 3 8" xfId="8887"/>
    <cellStyle name="Comma 8 3 8 2" xfId="43446"/>
    <cellStyle name="Comma 8 3 8 3" xfId="37022"/>
    <cellStyle name="Comma 8 3 9" xfId="21876"/>
    <cellStyle name="Comma 8 3 9 2" xfId="40239"/>
    <cellStyle name="Comma 8 4" xfId="1597"/>
    <cellStyle name="Comma 8 4 10" xfId="33820"/>
    <cellStyle name="Comma 8 4 2" xfId="10366"/>
    <cellStyle name="Comma 8 4 2 2" xfId="26166"/>
    <cellStyle name="Comma 8 4 2 2 2" xfId="45593"/>
    <cellStyle name="Comma 8 4 2 2 3" xfId="39170"/>
    <cellStyle name="Comma 8 4 2 3" xfId="28344"/>
    <cellStyle name="Comma 8 4 2 3 2" xfId="42386"/>
    <cellStyle name="Comma 8 4 2 4" xfId="31679"/>
    <cellStyle name="Comma 8 4 2 5" xfId="35962"/>
    <cellStyle name="Comma 8 4 3" xfId="16074"/>
    <cellStyle name="Comma 8 4 3 2" xfId="25089"/>
    <cellStyle name="Comma 8 4 3 2 2" xfId="44518"/>
    <cellStyle name="Comma 8 4 3 2 3" xfId="38095"/>
    <cellStyle name="Comma 8 4 3 3" xfId="29410"/>
    <cellStyle name="Comma 8 4 3 3 2" xfId="41311"/>
    <cellStyle name="Comma 8 4 3 4" xfId="32745"/>
    <cellStyle name="Comma 8 4 3 5" xfId="34887"/>
    <cellStyle name="Comma 8 4 4" xfId="8892"/>
    <cellStyle name="Comma 8 4 4 2" xfId="43451"/>
    <cellStyle name="Comma 8 4 4 3" xfId="37027"/>
    <cellStyle name="Comma 8 4 5" xfId="21881"/>
    <cellStyle name="Comma 8 4 5 2" xfId="40244"/>
    <cellStyle name="Comma 8 4 6" xfId="22955"/>
    <cellStyle name="Comma 8 4 7" xfId="24022"/>
    <cellStyle name="Comma 8 4 8" xfId="27276"/>
    <cellStyle name="Comma 8 4 9" xfId="30609"/>
    <cellStyle name="Comma 8 5" xfId="1598"/>
    <cellStyle name="Comma 8 5 10" xfId="33821"/>
    <cellStyle name="Comma 8 5 2" xfId="10367"/>
    <cellStyle name="Comma 8 5 2 2" xfId="26167"/>
    <cellStyle name="Comma 8 5 2 2 2" xfId="45594"/>
    <cellStyle name="Comma 8 5 2 2 3" xfId="39171"/>
    <cellStyle name="Comma 8 5 2 3" xfId="28345"/>
    <cellStyle name="Comma 8 5 2 3 2" xfId="42387"/>
    <cellStyle name="Comma 8 5 2 4" xfId="31680"/>
    <cellStyle name="Comma 8 5 2 5" xfId="35963"/>
    <cellStyle name="Comma 8 5 3" xfId="16075"/>
    <cellStyle name="Comma 8 5 3 2" xfId="25090"/>
    <cellStyle name="Comma 8 5 3 2 2" xfId="44519"/>
    <cellStyle name="Comma 8 5 3 2 3" xfId="38096"/>
    <cellStyle name="Comma 8 5 3 3" xfId="29411"/>
    <cellStyle name="Comma 8 5 3 3 2" xfId="41312"/>
    <cellStyle name="Comma 8 5 3 4" xfId="32746"/>
    <cellStyle name="Comma 8 5 3 5" xfId="34888"/>
    <cellStyle name="Comma 8 5 4" xfId="8893"/>
    <cellStyle name="Comma 8 5 4 2" xfId="43452"/>
    <cellStyle name="Comma 8 5 4 3" xfId="37028"/>
    <cellStyle name="Comma 8 5 5" xfId="21882"/>
    <cellStyle name="Comma 8 5 5 2" xfId="40245"/>
    <cellStyle name="Comma 8 5 6" xfId="22956"/>
    <cellStyle name="Comma 8 5 7" xfId="24023"/>
    <cellStyle name="Comma 8 5 8" xfId="27277"/>
    <cellStyle name="Comma 8 5 9" xfId="30610"/>
    <cellStyle name="Comma 8 6" xfId="1599"/>
    <cellStyle name="Comma 8 6 10" xfId="33822"/>
    <cellStyle name="Comma 8 6 2" xfId="10368"/>
    <cellStyle name="Comma 8 6 2 2" xfId="26168"/>
    <cellStyle name="Comma 8 6 2 2 2" xfId="45595"/>
    <cellStyle name="Comma 8 6 2 2 3" xfId="39172"/>
    <cellStyle name="Comma 8 6 2 3" xfId="28346"/>
    <cellStyle name="Comma 8 6 2 3 2" xfId="42388"/>
    <cellStyle name="Comma 8 6 2 4" xfId="31681"/>
    <cellStyle name="Comma 8 6 2 5" xfId="35964"/>
    <cellStyle name="Comma 8 6 3" xfId="16076"/>
    <cellStyle name="Comma 8 6 3 2" xfId="25091"/>
    <cellStyle name="Comma 8 6 3 2 2" xfId="44520"/>
    <cellStyle name="Comma 8 6 3 2 3" xfId="38097"/>
    <cellStyle name="Comma 8 6 3 3" xfId="29412"/>
    <cellStyle name="Comma 8 6 3 3 2" xfId="41313"/>
    <cellStyle name="Comma 8 6 3 4" xfId="32747"/>
    <cellStyle name="Comma 8 6 3 5" xfId="34889"/>
    <cellStyle name="Comma 8 6 4" xfId="8894"/>
    <cellStyle name="Comma 8 6 4 2" xfId="43453"/>
    <cellStyle name="Comma 8 6 4 3" xfId="37029"/>
    <cellStyle name="Comma 8 6 5" xfId="21883"/>
    <cellStyle name="Comma 8 6 5 2" xfId="40246"/>
    <cellStyle name="Comma 8 6 6" xfId="22957"/>
    <cellStyle name="Comma 8 6 7" xfId="24024"/>
    <cellStyle name="Comma 8 6 8" xfId="27278"/>
    <cellStyle name="Comma 8 6 9" xfId="30611"/>
    <cellStyle name="Comma 8 7" xfId="1600"/>
    <cellStyle name="Comma 8 7 10" xfId="33823"/>
    <cellStyle name="Comma 8 7 2" xfId="10369"/>
    <cellStyle name="Comma 8 7 2 2" xfId="26169"/>
    <cellStyle name="Comma 8 7 2 2 2" xfId="45596"/>
    <cellStyle name="Comma 8 7 2 2 3" xfId="39173"/>
    <cellStyle name="Comma 8 7 2 3" xfId="28347"/>
    <cellStyle name="Comma 8 7 2 3 2" xfId="42389"/>
    <cellStyle name="Comma 8 7 2 4" xfId="31682"/>
    <cellStyle name="Comma 8 7 2 5" xfId="35965"/>
    <cellStyle name="Comma 8 7 3" xfId="16077"/>
    <cellStyle name="Comma 8 7 3 2" xfId="25092"/>
    <cellStyle name="Comma 8 7 3 2 2" xfId="44521"/>
    <cellStyle name="Comma 8 7 3 2 3" xfId="38098"/>
    <cellStyle name="Comma 8 7 3 3" xfId="29413"/>
    <cellStyle name="Comma 8 7 3 3 2" xfId="41314"/>
    <cellStyle name="Comma 8 7 3 4" xfId="32748"/>
    <cellStyle name="Comma 8 7 3 5" xfId="34890"/>
    <cellStyle name="Comma 8 7 4" xfId="8895"/>
    <cellStyle name="Comma 8 7 4 2" xfId="43454"/>
    <cellStyle name="Comma 8 7 4 3" xfId="37030"/>
    <cellStyle name="Comma 8 7 5" xfId="21884"/>
    <cellStyle name="Comma 8 7 5 2" xfId="40247"/>
    <cellStyle name="Comma 8 7 6" xfId="22958"/>
    <cellStyle name="Comma 8 7 7" xfId="24025"/>
    <cellStyle name="Comma 8 7 8" xfId="27279"/>
    <cellStyle name="Comma 8 7 9" xfId="30612"/>
    <cellStyle name="Comma 8 8" xfId="1601"/>
    <cellStyle name="Comma 8 8 10" xfId="33824"/>
    <cellStyle name="Comma 8 8 2" xfId="10370"/>
    <cellStyle name="Comma 8 8 2 2" xfId="26170"/>
    <cellStyle name="Comma 8 8 2 2 2" xfId="45597"/>
    <cellStyle name="Comma 8 8 2 2 3" xfId="39174"/>
    <cellStyle name="Comma 8 8 2 3" xfId="28348"/>
    <cellStyle name="Comma 8 8 2 3 2" xfId="42390"/>
    <cellStyle name="Comma 8 8 2 4" xfId="31683"/>
    <cellStyle name="Comma 8 8 2 5" xfId="35966"/>
    <cellStyle name="Comma 8 8 3" xfId="16078"/>
    <cellStyle name="Comma 8 8 3 2" xfId="25093"/>
    <cellStyle name="Comma 8 8 3 2 2" xfId="44522"/>
    <cellStyle name="Comma 8 8 3 2 3" xfId="38099"/>
    <cellStyle name="Comma 8 8 3 3" xfId="29414"/>
    <cellStyle name="Comma 8 8 3 3 2" xfId="41315"/>
    <cellStyle name="Comma 8 8 3 4" xfId="32749"/>
    <cellStyle name="Comma 8 8 3 5" xfId="34891"/>
    <cellStyle name="Comma 8 8 4" xfId="8896"/>
    <cellStyle name="Comma 8 8 4 2" xfId="43455"/>
    <cellStyle name="Comma 8 8 4 3" xfId="37031"/>
    <cellStyle name="Comma 8 8 5" xfId="21885"/>
    <cellStyle name="Comma 8 8 5 2" xfId="40248"/>
    <cellStyle name="Comma 8 8 6" xfId="22959"/>
    <cellStyle name="Comma 8 8 7" xfId="24026"/>
    <cellStyle name="Comma 8 8 8" xfId="27280"/>
    <cellStyle name="Comma 8 8 9" xfId="30613"/>
    <cellStyle name="Comma 8 9" xfId="9162"/>
    <cellStyle name="Comma 8 9 2" xfId="25216"/>
    <cellStyle name="Comma 8 9 2 2" xfId="44643"/>
    <cellStyle name="Comma 8 9 2 3" xfId="38220"/>
    <cellStyle name="Comma 8 9 3" xfId="27395"/>
    <cellStyle name="Comma 8 9 3 2" xfId="41436"/>
    <cellStyle name="Comma 8 9 4" xfId="30730"/>
    <cellStyle name="Comma 8 9 5" xfId="35012"/>
    <cellStyle name="Comma 9" xfId="477"/>
    <cellStyle name="Commentaire" xfId="308"/>
    <cellStyle name="CountryTitle" xfId="29506"/>
    <cellStyle name="Currency" xfId="89"/>
    <cellStyle name="Currency 10" xfId="21899"/>
    <cellStyle name="Currency 10 2" xfId="42398"/>
    <cellStyle name="Currency 10 3" xfId="35974"/>
    <cellStyle name="Currency 11" xfId="22968"/>
    <cellStyle name="Currency 11 2" xfId="39191"/>
    <cellStyle name="Currency 12" xfId="32766"/>
    <cellStyle name="Currency 2" xfId="137"/>
    <cellStyle name="Currency 2 2" xfId="6475"/>
    <cellStyle name="Currency 2 2 10" xfId="33825"/>
    <cellStyle name="Currency 2 2 2" xfId="14818"/>
    <cellStyle name="Currency 2 2 2 2" xfId="26172"/>
    <cellStyle name="Currency 2 2 2 2 2" xfId="45599"/>
    <cellStyle name="Currency 2 2 2 2 3" xfId="39176"/>
    <cellStyle name="Currency 2 2 2 3" xfId="28350"/>
    <cellStyle name="Currency 2 2 2 3 2" xfId="42392"/>
    <cellStyle name="Currency 2 2 2 4" xfId="31685"/>
    <cellStyle name="Currency 2 2 2 5" xfId="35968"/>
    <cellStyle name="Currency 2 2 3" xfId="16079"/>
    <cellStyle name="Currency 2 2 3 2" xfId="25094"/>
    <cellStyle name="Currency 2 2 3 2 2" xfId="44523"/>
    <cellStyle name="Currency 2 2 3 2 3" xfId="38100"/>
    <cellStyle name="Currency 2 2 3 3" xfId="29415"/>
    <cellStyle name="Currency 2 2 3 3 2" xfId="41316"/>
    <cellStyle name="Currency 2 2 3 4" xfId="32750"/>
    <cellStyle name="Currency 2 2 3 5" xfId="34892"/>
    <cellStyle name="Currency 2 2 4" xfId="8897"/>
    <cellStyle name="Currency 2 2 4 2" xfId="43456"/>
    <cellStyle name="Currency 2 2 4 3" xfId="37032"/>
    <cellStyle name="Currency 2 2 5" xfId="21886"/>
    <cellStyle name="Currency 2 2 5 2" xfId="40249"/>
    <cellStyle name="Currency 2 2 6" xfId="22960"/>
    <cellStyle name="Currency 2 2 7" xfId="24027"/>
    <cellStyle name="Currency 2 2 8" xfId="27281"/>
    <cellStyle name="Currency 2 2 9" xfId="30614"/>
    <cellStyle name="Currency 2 3" xfId="8944"/>
    <cellStyle name="Currency 2 3 2" xfId="25107"/>
    <cellStyle name="Currency 2 3 2 2" xfId="44534"/>
    <cellStyle name="Currency 2 3 2 3" xfId="38111"/>
    <cellStyle name="Currency 2 3 3" xfId="27286"/>
    <cellStyle name="Currency 2 3 3 2" xfId="41327"/>
    <cellStyle name="Currency 2 3 4" xfId="30621"/>
    <cellStyle name="Currency 2 3 5" xfId="34903"/>
    <cellStyle name="Currency 2 4" xfId="7806"/>
    <cellStyle name="Currency 2 4 2" xfId="24032"/>
    <cellStyle name="Currency 2 4 2 2" xfId="43461"/>
    <cellStyle name="Currency 2 4 2 3" xfId="37038"/>
    <cellStyle name="Currency 2 4 3" xfId="40254"/>
    <cellStyle name="Currency 2 4 4" xfId="33830"/>
    <cellStyle name="Currency 3" xfId="92"/>
    <cellStyle name="Currency 3 2" xfId="309"/>
    <cellStyle name="Currency 3 2 10" xfId="32876"/>
    <cellStyle name="Currency 3 2 2" xfId="9163"/>
    <cellStyle name="Currency 3 2 2 2" xfId="25217"/>
    <cellStyle name="Currency 3 2 2 2 2" xfId="44644"/>
    <cellStyle name="Currency 3 2 2 2 3" xfId="38221"/>
    <cellStyle name="Currency 3 2 2 3" xfId="27396"/>
    <cellStyle name="Currency 3 2 2 3 2" xfId="41437"/>
    <cellStyle name="Currency 3 2 2 4" xfId="30731"/>
    <cellStyle name="Currency 3 2 2 5" xfId="35013"/>
    <cellStyle name="Currency 3 2 3" xfId="16080"/>
    <cellStyle name="Currency 3 2 3 2" xfId="25095"/>
    <cellStyle name="Currency 3 2 3 2 2" xfId="44524"/>
    <cellStyle name="Currency 3 2 3 2 3" xfId="38101"/>
    <cellStyle name="Currency 3 2 3 3" xfId="29416"/>
    <cellStyle name="Currency 3 2 3 3 2" xfId="41317"/>
    <cellStyle name="Currency 3 2 3 4" xfId="32751"/>
    <cellStyle name="Currency 3 2 3 5" xfId="34893"/>
    <cellStyle name="Currency 3 2 4" xfId="8898"/>
    <cellStyle name="Currency 3 2 4 2" xfId="42507"/>
    <cellStyle name="Currency 3 2 4 3" xfId="36083"/>
    <cellStyle name="Currency 3 2 5" xfId="21887"/>
    <cellStyle name="Currency 3 2 5 2" xfId="39300"/>
    <cellStyle name="Currency 3 2 6" xfId="22961"/>
    <cellStyle name="Currency 3 2 7" xfId="23078"/>
    <cellStyle name="Currency 3 2 8" xfId="27282"/>
    <cellStyle name="Currency 3 2 9" xfId="30615"/>
    <cellStyle name="Currency 3 3" xfId="8986"/>
    <cellStyle name="Currency 3 3 2" xfId="25110"/>
    <cellStyle name="Currency 3 3 2 2" xfId="44537"/>
    <cellStyle name="Currency 3 3 2 3" xfId="38114"/>
    <cellStyle name="Currency 3 3 3" xfId="27289"/>
    <cellStyle name="Currency 3 3 3 2" xfId="41330"/>
    <cellStyle name="Currency 3 3 4" xfId="30624"/>
    <cellStyle name="Currency 3 3 5" xfId="34906"/>
    <cellStyle name="Currency 3 4" xfId="14956"/>
    <cellStyle name="Currency 3 4 2" xfId="24034"/>
    <cellStyle name="Currency 3 4 2 2" xfId="43463"/>
    <cellStyle name="Currency 3 4 2 3" xfId="37040"/>
    <cellStyle name="Currency 3 4 3" xfId="28358"/>
    <cellStyle name="Currency 3 4 3 2" xfId="40256"/>
    <cellStyle name="Currency 3 4 4" xfId="31693"/>
    <cellStyle name="Currency 3 4 5" xfId="33832"/>
    <cellStyle name="Currency 3 5" xfId="7809"/>
    <cellStyle name="Currency 3 6" xfId="20830"/>
    <cellStyle name="Currency 3 7" xfId="21903"/>
    <cellStyle name="Currency 3 8" xfId="26223"/>
    <cellStyle name="Currency 3 9" xfId="29556"/>
    <cellStyle name="Currency 3_Data - Monthly Commodity Prices" xfId="6516"/>
    <cellStyle name="Currency 4" xfId="1602"/>
    <cellStyle name="Currency 4 2" xfId="10371"/>
    <cellStyle name="Currency 4 2 2" xfId="26171"/>
    <cellStyle name="Currency 4 2 2 2" xfId="45598"/>
    <cellStyle name="Currency 4 2 2 3" xfId="39175"/>
    <cellStyle name="Currency 4 2 3" xfId="28349"/>
    <cellStyle name="Currency 4 2 3 2" xfId="42391"/>
    <cellStyle name="Currency 4 2 4" xfId="31684"/>
    <cellStyle name="Currency 4 2 5" xfId="35967"/>
    <cellStyle name="Currency 4 3" xfId="8899"/>
    <cellStyle name="Currency 4 3 2" xfId="25096"/>
    <cellStyle name="Currency 4 3 2 2" xfId="44525"/>
    <cellStyle name="Currency 4 3 2 3" xfId="38102"/>
    <cellStyle name="Currency 4 3 3" xfId="41318"/>
    <cellStyle name="Currency 4 3 4" xfId="34894"/>
    <cellStyle name="Currency 5" xfId="6536"/>
    <cellStyle name="Currency 5 10" xfId="33826"/>
    <cellStyle name="Currency 5 2" xfId="14851"/>
    <cellStyle name="Currency 5 2 2" xfId="26175"/>
    <cellStyle name="Currency 5 2 2 2" xfId="45602"/>
    <cellStyle name="Currency 5 2 2 3" xfId="39179"/>
    <cellStyle name="Currency 5 2 3" xfId="28353"/>
    <cellStyle name="Currency 5 2 3 2" xfId="42395"/>
    <cellStyle name="Currency 5 2 4" xfId="31688"/>
    <cellStyle name="Currency 5 2 5" xfId="35971"/>
    <cellStyle name="Currency 5 3" xfId="20787"/>
    <cellStyle name="Currency 5 3 2" xfId="25101"/>
    <cellStyle name="Currency 5 3 2 2" xfId="44529"/>
    <cellStyle name="Currency 5 3 2 3" xfId="38106"/>
    <cellStyle name="Currency 5 3 3" xfId="29420"/>
    <cellStyle name="Currency 5 3 3 2" xfId="41322"/>
    <cellStyle name="Currency 5 3 4" xfId="32755"/>
    <cellStyle name="Currency 5 3 5" xfId="34898"/>
    <cellStyle name="Currency 5 4" xfId="7839"/>
    <cellStyle name="Currency 5 4 2" xfId="43457"/>
    <cellStyle name="Currency 5 4 3" xfId="37033"/>
    <cellStyle name="Currency 5 5" xfId="21890"/>
    <cellStyle name="Currency 5 5 2" xfId="40250"/>
    <cellStyle name="Currency 5 6" xfId="22963"/>
    <cellStyle name="Currency 5 7" xfId="24028"/>
    <cellStyle name="Currency 5 8" xfId="26228"/>
    <cellStyle name="Currency 5 9" xfId="29561"/>
    <cellStyle name="Currency 6" xfId="8928"/>
    <cellStyle name="Currency 6 2" xfId="25105"/>
    <cellStyle name="Currency 6 2 2" xfId="44532"/>
    <cellStyle name="Currency 6 2 3" xfId="38109"/>
    <cellStyle name="Currency 6 3" xfId="27284"/>
    <cellStyle name="Currency 6 3 2" xfId="41325"/>
    <cellStyle name="Currency 6 4" xfId="30619"/>
    <cellStyle name="Currency 6 5" xfId="34901"/>
    <cellStyle name="Currency 7" xfId="14855"/>
    <cellStyle name="Currency 7 2" xfId="25218"/>
    <cellStyle name="Currency 7 2 2" xfId="44645"/>
    <cellStyle name="Currency 7 2 3" xfId="38222"/>
    <cellStyle name="Currency 7 3" xfId="28355"/>
    <cellStyle name="Currency 7 3 2" xfId="41438"/>
    <cellStyle name="Currency 7 4" xfId="31690"/>
    <cellStyle name="Currency 7 5" xfId="35014"/>
    <cellStyle name="Currency 8" xfId="7803"/>
    <cellStyle name="Currency 8 2" xfId="26176"/>
    <cellStyle name="Currency 8 2 2" xfId="45603"/>
    <cellStyle name="Currency 8 2 3" xfId="39180"/>
    <cellStyle name="Currency 8 3" xfId="42396"/>
    <cellStyle name="Currency 8 4" xfId="35972"/>
    <cellStyle name="Currency 9" xfId="20826"/>
    <cellStyle name="Currency 9 2" xfId="24030"/>
    <cellStyle name="Currency 9 2 2" xfId="43459"/>
    <cellStyle name="Currency 9 2 3" xfId="37035"/>
    <cellStyle name="Currency 9 3" xfId="40252"/>
    <cellStyle name="Currency 9 4" xfId="33828"/>
    <cellStyle name="Entrée" xfId="310"/>
    <cellStyle name="Explanatory Text" xfId="16" builtinId="53" customBuiltin="1"/>
    <cellStyle name="Footnote" xfId="29507"/>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Hyperlink 2" xfId="138"/>
    <cellStyle name="Hyperlink 3" xfId="1603"/>
    <cellStyle name="Hyperlink 4" xfId="1604"/>
    <cellStyle name="Hyperlink 5" xfId="26216"/>
    <cellStyle name="Hyperlink 5 2" xfId="29468"/>
    <cellStyle name="Hyperlink 6" xfId="29508"/>
    <cellStyle name="Input" xfId="10" builtinId="20" customBuiltin="1"/>
    <cellStyle name="Insatisfaisant" xfId="311"/>
    <cellStyle name="Linked Cell" xfId="13" builtinId="24" customBuiltin="1"/>
    <cellStyle name="Neutral" xfId="9" builtinId="28" customBuiltin="1"/>
    <cellStyle name="Neutre" xfId="312"/>
    <cellStyle name="Normal" xfId="0" builtinId="0"/>
    <cellStyle name="Normal [0]" xfId="29509"/>
    <cellStyle name="Normal [2]" xfId="29510"/>
    <cellStyle name="Normal 10" xfId="313"/>
    <cellStyle name="Normal 10 10" xfId="1605"/>
    <cellStyle name="Normal 10 10 2" xfId="1606"/>
    <cellStyle name="Normal 10 10 2 2" xfId="1607"/>
    <cellStyle name="Normal 10 10 2 2 2" xfId="10374"/>
    <cellStyle name="Normal 10 10 2 2 3" xfId="16083"/>
    <cellStyle name="Normal 10 10 2 3" xfId="1608"/>
    <cellStyle name="Normal 10 10 2 3 2" xfId="10375"/>
    <cellStyle name="Normal 10 10 2 3 3" xfId="16084"/>
    <cellStyle name="Normal 10 10 2 4" xfId="1609"/>
    <cellStyle name="Normal 10 10 2 4 2" xfId="10376"/>
    <cellStyle name="Normal 10 10 2 4 3" xfId="16085"/>
    <cellStyle name="Normal 10 10 2 5" xfId="1610"/>
    <cellStyle name="Normal 10 10 2 5 2" xfId="10377"/>
    <cellStyle name="Normal 10 10 2 5 3" xfId="16086"/>
    <cellStyle name="Normal 10 10 2 6" xfId="10373"/>
    <cellStyle name="Normal 10 10 2 7" xfId="16082"/>
    <cellStyle name="Normal 10 10 2_LNG &amp; LPG rework" xfId="6730"/>
    <cellStyle name="Normal 10 10 3" xfId="1611"/>
    <cellStyle name="Normal 10 10 3 2" xfId="1612"/>
    <cellStyle name="Normal 10 10 3 2 2" xfId="10379"/>
    <cellStyle name="Normal 10 10 3 2 3" xfId="16088"/>
    <cellStyle name="Normal 10 10 3 3" xfId="1613"/>
    <cellStyle name="Normal 10 10 3 3 2" xfId="10380"/>
    <cellStyle name="Normal 10 10 3 3 3" xfId="16089"/>
    <cellStyle name="Normal 10 10 3 4" xfId="1614"/>
    <cellStyle name="Normal 10 10 3 4 2" xfId="10381"/>
    <cellStyle name="Normal 10 10 3 4 3" xfId="16090"/>
    <cellStyle name="Normal 10 10 3 5" xfId="1615"/>
    <cellStyle name="Normal 10 10 3 5 2" xfId="10382"/>
    <cellStyle name="Normal 10 10 3 5 3" xfId="16091"/>
    <cellStyle name="Normal 10 10 3 6" xfId="10378"/>
    <cellStyle name="Normal 10 10 3 7" xfId="16087"/>
    <cellStyle name="Normal 10 10 3_LNG &amp; LPG rework" xfId="6729"/>
    <cellStyle name="Normal 10 10 4" xfId="1616"/>
    <cellStyle name="Normal 10 10 4 2" xfId="10383"/>
    <cellStyle name="Normal 10 10 4 3" xfId="16092"/>
    <cellStyle name="Normal 10 10 5" xfId="1617"/>
    <cellStyle name="Normal 10 10 5 2" xfId="10384"/>
    <cellStyle name="Normal 10 10 5 3" xfId="16093"/>
    <cellStyle name="Normal 10 10 6" xfId="1618"/>
    <cellStyle name="Normal 10 10 6 2" xfId="10385"/>
    <cellStyle name="Normal 10 10 6 3" xfId="16094"/>
    <cellStyle name="Normal 10 10 7" xfId="1619"/>
    <cellStyle name="Normal 10 10 7 2" xfId="10386"/>
    <cellStyle name="Normal 10 10 7 3" xfId="16095"/>
    <cellStyle name="Normal 10 10 8" xfId="10372"/>
    <cellStyle name="Normal 10 10 9" xfId="16081"/>
    <cellStyle name="Normal 10 10_LNG &amp; LPG rework" xfId="6734"/>
    <cellStyle name="Normal 10 11" xfId="1620"/>
    <cellStyle name="Normal 10 11 2" xfId="1621"/>
    <cellStyle name="Normal 10 11 2 2" xfId="1622"/>
    <cellStyle name="Normal 10 11 2 2 2" xfId="10389"/>
    <cellStyle name="Normal 10 11 2 2 3" xfId="16098"/>
    <cellStyle name="Normal 10 11 2 3" xfId="1623"/>
    <cellStyle name="Normal 10 11 2 3 2" xfId="10390"/>
    <cellStyle name="Normal 10 11 2 3 3" xfId="16099"/>
    <cellStyle name="Normal 10 11 2 4" xfId="1624"/>
    <cellStyle name="Normal 10 11 2 4 2" xfId="10391"/>
    <cellStyle name="Normal 10 11 2 4 3" xfId="16100"/>
    <cellStyle name="Normal 10 11 2 5" xfId="1625"/>
    <cellStyle name="Normal 10 11 2 5 2" xfId="10392"/>
    <cellStyle name="Normal 10 11 2 5 3" xfId="16101"/>
    <cellStyle name="Normal 10 11 2 6" xfId="10388"/>
    <cellStyle name="Normal 10 11 2 7" xfId="16097"/>
    <cellStyle name="Normal 10 11 2_LNG &amp; LPG rework" xfId="6728"/>
    <cellStyle name="Normal 10 11 3" xfId="1626"/>
    <cellStyle name="Normal 10 11 3 2" xfId="1627"/>
    <cellStyle name="Normal 10 11 3 2 2" xfId="10394"/>
    <cellStyle name="Normal 10 11 3 2 3" xfId="16103"/>
    <cellStyle name="Normal 10 11 3 3" xfId="1628"/>
    <cellStyle name="Normal 10 11 3 3 2" xfId="10395"/>
    <cellStyle name="Normal 10 11 3 3 3" xfId="16104"/>
    <cellStyle name="Normal 10 11 3 4" xfId="1629"/>
    <cellStyle name="Normal 10 11 3 4 2" xfId="10396"/>
    <cellStyle name="Normal 10 11 3 4 3" xfId="16105"/>
    <cellStyle name="Normal 10 11 3 5" xfId="1630"/>
    <cellStyle name="Normal 10 11 3 5 2" xfId="10397"/>
    <cellStyle name="Normal 10 11 3 5 3" xfId="16106"/>
    <cellStyle name="Normal 10 11 3 6" xfId="10393"/>
    <cellStyle name="Normal 10 11 3 7" xfId="16102"/>
    <cellStyle name="Normal 10 11 3_LNG &amp; LPG rework" xfId="6727"/>
    <cellStyle name="Normal 10 11 4" xfId="1631"/>
    <cellStyle name="Normal 10 11 4 2" xfId="10398"/>
    <cellStyle name="Normal 10 11 4 3" xfId="16107"/>
    <cellStyle name="Normal 10 11 5" xfId="1632"/>
    <cellStyle name="Normal 10 11 5 2" xfId="10399"/>
    <cellStyle name="Normal 10 11 5 3" xfId="16108"/>
    <cellStyle name="Normal 10 11 6" xfId="1633"/>
    <cellStyle name="Normal 10 11 6 2" xfId="10400"/>
    <cellStyle name="Normal 10 11 6 3" xfId="16109"/>
    <cellStyle name="Normal 10 11 7" xfId="1634"/>
    <cellStyle name="Normal 10 11 7 2" xfId="10401"/>
    <cellStyle name="Normal 10 11 7 3" xfId="16110"/>
    <cellStyle name="Normal 10 11 8" xfId="10387"/>
    <cellStyle name="Normal 10 11 9" xfId="16096"/>
    <cellStyle name="Normal 10 11_LNG &amp; LPG rework" xfId="6735"/>
    <cellStyle name="Normal 10 12" xfId="1635"/>
    <cellStyle name="Normal 10 12 2" xfId="1636"/>
    <cellStyle name="Normal 10 12 2 2" xfId="1637"/>
    <cellStyle name="Normal 10 12 2 2 2" xfId="10404"/>
    <cellStyle name="Normal 10 12 2 2 3" xfId="16113"/>
    <cellStyle name="Normal 10 12 2 3" xfId="1638"/>
    <cellStyle name="Normal 10 12 2 3 2" xfId="10405"/>
    <cellStyle name="Normal 10 12 2 3 3" xfId="16114"/>
    <cellStyle name="Normal 10 12 2 4" xfId="1639"/>
    <cellStyle name="Normal 10 12 2 4 2" xfId="10406"/>
    <cellStyle name="Normal 10 12 2 4 3" xfId="16115"/>
    <cellStyle name="Normal 10 12 2 5" xfId="1640"/>
    <cellStyle name="Normal 10 12 2 5 2" xfId="10407"/>
    <cellStyle name="Normal 10 12 2 5 3" xfId="16116"/>
    <cellStyle name="Normal 10 12 2 6" xfId="10403"/>
    <cellStyle name="Normal 10 12 2 7" xfId="16112"/>
    <cellStyle name="Normal 10 12 2_LNG &amp; LPG rework" xfId="6736"/>
    <cellStyle name="Normal 10 12 3" xfId="1641"/>
    <cellStyle name="Normal 10 12 3 2" xfId="1642"/>
    <cellStyle name="Normal 10 12 3 2 2" xfId="10409"/>
    <cellStyle name="Normal 10 12 3 2 3" xfId="16118"/>
    <cellStyle name="Normal 10 12 3 3" xfId="1643"/>
    <cellStyle name="Normal 10 12 3 3 2" xfId="10410"/>
    <cellStyle name="Normal 10 12 3 3 3" xfId="16119"/>
    <cellStyle name="Normal 10 12 3 4" xfId="1644"/>
    <cellStyle name="Normal 10 12 3 4 2" xfId="10411"/>
    <cellStyle name="Normal 10 12 3 4 3" xfId="16120"/>
    <cellStyle name="Normal 10 12 3 5" xfId="1645"/>
    <cellStyle name="Normal 10 12 3 5 2" xfId="10412"/>
    <cellStyle name="Normal 10 12 3 5 3" xfId="16121"/>
    <cellStyle name="Normal 10 12 3 6" xfId="10408"/>
    <cellStyle name="Normal 10 12 3 7" xfId="16117"/>
    <cellStyle name="Normal 10 12 3_LNG &amp; LPG rework" xfId="6738"/>
    <cellStyle name="Normal 10 12 4" xfId="1646"/>
    <cellStyle name="Normal 10 12 4 2" xfId="10413"/>
    <cellStyle name="Normal 10 12 4 3" xfId="16122"/>
    <cellStyle name="Normal 10 12 5" xfId="1647"/>
    <cellStyle name="Normal 10 12 5 2" xfId="10414"/>
    <cellStyle name="Normal 10 12 5 3" xfId="16123"/>
    <cellStyle name="Normal 10 12 6" xfId="1648"/>
    <cellStyle name="Normal 10 12 6 2" xfId="10415"/>
    <cellStyle name="Normal 10 12 6 3" xfId="16124"/>
    <cellStyle name="Normal 10 12 7" xfId="1649"/>
    <cellStyle name="Normal 10 12 7 2" xfId="10416"/>
    <cellStyle name="Normal 10 12 7 3" xfId="16125"/>
    <cellStyle name="Normal 10 12 8" xfId="10402"/>
    <cellStyle name="Normal 10 12 9" xfId="16111"/>
    <cellStyle name="Normal 10 12_LNG &amp; LPG rework" xfId="6737"/>
    <cellStyle name="Normal 10 13" xfId="1650"/>
    <cellStyle name="Normal 10 13 2" xfId="1651"/>
    <cellStyle name="Normal 10 13 2 2" xfId="1652"/>
    <cellStyle name="Normal 10 13 2 2 2" xfId="10419"/>
    <cellStyle name="Normal 10 13 2 2 3" xfId="16128"/>
    <cellStyle name="Normal 10 13 2 3" xfId="1653"/>
    <cellStyle name="Normal 10 13 2 3 2" xfId="10420"/>
    <cellStyle name="Normal 10 13 2 3 3" xfId="16129"/>
    <cellStyle name="Normal 10 13 2 4" xfId="1654"/>
    <cellStyle name="Normal 10 13 2 4 2" xfId="10421"/>
    <cellStyle name="Normal 10 13 2 4 3" xfId="16130"/>
    <cellStyle name="Normal 10 13 2 5" xfId="1655"/>
    <cellStyle name="Normal 10 13 2 5 2" xfId="10422"/>
    <cellStyle name="Normal 10 13 2 5 3" xfId="16131"/>
    <cellStyle name="Normal 10 13 2 6" xfId="10418"/>
    <cellStyle name="Normal 10 13 2 7" xfId="16127"/>
    <cellStyle name="Normal 10 13 2_LNG &amp; LPG rework" xfId="6740"/>
    <cellStyle name="Normal 10 13 3" xfId="1656"/>
    <cellStyle name="Normal 10 13 3 2" xfId="1657"/>
    <cellStyle name="Normal 10 13 3 2 2" xfId="10424"/>
    <cellStyle name="Normal 10 13 3 2 3" xfId="16133"/>
    <cellStyle name="Normal 10 13 3 3" xfId="1658"/>
    <cellStyle name="Normal 10 13 3 3 2" xfId="10425"/>
    <cellStyle name="Normal 10 13 3 3 3" xfId="16134"/>
    <cellStyle name="Normal 10 13 3 4" xfId="1659"/>
    <cellStyle name="Normal 10 13 3 4 2" xfId="10426"/>
    <cellStyle name="Normal 10 13 3 4 3" xfId="16135"/>
    <cellStyle name="Normal 10 13 3 5" xfId="1660"/>
    <cellStyle name="Normal 10 13 3 5 2" xfId="10427"/>
    <cellStyle name="Normal 10 13 3 5 3" xfId="16136"/>
    <cellStyle name="Normal 10 13 3 6" xfId="10423"/>
    <cellStyle name="Normal 10 13 3 7" xfId="16132"/>
    <cellStyle name="Normal 10 13 3_LNG &amp; LPG rework" xfId="6741"/>
    <cellStyle name="Normal 10 13 4" xfId="1661"/>
    <cellStyle name="Normal 10 13 4 2" xfId="10428"/>
    <cellStyle name="Normal 10 13 4 3" xfId="16137"/>
    <cellStyle name="Normal 10 13 5" xfId="1662"/>
    <cellStyle name="Normal 10 13 5 2" xfId="10429"/>
    <cellStyle name="Normal 10 13 5 3" xfId="16138"/>
    <cellStyle name="Normal 10 13 6" xfId="1663"/>
    <cellStyle name="Normal 10 13 6 2" xfId="10430"/>
    <cellStyle name="Normal 10 13 6 3" xfId="16139"/>
    <cellStyle name="Normal 10 13 7" xfId="1664"/>
    <cellStyle name="Normal 10 13 7 2" xfId="10431"/>
    <cellStyle name="Normal 10 13 7 3" xfId="16140"/>
    <cellStyle name="Normal 10 13 8" xfId="10417"/>
    <cellStyle name="Normal 10 13 9" xfId="16126"/>
    <cellStyle name="Normal 10 13_LNG &amp; LPG rework" xfId="6739"/>
    <cellStyle name="Normal 10 14" xfId="1665"/>
    <cellStyle name="Normal 10 14 2" xfId="1666"/>
    <cellStyle name="Normal 10 14 2 2" xfId="1667"/>
    <cellStyle name="Normal 10 14 2 2 2" xfId="10434"/>
    <cellStyle name="Normal 10 14 2 2 3" xfId="16143"/>
    <cellStyle name="Normal 10 14 2 3" xfId="1668"/>
    <cellStyle name="Normal 10 14 2 3 2" xfId="10435"/>
    <cellStyle name="Normal 10 14 2 3 3" xfId="16144"/>
    <cellStyle name="Normal 10 14 2 4" xfId="1669"/>
    <cellStyle name="Normal 10 14 2 4 2" xfId="10436"/>
    <cellStyle name="Normal 10 14 2 4 3" xfId="16145"/>
    <cellStyle name="Normal 10 14 2 5" xfId="1670"/>
    <cellStyle name="Normal 10 14 2 5 2" xfId="10437"/>
    <cellStyle name="Normal 10 14 2 5 3" xfId="16146"/>
    <cellStyle name="Normal 10 14 2 6" xfId="10433"/>
    <cellStyle name="Normal 10 14 2 7" xfId="16142"/>
    <cellStyle name="Normal 10 14 2_LNG &amp; LPG rework" xfId="6743"/>
    <cellStyle name="Normal 10 14 3" xfId="1671"/>
    <cellStyle name="Normal 10 14 3 2" xfId="1672"/>
    <cellStyle name="Normal 10 14 3 2 2" xfId="10439"/>
    <cellStyle name="Normal 10 14 3 2 3" xfId="16148"/>
    <cellStyle name="Normal 10 14 3 3" xfId="1673"/>
    <cellStyle name="Normal 10 14 3 3 2" xfId="10440"/>
    <cellStyle name="Normal 10 14 3 3 3" xfId="16149"/>
    <cellStyle name="Normal 10 14 3 4" xfId="1674"/>
    <cellStyle name="Normal 10 14 3 4 2" xfId="10441"/>
    <cellStyle name="Normal 10 14 3 4 3" xfId="16150"/>
    <cellStyle name="Normal 10 14 3 5" xfId="1675"/>
    <cellStyle name="Normal 10 14 3 5 2" xfId="10442"/>
    <cellStyle name="Normal 10 14 3 5 3" xfId="16151"/>
    <cellStyle name="Normal 10 14 3 6" xfId="10438"/>
    <cellStyle name="Normal 10 14 3 7" xfId="16147"/>
    <cellStyle name="Normal 10 14 3_LNG &amp; LPG rework" xfId="6744"/>
    <cellStyle name="Normal 10 14 4" xfId="1676"/>
    <cellStyle name="Normal 10 14 4 2" xfId="10443"/>
    <cellStyle name="Normal 10 14 4 3" xfId="16152"/>
    <cellStyle name="Normal 10 14 5" xfId="1677"/>
    <cellStyle name="Normal 10 14 5 2" xfId="10444"/>
    <cellStyle name="Normal 10 14 5 3" xfId="16153"/>
    <cellStyle name="Normal 10 14 6" xfId="1678"/>
    <cellStyle name="Normal 10 14 6 2" xfId="10445"/>
    <cellStyle name="Normal 10 14 6 3" xfId="16154"/>
    <cellStyle name="Normal 10 14 7" xfId="1679"/>
    <cellStyle name="Normal 10 14 7 2" xfId="10446"/>
    <cellStyle name="Normal 10 14 7 3" xfId="16155"/>
    <cellStyle name="Normal 10 14 8" xfId="10432"/>
    <cellStyle name="Normal 10 14 9" xfId="16141"/>
    <cellStyle name="Normal 10 14_LNG &amp; LPG rework" xfId="6742"/>
    <cellStyle name="Normal 10 15" xfId="1680"/>
    <cellStyle name="Normal 10 15 2" xfId="1681"/>
    <cellStyle name="Normal 10 15 2 2" xfId="1682"/>
    <cellStyle name="Normal 10 15 2 2 2" xfId="10449"/>
    <cellStyle name="Normal 10 15 2 2 3" xfId="16158"/>
    <cellStyle name="Normal 10 15 2 3" xfId="1683"/>
    <cellStyle name="Normal 10 15 2 3 2" xfId="10450"/>
    <cellStyle name="Normal 10 15 2 3 3" xfId="16159"/>
    <cellStyle name="Normal 10 15 2 4" xfId="1684"/>
    <cellStyle name="Normal 10 15 2 4 2" xfId="10451"/>
    <cellStyle name="Normal 10 15 2 4 3" xfId="16160"/>
    <cellStyle name="Normal 10 15 2 5" xfId="1685"/>
    <cellStyle name="Normal 10 15 2 5 2" xfId="10452"/>
    <cellStyle name="Normal 10 15 2 5 3" xfId="16161"/>
    <cellStyle name="Normal 10 15 2 6" xfId="10448"/>
    <cellStyle name="Normal 10 15 2 7" xfId="16157"/>
    <cellStyle name="Normal 10 15 2_LNG &amp; LPG rework" xfId="6746"/>
    <cellStyle name="Normal 10 15 3" xfId="1686"/>
    <cellStyle name="Normal 10 15 3 2" xfId="1687"/>
    <cellStyle name="Normal 10 15 3 2 2" xfId="10454"/>
    <cellStyle name="Normal 10 15 3 2 3" xfId="16163"/>
    <cellStyle name="Normal 10 15 3 3" xfId="1688"/>
    <cellStyle name="Normal 10 15 3 3 2" xfId="10455"/>
    <cellStyle name="Normal 10 15 3 3 3" xfId="16164"/>
    <cellStyle name="Normal 10 15 3 4" xfId="1689"/>
    <cellStyle name="Normal 10 15 3 4 2" xfId="10456"/>
    <cellStyle name="Normal 10 15 3 4 3" xfId="16165"/>
    <cellStyle name="Normal 10 15 3 5" xfId="1690"/>
    <cellStyle name="Normal 10 15 3 5 2" xfId="10457"/>
    <cellStyle name="Normal 10 15 3 5 3" xfId="16166"/>
    <cellStyle name="Normal 10 15 3 6" xfId="10453"/>
    <cellStyle name="Normal 10 15 3 7" xfId="16162"/>
    <cellStyle name="Normal 10 15 3_LNG &amp; LPG rework" xfId="6747"/>
    <cellStyle name="Normal 10 15 4" xfId="1691"/>
    <cellStyle name="Normal 10 15 4 2" xfId="10458"/>
    <cellStyle name="Normal 10 15 4 3" xfId="16167"/>
    <cellStyle name="Normal 10 15 5" xfId="1692"/>
    <cellStyle name="Normal 10 15 5 2" xfId="10459"/>
    <cellStyle name="Normal 10 15 5 3" xfId="16168"/>
    <cellStyle name="Normal 10 15 6" xfId="1693"/>
    <cellStyle name="Normal 10 15 6 2" xfId="10460"/>
    <cellStyle name="Normal 10 15 6 3" xfId="16169"/>
    <cellStyle name="Normal 10 15 7" xfId="1694"/>
    <cellStyle name="Normal 10 15 7 2" xfId="10461"/>
    <cellStyle name="Normal 10 15 7 3" xfId="16170"/>
    <cellStyle name="Normal 10 15 8" xfId="10447"/>
    <cellStyle name="Normal 10 15 9" xfId="16156"/>
    <cellStyle name="Normal 10 15_LNG &amp; LPG rework" xfId="6745"/>
    <cellStyle name="Normal 10 16" xfId="1695"/>
    <cellStyle name="Normal 10 16 2" xfId="1696"/>
    <cellStyle name="Normal 10 16 2 2" xfId="1697"/>
    <cellStyle name="Normal 10 16 2 2 2" xfId="10464"/>
    <cellStyle name="Normal 10 16 2 2 3" xfId="16173"/>
    <cellStyle name="Normal 10 16 2 3" xfId="1698"/>
    <cellStyle name="Normal 10 16 2 3 2" xfId="10465"/>
    <cellStyle name="Normal 10 16 2 3 3" xfId="16174"/>
    <cellStyle name="Normal 10 16 2 4" xfId="1699"/>
    <cellStyle name="Normal 10 16 2 4 2" xfId="10466"/>
    <cellStyle name="Normal 10 16 2 4 3" xfId="16175"/>
    <cellStyle name="Normal 10 16 2 5" xfId="1700"/>
    <cellStyle name="Normal 10 16 2 5 2" xfId="10467"/>
    <cellStyle name="Normal 10 16 2 5 3" xfId="16176"/>
    <cellStyle name="Normal 10 16 2 6" xfId="10463"/>
    <cellStyle name="Normal 10 16 2 7" xfId="16172"/>
    <cellStyle name="Normal 10 16 2_LNG &amp; LPG rework" xfId="6749"/>
    <cellStyle name="Normal 10 16 3" xfId="1701"/>
    <cellStyle name="Normal 10 16 3 2" xfId="1702"/>
    <cellStyle name="Normal 10 16 3 2 2" xfId="10469"/>
    <cellStyle name="Normal 10 16 3 2 3" xfId="16178"/>
    <cellStyle name="Normal 10 16 3 3" xfId="1703"/>
    <cellStyle name="Normal 10 16 3 3 2" xfId="10470"/>
    <cellStyle name="Normal 10 16 3 3 3" xfId="16179"/>
    <cellStyle name="Normal 10 16 3 4" xfId="1704"/>
    <cellStyle name="Normal 10 16 3 4 2" xfId="10471"/>
    <cellStyle name="Normal 10 16 3 4 3" xfId="16180"/>
    <cellStyle name="Normal 10 16 3 5" xfId="1705"/>
    <cellStyle name="Normal 10 16 3 5 2" xfId="10472"/>
    <cellStyle name="Normal 10 16 3 5 3" xfId="16181"/>
    <cellStyle name="Normal 10 16 3 6" xfId="10468"/>
    <cellStyle name="Normal 10 16 3 7" xfId="16177"/>
    <cellStyle name="Normal 10 16 3_LNG &amp; LPG rework" xfId="6726"/>
    <cellStyle name="Normal 10 16 4" xfId="1706"/>
    <cellStyle name="Normal 10 16 4 2" xfId="10473"/>
    <cellStyle name="Normal 10 16 4 3" xfId="16182"/>
    <cellStyle name="Normal 10 16 5" xfId="1707"/>
    <cellStyle name="Normal 10 16 5 2" xfId="10474"/>
    <cellStyle name="Normal 10 16 5 3" xfId="16183"/>
    <cellStyle name="Normal 10 16 6" xfId="1708"/>
    <cellStyle name="Normal 10 16 6 2" xfId="10475"/>
    <cellStyle name="Normal 10 16 6 3" xfId="16184"/>
    <cellStyle name="Normal 10 16 7" xfId="1709"/>
    <cellStyle name="Normal 10 16 7 2" xfId="10476"/>
    <cellStyle name="Normal 10 16 7 3" xfId="16185"/>
    <cellStyle name="Normal 10 16 8" xfId="10462"/>
    <cellStyle name="Normal 10 16 9" xfId="16171"/>
    <cellStyle name="Normal 10 16_LNG &amp; LPG rework" xfId="6748"/>
    <cellStyle name="Normal 10 17" xfId="1710"/>
    <cellStyle name="Normal 10 17 2" xfId="1711"/>
    <cellStyle name="Normal 10 17 2 2" xfId="1712"/>
    <cellStyle name="Normal 10 17 2 2 2" xfId="10479"/>
    <cellStyle name="Normal 10 17 2 2 3" xfId="16188"/>
    <cellStyle name="Normal 10 17 2 3" xfId="1713"/>
    <cellStyle name="Normal 10 17 2 3 2" xfId="10480"/>
    <cellStyle name="Normal 10 17 2 3 3" xfId="16189"/>
    <cellStyle name="Normal 10 17 2 4" xfId="1714"/>
    <cellStyle name="Normal 10 17 2 4 2" xfId="10481"/>
    <cellStyle name="Normal 10 17 2 4 3" xfId="16190"/>
    <cellStyle name="Normal 10 17 2 5" xfId="1715"/>
    <cellStyle name="Normal 10 17 2 5 2" xfId="10482"/>
    <cellStyle name="Normal 10 17 2 5 3" xfId="16191"/>
    <cellStyle name="Normal 10 17 2 6" xfId="10478"/>
    <cellStyle name="Normal 10 17 2 7" xfId="16187"/>
    <cellStyle name="Normal 10 17 2_LNG &amp; LPG rework" xfId="6724"/>
    <cellStyle name="Normal 10 17 3" xfId="1716"/>
    <cellStyle name="Normal 10 17 3 2" xfId="1717"/>
    <cellStyle name="Normal 10 17 3 2 2" xfId="10484"/>
    <cellStyle name="Normal 10 17 3 2 3" xfId="16193"/>
    <cellStyle name="Normal 10 17 3 3" xfId="1718"/>
    <cellStyle name="Normal 10 17 3 3 2" xfId="10485"/>
    <cellStyle name="Normal 10 17 3 3 3" xfId="16194"/>
    <cellStyle name="Normal 10 17 3 4" xfId="1719"/>
    <cellStyle name="Normal 10 17 3 4 2" xfId="10486"/>
    <cellStyle name="Normal 10 17 3 4 3" xfId="16195"/>
    <cellStyle name="Normal 10 17 3 5" xfId="1720"/>
    <cellStyle name="Normal 10 17 3 5 2" xfId="10487"/>
    <cellStyle name="Normal 10 17 3 5 3" xfId="16196"/>
    <cellStyle name="Normal 10 17 3 6" xfId="10483"/>
    <cellStyle name="Normal 10 17 3 7" xfId="16192"/>
    <cellStyle name="Normal 10 17 3_LNG &amp; LPG rework" xfId="6723"/>
    <cellStyle name="Normal 10 17 4" xfId="1721"/>
    <cellStyle name="Normal 10 17 4 2" xfId="10488"/>
    <cellStyle name="Normal 10 17 4 3" xfId="16197"/>
    <cellStyle name="Normal 10 17 5" xfId="1722"/>
    <cellStyle name="Normal 10 17 5 2" xfId="10489"/>
    <cellStyle name="Normal 10 17 5 3" xfId="16198"/>
    <cellStyle name="Normal 10 17 6" xfId="1723"/>
    <cellStyle name="Normal 10 17 6 2" xfId="10490"/>
    <cellStyle name="Normal 10 17 6 3" xfId="16199"/>
    <cellStyle name="Normal 10 17 7" xfId="1724"/>
    <cellStyle name="Normal 10 17 7 2" xfId="10491"/>
    <cellStyle name="Normal 10 17 7 3" xfId="16200"/>
    <cellStyle name="Normal 10 17 8" xfId="10477"/>
    <cellStyle name="Normal 10 17 9" xfId="16186"/>
    <cellStyle name="Normal 10 17_LNG &amp; LPG rework" xfId="6725"/>
    <cellStyle name="Normal 10 18" xfId="1725"/>
    <cellStyle name="Normal 10 18 2" xfId="1726"/>
    <cellStyle name="Normal 10 18 2 2" xfId="1727"/>
    <cellStyle name="Normal 10 18 2 2 2" xfId="10494"/>
    <cellStyle name="Normal 10 18 2 2 3" xfId="16203"/>
    <cellStyle name="Normal 10 18 2 3" xfId="1728"/>
    <cellStyle name="Normal 10 18 2 3 2" xfId="10495"/>
    <cellStyle name="Normal 10 18 2 3 3" xfId="16204"/>
    <cellStyle name="Normal 10 18 2 4" xfId="1729"/>
    <cellStyle name="Normal 10 18 2 4 2" xfId="10496"/>
    <cellStyle name="Normal 10 18 2 4 3" xfId="16205"/>
    <cellStyle name="Normal 10 18 2 5" xfId="1730"/>
    <cellStyle name="Normal 10 18 2 5 2" xfId="10497"/>
    <cellStyle name="Normal 10 18 2 5 3" xfId="16206"/>
    <cellStyle name="Normal 10 18 2 6" xfId="10493"/>
    <cellStyle name="Normal 10 18 2 7" xfId="16202"/>
    <cellStyle name="Normal 10 18 2_LNG &amp; LPG rework" xfId="6721"/>
    <cellStyle name="Normal 10 18 3" xfId="1731"/>
    <cellStyle name="Normal 10 18 3 2" xfId="1732"/>
    <cellStyle name="Normal 10 18 3 2 2" xfId="10499"/>
    <cellStyle name="Normal 10 18 3 2 3" xfId="16208"/>
    <cellStyle name="Normal 10 18 3 3" xfId="1733"/>
    <cellStyle name="Normal 10 18 3 3 2" xfId="10500"/>
    <cellStyle name="Normal 10 18 3 3 3" xfId="16209"/>
    <cellStyle name="Normal 10 18 3 4" xfId="1734"/>
    <cellStyle name="Normal 10 18 3 4 2" xfId="10501"/>
    <cellStyle name="Normal 10 18 3 4 3" xfId="16210"/>
    <cellStyle name="Normal 10 18 3 5" xfId="1735"/>
    <cellStyle name="Normal 10 18 3 5 2" xfId="10502"/>
    <cellStyle name="Normal 10 18 3 5 3" xfId="16211"/>
    <cellStyle name="Normal 10 18 3 6" xfId="10498"/>
    <cellStyle name="Normal 10 18 3 7" xfId="16207"/>
    <cellStyle name="Normal 10 18 3_LNG &amp; LPG rework" xfId="6720"/>
    <cellStyle name="Normal 10 18 4" xfId="1736"/>
    <cellStyle name="Normal 10 18 4 2" xfId="10503"/>
    <cellStyle name="Normal 10 18 4 3" xfId="16212"/>
    <cellStyle name="Normal 10 18 5" xfId="1737"/>
    <cellStyle name="Normal 10 18 5 2" xfId="10504"/>
    <cellStyle name="Normal 10 18 5 3" xfId="16213"/>
    <cellStyle name="Normal 10 18 6" xfId="1738"/>
    <cellStyle name="Normal 10 18 6 2" xfId="10505"/>
    <cellStyle name="Normal 10 18 6 3" xfId="16214"/>
    <cellStyle name="Normal 10 18 7" xfId="1739"/>
    <cellStyle name="Normal 10 18 7 2" xfId="10506"/>
    <cellStyle name="Normal 10 18 7 3" xfId="16215"/>
    <cellStyle name="Normal 10 18 8" xfId="10492"/>
    <cellStyle name="Normal 10 18 9" xfId="16201"/>
    <cellStyle name="Normal 10 18_LNG &amp; LPG rework" xfId="6722"/>
    <cellStyle name="Normal 10 19" xfId="1740"/>
    <cellStyle name="Normal 10 19 2" xfId="1741"/>
    <cellStyle name="Normal 10 19 2 2" xfId="1742"/>
    <cellStyle name="Normal 10 19 2 2 2" xfId="10509"/>
    <cellStyle name="Normal 10 19 2 2 3" xfId="16218"/>
    <cellStyle name="Normal 10 19 2 3" xfId="1743"/>
    <cellStyle name="Normal 10 19 2 3 2" xfId="10510"/>
    <cellStyle name="Normal 10 19 2 3 3" xfId="16219"/>
    <cellStyle name="Normal 10 19 2 4" xfId="1744"/>
    <cellStyle name="Normal 10 19 2 4 2" xfId="10511"/>
    <cellStyle name="Normal 10 19 2 4 3" xfId="16220"/>
    <cellStyle name="Normal 10 19 2 5" xfId="1745"/>
    <cellStyle name="Normal 10 19 2 5 2" xfId="10512"/>
    <cellStyle name="Normal 10 19 2 5 3" xfId="16221"/>
    <cellStyle name="Normal 10 19 2 6" xfId="10508"/>
    <cellStyle name="Normal 10 19 2 7" xfId="16217"/>
    <cellStyle name="Normal 10 19 2_LNG &amp; LPG rework" xfId="6750"/>
    <cellStyle name="Normal 10 19 3" xfId="1746"/>
    <cellStyle name="Normal 10 19 3 2" xfId="1747"/>
    <cellStyle name="Normal 10 19 3 2 2" xfId="10514"/>
    <cellStyle name="Normal 10 19 3 2 3" xfId="16223"/>
    <cellStyle name="Normal 10 19 3 3" xfId="1748"/>
    <cellStyle name="Normal 10 19 3 3 2" xfId="10515"/>
    <cellStyle name="Normal 10 19 3 3 3" xfId="16224"/>
    <cellStyle name="Normal 10 19 3 4" xfId="1749"/>
    <cellStyle name="Normal 10 19 3 4 2" xfId="10516"/>
    <cellStyle name="Normal 10 19 3 4 3" xfId="16225"/>
    <cellStyle name="Normal 10 19 3 5" xfId="1750"/>
    <cellStyle name="Normal 10 19 3 5 2" xfId="10517"/>
    <cellStyle name="Normal 10 19 3 5 3" xfId="16226"/>
    <cellStyle name="Normal 10 19 3 6" xfId="10513"/>
    <cellStyle name="Normal 10 19 3 7" xfId="16222"/>
    <cellStyle name="Normal 10 19 3_LNG &amp; LPG rework" xfId="6751"/>
    <cellStyle name="Normal 10 19 4" xfId="1751"/>
    <cellStyle name="Normal 10 19 4 2" xfId="10518"/>
    <cellStyle name="Normal 10 19 4 3" xfId="16227"/>
    <cellStyle name="Normal 10 19 5" xfId="1752"/>
    <cellStyle name="Normal 10 19 5 2" xfId="10519"/>
    <cellStyle name="Normal 10 19 5 3" xfId="16228"/>
    <cellStyle name="Normal 10 19 6" xfId="1753"/>
    <cellStyle name="Normal 10 19 6 2" xfId="10520"/>
    <cellStyle name="Normal 10 19 6 3" xfId="16229"/>
    <cellStyle name="Normal 10 19 7" xfId="1754"/>
    <cellStyle name="Normal 10 19 7 2" xfId="10521"/>
    <cellStyle name="Normal 10 19 7 3" xfId="16230"/>
    <cellStyle name="Normal 10 19 8" xfId="10507"/>
    <cellStyle name="Normal 10 19 9" xfId="16216"/>
    <cellStyle name="Normal 10 19_LNG &amp; LPG rework" xfId="6719"/>
    <cellStyle name="Normal 10 2" xfId="314"/>
    <cellStyle name="Normal 10 2 10" xfId="1755"/>
    <cellStyle name="Normal 10 2 10 2" xfId="10522"/>
    <cellStyle name="Normal 10 2 10 3" xfId="16232"/>
    <cellStyle name="Normal 10 2 11" xfId="1756"/>
    <cellStyle name="Normal 10 2 11 2" xfId="10523"/>
    <cellStyle name="Normal 10 2 11 3" xfId="16233"/>
    <cellStyle name="Normal 10 2 12" xfId="1757"/>
    <cellStyle name="Normal 10 2 12 2" xfId="10524"/>
    <cellStyle name="Normal 10 2 12 3" xfId="16234"/>
    <cellStyle name="Normal 10 2 13" xfId="9165"/>
    <cellStyle name="Normal 10 2 14" xfId="16231"/>
    <cellStyle name="Normal 10 2 2" xfId="315"/>
    <cellStyle name="Normal 10 2 2 10" xfId="1758"/>
    <cellStyle name="Normal 10 2 2 10 2" xfId="10525"/>
    <cellStyle name="Normal 10 2 2 10 3" xfId="16236"/>
    <cellStyle name="Normal 10 2 2 11" xfId="9166"/>
    <cellStyle name="Normal 10 2 2 12" xfId="16235"/>
    <cellStyle name="Normal 10 2 2 2" xfId="316"/>
    <cellStyle name="Normal 10 2 2 2 10" xfId="16237"/>
    <cellStyle name="Normal 10 2 2 2 2" xfId="317"/>
    <cellStyle name="Normal 10 2 2 2 2 2" xfId="1759"/>
    <cellStyle name="Normal 10 2 2 2 2 2 2" xfId="10526"/>
    <cellStyle name="Normal 10 2 2 2 2 2 3" xfId="16239"/>
    <cellStyle name="Normal 10 2 2 2 2 3" xfId="1760"/>
    <cellStyle name="Normal 10 2 2 2 2 3 2" xfId="10527"/>
    <cellStyle name="Normal 10 2 2 2 2 3 3" xfId="16240"/>
    <cellStyle name="Normal 10 2 2 2 2 4" xfId="1761"/>
    <cellStyle name="Normal 10 2 2 2 2 4 2" xfId="10528"/>
    <cellStyle name="Normal 10 2 2 2 2 4 3" xfId="16241"/>
    <cellStyle name="Normal 10 2 2 2 2 5" xfId="1762"/>
    <cellStyle name="Normal 10 2 2 2 2 5 2" xfId="10529"/>
    <cellStyle name="Normal 10 2 2 2 2 5 3" xfId="16242"/>
    <cellStyle name="Normal 10 2 2 2 2 6" xfId="1763"/>
    <cellStyle name="Normal 10 2 2 2 2 6 2" xfId="10530"/>
    <cellStyle name="Normal 10 2 2 2 2 6 3" xfId="16243"/>
    <cellStyle name="Normal 10 2 2 2 2 7" xfId="9168"/>
    <cellStyle name="Normal 10 2 2 2 2 8" xfId="16238"/>
    <cellStyle name="Normal 10 2 2 2 2_LNG &amp; LPG rework" xfId="6754"/>
    <cellStyle name="Normal 10 2 2 2 3" xfId="1764"/>
    <cellStyle name="Normal 10 2 2 2 3 2" xfId="1765"/>
    <cellStyle name="Normal 10 2 2 2 3 2 2" xfId="10532"/>
    <cellStyle name="Normal 10 2 2 2 3 2 3" xfId="16245"/>
    <cellStyle name="Normal 10 2 2 2 3 3" xfId="1766"/>
    <cellStyle name="Normal 10 2 2 2 3 3 2" xfId="10533"/>
    <cellStyle name="Normal 10 2 2 2 3 3 3" xfId="16246"/>
    <cellStyle name="Normal 10 2 2 2 3 4" xfId="1767"/>
    <cellStyle name="Normal 10 2 2 2 3 4 2" xfId="10534"/>
    <cellStyle name="Normal 10 2 2 2 3 4 3" xfId="16247"/>
    <cellStyle name="Normal 10 2 2 2 3 5" xfId="1768"/>
    <cellStyle name="Normal 10 2 2 2 3 5 2" xfId="10535"/>
    <cellStyle name="Normal 10 2 2 2 3 5 3" xfId="16248"/>
    <cellStyle name="Normal 10 2 2 2 3 6" xfId="10531"/>
    <cellStyle name="Normal 10 2 2 2 3 7" xfId="16244"/>
    <cellStyle name="Normal 10 2 2 2 3_LNG &amp; LPG rework" xfId="6718"/>
    <cellStyle name="Normal 10 2 2 2 4" xfId="1769"/>
    <cellStyle name="Normal 10 2 2 2 4 2" xfId="10536"/>
    <cellStyle name="Normal 10 2 2 2 4 3" xfId="16249"/>
    <cellStyle name="Normal 10 2 2 2 5" xfId="1770"/>
    <cellStyle name="Normal 10 2 2 2 5 2" xfId="10537"/>
    <cellStyle name="Normal 10 2 2 2 5 3" xfId="16250"/>
    <cellStyle name="Normal 10 2 2 2 6" xfId="1771"/>
    <cellStyle name="Normal 10 2 2 2 6 2" xfId="10538"/>
    <cellStyle name="Normal 10 2 2 2 6 3" xfId="16251"/>
    <cellStyle name="Normal 10 2 2 2 7" xfId="1772"/>
    <cellStyle name="Normal 10 2 2 2 7 2" xfId="10539"/>
    <cellStyle name="Normal 10 2 2 2 7 3" xfId="16252"/>
    <cellStyle name="Normal 10 2 2 2 8" xfId="1773"/>
    <cellStyle name="Normal 10 2 2 2 8 2" xfId="10540"/>
    <cellStyle name="Normal 10 2 2 2 8 3" xfId="16253"/>
    <cellStyle name="Normal 10 2 2 2 9" xfId="9167"/>
    <cellStyle name="Normal 10 2 2 2_LNG &amp; LPG rework" xfId="6755"/>
    <cellStyle name="Normal 10 2 2 3" xfId="318"/>
    <cellStyle name="Normal 10 2 2 3 2" xfId="1774"/>
    <cellStyle name="Normal 10 2 2 3 2 2" xfId="10541"/>
    <cellStyle name="Normal 10 2 2 3 2 3" xfId="16255"/>
    <cellStyle name="Normal 10 2 2 3 3" xfId="1775"/>
    <cellStyle name="Normal 10 2 2 3 3 2" xfId="10542"/>
    <cellStyle name="Normal 10 2 2 3 3 3" xfId="16256"/>
    <cellStyle name="Normal 10 2 2 3 4" xfId="1776"/>
    <cellStyle name="Normal 10 2 2 3 4 2" xfId="10543"/>
    <cellStyle name="Normal 10 2 2 3 4 3" xfId="16257"/>
    <cellStyle name="Normal 10 2 2 3 5" xfId="1777"/>
    <cellStyle name="Normal 10 2 2 3 5 2" xfId="10544"/>
    <cellStyle name="Normal 10 2 2 3 5 3" xfId="16258"/>
    <cellStyle name="Normal 10 2 2 3 6" xfId="1778"/>
    <cellStyle name="Normal 10 2 2 3 6 2" xfId="10545"/>
    <cellStyle name="Normal 10 2 2 3 6 3" xfId="16259"/>
    <cellStyle name="Normal 10 2 2 3 7" xfId="9169"/>
    <cellStyle name="Normal 10 2 2 3 8" xfId="16254"/>
    <cellStyle name="Normal 10 2 2 3_LNG &amp; LPG rework" xfId="6717"/>
    <cellStyle name="Normal 10 2 2 4" xfId="1779"/>
    <cellStyle name="Normal 10 2 2 4 2" xfId="1780"/>
    <cellStyle name="Normal 10 2 2 4 2 2" xfId="10547"/>
    <cellStyle name="Normal 10 2 2 4 2 3" xfId="16261"/>
    <cellStyle name="Normal 10 2 2 4 3" xfId="1781"/>
    <cellStyle name="Normal 10 2 2 4 3 2" xfId="10548"/>
    <cellStyle name="Normal 10 2 2 4 3 3" xfId="16262"/>
    <cellStyle name="Normal 10 2 2 4 4" xfId="1782"/>
    <cellStyle name="Normal 10 2 2 4 4 2" xfId="10549"/>
    <cellStyle name="Normal 10 2 2 4 4 3" xfId="16263"/>
    <cellStyle name="Normal 10 2 2 4 5" xfId="1783"/>
    <cellStyle name="Normal 10 2 2 4 5 2" xfId="10550"/>
    <cellStyle name="Normal 10 2 2 4 5 3" xfId="16264"/>
    <cellStyle name="Normal 10 2 2 4 6" xfId="10546"/>
    <cellStyle name="Normal 10 2 2 4 7" xfId="16260"/>
    <cellStyle name="Normal 10 2 2 4_LNG &amp; LPG rework" xfId="6756"/>
    <cellStyle name="Normal 10 2 2 5" xfId="1784"/>
    <cellStyle name="Normal 10 2 2 5 2" xfId="1785"/>
    <cellStyle name="Normal 10 2 2 5 2 2" xfId="10552"/>
    <cellStyle name="Normal 10 2 2 5 2 3" xfId="16266"/>
    <cellStyle name="Normal 10 2 2 5 3" xfId="1786"/>
    <cellStyle name="Normal 10 2 2 5 3 2" xfId="10553"/>
    <cellStyle name="Normal 10 2 2 5 3 3" xfId="16267"/>
    <cellStyle name="Normal 10 2 2 5 4" xfId="1787"/>
    <cellStyle name="Normal 10 2 2 5 4 2" xfId="10554"/>
    <cellStyle name="Normal 10 2 2 5 4 3" xfId="16268"/>
    <cellStyle name="Normal 10 2 2 5 5" xfId="1788"/>
    <cellStyle name="Normal 10 2 2 5 5 2" xfId="10555"/>
    <cellStyle name="Normal 10 2 2 5 5 3" xfId="16269"/>
    <cellStyle name="Normal 10 2 2 5 6" xfId="10551"/>
    <cellStyle name="Normal 10 2 2 5 7" xfId="16265"/>
    <cellStyle name="Normal 10 2 2 5_LNG &amp; LPG rework" xfId="6757"/>
    <cellStyle name="Normal 10 2 2 6" xfId="1789"/>
    <cellStyle name="Normal 10 2 2 6 2" xfId="10556"/>
    <cellStyle name="Normal 10 2 2 6 3" xfId="16270"/>
    <cellStyle name="Normal 10 2 2 7" xfId="1790"/>
    <cellStyle name="Normal 10 2 2 7 2" xfId="10557"/>
    <cellStyle name="Normal 10 2 2 7 3" xfId="16271"/>
    <cellStyle name="Normal 10 2 2 8" xfId="1791"/>
    <cellStyle name="Normal 10 2 2 8 2" xfId="10558"/>
    <cellStyle name="Normal 10 2 2 8 3" xfId="16272"/>
    <cellStyle name="Normal 10 2 2 9" xfId="1792"/>
    <cellStyle name="Normal 10 2 2 9 2" xfId="10559"/>
    <cellStyle name="Normal 10 2 2 9 3" xfId="16273"/>
    <cellStyle name="Normal 10 2 2_LNG &amp; LPG rework" xfId="6753"/>
    <cellStyle name="Normal 10 2 3" xfId="319"/>
    <cellStyle name="Normal 10 2 3 10" xfId="16274"/>
    <cellStyle name="Normal 10 2 3 2" xfId="320"/>
    <cellStyle name="Normal 10 2 3 2 2" xfId="1793"/>
    <cellStyle name="Normal 10 2 3 2 2 2" xfId="10560"/>
    <cellStyle name="Normal 10 2 3 2 2 3" xfId="16276"/>
    <cellStyle name="Normal 10 2 3 2 3" xfId="1794"/>
    <cellStyle name="Normal 10 2 3 2 3 2" xfId="10561"/>
    <cellStyle name="Normal 10 2 3 2 3 3" xfId="16277"/>
    <cellStyle name="Normal 10 2 3 2 4" xfId="1795"/>
    <cellStyle name="Normal 10 2 3 2 4 2" xfId="10562"/>
    <cellStyle name="Normal 10 2 3 2 4 3" xfId="16278"/>
    <cellStyle name="Normal 10 2 3 2 5" xfId="1796"/>
    <cellStyle name="Normal 10 2 3 2 5 2" xfId="10563"/>
    <cellStyle name="Normal 10 2 3 2 5 3" xfId="16279"/>
    <cellStyle name="Normal 10 2 3 2 6" xfId="1797"/>
    <cellStyle name="Normal 10 2 3 2 6 2" xfId="10564"/>
    <cellStyle name="Normal 10 2 3 2 6 3" xfId="16280"/>
    <cellStyle name="Normal 10 2 3 2 7" xfId="9171"/>
    <cellStyle name="Normal 10 2 3 2 8" xfId="16275"/>
    <cellStyle name="Normal 10 2 3 2_LNG &amp; LPG rework" xfId="6758"/>
    <cellStyle name="Normal 10 2 3 3" xfId="1798"/>
    <cellStyle name="Normal 10 2 3 3 2" xfId="1799"/>
    <cellStyle name="Normal 10 2 3 3 2 2" xfId="10566"/>
    <cellStyle name="Normal 10 2 3 3 2 3" xfId="16282"/>
    <cellStyle name="Normal 10 2 3 3 3" xfId="1800"/>
    <cellStyle name="Normal 10 2 3 3 3 2" xfId="10567"/>
    <cellStyle name="Normal 10 2 3 3 3 3" xfId="16283"/>
    <cellStyle name="Normal 10 2 3 3 4" xfId="1801"/>
    <cellStyle name="Normal 10 2 3 3 4 2" xfId="10568"/>
    <cellStyle name="Normal 10 2 3 3 4 3" xfId="16284"/>
    <cellStyle name="Normal 10 2 3 3 5" xfId="1802"/>
    <cellStyle name="Normal 10 2 3 3 5 2" xfId="10569"/>
    <cellStyle name="Normal 10 2 3 3 5 3" xfId="16285"/>
    <cellStyle name="Normal 10 2 3 3 6" xfId="10565"/>
    <cellStyle name="Normal 10 2 3 3 7" xfId="16281"/>
    <cellStyle name="Normal 10 2 3 3_LNG &amp; LPG rework" xfId="6716"/>
    <cellStyle name="Normal 10 2 3 4" xfId="1803"/>
    <cellStyle name="Normal 10 2 3 4 2" xfId="10570"/>
    <cellStyle name="Normal 10 2 3 4 3" xfId="16286"/>
    <cellStyle name="Normal 10 2 3 5" xfId="1804"/>
    <cellStyle name="Normal 10 2 3 5 2" xfId="10571"/>
    <cellStyle name="Normal 10 2 3 5 3" xfId="16287"/>
    <cellStyle name="Normal 10 2 3 6" xfId="1805"/>
    <cellStyle name="Normal 10 2 3 6 2" xfId="10572"/>
    <cellStyle name="Normal 10 2 3 6 3" xfId="16288"/>
    <cellStyle name="Normal 10 2 3 7" xfId="1806"/>
    <cellStyle name="Normal 10 2 3 7 2" xfId="10573"/>
    <cellStyle name="Normal 10 2 3 7 3" xfId="16289"/>
    <cellStyle name="Normal 10 2 3 8" xfId="1807"/>
    <cellStyle name="Normal 10 2 3 8 2" xfId="10574"/>
    <cellStyle name="Normal 10 2 3 8 3" xfId="16290"/>
    <cellStyle name="Normal 10 2 3 9" xfId="9170"/>
    <cellStyle name="Normal 10 2 3_LNG &amp; LPG rework" xfId="6759"/>
    <cellStyle name="Normal 10 2 4" xfId="321"/>
    <cellStyle name="Normal 10 2 4 2" xfId="1808"/>
    <cellStyle name="Normal 10 2 4 2 2" xfId="10575"/>
    <cellStyle name="Normal 10 2 4 2 3" xfId="16292"/>
    <cellStyle name="Normal 10 2 4 3" xfId="1809"/>
    <cellStyle name="Normal 10 2 4 3 2" xfId="10576"/>
    <cellStyle name="Normal 10 2 4 3 3" xfId="16293"/>
    <cellStyle name="Normal 10 2 4 4" xfId="9172"/>
    <cellStyle name="Normal 10 2 4 5" xfId="16291"/>
    <cellStyle name="Normal 10 2 4_LNG &amp; LPG rework" xfId="6715"/>
    <cellStyle name="Normal 10 2 5" xfId="1810"/>
    <cellStyle name="Normal 10 2 5 2" xfId="1811"/>
    <cellStyle name="Normal 10 2 5 2 2" xfId="10578"/>
    <cellStyle name="Normal 10 2 5 2 3" xfId="16295"/>
    <cellStyle name="Normal 10 2 5 3" xfId="1812"/>
    <cellStyle name="Normal 10 2 5 3 2" xfId="10579"/>
    <cellStyle name="Normal 10 2 5 3 3" xfId="16296"/>
    <cellStyle name="Normal 10 2 5 4" xfId="1813"/>
    <cellStyle name="Normal 10 2 5 4 2" xfId="10580"/>
    <cellStyle name="Normal 10 2 5 4 3" xfId="16297"/>
    <cellStyle name="Normal 10 2 5 5" xfId="1814"/>
    <cellStyle name="Normal 10 2 5 5 2" xfId="10581"/>
    <cellStyle name="Normal 10 2 5 5 3" xfId="16298"/>
    <cellStyle name="Normal 10 2 5 6" xfId="10577"/>
    <cellStyle name="Normal 10 2 5 7" xfId="16294"/>
    <cellStyle name="Normal 10 2 5_LNG &amp; LPG rework" xfId="6714"/>
    <cellStyle name="Normal 10 2 6" xfId="1815"/>
    <cellStyle name="Normal 10 2 6 2" xfId="1816"/>
    <cellStyle name="Normal 10 2 6 2 2" xfId="10583"/>
    <cellStyle name="Normal 10 2 6 2 3" xfId="16300"/>
    <cellStyle name="Normal 10 2 6 3" xfId="1817"/>
    <cellStyle name="Normal 10 2 6 3 2" xfId="10584"/>
    <cellStyle name="Normal 10 2 6 3 3" xfId="16301"/>
    <cellStyle name="Normal 10 2 6 4" xfId="1818"/>
    <cellStyle name="Normal 10 2 6 4 2" xfId="10585"/>
    <cellStyle name="Normal 10 2 6 4 3" xfId="16302"/>
    <cellStyle name="Normal 10 2 6 5" xfId="1819"/>
    <cellStyle name="Normal 10 2 6 5 2" xfId="10586"/>
    <cellStyle name="Normal 10 2 6 5 3" xfId="16303"/>
    <cellStyle name="Normal 10 2 6 6" xfId="10582"/>
    <cellStyle name="Normal 10 2 6 7" xfId="16299"/>
    <cellStyle name="Normal 10 2 6_LNG &amp; LPG rework" xfId="6607"/>
    <cellStyle name="Normal 10 2 7" xfId="1820"/>
    <cellStyle name="Normal 10 2 7 2" xfId="1821"/>
    <cellStyle name="Normal 10 2 7 2 2" xfId="10588"/>
    <cellStyle name="Normal 10 2 7 2 3" xfId="16305"/>
    <cellStyle name="Normal 10 2 7 3" xfId="1822"/>
    <cellStyle name="Normal 10 2 7 3 2" xfId="10589"/>
    <cellStyle name="Normal 10 2 7 3 3" xfId="16306"/>
    <cellStyle name="Normal 10 2 7 4" xfId="1823"/>
    <cellStyle name="Normal 10 2 7 4 2" xfId="10590"/>
    <cellStyle name="Normal 10 2 7 4 3" xfId="16307"/>
    <cellStyle name="Normal 10 2 7 5" xfId="1824"/>
    <cellStyle name="Normal 10 2 7 5 2" xfId="10591"/>
    <cellStyle name="Normal 10 2 7 5 3" xfId="16308"/>
    <cellStyle name="Normal 10 2 7 6" xfId="10587"/>
    <cellStyle name="Normal 10 2 7 7" xfId="16304"/>
    <cellStyle name="Normal 10 2 7_LNG &amp; LPG rework" xfId="6760"/>
    <cellStyle name="Normal 10 2 8" xfId="1825"/>
    <cellStyle name="Normal 10 2 8 2" xfId="10592"/>
    <cellStyle name="Normal 10 2 8 3" xfId="16309"/>
    <cellStyle name="Normal 10 2 9" xfId="1826"/>
    <cellStyle name="Normal 10 2 9 2" xfId="10593"/>
    <cellStyle name="Normal 10 2 9 3" xfId="16310"/>
    <cellStyle name="Normal 10 2_LNG &amp; LPG rework" xfId="6752"/>
    <cellStyle name="Normal 10 20" xfId="1827"/>
    <cellStyle name="Normal 10 20 2" xfId="1828"/>
    <cellStyle name="Normal 10 20 2 2" xfId="1829"/>
    <cellStyle name="Normal 10 20 2 2 2" xfId="10596"/>
    <cellStyle name="Normal 10 20 2 2 3" xfId="16313"/>
    <cellStyle name="Normal 10 20 2 3" xfId="1830"/>
    <cellStyle name="Normal 10 20 2 3 2" xfId="10597"/>
    <cellStyle name="Normal 10 20 2 3 3" xfId="16314"/>
    <cellStyle name="Normal 10 20 2 4" xfId="1831"/>
    <cellStyle name="Normal 10 20 2 4 2" xfId="10598"/>
    <cellStyle name="Normal 10 20 2 4 3" xfId="16315"/>
    <cellStyle name="Normal 10 20 2 5" xfId="1832"/>
    <cellStyle name="Normal 10 20 2 5 2" xfId="10599"/>
    <cellStyle name="Normal 10 20 2 5 3" xfId="16316"/>
    <cellStyle name="Normal 10 20 2 6" xfId="10595"/>
    <cellStyle name="Normal 10 20 2 7" xfId="16312"/>
    <cellStyle name="Normal 10 20 2_LNG &amp; LPG rework" xfId="6712"/>
    <cellStyle name="Normal 10 20 3" xfId="1833"/>
    <cellStyle name="Normal 10 20 3 2" xfId="10600"/>
    <cellStyle name="Normal 10 20 3 3" xfId="16317"/>
    <cellStyle name="Normal 10 20 4" xfId="1834"/>
    <cellStyle name="Normal 10 20 4 2" xfId="10601"/>
    <cellStyle name="Normal 10 20 4 3" xfId="16318"/>
    <cellStyle name="Normal 10 20 5" xfId="1835"/>
    <cellStyle name="Normal 10 20 5 2" xfId="10602"/>
    <cellStyle name="Normal 10 20 5 3" xfId="16319"/>
    <cellStyle name="Normal 10 20 6" xfId="1836"/>
    <cellStyle name="Normal 10 20 6 2" xfId="10603"/>
    <cellStyle name="Normal 10 20 6 3" xfId="16320"/>
    <cellStyle name="Normal 10 20 7" xfId="10594"/>
    <cellStyle name="Normal 10 20 8" xfId="16311"/>
    <cellStyle name="Normal 10 20_LNG &amp; LPG rework" xfId="6713"/>
    <cellStyle name="Normal 10 21" xfId="1837"/>
    <cellStyle name="Normal 10 21 2" xfId="1838"/>
    <cellStyle name="Normal 10 21 2 2" xfId="10605"/>
    <cellStyle name="Normal 10 21 2 3" xfId="16322"/>
    <cellStyle name="Normal 10 21 3" xfId="1839"/>
    <cellStyle name="Normal 10 21 3 2" xfId="10606"/>
    <cellStyle name="Normal 10 21 3 3" xfId="16323"/>
    <cellStyle name="Normal 10 21 4" xfId="1840"/>
    <cellStyle name="Normal 10 21 4 2" xfId="10607"/>
    <cellStyle name="Normal 10 21 4 3" xfId="16324"/>
    <cellStyle name="Normal 10 21 5" xfId="1841"/>
    <cellStyle name="Normal 10 21 5 2" xfId="10608"/>
    <cellStyle name="Normal 10 21 5 3" xfId="16325"/>
    <cellStyle name="Normal 10 21 6" xfId="10604"/>
    <cellStyle name="Normal 10 21 7" xfId="16321"/>
    <cellStyle name="Normal 10 21_LNG &amp; LPG rework" xfId="6761"/>
    <cellStyle name="Normal 10 22" xfId="1842"/>
    <cellStyle name="Normal 10 22 2" xfId="1843"/>
    <cellStyle name="Normal 10 22 2 2" xfId="10610"/>
    <cellStyle name="Normal 10 22 2 3" xfId="16327"/>
    <cellStyle name="Normal 10 22 3" xfId="1844"/>
    <cellStyle name="Normal 10 22 3 2" xfId="10611"/>
    <cellStyle name="Normal 10 22 3 3" xfId="16328"/>
    <cellStyle name="Normal 10 22 4" xfId="1845"/>
    <cellStyle name="Normal 10 22 4 2" xfId="10612"/>
    <cellStyle name="Normal 10 22 4 3" xfId="16329"/>
    <cellStyle name="Normal 10 22 5" xfId="1846"/>
    <cellStyle name="Normal 10 22 5 2" xfId="10613"/>
    <cellStyle name="Normal 10 22 5 3" xfId="16330"/>
    <cellStyle name="Normal 10 22 6" xfId="10609"/>
    <cellStyle name="Normal 10 22 7" xfId="16326"/>
    <cellStyle name="Normal 10 22_LNG &amp; LPG rework" xfId="6711"/>
    <cellStyle name="Normal 10 23" xfId="1847"/>
    <cellStyle name="Normal 10 23 2" xfId="10614"/>
    <cellStyle name="Normal 10 23 3" xfId="16331"/>
    <cellStyle name="Normal 10 24" xfId="1848"/>
    <cellStyle name="Normal 10 24 2" xfId="10615"/>
    <cellStyle name="Normal 10 24 3" xfId="16332"/>
    <cellStyle name="Normal 10 25" xfId="1849"/>
    <cellStyle name="Normal 10 25 2" xfId="10616"/>
    <cellStyle name="Normal 10 25 3" xfId="16333"/>
    <cellStyle name="Normal 10 26" xfId="1850"/>
    <cellStyle name="Normal 10 26 2" xfId="10617"/>
    <cellStyle name="Normal 10 26 3" xfId="16334"/>
    <cellStyle name="Normal 10 27" xfId="1851"/>
    <cellStyle name="Normal 10 27 2" xfId="10618"/>
    <cellStyle name="Normal 10 27 3" xfId="16335"/>
    <cellStyle name="Normal 10 28" xfId="1852"/>
    <cellStyle name="Normal 10 28 2" xfId="10619"/>
    <cellStyle name="Normal 10 28 3" xfId="16336"/>
    <cellStyle name="Normal 10 29" xfId="9164"/>
    <cellStyle name="Normal 10 3" xfId="322"/>
    <cellStyle name="Normal 10 3 10" xfId="1853"/>
    <cellStyle name="Normal 10 3 10 2" xfId="10620"/>
    <cellStyle name="Normal 10 3 10 3" xfId="16338"/>
    <cellStyle name="Normal 10 3 11" xfId="9173"/>
    <cellStyle name="Normal 10 3 12" xfId="16337"/>
    <cellStyle name="Normal 10 3 2" xfId="323"/>
    <cellStyle name="Normal 10 3 2 10" xfId="16339"/>
    <cellStyle name="Normal 10 3 2 2" xfId="324"/>
    <cellStyle name="Normal 10 3 2 2 2" xfId="1854"/>
    <cellStyle name="Normal 10 3 2 2 2 2" xfId="10621"/>
    <cellStyle name="Normal 10 3 2 2 2 3" xfId="16341"/>
    <cellStyle name="Normal 10 3 2 2 3" xfId="1855"/>
    <cellStyle name="Normal 10 3 2 2 3 2" xfId="10622"/>
    <cellStyle name="Normal 10 3 2 2 3 3" xfId="16342"/>
    <cellStyle name="Normal 10 3 2 2 4" xfId="1856"/>
    <cellStyle name="Normal 10 3 2 2 4 2" xfId="10623"/>
    <cellStyle name="Normal 10 3 2 2 4 3" xfId="16343"/>
    <cellStyle name="Normal 10 3 2 2 5" xfId="1857"/>
    <cellStyle name="Normal 10 3 2 2 5 2" xfId="10624"/>
    <cellStyle name="Normal 10 3 2 2 5 3" xfId="16344"/>
    <cellStyle name="Normal 10 3 2 2 6" xfId="1858"/>
    <cellStyle name="Normal 10 3 2 2 6 2" xfId="10625"/>
    <cellStyle name="Normal 10 3 2 2 6 3" xfId="16345"/>
    <cellStyle name="Normal 10 3 2 2 7" xfId="9175"/>
    <cellStyle name="Normal 10 3 2 2 8" xfId="16340"/>
    <cellStyle name="Normal 10 3 2 2_LNG &amp; LPG rework" xfId="6708"/>
    <cellStyle name="Normal 10 3 2 3" xfId="1859"/>
    <cellStyle name="Normal 10 3 2 3 2" xfId="1860"/>
    <cellStyle name="Normal 10 3 2 3 2 2" xfId="10627"/>
    <cellStyle name="Normal 10 3 2 3 2 3" xfId="16347"/>
    <cellStyle name="Normal 10 3 2 3 3" xfId="1861"/>
    <cellStyle name="Normal 10 3 2 3 3 2" xfId="10628"/>
    <cellStyle name="Normal 10 3 2 3 3 3" xfId="16348"/>
    <cellStyle name="Normal 10 3 2 3 4" xfId="1862"/>
    <cellStyle name="Normal 10 3 2 3 4 2" xfId="10629"/>
    <cellStyle name="Normal 10 3 2 3 4 3" xfId="16349"/>
    <cellStyle name="Normal 10 3 2 3 5" xfId="1863"/>
    <cellStyle name="Normal 10 3 2 3 5 2" xfId="10630"/>
    <cellStyle name="Normal 10 3 2 3 5 3" xfId="16350"/>
    <cellStyle name="Normal 10 3 2 3 6" xfId="10626"/>
    <cellStyle name="Normal 10 3 2 3 7" xfId="16346"/>
    <cellStyle name="Normal 10 3 2 3_LNG &amp; LPG rework" xfId="6762"/>
    <cellStyle name="Normal 10 3 2 4" xfId="1864"/>
    <cellStyle name="Normal 10 3 2 4 2" xfId="10631"/>
    <cellStyle name="Normal 10 3 2 4 3" xfId="16351"/>
    <cellStyle name="Normal 10 3 2 5" xfId="1865"/>
    <cellStyle name="Normal 10 3 2 5 2" xfId="10632"/>
    <cellStyle name="Normal 10 3 2 5 3" xfId="16352"/>
    <cellStyle name="Normal 10 3 2 6" xfId="1866"/>
    <cellStyle name="Normal 10 3 2 6 2" xfId="10633"/>
    <cellStyle name="Normal 10 3 2 6 3" xfId="16353"/>
    <cellStyle name="Normal 10 3 2 7" xfId="1867"/>
    <cellStyle name="Normal 10 3 2 7 2" xfId="10634"/>
    <cellStyle name="Normal 10 3 2 7 3" xfId="16354"/>
    <cellStyle name="Normal 10 3 2 8" xfId="1868"/>
    <cellStyle name="Normal 10 3 2 8 2" xfId="10635"/>
    <cellStyle name="Normal 10 3 2 8 3" xfId="16355"/>
    <cellStyle name="Normal 10 3 2 9" xfId="9174"/>
    <cellStyle name="Normal 10 3 2_LNG &amp; LPG rework" xfId="6709"/>
    <cellStyle name="Normal 10 3 3" xfId="325"/>
    <cellStyle name="Normal 10 3 3 2" xfId="1869"/>
    <cellStyle name="Normal 10 3 3 2 2" xfId="10636"/>
    <cellStyle name="Normal 10 3 3 2 3" xfId="16357"/>
    <cellStyle name="Normal 10 3 3 3" xfId="1870"/>
    <cellStyle name="Normal 10 3 3 3 2" xfId="10637"/>
    <cellStyle name="Normal 10 3 3 3 3" xfId="16358"/>
    <cellStyle name="Normal 10 3 3 4" xfId="1871"/>
    <cellStyle name="Normal 10 3 3 4 2" xfId="10638"/>
    <cellStyle name="Normal 10 3 3 4 3" xfId="16359"/>
    <cellStyle name="Normal 10 3 3 5" xfId="1872"/>
    <cellStyle name="Normal 10 3 3 5 2" xfId="10639"/>
    <cellStyle name="Normal 10 3 3 5 3" xfId="16360"/>
    <cellStyle name="Normal 10 3 3 6" xfId="1873"/>
    <cellStyle name="Normal 10 3 3 6 2" xfId="10640"/>
    <cellStyle name="Normal 10 3 3 6 3" xfId="16361"/>
    <cellStyle name="Normal 10 3 3 7" xfId="9176"/>
    <cellStyle name="Normal 10 3 3 8" xfId="16356"/>
    <cellStyle name="Normal 10 3 3_LNG &amp; LPG rework" xfId="6707"/>
    <cellStyle name="Normal 10 3 4" xfId="1874"/>
    <cellStyle name="Normal 10 3 4 2" xfId="1875"/>
    <cellStyle name="Normal 10 3 4 2 2" xfId="10642"/>
    <cellStyle name="Normal 10 3 4 2 3" xfId="16363"/>
    <cellStyle name="Normal 10 3 4 3" xfId="1876"/>
    <cellStyle name="Normal 10 3 4 3 2" xfId="10643"/>
    <cellStyle name="Normal 10 3 4 3 3" xfId="16364"/>
    <cellStyle name="Normal 10 3 4 4" xfId="1877"/>
    <cellStyle name="Normal 10 3 4 4 2" xfId="10644"/>
    <cellStyle name="Normal 10 3 4 4 3" xfId="16365"/>
    <cellStyle name="Normal 10 3 4 5" xfId="1878"/>
    <cellStyle name="Normal 10 3 4 5 2" xfId="10645"/>
    <cellStyle name="Normal 10 3 4 5 3" xfId="16366"/>
    <cellStyle name="Normal 10 3 4 6" xfId="10641"/>
    <cellStyle name="Normal 10 3 4 7" xfId="16362"/>
    <cellStyle name="Normal 10 3 4_LNG &amp; LPG rework" xfId="6706"/>
    <cellStyle name="Normal 10 3 5" xfId="1879"/>
    <cellStyle name="Normal 10 3 5 2" xfId="1880"/>
    <cellStyle name="Normal 10 3 5 2 2" xfId="10647"/>
    <cellStyle name="Normal 10 3 5 2 3" xfId="16368"/>
    <cellStyle name="Normal 10 3 5 3" xfId="1881"/>
    <cellStyle name="Normal 10 3 5 3 2" xfId="10648"/>
    <cellStyle name="Normal 10 3 5 3 3" xfId="16369"/>
    <cellStyle name="Normal 10 3 5 4" xfId="1882"/>
    <cellStyle name="Normal 10 3 5 4 2" xfId="10649"/>
    <cellStyle name="Normal 10 3 5 4 3" xfId="16370"/>
    <cellStyle name="Normal 10 3 5 5" xfId="1883"/>
    <cellStyle name="Normal 10 3 5 5 2" xfId="10650"/>
    <cellStyle name="Normal 10 3 5 5 3" xfId="16371"/>
    <cellStyle name="Normal 10 3 5 6" xfId="10646"/>
    <cellStyle name="Normal 10 3 5 7" xfId="16367"/>
    <cellStyle name="Normal 10 3 5_LNG &amp; LPG rework" xfId="6763"/>
    <cellStyle name="Normal 10 3 6" xfId="1884"/>
    <cellStyle name="Normal 10 3 6 2" xfId="10651"/>
    <cellStyle name="Normal 10 3 6 3" xfId="16372"/>
    <cellStyle name="Normal 10 3 7" xfId="1885"/>
    <cellStyle name="Normal 10 3 7 2" xfId="10652"/>
    <cellStyle name="Normal 10 3 7 3" xfId="16373"/>
    <cellStyle name="Normal 10 3 8" xfId="1886"/>
    <cellStyle name="Normal 10 3 8 2" xfId="10653"/>
    <cellStyle name="Normal 10 3 8 3" xfId="16374"/>
    <cellStyle name="Normal 10 3 9" xfId="1887"/>
    <cellStyle name="Normal 10 3 9 2" xfId="10654"/>
    <cellStyle name="Normal 10 3 9 3" xfId="16375"/>
    <cellStyle name="Normal 10 3_LNG &amp; LPG rework" xfId="6710"/>
    <cellStyle name="Normal 10 30" xfId="14953"/>
    <cellStyle name="Normal 10 31" xfId="29511"/>
    <cellStyle name="Normal 10 4" xfId="326"/>
    <cellStyle name="Normal 10 4 10" xfId="16376"/>
    <cellStyle name="Normal 10 4 2" xfId="327"/>
    <cellStyle name="Normal 10 4 2 2" xfId="1888"/>
    <cellStyle name="Normal 10 4 2 2 2" xfId="10655"/>
    <cellStyle name="Normal 10 4 2 2 3" xfId="16378"/>
    <cellStyle name="Normal 10 4 2 3" xfId="1889"/>
    <cellStyle name="Normal 10 4 2 3 2" xfId="10656"/>
    <cellStyle name="Normal 10 4 2 3 3" xfId="16379"/>
    <cellStyle name="Normal 10 4 2 4" xfId="1890"/>
    <cellStyle name="Normal 10 4 2 4 2" xfId="10657"/>
    <cellStyle name="Normal 10 4 2 4 3" xfId="16380"/>
    <cellStyle name="Normal 10 4 2 5" xfId="1891"/>
    <cellStyle name="Normal 10 4 2 5 2" xfId="10658"/>
    <cellStyle name="Normal 10 4 2 5 3" xfId="16381"/>
    <cellStyle name="Normal 10 4 2 6" xfId="1892"/>
    <cellStyle name="Normal 10 4 2 6 2" xfId="10659"/>
    <cellStyle name="Normal 10 4 2 6 3" xfId="16382"/>
    <cellStyle name="Normal 10 4 2 7" xfId="9178"/>
    <cellStyle name="Normal 10 4 2 8" xfId="16377"/>
    <cellStyle name="Normal 10 4 2_LNG &amp; LPG rework" xfId="6765"/>
    <cellStyle name="Normal 10 4 3" xfId="1893"/>
    <cellStyle name="Normal 10 4 3 2" xfId="1894"/>
    <cellStyle name="Normal 10 4 3 2 2" xfId="10661"/>
    <cellStyle name="Normal 10 4 3 2 3" xfId="16384"/>
    <cellStyle name="Normal 10 4 3 3" xfId="1895"/>
    <cellStyle name="Normal 10 4 3 3 2" xfId="10662"/>
    <cellStyle name="Normal 10 4 3 3 3" xfId="16385"/>
    <cellStyle name="Normal 10 4 3 4" xfId="1896"/>
    <cellStyle name="Normal 10 4 3 4 2" xfId="10663"/>
    <cellStyle name="Normal 10 4 3 4 3" xfId="16386"/>
    <cellStyle name="Normal 10 4 3 5" xfId="1897"/>
    <cellStyle name="Normal 10 4 3 5 2" xfId="10664"/>
    <cellStyle name="Normal 10 4 3 5 3" xfId="16387"/>
    <cellStyle name="Normal 10 4 3 6" xfId="10660"/>
    <cellStyle name="Normal 10 4 3 7" xfId="16383"/>
    <cellStyle name="Normal 10 4 3_LNG &amp; LPG rework" xfId="6766"/>
    <cellStyle name="Normal 10 4 4" xfId="1898"/>
    <cellStyle name="Normal 10 4 4 2" xfId="10665"/>
    <cellStyle name="Normal 10 4 4 3" xfId="16388"/>
    <cellStyle name="Normal 10 4 5" xfId="1899"/>
    <cellStyle name="Normal 10 4 5 2" xfId="10666"/>
    <cellStyle name="Normal 10 4 5 3" xfId="16389"/>
    <cellStyle name="Normal 10 4 6" xfId="1900"/>
    <cellStyle name="Normal 10 4 6 2" xfId="10667"/>
    <cellStyle name="Normal 10 4 6 3" xfId="16390"/>
    <cellStyle name="Normal 10 4 7" xfId="1901"/>
    <cellStyle name="Normal 10 4 7 2" xfId="10668"/>
    <cellStyle name="Normal 10 4 7 3" xfId="16391"/>
    <cellStyle name="Normal 10 4 8" xfId="1902"/>
    <cellStyle name="Normal 10 4 8 2" xfId="10669"/>
    <cellStyle name="Normal 10 4 8 3" xfId="16392"/>
    <cellStyle name="Normal 10 4 9" xfId="9177"/>
    <cellStyle name="Normal 10 4_LNG &amp; LPG rework" xfId="6764"/>
    <cellStyle name="Normal 10 5" xfId="328"/>
    <cellStyle name="Normal 10 5 10" xfId="16393"/>
    <cellStyle name="Normal 10 5 2" xfId="1903"/>
    <cellStyle name="Normal 10 5 2 2" xfId="1904"/>
    <cellStyle name="Normal 10 5 2 2 2" xfId="10671"/>
    <cellStyle name="Normal 10 5 2 2 3" xfId="16395"/>
    <cellStyle name="Normal 10 5 2 3" xfId="1905"/>
    <cellStyle name="Normal 10 5 2 3 2" xfId="10672"/>
    <cellStyle name="Normal 10 5 2 3 3" xfId="16396"/>
    <cellStyle name="Normal 10 5 2 4" xfId="1906"/>
    <cellStyle name="Normal 10 5 2 4 2" xfId="10673"/>
    <cellStyle name="Normal 10 5 2 4 3" xfId="16397"/>
    <cellStyle name="Normal 10 5 2 5" xfId="1907"/>
    <cellStyle name="Normal 10 5 2 5 2" xfId="10674"/>
    <cellStyle name="Normal 10 5 2 5 3" xfId="16398"/>
    <cellStyle name="Normal 10 5 2 6" xfId="10670"/>
    <cellStyle name="Normal 10 5 2 7" xfId="16394"/>
    <cellStyle name="Normal 10 5 2_LNG &amp; LPG rework" xfId="6767"/>
    <cellStyle name="Normal 10 5 3" xfId="1908"/>
    <cellStyle name="Normal 10 5 3 2" xfId="1909"/>
    <cellStyle name="Normal 10 5 3 2 2" xfId="10676"/>
    <cellStyle name="Normal 10 5 3 2 3" xfId="16400"/>
    <cellStyle name="Normal 10 5 3 3" xfId="1910"/>
    <cellStyle name="Normal 10 5 3 3 2" xfId="10677"/>
    <cellStyle name="Normal 10 5 3 3 3" xfId="16401"/>
    <cellStyle name="Normal 10 5 3 4" xfId="1911"/>
    <cellStyle name="Normal 10 5 3 4 2" xfId="10678"/>
    <cellStyle name="Normal 10 5 3 4 3" xfId="16402"/>
    <cellStyle name="Normal 10 5 3 5" xfId="1912"/>
    <cellStyle name="Normal 10 5 3 5 2" xfId="10679"/>
    <cellStyle name="Normal 10 5 3 5 3" xfId="16403"/>
    <cellStyle name="Normal 10 5 3 6" xfId="10675"/>
    <cellStyle name="Normal 10 5 3 7" xfId="16399"/>
    <cellStyle name="Normal 10 5 3_LNG &amp; LPG rework" xfId="6769"/>
    <cellStyle name="Normal 10 5 4" xfId="1913"/>
    <cellStyle name="Normal 10 5 4 2" xfId="10680"/>
    <cellStyle name="Normal 10 5 4 3" xfId="16404"/>
    <cellStyle name="Normal 10 5 5" xfId="1914"/>
    <cellStyle name="Normal 10 5 5 2" xfId="10681"/>
    <cellStyle name="Normal 10 5 5 3" xfId="16405"/>
    <cellStyle name="Normal 10 5 6" xfId="1915"/>
    <cellStyle name="Normal 10 5 6 2" xfId="10682"/>
    <cellStyle name="Normal 10 5 6 3" xfId="16406"/>
    <cellStyle name="Normal 10 5 7" xfId="1916"/>
    <cellStyle name="Normal 10 5 7 2" xfId="10683"/>
    <cellStyle name="Normal 10 5 7 3" xfId="16407"/>
    <cellStyle name="Normal 10 5 8" xfId="1917"/>
    <cellStyle name="Normal 10 5 8 2" xfId="10684"/>
    <cellStyle name="Normal 10 5 8 3" xfId="16408"/>
    <cellStyle name="Normal 10 5 9" xfId="9179"/>
    <cellStyle name="Normal 10 5_LNG &amp; LPG rework" xfId="6768"/>
    <cellStyle name="Normal 10 6" xfId="1918"/>
    <cellStyle name="Normal 10 7" xfId="1919"/>
    <cellStyle name="Normal 10 7 2" xfId="1920"/>
    <cellStyle name="Normal 10 7 2 2" xfId="1921"/>
    <cellStyle name="Normal 10 7 2 2 2" xfId="10687"/>
    <cellStyle name="Normal 10 7 2 2 3" xfId="16411"/>
    <cellStyle name="Normal 10 7 2 3" xfId="1922"/>
    <cellStyle name="Normal 10 7 2 3 2" xfId="10688"/>
    <cellStyle name="Normal 10 7 2 3 3" xfId="16412"/>
    <cellStyle name="Normal 10 7 2 4" xfId="1923"/>
    <cellStyle name="Normal 10 7 2 4 2" xfId="10689"/>
    <cellStyle name="Normal 10 7 2 4 3" xfId="16413"/>
    <cellStyle name="Normal 10 7 2 5" xfId="1924"/>
    <cellStyle name="Normal 10 7 2 5 2" xfId="10690"/>
    <cellStyle name="Normal 10 7 2 5 3" xfId="16414"/>
    <cellStyle name="Normal 10 7 2 6" xfId="10686"/>
    <cellStyle name="Normal 10 7 2 7" xfId="16410"/>
    <cellStyle name="Normal 10 7 2_LNG &amp; LPG rework" xfId="6770"/>
    <cellStyle name="Normal 10 7 3" xfId="1925"/>
    <cellStyle name="Normal 10 7 3 2" xfId="1926"/>
    <cellStyle name="Normal 10 7 3 2 2" xfId="10692"/>
    <cellStyle name="Normal 10 7 3 2 3" xfId="16416"/>
    <cellStyle name="Normal 10 7 3 3" xfId="1927"/>
    <cellStyle name="Normal 10 7 3 3 2" xfId="10693"/>
    <cellStyle name="Normal 10 7 3 3 3" xfId="16417"/>
    <cellStyle name="Normal 10 7 3 4" xfId="1928"/>
    <cellStyle name="Normal 10 7 3 4 2" xfId="10694"/>
    <cellStyle name="Normal 10 7 3 4 3" xfId="16418"/>
    <cellStyle name="Normal 10 7 3 5" xfId="1929"/>
    <cellStyle name="Normal 10 7 3 5 2" xfId="10695"/>
    <cellStyle name="Normal 10 7 3 5 3" xfId="16419"/>
    <cellStyle name="Normal 10 7 3 6" xfId="10691"/>
    <cellStyle name="Normal 10 7 3 7" xfId="16415"/>
    <cellStyle name="Normal 10 7 3_LNG &amp; LPG rework" xfId="6772"/>
    <cellStyle name="Normal 10 7 4" xfId="1930"/>
    <cellStyle name="Normal 10 7 4 2" xfId="10696"/>
    <cellStyle name="Normal 10 7 4 3" xfId="16420"/>
    <cellStyle name="Normal 10 7 5" xfId="1931"/>
    <cellStyle name="Normal 10 7 5 2" xfId="10697"/>
    <cellStyle name="Normal 10 7 5 3" xfId="16421"/>
    <cellStyle name="Normal 10 7 6" xfId="1932"/>
    <cellStyle name="Normal 10 7 6 2" xfId="10698"/>
    <cellStyle name="Normal 10 7 6 3" xfId="16422"/>
    <cellStyle name="Normal 10 7 7" xfId="1933"/>
    <cellStyle name="Normal 10 7 7 2" xfId="10699"/>
    <cellStyle name="Normal 10 7 7 3" xfId="16423"/>
    <cellStyle name="Normal 10 7 8" xfId="10685"/>
    <cellStyle name="Normal 10 7 9" xfId="16409"/>
    <cellStyle name="Normal 10 7_LNG &amp; LPG rework" xfId="6771"/>
    <cellStyle name="Normal 10 8" xfId="1934"/>
    <cellStyle name="Normal 10 8 2" xfId="1935"/>
    <cellStyle name="Normal 10 8 2 2" xfId="1936"/>
    <cellStyle name="Normal 10 8 2 2 2" xfId="10702"/>
    <cellStyle name="Normal 10 8 2 2 3" xfId="16426"/>
    <cellStyle name="Normal 10 8 2 3" xfId="1937"/>
    <cellStyle name="Normal 10 8 2 3 2" xfId="10703"/>
    <cellStyle name="Normal 10 8 2 3 3" xfId="16427"/>
    <cellStyle name="Normal 10 8 2 4" xfId="1938"/>
    <cellStyle name="Normal 10 8 2 4 2" xfId="10704"/>
    <cellStyle name="Normal 10 8 2 4 3" xfId="16428"/>
    <cellStyle name="Normal 10 8 2 5" xfId="1939"/>
    <cellStyle name="Normal 10 8 2 5 2" xfId="10705"/>
    <cellStyle name="Normal 10 8 2 5 3" xfId="16429"/>
    <cellStyle name="Normal 10 8 2 6" xfId="10701"/>
    <cellStyle name="Normal 10 8 2 7" xfId="16425"/>
    <cellStyle name="Normal 10 8 2_LNG &amp; LPG rework" xfId="6774"/>
    <cellStyle name="Normal 10 8 3" xfId="1940"/>
    <cellStyle name="Normal 10 8 3 2" xfId="1941"/>
    <cellStyle name="Normal 10 8 3 2 2" xfId="10707"/>
    <cellStyle name="Normal 10 8 3 2 3" xfId="16431"/>
    <cellStyle name="Normal 10 8 3 3" xfId="1942"/>
    <cellStyle name="Normal 10 8 3 3 2" xfId="10708"/>
    <cellStyle name="Normal 10 8 3 3 3" xfId="16432"/>
    <cellStyle name="Normal 10 8 3 4" xfId="1943"/>
    <cellStyle name="Normal 10 8 3 4 2" xfId="10709"/>
    <cellStyle name="Normal 10 8 3 4 3" xfId="16433"/>
    <cellStyle name="Normal 10 8 3 5" xfId="1944"/>
    <cellStyle name="Normal 10 8 3 5 2" xfId="10710"/>
    <cellStyle name="Normal 10 8 3 5 3" xfId="16434"/>
    <cellStyle name="Normal 10 8 3 6" xfId="10706"/>
    <cellStyle name="Normal 10 8 3 7" xfId="16430"/>
    <cellStyle name="Normal 10 8 3_LNG &amp; LPG rework" xfId="6984"/>
    <cellStyle name="Normal 10 8 4" xfId="1945"/>
    <cellStyle name="Normal 10 8 4 2" xfId="10711"/>
    <cellStyle name="Normal 10 8 4 3" xfId="16435"/>
    <cellStyle name="Normal 10 8 5" xfId="1946"/>
    <cellStyle name="Normal 10 8 5 2" xfId="10712"/>
    <cellStyle name="Normal 10 8 5 3" xfId="16436"/>
    <cellStyle name="Normal 10 8 6" xfId="1947"/>
    <cellStyle name="Normal 10 8 6 2" xfId="10713"/>
    <cellStyle name="Normal 10 8 6 3" xfId="16437"/>
    <cellStyle name="Normal 10 8 7" xfId="1948"/>
    <cellStyle name="Normal 10 8 7 2" xfId="10714"/>
    <cellStyle name="Normal 10 8 7 3" xfId="16438"/>
    <cellStyle name="Normal 10 8 8" xfId="10700"/>
    <cellStyle name="Normal 10 8 9" xfId="16424"/>
    <cellStyle name="Normal 10 8_LNG &amp; LPG rework" xfId="6773"/>
    <cellStyle name="Normal 10 9" xfId="1949"/>
    <cellStyle name="Normal 10 9 2" xfId="1950"/>
    <cellStyle name="Normal 10 9 2 2" xfId="1951"/>
    <cellStyle name="Normal 10 9 2 2 2" xfId="10717"/>
    <cellStyle name="Normal 10 9 2 2 3" xfId="16441"/>
    <cellStyle name="Normal 10 9 2 3" xfId="1952"/>
    <cellStyle name="Normal 10 9 2 3 2" xfId="10718"/>
    <cellStyle name="Normal 10 9 2 3 3" xfId="16442"/>
    <cellStyle name="Normal 10 9 2 4" xfId="1953"/>
    <cellStyle name="Normal 10 9 2 4 2" xfId="10719"/>
    <cellStyle name="Normal 10 9 2 4 3" xfId="16443"/>
    <cellStyle name="Normal 10 9 2 5" xfId="1954"/>
    <cellStyle name="Normal 10 9 2 5 2" xfId="10720"/>
    <cellStyle name="Normal 10 9 2 5 3" xfId="16444"/>
    <cellStyle name="Normal 10 9 2 6" xfId="10716"/>
    <cellStyle name="Normal 10 9 2 7" xfId="16440"/>
    <cellStyle name="Normal 10 9 2_LNG &amp; LPG rework" xfId="6776"/>
    <cellStyle name="Normal 10 9 3" xfId="1955"/>
    <cellStyle name="Normal 10 9 3 2" xfId="1956"/>
    <cellStyle name="Normal 10 9 3 2 2" xfId="10722"/>
    <cellStyle name="Normal 10 9 3 2 3" xfId="16446"/>
    <cellStyle name="Normal 10 9 3 3" xfId="1957"/>
    <cellStyle name="Normal 10 9 3 3 2" xfId="10723"/>
    <cellStyle name="Normal 10 9 3 3 3" xfId="16447"/>
    <cellStyle name="Normal 10 9 3 4" xfId="1958"/>
    <cellStyle name="Normal 10 9 3 4 2" xfId="10724"/>
    <cellStyle name="Normal 10 9 3 4 3" xfId="16448"/>
    <cellStyle name="Normal 10 9 3 5" xfId="1959"/>
    <cellStyle name="Normal 10 9 3 5 2" xfId="10725"/>
    <cellStyle name="Normal 10 9 3 5 3" xfId="16449"/>
    <cellStyle name="Normal 10 9 3 6" xfId="10721"/>
    <cellStyle name="Normal 10 9 3 7" xfId="16445"/>
    <cellStyle name="Normal 10 9 3_LNG &amp; LPG rework" xfId="6610"/>
    <cellStyle name="Normal 10 9 4" xfId="1960"/>
    <cellStyle name="Normal 10 9 4 2" xfId="10726"/>
    <cellStyle name="Normal 10 9 4 3" xfId="16450"/>
    <cellStyle name="Normal 10 9 5" xfId="1961"/>
    <cellStyle name="Normal 10 9 5 2" xfId="10727"/>
    <cellStyle name="Normal 10 9 5 3" xfId="16451"/>
    <cellStyle name="Normal 10 9 6" xfId="1962"/>
    <cellStyle name="Normal 10 9 6 2" xfId="10728"/>
    <cellStyle name="Normal 10 9 6 3" xfId="16452"/>
    <cellStyle name="Normal 10 9 7" xfId="1963"/>
    <cellStyle name="Normal 10 9 7 2" xfId="10729"/>
    <cellStyle name="Normal 10 9 7 3" xfId="16453"/>
    <cellStyle name="Normal 10 9 8" xfId="10715"/>
    <cellStyle name="Normal 10 9 9" xfId="16439"/>
    <cellStyle name="Normal 10 9_LNG &amp; LPG rework" xfId="6775"/>
    <cellStyle name="Normal 10_2015  Data" xfId="329"/>
    <cellStyle name="Normal 100" xfId="1964"/>
    <cellStyle name="Normal 100 2" xfId="1965"/>
    <cellStyle name="Normal 100 2 2" xfId="10730"/>
    <cellStyle name="Normal 100 2 3" xfId="16454"/>
    <cellStyle name="Normal 101" xfId="1966"/>
    <cellStyle name="Normal 101 2" xfId="1967"/>
    <cellStyle name="Normal 101 2 2" xfId="10731"/>
    <cellStyle name="Normal 101 2 3" xfId="16455"/>
    <cellStyle name="Normal 102" xfId="1968"/>
    <cellStyle name="Normal 103" xfId="1969"/>
    <cellStyle name="Normal 104" xfId="1970"/>
    <cellStyle name="Normal 105" xfId="1971"/>
    <cellStyle name="Normal 106" xfId="1972"/>
    <cellStyle name="Normal 107" xfId="1973"/>
    <cellStyle name="Normal 108" xfId="1974"/>
    <cellStyle name="Normal 109" xfId="1975"/>
    <cellStyle name="Normal 11" xfId="330"/>
    <cellStyle name="Normal 11 10" xfId="1976"/>
    <cellStyle name="Normal 11 10 2" xfId="1977"/>
    <cellStyle name="Normal 11 10 2 2" xfId="1978"/>
    <cellStyle name="Normal 11 10 2 2 2" xfId="10734"/>
    <cellStyle name="Normal 11 10 2 2 3" xfId="16458"/>
    <cellStyle name="Normal 11 10 2 3" xfId="1979"/>
    <cellStyle name="Normal 11 10 2 3 2" xfId="10735"/>
    <cellStyle name="Normal 11 10 2 3 3" xfId="16459"/>
    <cellStyle name="Normal 11 10 2 4" xfId="1980"/>
    <cellStyle name="Normal 11 10 2 4 2" xfId="10736"/>
    <cellStyle name="Normal 11 10 2 4 3" xfId="16460"/>
    <cellStyle name="Normal 11 10 2 5" xfId="1981"/>
    <cellStyle name="Normal 11 10 2 5 2" xfId="10737"/>
    <cellStyle name="Normal 11 10 2 5 3" xfId="16461"/>
    <cellStyle name="Normal 11 10 2 6" xfId="10733"/>
    <cellStyle name="Normal 11 10 2 7" xfId="16457"/>
    <cellStyle name="Normal 11 10 2_LNG &amp; LPG rework" xfId="6777"/>
    <cellStyle name="Normal 11 10 3" xfId="1982"/>
    <cellStyle name="Normal 11 10 3 2" xfId="1983"/>
    <cellStyle name="Normal 11 10 3 2 2" xfId="10739"/>
    <cellStyle name="Normal 11 10 3 2 3" xfId="16463"/>
    <cellStyle name="Normal 11 10 3 3" xfId="1984"/>
    <cellStyle name="Normal 11 10 3 3 2" xfId="10740"/>
    <cellStyle name="Normal 11 10 3 3 3" xfId="16464"/>
    <cellStyle name="Normal 11 10 3 4" xfId="1985"/>
    <cellStyle name="Normal 11 10 3 4 2" xfId="10741"/>
    <cellStyle name="Normal 11 10 3 4 3" xfId="16465"/>
    <cellStyle name="Normal 11 10 3 5" xfId="1986"/>
    <cellStyle name="Normal 11 10 3 5 2" xfId="10742"/>
    <cellStyle name="Normal 11 10 3 5 3" xfId="16466"/>
    <cellStyle name="Normal 11 10 3 6" xfId="10738"/>
    <cellStyle name="Normal 11 10 3 7" xfId="16462"/>
    <cellStyle name="Normal 11 10 3_LNG &amp; LPG rework" xfId="6778"/>
    <cellStyle name="Normal 11 10 4" xfId="1987"/>
    <cellStyle name="Normal 11 10 4 2" xfId="10743"/>
    <cellStyle name="Normal 11 10 4 3" xfId="16467"/>
    <cellStyle name="Normal 11 10 5" xfId="1988"/>
    <cellStyle name="Normal 11 10 5 2" xfId="10744"/>
    <cellStyle name="Normal 11 10 5 3" xfId="16468"/>
    <cellStyle name="Normal 11 10 6" xfId="1989"/>
    <cellStyle name="Normal 11 10 6 2" xfId="10745"/>
    <cellStyle name="Normal 11 10 6 3" xfId="16469"/>
    <cellStyle name="Normal 11 10 7" xfId="1990"/>
    <cellStyle name="Normal 11 10 7 2" xfId="10746"/>
    <cellStyle name="Normal 11 10 7 3" xfId="16470"/>
    <cellStyle name="Normal 11 10 8" xfId="10732"/>
    <cellStyle name="Normal 11 10 9" xfId="16456"/>
    <cellStyle name="Normal 11 10_LNG &amp; LPG rework" xfId="6705"/>
    <cellStyle name="Normal 11 11" xfId="1991"/>
    <cellStyle name="Normal 11 11 2" xfId="1992"/>
    <cellStyle name="Normal 11 11 2 2" xfId="1993"/>
    <cellStyle name="Normal 11 11 2 2 2" xfId="10749"/>
    <cellStyle name="Normal 11 11 2 2 3" xfId="16473"/>
    <cellStyle name="Normal 11 11 2 3" xfId="1994"/>
    <cellStyle name="Normal 11 11 2 3 2" xfId="10750"/>
    <cellStyle name="Normal 11 11 2 3 3" xfId="16474"/>
    <cellStyle name="Normal 11 11 2 4" xfId="1995"/>
    <cellStyle name="Normal 11 11 2 4 2" xfId="10751"/>
    <cellStyle name="Normal 11 11 2 4 3" xfId="16475"/>
    <cellStyle name="Normal 11 11 2 5" xfId="1996"/>
    <cellStyle name="Normal 11 11 2 5 2" xfId="10752"/>
    <cellStyle name="Normal 11 11 2 5 3" xfId="16476"/>
    <cellStyle name="Normal 11 11 2 6" xfId="10748"/>
    <cellStyle name="Normal 11 11 2 7" xfId="16472"/>
    <cellStyle name="Normal 11 11 2_LNG &amp; LPG rework" xfId="6703"/>
    <cellStyle name="Normal 11 11 3" xfId="1997"/>
    <cellStyle name="Normal 11 11 3 2" xfId="1998"/>
    <cellStyle name="Normal 11 11 3 2 2" xfId="10754"/>
    <cellStyle name="Normal 11 11 3 2 3" xfId="16478"/>
    <cellStyle name="Normal 11 11 3 3" xfId="1999"/>
    <cellStyle name="Normal 11 11 3 3 2" xfId="10755"/>
    <cellStyle name="Normal 11 11 3 3 3" xfId="16479"/>
    <cellStyle name="Normal 11 11 3 4" xfId="2000"/>
    <cellStyle name="Normal 11 11 3 4 2" xfId="10756"/>
    <cellStyle name="Normal 11 11 3 4 3" xfId="16480"/>
    <cellStyle name="Normal 11 11 3 5" xfId="2001"/>
    <cellStyle name="Normal 11 11 3 5 2" xfId="10757"/>
    <cellStyle name="Normal 11 11 3 5 3" xfId="16481"/>
    <cellStyle name="Normal 11 11 3 6" xfId="10753"/>
    <cellStyle name="Normal 11 11 3 7" xfId="16477"/>
    <cellStyle name="Normal 11 11 3_LNG &amp; LPG rework" xfId="6779"/>
    <cellStyle name="Normal 11 11 4" xfId="2002"/>
    <cellStyle name="Normal 11 11 4 2" xfId="10758"/>
    <cellStyle name="Normal 11 11 4 3" xfId="16482"/>
    <cellStyle name="Normal 11 11 5" xfId="2003"/>
    <cellStyle name="Normal 11 11 5 2" xfId="10759"/>
    <cellStyle name="Normal 11 11 5 3" xfId="16483"/>
    <cellStyle name="Normal 11 11 6" xfId="2004"/>
    <cellStyle name="Normal 11 11 6 2" xfId="10760"/>
    <cellStyle name="Normal 11 11 6 3" xfId="16484"/>
    <cellStyle name="Normal 11 11 7" xfId="2005"/>
    <cellStyle name="Normal 11 11 7 2" xfId="10761"/>
    <cellStyle name="Normal 11 11 7 3" xfId="16485"/>
    <cellStyle name="Normal 11 11 8" xfId="10747"/>
    <cellStyle name="Normal 11 11 9" xfId="16471"/>
    <cellStyle name="Normal 11 11_LNG &amp; LPG rework" xfId="6704"/>
    <cellStyle name="Normal 11 12" xfId="2006"/>
    <cellStyle name="Normal 11 12 2" xfId="2007"/>
    <cellStyle name="Normal 11 12 2 2" xfId="2008"/>
    <cellStyle name="Normal 11 12 2 2 2" xfId="10764"/>
    <cellStyle name="Normal 11 12 2 2 3" xfId="16488"/>
    <cellStyle name="Normal 11 12 2 3" xfId="2009"/>
    <cellStyle name="Normal 11 12 2 3 2" xfId="10765"/>
    <cellStyle name="Normal 11 12 2 3 3" xfId="16489"/>
    <cellStyle name="Normal 11 12 2 4" xfId="2010"/>
    <cellStyle name="Normal 11 12 2 4 2" xfId="10766"/>
    <cellStyle name="Normal 11 12 2 4 3" xfId="16490"/>
    <cellStyle name="Normal 11 12 2 5" xfId="2011"/>
    <cellStyle name="Normal 11 12 2 5 2" xfId="10767"/>
    <cellStyle name="Normal 11 12 2 5 3" xfId="16491"/>
    <cellStyle name="Normal 11 12 2 6" xfId="10763"/>
    <cellStyle name="Normal 11 12 2 7" xfId="16487"/>
    <cellStyle name="Normal 11 12 2_LNG &amp; LPG rework" xfId="6780"/>
    <cellStyle name="Normal 11 12 3" xfId="2012"/>
    <cellStyle name="Normal 11 12 3 2" xfId="2013"/>
    <cellStyle name="Normal 11 12 3 2 2" xfId="10769"/>
    <cellStyle name="Normal 11 12 3 2 3" xfId="16493"/>
    <cellStyle name="Normal 11 12 3 3" xfId="2014"/>
    <cellStyle name="Normal 11 12 3 3 2" xfId="10770"/>
    <cellStyle name="Normal 11 12 3 3 3" xfId="16494"/>
    <cellStyle name="Normal 11 12 3 4" xfId="2015"/>
    <cellStyle name="Normal 11 12 3 4 2" xfId="10771"/>
    <cellStyle name="Normal 11 12 3 4 3" xfId="16495"/>
    <cellStyle name="Normal 11 12 3 5" xfId="2016"/>
    <cellStyle name="Normal 11 12 3 5 2" xfId="10772"/>
    <cellStyle name="Normal 11 12 3 5 3" xfId="16496"/>
    <cellStyle name="Normal 11 12 3 6" xfId="10768"/>
    <cellStyle name="Normal 11 12 3 7" xfId="16492"/>
    <cellStyle name="Normal 11 12 3_LNG &amp; LPG rework" xfId="6782"/>
    <cellStyle name="Normal 11 12 4" xfId="2017"/>
    <cellStyle name="Normal 11 12 4 2" xfId="10773"/>
    <cellStyle name="Normal 11 12 4 3" xfId="16497"/>
    <cellStyle name="Normal 11 12 5" xfId="2018"/>
    <cellStyle name="Normal 11 12 5 2" xfId="10774"/>
    <cellStyle name="Normal 11 12 5 3" xfId="16498"/>
    <cellStyle name="Normal 11 12 6" xfId="2019"/>
    <cellStyle name="Normal 11 12 6 2" xfId="10775"/>
    <cellStyle name="Normal 11 12 6 3" xfId="16499"/>
    <cellStyle name="Normal 11 12 7" xfId="2020"/>
    <cellStyle name="Normal 11 12 7 2" xfId="10776"/>
    <cellStyle name="Normal 11 12 7 3" xfId="16500"/>
    <cellStyle name="Normal 11 12 8" xfId="10762"/>
    <cellStyle name="Normal 11 12 9" xfId="16486"/>
    <cellStyle name="Normal 11 12_LNG &amp; LPG rework" xfId="6781"/>
    <cellStyle name="Normal 11 13" xfId="2021"/>
    <cellStyle name="Normal 11 13 2" xfId="2022"/>
    <cellStyle name="Normal 11 13 2 2" xfId="2023"/>
    <cellStyle name="Normal 11 13 2 2 2" xfId="10779"/>
    <cellStyle name="Normal 11 13 2 2 3" xfId="16503"/>
    <cellStyle name="Normal 11 13 2 3" xfId="2024"/>
    <cellStyle name="Normal 11 13 2 3 2" xfId="10780"/>
    <cellStyle name="Normal 11 13 2 3 3" xfId="16504"/>
    <cellStyle name="Normal 11 13 2 4" xfId="2025"/>
    <cellStyle name="Normal 11 13 2 4 2" xfId="10781"/>
    <cellStyle name="Normal 11 13 2 4 3" xfId="16505"/>
    <cellStyle name="Normal 11 13 2 5" xfId="2026"/>
    <cellStyle name="Normal 11 13 2 5 2" xfId="10782"/>
    <cellStyle name="Normal 11 13 2 5 3" xfId="16506"/>
    <cellStyle name="Normal 11 13 2 6" xfId="10778"/>
    <cellStyle name="Normal 11 13 2 7" xfId="16502"/>
    <cellStyle name="Normal 11 13 2_LNG &amp; LPG rework" xfId="6784"/>
    <cellStyle name="Normal 11 13 3" xfId="2027"/>
    <cellStyle name="Normal 11 13 3 2" xfId="2028"/>
    <cellStyle name="Normal 11 13 3 2 2" xfId="10784"/>
    <cellStyle name="Normal 11 13 3 2 3" xfId="16508"/>
    <cellStyle name="Normal 11 13 3 3" xfId="2029"/>
    <cellStyle name="Normal 11 13 3 3 2" xfId="10785"/>
    <cellStyle name="Normal 11 13 3 3 3" xfId="16509"/>
    <cellStyle name="Normal 11 13 3 4" xfId="2030"/>
    <cellStyle name="Normal 11 13 3 4 2" xfId="10786"/>
    <cellStyle name="Normal 11 13 3 4 3" xfId="16510"/>
    <cellStyle name="Normal 11 13 3 5" xfId="2031"/>
    <cellStyle name="Normal 11 13 3 5 2" xfId="10787"/>
    <cellStyle name="Normal 11 13 3 5 3" xfId="16511"/>
    <cellStyle name="Normal 11 13 3 6" xfId="10783"/>
    <cellStyle name="Normal 11 13 3 7" xfId="16507"/>
    <cellStyle name="Normal 11 13 3_LNG &amp; LPG rework" xfId="6785"/>
    <cellStyle name="Normal 11 13 4" xfId="2032"/>
    <cellStyle name="Normal 11 13 4 2" xfId="10788"/>
    <cellStyle name="Normal 11 13 4 3" xfId="16512"/>
    <cellStyle name="Normal 11 13 5" xfId="2033"/>
    <cellStyle name="Normal 11 13 5 2" xfId="10789"/>
    <cellStyle name="Normal 11 13 5 3" xfId="16513"/>
    <cellStyle name="Normal 11 13 6" xfId="2034"/>
    <cellStyle name="Normal 11 13 6 2" xfId="10790"/>
    <cellStyle name="Normal 11 13 6 3" xfId="16514"/>
    <cellStyle name="Normal 11 13 7" xfId="2035"/>
    <cellStyle name="Normal 11 13 7 2" xfId="10791"/>
    <cellStyle name="Normal 11 13 7 3" xfId="16515"/>
    <cellStyle name="Normal 11 13 8" xfId="10777"/>
    <cellStyle name="Normal 11 13 9" xfId="16501"/>
    <cellStyle name="Normal 11 13_LNG &amp; LPG rework" xfId="6783"/>
    <cellStyle name="Normal 11 14" xfId="2036"/>
    <cellStyle name="Normal 11 14 2" xfId="2037"/>
    <cellStyle name="Normal 11 14 2 2" xfId="2038"/>
    <cellStyle name="Normal 11 14 2 2 2" xfId="10794"/>
    <cellStyle name="Normal 11 14 2 2 3" xfId="16518"/>
    <cellStyle name="Normal 11 14 2 3" xfId="2039"/>
    <cellStyle name="Normal 11 14 2 3 2" xfId="10795"/>
    <cellStyle name="Normal 11 14 2 3 3" xfId="16519"/>
    <cellStyle name="Normal 11 14 2 4" xfId="2040"/>
    <cellStyle name="Normal 11 14 2 4 2" xfId="10796"/>
    <cellStyle name="Normal 11 14 2 4 3" xfId="16520"/>
    <cellStyle name="Normal 11 14 2 5" xfId="2041"/>
    <cellStyle name="Normal 11 14 2 5 2" xfId="10797"/>
    <cellStyle name="Normal 11 14 2 5 3" xfId="16521"/>
    <cellStyle name="Normal 11 14 2 6" xfId="10793"/>
    <cellStyle name="Normal 11 14 2 7" xfId="16517"/>
    <cellStyle name="Normal 11 14 2_LNG &amp; LPG rework" xfId="6786"/>
    <cellStyle name="Normal 11 14 3" xfId="2042"/>
    <cellStyle name="Normal 11 14 3 2" xfId="2043"/>
    <cellStyle name="Normal 11 14 3 2 2" xfId="10799"/>
    <cellStyle name="Normal 11 14 3 2 3" xfId="16523"/>
    <cellStyle name="Normal 11 14 3 3" xfId="2044"/>
    <cellStyle name="Normal 11 14 3 3 2" xfId="10800"/>
    <cellStyle name="Normal 11 14 3 3 3" xfId="16524"/>
    <cellStyle name="Normal 11 14 3 4" xfId="2045"/>
    <cellStyle name="Normal 11 14 3 4 2" xfId="10801"/>
    <cellStyle name="Normal 11 14 3 4 3" xfId="16525"/>
    <cellStyle name="Normal 11 14 3 5" xfId="2046"/>
    <cellStyle name="Normal 11 14 3 5 2" xfId="10802"/>
    <cellStyle name="Normal 11 14 3 5 3" xfId="16526"/>
    <cellStyle name="Normal 11 14 3 6" xfId="10798"/>
    <cellStyle name="Normal 11 14 3 7" xfId="16522"/>
    <cellStyle name="Normal 11 14 3_LNG &amp; LPG rework" xfId="6701"/>
    <cellStyle name="Normal 11 14 4" xfId="2047"/>
    <cellStyle name="Normal 11 14 4 2" xfId="10803"/>
    <cellStyle name="Normal 11 14 4 3" xfId="16527"/>
    <cellStyle name="Normal 11 14 5" xfId="2048"/>
    <cellStyle name="Normal 11 14 5 2" xfId="10804"/>
    <cellStyle name="Normal 11 14 5 3" xfId="16528"/>
    <cellStyle name="Normal 11 14 6" xfId="2049"/>
    <cellStyle name="Normal 11 14 6 2" xfId="10805"/>
    <cellStyle name="Normal 11 14 6 3" xfId="16529"/>
    <cellStyle name="Normal 11 14 7" xfId="2050"/>
    <cellStyle name="Normal 11 14 7 2" xfId="10806"/>
    <cellStyle name="Normal 11 14 7 3" xfId="16530"/>
    <cellStyle name="Normal 11 14 8" xfId="10792"/>
    <cellStyle name="Normal 11 14 9" xfId="16516"/>
    <cellStyle name="Normal 11 14_LNG &amp; LPG rework" xfId="6702"/>
    <cellStyle name="Normal 11 15" xfId="2051"/>
    <cellStyle name="Normal 11 15 2" xfId="2052"/>
    <cellStyle name="Normal 11 15 2 2" xfId="2053"/>
    <cellStyle name="Normal 11 15 2 2 2" xfId="10809"/>
    <cellStyle name="Normal 11 15 2 2 3" xfId="16533"/>
    <cellStyle name="Normal 11 15 2 3" xfId="2054"/>
    <cellStyle name="Normal 11 15 2 3 2" xfId="10810"/>
    <cellStyle name="Normal 11 15 2 3 3" xfId="16534"/>
    <cellStyle name="Normal 11 15 2 4" xfId="2055"/>
    <cellStyle name="Normal 11 15 2 4 2" xfId="10811"/>
    <cellStyle name="Normal 11 15 2 4 3" xfId="16535"/>
    <cellStyle name="Normal 11 15 2 5" xfId="2056"/>
    <cellStyle name="Normal 11 15 2 5 2" xfId="10812"/>
    <cellStyle name="Normal 11 15 2 5 3" xfId="16536"/>
    <cellStyle name="Normal 11 15 2 6" xfId="10808"/>
    <cellStyle name="Normal 11 15 2 7" xfId="16532"/>
    <cellStyle name="Normal 11 15 2_LNG &amp; LPG rework" xfId="6787"/>
    <cellStyle name="Normal 11 15 3" xfId="2057"/>
    <cellStyle name="Normal 11 15 3 2" xfId="2058"/>
    <cellStyle name="Normal 11 15 3 2 2" xfId="10814"/>
    <cellStyle name="Normal 11 15 3 2 3" xfId="16538"/>
    <cellStyle name="Normal 11 15 3 3" xfId="2059"/>
    <cellStyle name="Normal 11 15 3 3 2" xfId="10815"/>
    <cellStyle name="Normal 11 15 3 3 3" xfId="16539"/>
    <cellStyle name="Normal 11 15 3 4" xfId="2060"/>
    <cellStyle name="Normal 11 15 3 4 2" xfId="10816"/>
    <cellStyle name="Normal 11 15 3 4 3" xfId="16540"/>
    <cellStyle name="Normal 11 15 3 5" xfId="2061"/>
    <cellStyle name="Normal 11 15 3 5 2" xfId="10817"/>
    <cellStyle name="Normal 11 15 3 5 3" xfId="16541"/>
    <cellStyle name="Normal 11 15 3 6" xfId="10813"/>
    <cellStyle name="Normal 11 15 3 7" xfId="16537"/>
    <cellStyle name="Normal 11 15 3_LNG &amp; LPG rework" xfId="6788"/>
    <cellStyle name="Normal 11 15 4" xfId="2062"/>
    <cellStyle name="Normal 11 15 4 2" xfId="10818"/>
    <cellStyle name="Normal 11 15 4 3" xfId="16542"/>
    <cellStyle name="Normal 11 15 5" xfId="2063"/>
    <cellStyle name="Normal 11 15 5 2" xfId="10819"/>
    <cellStyle name="Normal 11 15 5 3" xfId="16543"/>
    <cellStyle name="Normal 11 15 6" xfId="2064"/>
    <cellStyle name="Normal 11 15 6 2" xfId="10820"/>
    <cellStyle name="Normal 11 15 6 3" xfId="16544"/>
    <cellStyle name="Normal 11 15 7" xfId="2065"/>
    <cellStyle name="Normal 11 15 7 2" xfId="10821"/>
    <cellStyle name="Normal 11 15 7 3" xfId="16545"/>
    <cellStyle name="Normal 11 15 8" xfId="10807"/>
    <cellStyle name="Normal 11 15 9" xfId="16531"/>
    <cellStyle name="Normal 11 15_LNG &amp; LPG rework" xfId="6700"/>
    <cellStyle name="Normal 11 16" xfId="2066"/>
    <cellStyle name="Normal 11 16 2" xfId="2067"/>
    <cellStyle name="Normal 11 16 2 2" xfId="2068"/>
    <cellStyle name="Normal 11 16 2 2 2" xfId="10824"/>
    <cellStyle name="Normal 11 16 2 2 3" xfId="16548"/>
    <cellStyle name="Normal 11 16 2 3" xfId="2069"/>
    <cellStyle name="Normal 11 16 2 3 2" xfId="10825"/>
    <cellStyle name="Normal 11 16 2 3 3" xfId="16549"/>
    <cellStyle name="Normal 11 16 2 4" xfId="2070"/>
    <cellStyle name="Normal 11 16 2 4 2" xfId="10826"/>
    <cellStyle name="Normal 11 16 2 4 3" xfId="16550"/>
    <cellStyle name="Normal 11 16 2 5" xfId="2071"/>
    <cellStyle name="Normal 11 16 2 5 2" xfId="10827"/>
    <cellStyle name="Normal 11 16 2 5 3" xfId="16551"/>
    <cellStyle name="Normal 11 16 2 6" xfId="10823"/>
    <cellStyle name="Normal 11 16 2 7" xfId="16547"/>
    <cellStyle name="Normal 11 16 2_LNG &amp; LPG rework" xfId="6790"/>
    <cellStyle name="Normal 11 16 3" xfId="2072"/>
    <cellStyle name="Normal 11 16 3 2" xfId="2073"/>
    <cellStyle name="Normal 11 16 3 2 2" xfId="10829"/>
    <cellStyle name="Normal 11 16 3 2 3" xfId="16553"/>
    <cellStyle name="Normal 11 16 3 3" xfId="2074"/>
    <cellStyle name="Normal 11 16 3 3 2" xfId="10830"/>
    <cellStyle name="Normal 11 16 3 3 3" xfId="16554"/>
    <cellStyle name="Normal 11 16 3 4" xfId="2075"/>
    <cellStyle name="Normal 11 16 3 4 2" xfId="10831"/>
    <cellStyle name="Normal 11 16 3 4 3" xfId="16555"/>
    <cellStyle name="Normal 11 16 3 5" xfId="2076"/>
    <cellStyle name="Normal 11 16 3 5 2" xfId="10832"/>
    <cellStyle name="Normal 11 16 3 5 3" xfId="16556"/>
    <cellStyle name="Normal 11 16 3 6" xfId="10828"/>
    <cellStyle name="Normal 11 16 3 7" xfId="16552"/>
    <cellStyle name="Normal 11 16 3_LNG &amp; LPG rework" xfId="6791"/>
    <cellStyle name="Normal 11 16 4" xfId="2077"/>
    <cellStyle name="Normal 11 16 4 2" xfId="10833"/>
    <cellStyle name="Normal 11 16 4 3" xfId="16557"/>
    <cellStyle name="Normal 11 16 5" xfId="2078"/>
    <cellStyle name="Normal 11 16 5 2" xfId="10834"/>
    <cellStyle name="Normal 11 16 5 3" xfId="16558"/>
    <cellStyle name="Normal 11 16 6" xfId="2079"/>
    <cellStyle name="Normal 11 16 6 2" xfId="10835"/>
    <cellStyle name="Normal 11 16 6 3" xfId="16559"/>
    <cellStyle name="Normal 11 16 7" xfId="2080"/>
    <cellStyle name="Normal 11 16 7 2" xfId="10836"/>
    <cellStyle name="Normal 11 16 7 3" xfId="16560"/>
    <cellStyle name="Normal 11 16 8" xfId="10822"/>
    <cellStyle name="Normal 11 16 9" xfId="16546"/>
    <cellStyle name="Normal 11 16_LNG &amp; LPG rework" xfId="6789"/>
    <cellStyle name="Normal 11 17" xfId="2081"/>
    <cellStyle name="Normal 11 17 2" xfId="2082"/>
    <cellStyle name="Normal 11 17 2 2" xfId="2083"/>
    <cellStyle name="Normal 11 17 2 2 2" xfId="10839"/>
    <cellStyle name="Normal 11 17 2 2 3" xfId="16563"/>
    <cellStyle name="Normal 11 17 2 3" xfId="2084"/>
    <cellStyle name="Normal 11 17 2 3 2" xfId="10840"/>
    <cellStyle name="Normal 11 17 2 3 3" xfId="16564"/>
    <cellStyle name="Normal 11 17 2 4" xfId="2085"/>
    <cellStyle name="Normal 11 17 2 4 2" xfId="10841"/>
    <cellStyle name="Normal 11 17 2 4 3" xfId="16565"/>
    <cellStyle name="Normal 11 17 2 5" xfId="2086"/>
    <cellStyle name="Normal 11 17 2 5 2" xfId="10842"/>
    <cellStyle name="Normal 11 17 2 5 3" xfId="16566"/>
    <cellStyle name="Normal 11 17 2 6" xfId="10838"/>
    <cellStyle name="Normal 11 17 2 7" xfId="16562"/>
    <cellStyle name="Normal 11 17 2_LNG &amp; LPG rework" xfId="6793"/>
    <cellStyle name="Normal 11 17 3" xfId="2087"/>
    <cellStyle name="Normal 11 17 3 2" xfId="2088"/>
    <cellStyle name="Normal 11 17 3 2 2" xfId="10844"/>
    <cellStyle name="Normal 11 17 3 2 3" xfId="16568"/>
    <cellStyle name="Normal 11 17 3 3" xfId="2089"/>
    <cellStyle name="Normal 11 17 3 3 2" xfId="10845"/>
    <cellStyle name="Normal 11 17 3 3 3" xfId="16569"/>
    <cellStyle name="Normal 11 17 3 4" xfId="2090"/>
    <cellStyle name="Normal 11 17 3 4 2" xfId="10846"/>
    <cellStyle name="Normal 11 17 3 4 3" xfId="16570"/>
    <cellStyle name="Normal 11 17 3 5" xfId="2091"/>
    <cellStyle name="Normal 11 17 3 5 2" xfId="10847"/>
    <cellStyle name="Normal 11 17 3 5 3" xfId="16571"/>
    <cellStyle name="Normal 11 17 3 6" xfId="10843"/>
    <cellStyle name="Normal 11 17 3 7" xfId="16567"/>
    <cellStyle name="Normal 11 17 3_LNG &amp; LPG rework" xfId="6699"/>
    <cellStyle name="Normal 11 17 4" xfId="2092"/>
    <cellStyle name="Normal 11 17 4 2" xfId="10848"/>
    <cellStyle name="Normal 11 17 4 3" xfId="16572"/>
    <cellStyle name="Normal 11 17 5" xfId="2093"/>
    <cellStyle name="Normal 11 17 5 2" xfId="10849"/>
    <cellStyle name="Normal 11 17 5 3" xfId="16573"/>
    <cellStyle name="Normal 11 17 6" xfId="2094"/>
    <cellStyle name="Normal 11 17 6 2" xfId="10850"/>
    <cellStyle name="Normal 11 17 6 3" xfId="16574"/>
    <cellStyle name="Normal 11 17 7" xfId="2095"/>
    <cellStyle name="Normal 11 17 7 2" xfId="10851"/>
    <cellStyle name="Normal 11 17 7 3" xfId="16575"/>
    <cellStyle name="Normal 11 17 8" xfId="10837"/>
    <cellStyle name="Normal 11 17 9" xfId="16561"/>
    <cellStyle name="Normal 11 17_LNG &amp; LPG rework" xfId="6792"/>
    <cellStyle name="Normal 11 18" xfId="2096"/>
    <cellStyle name="Normal 11 18 2" xfId="2097"/>
    <cellStyle name="Normal 11 18 2 2" xfId="2098"/>
    <cellStyle name="Normal 11 18 2 2 2" xfId="10854"/>
    <cellStyle name="Normal 11 18 2 2 3" xfId="16578"/>
    <cellStyle name="Normal 11 18 2 3" xfId="2099"/>
    <cellStyle name="Normal 11 18 2 3 2" xfId="10855"/>
    <cellStyle name="Normal 11 18 2 3 3" xfId="16579"/>
    <cellStyle name="Normal 11 18 2 4" xfId="2100"/>
    <cellStyle name="Normal 11 18 2 4 2" xfId="10856"/>
    <cellStyle name="Normal 11 18 2 4 3" xfId="16580"/>
    <cellStyle name="Normal 11 18 2 5" xfId="2101"/>
    <cellStyle name="Normal 11 18 2 5 2" xfId="10857"/>
    <cellStyle name="Normal 11 18 2 5 3" xfId="16581"/>
    <cellStyle name="Normal 11 18 2 6" xfId="10853"/>
    <cellStyle name="Normal 11 18 2 7" xfId="16577"/>
    <cellStyle name="Normal 11 18 2_LNG &amp; LPG rework" xfId="6794"/>
    <cellStyle name="Normal 11 18 3" xfId="2102"/>
    <cellStyle name="Normal 11 18 3 2" xfId="2103"/>
    <cellStyle name="Normal 11 18 3 2 2" xfId="10859"/>
    <cellStyle name="Normal 11 18 3 2 3" xfId="16583"/>
    <cellStyle name="Normal 11 18 3 3" xfId="2104"/>
    <cellStyle name="Normal 11 18 3 3 2" xfId="10860"/>
    <cellStyle name="Normal 11 18 3 3 3" xfId="16584"/>
    <cellStyle name="Normal 11 18 3 4" xfId="2105"/>
    <cellStyle name="Normal 11 18 3 4 2" xfId="10861"/>
    <cellStyle name="Normal 11 18 3 4 3" xfId="16585"/>
    <cellStyle name="Normal 11 18 3 5" xfId="2106"/>
    <cellStyle name="Normal 11 18 3 5 2" xfId="10862"/>
    <cellStyle name="Normal 11 18 3 5 3" xfId="16586"/>
    <cellStyle name="Normal 11 18 3 6" xfId="10858"/>
    <cellStyle name="Normal 11 18 3 7" xfId="16582"/>
    <cellStyle name="Normal 11 18 3_LNG &amp; LPG rework" xfId="6796"/>
    <cellStyle name="Normal 11 18 4" xfId="2107"/>
    <cellStyle name="Normal 11 18 4 2" xfId="10863"/>
    <cellStyle name="Normal 11 18 4 3" xfId="16587"/>
    <cellStyle name="Normal 11 18 5" xfId="2108"/>
    <cellStyle name="Normal 11 18 5 2" xfId="10864"/>
    <cellStyle name="Normal 11 18 5 3" xfId="16588"/>
    <cellStyle name="Normal 11 18 6" xfId="2109"/>
    <cellStyle name="Normal 11 18 6 2" xfId="10865"/>
    <cellStyle name="Normal 11 18 6 3" xfId="16589"/>
    <cellStyle name="Normal 11 18 7" xfId="2110"/>
    <cellStyle name="Normal 11 18 7 2" xfId="10866"/>
    <cellStyle name="Normal 11 18 7 3" xfId="16590"/>
    <cellStyle name="Normal 11 18 8" xfId="10852"/>
    <cellStyle name="Normal 11 18 9" xfId="16576"/>
    <cellStyle name="Normal 11 18_LNG &amp; LPG rework" xfId="6795"/>
    <cellStyle name="Normal 11 19" xfId="2111"/>
    <cellStyle name="Normal 11 19 2" xfId="2112"/>
    <cellStyle name="Normal 11 19 2 2" xfId="2113"/>
    <cellStyle name="Normal 11 19 2 2 2" xfId="10869"/>
    <cellStyle name="Normal 11 19 2 2 3" xfId="16593"/>
    <cellStyle name="Normal 11 19 2 3" xfId="2114"/>
    <cellStyle name="Normal 11 19 2 3 2" xfId="10870"/>
    <cellStyle name="Normal 11 19 2 3 3" xfId="16594"/>
    <cellStyle name="Normal 11 19 2 4" xfId="2115"/>
    <cellStyle name="Normal 11 19 2 4 2" xfId="10871"/>
    <cellStyle name="Normal 11 19 2 4 3" xfId="16595"/>
    <cellStyle name="Normal 11 19 2 5" xfId="2116"/>
    <cellStyle name="Normal 11 19 2 5 2" xfId="10872"/>
    <cellStyle name="Normal 11 19 2 5 3" xfId="16596"/>
    <cellStyle name="Normal 11 19 2 6" xfId="10868"/>
    <cellStyle name="Normal 11 19 2 7" xfId="16592"/>
    <cellStyle name="Normal 11 19 2_LNG &amp; LPG rework" xfId="6697"/>
    <cellStyle name="Normal 11 19 3" xfId="2117"/>
    <cellStyle name="Normal 11 19 3 2" xfId="2118"/>
    <cellStyle name="Normal 11 19 3 2 2" xfId="10874"/>
    <cellStyle name="Normal 11 19 3 2 3" xfId="16598"/>
    <cellStyle name="Normal 11 19 3 3" xfId="2119"/>
    <cellStyle name="Normal 11 19 3 3 2" xfId="10875"/>
    <cellStyle name="Normal 11 19 3 3 3" xfId="16599"/>
    <cellStyle name="Normal 11 19 3 4" xfId="2120"/>
    <cellStyle name="Normal 11 19 3 4 2" xfId="10876"/>
    <cellStyle name="Normal 11 19 3 4 3" xfId="16600"/>
    <cellStyle name="Normal 11 19 3 5" xfId="2121"/>
    <cellStyle name="Normal 11 19 3 5 2" xfId="10877"/>
    <cellStyle name="Normal 11 19 3 5 3" xfId="16601"/>
    <cellStyle name="Normal 11 19 3 6" xfId="10873"/>
    <cellStyle name="Normal 11 19 3 7" xfId="16597"/>
    <cellStyle name="Normal 11 19 3_LNG &amp; LPG rework" xfId="6696"/>
    <cellStyle name="Normal 11 19 4" xfId="2122"/>
    <cellStyle name="Normal 11 19 4 2" xfId="10878"/>
    <cellStyle name="Normal 11 19 4 3" xfId="16602"/>
    <cellStyle name="Normal 11 19 5" xfId="2123"/>
    <cellStyle name="Normal 11 19 5 2" xfId="10879"/>
    <cellStyle name="Normal 11 19 5 3" xfId="16603"/>
    <cellStyle name="Normal 11 19 6" xfId="2124"/>
    <cellStyle name="Normal 11 19 6 2" xfId="10880"/>
    <cellStyle name="Normal 11 19 6 3" xfId="16604"/>
    <cellStyle name="Normal 11 19 7" xfId="2125"/>
    <cellStyle name="Normal 11 19 7 2" xfId="10881"/>
    <cellStyle name="Normal 11 19 7 3" xfId="16605"/>
    <cellStyle name="Normal 11 19 8" xfId="10867"/>
    <cellStyle name="Normal 11 19 9" xfId="16591"/>
    <cellStyle name="Normal 11 19_LNG &amp; LPG rework" xfId="6698"/>
    <cellStyle name="Normal 11 2" xfId="331"/>
    <cellStyle name="Normal 11 2 10" xfId="2126"/>
    <cellStyle name="Normal 11 2 10 2" xfId="10882"/>
    <cellStyle name="Normal 11 2 10 3" xfId="16607"/>
    <cellStyle name="Normal 11 2 11" xfId="2127"/>
    <cellStyle name="Normal 11 2 11 2" xfId="10883"/>
    <cellStyle name="Normal 11 2 11 3" xfId="16608"/>
    <cellStyle name="Normal 11 2 12" xfId="9180"/>
    <cellStyle name="Normal 11 2 13" xfId="16606"/>
    <cellStyle name="Normal 11 2 2" xfId="332"/>
    <cellStyle name="Normal 11 2 2 10" xfId="2128"/>
    <cellStyle name="Normal 11 2 2 10 2" xfId="10884"/>
    <cellStyle name="Normal 11 2 2 10 3" xfId="16610"/>
    <cellStyle name="Normal 11 2 2 11" xfId="9181"/>
    <cellStyle name="Normal 11 2 2 12" xfId="16609"/>
    <cellStyle name="Normal 11 2 2 2" xfId="333"/>
    <cellStyle name="Normal 11 2 2 2 10" xfId="16611"/>
    <cellStyle name="Normal 11 2 2 2 2" xfId="334"/>
    <cellStyle name="Normal 11 2 2 2 2 2" xfId="2129"/>
    <cellStyle name="Normal 11 2 2 2 2 2 2" xfId="10885"/>
    <cellStyle name="Normal 11 2 2 2 2 2 3" xfId="16613"/>
    <cellStyle name="Normal 11 2 2 2 2 3" xfId="2130"/>
    <cellStyle name="Normal 11 2 2 2 2 3 2" xfId="10886"/>
    <cellStyle name="Normal 11 2 2 2 2 3 3" xfId="16614"/>
    <cellStyle name="Normal 11 2 2 2 2 4" xfId="2131"/>
    <cellStyle name="Normal 11 2 2 2 2 4 2" xfId="10887"/>
    <cellStyle name="Normal 11 2 2 2 2 4 3" xfId="16615"/>
    <cellStyle name="Normal 11 2 2 2 2 5" xfId="2132"/>
    <cellStyle name="Normal 11 2 2 2 2 5 2" xfId="10888"/>
    <cellStyle name="Normal 11 2 2 2 2 5 3" xfId="16616"/>
    <cellStyle name="Normal 11 2 2 2 2 6" xfId="2133"/>
    <cellStyle name="Normal 11 2 2 2 2 6 2" xfId="10889"/>
    <cellStyle name="Normal 11 2 2 2 2 6 3" xfId="16617"/>
    <cellStyle name="Normal 11 2 2 2 2 7" xfId="9183"/>
    <cellStyle name="Normal 11 2 2 2 2 8" xfId="16612"/>
    <cellStyle name="Normal 11 2 2 2 2_LNG &amp; LPG rework" xfId="6692"/>
    <cellStyle name="Normal 11 2 2 2 3" xfId="2134"/>
    <cellStyle name="Normal 11 2 2 2 3 2" xfId="2135"/>
    <cellStyle name="Normal 11 2 2 2 3 2 2" xfId="10891"/>
    <cellStyle name="Normal 11 2 2 2 3 2 3" xfId="16619"/>
    <cellStyle name="Normal 11 2 2 2 3 3" xfId="2136"/>
    <cellStyle name="Normal 11 2 2 2 3 3 2" xfId="10892"/>
    <cellStyle name="Normal 11 2 2 2 3 3 3" xfId="16620"/>
    <cellStyle name="Normal 11 2 2 2 3 4" xfId="2137"/>
    <cellStyle name="Normal 11 2 2 2 3 4 2" xfId="10893"/>
    <cellStyle name="Normal 11 2 2 2 3 4 3" xfId="16621"/>
    <cellStyle name="Normal 11 2 2 2 3 5" xfId="2138"/>
    <cellStyle name="Normal 11 2 2 2 3 5 2" xfId="10894"/>
    <cellStyle name="Normal 11 2 2 2 3 5 3" xfId="16622"/>
    <cellStyle name="Normal 11 2 2 2 3 6" xfId="10890"/>
    <cellStyle name="Normal 11 2 2 2 3 7" xfId="16618"/>
    <cellStyle name="Normal 11 2 2 2 3_LNG &amp; LPG rework" xfId="6985"/>
    <cellStyle name="Normal 11 2 2 2 4" xfId="2139"/>
    <cellStyle name="Normal 11 2 2 2 4 2" xfId="10895"/>
    <cellStyle name="Normal 11 2 2 2 4 3" xfId="16623"/>
    <cellStyle name="Normal 11 2 2 2 5" xfId="2140"/>
    <cellStyle name="Normal 11 2 2 2 5 2" xfId="10896"/>
    <cellStyle name="Normal 11 2 2 2 5 3" xfId="16624"/>
    <cellStyle name="Normal 11 2 2 2 6" xfId="2141"/>
    <cellStyle name="Normal 11 2 2 2 6 2" xfId="10897"/>
    <cellStyle name="Normal 11 2 2 2 6 3" xfId="16625"/>
    <cellStyle name="Normal 11 2 2 2 7" xfId="2142"/>
    <cellStyle name="Normal 11 2 2 2 7 2" xfId="10898"/>
    <cellStyle name="Normal 11 2 2 2 7 3" xfId="16626"/>
    <cellStyle name="Normal 11 2 2 2 8" xfId="2143"/>
    <cellStyle name="Normal 11 2 2 2 8 2" xfId="10899"/>
    <cellStyle name="Normal 11 2 2 2 8 3" xfId="16627"/>
    <cellStyle name="Normal 11 2 2 2 9" xfId="9182"/>
    <cellStyle name="Normal 11 2 2 2_LNG &amp; LPG rework" xfId="6693"/>
    <cellStyle name="Normal 11 2 2 3" xfId="335"/>
    <cellStyle name="Normal 11 2 2 3 2" xfId="2144"/>
    <cellStyle name="Normal 11 2 2 3 2 2" xfId="10900"/>
    <cellStyle name="Normal 11 2 2 3 2 3" xfId="16629"/>
    <cellStyle name="Normal 11 2 2 3 3" xfId="2145"/>
    <cellStyle name="Normal 11 2 2 3 3 2" xfId="10901"/>
    <cellStyle name="Normal 11 2 2 3 3 3" xfId="16630"/>
    <cellStyle name="Normal 11 2 2 3 4" xfId="2146"/>
    <cellStyle name="Normal 11 2 2 3 4 2" xfId="10902"/>
    <cellStyle name="Normal 11 2 2 3 4 3" xfId="16631"/>
    <cellStyle name="Normal 11 2 2 3 5" xfId="2147"/>
    <cellStyle name="Normal 11 2 2 3 5 2" xfId="10903"/>
    <cellStyle name="Normal 11 2 2 3 5 3" xfId="16632"/>
    <cellStyle name="Normal 11 2 2 3 6" xfId="2148"/>
    <cellStyle name="Normal 11 2 2 3 6 2" xfId="10904"/>
    <cellStyle name="Normal 11 2 2 3 6 3" xfId="16633"/>
    <cellStyle name="Normal 11 2 2 3 7" xfId="9184"/>
    <cellStyle name="Normal 11 2 2 3 8" xfId="16628"/>
    <cellStyle name="Normal 11 2 2 3_LNG &amp; LPG rework" xfId="6691"/>
    <cellStyle name="Normal 11 2 2 4" xfId="2149"/>
    <cellStyle name="Normal 11 2 2 4 2" xfId="2150"/>
    <cellStyle name="Normal 11 2 2 4 2 2" xfId="10906"/>
    <cellStyle name="Normal 11 2 2 4 2 3" xfId="16635"/>
    <cellStyle name="Normal 11 2 2 4 3" xfId="2151"/>
    <cellStyle name="Normal 11 2 2 4 3 2" xfId="10907"/>
    <cellStyle name="Normal 11 2 2 4 3 3" xfId="16636"/>
    <cellStyle name="Normal 11 2 2 4 4" xfId="2152"/>
    <cellStyle name="Normal 11 2 2 4 4 2" xfId="10908"/>
    <cellStyle name="Normal 11 2 2 4 4 3" xfId="16637"/>
    <cellStyle name="Normal 11 2 2 4 5" xfId="2153"/>
    <cellStyle name="Normal 11 2 2 4 5 2" xfId="10909"/>
    <cellStyle name="Normal 11 2 2 4 5 3" xfId="16638"/>
    <cellStyle name="Normal 11 2 2 4 6" xfId="10905"/>
    <cellStyle name="Normal 11 2 2 4 7" xfId="16634"/>
    <cellStyle name="Normal 11 2 2 4_LNG &amp; LPG rework" xfId="6690"/>
    <cellStyle name="Normal 11 2 2 5" xfId="2154"/>
    <cellStyle name="Normal 11 2 2 5 2" xfId="2155"/>
    <cellStyle name="Normal 11 2 2 5 2 2" xfId="10911"/>
    <cellStyle name="Normal 11 2 2 5 2 3" xfId="16640"/>
    <cellStyle name="Normal 11 2 2 5 3" xfId="2156"/>
    <cellStyle name="Normal 11 2 2 5 3 2" xfId="10912"/>
    <cellStyle name="Normal 11 2 2 5 3 3" xfId="16641"/>
    <cellStyle name="Normal 11 2 2 5 4" xfId="2157"/>
    <cellStyle name="Normal 11 2 2 5 4 2" xfId="10913"/>
    <cellStyle name="Normal 11 2 2 5 4 3" xfId="16642"/>
    <cellStyle name="Normal 11 2 2 5 5" xfId="2158"/>
    <cellStyle name="Normal 11 2 2 5 5 2" xfId="10914"/>
    <cellStyle name="Normal 11 2 2 5 5 3" xfId="16643"/>
    <cellStyle name="Normal 11 2 2 5 6" xfId="10910"/>
    <cellStyle name="Normal 11 2 2 5 7" xfId="16639"/>
    <cellStyle name="Normal 11 2 2 5_LNG &amp; LPG rework" xfId="6689"/>
    <cellStyle name="Normal 11 2 2 6" xfId="2159"/>
    <cellStyle name="Normal 11 2 2 6 2" xfId="10915"/>
    <cellStyle name="Normal 11 2 2 6 3" xfId="16644"/>
    <cellStyle name="Normal 11 2 2 7" xfId="2160"/>
    <cellStyle name="Normal 11 2 2 7 2" xfId="10916"/>
    <cellStyle name="Normal 11 2 2 7 3" xfId="16645"/>
    <cellStyle name="Normal 11 2 2 8" xfId="2161"/>
    <cellStyle name="Normal 11 2 2 8 2" xfId="10917"/>
    <cellStyle name="Normal 11 2 2 8 3" xfId="16646"/>
    <cellStyle name="Normal 11 2 2 9" xfId="2162"/>
    <cellStyle name="Normal 11 2 2 9 2" xfId="10918"/>
    <cellStyle name="Normal 11 2 2 9 3" xfId="16647"/>
    <cellStyle name="Normal 11 2 2_LNG &amp; LPG rework" xfId="6694"/>
    <cellStyle name="Normal 11 2 3" xfId="336"/>
    <cellStyle name="Normal 11 2 3 10" xfId="16648"/>
    <cellStyle name="Normal 11 2 3 2" xfId="337"/>
    <cellStyle name="Normal 11 2 3 2 2" xfId="2163"/>
    <cellStyle name="Normal 11 2 3 2 2 2" xfId="10919"/>
    <cellStyle name="Normal 11 2 3 2 2 3" xfId="16650"/>
    <cellStyle name="Normal 11 2 3 2 3" xfId="2164"/>
    <cellStyle name="Normal 11 2 3 2 3 2" xfId="10920"/>
    <cellStyle name="Normal 11 2 3 2 3 3" xfId="16651"/>
    <cellStyle name="Normal 11 2 3 2 4" xfId="2165"/>
    <cellStyle name="Normal 11 2 3 2 4 2" xfId="10921"/>
    <cellStyle name="Normal 11 2 3 2 4 3" xfId="16652"/>
    <cellStyle name="Normal 11 2 3 2 5" xfId="2166"/>
    <cellStyle name="Normal 11 2 3 2 5 2" xfId="10922"/>
    <cellStyle name="Normal 11 2 3 2 5 3" xfId="16653"/>
    <cellStyle name="Normal 11 2 3 2 6" xfId="2167"/>
    <cellStyle name="Normal 11 2 3 2 6 2" xfId="10923"/>
    <cellStyle name="Normal 11 2 3 2 6 3" xfId="16654"/>
    <cellStyle name="Normal 11 2 3 2 7" xfId="9186"/>
    <cellStyle name="Normal 11 2 3 2 8" xfId="16649"/>
    <cellStyle name="Normal 11 2 3 2_LNG &amp; LPG rework" xfId="6687"/>
    <cellStyle name="Normal 11 2 3 3" xfId="2168"/>
    <cellStyle name="Normal 11 2 3 3 2" xfId="2169"/>
    <cellStyle name="Normal 11 2 3 3 2 2" xfId="10925"/>
    <cellStyle name="Normal 11 2 3 3 2 3" xfId="16656"/>
    <cellStyle name="Normal 11 2 3 3 3" xfId="2170"/>
    <cellStyle name="Normal 11 2 3 3 3 2" xfId="10926"/>
    <cellStyle name="Normal 11 2 3 3 3 3" xfId="16657"/>
    <cellStyle name="Normal 11 2 3 3 4" xfId="2171"/>
    <cellStyle name="Normal 11 2 3 3 4 2" xfId="10927"/>
    <cellStyle name="Normal 11 2 3 3 4 3" xfId="16658"/>
    <cellStyle name="Normal 11 2 3 3 5" xfId="2172"/>
    <cellStyle name="Normal 11 2 3 3 5 2" xfId="10928"/>
    <cellStyle name="Normal 11 2 3 3 5 3" xfId="16659"/>
    <cellStyle name="Normal 11 2 3 3 6" xfId="10924"/>
    <cellStyle name="Normal 11 2 3 3 7" xfId="16655"/>
    <cellStyle name="Normal 11 2 3 3_LNG &amp; LPG rework" xfId="6686"/>
    <cellStyle name="Normal 11 2 3 4" xfId="2173"/>
    <cellStyle name="Normal 11 2 3 4 2" xfId="10929"/>
    <cellStyle name="Normal 11 2 3 4 3" xfId="16660"/>
    <cellStyle name="Normal 11 2 3 5" xfId="2174"/>
    <cellStyle name="Normal 11 2 3 5 2" xfId="10930"/>
    <cellStyle name="Normal 11 2 3 5 3" xfId="16661"/>
    <cellStyle name="Normal 11 2 3 6" xfId="2175"/>
    <cellStyle name="Normal 11 2 3 6 2" xfId="10931"/>
    <cellStyle name="Normal 11 2 3 6 3" xfId="16662"/>
    <cellStyle name="Normal 11 2 3 7" xfId="2176"/>
    <cellStyle name="Normal 11 2 3 7 2" xfId="10932"/>
    <cellStyle name="Normal 11 2 3 7 3" xfId="16663"/>
    <cellStyle name="Normal 11 2 3 8" xfId="2177"/>
    <cellStyle name="Normal 11 2 3 8 2" xfId="10933"/>
    <cellStyle name="Normal 11 2 3 8 3" xfId="16664"/>
    <cellStyle name="Normal 11 2 3 9" xfId="9185"/>
    <cellStyle name="Normal 11 2 3_LNG &amp; LPG rework" xfId="6688"/>
    <cellStyle name="Normal 11 2 4" xfId="338"/>
    <cellStyle name="Normal 11 2 4 2" xfId="2178"/>
    <cellStyle name="Normal 11 2 4 2 2" xfId="10934"/>
    <cellStyle name="Normal 11 2 4 2 3" xfId="16666"/>
    <cellStyle name="Normal 11 2 4 3" xfId="2179"/>
    <cellStyle name="Normal 11 2 4 3 2" xfId="10935"/>
    <cellStyle name="Normal 11 2 4 3 3" xfId="16667"/>
    <cellStyle name="Normal 11 2 4 4" xfId="2180"/>
    <cellStyle name="Normal 11 2 4 4 2" xfId="10936"/>
    <cellStyle name="Normal 11 2 4 4 3" xfId="16668"/>
    <cellStyle name="Normal 11 2 4 5" xfId="2181"/>
    <cellStyle name="Normal 11 2 4 5 2" xfId="10937"/>
    <cellStyle name="Normal 11 2 4 5 3" xfId="16669"/>
    <cellStyle name="Normal 11 2 4 6" xfId="2182"/>
    <cellStyle name="Normal 11 2 4 6 2" xfId="10938"/>
    <cellStyle name="Normal 11 2 4 6 3" xfId="16670"/>
    <cellStyle name="Normal 11 2 4 7" xfId="9187"/>
    <cellStyle name="Normal 11 2 4 8" xfId="16665"/>
    <cellStyle name="Normal 11 2 4_LNG &amp; LPG rework" xfId="6685"/>
    <cellStyle name="Normal 11 2 5" xfId="2183"/>
    <cellStyle name="Normal 11 2 5 2" xfId="2184"/>
    <cellStyle name="Normal 11 2 5 2 2" xfId="10940"/>
    <cellStyle name="Normal 11 2 5 2 3" xfId="16672"/>
    <cellStyle name="Normal 11 2 5 3" xfId="2185"/>
    <cellStyle name="Normal 11 2 5 3 2" xfId="10941"/>
    <cellStyle name="Normal 11 2 5 3 3" xfId="16673"/>
    <cellStyle name="Normal 11 2 5 4" xfId="2186"/>
    <cellStyle name="Normal 11 2 5 4 2" xfId="10942"/>
    <cellStyle name="Normal 11 2 5 4 3" xfId="16674"/>
    <cellStyle name="Normal 11 2 5 5" xfId="2187"/>
    <cellStyle name="Normal 11 2 5 5 2" xfId="10943"/>
    <cellStyle name="Normal 11 2 5 5 3" xfId="16675"/>
    <cellStyle name="Normal 11 2 5 6" xfId="10939"/>
    <cellStyle name="Normal 11 2 5 7" xfId="16671"/>
    <cellStyle name="Normal 11 2 5_LNG &amp; LPG rework" xfId="6684"/>
    <cellStyle name="Normal 11 2 6" xfId="2188"/>
    <cellStyle name="Normal 11 2 6 2" xfId="2189"/>
    <cellStyle name="Normal 11 2 6 2 2" xfId="10945"/>
    <cellStyle name="Normal 11 2 6 2 3" xfId="16677"/>
    <cellStyle name="Normal 11 2 6 3" xfId="2190"/>
    <cellStyle name="Normal 11 2 6 3 2" xfId="10946"/>
    <cellStyle name="Normal 11 2 6 3 3" xfId="16678"/>
    <cellStyle name="Normal 11 2 6 4" xfId="2191"/>
    <cellStyle name="Normal 11 2 6 4 2" xfId="10947"/>
    <cellStyle name="Normal 11 2 6 4 3" xfId="16679"/>
    <cellStyle name="Normal 11 2 6 5" xfId="2192"/>
    <cellStyle name="Normal 11 2 6 5 2" xfId="10948"/>
    <cellStyle name="Normal 11 2 6 5 3" xfId="16680"/>
    <cellStyle name="Normal 11 2 6 6" xfId="10944"/>
    <cellStyle name="Normal 11 2 6 7" xfId="16676"/>
    <cellStyle name="Normal 11 2 6_LNG &amp; LPG rework" xfId="6683"/>
    <cellStyle name="Normal 11 2 7" xfId="2193"/>
    <cellStyle name="Normal 11 2 7 2" xfId="10949"/>
    <cellStyle name="Normal 11 2 7 3" xfId="16681"/>
    <cellStyle name="Normal 11 2 8" xfId="2194"/>
    <cellStyle name="Normal 11 2 8 2" xfId="10950"/>
    <cellStyle name="Normal 11 2 8 3" xfId="16682"/>
    <cellStyle name="Normal 11 2 9" xfId="2195"/>
    <cellStyle name="Normal 11 2 9 2" xfId="10951"/>
    <cellStyle name="Normal 11 2 9 3" xfId="16683"/>
    <cellStyle name="Normal 11 2_LNG &amp; LPG rework" xfId="6695"/>
    <cellStyle name="Normal 11 20" xfId="2196"/>
    <cellStyle name="Normal 11 20 2" xfId="2197"/>
    <cellStyle name="Normal 11 20 2 2" xfId="2198"/>
    <cellStyle name="Normal 11 20 2 2 2" xfId="10954"/>
    <cellStyle name="Normal 11 20 2 2 3" xfId="16686"/>
    <cellStyle name="Normal 11 20 2 3" xfId="2199"/>
    <cellStyle name="Normal 11 20 2 3 2" xfId="10955"/>
    <cellStyle name="Normal 11 20 2 3 3" xfId="16687"/>
    <cellStyle name="Normal 11 20 2 4" xfId="2200"/>
    <cellStyle name="Normal 11 20 2 4 2" xfId="10956"/>
    <cellStyle name="Normal 11 20 2 4 3" xfId="16688"/>
    <cellStyle name="Normal 11 20 2 5" xfId="2201"/>
    <cellStyle name="Normal 11 20 2 5 2" xfId="10957"/>
    <cellStyle name="Normal 11 20 2 5 3" xfId="16689"/>
    <cellStyle name="Normal 11 20 2 6" xfId="10953"/>
    <cellStyle name="Normal 11 20 2 7" xfId="16685"/>
    <cellStyle name="Normal 11 20 2_LNG &amp; LPG rework" xfId="6797"/>
    <cellStyle name="Normal 11 20 3" xfId="2202"/>
    <cellStyle name="Normal 11 20 3 2" xfId="10958"/>
    <cellStyle name="Normal 11 20 3 3" xfId="16690"/>
    <cellStyle name="Normal 11 20 4" xfId="2203"/>
    <cellStyle name="Normal 11 20 4 2" xfId="10959"/>
    <cellStyle name="Normal 11 20 4 3" xfId="16691"/>
    <cellStyle name="Normal 11 20 5" xfId="2204"/>
    <cellStyle name="Normal 11 20 5 2" xfId="10960"/>
    <cellStyle name="Normal 11 20 5 3" xfId="16692"/>
    <cellStyle name="Normal 11 20 6" xfId="2205"/>
    <cellStyle name="Normal 11 20 6 2" xfId="10961"/>
    <cellStyle name="Normal 11 20 6 3" xfId="16693"/>
    <cellStyle name="Normal 11 20 7" xfId="10952"/>
    <cellStyle name="Normal 11 20 8" xfId="16684"/>
    <cellStyle name="Normal 11 20_LNG &amp; LPG rework" xfId="6798"/>
    <cellStyle name="Normal 11 21" xfId="2206"/>
    <cellStyle name="Normal 11 21 2" xfId="2207"/>
    <cellStyle name="Normal 11 21 2 2" xfId="10963"/>
    <cellStyle name="Normal 11 21 2 3" xfId="16695"/>
    <cellStyle name="Normal 11 21 3" xfId="2208"/>
    <cellStyle name="Normal 11 21 3 2" xfId="10964"/>
    <cellStyle name="Normal 11 21 3 3" xfId="16696"/>
    <cellStyle name="Normal 11 21 4" xfId="2209"/>
    <cellStyle name="Normal 11 21 4 2" xfId="10965"/>
    <cellStyle name="Normal 11 21 4 3" xfId="16697"/>
    <cellStyle name="Normal 11 21 5" xfId="2210"/>
    <cellStyle name="Normal 11 21 5 2" xfId="10966"/>
    <cellStyle name="Normal 11 21 5 3" xfId="16698"/>
    <cellStyle name="Normal 11 21 6" xfId="10962"/>
    <cellStyle name="Normal 11 21 7" xfId="16694"/>
    <cellStyle name="Normal 11 21_LNG &amp; LPG rework" xfId="6799"/>
    <cellStyle name="Normal 11 22" xfId="2211"/>
    <cellStyle name="Normal 11 22 2" xfId="2212"/>
    <cellStyle name="Normal 11 22 2 2" xfId="10968"/>
    <cellStyle name="Normal 11 22 2 3" xfId="16700"/>
    <cellStyle name="Normal 11 22 3" xfId="2213"/>
    <cellStyle name="Normal 11 22 3 2" xfId="10969"/>
    <cellStyle name="Normal 11 22 3 3" xfId="16701"/>
    <cellStyle name="Normal 11 22 4" xfId="2214"/>
    <cellStyle name="Normal 11 22 4 2" xfId="10970"/>
    <cellStyle name="Normal 11 22 4 3" xfId="16702"/>
    <cellStyle name="Normal 11 22 5" xfId="2215"/>
    <cellStyle name="Normal 11 22 5 2" xfId="10971"/>
    <cellStyle name="Normal 11 22 5 3" xfId="16703"/>
    <cellStyle name="Normal 11 22 6" xfId="10967"/>
    <cellStyle name="Normal 11 22 7" xfId="16699"/>
    <cellStyle name="Normal 11 22_LNG &amp; LPG rework" xfId="6800"/>
    <cellStyle name="Normal 11 23" xfId="2216"/>
    <cellStyle name="Normal 11 23 2" xfId="10972"/>
    <cellStyle name="Normal 11 23 3" xfId="16704"/>
    <cellStyle name="Normal 11 24" xfId="2217"/>
    <cellStyle name="Normal 11 24 2" xfId="10973"/>
    <cellStyle name="Normal 11 24 3" xfId="16705"/>
    <cellStyle name="Normal 11 25" xfId="2218"/>
    <cellStyle name="Normal 11 25 2" xfId="10974"/>
    <cellStyle name="Normal 11 25 3" xfId="16706"/>
    <cellStyle name="Normal 11 26" xfId="2219"/>
    <cellStyle name="Normal 11 26 2" xfId="10975"/>
    <cellStyle name="Normal 11 26 3" xfId="16707"/>
    <cellStyle name="Normal 11 27" xfId="2220"/>
    <cellStyle name="Normal 11 27 2" xfId="10976"/>
    <cellStyle name="Normal 11 27 3" xfId="16708"/>
    <cellStyle name="Normal 11 28" xfId="2221"/>
    <cellStyle name="Normal 11 28 2" xfId="10977"/>
    <cellStyle name="Normal 11 28 3" xfId="16709"/>
    <cellStyle name="Normal 11 29" xfId="7825"/>
    <cellStyle name="Normal 11 29 2" xfId="29512"/>
    <cellStyle name="Normal 11 3" xfId="339"/>
    <cellStyle name="Normal 11 3 10" xfId="2222"/>
    <cellStyle name="Normal 11 3 10 2" xfId="10978"/>
    <cellStyle name="Normal 11 3 10 3" xfId="16711"/>
    <cellStyle name="Normal 11 3 11" xfId="9188"/>
    <cellStyle name="Normal 11 3 12" xfId="16710"/>
    <cellStyle name="Normal 11 3 2" xfId="340"/>
    <cellStyle name="Normal 11 3 2 10" xfId="16712"/>
    <cellStyle name="Normal 11 3 2 2" xfId="341"/>
    <cellStyle name="Normal 11 3 2 2 2" xfId="2223"/>
    <cellStyle name="Normal 11 3 2 2 2 2" xfId="10979"/>
    <cellStyle name="Normal 11 3 2 2 2 3" xfId="16714"/>
    <cellStyle name="Normal 11 3 2 2 3" xfId="2224"/>
    <cellStyle name="Normal 11 3 2 2 3 2" xfId="10980"/>
    <cellStyle name="Normal 11 3 2 2 3 3" xfId="16715"/>
    <cellStyle name="Normal 11 3 2 2 4" xfId="2225"/>
    <cellStyle name="Normal 11 3 2 2 4 2" xfId="10981"/>
    <cellStyle name="Normal 11 3 2 2 4 3" xfId="16716"/>
    <cellStyle name="Normal 11 3 2 2 5" xfId="2226"/>
    <cellStyle name="Normal 11 3 2 2 5 2" xfId="10982"/>
    <cellStyle name="Normal 11 3 2 2 5 3" xfId="16717"/>
    <cellStyle name="Normal 11 3 2 2 6" xfId="2227"/>
    <cellStyle name="Normal 11 3 2 2 6 2" xfId="10983"/>
    <cellStyle name="Normal 11 3 2 2 6 3" xfId="16718"/>
    <cellStyle name="Normal 11 3 2 2 7" xfId="9190"/>
    <cellStyle name="Normal 11 3 2 2 8" xfId="16713"/>
    <cellStyle name="Normal 11 3 2 2_LNG &amp; LPG rework" xfId="6802"/>
    <cellStyle name="Normal 11 3 2 3" xfId="2228"/>
    <cellStyle name="Normal 11 3 2 3 2" xfId="2229"/>
    <cellStyle name="Normal 11 3 2 3 2 2" xfId="10985"/>
    <cellStyle name="Normal 11 3 2 3 2 3" xfId="16720"/>
    <cellStyle name="Normal 11 3 2 3 3" xfId="2230"/>
    <cellStyle name="Normal 11 3 2 3 3 2" xfId="10986"/>
    <cellStyle name="Normal 11 3 2 3 3 3" xfId="16721"/>
    <cellStyle name="Normal 11 3 2 3 4" xfId="2231"/>
    <cellStyle name="Normal 11 3 2 3 4 2" xfId="10987"/>
    <cellStyle name="Normal 11 3 2 3 4 3" xfId="16722"/>
    <cellStyle name="Normal 11 3 2 3 5" xfId="2232"/>
    <cellStyle name="Normal 11 3 2 3 5 2" xfId="10988"/>
    <cellStyle name="Normal 11 3 2 3 5 3" xfId="16723"/>
    <cellStyle name="Normal 11 3 2 3 6" xfId="10984"/>
    <cellStyle name="Normal 11 3 2 3 7" xfId="16719"/>
    <cellStyle name="Normal 11 3 2 3_LNG &amp; LPG rework" xfId="6803"/>
    <cellStyle name="Normal 11 3 2 4" xfId="2233"/>
    <cellStyle name="Normal 11 3 2 4 2" xfId="10989"/>
    <cellStyle name="Normal 11 3 2 4 3" xfId="16724"/>
    <cellStyle name="Normal 11 3 2 5" xfId="2234"/>
    <cellStyle name="Normal 11 3 2 5 2" xfId="10990"/>
    <cellStyle name="Normal 11 3 2 5 3" xfId="16725"/>
    <cellStyle name="Normal 11 3 2 6" xfId="2235"/>
    <cellStyle name="Normal 11 3 2 6 2" xfId="10991"/>
    <cellStyle name="Normal 11 3 2 6 3" xfId="16726"/>
    <cellStyle name="Normal 11 3 2 7" xfId="2236"/>
    <cellStyle name="Normal 11 3 2 7 2" xfId="10992"/>
    <cellStyle name="Normal 11 3 2 7 3" xfId="16727"/>
    <cellStyle name="Normal 11 3 2 8" xfId="2237"/>
    <cellStyle name="Normal 11 3 2 8 2" xfId="10993"/>
    <cellStyle name="Normal 11 3 2 8 3" xfId="16728"/>
    <cellStyle name="Normal 11 3 2 9" xfId="9189"/>
    <cellStyle name="Normal 11 3 2_LNG &amp; LPG rework" xfId="6682"/>
    <cellStyle name="Normal 11 3 3" xfId="342"/>
    <cellStyle name="Normal 11 3 3 2" xfId="2238"/>
    <cellStyle name="Normal 11 3 3 2 2" xfId="10994"/>
    <cellStyle name="Normal 11 3 3 2 3" xfId="16730"/>
    <cellStyle name="Normal 11 3 3 3" xfId="2239"/>
    <cellStyle name="Normal 11 3 3 3 2" xfId="10995"/>
    <cellStyle name="Normal 11 3 3 3 3" xfId="16731"/>
    <cellStyle name="Normal 11 3 3 4" xfId="2240"/>
    <cellStyle name="Normal 11 3 3 4 2" xfId="10996"/>
    <cellStyle name="Normal 11 3 3 4 3" xfId="16732"/>
    <cellStyle name="Normal 11 3 3 5" xfId="2241"/>
    <cellStyle name="Normal 11 3 3 5 2" xfId="10997"/>
    <cellStyle name="Normal 11 3 3 5 3" xfId="16733"/>
    <cellStyle name="Normal 11 3 3 6" xfId="2242"/>
    <cellStyle name="Normal 11 3 3 6 2" xfId="10998"/>
    <cellStyle name="Normal 11 3 3 6 3" xfId="16734"/>
    <cellStyle name="Normal 11 3 3 7" xfId="9191"/>
    <cellStyle name="Normal 11 3 3 8" xfId="16729"/>
    <cellStyle name="Normal 11 3 3_LNG &amp; LPG rework" xfId="6804"/>
    <cellStyle name="Normal 11 3 4" xfId="2243"/>
    <cellStyle name="Normal 11 3 4 2" xfId="2244"/>
    <cellStyle name="Normal 11 3 4 2 2" xfId="11000"/>
    <cellStyle name="Normal 11 3 4 2 3" xfId="16736"/>
    <cellStyle name="Normal 11 3 4 3" xfId="2245"/>
    <cellStyle name="Normal 11 3 4 3 2" xfId="11001"/>
    <cellStyle name="Normal 11 3 4 3 3" xfId="16737"/>
    <cellStyle name="Normal 11 3 4 4" xfId="2246"/>
    <cellStyle name="Normal 11 3 4 4 2" xfId="11002"/>
    <cellStyle name="Normal 11 3 4 4 3" xfId="16738"/>
    <cellStyle name="Normal 11 3 4 5" xfId="2247"/>
    <cellStyle name="Normal 11 3 4 5 2" xfId="11003"/>
    <cellStyle name="Normal 11 3 4 5 3" xfId="16739"/>
    <cellStyle name="Normal 11 3 4 6" xfId="10999"/>
    <cellStyle name="Normal 11 3 4 7" xfId="16735"/>
    <cellStyle name="Normal 11 3 4_LNG &amp; LPG rework" xfId="6805"/>
    <cellStyle name="Normal 11 3 5" xfId="2248"/>
    <cellStyle name="Normal 11 3 5 2" xfId="2249"/>
    <cellStyle name="Normal 11 3 5 2 2" xfId="11005"/>
    <cellStyle name="Normal 11 3 5 2 3" xfId="16741"/>
    <cellStyle name="Normal 11 3 5 3" xfId="2250"/>
    <cellStyle name="Normal 11 3 5 3 2" xfId="11006"/>
    <cellStyle name="Normal 11 3 5 3 3" xfId="16742"/>
    <cellStyle name="Normal 11 3 5 4" xfId="2251"/>
    <cellStyle name="Normal 11 3 5 4 2" xfId="11007"/>
    <cellStyle name="Normal 11 3 5 4 3" xfId="16743"/>
    <cellStyle name="Normal 11 3 5 5" xfId="2252"/>
    <cellStyle name="Normal 11 3 5 5 2" xfId="11008"/>
    <cellStyle name="Normal 11 3 5 5 3" xfId="16744"/>
    <cellStyle name="Normal 11 3 5 6" xfId="11004"/>
    <cellStyle name="Normal 11 3 5 7" xfId="16740"/>
    <cellStyle name="Normal 11 3 5_LNG &amp; LPG rework" xfId="6806"/>
    <cellStyle name="Normal 11 3 6" xfId="2253"/>
    <cellStyle name="Normal 11 3 6 2" xfId="11009"/>
    <cellStyle name="Normal 11 3 6 3" xfId="16745"/>
    <cellStyle name="Normal 11 3 7" xfId="2254"/>
    <cellStyle name="Normal 11 3 7 2" xfId="11010"/>
    <cellStyle name="Normal 11 3 7 3" xfId="16746"/>
    <cellStyle name="Normal 11 3 8" xfId="2255"/>
    <cellStyle name="Normal 11 3 8 2" xfId="11011"/>
    <cellStyle name="Normal 11 3 8 3" xfId="16747"/>
    <cellStyle name="Normal 11 3 9" xfId="2256"/>
    <cellStyle name="Normal 11 3 9 2" xfId="11012"/>
    <cellStyle name="Normal 11 3 9 3" xfId="16748"/>
    <cellStyle name="Normal 11 3_LNG &amp; LPG rework" xfId="6801"/>
    <cellStyle name="Normal 11 30" xfId="8904"/>
    <cellStyle name="Normal 11 31" xfId="20823"/>
    <cellStyle name="Normal 11 32" xfId="20831"/>
    <cellStyle name="Normal 11 33" xfId="21891"/>
    <cellStyle name="Normal 11 34" xfId="21896"/>
    <cellStyle name="Normal 11 35" xfId="21904"/>
    <cellStyle name="Normal 11 36" xfId="22965"/>
    <cellStyle name="Normal 11 37" xfId="22964"/>
    <cellStyle name="Normal 11 38" xfId="22970"/>
    <cellStyle name="Normal 11 39" xfId="26224"/>
    <cellStyle name="Normal 11 4" xfId="343"/>
    <cellStyle name="Normal 11 4 10" xfId="16749"/>
    <cellStyle name="Normal 11 4 2" xfId="344"/>
    <cellStyle name="Normal 11 4 2 2" xfId="2257"/>
    <cellStyle name="Normal 11 4 2 2 2" xfId="11013"/>
    <cellStyle name="Normal 11 4 2 2 3" xfId="16751"/>
    <cellStyle name="Normal 11 4 2 3" xfId="2258"/>
    <cellStyle name="Normal 11 4 2 3 2" xfId="11014"/>
    <cellStyle name="Normal 11 4 2 3 3" xfId="16752"/>
    <cellStyle name="Normal 11 4 2 4" xfId="2259"/>
    <cellStyle name="Normal 11 4 2 4 2" xfId="11015"/>
    <cellStyle name="Normal 11 4 2 4 3" xfId="16753"/>
    <cellStyle name="Normal 11 4 2 5" xfId="2260"/>
    <cellStyle name="Normal 11 4 2 5 2" xfId="11016"/>
    <cellStyle name="Normal 11 4 2 5 3" xfId="16754"/>
    <cellStyle name="Normal 11 4 2 6" xfId="2261"/>
    <cellStyle name="Normal 11 4 2 6 2" xfId="11017"/>
    <cellStyle name="Normal 11 4 2 6 3" xfId="16755"/>
    <cellStyle name="Normal 11 4 2 7" xfId="9193"/>
    <cellStyle name="Normal 11 4 2 8" xfId="16750"/>
    <cellStyle name="Normal 11 4 2_LNG &amp; LPG rework" xfId="6808"/>
    <cellStyle name="Normal 11 4 3" xfId="2262"/>
    <cellStyle name="Normal 11 4 3 2" xfId="2263"/>
    <cellStyle name="Normal 11 4 3 2 2" xfId="11019"/>
    <cellStyle name="Normal 11 4 3 2 3" xfId="16757"/>
    <cellStyle name="Normal 11 4 3 3" xfId="2264"/>
    <cellStyle name="Normal 11 4 3 3 2" xfId="11020"/>
    <cellStyle name="Normal 11 4 3 3 3" xfId="16758"/>
    <cellStyle name="Normal 11 4 3 4" xfId="2265"/>
    <cellStyle name="Normal 11 4 3 4 2" xfId="11021"/>
    <cellStyle name="Normal 11 4 3 4 3" xfId="16759"/>
    <cellStyle name="Normal 11 4 3 5" xfId="2266"/>
    <cellStyle name="Normal 11 4 3 5 2" xfId="11022"/>
    <cellStyle name="Normal 11 4 3 5 3" xfId="16760"/>
    <cellStyle name="Normal 11 4 3 6" xfId="11018"/>
    <cellStyle name="Normal 11 4 3 7" xfId="16756"/>
    <cellStyle name="Normal 11 4 3_LNG &amp; LPG rework" xfId="6809"/>
    <cellStyle name="Normal 11 4 4" xfId="2267"/>
    <cellStyle name="Normal 11 4 4 2" xfId="11023"/>
    <cellStyle name="Normal 11 4 4 3" xfId="16761"/>
    <cellStyle name="Normal 11 4 5" xfId="2268"/>
    <cellStyle name="Normal 11 4 5 2" xfId="11024"/>
    <cellStyle name="Normal 11 4 5 3" xfId="16762"/>
    <cellStyle name="Normal 11 4 6" xfId="2269"/>
    <cellStyle name="Normal 11 4 6 2" xfId="11025"/>
    <cellStyle name="Normal 11 4 6 3" xfId="16763"/>
    <cellStyle name="Normal 11 4 7" xfId="2270"/>
    <cellStyle name="Normal 11 4 7 2" xfId="11026"/>
    <cellStyle name="Normal 11 4 7 3" xfId="16764"/>
    <cellStyle name="Normal 11 4 8" xfId="2271"/>
    <cellStyle name="Normal 11 4 8 2" xfId="11027"/>
    <cellStyle name="Normal 11 4 8 3" xfId="16765"/>
    <cellStyle name="Normal 11 4 9" xfId="9192"/>
    <cellStyle name="Normal 11 4_LNG &amp; LPG rework" xfId="6807"/>
    <cellStyle name="Normal 11 40" xfId="29557"/>
    <cellStyle name="Normal 11 41" xfId="30616"/>
    <cellStyle name="Normal 11 42" xfId="32763"/>
    <cellStyle name="Normal 11 43" xfId="32768"/>
    <cellStyle name="Normal 11 5" xfId="345"/>
    <cellStyle name="Normal 11 5 10" xfId="16766"/>
    <cellStyle name="Normal 11 5 2" xfId="2272"/>
    <cellStyle name="Normal 11 5 2 2" xfId="2273"/>
    <cellStyle name="Normal 11 5 2 2 2" xfId="11029"/>
    <cellStyle name="Normal 11 5 2 2 3" xfId="16768"/>
    <cellStyle name="Normal 11 5 2 3" xfId="2274"/>
    <cellStyle name="Normal 11 5 2 3 2" xfId="11030"/>
    <cellStyle name="Normal 11 5 2 3 3" xfId="16769"/>
    <cellStyle name="Normal 11 5 2 4" xfId="2275"/>
    <cellStyle name="Normal 11 5 2 4 2" xfId="11031"/>
    <cellStyle name="Normal 11 5 2 4 3" xfId="16770"/>
    <cellStyle name="Normal 11 5 2 5" xfId="2276"/>
    <cellStyle name="Normal 11 5 2 5 2" xfId="11032"/>
    <cellStyle name="Normal 11 5 2 5 3" xfId="16771"/>
    <cellStyle name="Normal 11 5 2 6" xfId="11028"/>
    <cellStyle name="Normal 11 5 2 7" xfId="16767"/>
    <cellStyle name="Normal 11 5 2_LNG &amp; LPG rework" xfId="6811"/>
    <cellStyle name="Normal 11 5 3" xfId="2277"/>
    <cellStyle name="Normal 11 5 3 2" xfId="2278"/>
    <cellStyle name="Normal 11 5 3 2 2" xfId="11034"/>
    <cellStyle name="Normal 11 5 3 2 3" xfId="16773"/>
    <cellStyle name="Normal 11 5 3 3" xfId="2279"/>
    <cellStyle name="Normal 11 5 3 3 2" xfId="11035"/>
    <cellStyle name="Normal 11 5 3 3 3" xfId="16774"/>
    <cellStyle name="Normal 11 5 3 4" xfId="2280"/>
    <cellStyle name="Normal 11 5 3 4 2" xfId="11036"/>
    <cellStyle name="Normal 11 5 3 4 3" xfId="16775"/>
    <cellStyle name="Normal 11 5 3 5" xfId="2281"/>
    <cellStyle name="Normal 11 5 3 5 2" xfId="11037"/>
    <cellStyle name="Normal 11 5 3 5 3" xfId="16776"/>
    <cellStyle name="Normal 11 5 3 6" xfId="11033"/>
    <cellStyle name="Normal 11 5 3 7" xfId="16772"/>
    <cellStyle name="Normal 11 5 3_LNG &amp; LPG rework" xfId="6611"/>
    <cellStyle name="Normal 11 5 4" xfId="2282"/>
    <cellStyle name="Normal 11 5 4 2" xfId="11038"/>
    <cellStyle name="Normal 11 5 4 3" xfId="16777"/>
    <cellStyle name="Normal 11 5 5" xfId="2283"/>
    <cellStyle name="Normal 11 5 5 2" xfId="11039"/>
    <cellStyle name="Normal 11 5 5 3" xfId="16778"/>
    <cellStyle name="Normal 11 5 6" xfId="2284"/>
    <cellStyle name="Normal 11 5 6 2" xfId="11040"/>
    <cellStyle name="Normal 11 5 6 3" xfId="16779"/>
    <cellStyle name="Normal 11 5 7" xfId="2285"/>
    <cellStyle name="Normal 11 5 7 2" xfId="11041"/>
    <cellStyle name="Normal 11 5 7 3" xfId="16780"/>
    <cellStyle name="Normal 11 5 8" xfId="2286"/>
    <cellStyle name="Normal 11 5 8 2" xfId="11042"/>
    <cellStyle name="Normal 11 5 8 3" xfId="16781"/>
    <cellStyle name="Normal 11 5 9" xfId="9194"/>
    <cellStyle name="Normal 11 5_LNG &amp; LPG rework" xfId="6810"/>
    <cellStyle name="Normal 11 6" xfId="2287"/>
    <cellStyle name="Normal 11 7" xfId="2288"/>
    <cellStyle name="Normal 11 7 2" xfId="2289"/>
    <cellStyle name="Normal 11 7 2 2" xfId="2290"/>
    <cellStyle name="Normal 11 7 2 2 2" xfId="11045"/>
    <cellStyle name="Normal 11 7 2 2 3" xfId="16784"/>
    <cellStyle name="Normal 11 7 2 3" xfId="2291"/>
    <cellStyle name="Normal 11 7 2 3 2" xfId="11046"/>
    <cellStyle name="Normal 11 7 2 3 3" xfId="16785"/>
    <cellStyle name="Normal 11 7 2 4" xfId="2292"/>
    <cellStyle name="Normal 11 7 2 4 2" xfId="11047"/>
    <cellStyle name="Normal 11 7 2 4 3" xfId="16786"/>
    <cellStyle name="Normal 11 7 2 5" xfId="2293"/>
    <cellStyle name="Normal 11 7 2 5 2" xfId="11048"/>
    <cellStyle name="Normal 11 7 2 5 3" xfId="16787"/>
    <cellStyle name="Normal 11 7 2 6" xfId="11044"/>
    <cellStyle name="Normal 11 7 2 7" xfId="16783"/>
    <cellStyle name="Normal 11 7 2_LNG &amp; LPG rework" xfId="6813"/>
    <cellStyle name="Normal 11 7 3" xfId="2294"/>
    <cellStyle name="Normal 11 7 3 2" xfId="2295"/>
    <cellStyle name="Normal 11 7 3 2 2" xfId="11050"/>
    <cellStyle name="Normal 11 7 3 2 3" xfId="16789"/>
    <cellStyle name="Normal 11 7 3 3" xfId="2296"/>
    <cellStyle name="Normal 11 7 3 3 2" xfId="11051"/>
    <cellStyle name="Normal 11 7 3 3 3" xfId="16790"/>
    <cellStyle name="Normal 11 7 3 4" xfId="2297"/>
    <cellStyle name="Normal 11 7 3 4 2" xfId="11052"/>
    <cellStyle name="Normal 11 7 3 4 3" xfId="16791"/>
    <cellStyle name="Normal 11 7 3 5" xfId="2298"/>
    <cellStyle name="Normal 11 7 3 5 2" xfId="11053"/>
    <cellStyle name="Normal 11 7 3 5 3" xfId="16792"/>
    <cellStyle name="Normal 11 7 3 6" xfId="11049"/>
    <cellStyle name="Normal 11 7 3 7" xfId="16788"/>
    <cellStyle name="Normal 11 7 3_LNG &amp; LPG rework" xfId="6814"/>
    <cellStyle name="Normal 11 7 4" xfId="2299"/>
    <cellStyle name="Normal 11 7 4 2" xfId="11054"/>
    <cellStyle name="Normal 11 7 4 3" xfId="16793"/>
    <cellStyle name="Normal 11 7 5" xfId="2300"/>
    <cellStyle name="Normal 11 7 5 2" xfId="11055"/>
    <cellStyle name="Normal 11 7 5 3" xfId="16794"/>
    <cellStyle name="Normal 11 7 6" xfId="2301"/>
    <cellStyle name="Normal 11 7 6 2" xfId="11056"/>
    <cellStyle name="Normal 11 7 6 3" xfId="16795"/>
    <cellStyle name="Normal 11 7 7" xfId="2302"/>
    <cellStyle name="Normal 11 7 7 2" xfId="11057"/>
    <cellStyle name="Normal 11 7 7 3" xfId="16796"/>
    <cellStyle name="Normal 11 7 8" xfId="11043"/>
    <cellStyle name="Normal 11 7 9" xfId="16782"/>
    <cellStyle name="Normal 11 7_LNG &amp; LPG rework" xfId="6812"/>
    <cellStyle name="Normal 11 8" xfId="2303"/>
    <cellStyle name="Normal 11 8 2" xfId="2304"/>
    <cellStyle name="Normal 11 8 2 2" xfId="2305"/>
    <cellStyle name="Normal 11 8 2 2 2" xfId="11060"/>
    <cellStyle name="Normal 11 8 2 2 3" xfId="16799"/>
    <cellStyle name="Normal 11 8 2 3" xfId="2306"/>
    <cellStyle name="Normal 11 8 2 3 2" xfId="11061"/>
    <cellStyle name="Normal 11 8 2 3 3" xfId="16800"/>
    <cellStyle name="Normal 11 8 2 4" xfId="2307"/>
    <cellStyle name="Normal 11 8 2 4 2" xfId="11062"/>
    <cellStyle name="Normal 11 8 2 4 3" xfId="16801"/>
    <cellStyle name="Normal 11 8 2 5" xfId="2308"/>
    <cellStyle name="Normal 11 8 2 5 2" xfId="11063"/>
    <cellStyle name="Normal 11 8 2 5 3" xfId="16802"/>
    <cellStyle name="Normal 11 8 2 6" xfId="11059"/>
    <cellStyle name="Normal 11 8 2 7" xfId="16798"/>
    <cellStyle name="Normal 11 8 2_LNG &amp; LPG rework" xfId="6816"/>
    <cellStyle name="Normal 11 8 3" xfId="2309"/>
    <cellStyle name="Normal 11 8 3 2" xfId="2310"/>
    <cellStyle name="Normal 11 8 3 2 2" xfId="11065"/>
    <cellStyle name="Normal 11 8 3 2 3" xfId="16804"/>
    <cellStyle name="Normal 11 8 3 3" xfId="2311"/>
    <cellStyle name="Normal 11 8 3 3 2" xfId="11066"/>
    <cellStyle name="Normal 11 8 3 3 3" xfId="16805"/>
    <cellStyle name="Normal 11 8 3 4" xfId="2312"/>
    <cellStyle name="Normal 11 8 3 4 2" xfId="11067"/>
    <cellStyle name="Normal 11 8 3 4 3" xfId="16806"/>
    <cellStyle name="Normal 11 8 3 5" xfId="2313"/>
    <cellStyle name="Normal 11 8 3 5 2" xfId="11068"/>
    <cellStyle name="Normal 11 8 3 5 3" xfId="16807"/>
    <cellStyle name="Normal 11 8 3 6" xfId="11064"/>
    <cellStyle name="Normal 11 8 3 7" xfId="16803"/>
    <cellStyle name="Normal 11 8 3_LNG &amp; LPG rework" xfId="6817"/>
    <cellStyle name="Normal 11 8 4" xfId="2314"/>
    <cellStyle name="Normal 11 8 4 2" xfId="11069"/>
    <cellStyle name="Normal 11 8 4 3" xfId="16808"/>
    <cellStyle name="Normal 11 8 5" xfId="2315"/>
    <cellStyle name="Normal 11 8 5 2" xfId="11070"/>
    <cellStyle name="Normal 11 8 5 3" xfId="16809"/>
    <cellStyle name="Normal 11 8 6" xfId="2316"/>
    <cellStyle name="Normal 11 8 6 2" xfId="11071"/>
    <cellStyle name="Normal 11 8 6 3" xfId="16810"/>
    <cellStyle name="Normal 11 8 7" xfId="2317"/>
    <cellStyle name="Normal 11 8 7 2" xfId="11072"/>
    <cellStyle name="Normal 11 8 7 3" xfId="16811"/>
    <cellStyle name="Normal 11 8 8" xfId="11058"/>
    <cellStyle name="Normal 11 8 9" xfId="16797"/>
    <cellStyle name="Normal 11 8_LNG &amp; LPG rework" xfId="6815"/>
    <cellStyle name="Normal 11 9" xfId="2318"/>
    <cellStyle name="Normal 11 9 2" xfId="2319"/>
    <cellStyle name="Normal 11 9 2 2" xfId="2320"/>
    <cellStyle name="Normal 11 9 2 2 2" xfId="11075"/>
    <cellStyle name="Normal 11 9 2 2 3" xfId="16814"/>
    <cellStyle name="Normal 11 9 2 3" xfId="2321"/>
    <cellStyle name="Normal 11 9 2 3 2" xfId="11076"/>
    <cellStyle name="Normal 11 9 2 3 3" xfId="16815"/>
    <cellStyle name="Normal 11 9 2 4" xfId="2322"/>
    <cellStyle name="Normal 11 9 2 4 2" xfId="11077"/>
    <cellStyle name="Normal 11 9 2 4 3" xfId="16816"/>
    <cellStyle name="Normal 11 9 2 5" xfId="2323"/>
    <cellStyle name="Normal 11 9 2 5 2" xfId="11078"/>
    <cellStyle name="Normal 11 9 2 5 3" xfId="16817"/>
    <cellStyle name="Normal 11 9 2 6" xfId="11074"/>
    <cellStyle name="Normal 11 9 2 7" xfId="16813"/>
    <cellStyle name="Normal 11 9 2_LNG &amp; LPG rework" xfId="6819"/>
    <cellStyle name="Normal 11 9 3" xfId="2324"/>
    <cellStyle name="Normal 11 9 3 2" xfId="2325"/>
    <cellStyle name="Normal 11 9 3 2 2" xfId="11080"/>
    <cellStyle name="Normal 11 9 3 2 3" xfId="16819"/>
    <cellStyle name="Normal 11 9 3 3" xfId="2326"/>
    <cellStyle name="Normal 11 9 3 3 2" xfId="11081"/>
    <cellStyle name="Normal 11 9 3 3 3" xfId="16820"/>
    <cellStyle name="Normal 11 9 3 4" xfId="2327"/>
    <cellStyle name="Normal 11 9 3 4 2" xfId="11082"/>
    <cellStyle name="Normal 11 9 3 4 3" xfId="16821"/>
    <cellStyle name="Normal 11 9 3 5" xfId="2328"/>
    <cellStyle name="Normal 11 9 3 5 2" xfId="11083"/>
    <cellStyle name="Normal 11 9 3 5 3" xfId="16822"/>
    <cellStyle name="Normal 11 9 3 6" xfId="11079"/>
    <cellStyle name="Normal 11 9 3 7" xfId="16818"/>
    <cellStyle name="Normal 11 9 3_LNG &amp; LPG rework" xfId="6820"/>
    <cellStyle name="Normal 11 9 4" xfId="2329"/>
    <cellStyle name="Normal 11 9 4 2" xfId="11084"/>
    <cellStyle name="Normal 11 9 4 3" xfId="16823"/>
    <cellStyle name="Normal 11 9 5" xfId="2330"/>
    <cellStyle name="Normal 11 9 5 2" xfId="11085"/>
    <cellStyle name="Normal 11 9 5 3" xfId="16824"/>
    <cellStyle name="Normal 11 9 6" xfId="2331"/>
    <cellStyle name="Normal 11 9 6 2" xfId="11086"/>
    <cellStyle name="Normal 11 9 6 3" xfId="16825"/>
    <cellStyle name="Normal 11 9 7" xfId="2332"/>
    <cellStyle name="Normal 11 9 7 2" xfId="11087"/>
    <cellStyle name="Normal 11 9 7 3" xfId="16826"/>
    <cellStyle name="Normal 11 9 8" xfId="11073"/>
    <cellStyle name="Normal 11 9 9" xfId="16812"/>
    <cellStyle name="Normal 11 9_LNG &amp; LPG rework" xfId="6818"/>
    <cellStyle name="Normal 11_2015  Data" xfId="346"/>
    <cellStyle name="Normal 110" xfId="2333"/>
    <cellStyle name="Normal 111" xfId="2334"/>
    <cellStyle name="Normal 112" xfId="2335"/>
    <cellStyle name="Normal 113" xfId="2336"/>
    <cellStyle name="Normal 114" xfId="2337"/>
    <cellStyle name="Normal 115" xfId="2338"/>
    <cellStyle name="Normal 116" xfId="2339"/>
    <cellStyle name="Normal 117" xfId="2340"/>
    <cellStyle name="Normal 118" xfId="2341"/>
    <cellStyle name="Normal 119" xfId="2342"/>
    <cellStyle name="Normal 12" xfId="347"/>
    <cellStyle name="Normal 12 10" xfId="2343"/>
    <cellStyle name="Normal 12 10 2" xfId="2344"/>
    <cellStyle name="Normal 12 10 2 2" xfId="2345"/>
    <cellStyle name="Normal 12 10 2 2 2" xfId="11090"/>
    <cellStyle name="Normal 12 10 2 2 3" xfId="16829"/>
    <cellStyle name="Normal 12 10 2 3" xfId="2346"/>
    <cellStyle name="Normal 12 10 2 3 2" xfId="11091"/>
    <cellStyle name="Normal 12 10 2 3 3" xfId="16830"/>
    <cellStyle name="Normal 12 10 2 4" xfId="2347"/>
    <cellStyle name="Normal 12 10 2 4 2" xfId="11092"/>
    <cellStyle name="Normal 12 10 2 4 3" xfId="16831"/>
    <cellStyle name="Normal 12 10 2 5" xfId="2348"/>
    <cellStyle name="Normal 12 10 2 5 2" xfId="11093"/>
    <cellStyle name="Normal 12 10 2 5 3" xfId="16832"/>
    <cellStyle name="Normal 12 10 2 6" xfId="11089"/>
    <cellStyle name="Normal 12 10 2 7" xfId="16828"/>
    <cellStyle name="Normal 12 10 2_LNG &amp; LPG rework" xfId="6822"/>
    <cellStyle name="Normal 12 10 3" xfId="2349"/>
    <cellStyle name="Normal 12 10 3 2" xfId="2350"/>
    <cellStyle name="Normal 12 10 3 2 2" xfId="11095"/>
    <cellStyle name="Normal 12 10 3 2 3" xfId="16834"/>
    <cellStyle name="Normal 12 10 3 3" xfId="2351"/>
    <cellStyle name="Normal 12 10 3 3 2" xfId="11096"/>
    <cellStyle name="Normal 12 10 3 3 3" xfId="16835"/>
    <cellStyle name="Normal 12 10 3 4" xfId="2352"/>
    <cellStyle name="Normal 12 10 3 4 2" xfId="11097"/>
    <cellStyle name="Normal 12 10 3 4 3" xfId="16836"/>
    <cellStyle name="Normal 12 10 3 5" xfId="2353"/>
    <cellStyle name="Normal 12 10 3 5 2" xfId="11098"/>
    <cellStyle name="Normal 12 10 3 5 3" xfId="16837"/>
    <cellStyle name="Normal 12 10 3 6" xfId="11094"/>
    <cellStyle name="Normal 12 10 3 7" xfId="16833"/>
    <cellStyle name="Normal 12 10 3_LNG &amp; LPG rework" xfId="6823"/>
    <cellStyle name="Normal 12 10 4" xfId="2354"/>
    <cellStyle name="Normal 12 10 4 2" xfId="11099"/>
    <cellStyle name="Normal 12 10 4 3" xfId="16838"/>
    <cellStyle name="Normal 12 10 5" xfId="2355"/>
    <cellStyle name="Normal 12 10 5 2" xfId="11100"/>
    <cellStyle name="Normal 12 10 5 3" xfId="16839"/>
    <cellStyle name="Normal 12 10 6" xfId="2356"/>
    <cellStyle name="Normal 12 10 6 2" xfId="11101"/>
    <cellStyle name="Normal 12 10 6 3" xfId="16840"/>
    <cellStyle name="Normal 12 10 7" xfId="2357"/>
    <cellStyle name="Normal 12 10 7 2" xfId="11102"/>
    <cellStyle name="Normal 12 10 7 3" xfId="16841"/>
    <cellStyle name="Normal 12 10 8" xfId="11088"/>
    <cellStyle name="Normal 12 10 9" xfId="16827"/>
    <cellStyle name="Normal 12 10_LNG &amp; LPG rework" xfId="6821"/>
    <cellStyle name="Normal 12 11" xfId="2358"/>
    <cellStyle name="Normal 12 11 2" xfId="2359"/>
    <cellStyle name="Normal 12 11 2 2" xfId="2360"/>
    <cellStyle name="Normal 12 11 2 2 2" xfId="11105"/>
    <cellStyle name="Normal 12 11 2 2 3" xfId="16844"/>
    <cellStyle name="Normal 12 11 2 3" xfId="2361"/>
    <cellStyle name="Normal 12 11 2 3 2" xfId="11106"/>
    <cellStyle name="Normal 12 11 2 3 3" xfId="16845"/>
    <cellStyle name="Normal 12 11 2 4" xfId="2362"/>
    <cellStyle name="Normal 12 11 2 4 2" xfId="11107"/>
    <cellStyle name="Normal 12 11 2 4 3" xfId="16846"/>
    <cellStyle name="Normal 12 11 2 5" xfId="2363"/>
    <cellStyle name="Normal 12 11 2 5 2" xfId="11108"/>
    <cellStyle name="Normal 12 11 2 5 3" xfId="16847"/>
    <cellStyle name="Normal 12 11 2 6" xfId="11104"/>
    <cellStyle name="Normal 12 11 2 7" xfId="16843"/>
    <cellStyle name="Normal 12 11 2_LNG &amp; LPG rework" xfId="6825"/>
    <cellStyle name="Normal 12 11 3" xfId="2364"/>
    <cellStyle name="Normal 12 11 3 2" xfId="2365"/>
    <cellStyle name="Normal 12 11 3 2 2" xfId="11110"/>
    <cellStyle name="Normal 12 11 3 2 3" xfId="16849"/>
    <cellStyle name="Normal 12 11 3 3" xfId="2366"/>
    <cellStyle name="Normal 12 11 3 3 2" xfId="11111"/>
    <cellStyle name="Normal 12 11 3 3 3" xfId="16850"/>
    <cellStyle name="Normal 12 11 3 4" xfId="2367"/>
    <cellStyle name="Normal 12 11 3 4 2" xfId="11112"/>
    <cellStyle name="Normal 12 11 3 4 3" xfId="16851"/>
    <cellStyle name="Normal 12 11 3 5" xfId="2368"/>
    <cellStyle name="Normal 12 11 3 5 2" xfId="11113"/>
    <cellStyle name="Normal 12 11 3 5 3" xfId="16852"/>
    <cellStyle name="Normal 12 11 3 6" xfId="11109"/>
    <cellStyle name="Normal 12 11 3 7" xfId="16848"/>
    <cellStyle name="Normal 12 11 3_LNG &amp; LPG rework" xfId="6826"/>
    <cellStyle name="Normal 12 11 4" xfId="2369"/>
    <cellStyle name="Normal 12 11 4 2" xfId="11114"/>
    <cellStyle name="Normal 12 11 4 3" xfId="16853"/>
    <cellStyle name="Normal 12 11 5" xfId="2370"/>
    <cellStyle name="Normal 12 11 5 2" xfId="11115"/>
    <cellStyle name="Normal 12 11 5 3" xfId="16854"/>
    <cellStyle name="Normal 12 11 6" xfId="2371"/>
    <cellStyle name="Normal 12 11 6 2" xfId="11116"/>
    <cellStyle name="Normal 12 11 6 3" xfId="16855"/>
    <cellStyle name="Normal 12 11 7" xfId="2372"/>
    <cellStyle name="Normal 12 11 7 2" xfId="11117"/>
    <cellStyle name="Normal 12 11 7 3" xfId="16856"/>
    <cellStyle name="Normal 12 11 8" xfId="11103"/>
    <cellStyle name="Normal 12 11 9" xfId="16842"/>
    <cellStyle name="Normal 12 11_LNG &amp; LPG rework" xfId="6824"/>
    <cellStyle name="Normal 12 12" xfId="2373"/>
    <cellStyle name="Normal 12 12 2" xfId="2374"/>
    <cellStyle name="Normal 12 12 2 2" xfId="2375"/>
    <cellStyle name="Normal 12 12 2 2 2" xfId="11120"/>
    <cellStyle name="Normal 12 12 2 2 3" xfId="16859"/>
    <cellStyle name="Normal 12 12 2 3" xfId="2376"/>
    <cellStyle name="Normal 12 12 2 3 2" xfId="11121"/>
    <cellStyle name="Normal 12 12 2 3 3" xfId="16860"/>
    <cellStyle name="Normal 12 12 2 4" xfId="2377"/>
    <cellStyle name="Normal 12 12 2 4 2" xfId="11122"/>
    <cellStyle name="Normal 12 12 2 4 3" xfId="16861"/>
    <cellStyle name="Normal 12 12 2 5" xfId="2378"/>
    <cellStyle name="Normal 12 12 2 5 2" xfId="11123"/>
    <cellStyle name="Normal 12 12 2 5 3" xfId="16862"/>
    <cellStyle name="Normal 12 12 2 6" xfId="11119"/>
    <cellStyle name="Normal 12 12 2 7" xfId="16858"/>
    <cellStyle name="Normal 12 12 2_LNG &amp; LPG rework" xfId="6828"/>
    <cellStyle name="Normal 12 12 3" xfId="2379"/>
    <cellStyle name="Normal 12 12 3 2" xfId="2380"/>
    <cellStyle name="Normal 12 12 3 2 2" xfId="11125"/>
    <cellStyle name="Normal 12 12 3 2 3" xfId="16864"/>
    <cellStyle name="Normal 12 12 3 3" xfId="2381"/>
    <cellStyle name="Normal 12 12 3 3 2" xfId="11126"/>
    <cellStyle name="Normal 12 12 3 3 3" xfId="16865"/>
    <cellStyle name="Normal 12 12 3 4" xfId="2382"/>
    <cellStyle name="Normal 12 12 3 4 2" xfId="11127"/>
    <cellStyle name="Normal 12 12 3 4 3" xfId="16866"/>
    <cellStyle name="Normal 12 12 3 5" xfId="2383"/>
    <cellStyle name="Normal 12 12 3 5 2" xfId="11128"/>
    <cellStyle name="Normal 12 12 3 5 3" xfId="16867"/>
    <cellStyle name="Normal 12 12 3 6" xfId="11124"/>
    <cellStyle name="Normal 12 12 3 7" xfId="16863"/>
    <cellStyle name="Normal 12 12 3_LNG &amp; LPG rework" xfId="6829"/>
    <cellStyle name="Normal 12 12 4" xfId="2384"/>
    <cellStyle name="Normal 12 12 4 2" xfId="11129"/>
    <cellStyle name="Normal 12 12 4 3" xfId="16868"/>
    <cellStyle name="Normal 12 12 5" xfId="2385"/>
    <cellStyle name="Normal 12 12 5 2" xfId="11130"/>
    <cellStyle name="Normal 12 12 5 3" xfId="16869"/>
    <cellStyle name="Normal 12 12 6" xfId="2386"/>
    <cellStyle name="Normal 12 12 6 2" xfId="11131"/>
    <cellStyle name="Normal 12 12 6 3" xfId="16870"/>
    <cellStyle name="Normal 12 12 7" xfId="2387"/>
    <cellStyle name="Normal 12 12 7 2" xfId="11132"/>
    <cellStyle name="Normal 12 12 7 3" xfId="16871"/>
    <cellStyle name="Normal 12 12 8" xfId="11118"/>
    <cellStyle name="Normal 12 12 9" xfId="16857"/>
    <cellStyle name="Normal 12 12_LNG &amp; LPG rework" xfId="6827"/>
    <cellStyle name="Normal 12 13" xfId="2388"/>
    <cellStyle name="Normal 12 13 2" xfId="2389"/>
    <cellStyle name="Normal 12 13 2 2" xfId="2390"/>
    <cellStyle name="Normal 12 13 2 2 2" xfId="11135"/>
    <cellStyle name="Normal 12 13 2 2 3" xfId="16874"/>
    <cellStyle name="Normal 12 13 2 3" xfId="2391"/>
    <cellStyle name="Normal 12 13 2 3 2" xfId="11136"/>
    <cellStyle name="Normal 12 13 2 3 3" xfId="16875"/>
    <cellStyle name="Normal 12 13 2 4" xfId="2392"/>
    <cellStyle name="Normal 12 13 2 4 2" xfId="11137"/>
    <cellStyle name="Normal 12 13 2 4 3" xfId="16876"/>
    <cellStyle name="Normal 12 13 2 5" xfId="2393"/>
    <cellStyle name="Normal 12 13 2 5 2" xfId="11138"/>
    <cellStyle name="Normal 12 13 2 5 3" xfId="16877"/>
    <cellStyle name="Normal 12 13 2 6" xfId="11134"/>
    <cellStyle name="Normal 12 13 2 7" xfId="16873"/>
    <cellStyle name="Normal 12 13 2_LNG &amp; LPG rework" xfId="6680"/>
    <cellStyle name="Normal 12 13 3" xfId="2394"/>
    <cellStyle name="Normal 12 13 3 2" xfId="2395"/>
    <cellStyle name="Normal 12 13 3 2 2" xfId="11140"/>
    <cellStyle name="Normal 12 13 3 2 3" xfId="16879"/>
    <cellStyle name="Normal 12 13 3 3" xfId="2396"/>
    <cellStyle name="Normal 12 13 3 3 2" xfId="11141"/>
    <cellStyle name="Normal 12 13 3 3 3" xfId="16880"/>
    <cellStyle name="Normal 12 13 3 4" xfId="2397"/>
    <cellStyle name="Normal 12 13 3 4 2" xfId="11142"/>
    <cellStyle name="Normal 12 13 3 4 3" xfId="16881"/>
    <cellStyle name="Normal 12 13 3 5" xfId="2398"/>
    <cellStyle name="Normal 12 13 3 5 2" xfId="11143"/>
    <cellStyle name="Normal 12 13 3 5 3" xfId="16882"/>
    <cellStyle name="Normal 12 13 3 6" xfId="11139"/>
    <cellStyle name="Normal 12 13 3 7" xfId="16878"/>
    <cellStyle name="Normal 12 13 3_LNG &amp; LPG rework" xfId="6584"/>
    <cellStyle name="Normal 12 13 4" xfId="2399"/>
    <cellStyle name="Normal 12 13 4 2" xfId="11144"/>
    <cellStyle name="Normal 12 13 4 3" xfId="16883"/>
    <cellStyle name="Normal 12 13 5" xfId="2400"/>
    <cellStyle name="Normal 12 13 5 2" xfId="11145"/>
    <cellStyle name="Normal 12 13 5 3" xfId="16884"/>
    <cellStyle name="Normal 12 13 6" xfId="2401"/>
    <cellStyle name="Normal 12 13 6 2" xfId="11146"/>
    <cellStyle name="Normal 12 13 6 3" xfId="16885"/>
    <cellStyle name="Normal 12 13 7" xfId="2402"/>
    <cellStyle name="Normal 12 13 7 2" xfId="11147"/>
    <cellStyle name="Normal 12 13 7 3" xfId="16886"/>
    <cellStyle name="Normal 12 13 8" xfId="11133"/>
    <cellStyle name="Normal 12 13 9" xfId="16872"/>
    <cellStyle name="Normal 12 13_LNG &amp; LPG rework" xfId="6681"/>
    <cellStyle name="Normal 12 14" xfId="2403"/>
    <cellStyle name="Normal 12 14 2" xfId="2404"/>
    <cellStyle name="Normal 12 14 2 2" xfId="2405"/>
    <cellStyle name="Normal 12 14 2 2 2" xfId="11150"/>
    <cellStyle name="Normal 12 14 2 2 3" xfId="16889"/>
    <cellStyle name="Normal 12 14 2 3" xfId="2406"/>
    <cellStyle name="Normal 12 14 2 3 2" xfId="11151"/>
    <cellStyle name="Normal 12 14 2 3 3" xfId="16890"/>
    <cellStyle name="Normal 12 14 2 4" xfId="2407"/>
    <cellStyle name="Normal 12 14 2 4 2" xfId="11152"/>
    <cellStyle name="Normal 12 14 2 4 3" xfId="16891"/>
    <cellStyle name="Normal 12 14 2 5" xfId="2408"/>
    <cellStyle name="Normal 12 14 2 5 2" xfId="11153"/>
    <cellStyle name="Normal 12 14 2 5 3" xfId="16892"/>
    <cellStyle name="Normal 12 14 2 6" xfId="11149"/>
    <cellStyle name="Normal 12 14 2 7" xfId="16888"/>
    <cellStyle name="Normal 12 14 2_LNG &amp; LPG rework" xfId="6980"/>
    <cellStyle name="Normal 12 14 3" xfId="2409"/>
    <cellStyle name="Normal 12 14 3 2" xfId="2410"/>
    <cellStyle name="Normal 12 14 3 2 2" xfId="11155"/>
    <cellStyle name="Normal 12 14 3 2 3" xfId="16894"/>
    <cellStyle name="Normal 12 14 3 3" xfId="2411"/>
    <cellStyle name="Normal 12 14 3 3 2" xfId="11156"/>
    <cellStyle name="Normal 12 14 3 3 3" xfId="16895"/>
    <cellStyle name="Normal 12 14 3 4" xfId="2412"/>
    <cellStyle name="Normal 12 14 3 4 2" xfId="11157"/>
    <cellStyle name="Normal 12 14 3 4 3" xfId="16896"/>
    <cellStyle name="Normal 12 14 3 5" xfId="2413"/>
    <cellStyle name="Normal 12 14 3 5 2" xfId="11158"/>
    <cellStyle name="Normal 12 14 3 5 3" xfId="16897"/>
    <cellStyle name="Normal 12 14 3 6" xfId="11154"/>
    <cellStyle name="Normal 12 14 3 7" xfId="16893"/>
    <cellStyle name="Normal 12 14 3_LNG &amp; LPG rework" xfId="6733"/>
    <cellStyle name="Normal 12 14 4" xfId="2414"/>
    <cellStyle name="Normal 12 14 4 2" xfId="11159"/>
    <cellStyle name="Normal 12 14 4 3" xfId="16898"/>
    <cellStyle name="Normal 12 14 5" xfId="2415"/>
    <cellStyle name="Normal 12 14 5 2" xfId="11160"/>
    <cellStyle name="Normal 12 14 5 3" xfId="16899"/>
    <cellStyle name="Normal 12 14 6" xfId="2416"/>
    <cellStyle name="Normal 12 14 6 2" xfId="11161"/>
    <cellStyle name="Normal 12 14 6 3" xfId="16900"/>
    <cellStyle name="Normal 12 14 7" xfId="2417"/>
    <cellStyle name="Normal 12 14 7 2" xfId="11162"/>
    <cellStyle name="Normal 12 14 7 3" xfId="16901"/>
    <cellStyle name="Normal 12 14 8" xfId="11148"/>
    <cellStyle name="Normal 12 14 9" xfId="16887"/>
    <cellStyle name="Normal 12 14_LNG &amp; LPG rework" xfId="6830"/>
    <cellStyle name="Normal 12 15" xfId="2418"/>
    <cellStyle name="Normal 12 15 2" xfId="2419"/>
    <cellStyle name="Normal 12 15 2 2" xfId="2420"/>
    <cellStyle name="Normal 12 15 2 2 2" xfId="11165"/>
    <cellStyle name="Normal 12 15 2 2 3" xfId="16904"/>
    <cellStyle name="Normal 12 15 2 3" xfId="2421"/>
    <cellStyle name="Normal 12 15 2 3 2" xfId="11166"/>
    <cellStyle name="Normal 12 15 2 3 3" xfId="16905"/>
    <cellStyle name="Normal 12 15 2 4" xfId="2422"/>
    <cellStyle name="Normal 12 15 2 4 2" xfId="11167"/>
    <cellStyle name="Normal 12 15 2 4 3" xfId="16906"/>
    <cellStyle name="Normal 12 15 2 5" xfId="2423"/>
    <cellStyle name="Normal 12 15 2 5 2" xfId="11168"/>
    <cellStyle name="Normal 12 15 2 5 3" xfId="16907"/>
    <cellStyle name="Normal 12 15 2 6" xfId="11164"/>
    <cellStyle name="Normal 12 15 2 7" xfId="16903"/>
    <cellStyle name="Normal 12 15 2_LNG &amp; LPG rework" xfId="6832"/>
    <cellStyle name="Normal 12 15 3" xfId="2424"/>
    <cellStyle name="Normal 12 15 3 2" xfId="2425"/>
    <cellStyle name="Normal 12 15 3 2 2" xfId="11170"/>
    <cellStyle name="Normal 12 15 3 2 3" xfId="16909"/>
    <cellStyle name="Normal 12 15 3 3" xfId="2426"/>
    <cellStyle name="Normal 12 15 3 3 2" xfId="11171"/>
    <cellStyle name="Normal 12 15 3 3 3" xfId="16910"/>
    <cellStyle name="Normal 12 15 3 4" xfId="2427"/>
    <cellStyle name="Normal 12 15 3 4 2" xfId="11172"/>
    <cellStyle name="Normal 12 15 3 4 3" xfId="16911"/>
    <cellStyle name="Normal 12 15 3 5" xfId="2428"/>
    <cellStyle name="Normal 12 15 3 5 2" xfId="11173"/>
    <cellStyle name="Normal 12 15 3 5 3" xfId="16912"/>
    <cellStyle name="Normal 12 15 3 6" xfId="11169"/>
    <cellStyle name="Normal 12 15 3 7" xfId="16908"/>
    <cellStyle name="Normal 12 15 3_LNG &amp; LPG rework" xfId="6679"/>
    <cellStyle name="Normal 12 15 4" xfId="2429"/>
    <cellStyle name="Normal 12 15 4 2" xfId="11174"/>
    <cellStyle name="Normal 12 15 4 3" xfId="16913"/>
    <cellStyle name="Normal 12 15 5" xfId="2430"/>
    <cellStyle name="Normal 12 15 5 2" xfId="11175"/>
    <cellStyle name="Normal 12 15 5 3" xfId="16914"/>
    <cellStyle name="Normal 12 15 6" xfId="2431"/>
    <cellStyle name="Normal 12 15 6 2" xfId="11176"/>
    <cellStyle name="Normal 12 15 6 3" xfId="16915"/>
    <cellStyle name="Normal 12 15 7" xfId="2432"/>
    <cellStyle name="Normal 12 15 7 2" xfId="11177"/>
    <cellStyle name="Normal 12 15 7 3" xfId="16916"/>
    <cellStyle name="Normal 12 15 8" xfId="11163"/>
    <cellStyle name="Normal 12 15 9" xfId="16902"/>
    <cellStyle name="Normal 12 15_LNG &amp; LPG rework" xfId="6831"/>
    <cellStyle name="Normal 12 16" xfId="2433"/>
    <cellStyle name="Normal 12 16 2" xfId="2434"/>
    <cellStyle name="Normal 12 16 2 2" xfId="2435"/>
    <cellStyle name="Normal 12 16 2 2 2" xfId="11180"/>
    <cellStyle name="Normal 12 16 2 2 3" xfId="16919"/>
    <cellStyle name="Normal 12 16 2 3" xfId="2436"/>
    <cellStyle name="Normal 12 16 2 3 2" xfId="11181"/>
    <cellStyle name="Normal 12 16 2 3 3" xfId="16920"/>
    <cellStyle name="Normal 12 16 2 4" xfId="2437"/>
    <cellStyle name="Normal 12 16 2 4 2" xfId="11182"/>
    <cellStyle name="Normal 12 16 2 4 3" xfId="16921"/>
    <cellStyle name="Normal 12 16 2 5" xfId="2438"/>
    <cellStyle name="Normal 12 16 2 5 2" xfId="11183"/>
    <cellStyle name="Normal 12 16 2 5 3" xfId="16922"/>
    <cellStyle name="Normal 12 16 2 6" xfId="11179"/>
    <cellStyle name="Normal 12 16 2 7" xfId="16918"/>
    <cellStyle name="Normal 12 16 2_LNG &amp; LPG rework" xfId="6677"/>
    <cellStyle name="Normal 12 16 3" xfId="2439"/>
    <cellStyle name="Normal 12 16 3 2" xfId="2440"/>
    <cellStyle name="Normal 12 16 3 2 2" xfId="11185"/>
    <cellStyle name="Normal 12 16 3 2 3" xfId="16924"/>
    <cellStyle name="Normal 12 16 3 3" xfId="2441"/>
    <cellStyle name="Normal 12 16 3 3 2" xfId="11186"/>
    <cellStyle name="Normal 12 16 3 3 3" xfId="16925"/>
    <cellStyle name="Normal 12 16 3 4" xfId="2442"/>
    <cellStyle name="Normal 12 16 3 4 2" xfId="11187"/>
    <cellStyle name="Normal 12 16 3 4 3" xfId="16926"/>
    <cellStyle name="Normal 12 16 3 5" xfId="2443"/>
    <cellStyle name="Normal 12 16 3 5 2" xfId="11188"/>
    <cellStyle name="Normal 12 16 3 5 3" xfId="16927"/>
    <cellStyle name="Normal 12 16 3 6" xfId="11184"/>
    <cellStyle name="Normal 12 16 3 7" xfId="16923"/>
    <cellStyle name="Normal 12 16 3_LNG &amp; LPG rework" xfId="6833"/>
    <cellStyle name="Normal 12 16 4" xfId="2444"/>
    <cellStyle name="Normal 12 16 4 2" xfId="11189"/>
    <cellStyle name="Normal 12 16 4 3" xfId="16928"/>
    <cellStyle name="Normal 12 16 5" xfId="2445"/>
    <cellStyle name="Normal 12 16 5 2" xfId="11190"/>
    <cellStyle name="Normal 12 16 5 3" xfId="16929"/>
    <cellStyle name="Normal 12 16 6" xfId="2446"/>
    <cellStyle name="Normal 12 16 6 2" xfId="11191"/>
    <cellStyle name="Normal 12 16 6 3" xfId="16930"/>
    <cellStyle name="Normal 12 16 7" xfId="2447"/>
    <cellStyle name="Normal 12 16 7 2" xfId="11192"/>
    <cellStyle name="Normal 12 16 7 3" xfId="16931"/>
    <cellStyle name="Normal 12 16 8" xfId="11178"/>
    <cellStyle name="Normal 12 16 9" xfId="16917"/>
    <cellStyle name="Normal 12 16_LNG &amp; LPG rework" xfId="6678"/>
    <cellStyle name="Normal 12 17" xfId="2448"/>
    <cellStyle name="Normal 12 17 2" xfId="2449"/>
    <cellStyle name="Normal 12 17 2 2" xfId="2450"/>
    <cellStyle name="Normal 12 17 2 2 2" xfId="11195"/>
    <cellStyle name="Normal 12 17 2 2 3" xfId="16934"/>
    <cellStyle name="Normal 12 17 2 3" xfId="2451"/>
    <cellStyle name="Normal 12 17 2 3 2" xfId="11196"/>
    <cellStyle name="Normal 12 17 2 3 3" xfId="16935"/>
    <cellStyle name="Normal 12 17 2 4" xfId="2452"/>
    <cellStyle name="Normal 12 17 2 4 2" xfId="11197"/>
    <cellStyle name="Normal 12 17 2 4 3" xfId="16936"/>
    <cellStyle name="Normal 12 17 2 5" xfId="2453"/>
    <cellStyle name="Normal 12 17 2 5 2" xfId="11198"/>
    <cellStyle name="Normal 12 17 2 5 3" xfId="16937"/>
    <cellStyle name="Normal 12 17 2 6" xfId="11194"/>
    <cellStyle name="Normal 12 17 2 7" xfId="16933"/>
    <cellStyle name="Normal 12 17 2_LNG &amp; LPG rework" xfId="6835"/>
    <cellStyle name="Normal 12 17 3" xfId="2454"/>
    <cellStyle name="Normal 12 17 3 2" xfId="2455"/>
    <cellStyle name="Normal 12 17 3 2 2" xfId="11200"/>
    <cellStyle name="Normal 12 17 3 2 3" xfId="16939"/>
    <cellStyle name="Normal 12 17 3 3" xfId="2456"/>
    <cellStyle name="Normal 12 17 3 3 2" xfId="11201"/>
    <cellStyle name="Normal 12 17 3 3 3" xfId="16940"/>
    <cellStyle name="Normal 12 17 3 4" xfId="2457"/>
    <cellStyle name="Normal 12 17 3 4 2" xfId="11202"/>
    <cellStyle name="Normal 12 17 3 4 3" xfId="16941"/>
    <cellStyle name="Normal 12 17 3 5" xfId="2458"/>
    <cellStyle name="Normal 12 17 3 5 2" xfId="11203"/>
    <cellStyle name="Normal 12 17 3 5 3" xfId="16942"/>
    <cellStyle name="Normal 12 17 3 6" xfId="11199"/>
    <cellStyle name="Normal 12 17 3 7" xfId="16938"/>
    <cellStyle name="Normal 12 17 3_LNG &amp; LPG rework" xfId="6836"/>
    <cellStyle name="Normal 12 17 4" xfId="2459"/>
    <cellStyle name="Normal 12 17 4 2" xfId="11204"/>
    <cellStyle name="Normal 12 17 4 3" xfId="16943"/>
    <cellStyle name="Normal 12 17 5" xfId="2460"/>
    <cellStyle name="Normal 12 17 5 2" xfId="11205"/>
    <cellStyle name="Normal 12 17 5 3" xfId="16944"/>
    <cellStyle name="Normal 12 17 6" xfId="2461"/>
    <cellStyle name="Normal 12 17 6 2" xfId="11206"/>
    <cellStyle name="Normal 12 17 6 3" xfId="16945"/>
    <cellStyle name="Normal 12 17 7" xfId="2462"/>
    <cellStyle name="Normal 12 17 7 2" xfId="11207"/>
    <cellStyle name="Normal 12 17 7 3" xfId="16946"/>
    <cellStyle name="Normal 12 17 8" xfId="11193"/>
    <cellStyle name="Normal 12 17 9" xfId="16932"/>
    <cellStyle name="Normal 12 17_LNG &amp; LPG rework" xfId="6834"/>
    <cellStyle name="Normal 12 18" xfId="2463"/>
    <cellStyle name="Normal 12 18 2" xfId="2464"/>
    <cellStyle name="Normal 12 18 2 2" xfId="2465"/>
    <cellStyle name="Normal 12 18 2 2 2" xfId="11210"/>
    <cellStyle name="Normal 12 18 2 2 3" xfId="16949"/>
    <cellStyle name="Normal 12 18 2 3" xfId="2466"/>
    <cellStyle name="Normal 12 18 2 3 2" xfId="11211"/>
    <cellStyle name="Normal 12 18 2 3 3" xfId="16950"/>
    <cellStyle name="Normal 12 18 2 4" xfId="2467"/>
    <cellStyle name="Normal 12 18 2 4 2" xfId="11212"/>
    <cellStyle name="Normal 12 18 2 4 3" xfId="16951"/>
    <cellStyle name="Normal 12 18 2 5" xfId="2468"/>
    <cellStyle name="Normal 12 18 2 5 2" xfId="11213"/>
    <cellStyle name="Normal 12 18 2 5 3" xfId="16952"/>
    <cellStyle name="Normal 12 18 2 6" xfId="11209"/>
    <cellStyle name="Normal 12 18 2 7" xfId="16948"/>
    <cellStyle name="Normal 12 18 2_LNG &amp; LPG rework" xfId="6837"/>
    <cellStyle name="Normal 12 18 3" xfId="2469"/>
    <cellStyle name="Normal 12 18 3 2" xfId="2470"/>
    <cellStyle name="Normal 12 18 3 2 2" xfId="11215"/>
    <cellStyle name="Normal 12 18 3 2 3" xfId="16954"/>
    <cellStyle name="Normal 12 18 3 3" xfId="2471"/>
    <cellStyle name="Normal 12 18 3 3 2" xfId="11216"/>
    <cellStyle name="Normal 12 18 3 3 3" xfId="16955"/>
    <cellStyle name="Normal 12 18 3 4" xfId="2472"/>
    <cellStyle name="Normal 12 18 3 4 2" xfId="11217"/>
    <cellStyle name="Normal 12 18 3 4 3" xfId="16956"/>
    <cellStyle name="Normal 12 18 3 5" xfId="2473"/>
    <cellStyle name="Normal 12 18 3 5 2" xfId="11218"/>
    <cellStyle name="Normal 12 18 3 5 3" xfId="16957"/>
    <cellStyle name="Normal 12 18 3 6" xfId="11214"/>
    <cellStyle name="Normal 12 18 3 7" xfId="16953"/>
    <cellStyle name="Normal 12 18 3_LNG &amp; LPG rework" xfId="6839"/>
    <cellStyle name="Normal 12 18 4" xfId="2474"/>
    <cellStyle name="Normal 12 18 4 2" xfId="11219"/>
    <cellStyle name="Normal 12 18 4 3" xfId="16958"/>
    <cellStyle name="Normal 12 18 5" xfId="2475"/>
    <cellStyle name="Normal 12 18 5 2" xfId="11220"/>
    <cellStyle name="Normal 12 18 5 3" xfId="16959"/>
    <cellStyle name="Normal 12 18 6" xfId="2476"/>
    <cellStyle name="Normal 12 18 6 2" xfId="11221"/>
    <cellStyle name="Normal 12 18 6 3" xfId="16960"/>
    <cellStyle name="Normal 12 18 7" xfId="2477"/>
    <cellStyle name="Normal 12 18 7 2" xfId="11222"/>
    <cellStyle name="Normal 12 18 7 3" xfId="16961"/>
    <cellStyle name="Normal 12 18 8" xfId="11208"/>
    <cellStyle name="Normal 12 18 9" xfId="16947"/>
    <cellStyle name="Normal 12 18_LNG &amp; LPG rework" xfId="6838"/>
    <cellStyle name="Normal 12 19" xfId="2478"/>
    <cellStyle name="Normal 12 19 2" xfId="2479"/>
    <cellStyle name="Normal 12 19 2 2" xfId="2480"/>
    <cellStyle name="Normal 12 19 2 2 2" xfId="11225"/>
    <cellStyle name="Normal 12 19 2 2 3" xfId="16964"/>
    <cellStyle name="Normal 12 19 2 3" xfId="2481"/>
    <cellStyle name="Normal 12 19 2 3 2" xfId="11226"/>
    <cellStyle name="Normal 12 19 2 3 3" xfId="16965"/>
    <cellStyle name="Normal 12 19 2 4" xfId="2482"/>
    <cellStyle name="Normal 12 19 2 4 2" xfId="11227"/>
    <cellStyle name="Normal 12 19 2 4 3" xfId="16966"/>
    <cellStyle name="Normal 12 19 2 5" xfId="2483"/>
    <cellStyle name="Normal 12 19 2 5 2" xfId="11228"/>
    <cellStyle name="Normal 12 19 2 5 3" xfId="16967"/>
    <cellStyle name="Normal 12 19 2 6" xfId="11224"/>
    <cellStyle name="Normal 12 19 2 7" xfId="16963"/>
    <cellStyle name="Normal 12 19 2_LNG &amp; LPG rework" xfId="6841"/>
    <cellStyle name="Normal 12 19 3" xfId="2484"/>
    <cellStyle name="Normal 12 19 3 2" xfId="2485"/>
    <cellStyle name="Normal 12 19 3 2 2" xfId="11230"/>
    <cellStyle name="Normal 12 19 3 2 3" xfId="16969"/>
    <cellStyle name="Normal 12 19 3 3" xfId="2486"/>
    <cellStyle name="Normal 12 19 3 3 2" xfId="11231"/>
    <cellStyle name="Normal 12 19 3 3 3" xfId="16970"/>
    <cellStyle name="Normal 12 19 3 4" xfId="2487"/>
    <cellStyle name="Normal 12 19 3 4 2" xfId="11232"/>
    <cellStyle name="Normal 12 19 3 4 3" xfId="16971"/>
    <cellStyle name="Normal 12 19 3 5" xfId="2488"/>
    <cellStyle name="Normal 12 19 3 5 2" xfId="11233"/>
    <cellStyle name="Normal 12 19 3 5 3" xfId="16972"/>
    <cellStyle name="Normal 12 19 3 6" xfId="11229"/>
    <cellStyle name="Normal 12 19 3 7" xfId="16968"/>
    <cellStyle name="Normal 12 19 3_LNG &amp; LPG rework" xfId="6842"/>
    <cellStyle name="Normal 12 19 4" xfId="2489"/>
    <cellStyle name="Normal 12 19 4 2" xfId="11234"/>
    <cellStyle name="Normal 12 19 4 3" xfId="16973"/>
    <cellStyle name="Normal 12 19 5" xfId="2490"/>
    <cellStyle name="Normal 12 19 5 2" xfId="11235"/>
    <cellStyle name="Normal 12 19 5 3" xfId="16974"/>
    <cellStyle name="Normal 12 19 6" xfId="2491"/>
    <cellStyle name="Normal 12 19 6 2" xfId="11236"/>
    <cellStyle name="Normal 12 19 6 3" xfId="16975"/>
    <cellStyle name="Normal 12 19 7" xfId="2492"/>
    <cellStyle name="Normal 12 19 7 2" xfId="11237"/>
    <cellStyle name="Normal 12 19 7 3" xfId="16976"/>
    <cellStyle name="Normal 12 19 8" xfId="11223"/>
    <cellStyle name="Normal 12 19 9" xfId="16962"/>
    <cellStyle name="Normal 12 19_LNG &amp; LPG rework" xfId="6840"/>
    <cellStyle name="Normal 12 2" xfId="348"/>
    <cellStyle name="Normal 12 2 10" xfId="2493"/>
    <cellStyle name="Normal 12 2 10 2" xfId="11238"/>
    <cellStyle name="Normal 12 2 10 3" xfId="16978"/>
    <cellStyle name="Normal 12 2 11" xfId="2494"/>
    <cellStyle name="Normal 12 2 11 2" xfId="11239"/>
    <cellStyle name="Normal 12 2 11 3" xfId="16979"/>
    <cellStyle name="Normal 12 2 12" xfId="9196"/>
    <cellStyle name="Normal 12 2 13" xfId="16977"/>
    <cellStyle name="Normal 12 2 2" xfId="349"/>
    <cellStyle name="Normal 12 2 2 10" xfId="2495"/>
    <cellStyle name="Normal 12 2 2 10 2" xfId="11240"/>
    <cellStyle name="Normal 12 2 2 10 3" xfId="16981"/>
    <cellStyle name="Normal 12 2 2 11" xfId="9197"/>
    <cellStyle name="Normal 12 2 2 12" xfId="16980"/>
    <cellStyle name="Normal 12 2 2 2" xfId="350"/>
    <cellStyle name="Normal 12 2 2 2 10" xfId="16982"/>
    <cellStyle name="Normal 12 2 2 2 2" xfId="351"/>
    <cellStyle name="Normal 12 2 2 2 2 2" xfId="2496"/>
    <cellStyle name="Normal 12 2 2 2 2 2 2" xfId="11241"/>
    <cellStyle name="Normal 12 2 2 2 2 2 3" xfId="16984"/>
    <cellStyle name="Normal 12 2 2 2 2 3" xfId="2497"/>
    <cellStyle name="Normal 12 2 2 2 2 3 2" xfId="11242"/>
    <cellStyle name="Normal 12 2 2 2 2 3 3" xfId="16985"/>
    <cellStyle name="Normal 12 2 2 2 2 4" xfId="2498"/>
    <cellStyle name="Normal 12 2 2 2 2 4 2" xfId="11243"/>
    <cellStyle name="Normal 12 2 2 2 2 4 3" xfId="16986"/>
    <cellStyle name="Normal 12 2 2 2 2 5" xfId="2499"/>
    <cellStyle name="Normal 12 2 2 2 2 5 2" xfId="11244"/>
    <cellStyle name="Normal 12 2 2 2 2 5 3" xfId="16987"/>
    <cellStyle name="Normal 12 2 2 2 2 6" xfId="2500"/>
    <cellStyle name="Normal 12 2 2 2 2 6 2" xfId="11245"/>
    <cellStyle name="Normal 12 2 2 2 2 6 3" xfId="16988"/>
    <cellStyle name="Normal 12 2 2 2 2 7" xfId="9199"/>
    <cellStyle name="Normal 12 2 2 2 2 8" xfId="16983"/>
    <cellStyle name="Normal 12 2 2 2 2_LNG &amp; LPG rework" xfId="6844"/>
    <cellStyle name="Normal 12 2 2 2 3" xfId="2501"/>
    <cellStyle name="Normal 12 2 2 2 3 2" xfId="2502"/>
    <cellStyle name="Normal 12 2 2 2 3 2 2" xfId="11247"/>
    <cellStyle name="Normal 12 2 2 2 3 2 3" xfId="16990"/>
    <cellStyle name="Normal 12 2 2 2 3 3" xfId="2503"/>
    <cellStyle name="Normal 12 2 2 2 3 3 2" xfId="11248"/>
    <cellStyle name="Normal 12 2 2 2 3 3 3" xfId="16991"/>
    <cellStyle name="Normal 12 2 2 2 3 4" xfId="2504"/>
    <cellStyle name="Normal 12 2 2 2 3 4 2" xfId="11249"/>
    <cellStyle name="Normal 12 2 2 2 3 4 3" xfId="16992"/>
    <cellStyle name="Normal 12 2 2 2 3 5" xfId="2505"/>
    <cellStyle name="Normal 12 2 2 2 3 5 2" xfId="11250"/>
    <cellStyle name="Normal 12 2 2 2 3 5 3" xfId="16993"/>
    <cellStyle name="Normal 12 2 2 2 3 6" xfId="11246"/>
    <cellStyle name="Normal 12 2 2 2 3 7" xfId="16989"/>
    <cellStyle name="Normal 12 2 2 2 3_LNG &amp; LPG rework" xfId="6846"/>
    <cellStyle name="Normal 12 2 2 2 4" xfId="2506"/>
    <cellStyle name="Normal 12 2 2 2 4 2" xfId="11251"/>
    <cellStyle name="Normal 12 2 2 2 4 3" xfId="16994"/>
    <cellStyle name="Normal 12 2 2 2 5" xfId="2507"/>
    <cellStyle name="Normal 12 2 2 2 5 2" xfId="11252"/>
    <cellStyle name="Normal 12 2 2 2 5 3" xfId="16995"/>
    <cellStyle name="Normal 12 2 2 2 6" xfId="2508"/>
    <cellStyle name="Normal 12 2 2 2 6 2" xfId="11253"/>
    <cellStyle name="Normal 12 2 2 2 6 3" xfId="16996"/>
    <cellStyle name="Normal 12 2 2 2 7" xfId="2509"/>
    <cellStyle name="Normal 12 2 2 2 7 2" xfId="11254"/>
    <cellStyle name="Normal 12 2 2 2 7 3" xfId="16997"/>
    <cellStyle name="Normal 12 2 2 2 8" xfId="2510"/>
    <cellStyle name="Normal 12 2 2 2 8 2" xfId="11255"/>
    <cellStyle name="Normal 12 2 2 2 8 3" xfId="16998"/>
    <cellStyle name="Normal 12 2 2 2 9" xfId="9198"/>
    <cellStyle name="Normal 12 2 2 2_LNG &amp; LPG rework" xfId="6845"/>
    <cellStyle name="Normal 12 2 2 3" xfId="352"/>
    <cellStyle name="Normal 12 2 2 3 2" xfId="2511"/>
    <cellStyle name="Normal 12 2 2 3 2 2" xfId="11256"/>
    <cellStyle name="Normal 12 2 2 3 2 3" xfId="17000"/>
    <cellStyle name="Normal 12 2 2 3 3" xfId="2512"/>
    <cellStyle name="Normal 12 2 2 3 3 2" xfId="11257"/>
    <cellStyle name="Normal 12 2 2 3 3 3" xfId="17001"/>
    <cellStyle name="Normal 12 2 2 3 4" xfId="2513"/>
    <cellStyle name="Normal 12 2 2 3 4 2" xfId="11258"/>
    <cellStyle name="Normal 12 2 2 3 4 3" xfId="17002"/>
    <cellStyle name="Normal 12 2 2 3 5" xfId="2514"/>
    <cellStyle name="Normal 12 2 2 3 5 2" xfId="11259"/>
    <cellStyle name="Normal 12 2 2 3 5 3" xfId="17003"/>
    <cellStyle name="Normal 12 2 2 3 6" xfId="2515"/>
    <cellStyle name="Normal 12 2 2 3 6 2" xfId="11260"/>
    <cellStyle name="Normal 12 2 2 3 6 3" xfId="17004"/>
    <cellStyle name="Normal 12 2 2 3 7" xfId="9200"/>
    <cellStyle name="Normal 12 2 2 3 8" xfId="16999"/>
    <cellStyle name="Normal 12 2 2 3_LNG &amp; LPG rework" xfId="6848"/>
    <cellStyle name="Normal 12 2 2 4" xfId="2516"/>
    <cellStyle name="Normal 12 2 2 4 2" xfId="2517"/>
    <cellStyle name="Normal 12 2 2 4 2 2" xfId="11262"/>
    <cellStyle name="Normal 12 2 2 4 2 3" xfId="17006"/>
    <cellStyle name="Normal 12 2 2 4 3" xfId="2518"/>
    <cellStyle name="Normal 12 2 2 4 3 2" xfId="11263"/>
    <cellStyle name="Normal 12 2 2 4 3 3" xfId="17007"/>
    <cellStyle name="Normal 12 2 2 4 4" xfId="2519"/>
    <cellStyle name="Normal 12 2 2 4 4 2" xfId="11264"/>
    <cellStyle name="Normal 12 2 2 4 4 3" xfId="17008"/>
    <cellStyle name="Normal 12 2 2 4 5" xfId="2520"/>
    <cellStyle name="Normal 12 2 2 4 5 2" xfId="11265"/>
    <cellStyle name="Normal 12 2 2 4 5 3" xfId="17009"/>
    <cellStyle name="Normal 12 2 2 4 6" xfId="11261"/>
    <cellStyle name="Normal 12 2 2 4 7" xfId="17005"/>
    <cellStyle name="Normal 12 2 2 4_LNG &amp; LPG rework" xfId="6849"/>
    <cellStyle name="Normal 12 2 2 5" xfId="2521"/>
    <cellStyle name="Normal 12 2 2 5 2" xfId="2522"/>
    <cellStyle name="Normal 12 2 2 5 2 2" xfId="11267"/>
    <cellStyle name="Normal 12 2 2 5 2 3" xfId="17011"/>
    <cellStyle name="Normal 12 2 2 5 3" xfId="2523"/>
    <cellStyle name="Normal 12 2 2 5 3 2" xfId="11268"/>
    <cellStyle name="Normal 12 2 2 5 3 3" xfId="17012"/>
    <cellStyle name="Normal 12 2 2 5 4" xfId="2524"/>
    <cellStyle name="Normal 12 2 2 5 4 2" xfId="11269"/>
    <cellStyle name="Normal 12 2 2 5 4 3" xfId="17013"/>
    <cellStyle name="Normal 12 2 2 5 5" xfId="2525"/>
    <cellStyle name="Normal 12 2 2 5 5 2" xfId="11270"/>
    <cellStyle name="Normal 12 2 2 5 5 3" xfId="17014"/>
    <cellStyle name="Normal 12 2 2 5 6" xfId="11266"/>
    <cellStyle name="Normal 12 2 2 5 7" xfId="17010"/>
    <cellStyle name="Normal 12 2 2 5_LNG &amp; LPG rework" xfId="6850"/>
    <cellStyle name="Normal 12 2 2 6" xfId="2526"/>
    <cellStyle name="Normal 12 2 2 6 2" xfId="11271"/>
    <cellStyle name="Normal 12 2 2 6 3" xfId="17015"/>
    <cellStyle name="Normal 12 2 2 7" xfId="2527"/>
    <cellStyle name="Normal 12 2 2 7 2" xfId="11272"/>
    <cellStyle name="Normal 12 2 2 7 3" xfId="17016"/>
    <cellStyle name="Normal 12 2 2 8" xfId="2528"/>
    <cellStyle name="Normal 12 2 2 8 2" xfId="11273"/>
    <cellStyle name="Normal 12 2 2 8 3" xfId="17017"/>
    <cellStyle name="Normal 12 2 2 9" xfId="2529"/>
    <cellStyle name="Normal 12 2 2 9 2" xfId="11274"/>
    <cellStyle name="Normal 12 2 2 9 3" xfId="17018"/>
    <cellStyle name="Normal 12 2 2_LNG &amp; LPG rework" xfId="6847"/>
    <cellStyle name="Normal 12 2 3" xfId="353"/>
    <cellStyle name="Normal 12 2 3 10" xfId="17019"/>
    <cellStyle name="Normal 12 2 3 2" xfId="354"/>
    <cellStyle name="Normal 12 2 3 2 2" xfId="2530"/>
    <cellStyle name="Normal 12 2 3 2 2 2" xfId="11275"/>
    <cellStyle name="Normal 12 2 3 2 2 3" xfId="17021"/>
    <cellStyle name="Normal 12 2 3 2 3" xfId="2531"/>
    <cellStyle name="Normal 12 2 3 2 3 2" xfId="11276"/>
    <cellStyle name="Normal 12 2 3 2 3 3" xfId="17022"/>
    <cellStyle name="Normal 12 2 3 2 4" xfId="2532"/>
    <cellStyle name="Normal 12 2 3 2 4 2" xfId="11277"/>
    <cellStyle name="Normal 12 2 3 2 4 3" xfId="17023"/>
    <cellStyle name="Normal 12 2 3 2 5" xfId="2533"/>
    <cellStyle name="Normal 12 2 3 2 5 2" xfId="11278"/>
    <cellStyle name="Normal 12 2 3 2 5 3" xfId="17024"/>
    <cellStyle name="Normal 12 2 3 2 6" xfId="2534"/>
    <cellStyle name="Normal 12 2 3 2 6 2" xfId="11279"/>
    <cellStyle name="Normal 12 2 3 2 6 3" xfId="17025"/>
    <cellStyle name="Normal 12 2 3 2 7" xfId="9202"/>
    <cellStyle name="Normal 12 2 3 2 8" xfId="17020"/>
    <cellStyle name="Normal 12 2 3 2_LNG &amp; LPG rework" xfId="6851"/>
    <cellStyle name="Normal 12 2 3 3" xfId="2535"/>
    <cellStyle name="Normal 12 2 3 3 2" xfId="2536"/>
    <cellStyle name="Normal 12 2 3 3 2 2" xfId="11281"/>
    <cellStyle name="Normal 12 2 3 3 2 3" xfId="17027"/>
    <cellStyle name="Normal 12 2 3 3 3" xfId="2537"/>
    <cellStyle name="Normal 12 2 3 3 3 2" xfId="11282"/>
    <cellStyle name="Normal 12 2 3 3 3 3" xfId="17028"/>
    <cellStyle name="Normal 12 2 3 3 4" xfId="2538"/>
    <cellStyle name="Normal 12 2 3 3 4 2" xfId="11283"/>
    <cellStyle name="Normal 12 2 3 3 4 3" xfId="17029"/>
    <cellStyle name="Normal 12 2 3 3 5" xfId="2539"/>
    <cellStyle name="Normal 12 2 3 3 5 2" xfId="11284"/>
    <cellStyle name="Normal 12 2 3 3 5 3" xfId="17030"/>
    <cellStyle name="Normal 12 2 3 3 6" xfId="11280"/>
    <cellStyle name="Normal 12 2 3 3 7" xfId="17026"/>
    <cellStyle name="Normal 12 2 3 3_LNG &amp; LPG rework" xfId="6853"/>
    <cellStyle name="Normal 12 2 3 4" xfId="2540"/>
    <cellStyle name="Normal 12 2 3 4 2" xfId="11285"/>
    <cellStyle name="Normal 12 2 3 4 3" xfId="17031"/>
    <cellStyle name="Normal 12 2 3 5" xfId="2541"/>
    <cellStyle name="Normal 12 2 3 5 2" xfId="11286"/>
    <cellStyle name="Normal 12 2 3 5 3" xfId="17032"/>
    <cellStyle name="Normal 12 2 3 6" xfId="2542"/>
    <cellStyle name="Normal 12 2 3 6 2" xfId="11287"/>
    <cellStyle name="Normal 12 2 3 6 3" xfId="17033"/>
    <cellStyle name="Normal 12 2 3 7" xfId="2543"/>
    <cellStyle name="Normal 12 2 3 7 2" xfId="11288"/>
    <cellStyle name="Normal 12 2 3 7 3" xfId="17034"/>
    <cellStyle name="Normal 12 2 3 8" xfId="2544"/>
    <cellStyle name="Normal 12 2 3 8 2" xfId="11289"/>
    <cellStyle name="Normal 12 2 3 8 3" xfId="17035"/>
    <cellStyle name="Normal 12 2 3 9" xfId="9201"/>
    <cellStyle name="Normal 12 2 3_LNG &amp; LPG rework" xfId="6852"/>
    <cellStyle name="Normal 12 2 4" xfId="355"/>
    <cellStyle name="Normal 12 2 4 2" xfId="2545"/>
    <cellStyle name="Normal 12 2 4 2 2" xfId="11290"/>
    <cellStyle name="Normal 12 2 4 2 3" xfId="17037"/>
    <cellStyle name="Normal 12 2 4 3" xfId="2546"/>
    <cellStyle name="Normal 12 2 4 3 2" xfId="11291"/>
    <cellStyle name="Normal 12 2 4 3 3" xfId="17038"/>
    <cellStyle name="Normal 12 2 4 4" xfId="2547"/>
    <cellStyle name="Normal 12 2 4 4 2" xfId="11292"/>
    <cellStyle name="Normal 12 2 4 4 3" xfId="17039"/>
    <cellStyle name="Normal 12 2 4 5" xfId="2548"/>
    <cellStyle name="Normal 12 2 4 5 2" xfId="11293"/>
    <cellStyle name="Normal 12 2 4 5 3" xfId="17040"/>
    <cellStyle name="Normal 12 2 4 6" xfId="2549"/>
    <cellStyle name="Normal 12 2 4 6 2" xfId="11294"/>
    <cellStyle name="Normal 12 2 4 6 3" xfId="17041"/>
    <cellStyle name="Normal 12 2 4 7" xfId="9203"/>
    <cellStyle name="Normal 12 2 4 8" xfId="17036"/>
    <cellStyle name="Normal 12 2 4_LNG &amp; LPG rework" xfId="6854"/>
    <cellStyle name="Normal 12 2 5" xfId="2550"/>
    <cellStyle name="Normal 12 2 5 2" xfId="2551"/>
    <cellStyle name="Normal 12 2 5 2 2" xfId="11296"/>
    <cellStyle name="Normal 12 2 5 2 3" xfId="17043"/>
    <cellStyle name="Normal 12 2 5 3" xfId="2552"/>
    <cellStyle name="Normal 12 2 5 3 2" xfId="11297"/>
    <cellStyle name="Normal 12 2 5 3 3" xfId="17044"/>
    <cellStyle name="Normal 12 2 5 4" xfId="2553"/>
    <cellStyle name="Normal 12 2 5 4 2" xfId="11298"/>
    <cellStyle name="Normal 12 2 5 4 3" xfId="17045"/>
    <cellStyle name="Normal 12 2 5 5" xfId="2554"/>
    <cellStyle name="Normal 12 2 5 5 2" xfId="11299"/>
    <cellStyle name="Normal 12 2 5 5 3" xfId="17046"/>
    <cellStyle name="Normal 12 2 5 6" xfId="11295"/>
    <cellStyle name="Normal 12 2 5 7" xfId="17042"/>
    <cellStyle name="Normal 12 2 5_LNG &amp; LPG rework" xfId="6855"/>
    <cellStyle name="Normal 12 2 6" xfId="2555"/>
    <cellStyle name="Normal 12 2 6 2" xfId="2556"/>
    <cellStyle name="Normal 12 2 6 2 2" xfId="11301"/>
    <cellStyle name="Normal 12 2 6 2 3" xfId="17048"/>
    <cellStyle name="Normal 12 2 6 3" xfId="2557"/>
    <cellStyle name="Normal 12 2 6 3 2" xfId="11302"/>
    <cellStyle name="Normal 12 2 6 3 3" xfId="17049"/>
    <cellStyle name="Normal 12 2 6 4" xfId="2558"/>
    <cellStyle name="Normal 12 2 6 4 2" xfId="11303"/>
    <cellStyle name="Normal 12 2 6 4 3" xfId="17050"/>
    <cellStyle name="Normal 12 2 6 5" xfId="2559"/>
    <cellStyle name="Normal 12 2 6 5 2" xfId="11304"/>
    <cellStyle name="Normal 12 2 6 5 3" xfId="17051"/>
    <cellStyle name="Normal 12 2 6 6" xfId="11300"/>
    <cellStyle name="Normal 12 2 6 7" xfId="17047"/>
    <cellStyle name="Normal 12 2 6_LNG &amp; LPG rework" xfId="6856"/>
    <cellStyle name="Normal 12 2 7" xfId="2560"/>
    <cellStyle name="Normal 12 2 7 2" xfId="11305"/>
    <cellStyle name="Normal 12 2 7 3" xfId="17052"/>
    <cellStyle name="Normal 12 2 8" xfId="2561"/>
    <cellStyle name="Normal 12 2 8 2" xfId="11306"/>
    <cellStyle name="Normal 12 2 8 3" xfId="17053"/>
    <cellStyle name="Normal 12 2 9" xfId="2562"/>
    <cellStyle name="Normal 12 2 9 2" xfId="11307"/>
    <cellStyle name="Normal 12 2 9 3" xfId="17054"/>
    <cellStyle name="Normal 12 2_LNG &amp; LPG rework" xfId="6843"/>
    <cellStyle name="Normal 12 20" xfId="2563"/>
    <cellStyle name="Normal 12 20 2" xfId="2564"/>
    <cellStyle name="Normal 12 20 2 2" xfId="2565"/>
    <cellStyle name="Normal 12 20 2 2 2" xfId="11310"/>
    <cellStyle name="Normal 12 20 2 2 3" xfId="17057"/>
    <cellStyle name="Normal 12 20 2 3" xfId="2566"/>
    <cellStyle name="Normal 12 20 2 3 2" xfId="11311"/>
    <cellStyle name="Normal 12 20 2 3 3" xfId="17058"/>
    <cellStyle name="Normal 12 20 2 4" xfId="2567"/>
    <cellStyle name="Normal 12 20 2 4 2" xfId="11312"/>
    <cellStyle name="Normal 12 20 2 4 3" xfId="17059"/>
    <cellStyle name="Normal 12 20 2 5" xfId="2568"/>
    <cellStyle name="Normal 12 20 2 5 2" xfId="11313"/>
    <cellStyle name="Normal 12 20 2 5 3" xfId="17060"/>
    <cellStyle name="Normal 12 20 2 6" xfId="11309"/>
    <cellStyle name="Normal 12 20 2 7" xfId="17056"/>
    <cellStyle name="Normal 12 20 2_LNG &amp; LPG rework" xfId="6857"/>
    <cellStyle name="Normal 12 20 3" xfId="2569"/>
    <cellStyle name="Normal 12 20 3 2" xfId="11314"/>
    <cellStyle name="Normal 12 20 3 3" xfId="17061"/>
    <cellStyle name="Normal 12 20 4" xfId="2570"/>
    <cellStyle name="Normal 12 20 4 2" xfId="11315"/>
    <cellStyle name="Normal 12 20 4 3" xfId="17062"/>
    <cellStyle name="Normal 12 20 5" xfId="2571"/>
    <cellStyle name="Normal 12 20 5 2" xfId="11316"/>
    <cellStyle name="Normal 12 20 5 3" xfId="17063"/>
    <cellStyle name="Normal 12 20 6" xfId="2572"/>
    <cellStyle name="Normal 12 20 6 2" xfId="11317"/>
    <cellStyle name="Normal 12 20 6 3" xfId="17064"/>
    <cellStyle name="Normal 12 20 7" xfId="11308"/>
    <cellStyle name="Normal 12 20 8" xfId="17055"/>
    <cellStyle name="Normal 12 20_LNG &amp; LPG rework" xfId="6859"/>
    <cellStyle name="Normal 12 21" xfId="2573"/>
    <cellStyle name="Normal 12 21 2" xfId="2574"/>
    <cellStyle name="Normal 12 21 2 2" xfId="11319"/>
    <cellStyle name="Normal 12 21 2 3" xfId="17066"/>
    <cellStyle name="Normal 12 21 3" xfId="2575"/>
    <cellStyle name="Normal 12 21 3 2" xfId="11320"/>
    <cellStyle name="Normal 12 21 3 3" xfId="17067"/>
    <cellStyle name="Normal 12 21 4" xfId="2576"/>
    <cellStyle name="Normal 12 21 4 2" xfId="11321"/>
    <cellStyle name="Normal 12 21 4 3" xfId="17068"/>
    <cellStyle name="Normal 12 21 5" xfId="2577"/>
    <cellStyle name="Normal 12 21 5 2" xfId="11322"/>
    <cellStyle name="Normal 12 21 5 3" xfId="17069"/>
    <cellStyle name="Normal 12 21 6" xfId="11318"/>
    <cellStyle name="Normal 12 21 7" xfId="17065"/>
    <cellStyle name="Normal 12 21_LNG &amp; LPG rework" xfId="6858"/>
    <cellStyle name="Normal 12 22" xfId="2578"/>
    <cellStyle name="Normal 12 22 2" xfId="2579"/>
    <cellStyle name="Normal 12 22 2 2" xfId="11324"/>
    <cellStyle name="Normal 12 22 2 3" xfId="17071"/>
    <cellStyle name="Normal 12 22 3" xfId="2580"/>
    <cellStyle name="Normal 12 22 3 2" xfId="11325"/>
    <cellStyle name="Normal 12 22 3 3" xfId="17072"/>
    <cellStyle name="Normal 12 22 4" xfId="2581"/>
    <cellStyle name="Normal 12 22 4 2" xfId="11326"/>
    <cellStyle name="Normal 12 22 4 3" xfId="17073"/>
    <cellStyle name="Normal 12 22 5" xfId="2582"/>
    <cellStyle name="Normal 12 22 5 2" xfId="11327"/>
    <cellStyle name="Normal 12 22 5 3" xfId="17074"/>
    <cellStyle name="Normal 12 22 6" xfId="11323"/>
    <cellStyle name="Normal 12 22 7" xfId="17070"/>
    <cellStyle name="Normal 12 22_LNG &amp; LPG rework" xfId="6860"/>
    <cellStyle name="Normal 12 23" xfId="2583"/>
    <cellStyle name="Normal 12 23 2" xfId="11328"/>
    <cellStyle name="Normal 12 23 3" xfId="17075"/>
    <cellStyle name="Normal 12 24" xfId="2584"/>
    <cellStyle name="Normal 12 24 2" xfId="11329"/>
    <cellStyle name="Normal 12 24 3" xfId="17076"/>
    <cellStyle name="Normal 12 25" xfId="2585"/>
    <cellStyle name="Normal 12 25 2" xfId="11330"/>
    <cellStyle name="Normal 12 25 3" xfId="17077"/>
    <cellStyle name="Normal 12 26" xfId="2586"/>
    <cellStyle name="Normal 12 26 2" xfId="11331"/>
    <cellStyle name="Normal 12 26 3" xfId="17078"/>
    <cellStyle name="Normal 12 27" xfId="2587"/>
    <cellStyle name="Normal 12 27 2" xfId="11332"/>
    <cellStyle name="Normal 12 27 3" xfId="17079"/>
    <cellStyle name="Normal 12 28" xfId="2588"/>
    <cellStyle name="Normal 12 28 2" xfId="11333"/>
    <cellStyle name="Normal 12 28 3" xfId="17080"/>
    <cellStyle name="Normal 12 29" xfId="9195"/>
    <cellStyle name="Normal 12 3" xfId="356"/>
    <cellStyle name="Normal 12 3 10" xfId="2589"/>
    <cellStyle name="Normal 12 3 10 2" xfId="11334"/>
    <cellStyle name="Normal 12 3 10 3" xfId="17082"/>
    <cellStyle name="Normal 12 3 11" xfId="9204"/>
    <cellStyle name="Normal 12 3 12" xfId="17081"/>
    <cellStyle name="Normal 12 3 2" xfId="357"/>
    <cellStyle name="Normal 12 3 2 10" xfId="17083"/>
    <cellStyle name="Normal 12 3 2 2" xfId="358"/>
    <cellStyle name="Normal 12 3 2 2 2" xfId="2590"/>
    <cellStyle name="Normal 12 3 2 2 2 2" xfId="11335"/>
    <cellStyle name="Normal 12 3 2 2 2 3" xfId="17085"/>
    <cellStyle name="Normal 12 3 2 2 3" xfId="2591"/>
    <cellStyle name="Normal 12 3 2 2 3 2" xfId="11336"/>
    <cellStyle name="Normal 12 3 2 2 3 3" xfId="17086"/>
    <cellStyle name="Normal 12 3 2 2 4" xfId="2592"/>
    <cellStyle name="Normal 12 3 2 2 4 2" xfId="11337"/>
    <cellStyle name="Normal 12 3 2 2 4 3" xfId="17087"/>
    <cellStyle name="Normal 12 3 2 2 5" xfId="2593"/>
    <cellStyle name="Normal 12 3 2 2 5 2" xfId="11338"/>
    <cellStyle name="Normal 12 3 2 2 5 3" xfId="17088"/>
    <cellStyle name="Normal 12 3 2 2 6" xfId="2594"/>
    <cellStyle name="Normal 12 3 2 2 6 2" xfId="11339"/>
    <cellStyle name="Normal 12 3 2 2 6 3" xfId="17089"/>
    <cellStyle name="Normal 12 3 2 2 7" xfId="9206"/>
    <cellStyle name="Normal 12 3 2 2 8" xfId="17084"/>
    <cellStyle name="Normal 12 3 2 2_LNG &amp; LPG rework" xfId="6732"/>
    <cellStyle name="Normal 12 3 2 3" xfId="2595"/>
    <cellStyle name="Normal 12 3 2 3 2" xfId="2596"/>
    <cellStyle name="Normal 12 3 2 3 2 2" xfId="11341"/>
    <cellStyle name="Normal 12 3 2 3 2 3" xfId="17091"/>
    <cellStyle name="Normal 12 3 2 3 3" xfId="2597"/>
    <cellStyle name="Normal 12 3 2 3 3 2" xfId="11342"/>
    <cellStyle name="Normal 12 3 2 3 3 3" xfId="17092"/>
    <cellStyle name="Normal 12 3 2 3 4" xfId="2598"/>
    <cellStyle name="Normal 12 3 2 3 4 2" xfId="11343"/>
    <cellStyle name="Normal 12 3 2 3 4 3" xfId="17093"/>
    <cellStyle name="Normal 12 3 2 3 5" xfId="2599"/>
    <cellStyle name="Normal 12 3 2 3 5 2" xfId="11344"/>
    <cellStyle name="Normal 12 3 2 3 5 3" xfId="17094"/>
    <cellStyle name="Normal 12 3 2 3 6" xfId="11340"/>
    <cellStyle name="Normal 12 3 2 3 7" xfId="17090"/>
    <cellStyle name="Normal 12 3 2 3_LNG &amp; LPG rework" xfId="6863"/>
    <cellStyle name="Normal 12 3 2 4" xfId="2600"/>
    <cellStyle name="Normal 12 3 2 4 2" xfId="11345"/>
    <cellStyle name="Normal 12 3 2 4 3" xfId="17095"/>
    <cellStyle name="Normal 12 3 2 5" xfId="2601"/>
    <cellStyle name="Normal 12 3 2 5 2" xfId="11346"/>
    <cellStyle name="Normal 12 3 2 5 3" xfId="17096"/>
    <cellStyle name="Normal 12 3 2 6" xfId="2602"/>
    <cellStyle name="Normal 12 3 2 6 2" xfId="11347"/>
    <cellStyle name="Normal 12 3 2 6 3" xfId="17097"/>
    <cellStyle name="Normal 12 3 2 7" xfId="2603"/>
    <cellStyle name="Normal 12 3 2 7 2" xfId="11348"/>
    <cellStyle name="Normal 12 3 2 7 3" xfId="17098"/>
    <cellStyle name="Normal 12 3 2 8" xfId="2604"/>
    <cellStyle name="Normal 12 3 2 8 2" xfId="11349"/>
    <cellStyle name="Normal 12 3 2 8 3" xfId="17099"/>
    <cellStyle name="Normal 12 3 2 9" xfId="9205"/>
    <cellStyle name="Normal 12 3 2_LNG &amp; LPG rework" xfId="6862"/>
    <cellStyle name="Normal 12 3 3" xfId="359"/>
    <cellStyle name="Normal 12 3 3 2" xfId="2605"/>
    <cellStyle name="Normal 12 3 3 2 2" xfId="11350"/>
    <cellStyle name="Normal 12 3 3 2 3" xfId="17101"/>
    <cellStyle name="Normal 12 3 3 3" xfId="2606"/>
    <cellStyle name="Normal 12 3 3 3 2" xfId="11351"/>
    <cellStyle name="Normal 12 3 3 3 3" xfId="17102"/>
    <cellStyle name="Normal 12 3 3 4" xfId="2607"/>
    <cellStyle name="Normal 12 3 3 4 2" xfId="11352"/>
    <cellStyle name="Normal 12 3 3 4 3" xfId="17103"/>
    <cellStyle name="Normal 12 3 3 5" xfId="2608"/>
    <cellStyle name="Normal 12 3 3 5 2" xfId="11353"/>
    <cellStyle name="Normal 12 3 3 5 3" xfId="17104"/>
    <cellStyle name="Normal 12 3 3 6" xfId="2609"/>
    <cellStyle name="Normal 12 3 3 6 2" xfId="11354"/>
    <cellStyle name="Normal 12 3 3 6 3" xfId="17105"/>
    <cellStyle name="Normal 12 3 3 7" xfId="9207"/>
    <cellStyle name="Normal 12 3 3 8" xfId="17100"/>
    <cellStyle name="Normal 12 3 3_LNG &amp; LPG rework" xfId="6864"/>
    <cellStyle name="Normal 12 3 4" xfId="2610"/>
    <cellStyle name="Normal 12 3 4 2" xfId="2611"/>
    <cellStyle name="Normal 12 3 4 2 2" xfId="11356"/>
    <cellStyle name="Normal 12 3 4 2 3" xfId="17107"/>
    <cellStyle name="Normal 12 3 4 3" xfId="2612"/>
    <cellStyle name="Normal 12 3 4 3 2" xfId="11357"/>
    <cellStyle name="Normal 12 3 4 3 3" xfId="17108"/>
    <cellStyle name="Normal 12 3 4 4" xfId="2613"/>
    <cellStyle name="Normal 12 3 4 4 2" xfId="11358"/>
    <cellStyle name="Normal 12 3 4 4 3" xfId="17109"/>
    <cellStyle name="Normal 12 3 4 5" xfId="2614"/>
    <cellStyle name="Normal 12 3 4 5 2" xfId="11359"/>
    <cellStyle name="Normal 12 3 4 5 3" xfId="17110"/>
    <cellStyle name="Normal 12 3 4 6" xfId="11355"/>
    <cellStyle name="Normal 12 3 4 7" xfId="17106"/>
    <cellStyle name="Normal 12 3 4_LNG &amp; LPG rework" xfId="6865"/>
    <cellStyle name="Normal 12 3 5" xfId="2615"/>
    <cellStyle name="Normal 12 3 5 2" xfId="2616"/>
    <cellStyle name="Normal 12 3 5 2 2" xfId="11361"/>
    <cellStyle name="Normal 12 3 5 2 3" xfId="17112"/>
    <cellStyle name="Normal 12 3 5 3" xfId="2617"/>
    <cellStyle name="Normal 12 3 5 3 2" xfId="11362"/>
    <cellStyle name="Normal 12 3 5 3 3" xfId="17113"/>
    <cellStyle name="Normal 12 3 5 4" xfId="2618"/>
    <cellStyle name="Normal 12 3 5 4 2" xfId="11363"/>
    <cellStyle name="Normal 12 3 5 4 3" xfId="17114"/>
    <cellStyle name="Normal 12 3 5 5" xfId="2619"/>
    <cellStyle name="Normal 12 3 5 5 2" xfId="11364"/>
    <cellStyle name="Normal 12 3 5 5 3" xfId="17115"/>
    <cellStyle name="Normal 12 3 5 6" xfId="11360"/>
    <cellStyle name="Normal 12 3 5 7" xfId="17111"/>
    <cellStyle name="Normal 12 3 5_LNG &amp; LPG rework" xfId="6866"/>
    <cellStyle name="Normal 12 3 6" xfId="2620"/>
    <cellStyle name="Normal 12 3 6 2" xfId="11365"/>
    <cellStyle name="Normal 12 3 6 3" xfId="17116"/>
    <cellStyle name="Normal 12 3 7" xfId="2621"/>
    <cellStyle name="Normal 12 3 7 2" xfId="11366"/>
    <cellStyle name="Normal 12 3 7 3" xfId="17117"/>
    <cellStyle name="Normal 12 3 8" xfId="2622"/>
    <cellStyle name="Normal 12 3 8 2" xfId="11367"/>
    <cellStyle name="Normal 12 3 8 3" xfId="17118"/>
    <cellStyle name="Normal 12 3 9" xfId="2623"/>
    <cellStyle name="Normal 12 3 9 2" xfId="11368"/>
    <cellStyle name="Normal 12 3 9 3" xfId="17119"/>
    <cellStyle name="Normal 12 3_LNG &amp; LPG rework" xfId="6861"/>
    <cellStyle name="Normal 12 30" xfId="14954"/>
    <cellStyle name="Normal 12 4" xfId="360"/>
    <cellStyle name="Normal 12 4 10" xfId="17120"/>
    <cellStyle name="Normal 12 4 2" xfId="361"/>
    <cellStyle name="Normal 12 4 2 2" xfId="2624"/>
    <cellStyle name="Normal 12 4 2 2 2" xfId="11369"/>
    <cellStyle name="Normal 12 4 2 2 3" xfId="17122"/>
    <cellStyle name="Normal 12 4 2 3" xfId="2625"/>
    <cellStyle name="Normal 12 4 2 3 2" xfId="11370"/>
    <cellStyle name="Normal 12 4 2 3 3" xfId="17123"/>
    <cellStyle name="Normal 12 4 2 4" xfId="2626"/>
    <cellStyle name="Normal 12 4 2 4 2" xfId="11371"/>
    <cellStyle name="Normal 12 4 2 4 3" xfId="17124"/>
    <cellStyle name="Normal 12 4 2 5" xfId="2627"/>
    <cellStyle name="Normal 12 4 2 5 2" xfId="11372"/>
    <cellStyle name="Normal 12 4 2 5 3" xfId="17125"/>
    <cellStyle name="Normal 12 4 2 6" xfId="2628"/>
    <cellStyle name="Normal 12 4 2 6 2" xfId="11373"/>
    <cellStyle name="Normal 12 4 2 6 3" xfId="17126"/>
    <cellStyle name="Normal 12 4 2 7" xfId="9209"/>
    <cellStyle name="Normal 12 4 2 8" xfId="17121"/>
    <cellStyle name="Normal 12 4 2_LNG &amp; LPG rework" xfId="6675"/>
    <cellStyle name="Normal 12 4 3" xfId="2629"/>
    <cellStyle name="Normal 12 4 3 2" xfId="2630"/>
    <cellStyle name="Normal 12 4 3 2 2" xfId="11375"/>
    <cellStyle name="Normal 12 4 3 2 3" xfId="17128"/>
    <cellStyle name="Normal 12 4 3 3" xfId="2631"/>
    <cellStyle name="Normal 12 4 3 3 2" xfId="11376"/>
    <cellStyle name="Normal 12 4 3 3 3" xfId="17129"/>
    <cellStyle name="Normal 12 4 3 4" xfId="2632"/>
    <cellStyle name="Normal 12 4 3 4 2" xfId="11377"/>
    <cellStyle name="Normal 12 4 3 4 3" xfId="17130"/>
    <cellStyle name="Normal 12 4 3 5" xfId="2633"/>
    <cellStyle name="Normal 12 4 3 5 2" xfId="11378"/>
    <cellStyle name="Normal 12 4 3 5 3" xfId="17131"/>
    <cellStyle name="Normal 12 4 3 6" xfId="11374"/>
    <cellStyle name="Normal 12 4 3 7" xfId="17127"/>
    <cellStyle name="Normal 12 4 3_LNG &amp; LPG rework" xfId="6867"/>
    <cellStyle name="Normal 12 4 4" xfId="2634"/>
    <cellStyle name="Normal 12 4 4 2" xfId="11379"/>
    <cellStyle name="Normal 12 4 4 3" xfId="17132"/>
    <cellStyle name="Normal 12 4 5" xfId="2635"/>
    <cellStyle name="Normal 12 4 5 2" xfId="11380"/>
    <cellStyle name="Normal 12 4 5 3" xfId="17133"/>
    <cellStyle name="Normal 12 4 6" xfId="2636"/>
    <cellStyle name="Normal 12 4 6 2" xfId="11381"/>
    <cellStyle name="Normal 12 4 6 3" xfId="17134"/>
    <cellStyle name="Normal 12 4 7" xfId="2637"/>
    <cellStyle name="Normal 12 4 7 2" xfId="11382"/>
    <cellStyle name="Normal 12 4 7 3" xfId="17135"/>
    <cellStyle name="Normal 12 4 8" xfId="2638"/>
    <cellStyle name="Normal 12 4 8 2" xfId="11383"/>
    <cellStyle name="Normal 12 4 8 3" xfId="17136"/>
    <cellStyle name="Normal 12 4 9" xfId="9208"/>
    <cellStyle name="Normal 12 4_LNG &amp; LPG rework" xfId="6676"/>
    <cellStyle name="Normal 12 5" xfId="362"/>
    <cellStyle name="Normal 12 5 10" xfId="17137"/>
    <cellStyle name="Normal 12 5 2" xfId="2639"/>
    <cellStyle name="Normal 12 5 2 2" xfId="2640"/>
    <cellStyle name="Normal 12 5 2 2 2" xfId="11385"/>
    <cellStyle name="Normal 12 5 2 2 3" xfId="17139"/>
    <cellStyle name="Normal 12 5 2 3" xfId="2641"/>
    <cellStyle name="Normal 12 5 2 3 2" xfId="11386"/>
    <cellStyle name="Normal 12 5 2 3 3" xfId="17140"/>
    <cellStyle name="Normal 12 5 2 4" xfId="2642"/>
    <cellStyle name="Normal 12 5 2 4 2" xfId="11387"/>
    <cellStyle name="Normal 12 5 2 4 3" xfId="17141"/>
    <cellStyle name="Normal 12 5 2 5" xfId="2643"/>
    <cellStyle name="Normal 12 5 2 5 2" xfId="11388"/>
    <cellStyle name="Normal 12 5 2 5 3" xfId="17142"/>
    <cellStyle name="Normal 12 5 2 6" xfId="11384"/>
    <cellStyle name="Normal 12 5 2 7" xfId="17138"/>
    <cellStyle name="Normal 12 5 2_LNG &amp; LPG rework" xfId="6868"/>
    <cellStyle name="Normal 12 5 3" xfId="2644"/>
    <cellStyle name="Normal 12 5 3 2" xfId="2645"/>
    <cellStyle name="Normal 12 5 3 2 2" xfId="11390"/>
    <cellStyle name="Normal 12 5 3 2 3" xfId="17144"/>
    <cellStyle name="Normal 12 5 3 3" xfId="2646"/>
    <cellStyle name="Normal 12 5 3 3 2" xfId="11391"/>
    <cellStyle name="Normal 12 5 3 3 3" xfId="17145"/>
    <cellStyle name="Normal 12 5 3 4" xfId="2647"/>
    <cellStyle name="Normal 12 5 3 4 2" xfId="11392"/>
    <cellStyle name="Normal 12 5 3 4 3" xfId="17146"/>
    <cellStyle name="Normal 12 5 3 5" xfId="2648"/>
    <cellStyle name="Normal 12 5 3 5 2" xfId="11393"/>
    <cellStyle name="Normal 12 5 3 5 3" xfId="17147"/>
    <cellStyle name="Normal 12 5 3 6" xfId="11389"/>
    <cellStyle name="Normal 12 5 3 7" xfId="17143"/>
    <cellStyle name="Normal 12 5 3_LNG &amp; LPG rework" xfId="6870"/>
    <cellStyle name="Normal 12 5 4" xfId="2649"/>
    <cellStyle name="Normal 12 5 4 2" xfId="11394"/>
    <cellStyle name="Normal 12 5 4 3" xfId="17148"/>
    <cellStyle name="Normal 12 5 5" xfId="2650"/>
    <cellStyle name="Normal 12 5 5 2" xfId="11395"/>
    <cellStyle name="Normal 12 5 5 3" xfId="17149"/>
    <cellStyle name="Normal 12 5 6" xfId="2651"/>
    <cellStyle name="Normal 12 5 6 2" xfId="11396"/>
    <cellStyle name="Normal 12 5 6 3" xfId="17150"/>
    <cellStyle name="Normal 12 5 7" xfId="2652"/>
    <cellStyle name="Normal 12 5 7 2" xfId="11397"/>
    <cellStyle name="Normal 12 5 7 3" xfId="17151"/>
    <cellStyle name="Normal 12 5 8" xfId="2653"/>
    <cellStyle name="Normal 12 5 8 2" xfId="11398"/>
    <cellStyle name="Normal 12 5 8 3" xfId="17152"/>
    <cellStyle name="Normal 12 5 9" xfId="9210"/>
    <cellStyle name="Normal 12 5_LNG &amp; LPG rework" xfId="6869"/>
    <cellStyle name="Normal 12 6" xfId="2654"/>
    <cellStyle name="Normal 12 7" xfId="2655"/>
    <cellStyle name="Normal 12 7 2" xfId="2656"/>
    <cellStyle name="Normal 12 7 2 2" xfId="2657"/>
    <cellStyle name="Normal 12 7 2 2 2" xfId="11401"/>
    <cellStyle name="Normal 12 7 2 2 3" xfId="17155"/>
    <cellStyle name="Normal 12 7 2 3" xfId="2658"/>
    <cellStyle name="Normal 12 7 2 3 2" xfId="11402"/>
    <cellStyle name="Normal 12 7 2 3 3" xfId="17156"/>
    <cellStyle name="Normal 12 7 2 4" xfId="2659"/>
    <cellStyle name="Normal 12 7 2 4 2" xfId="11403"/>
    <cellStyle name="Normal 12 7 2 4 3" xfId="17157"/>
    <cellStyle name="Normal 12 7 2 5" xfId="2660"/>
    <cellStyle name="Normal 12 7 2 5 2" xfId="11404"/>
    <cellStyle name="Normal 12 7 2 5 3" xfId="17158"/>
    <cellStyle name="Normal 12 7 2 6" xfId="11400"/>
    <cellStyle name="Normal 12 7 2 7" xfId="17154"/>
    <cellStyle name="Normal 12 7 2_LNG &amp; LPG rework" xfId="6871"/>
    <cellStyle name="Normal 12 7 3" xfId="2661"/>
    <cellStyle name="Normal 12 7 3 2" xfId="2662"/>
    <cellStyle name="Normal 12 7 3 2 2" xfId="11406"/>
    <cellStyle name="Normal 12 7 3 2 3" xfId="17160"/>
    <cellStyle name="Normal 12 7 3 3" xfId="2663"/>
    <cellStyle name="Normal 12 7 3 3 2" xfId="11407"/>
    <cellStyle name="Normal 12 7 3 3 3" xfId="17161"/>
    <cellStyle name="Normal 12 7 3 4" xfId="2664"/>
    <cellStyle name="Normal 12 7 3 4 2" xfId="11408"/>
    <cellStyle name="Normal 12 7 3 4 3" xfId="17162"/>
    <cellStyle name="Normal 12 7 3 5" xfId="2665"/>
    <cellStyle name="Normal 12 7 3 5 2" xfId="11409"/>
    <cellStyle name="Normal 12 7 3 5 3" xfId="17163"/>
    <cellStyle name="Normal 12 7 3 6" xfId="11405"/>
    <cellStyle name="Normal 12 7 3 7" xfId="17159"/>
    <cellStyle name="Normal 12 7 3_LNG &amp; LPG rework" xfId="6875"/>
    <cellStyle name="Normal 12 7 4" xfId="2666"/>
    <cellStyle name="Normal 12 7 4 2" xfId="11410"/>
    <cellStyle name="Normal 12 7 4 3" xfId="17164"/>
    <cellStyle name="Normal 12 7 5" xfId="2667"/>
    <cellStyle name="Normal 12 7 5 2" xfId="11411"/>
    <cellStyle name="Normal 12 7 5 3" xfId="17165"/>
    <cellStyle name="Normal 12 7 6" xfId="2668"/>
    <cellStyle name="Normal 12 7 6 2" xfId="11412"/>
    <cellStyle name="Normal 12 7 6 3" xfId="17166"/>
    <cellStyle name="Normal 12 7 7" xfId="2669"/>
    <cellStyle name="Normal 12 7 7 2" xfId="11413"/>
    <cellStyle name="Normal 12 7 7 3" xfId="17167"/>
    <cellStyle name="Normal 12 7 8" xfId="11399"/>
    <cellStyle name="Normal 12 7 9" xfId="17153"/>
    <cellStyle name="Normal 12 7_LNG &amp; LPG rework" xfId="6872"/>
    <cellStyle name="Normal 12 8" xfId="2670"/>
    <cellStyle name="Normal 12 8 2" xfId="2671"/>
    <cellStyle name="Normal 12 8 2 2" xfId="2672"/>
    <cellStyle name="Normal 12 8 2 2 2" xfId="11416"/>
    <cellStyle name="Normal 12 8 2 2 3" xfId="17170"/>
    <cellStyle name="Normal 12 8 2 3" xfId="2673"/>
    <cellStyle name="Normal 12 8 2 3 2" xfId="11417"/>
    <cellStyle name="Normal 12 8 2 3 3" xfId="17171"/>
    <cellStyle name="Normal 12 8 2 4" xfId="2674"/>
    <cellStyle name="Normal 12 8 2 4 2" xfId="11418"/>
    <cellStyle name="Normal 12 8 2 4 3" xfId="17172"/>
    <cellStyle name="Normal 12 8 2 5" xfId="2675"/>
    <cellStyle name="Normal 12 8 2 5 2" xfId="11419"/>
    <cellStyle name="Normal 12 8 2 5 3" xfId="17173"/>
    <cellStyle name="Normal 12 8 2 6" xfId="11415"/>
    <cellStyle name="Normal 12 8 2 7" xfId="17169"/>
    <cellStyle name="Normal 12 8 2_LNG &amp; LPG rework" xfId="6874"/>
    <cellStyle name="Normal 12 8 3" xfId="2676"/>
    <cellStyle name="Normal 12 8 3 2" xfId="2677"/>
    <cellStyle name="Normal 12 8 3 2 2" xfId="11421"/>
    <cellStyle name="Normal 12 8 3 2 3" xfId="17175"/>
    <cellStyle name="Normal 12 8 3 3" xfId="2678"/>
    <cellStyle name="Normal 12 8 3 3 2" xfId="11422"/>
    <cellStyle name="Normal 12 8 3 3 3" xfId="17176"/>
    <cellStyle name="Normal 12 8 3 4" xfId="2679"/>
    <cellStyle name="Normal 12 8 3 4 2" xfId="11423"/>
    <cellStyle name="Normal 12 8 3 4 3" xfId="17177"/>
    <cellStyle name="Normal 12 8 3 5" xfId="2680"/>
    <cellStyle name="Normal 12 8 3 5 2" xfId="11424"/>
    <cellStyle name="Normal 12 8 3 5 3" xfId="17178"/>
    <cellStyle name="Normal 12 8 3 6" xfId="11420"/>
    <cellStyle name="Normal 12 8 3 7" xfId="17174"/>
    <cellStyle name="Normal 12 8 3_LNG &amp; LPG rework" xfId="6674"/>
    <cellStyle name="Normal 12 8 4" xfId="2681"/>
    <cellStyle name="Normal 12 8 4 2" xfId="11425"/>
    <cellStyle name="Normal 12 8 4 3" xfId="17179"/>
    <cellStyle name="Normal 12 8 5" xfId="2682"/>
    <cellStyle name="Normal 12 8 5 2" xfId="11426"/>
    <cellStyle name="Normal 12 8 5 3" xfId="17180"/>
    <cellStyle name="Normal 12 8 6" xfId="2683"/>
    <cellStyle name="Normal 12 8 6 2" xfId="11427"/>
    <cellStyle name="Normal 12 8 6 3" xfId="17181"/>
    <cellStyle name="Normal 12 8 7" xfId="2684"/>
    <cellStyle name="Normal 12 8 7 2" xfId="11428"/>
    <cellStyle name="Normal 12 8 7 3" xfId="17182"/>
    <cellStyle name="Normal 12 8 8" xfId="11414"/>
    <cellStyle name="Normal 12 8 9" xfId="17168"/>
    <cellStyle name="Normal 12 8_LNG &amp; LPG rework" xfId="6873"/>
    <cellStyle name="Normal 12 9" xfId="2685"/>
    <cellStyle name="Normal 12 9 2" xfId="2686"/>
    <cellStyle name="Normal 12 9 2 2" xfId="2687"/>
    <cellStyle name="Normal 12 9 2 2 2" xfId="11431"/>
    <cellStyle name="Normal 12 9 2 2 3" xfId="17185"/>
    <cellStyle name="Normal 12 9 2 3" xfId="2688"/>
    <cellStyle name="Normal 12 9 2 3 2" xfId="11432"/>
    <cellStyle name="Normal 12 9 2 3 3" xfId="17186"/>
    <cellStyle name="Normal 12 9 2 4" xfId="2689"/>
    <cellStyle name="Normal 12 9 2 4 2" xfId="11433"/>
    <cellStyle name="Normal 12 9 2 4 3" xfId="17187"/>
    <cellStyle name="Normal 12 9 2 5" xfId="2690"/>
    <cellStyle name="Normal 12 9 2 5 2" xfId="11434"/>
    <cellStyle name="Normal 12 9 2 5 3" xfId="17188"/>
    <cellStyle name="Normal 12 9 2 6" xfId="11430"/>
    <cellStyle name="Normal 12 9 2 7" xfId="17184"/>
    <cellStyle name="Normal 12 9 2_LNG &amp; LPG rework" xfId="6672"/>
    <cellStyle name="Normal 12 9 3" xfId="2691"/>
    <cellStyle name="Normal 12 9 3 2" xfId="2692"/>
    <cellStyle name="Normal 12 9 3 2 2" xfId="11436"/>
    <cellStyle name="Normal 12 9 3 2 3" xfId="17190"/>
    <cellStyle name="Normal 12 9 3 3" xfId="2693"/>
    <cellStyle name="Normal 12 9 3 3 2" xfId="11437"/>
    <cellStyle name="Normal 12 9 3 3 3" xfId="17191"/>
    <cellStyle name="Normal 12 9 3 4" xfId="2694"/>
    <cellStyle name="Normal 12 9 3 4 2" xfId="11438"/>
    <cellStyle name="Normal 12 9 3 4 3" xfId="17192"/>
    <cellStyle name="Normal 12 9 3 5" xfId="2695"/>
    <cellStyle name="Normal 12 9 3 5 2" xfId="11439"/>
    <cellStyle name="Normal 12 9 3 5 3" xfId="17193"/>
    <cellStyle name="Normal 12 9 3 6" xfId="11435"/>
    <cellStyle name="Normal 12 9 3 7" xfId="17189"/>
    <cellStyle name="Normal 12 9 3_LNG &amp; LPG rework" xfId="6671"/>
    <cellStyle name="Normal 12 9 4" xfId="2696"/>
    <cellStyle name="Normal 12 9 4 2" xfId="11440"/>
    <cellStyle name="Normal 12 9 4 3" xfId="17194"/>
    <cellStyle name="Normal 12 9 5" xfId="2697"/>
    <cellStyle name="Normal 12 9 5 2" xfId="11441"/>
    <cellStyle name="Normal 12 9 5 3" xfId="17195"/>
    <cellStyle name="Normal 12 9 6" xfId="2698"/>
    <cellStyle name="Normal 12 9 6 2" xfId="11442"/>
    <cellStyle name="Normal 12 9 6 3" xfId="17196"/>
    <cellStyle name="Normal 12 9 7" xfId="2699"/>
    <cellStyle name="Normal 12 9 7 2" xfId="11443"/>
    <cellStyle name="Normal 12 9 7 3" xfId="17197"/>
    <cellStyle name="Normal 12 9 8" xfId="11429"/>
    <cellStyle name="Normal 12 9 9" xfId="17183"/>
    <cellStyle name="Normal 12 9_LNG &amp; LPG rework" xfId="6673"/>
    <cellStyle name="Normal 12_2015  Data" xfId="363"/>
    <cellStyle name="Normal 120" xfId="2700"/>
    <cellStyle name="Normal 121" xfId="2701"/>
    <cellStyle name="Normal 122" xfId="2702"/>
    <cellStyle name="Normal 123" xfId="2703"/>
    <cellStyle name="Normal 124" xfId="2704"/>
    <cellStyle name="Normal 125" xfId="2705"/>
    <cellStyle name="Normal 126" xfId="2706"/>
    <cellStyle name="Normal 127" xfId="2707"/>
    <cellStyle name="Normal 128" xfId="2708"/>
    <cellStyle name="Normal 129" xfId="2709"/>
    <cellStyle name="Normal 13" xfId="364"/>
    <cellStyle name="Normal 13 10" xfId="2710"/>
    <cellStyle name="Normal 13 11" xfId="2711"/>
    <cellStyle name="Normal 13 12" xfId="15011"/>
    <cellStyle name="Normal 13 13" xfId="7832"/>
    <cellStyle name="Normal 13 2" xfId="2712"/>
    <cellStyle name="Normal 13 2 2" xfId="2713"/>
    <cellStyle name="Normal 13 3" xfId="2714"/>
    <cellStyle name="Normal 13 3 2" xfId="2715"/>
    <cellStyle name="Normal 13 4" xfId="2716"/>
    <cellStyle name="Normal 13 5" xfId="2717"/>
    <cellStyle name="Normal 13 5 2" xfId="2718"/>
    <cellStyle name="Normal 13 6" xfId="2719"/>
    <cellStyle name="Normal 13 6 2" xfId="2720"/>
    <cellStyle name="Normal 13 7" xfId="2721"/>
    <cellStyle name="Normal 13 7 2" xfId="2722"/>
    <cellStyle name="Normal 13 8" xfId="2723"/>
    <cellStyle name="Normal 13 9" xfId="2724"/>
    <cellStyle name="Normal 13_Data - Monthly Commodity Prices" xfId="6514"/>
    <cellStyle name="Normal 130" xfId="2725"/>
    <cellStyle name="Normal 131" xfId="2726"/>
    <cellStyle name="Normal 132" xfId="2727"/>
    <cellStyle name="Normal 133" xfId="2728"/>
    <cellStyle name="Normal 134" xfId="2729"/>
    <cellStyle name="Normal 135" xfId="2730"/>
    <cellStyle name="Normal 136" xfId="2731"/>
    <cellStyle name="Normal 137" xfId="2732"/>
    <cellStyle name="Normal 138" xfId="2733"/>
    <cellStyle name="Normal 139" xfId="2734"/>
    <cellStyle name="Normal 14" xfId="365"/>
    <cellStyle name="Normal 14 2" xfId="2735"/>
    <cellStyle name="Normal 14 2 2" xfId="2736"/>
    <cellStyle name="Normal 14 2 2 2" xfId="2737"/>
    <cellStyle name="Normal 14 2 2 2 2" xfId="2738"/>
    <cellStyle name="Normal 14 2 2 2 2 2" xfId="11447"/>
    <cellStyle name="Normal 14 2 2 2 2 3" xfId="17202"/>
    <cellStyle name="Normal 14 2 2 2 3" xfId="11446"/>
    <cellStyle name="Normal 14 2 2 2 4" xfId="17201"/>
    <cellStyle name="Normal 14 2 2 2_LNG &amp; LPG rework" xfId="6668"/>
    <cellStyle name="Normal 14 2 2 3" xfId="2739"/>
    <cellStyle name="Normal 14 2 2 3 2" xfId="11448"/>
    <cellStyle name="Normal 14 2 2 3 3" xfId="17203"/>
    <cellStyle name="Normal 14 2 2 4" xfId="11445"/>
    <cellStyle name="Normal 14 2 2 5" xfId="17200"/>
    <cellStyle name="Normal 14 2 2_LNG &amp; LPG rework" xfId="6669"/>
    <cellStyle name="Normal 14 2 3" xfId="2740"/>
    <cellStyle name="Normal 14 2 3 2" xfId="2741"/>
    <cellStyle name="Normal 14 2 3 2 2" xfId="11450"/>
    <cellStyle name="Normal 14 2 3 2 3" xfId="17205"/>
    <cellStyle name="Normal 14 2 3 3" xfId="11449"/>
    <cellStyle name="Normal 14 2 3 4" xfId="17204"/>
    <cellStyle name="Normal 14 2 3_LNG &amp; LPG rework" xfId="6981"/>
    <cellStyle name="Normal 14 2 4" xfId="2742"/>
    <cellStyle name="Normal 14 2 4 2" xfId="11451"/>
    <cellStyle name="Normal 14 2 4 3" xfId="17206"/>
    <cellStyle name="Normal 14 2 5" xfId="2743"/>
    <cellStyle name="Normal 14 2 6" xfId="11444"/>
    <cellStyle name="Normal 14 2 7" xfId="17199"/>
    <cellStyle name="Normal 14 2_LNG &amp; LPG rework" xfId="6670"/>
    <cellStyle name="Normal 14 3" xfId="2744"/>
    <cellStyle name="Normal 14 3 2" xfId="2745"/>
    <cellStyle name="Normal 14 3 2 2" xfId="2746"/>
    <cellStyle name="Normal 14 3 2 2 2" xfId="2747"/>
    <cellStyle name="Normal 14 3 2 2 2 2" xfId="11455"/>
    <cellStyle name="Normal 14 3 2 2 2 3" xfId="17210"/>
    <cellStyle name="Normal 14 3 2 2 3" xfId="11454"/>
    <cellStyle name="Normal 14 3 2 2 4" xfId="17209"/>
    <cellStyle name="Normal 14 3 2 2_LNG &amp; LPG rework" xfId="6876"/>
    <cellStyle name="Normal 14 3 2 3" xfId="2748"/>
    <cellStyle name="Normal 14 3 2 3 2" xfId="11456"/>
    <cellStyle name="Normal 14 3 2 3 3" xfId="17211"/>
    <cellStyle name="Normal 14 3 2 4" xfId="11453"/>
    <cellStyle name="Normal 14 3 2 5" xfId="17208"/>
    <cellStyle name="Normal 14 3 2_LNG &amp; LPG rework" xfId="6667"/>
    <cellStyle name="Normal 14 3 3" xfId="2749"/>
    <cellStyle name="Normal 14 3 3 2" xfId="2750"/>
    <cellStyle name="Normal 14 3 3 2 2" xfId="11458"/>
    <cellStyle name="Normal 14 3 3 2 3" xfId="17213"/>
    <cellStyle name="Normal 14 3 3 3" xfId="11457"/>
    <cellStyle name="Normal 14 3 3 4" xfId="17212"/>
    <cellStyle name="Normal 14 3 3_LNG &amp; LPG rework" xfId="6878"/>
    <cellStyle name="Normal 14 3 4" xfId="2751"/>
    <cellStyle name="Normal 14 3 4 2" xfId="11459"/>
    <cellStyle name="Normal 14 3 4 3" xfId="17214"/>
    <cellStyle name="Normal 14 3 5" xfId="2752"/>
    <cellStyle name="Normal 14 3 6" xfId="11452"/>
    <cellStyle name="Normal 14 3 7" xfId="17207"/>
    <cellStyle name="Normal 14 3_LNG &amp; LPG rework" xfId="6877"/>
    <cellStyle name="Normal 14 4" xfId="2753"/>
    <cellStyle name="Normal 14 4 2" xfId="2754"/>
    <cellStyle name="Normal 14 4 2 2" xfId="2755"/>
    <cellStyle name="Normal 14 4 2 2 2" xfId="11462"/>
    <cellStyle name="Normal 14 4 2 2 3" xfId="17217"/>
    <cellStyle name="Normal 14 4 2 3" xfId="11461"/>
    <cellStyle name="Normal 14 4 2 4" xfId="17216"/>
    <cellStyle name="Normal 14 4 2_LNG &amp; LPG rework" xfId="6666"/>
    <cellStyle name="Normal 14 4 3" xfId="2756"/>
    <cellStyle name="Normal 14 4 3 2" xfId="11463"/>
    <cellStyle name="Normal 14 4 3 3" xfId="17218"/>
    <cellStyle name="Normal 14 4 4" xfId="2757"/>
    <cellStyle name="Normal 14 4 5" xfId="11460"/>
    <cellStyle name="Normal 14 4 6" xfId="17215"/>
    <cellStyle name="Normal 14 4_LNG &amp; LPG rework" xfId="6879"/>
    <cellStyle name="Normal 14 5" xfId="2758"/>
    <cellStyle name="Normal 14 5 2" xfId="2759"/>
    <cellStyle name="Normal 14 5 2 2" xfId="11465"/>
    <cellStyle name="Normal 14 5 2 3" xfId="17220"/>
    <cellStyle name="Normal 14 5 3" xfId="11464"/>
    <cellStyle name="Normal 14 5 4" xfId="17219"/>
    <cellStyle name="Normal 14 5_LNG &amp; LPG rework" xfId="6731"/>
    <cellStyle name="Normal 14 6" xfId="2760"/>
    <cellStyle name="Normal 14 6 2" xfId="11466"/>
    <cellStyle name="Normal 14 6 3" xfId="17221"/>
    <cellStyle name="Normal 14 7" xfId="2761"/>
    <cellStyle name="Normal 14 8" xfId="9211"/>
    <cellStyle name="Normal 14 9" xfId="17198"/>
    <cellStyle name="Normal 14_Data - Monthly Commodity Prices" xfId="6487"/>
    <cellStyle name="Normal 140" xfId="2762"/>
    <cellStyle name="Normal 141" xfId="2763"/>
    <cellStyle name="Normal 142" xfId="2764"/>
    <cellStyle name="Normal 143" xfId="2765"/>
    <cellStyle name="Normal 144" xfId="2766"/>
    <cellStyle name="Normal 145" xfId="2767"/>
    <cellStyle name="Normal 146" xfId="2768"/>
    <cellStyle name="Normal 147" xfId="2769"/>
    <cellStyle name="Normal 148" xfId="2770"/>
    <cellStyle name="Normal 149" xfId="2771"/>
    <cellStyle name="Normal 15" xfId="366"/>
    <cellStyle name="Normal 15 2" xfId="2772"/>
    <cellStyle name="Normal 15 3" xfId="2773"/>
    <cellStyle name="Normal 15 4" xfId="2774"/>
    <cellStyle name="Normal 15 5" xfId="2775"/>
    <cellStyle name="Normal 15 6" xfId="7833"/>
    <cellStyle name="Normal 15_Data - Monthly Commodity Prices" xfId="6515"/>
    <cellStyle name="Normal 150" xfId="2776"/>
    <cellStyle name="Normal 151" xfId="2777"/>
    <cellStyle name="Normal 152" xfId="2778"/>
    <cellStyle name="Normal 153" xfId="2779"/>
    <cellStyle name="Normal 154" xfId="2780"/>
    <cellStyle name="Normal 155" xfId="2781"/>
    <cellStyle name="Normal 156" xfId="2782"/>
    <cellStyle name="Normal 157" xfId="2783"/>
    <cellStyle name="Normal 158" xfId="2784"/>
    <cellStyle name="Normal 159" xfId="2785"/>
    <cellStyle name="Normal 16" xfId="367"/>
    <cellStyle name="Normal 16 2" xfId="2786"/>
    <cellStyle name="Normal 16 3" xfId="2787"/>
    <cellStyle name="Normal 16 4" xfId="2788"/>
    <cellStyle name="Normal 16 5" xfId="2789"/>
    <cellStyle name="Normal 16 6" xfId="7834"/>
    <cellStyle name="Normal 16_Data - Monthly Commodity Prices" xfId="6517"/>
    <cellStyle name="Normal 160" xfId="2790"/>
    <cellStyle name="Normal 161" xfId="2791"/>
    <cellStyle name="Normal 162" xfId="2792"/>
    <cellStyle name="Normal 163" xfId="2793"/>
    <cellStyle name="Normal 164" xfId="2794"/>
    <cellStyle name="Normal 165" xfId="2795"/>
    <cellStyle name="Normal 165 2" xfId="2796"/>
    <cellStyle name="Normal 165 2 2" xfId="2797"/>
    <cellStyle name="Normal 165 2 2 2" xfId="2798"/>
    <cellStyle name="Normal 165 2 2 2 2" xfId="2799"/>
    <cellStyle name="Normal 165 2 2 2 2 2" xfId="11471"/>
    <cellStyle name="Normal 165 2 2 2 2 3" xfId="17226"/>
    <cellStyle name="Normal 165 2 2 2 3" xfId="11470"/>
    <cellStyle name="Normal 165 2 2 2 4" xfId="17225"/>
    <cellStyle name="Normal 165 2 2 2_LNG &amp; LPG rework" xfId="6982"/>
    <cellStyle name="Normal 165 2 2 3" xfId="2800"/>
    <cellStyle name="Normal 165 2 2 3 2" xfId="11472"/>
    <cellStyle name="Normal 165 2 2 3 3" xfId="17227"/>
    <cellStyle name="Normal 165 2 2 4" xfId="11469"/>
    <cellStyle name="Normal 165 2 2 5" xfId="17224"/>
    <cellStyle name="Normal 165 2 2_LNG &amp; LPG rework" xfId="6663"/>
    <cellStyle name="Normal 165 2 3" xfId="2801"/>
    <cellStyle name="Normal 165 2 3 2" xfId="2802"/>
    <cellStyle name="Normal 165 2 3 2 2" xfId="11474"/>
    <cellStyle name="Normal 165 2 3 2 3" xfId="17229"/>
    <cellStyle name="Normal 165 2 3 3" xfId="11473"/>
    <cellStyle name="Normal 165 2 3 4" xfId="17228"/>
    <cellStyle name="Normal 165 2 3_LNG &amp; LPG rework" xfId="6662"/>
    <cellStyle name="Normal 165 2 4" xfId="2803"/>
    <cellStyle name="Normal 165 2 4 2" xfId="11475"/>
    <cellStyle name="Normal 165 2 4 3" xfId="17230"/>
    <cellStyle name="Normal 165 2 5" xfId="11468"/>
    <cellStyle name="Normal 165 2 6" xfId="17223"/>
    <cellStyle name="Normal 165 2_LNG &amp; LPG rework" xfId="6664"/>
    <cellStyle name="Normal 165 3" xfId="2804"/>
    <cellStyle name="Normal 165 3 2" xfId="2805"/>
    <cellStyle name="Normal 165 3 2 2" xfId="2806"/>
    <cellStyle name="Normal 165 3 2 2 2" xfId="2807"/>
    <cellStyle name="Normal 165 3 2 2 2 2" xfId="11479"/>
    <cellStyle name="Normal 165 3 2 2 2 3" xfId="17234"/>
    <cellStyle name="Normal 165 3 2 2 3" xfId="11478"/>
    <cellStyle name="Normal 165 3 2 2 4" xfId="17233"/>
    <cellStyle name="Normal 165 3 2 2_LNG &amp; LPG rework" xfId="6659"/>
    <cellStyle name="Normal 165 3 2 3" xfId="2808"/>
    <cellStyle name="Normal 165 3 2 3 2" xfId="11480"/>
    <cellStyle name="Normal 165 3 2 3 3" xfId="17235"/>
    <cellStyle name="Normal 165 3 2 4" xfId="11477"/>
    <cellStyle name="Normal 165 3 2 5" xfId="17232"/>
    <cellStyle name="Normal 165 3 2_LNG &amp; LPG rework" xfId="6660"/>
    <cellStyle name="Normal 165 3 3" xfId="2809"/>
    <cellStyle name="Normal 165 3 3 2" xfId="2810"/>
    <cellStyle name="Normal 165 3 3 2 2" xfId="11482"/>
    <cellStyle name="Normal 165 3 3 2 3" xfId="17237"/>
    <cellStyle name="Normal 165 3 3 3" xfId="11481"/>
    <cellStyle name="Normal 165 3 3 4" xfId="17236"/>
    <cellStyle name="Normal 165 3 3_LNG &amp; LPG rework" xfId="6658"/>
    <cellStyle name="Normal 165 3 4" xfId="2811"/>
    <cellStyle name="Normal 165 3 4 2" xfId="11483"/>
    <cellStyle name="Normal 165 3 4 3" xfId="17238"/>
    <cellStyle name="Normal 165 3 5" xfId="11476"/>
    <cellStyle name="Normal 165 3 6" xfId="17231"/>
    <cellStyle name="Normal 165 3_LNG &amp; LPG rework" xfId="6661"/>
    <cellStyle name="Normal 165 4" xfId="2812"/>
    <cellStyle name="Normal 165 4 2" xfId="2813"/>
    <cellStyle name="Normal 165 4 2 2" xfId="2814"/>
    <cellStyle name="Normal 165 4 2 2 2" xfId="11486"/>
    <cellStyle name="Normal 165 4 2 2 3" xfId="17241"/>
    <cellStyle name="Normal 165 4 2 3" xfId="11485"/>
    <cellStyle name="Normal 165 4 2 4" xfId="17240"/>
    <cellStyle name="Normal 165 4 2_LNG &amp; LPG rework" xfId="6656"/>
    <cellStyle name="Normal 165 4 3" xfId="2815"/>
    <cellStyle name="Normal 165 4 3 2" xfId="11487"/>
    <cellStyle name="Normal 165 4 3 3" xfId="17242"/>
    <cellStyle name="Normal 165 4 4" xfId="11484"/>
    <cellStyle name="Normal 165 4 5" xfId="17239"/>
    <cellStyle name="Normal 165 4_LNG &amp; LPG rework" xfId="6657"/>
    <cellStyle name="Normal 165 5" xfId="2816"/>
    <cellStyle name="Normal 165 5 2" xfId="2817"/>
    <cellStyle name="Normal 165 5 2 2" xfId="11489"/>
    <cellStyle name="Normal 165 5 2 3" xfId="17244"/>
    <cellStyle name="Normal 165 5 3" xfId="11488"/>
    <cellStyle name="Normal 165 5 4" xfId="17243"/>
    <cellStyle name="Normal 165 5_LNG &amp; LPG rework" xfId="6655"/>
    <cellStyle name="Normal 165 6" xfId="2818"/>
    <cellStyle name="Normal 165 6 2" xfId="11490"/>
    <cellStyle name="Normal 165 6 3" xfId="17245"/>
    <cellStyle name="Normal 165 7" xfId="11467"/>
    <cellStyle name="Normal 165 8" xfId="17222"/>
    <cellStyle name="Normal 165_LNG &amp; LPG rework" xfId="6665"/>
    <cellStyle name="Normal 166" xfId="2819"/>
    <cellStyle name="Normal 166 2" xfId="2820"/>
    <cellStyle name="Normal 166 2 2" xfId="2821"/>
    <cellStyle name="Normal 166 2 2 2" xfId="2822"/>
    <cellStyle name="Normal 166 2 2 2 2" xfId="2823"/>
    <cellStyle name="Normal 166 2 2 2 2 2" xfId="11495"/>
    <cellStyle name="Normal 166 2 2 2 2 3" xfId="17250"/>
    <cellStyle name="Normal 166 2 2 2 3" xfId="11494"/>
    <cellStyle name="Normal 166 2 2 2 4" xfId="17249"/>
    <cellStyle name="Normal 166 2 2 2_LNG &amp; LPG rework" xfId="6651"/>
    <cellStyle name="Normal 166 2 2 3" xfId="2824"/>
    <cellStyle name="Normal 166 2 2 3 2" xfId="11496"/>
    <cellStyle name="Normal 166 2 2 3 3" xfId="17251"/>
    <cellStyle name="Normal 166 2 2 4" xfId="11493"/>
    <cellStyle name="Normal 166 2 2 5" xfId="17248"/>
    <cellStyle name="Normal 166 2 2_LNG &amp; LPG rework" xfId="6652"/>
    <cellStyle name="Normal 166 2 3" xfId="2825"/>
    <cellStyle name="Normal 166 2 3 2" xfId="2826"/>
    <cellStyle name="Normal 166 2 3 2 2" xfId="11498"/>
    <cellStyle name="Normal 166 2 3 2 3" xfId="17253"/>
    <cellStyle name="Normal 166 2 3 3" xfId="11497"/>
    <cellStyle name="Normal 166 2 3 4" xfId="17252"/>
    <cellStyle name="Normal 166 2 3_LNG &amp; LPG rework" xfId="6880"/>
    <cellStyle name="Normal 166 2 4" xfId="2827"/>
    <cellStyle name="Normal 166 2 4 2" xfId="11499"/>
    <cellStyle name="Normal 166 2 4 3" xfId="17254"/>
    <cellStyle name="Normal 166 2 5" xfId="11492"/>
    <cellStyle name="Normal 166 2 6" xfId="17247"/>
    <cellStyle name="Normal 166 2_LNG &amp; LPG rework" xfId="6653"/>
    <cellStyle name="Normal 166 3" xfId="2828"/>
    <cellStyle name="Normal 166 3 2" xfId="2829"/>
    <cellStyle name="Normal 166 3 2 2" xfId="2830"/>
    <cellStyle name="Normal 166 3 2 2 2" xfId="2831"/>
    <cellStyle name="Normal 166 3 2 2 2 2" xfId="11503"/>
    <cellStyle name="Normal 166 3 2 2 2 3" xfId="17258"/>
    <cellStyle name="Normal 166 3 2 2 3" xfId="11502"/>
    <cellStyle name="Normal 166 3 2 2 4" xfId="17257"/>
    <cellStyle name="Normal 166 3 2 2_LNG &amp; LPG rework" xfId="6882"/>
    <cellStyle name="Normal 166 3 2 3" xfId="2832"/>
    <cellStyle name="Normal 166 3 2 3 2" xfId="11504"/>
    <cellStyle name="Normal 166 3 2 3 3" xfId="17259"/>
    <cellStyle name="Normal 166 3 2 4" xfId="11501"/>
    <cellStyle name="Normal 166 3 2 5" xfId="17256"/>
    <cellStyle name="Normal 166 3 2_LNG &amp; LPG rework" xfId="6881"/>
    <cellStyle name="Normal 166 3 3" xfId="2833"/>
    <cellStyle name="Normal 166 3 3 2" xfId="2834"/>
    <cellStyle name="Normal 166 3 3 2 2" xfId="11506"/>
    <cellStyle name="Normal 166 3 3 2 3" xfId="17261"/>
    <cellStyle name="Normal 166 3 3 3" xfId="11505"/>
    <cellStyle name="Normal 166 3 3 4" xfId="17260"/>
    <cellStyle name="Normal 166 3 3_LNG &amp; LPG rework" xfId="6884"/>
    <cellStyle name="Normal 166 3 4" xfId="2835"/>
    <cellStyle name="Normal 166 3 4 2" xfId="11507"/>
    <cellStyle name="Normal 166 3 4 3" xfId="17262"/>
    <cellStyle name="Normal 166 3 5" xfId="11500"/>
    <cellStyle name="Normal 166 3 6" xfId="17255"/>
    <cellStyle name="Normal 166 3_LNG &amp; LPG rework" xfId="6883"/>
    <cellStyle name="Normal 166 4" xfId="2836"/>
    <cellStyle name="Normal 166 4 2" xfId="2837"/>
    <cellStyle name="Normal 166 4 2 2" xfId="2838"/>
    <cellStyle name="Normal 166 4 2 2 2" xfId="11510"/>
    <cellStyle name="Normal 166 4 2 2 3" xfId="17265"/>
    <cellStyle name="Normal 166 4 2 3" xfId="11509"/>
    <cellStyle name="Normal 166 4 2 4" xfId="17264"/>
    <cellStyle name="Normal 166 4 2_LNG &amp; LPG rework" xfId="6886"/>
    <cellStyle name="Normal 166 4 3" xfId="2839"/>
    <cellStyle name="Normal 166 4 3 2" xfId="11511"/>
    <cellStyle name="Normal 166 4 3 3" xfId="17266"/>
    <cellStyle name="Normal 166 4 4" xfId="11508"/>
    <cellStyle name="Normal 166 4 5" xfId="17263"/>
    <cellStyle name="Normal 166 4_LNG &amp; LPG rework" xfId="6885"/>
    <cellStyle name="Normal 166 5" xfId="2840"/>
    <cellStyle name="Normal 166 5 2" xfId="2841"/>
    <cellStyle name="Normal 166 5 2 2" xfId="11513"/>
    <cellStyle name="Normal 166 5 2 3" xfId="17268"/>
    <cellStyle name="Normal 166 5 3" xfId="11512"/>
    <cellStyle name="Normal 166 5 4" xfId="17267"/>
    <cellStyle name="Normal 166 5_LNG &amp; LPG rework" xfId="6887"/>
    <cellStyle name="Normal 166 6" xfId="2842"/>
    <cellStyle name="Normal 166 6 2" xfId="11514"/>
    <cellStyle name="Normal 166 6 3" xfId="17269"/>
    <cellStyle name="Normal 166 7" xfId="11491"/>
    <cellStyle name="Normal 166 8" xfId="17246"/>
    <cellStyle name="Normal 166_LNG &amp; LPG rework" xfId="6654"/>
    <cellStyle name="Normal 167" xfId="2843"/>
    <cellStyle name="Normal 167 2" xfId="2844"/>
    <cellStyle name="Normal 167 2 2" xfId="2845"/>
    <cellStyle name="Normal 167 2 2 2" xfId="2846"/>
    <cellStyle name="Normal 167 2 2 2 2" xfId="2847"/>
    <cellStyle name="Normal 167 2 2 2 2 2" xfId="11519"/>
    <cellStyle name="Normal 167 2 2 2 2 3" xfId="17274"/>
    <cellStyle name="Normal 167 2 2 2 3" xfId="11518"/>
    <cellStyle name="Normal 167 2 2 2 4" xfId="17273"/>
    <cellStyle name="Normal 167 2 2 2_LNG &amp; LPG rework" xfId="6890"/>
    <cellStyle name="Normal 167 2 2 3" xfId="2848"/>
    <cellStyle name="Normal 167 2 2 3 2" xfId="11520"/>
    <cellStyle name="Normal 167 2 2 3 3" xfId="17275"/>
    <cellStyle name="Normal 167 2 2 4" xfId="11517"/>
    <cellStyle name="Normal 167 2 2 5" xfId="17272"/>
    <cellStyle name="Normal 167 2 2_LNG &amp; LPG rework" xfId="6889"/>
    <cellStyle name="Normal 167 2 3" xfId="2849"/>
    <cellStyle name="Normal 167 2 3 2" xfId="2850"/>
    <cellStyle name="Normal 167 2 3 2 2" xfId="11522"/>
    <cellStyle name="Normal 167 2 3 2 3" xfId="17277"/>
    <cellStyle name="Normal 167 2 3 3" xfId="11521"/>
    <cellStyle name="Normal 167 2 3 4" xfId="17276"/>
    <cellStyle name="Normal 167 2 3_LNG &amp; LPG rework" xfId="6892"/>
    <cellStyle name="Normal 167 2 4" xfId="2851"/>
    <cellStyle name="Normal 167 2 4 2" xfId="11523"/>
    <cellStyle name="Normal 167 2 4 3" xfId="17278"/>
    <cellStyle name="Normal 167 2 5" xfId="11516"/>
    <cellStyle name="Normal 167 2 6" xfId="17271"/>
    <cellStyle name="Normal 167 2_LNG &amp; LPG rework" xfId="6891"/>
    <cellStyle name="Normal 167 3" xfId="2852"/>
    <cellStyle name="Normal 167 3 2" xfId="2853"/>
    <cellStyle name="Normal 167 3 2 2" xfId="2854"/>
    <cellStyle name="Normal 167 3 2 2 2" xfId="2855"/>
    <cellStyle name="Normal 167 3 2 2 2 2" xfId="11527"/>
    <cellStyle name="Normal 167 3 2 2 2 3" xfId="17282"/>
    <cellStyle name="Normal 167 3 2 2 3" xfId="11526"/>
    <cellStyle name="Normal 167 3 2 2 4" xfId="17281"/>
    <cellStyle name="Normal 167 3 2 2_LNG &amp; LPG rework" xfId="6978"/>
    <cellStyle name="Normal 167 3 2 3" xfId="2856"/>
    <cellStyle name="Normal 167 3 2 3 2" xfId="11528"/>
    <cellStyle name="Normal 167 3 2 3 3" xfId="17283"/>
    <cellStyle name="Normal 167 3 2 4" xfId="11525"/>
    <cellStyle name="Normal 167 3 2 5" xfId="17280"/>
    <cellStyle name="Normal 167 3 2_LNG &amp; LPG rework" xfId="6894"/>
    <cellStyle name="Normal 167 3 3" xfId="2857"/>
    <cellStyle name="Normal 167 3 3 2" xfId="2858"/>
    <cellStyle name="Normal 167 3 3 2 2" xfId="11530"/>
    <cellStyle name="Normal 167 3 3 2 3" xfId="17285"/>
    <cellStyle name="Normal 167 3 3 3" xfId="11529"/>
    <cellStyle name="Normal 167 3 3 4" xfId="17284"/>
    <cellStyle name="Normal 167 3 3_LNG &amp; LPG rework" xfId="6895"/>
    <cellStyle name="Normal 167 3 4" xfId="2859"/>
    <cellStyle name="Normal 167 3 4 2" xfId="11531"/>
    <cellStyle name="Normal 167 3 4 3" xfId="17286"/>
    <cellStyle name="Normal 167 3 5" xfId="11524"/>
    <cellStyle name="Normal 167 3 6" xfId="17279"/>
    <cellStyle name="Normal 167 3_LNG &amp; LPG rework" xfId="6893"/>
    <cellStyle name="Normal 167 4" xfId="2860"/>
    <cellStyle name="Normal 167 4 2" xfId="2861"/>
    <cellStyle name="Normal 167 4 2 2" xfId="2862"/>
    <cellStyle name="Normal 167 4 2 2 2" xfId="11534"/>
    <cellStyle name="Normal 167 4 2 2 3" xfId="17289"/>
    <cellStyle name="Normal 167 4 2 3" xfId="11533"/>
    <cellStyle name="Normal 167 4 2 4" xfId="17288"/>
    <cellStyle name="Normal 167 4 2_LNG &amp; LPG rework" xfId="6896"/>
    <cellStyle name="Normal 167 4 3" xfId="2863"/>
    <cellStyle name="Normal 167 4 3 2" xfId="11535"/>
    <cellStyle name="Normal 167 4 3 3" xfId="17290"/>
    <cellStyle name="Normal 167 4 4" xfId="11532"/>
    <cellStyle name="Normal 167 4 5" xfId="17287"/>
    <cellStyle name="Normal 167 4_LNG &amp; LPG rework" xfId="6897"/>
    <cellStyle name="Normal 167 5" xfId="2864"/>
    <cellStyle name="Normal 167 5 2" xfId="2865"/>
    <cellStyle name="Normal 167 5 2 2" xfId="11537"/>
    <cellStyle name="Normal 167 5 2 3" xfId="17292"/>
    <cellStyle name="Normal 167 5 3" xfId="11536"/>
    <cellStyle name="Normal 167 5 4" xfId="17291"/>
    <cellStyle name="Normal 167 5_LNG &amp; LPG rework" xfId="6898"/>
    <cellStyle name="Normal 167 6" xfId="2866"/>
    <cellStyle name="Normal 167 6 2" xfId="11538"/>
    <cellStyle name="Normal 167 6 3" xfId="17293"/>
    <cellStyle name="Normal 167 7" xfId="11515"/>
    <cellStyle name="Normal 167 8" xfId="17270"/>
    <cellStyle name="Normal 167_LNG &amp; LPG rework" xfId="6888"/>
    <cellStyle name="Normal 168" xfId="2867"/>
    <cellStyle name="Normal 168 2" xfId="2868"/>
    <cellStyle name="Normal 168 2 2" xfId="2869"/>
    <cellStyle name="Normal 168 2 2 2" xfId="2870"/>
    <cellStyle name="Normal 168 2 2 2 2" xfId="2871"/>
    <cellStyle name="Normal 168 2 2 2 2 2" xfId="11543"/>
    <cellStyle name="Normal 168 2 2 2 2 3" xfId="17298"/>
    <cellStyle name="Normal 168 2 2 2 3" xfId="11542"/>
    <cellStyle name="Normal 168 2 2 2 4" xfId="17297"/>
    <cellStyle name="Normal 168 2 2 2_LNG &amp; LPG rework" xfId="6901"/>
    <cellStyle name="Normal 168 2 2 3" xfId="2872"/>
    <cellStyle name="Normal 168 2 2 3 2" xfId="11544"/>
    <cellStyle name="Normal 168 2 2 3 3" xfId="17299"/>
    <cellStyle name="Normal 168 2 2 4" xfId="11541"/>
    <cellStyle name="Normal 168 2 2 5" xfId="17296"/>
    <cellStyle name="Normal 168 2 2_LNG &amp; LPG rework" xfId="6902"/>
    <cellStyle name="Normal 168 2 3" xfId="2873"/>
    <cellStyle name="Normal 168 2 3 2" xfId="2874"/>
    <cellStyle name="Normal 168 2 3 2 2" xfId="11546"/>
    <cellStyle name="Normal 168 2 3 2 3" xfId="17301"/>
    <cellStyle name="Normal 168 2 3 3" xfId="11545"/>
    <cellStyle name="Normal 168 2 3 4" xfId="17300"/>
    <cellStyle name="Normal 168 2 3_LNG &amp; LPG rework" xfId="6903"/>
    <cellStyle name="Normal 168 2 4" xfId="2875"/>
    <cellStyle name="Normal 168 2 4 2" xfId="11547"/>
    <cellStyle name="Normal 168 2 4 3" xfId="17302"/>
    <cellStyle name="Normal 168 2 5" xfId="11540"/>
    <cellStyle name="Normal 168 2 6" xfId="17295"/>
    <cellStyle name="Normal 168 2_LNG &amp; LPG rework" xfId="6900"/>
    <cellStyle name="Normal 168 3" xfId="2876"/>
    <cellStyle name="Normal 168 3 2" xfId="2877"/>
    <cellStyle name="Normal 168 3 2 2" xfId="2878"/>
    <cellStyle name="Normal 168 3 2 2 2" xfId="2879"/>
    <cellStyle name="Normal 168 3 2 2 2 2" xfId="11551"/>
    <cellStyle name="Normal 168 3 2 2 2 3" xfId="17306"/>
    <cellStyle name="Normal 168 3 2 2 3" xfId="11550"/>
    <cellStyle name="Normal 168 3 2 2 4" xfId="17305"/>
    <cellStyle name="Normal 168 3 2 2_LNG &amp; LPG rework" xfId="6906"/>
    <cellStyle name="Normal 168 3 2 3" xfId="2880"/>
    <cellStyle name="Normal 168 3 2 3 2" xfId="11552"/>
    <cellStyle name="Normal 168 3 2 3 3" xfId="17307"/>
    <cellStyle name="Normal 168 3 2 4" xfId="11549"/>
    <cellStyle name="Normal 168 3 2 5" xfId="17304"/>
    <cellStyle name="Normal 168 3 2_LNG &amp; LPG rework" xfId="6905"/>
    <cellStyle name="Normal 168 3 3" xfId="2881"/>
    <cellStyle name="Normal 168 3 3 2" xfId="2882"/>
    <cellStyle name="Normal 168 3 3 2 2" xfId="11554"/>
    <cellStyle name="Normal 168 3 3 2 3" xfId="17309"/>
    <cellStyle name="Normal 168 3 3 3" xfId="11553"/>
    <cellStyle name="Normal 168 3 3 4" xfId="17308"/>
    <cellStyle name="Normal 168 3 3_LNG &amp; LPG rework" xfId="6907"/>
    <cellStyle name="Normal 168 3 4" xfId="2883"/>
    <cellStyle name="Normal 168 3 4 2" xfId="11555"/>
    <cellStyle name="Normal 168 3 4 3" xfId="17310"/>
    <cellStyle name="Normal 168 3 5" xfId="11548"/>
    <cellStyle name="Normal 168 3 6" xfId="17303"/>
    <cellStyle name="Normal 168 3_LNG &amp; LPG rework" xfId="6904"/>
    <cellStyle name="Normal 168 4" xfId="2884"/>
    <cellStyle name="Normal 168 4 2" xfId="2885"/>
    <cellStyle name="Normal 168 4 2 2" xfId="2886"/>
    <cellStyle name="Normal 168 4 2 2 2" xfId="11558"/>
    <cellStyle name="Normal 168 4 2 2 3" xfId="17313"/>
    <cellStyle name="Normal 168 4 2 3" xfId="11557"/>
    <cellStyle name="Normal 168 4 2 4" xfId="17312"/>
    <cellStyle name="Normal 168 4 2_LNG &amp; LPG rework" xfId="6908"/>
    <cellStyle name="Normal 168 4 3" xfId="2887"/>
    <cellStyle name="Normal 168 4 3 2" xfId="11559"/>
    <cellStyle name="Normal 168 4 3 3" xfId="17314"/>
    <cellStyle name="Normal 168 4 4" xfId="11556"/>
    <cellStyle name="Normal 168 4 5" xfId="17311"/>
    <cellStyle name="Normal 168 4_LNG &amp; LPG rework" xfId="6909"/>
    <cellStyle name="Normal 168 5" xfId="2888"/>
    <cellStyle name="Normal 168 5 2" xfId="2889"/>
    <cellStyle name="Normal 168 5 2 2" xfId="11561"/>
    <cellStyle name="Normal 168 5 2 3" xfId="17316"/>
    <cellStyle name="Normal 168 5 3" xfId="11560"/>
    <cellStyle name="Normal 168 5 4" xfId="17315"/>
    <cellStyle name="Normal 168 5_LNG &amp; LPG rework" xfId="6910"/>
    <cellStyle name="Normal 168 6" xfId="2890"/>
    <cellStyle name="Normal 168 6 2" xfId="11562"/>
    <cellStyle name="Normal 168 6 3" xfId="17317"/>
    <cellStyle name="Normal 168 7" xfId="11539"/>
    <cellStyle name="Normal 168 8" xfId="17294"/>
    <cellStyle name="Normal 168_LNG &amp; LPG rework" xfId="6899"/>
    <cellStyle name="Normal 169" xfId="2891"/>
    <cellStyle name="Normal 17" xfId="368"/>
    <cellStyle name="Normal 17 2" xfId="2892"/>
    <cellStyle name="Normal 17 3" xfId="2893"/>
    <cellStyle name="Normal 17 4" xfId="2894"/>
    <cellStyle name="Normal 17 5" xfId="2895"/>
    <cellStyle name="Normal 17 6" xfId="7835"/>
    <cellStyle name="Normal 17_LNG &amp; LPG rework" xfId="6911"/>
    <cellStyle name="Normal 170" xfId="2896"/>
    <cellStyle name="Normal 171" xfId="2897"/>
    <cellStyle name="Normal 172" xfId="2898"/>
    <cellStyle name="Normal 173" xfId="2899"/>
    <cellStyle name="Normal 173 2" xfId="2900"/>
    <cellStyle name="Normal 173 2 2" xfId="2901"/>
    <cellStyle name="Normal 173 2 2 2" xfId="2902"/>
    <cellStyle name="Normal 173 2 2 2 2" xfId="2903"/>
    <cellStyle name="Normal 173 2 2 2 2 2" xfId="11567"/>
    <cellStyle name="Normal 173 2 2 2 2 3" xfId="17322"/>
    <cellStyle name="Normal 173 2 2 2 3" xfId="11566"/>
    <cellStyle name="Normal 173 2 2 2 4" xfId="17321"/>
    <cellStyle name="Normal 173 2 2 2_LNG &amp; LPG rework" xfId="6648"/>
    <cellStyle name="Normal 173 2 2 3" xfId="2904"/>
    <cellStyle name="Normal 173 2 2 3 2" xfId="11568"/>
    <cellStyle name="Normal 173 2 2 3 3" xfId="17323"/>
    <cellStyle name="Normal 173 2 2 4" xfId="11565"/>
    <cellStyle name="Normal 173 2 2 5" xfId="17320"/>
    <cellStyle name="Normal 173 2 2_LNG &amp; LPG rework" xfId="6649"/>
    <cellStyle name="Normal 173 2 3" xfId="2905"/>
    <cellStyle name="Normal 173 2 3 2" xfId="2906"/>
    <cellStyle name="Normal 173 2 3 2 2" xfId="11570"/>
    <cellStyle name="Normal 173 2 3 2 3" xfId="17325"/>
    <cellStyle name="Normal 173 2 3 3" xfId="11569"/>
    <cellStyle name="Normal 173 2 3 4" xfId="17324"/>
    <cellStyle name="Normal 173 2 3_LNG &amp; LPG rework" xfId="6647"/>
    <cellStyle name="Normal 173 2 4" xfId="2907"/>
    <cellStyle name="Normal 173 2 4 2" xfId="11571"/>
    <cellStyle name="Normal 173 2 4 3" xfId="17326"/>
    <cellStyle name="Normal 173 2 5" xfId="11564"/>
    <cellStyle name="Normal 173 2 6" xfId="17319"/>
    <cellStyle name="Normal 173 2_LNG &amp; LPG rework" xfId="6650"/>
    <cellStyle name="Normal 173 3" xfId="2908"/>
    <cellStyle name="Normal 173 3 2" xfId="2909"/>
    <cellStyle name="Normal 173 3 2 2" xfId="2910"/>
    <cellStyle name="Normal 173 3 2 2 2" xfId="2911"/>
    <cellStyle name="Normal 173 3 2 2 2 2" xfId="11575"/>
    <cellStyle name="Normal 173 3 2 2 2 3" xfId="17330"/>
    <cellStyle name="Normal 173 3 2 2 3" xfId="11574"/>
    <cellStyle name="Normal 173 3 2 2 4" xfId="17329"/>
    <cellStyle name="Normal 173 3 2 2_LNG &amp; LPG rework" xfId="6644"/>
    <cellStyle name="Normal 173 3 2 3" xfId="2912"/>
    <cellStyle name="Normal 173 3 2 3 2" xfId="11576"/>
    <cellStyle name="Normal 173 3 2 3 3" xfId="17331"/>
    <cellStyle name="Normal 173 3 2 4" xfId="11573"/>
    <cellStyle name="Normal 173 3 2 5" xfId="17328"/>
    <cellStyle name="Normal 173 3 2_LNG &amp; LPG rework" xfId="6645"/>
    <cellStyle name="Normal 173 3 3" xfId="2913"/>
    <cellStyle name="Normal 173 3 3 2" xfId="2914"/>
    <cellStyle name="Normal 173 3 3 2 2" xfId="11578"/>
    <cellStyle name="Normal 173 3 3 2 3" xfId="17333"/>
    <cellStyle name="Normal 173 3 3 3" xfId="11577"/>
    <cellStyle name="Normal 173 3 3 4" xfId="17332"/>
    <cellStyle name="Normal 173 3 3_LNG &amp; LPG rework" xfId="6912"/>
    <cellStyle name="Normal 173 3 4" xfId="2915"/>
    <cellStyle name="Normal 173 3 4 2" xfId="11579"/>
    <cellStyle name="Normal 173 3 4 3" xfId="17334"/>
    <cellStyle name="Normal 173 3 5" xfId="11572"/>
    <cellStyle name="Normal 173 3 6" xfId="17327"/>
    <cellStyle name="Normal 173 3_LNG &amp; LPG rework" xfId="6646"/>
    <cellStyle name="Normal 173 4" xfId="2916"/>
    <cellStyle name="Normal 173 4 2" xfId="2917"/>
    <cellStyle name="Normal 173 4 2 2" xfId="2918"/>
    <cellStyle name="Normal 173 4 2 2 2" xfId="11582"/>
    <cellStyle name="Normal 173 4 2 2 3" xfId="17337"/>
    <cellStyle name="Normal 173 4 2 3" xfId="11581"/>
    <cellStyle name="Normal 173 4 2 4" xfId="17336"/>
    <cellStyle name="Normal 173 4 2_LNG &amp; LPG rework" xfId="6914"/>
    <cellStyle name="Normal 173 4 3" xfId="2919"/>
    <cellStyle name="Normal 173 4 3 2" xfId="11583"/>
    <cellStyle name="Normal 173 4 3 3" xfId="17338"/>
    <cellStyle name="Normal 173 4 4" xfId="11580"/>
    <cellStyle name="Normal 173 4 5" xfId="17335"/>
    <cellStyle name="Normal 173 4_LNG &amp; LPG rework" xfId="6913"/>
    <cellStyle name="Normal 173 5" xfId="2920"/>
    <cellStyle name="Normal 173 5 2" xfId="2921"/>
    <cellStyle name="Normal 173 5 2 2" xfId="11585"/>
    <cellStyle name="Normal 173 5 2 3" xfId="17340"/>
    <cellStyle name="Normal 173 5 3" xfId="11584"/>
    <cellStyle name="Normal 173 5 4" xfId="17339"/>
    <cellStyle name="Normal 173 5_LNG &amp; LPG rework" xfId="6643"/>
    <cellStyle name="Normal 173 6" xfId="2922"/>
    <cellStyle name="Normal 173 6 2" xfId="11586"/>
    <cellStyle name="Normal 173 6 3" xfId="17341"/>
    <cellStyle name="Normal 173 7" xfId="11563"/>
    <cellStyle name="Normal 173 8" xfId="17318"/>
    <cellStyle name="Normal 173_LNG &amp; LPG rework" xfId="6979"/>
    <cellStyle name="Normal 174" xfId="2923"/>
    <cellStyle name="Normal 174 2" xfId="2924"/>
    <cellStyle name="Normal 174 2 2" xfId="2925"/>
    <cellStyle name="Normal 174 2 2 2" xfId="2926"/>
    <cellStyle name="Normal 174 2 2 2 2" xfId="2927"/>
    <cellStyle name="Normal 174 2 2 2 2 2" xfId="11591"/>
    <cellStyle name="Normal 174 2 2 2 2 3" xfId="17346"/>
    <cellStyle name="Normal 174 2 2 2 3" xfId="11590"/>
    <cellStyle name="Normal 174 2 2 2 4" xfId="17345"/>
    <cellStyle name="Normal 174 2 2 2_LNG &amp; LPG rework" xfId="6917"/>
    <cellStyle name="Normal 174 2 2 3" xfId="2928"/>
    <cellStyle name="Normal 174 2 2 3 2" xfId="11592"/>
    <cellStyle name="Normal 174 2 2 3 3" xfId="17347"/>
    <cellStyle name="Normal 174 2 2 4" xfId="11589"/>
    <cellStyle name="Normal 174 2 2 5" xfId="17344"/>
    <cellStyle name="Normal 174 2 2_LNG &amp; LPG rework" xfId="6916"/>
    <cellStyle name="Normal 174 2 3" xfId="2929"/>
    <cellStyle name="Normal 174 2 3 2" xfId="2930"/>
    <cellStyle name="Normal 174 2 3 2 2" xfId="11594"/>
    <cellStyle name="Normal 174 2 3 2 3" xfId="17349"/>
    <cellStyle name="Normal 174 2 3 3" xfId="11593"/>
    <cellStyle name="Normal 174 2 3 4" xfId="17348"/>
    <cellStyle name="Normal 174 2 3_LNG &amp; LPG rework" xfId="6919"/>
    <cellStyle name="Normal 174 2 4" xfId="2931"/>
    <cellStyle name="Normal 174 2 4 2" xfId="11595"/>
    <cellStyle name="Normal 174 2 4 3" xfId="17350"/>
    <cellStyle name="Normal 174 2 5" xfId="11588"/>
    <cellStyle name="Normal 174 2 6" xfId="17343"/>
    <cellStyle name="Normal 174 2_LNG &amp; LPG rework" xfId="6918"/>
    <cellStyle name="Normal 174 3" xfId="2932"/>
    <cellStyle name="Normal 174 3 2" xfId="2933"/>
    <cellStyle name="Normal 174 3 2 2" xfId="2934"/>
    <cellStyle name="Normal 174 3 2 2 2" xfId="2935"/>
    <cellStyle name="Normal 174 3 2 2 2 2" xfId="11599"/>
    <cellStyle name="Normal 174 3 2 2 2 3" xfId="17354"/>
    <cellStyle name="Normal 174 3 2 2 3" xfId="11598"/>
    <cellStyle name="Normal 174 3 2 2 4" xfId="17353"/>
    <cellStyle name="Normal 174 3 2 2_LNG &amp; LPG rework" xfId="6922"/>
    <cellStyle name="Normal 174 3 2 3" xfId="2936"/>
    <cellStyle name="Normal 174 3 2 3 2" xfId="11600"/>
    <cellStyle name="Normal 174 3 2 3 3" xfId="17355"/>
    <cellStyle name="Normal 174 3 2 4" xfId="11597"/>
    <cellStyle name="Normal 174 3 2 5" xfId="17352"/>
    <cellStyle name="Normal 174 3 2_LNG &amp; LPG rework" xfId="6921"/>
    <cellStyle name="Normal 174 3 3" xfId="2937"/>
    <cellStyle name="Normal 174 3 3 2" xfId="2938"/>
    <cellStyle name="Normal 174 3 3 2 2" xfId="11602"/>
    <cellStyle name="Normal 174 3 3 2 3" xfId="17357"/>
    <cellStyle name="Normal 174 3 3 3" xfId="11601"/>
    <cellStyle name="Normal 174 3 3 4" xfId="17356"/>
    <cellStyle name="Normal 174 3 3_LNG &amp; LPG rework" xfId="6923"/>
    <cellStyle name="Normal 174 3 4" xfId="2939"/>
    <cellStyle name="Normal 174 3 4 2" xfId="11603"/>
    <cellStyle name="Normal 174 3 4 3" xfId="17358"/>
    <cellStyle name="Normal 174 3 5" xfId="11596"/>
    <cellStyle name="Normal 174 3 6" xfId="17351"/>
    <cellStyle name="Normal 174 3_LNG &amp; LPG rework" xfId="6920"/>
    <cellStyle name="Normal 174 4" xfId="2940"/>
    <cellStyle name="Normal 174 4 2" xfId="2941"/>
    <cellStyle name="Normal 174 4 2 2" xfId="2942"/>
    <cellStyle name="Normal 174 4 2 2 2" xfId="11606"/>
    <cellStyle name="Normal 174 4 2 2 3" xfId="17361"/>
    <cellStyle name="Normal 174 4 2 3" xfId="11605"/>
    <cellStyle name="Normal 174 4 2 4" xfId="17360"/>
    <cellStyle name="Normal 174 4 2_LNG &amp; LPG rework" xfId="6924"/>
    <cellStyle name="Normal 174 4 3" xfId="2943"/>
    <cellStyle name="Normal 174 4 3 2" xfId="11607"/>
    <cellStyle name="Normal 174 4 3 3" xfId="17362"/>
    <cellStyle name="Normal 174 4 4" xfId="11604"/>
    <cellStyle name="Normal 174 4 5" xfId="17359"/>
    <cellStyle name="Normal 174 4_LNG &amp; LPG rework" xfId="6925"/>
    <cellStyle name="Normal 174 5" xfId="2944"/>
    <cellStyle name="Normal 174 5 2" xfId="2945"/>
    <cellStyle name="Normal 174 5 2 2" xfId="11609"/>
    <cellStyle name="Normal 174 5 2 3" xfId="17364"/>
    <cellStyle name="Normal 174 5 3" xfId="11608"/>
    <cellStyle name="Normal 174 5 4" xfId="17363"/>
    <cellStyle name="Normal 174 5_LNG &amp; LPG rework" xfId="6926"/>
    <cellStyle name="Normal 174 6" xfId="2946"/>
    <cellStyle name="Normal 174 6 2" xfId="11610"/>
    <cellStyle name="Normal 174 6 3" xfId="17365"/>
    <cellStyle name="Normal 174 7" xfId="11587"/>
    <cellStyle name="Normal 174 8" xfId="17342"/>
    <cellStyle name="Normal 174_LNG &amp; LPG rework" xfId="6915"/>
    <cellStyle name="Normal 175" xfId="2947"/>
    <cellStyle name="Normal 175 2" xfId="2948"/>
    <cellStyle name="Normal 175 2 2" xfId="2949"/>
    <cellStyle name="Normal 175 2 2 2" xfId="2950"/>
    <cellStyle name="Normal 175 2 2 2 2" xfId="2951"/>
    <cellStyle name="Normal 175 2 2 2 2 2" xfId="11615"/>
    <cellStyle name="Normal 175 2 2 2 2 3" xfId="17370"/>
    <cellStyle name="Normal 175 2 2 2 3" xfId="11614"/>
    <cellStyle name="Normal 175 2 2 2 4" xfId="17369"/>
    <cellStyle name="Normal 175 2 2 2_LNG &amp; LPG rework" xfId="6929"/>
    <cellStyle name="Normal 175 2 2 3" xfId="2952"/>
    <cellStyle name="Normal 175 2 2 3 2" xfId="11616"/>
    <cellStyle name="Normal 175 2 2 3 3" xfId="17371"/>
    <cellStyle name="Normal 175 2 2 4" xfId="11613"/>
    <cellStyle name="Normal 175 2 2 5" xfId="17368"/>
    <cellStyle name="Normal 175 2 2_LNG &amp; LPG rework" xfId="6930"/>
    <cellStyle name="Normal 175 2 3" xfId="2953"/>
    <cellStyle name="Normal 175 2 3 2" xfId="2954"/>
    <cellStyle name="Normal 175 2 3 2 2" xfId="11618"/>
    <cellStyle name="Normal 175 2 3 2 3" xfId="17373"/>
    <cellStyle name="Normal 175 2 3 3" xfId="11617"/>
    <cellStyle name="Normal 175 2 3 4" xfId="17372"/>
    <cellStyle name="Normal 175 2 3_LNG &amp; LPG rework" xfId="6931"/>
    <cellStyle name="Normal 175 2 4" xfId="2955"/>
    <cellStyle name="Normal 175 2 4 2" xfId="11619"/>
    <cellStyle name="Normal 175 2 4 3" xfId="17374"/>
    <cellStyle name="Normal 175 2 5" xfId="11612"/>
    <cellStyle name="Normal 175 2 6" xfId="17367"/>
    <cellStyle name="Normal 175 2_LNG &amp; LPG rework" xfId="6928"/>
    <cellStyle name="Normal 175 3" xfId="2956"/>
    <cellStyle name="Normal 175 3 2" xfId="2957"/>
    <cellStyle name="Normal 175 3 2 2" xfId="2958"/>
    <cellStyle name="Normal 175 3 2 2 2" xfId="2959"/>
    <cellStyle name="Normal 175 3 2 2 2 2" xfId="11623"/>
    <cellStyle name="Normal 175 3 2 2 2 3" xfId="17378"/>
    <cellStyle name="Normal 175 3 2 2 3" xfId="11622"/>
    <cellStyle name="Normal 175 3 2 2 4" xfId="17377"/>
    <cellStyle name="Normal 175 3 2 2_LNG &amp; LPG rework" xfId="6934"/>
    <cellStyle name="Normal 175 3 2 3" xfId="2960"/>
    <cellStyle name="Normal 175 3 2 3 2" xfId="11624"/>
    <cellStyle name="Normal 175 3 2 3 3" xfId="17379"/>
    <cellStyle name="Normal 175 3 2 4" xfId="11621"/>
    <cellStyle name="Normal 175 3 2 5" xfId="17376"/>
    <cellStyle name="Normal 175 3 2_LNG &amp; LPG rework" xfId="6933"/>
    <cellStyle name="Normal 175 3 3" xfId="2961"/>
    <cellStyle name="Normal 175 3 3 2" xfId="2962"/>
    <cellStyle name="Normal 175 3 3 2 2" xfId="11626"/>
    <cellStyle name="Normal 175 3 3 2 3" xfId="17381"/>
    <cellStyle name="Normal 175 3 3 3" xfId="11625"/>
    <cellStyle name="Normal 175 3 3 4" xfId="17380"/>
    <cellStyle name="Normal 175 3 3_LNG &amp; LPG rework" xfId="6935"/>
    <cellStyle name="Normal 175 3 4" xfId="2963"/>
    <cellStyle name="Normal 175 3 4 2" xfId="11627"/>
    <cellStyle name="Normal 175 3 4 3" xfId="17382"/>
    <cellStyle name="Normal 175 3 5" xfId="11620"/>
    <cellStyle name="Normal 175 3 6" xfId="17375"/>
    <cellStyle name="Normal 175 3_LNG &amp; LPG rework" xfId="6932"/>
    <cellStyle name="Normal 175 4" xfId="2964"/>
    <cellStyle name="Normal 175 4 2" xfId="2965"/>
    <cellStyle name="Normal 175 4 2 2" xfId="2966"/>
    <cellStyle name="Normal 175 4 2 2 2" xfId="11630"/>
    <cellStyle name="Normal 175 4 2 2 3" xfId="17385"/>
    <cellStyle name="Normal 175 4 2 3" xfId="11629"/>
    <cellStyle name="Normal 175 4 2 4" xfId="17384"/>
    <cellStyle name="Normal 175 4 2_LNG &amp; LPG rework" xfId="6936"/>
    <cellStyle name="Normal 175 4 3" xfId="2967"/>
    <cellStyle name="Normal 175 4 3 2" xfId="11631"/>
    <cellStyle name="Normal 175 4 3 3" xfId="17386"/>
    <cellStyle name="Normal 175 4 4" xfId="11628"/>
    <cellStyle name="Normal 175 4 5" xfId="17383"/>
    <cellStyle name="Normal 175 4_LNG &amp; LPG rework" xfId="6937"/>
    <cellStyle name="Normal 175 5" xfId="2968"/>
    <cellStyle name="Normal 175 5 2" xfId="2969"/>
    <cellStyle name="Normal 175 5 2 2" xfId="11633"/>
    <cellStyle name="Normal 175 5 2 3" xfId="17388"/>
    <cellStyle name="Normal 175 5 3" xfId="11632"/>
    <cellStyle name="Normal 175 5 4" xfId="17387"/>
    <cellStyle name="Normal 175 5_LNG &amp; LPG rework" xfId="6938"/>
    <cellStyle name="Normal 175 6" xfId="2970"/>
    <cellStyle name="Normal 175 6 2" xfId="11634"/>
    <cellStyle name="Normal 175 6 3" xfId="17389"/>
    <cellStyle name="Normal 175 7" xfId="11611"/>
    <cellStyle name="Normal 175 8" xfId="17366"/>
    <cellStyle name="Normal 175_LNG &amp; LPG rework" xfId="6927"/>
    <cellStyle name="Normal 176" xfId="2971"/>
    <cellStyle name="Normal 176 2" xfId="2972"/>
    <cellStyle name="Normal 176 2 2" xfId="2973"/>
    <cellStyle name="Normal 176 2 2 2" xfId="2974"/>
    <cellStyle name="Normal 176 2 2 2 2" xfId="2975"/>
    <cellStyle name="Normal 176 2 2 2 2 2" xfId="11639"/>
    <cellStyle name="Normal 176 2 2 2 2 3" xfId="17394"/>
    <cellStyle name="Normal 176 2 2 2 3" xfId="11638"/>
    <cellStyle name="Normal 176 2 2 2 4" xfId="17393"/>
    <cellStyle name="Normal 176 2 2 2_LNG &amp; LPG rework" xfId="6941"/>
    <cellStyle name="Normal 176 2 2 3" xfId="2976"/>
    <cellStyle name="Normal 176 2 2 3 2" xfId="11640"/>
    <cellStyle name="Normal 176 2 2 3 3" xfId="17395"/>
    <cellStyle name="Normal 176 2 2 4" xfId="11637"/>
    <cellStyle name="Normal 176 2 2 5" xfId="17392"/>
    <cellStyle name="Normal 176 2 2_LNG &amp; LPG rework" xfId="6942"/>
    <cellStyle name="Normal 176 2 3" xfId="2977"/>
    <cellStyle name="Normal 176 2 3 2" xfId="2978"/>
    <cellStyle name="Normal 176 2 3 2 2" xfId="11642"/>
    <cellStyle name="Normal 176 2 3 2 3" xfId="17397"/>
    <cellStyle name="Normal 176 2 3 3" xfId="11641"/>
    <cellStyle name="Normal 176 2 3 4" xfId="17396"/>
    <cellStyle name="Normal 176 2 3_LNG &amp; LPG rework" xfId="6943"/>
    <cellStyle name="Normal 176 2 4" xfId="2979"/>
    <cellStyle name="Normal 176 2 4 2" xfId="11643"/>
    <cellStyle name="Normal 176 2 4 3" xfId="17398"/>
    <cellStyle name="Normal 176 2 5" xfId="11636"/>
    <cellStyle name="Normal 176 2 6" xfId="17391"/>
    <cellStyle name="Normal 176 2_LNG &amp; LPG rework" xfId="6940"/>
    <cellStyle name="Normal 176 3" xfId="2980"/>
    <cellStyle name="Normal 176 3 2" xfId="2981"/>
    <cellStyle name="Normal 176 3 2 2" xfId="2982"/>
    <cellStyle name="Normal 176 3 2 2 2" xfId="2983"/>
    <cellStyle name="Normal 176 3 2 2 2 2" xfId="11647"/>
    <cellStyle name="Normal 176 3 2 2 2 3" xfId="17402"/>
    <cellStyle name="Normal 176 3 2 2 3" xfId="11646"/>
    <cellStyle name="Normal 176 3 2 2 4" xfId="17401"/>
    <cellStyle name="Normal 176 3 2 2_LNG &amp; LPG rework" xfId="6572"/>
    <cellStyle name="Normal 176 3 2 3" xfId="2984"/>
    <cellStyle name="Normal 176 3 2 3 2" xfId="11648"/>
    <cellStyle name="Normal 176 3 2 3 3" xfId="17403"/>
    <cellStyle name="Normal 176 3 2 4" xfId="11645"/>
    <cellStyle name="Normal 176 3 2 5" xfId="17400"/>
    <cellStyle name="Normal 176 3 2_LNG &amp; LPG rework" xfId="6574"/>
    <cellStyle name="Normal 176 3 3" xfId="2985"/>
    <cellStyle name="Normal 176 3 3 2" xfId="2986"/>
    <cellStyle name="Normal 176 3 3 2 2" xfId="11650"/>
    <cellStyle name="Normal 176 3 3 2 3" xfId="17405"/>
    <cellStyle name="Normal 176 3 3 3" xfId="11649"/>
    <cellStyle name="Normal 176 3 3 4" xfId="17404"/>
    <cellStyle name="Normal 176 3 3_LNG &amp; LPG rework" xfId="6571"/>
    <cellStyle name="Normal 176 3 4" xfId="2987"/>
    <cellStyle name="Normal 176 3 4 2" xfId="11651"/>
    <cellStyle name="Normal 176 3 4 3" xfId="17406"/>
    <cellStyle name="Normal 176 3 5" xfId="11644"/>
    <cellStyle name="Normal 176 3 6" xfId="17399"/>
    <cellStyle name="Normal 176 3_LNG &amp; LPG rework" xfId="6642"/>
    <cellStyle name="Normal 176 4" xfId="2988"/>
    <cellStyle name="Normal 176 4 2" xfId="2989"/>
    <cellStyle name="Normal 176 4 2 2" xfId="2990"/>
    <cellStyle name="Normal 176 4 2 2 2" xfId="11654"/>
    <cellStyle name="Normal 176 4 2 2 3" xfId="17409"/>
    <cellStyle name="Normal 176 4 2 3" xfId="11653"/>
    <cellStyle name="Normal 176 4 2 4" xfId="17408"/>
    <cellStyle name="Normal 176 4 2_LNG &amp; LPG rework" xfId="6573"/>
    <cellStyle name="Normal 176 4 3" xfId="2991"/>
    <cellStyle name="Normal 176 4 3 2" xfId="11655"/>
    <cellStyle name="Normal 176 4 3 3" xfId="17410"/>
    <cellStyle name="Normal 176 4 4" xfId="11652"/>
    <cellStyle name="Normal 176 4 5" xfId="17407"/>
    <cellStyle name="Normal 176 4_LNG &amp; LPG rework" xfId="6575"/>
    <cellStyle name="Normal 176 5" xfId="2992"/>
    <cellStyle name="Normal 176 5 2" xfId="2993"/>
    <cellStyle name="Normal 176 5 2 2" xfId="11657"/>
    <cellStyle name="Normal 176 5 2 3" xfId="17412"/>
    <cellStyle name="Normal 176 5 3" xfId="11656"/>
    <cellStyle name="Normal 176 5 4" xfId="17411"/>
    <cellStyle name="Normal 176 5_LNG &amp; LPG rework" xfId="6944"/>
    <cellStyle name="Normal 176 6" xfId="2994"/>
    <cellStyle name="Normal 176 6 2" xfId="11658"/>
    <cellStyle name="Normal 176 6 3" xfId="17413"/>
    <cellStyle name="Normal 176 7" xfId="11635"/>
    <cellStyle name="Normal 176 8" xfId="17390"/>
    <cellStyle name="Normal 176_LNG &amp; LPG rework" xfId="6939"/>
    <cellStyle name="Normal 177" xfId="2995"/>
    <cellStyle name="Normal 177 2" xfId="2996"/>
    <cellStyle name="Normal 177 2 2" xfId="2997"/>
    <cellStyle name="Normal 177 2 2 2" xfId="2998"/>
    <cellStyle name="Normal 177 2 2 2 2" xfId="2999"/>
    <cellStyle name="Normal 177 2 2 2 2 2" xfId="11663"/>
    <cellStyle name="Normal 177 2 2 2 2 3" xfId="17418"/>
    <cellStyle name="Normal 177 2 2 2 3" xfId="11662"/>
    <cellStyle name="Normal 177 2 2 2 4" xfId="17417"/>
    <cellStyle name="Normal 177 2 2 2_LNG &amp; LPG rework" xfId="6947"/>
    <cellStyle name="Normal 177 2 2 3" xfId="3000"/>
    <cellStyle name="Normal 177 2 2 3 2" xfId="11664"/>
    <cellStyle name="Normal 177 2 2 3 3" xfId="17419"/>
    <cellStyle name="Normal 177 2 2 4" xfId="11661"/>
    <cellStyle name="Normal 177 2 2 5" xfId="17416"/>
    <cellStyle name="Normal 177 2 2_LNG &amp; LPG rework" xfId="6948"/>
    <cellStyle name="Normal 177 2 3" xfId="3001"/>
    <cellStyle name="Normal 177 2 3 2" xfId="3002"/>
    <cellStyle name="Normal 177 2 3 2 2" xfId="11666"/>
    <cellStyle name="Normal 177 2 3 2 3" xfId="17421"/>
    <cellStyle name="Normal 177 2 3 3" xfId="11665"/>
    <cellStyle name="Normal 177 2 3 4" xfId="17420"/>
    <cellStyle name="Normal 177 2 3_LNG &amp; LPG rework" xfId="6949"/>
    <cellStyle name="Normal 177 2 4" xfId="3003"/>
    <cellStyle name="Normal 177 2 4 2" xfId="11667"/>
    <cellStyle name="Normal 177 2 4 3" xfId="17422"/>
    <cellStyle name="Normal 177 2 5" xfId="11660"/>
    <cellStyle name="Normal 177 2 6" xfId="17415"/>
    <cellStyle name="Normal 177 2_LNG &amp; LPG rework" xfId="6946"/>
    <cellStyle name="Normal 177 3" xfId="3004"/>
    <cellStyle name="Normal 177 3 2" xfId="3005"/>
    <cellStyle name="Normal 177 3 2 2" xfId="3006"/>
    <cellStyle name="Normal 177 3 2 2 2" xfId="3007"/>
    <cellStyle name="Normal 177 3 2 2 2 2" xfId="11671"/>
    <cellStyle name="Normal 177 3 2 2 2 3" xfId="17426"/>
    <cellStyle name="Normal 177 3 2 2 3" xfId="11670"/>
    <cellStyle name="Normal 177 3 2 2 4" xfId="17425"/>
    <cellStyle name="Normal 177 3 2 2_LNG &amp; LPG rework" xfId="6951"/>
    <cellStyle name="Normal 177 3 2 3" xfId="3008"/>
    <cellStyle name="Normal 177 3 2 3 2" xfId="11672"/>
    <cellStyle name="Normal 177 3 2 3 3" xfId="17427"/>
    <cellStyle name="Normal 177 3 2 4" xfId="11669"/>
    <cellStyle name="Normal 177 3 2 5" xfId="17424"/>
    <cellStyle name="Normal 177 3 2_LNG &amp; LPG rework" xfId="6950"/>
    <cellStyle name="Normal 177 3 3" xfId="3009"/>
    <cellStyle name="Normal 177 3 3 2" xfId="3010"/>
    <cellStyle name="Normal 177 3 3 2 2" xfId="11674"/>
    <cellStyle name="Normal 177 3 3 2 3" xfId="17429"/>
    <cellStyle name="Normal 177 3 3 3" xfId="11673"/>
    <cellStyle name="Normal 177 3 3 4" xfId="17428"/>
    <cellStyle name="Normal 177 3 3_LNG &amp; LPG rework" xfId="6953"/>
    <cellStyle name="Normal 177 3 4" xfId="3011"/>
    <cellStyle name="Normal 177 3 4 2" xfId="11675"/>
    <cellStyle name="Normal 177 3 4 3" xfId="17430"/>
    <cellStyle name="Normal 177 3 5" xfId="11668"/>
    <cellStyle name="Normal 177 3 6" xfId="17423"/>
    <cellStyle name="Normal 177 3_LNG &amp; LPG rework" xfId="6952"/>
    <cellStyle name="Normal 177 4" xfId="3012"/>
    <cellStyle name="Normal 177 4 2" xfId="3013"/>
    <cellStyle name="Normal 177 4 2 2" xfId="3014"/>
    <cellStyle name="Normal 177 4 2 2 2" xfId="11678"/>
    <cellStyle name="Normal 177 4 2 2 3" xfId="17433"/>
    <cellStyle name="Normal 177 4 2 3" xfId="11677"/>
    <cellStyle name="Normal 177 4 2 4" xfId="17432"/>
    <cellStyle name="Normal 177 4 2_LNG &amp; LPG rework" xfId="6955"/>
    <cellStyle name="Normal 177 4 3" xfId="3015"/>
    <cellStyle name="Normal 177 4 3 2" xfId="11679"/>
    <cellStyle name="Normal 177 4 3 3" xfId="17434"/>
    <cellStyle name="Normal 177 4 4" xfId="11676"/>
    <cellStyle name="Normal 177 4 5" xfId="17431"/>
    <cellStyle name="Normal 177 4_LNG &amp; LPG rework" xfId="6954"/>
    <cellStyle name="Normal 177 5" xfId="3016"/>
    <cellStyle name="Normal 177 5 2" xfId="3017"/>
    <cellStyle name="Normal 177 5 2 2" xfId="11681"/>
    <cellStyle name="Normal 177 5 2 3" xfId="17436"/>
    <cellStyle name="Normal 177 5 3" xfId="11680"/>
    <cellStyle name="Normal 177 5 4" xfId="17435"/>
    <cellStyle name="Normal 177 5_LNG &amp; LPG rework" xfId="6956"/>
    <cellStyle name="Normal 177 6" xfId="3018"/>
    <cellStyle name="Normal 177 6 2" xfId="11682"/>
    <cellStyle name="Normal 177 6 3" xfId="17437"/>
    <cellStyle name="Normal 177 7" xfId="11659"/>
    <cellStyle name="Normal 177 8" xfId="17414"/>
    <cellStyle name="Normal 177_LNG &amp; LPG rework" xfId="6945"/>
    <cellStyle name="Normal 178" xfId="3019"/>
    <cellStyle name="Normal 178 2" xfId="3020"/>
    <cellStyle name="Normal 178 2 2" xfId="3021"/>
    <cellStyle name="Normal 178 2 2 2" xfId="3022"/>
    <cellStyle name="Normal 178 2 2 2 2" xfId="3023"/>
    <cellStyle name="Normal 178 2 2 2 2 2" xfId="11687"/>
    <cellStyle name="Normal 178 2 2 2 2 3" xfId="17442"/>
    <cellStyle name="Normal 178 2 2 2 3" xfId="11686"/>
    <cellStyle name="Normal 178 2 2 2 4" xfId="17441"/>
    <cellStyle name="Normal 178 2 2 2_LNG &amp; LPG rework" xfId="6959"/>
    <cellStyle name="Normal 178 2 2 3" xfId="3024"/>
    <cellStyle name="Normal 178 2 2 3 2" xfId="11688"/>
    <cellStyle name="Normal 178 2 2 3 3" xfId="17443"/>
    <cellStyle name="Normal 178 2 2 4" xfId="11685"/>
    <cellStyle name="Normal 178 2 2 5" xfId="17440"/>
    <cellStyle name="Normal 178 2 2_LNG &amp; LPG rework" xfId="6960"/>
    <cellStyle name="Normal 178 2 3" xfId="3025"/>
    <cellStyle name="Normal 178 2 3 2" xfId="3026"/>
    <cellStyle name="Normal 178 2 3 2 2" xfId="11690"/>
    <cellStyle name="Normal 178 2 3 2 3" xfId="17445"/>
    <cellStyle name="Normal 178 2 3 3" xfId="11689"/>
    <cellStyle name="Normal 178 2 3 4" xfId="17444"/>
    <cellStyle name="Normal 178 2 3_LNG &amp; LPG rework" xfId="6961"/>
    <cellStyle name="Normal 178 2 4" xfId="3027"/>
    <cellStyle name="Normal 178 2 4 2" xfId="11691"/>
    <cellStyle name="Normal 178 2 4 3" xfId="17446"/>
    <cellStyle name="Normal 178 2 5" xfId="11684"/>
    <cellStyle name="Normal 178 2 6" xfId="17439"/>
    <cellStyle name="Normal 178 2_LNG &amp; LPG rework" xfId="6958"/>
    <cellStyle name="Normal 178 3" xfId="3028"/>
    <cellStyle name="Normal 178 3 2" xfId="3029"/>
    <cellStyle name="Normal 178 3 2 2" xfId="3030"/>
    <cellStyle name="Normal 178 3 2 2 2" xfId="3031"/>
    <cellStyle name="Normal 178 3 2 2 2 2" xfId="11695"/>
    <cellStyle name="Normal 178 3 2 2 2 3" xfId="17450"/>
    <cellStyle name="Normal 178 3 2 2 3" xfId="11694"/>
    <cellStyle name="Normal 178 3 2 2 4" xfId="17449"/>
    <cellStyle name="Normal 178 3 2 2_LNG &amp; LPG rework" xfId="6964"/>
    <cellStyle name="Normal 178 3 2 3" xfId="3032"/>
    <cellStyle name="Normal 178 3 2 3 2" xfId="11696"/>
    <cellStyle name="Normal 178 3 2 3 3" xfId="17451"/>
    <cellStyle name="Normal 178 3 2 4" xfId="11693"/>
    <cellStyle name="Normal 178 3 2 5" xfId="17448"/>
    <cellStyle name="Normal 178 3 2_LNG &amp; LPG rework" xfId="6963"/>
    <cellStyle name="Normal 178 3 3" xfId="3033"/>
    <cellStyle name="Normal 178 3 3 2" xfId="3034"/>
    <cellStyle name="Normal 178 3 3 2 2" xfId="11698"/>
    <cellStyle name="Normal 178 3 3 2 3" xfId="17453"/>
    <cellStyle name="Normal 178 3 3 3" xfId="11697"/>
    <cellStyle name="Normal 178 3 3 4" xfId="17452"/>
    <cellStyle name="Normal 178 3 3_LNG &amp; LPG rework" xfId="6965"/>
    <cellStyle name="Normal 178 3 4" xfId="3035"/>
    <cellStyle name="Normal 178 3 4 2" xfId="11699"/>
    <cellStyle name="Normal 178 3 4 3" xfId="17454"/>
    <cellStyle name="Normal 178 3 5" xfId="11692"/>
    <cellStyle name="Normal 178 3 6" xfId="17447"/>
    <cellStyle name="Normal 178 3_LNG &amp; LPG rework" xfId="6962"/>
    <cellStyle name="Normal 178 4" xfId="3036"/>
    <cellStyle name="Normal 178 4 2" xfId="3037"/>
    <cellStyle name="Normal 178 4 2 2" xfId="3038"/>
    <cellStyle name="Normal 178 4 2 2 2" xfId="11702"/>
    <cellStyle name="Normal 178 4 2 2 3" xfId="17457"/>
    <cellStyle name="Normal 178 4 2 3" xfId="11701"/>
    <cellStyle name="Normal 178 4 2 4" xfId="17456"/>
    <cellStyle name="Normal 178 4 2_LNG &amp; LPG rework" xfId="6966"/>
    <cellStyle name="Normal 178 4 3" xfId="3039"/>
    <cellStyle name="Normal 178 4 3 2" xfId="11703"/>
    <cellStyle name="Normal 178 4 3 3" xfId="17458"/>
    <cellStyle name="Normal 178 4 4" xfId="11700"/>
    <cellStyle name="Normal 178 4 5" xfId="17455"/>
    <cellStyle name="Normal 178 4_LNG &amp; LPG rework" xfId="6967"/>
    <cellStyle name="Normal 178 5" xfId="3040"/>
    <cellStyle name="Normal 178 5 2" xfId="3041"/>
    <cellStyle name="Normal 178 5 2 2" xfId="11705"/>
    <cellStyle name="Normal 178 5 2 3" xfId="17460"/>
    <cellStyle name="Normal 178 5 3" xfId="11704"/>
    <cellStyle name="Normal 178 5 4" xfId="17459"/>
    <cellStyle name="Normal 178 5_LNG &amp; LPG rework" xfId="6968"/>
    <cellStyle name="Normal 178 6" xfId="3042"/>
    <cellStyle name="Normal 178 6 2" xfId="11706"/>
    <cellStyle name="Normal 178 6 3" xfId="17461"/>
    <cellStyle name="Normal 178 7" xfId="11683"/>
    <cellStyle name="Normal 178 8" xfId="17438"/>
    <cellStyle name="Normal 178_LNG &amp; LPG rework" xfId="6957"/>
    <cellStyle name="Normal 179" xfId="3043"/>
    <cellStyle name="Normal 179 2" xfId="3044"/>
    <cellStyle name="Normal 179 2 2" xfId="3045"/>
    <cellStyle name="Normal 179 2 2 2" xfId="3046"/>
    <cellStyle name="Normal 179 2 2 2 2" xfId="3047"/>
    <cellStyle name="Normal 179 2 2 2 2 2" xfId="11711"/>
    <cellStyle name="Normal 179 2 2 2 2 3" xfId="17466"/>
    <cellStyle name="Normal 179 2 2 2 3" xfId="11710"/>
    <cellStyle name="Normal 179 2 2 2 4" xfId="17465"/>
    <cellStyle name="Normal 179 2 2 2_LNG &amp; LPG rework" xfId="6971"/>
    <cellStyle name="Normal 179 2 2 3" xfId="3048"/>
    <cellStyle name="Normal 179 2 2 3 2" xfId="11712"/>
    <cellStyle name="Normal 179 2 2 3 3" xfId="17467"/>
    <cellStyle name="Normal 179 2 2 4" xfId="11709"/>
    <cellStyle name="Normal 179 2 2 5" xfId="17464"/>
    <cellStyle name="Normal 179 2 2_LNG &amp; LPG rework" xfId="6972"/>
    <cellStyle name="Normal 179 2 3" xfId="3049"/>
    <cellStyle name="Normal 179 2 3 2" xfId="3050"/>
    <cellStyle name="Normal 179 2 3 2 2" xfId="11714"/>
    <cellStyle name="Normal 179 2 3 2 3" xfId="17469"/>
    <cellStyle name="Normal 179 2 3 3" xfId="11713"/>
    <cellStyle name="Normal 179 2 3 4" xfId="17468"/>
    <cellStyle name="Normal 179 2 3_LNG &amp; LPG rework" xfId="6973"/>
    <cellStyle name="Normal 179 2 4" xfId="3051"/>
    <cellStyle name="Normal 179 2 4 2" xfId="11715"/>
    <cellStyle name="Normal 179 2 4 3" xfId="17470"/>
    <cellStyle name="Normal 179 2 5" xfId="11708"/>
    <cellStyle name="Normal 179 2 6" xfId="17463"/>
    <cellStyle name="Normal 179 2_LNG &amp; LPG rework" xfId="6970"/>
    <cellStyle name="Normal 179 3" xfId="3052"/>
    <cellStyle name="Normal 179 3 2" xfId="3053"/>
    <cellStyle name="Normal 179 3 2 2" xfId="3054"/>
    <cellStyle name="Normal 179 3 2 2 2" xfId="3055"/>
    <cellStyle name="Normal 179 3 2 2 2 2" xfId="11719"/>
    <cellStyle name="Normal 179 3 2 2 2 3" xfId="17474"/>
    <cellStyle name="Normal 179 3 2 2 3" xfId="11718"/>
    <cellStyle name="Normal 179 3 2 2 4" xfId="17473"/>
    <cellStyle name="Normal 179 3 2 2_LNG &amp; LPG rework" xfId="6976"/>
    <cellStyle name="Normal 179 3 2 3" xfId="3056"/>
    <cellStyle name="Normal 179 3 2 3 2" xfId="11720"/>
    <cellStyle name="Normal 179 3 2 3 3" xfId="17475"/>
    <cellStyle name="Normal 179 3 2 4" xfId="11717"/>
    <cellStyle name="Normal 179 3 2 5" xfId="17472"/>
    <cellStyle name="Normal 179 3 2_LNG &amp; LPG rework" xfId="6975"/>
    <cellStyle name="Normal 179 3 3" xfId="3057"/>
    <cellStyle name="Normal 179 3 3 2" xfId="3058"/>
    <cellStyle name="Normal 179 3 3 2 2" xfId="11722"/>
    <cellStyle name="Normal 179 3 3 2 3" xfId="17477"/>
    <cellStyle name="Normal 179 3 3 3" xfId="11721"/>
    <cellStyle name="Normal 179 3 3 4" xfId="17476"/>
    <cellStyle name="Normal 179 3 3_LNG &amp; LPG rework" xfId="6977"/>
    <cellStyle name="Normal 179 3 4" xfId="3059"/>
    <cellStyle name="Normal 179 3 4 2" xfId="11723"/>
    <cellStyle name="Normal 179 3 4 3" xfId="17478"/>
    <cellStyle name="Normal 179 3 5" xfId="11716"/>
    <cellStyle name="Normal 179 3 6" xfId="17471"/>
    <cellStyle name="Normal 179 3_LNG &amp; LPG rework" xfId="6974"/>
    <cellStyle name="Normal 179 4" xfId="3060"/>
    <cellStyle name="Normal 179 4 2" xfId="3061"/>
    <cellStyle name="Normal 179 4 2 2" xfId="3062"/>
    <cellStyle name="Normal 179 4 2 2 2" xfId="11726"/>
    <cellStyle name="Normal 179 4 2 2 3" xfId="17481"/>
    <cellStyle name="Normal 179 4 2 3" xfId="11725"/>
    <cellStyle name="Normal 179 4 2 4" xfId="17480"/>
    <cellStyle name="Normal 179 4 2_LNG &amp; LPG rework" xfId="6598"/>
    <cellStyle name="Normal 179 4 3" xfId="3063"/>
    <cellStyle name="Normal 179 4 3 2" xfId="11727"/>
    <cellStyle name="Normal 179 4 3 3" xfId="17482"/>
    <cellStyle name="Normal 179 4 4" xfId="11724"/>
    <cellStyle name="Normal 179 4 5" xfId="17479"/>
    <cellStyle name="Normal 179 4_LNG &amp; LPG rework" xfId="6639"/>
    <cellStyle name="Normal 179 5" xfId="3064"/>
    <cellStyle name="Normal 179 5 2" xfId="3065"/>
    <cellStyle name="Normal 179 5 2 2" xfId="11729"/>
    <cellStyle name="Normal 179 5 2 3" xfId="17484"/>
    <cellStyle name="Normal 179 5 3" xfId="11728"/>
    <cellStyle name="Normal 179 5 4" xfId="17483"/>
    <cellStyle name="Normal 179 5_LNG &amp; LPG rework" xfId="6597"/>
    <cellStyle name="Normal 179 6" xfId="3066"/>
    <cellStyle name="Normal 179 6 2" xfId="11730"/>
    <cellStyle name="Normal 179 6 3" xfId="17485"/>
    <cellStyle name="Normal 179 7" xfId="11707"/>
    <cellStyle name="Normal 179 8" xfId="17462"/>
    <cellStyle name="Normal 179_LNG &amp; LPG rework" xfId="6969"/>
    <cellStyle name="Normal 18" xfId="369"/>
    <cellStyle name="Normal 18 2" xfId="3067"/>
    <cellStyle name="Normal 18 3" xfId="3068"/>
    <cellStyle name="Normal 18 4" xfId="3069"/>
    <cellStyle name="Normal 18 5" xfId="3070"/>
    <cellStyle name="Normal 18 6" xfId="7836"/>
    <cellStyle name="Normal 18_LNG &amp; LPG rework" xfId="6640"/>
    <cellStyle name="Normal 180" xfId="3071"/>
    <cellStyle name="Normal 180 2" xfId="3072"/>
    <cellStyle name="Normal 180 2 2" xfId="3073"/>
    <cellStyle name="Normal 180 2 2 2" xfId="3074"/>
    <cellStyle name="Normal 180 2 2 2 2" xfId="3075"/>
    <cellStyle name="Normal 180 2 2 2 2 2" xfId="11735"/>
    <cellStyle name="Normal 180 2 2 2 2 3" xfId="17490"/>
    <cellStyle name="Normal 180 2 2 2 3" xfId="11734"/>
    <cellStyle name="Normal 180 2 2 2 4" xfId="17489"/>
    <cellStyle name="Normal 180 2 2 2_LNG &amp; LPG rework" xfId="6602"/>
    <cellStyle name="Normal 180 2 2 3" xfId="3076"/>
    <cellStyle name="Normal 180 2 2 3 2" xfId="11736"/>
    <cellStyle name="Normal 180 2 2 3 3" xfId="17491"/>
    <cellStyle name="Normal 180 2 2 4" xfId="11733"/>
    <cellStyle name="Normal 180 2 2 5" xfId="17488"/>
    <cellStyle name="Normal 180 2 2_LNG &amp; LPG rework" xfId="6601"/>
    <cellStyle name="Normal 180 2 3" xfId="3077"/>
    <cellStyle name="Normal 180 2 3 2" xfId="3078"/>
    <cellStyle name="Normal 180 2 3 2 2" xfId="11738"/>
    <cellStyle name="Normal 180 2 3 2 3" xfId="17493"/>
    <cellStyle name="Normal 180 2 3 3" xfId="11737"/>
    <cellStyle name="Normal 180 2 3 4" xfId="17492"/>
    <cellStyle name="Normal 180 2 3_LNG &amp; LPG rework" xfId="6595"/>
    <cellStyle name="Normal 180 2 4" xfId="3079"/>
    <cellStyle name="Normal 180 2 4 2" xfId="11739"/>
    <cellStyle name="Normal 180 2 4 3" xfId="17494"/>
    <cellStyle name="Normal 180 2 5" xfId="11732"/>
    <cellStyle name="Normal 180 2 6" xfId="17487"/>
    <cellStyle name="Normal 180 2_LNG &amp; LPG rework" xfId="6600"/>
    <cellStyle name="Normal 180 3" xfId="3080"/>
    <cellStyle name="Normal 180 3 2" xfId="3081"/>
    <cellStyle name="Normal 180 3 2 2" xfId="3082"/>
    <cellStyle name="Normal 180 3 2 2 2" xfId="3083"/>
    <cellStyle name="Normal 180 3 2 2 2 2" xfId="11743"/>
    <cellStyle name="Normal 180 3 2 2 2 3" xfId="17498"/>
    <cellStyle name="Normal 180 3 2 2 3" xfId="11742"/>
    <cellStyle name="Normal 180 3 2 2 4" xfId="17497"/>
    <cellStyle name="Normal 180 3 2 2_LNG &amp; LPG rework" xfId="6983"/>
    <cellStyle name="Normal 180 3 2 3" xfId="3084"/>
    <cellStyle name="Normal 180 3 2 3 2" xfId="11744"/>
    <cellStyle name="Normal 180 3 2 3 3" xfId="17499"/>
    <cellStyle name="Normal 180 3 2 4" xfId="11741"/>
    <cellStyle name="Normal 180 3 2 5" xfId="17496"/>
    <cellStyle name="Normal 180 3 2_LNG &amp; LPG rework" xfId="6641"/>
    <cellStyle name="Normal 180 3 3" xfId="3085"/>
    <cellStyle name="Normal 180 3 3 2" xfId="3086"/>
    <cellStyle name="Normal 180 3 3 2 2" xfId="11746"/>
    <cellStyle name="Normal 180 3 3 2 3" xfId="17501"/>
    <cellStyle name="Normal 180 3 3 3" xfId="11745"/>
    <cellStyle name="Normal 180 3 3 4" xfId="17500"/>
    <cellStyle name="Normal 180 3 3_LNG &amp; LPG rework" xfId="6606"/>
    <cellStyle name="Normal 180 3 4" xfId="3087"/>
    <cellStyle name="Normal 180 3 4 2" xfId="11747"/>
    <cellStyle name="Normal 180 3 4 3" xfId="17502"/>
    <cellStyle name="Normal 180 3 5" xfId="11740"/>
    <cellStyle name="Normal 180 3 6" xfId="17495"/>
    <cellStyle name="Normal 180 3_LNG &amp; LPG rework" xfId="6582"/>
    <cellStyle name="Normal 180 4" xfId="3088"/>
    <cellStyle name="Normal 180 4 2" xfId="3089"/>
    <cellStyle name="Normal 180 4 2 2" xfId="3090"/>
    <cellStyle name="Normal 180 4 2 2 2" xfId="11750"/>
    <cellStyle name="Normal 180 4 2 2 3" xfId="17505"/>
    <cellStyle name="Normal 180 4 2 3" xfId="11749"/>
    <cellStyle name="Normal 180 4 2 4" xfId="17504"/>
    <cellStyle name="Normal 180 4 2_LNG &amp; LPG rework" xfId="6577"/>
    <cellStyle name="Normal 180 4 3" xfId="3091"/>
    <cellStyle name="Normal 180 4 3 2" xfId="11751"/>
    <cellStyle name="Normal 180 4 3 3" xfId="17506"/>
    <cellStyle name="Normal 180 4 4" xfId="11748"/>
    <cellStyle name="Normal 180 4 5" xfId="17503"/>
    <cellStyle name="Normal 180 4_LNG &amp; LPG rework" xfId="6576"/>
    <cellStyle name="Normal 180 5" xfId="3092"/>
    <cellStyle name="Normal 180 5 2" xfId="3093"/>
    <cellStyle name="Normal 180 5 2 2" xfId="11753"/>
    <cellStyle name="Normal 180 5 2 3" xfId="17508"/>
    <cellStyle name="Normal 180 5 3" xfId="11752"/>
    <cellStyle name="Normal 180 5 4" xfId="17507"/>
    <cellStyle name="Normal 180 5_LNG &amp; LPG rework" xfId="6578"/>
    <cellStyle name="Normal 180 6" xfId="3094"/>
    <cellStyle name="Normal 180 6 2" xfId="11754"/>
    <cellStyle name="Normal 180 6 3" xfId="17509"/>
    <cellStyle name="Normal 180 7" xfId="11731"/>
    <cellStyle name="Normal 180 8" xfId="17486"/>
    <cellStyle name="Normal 180_LNG &amp; LPG rework" xfId="6603"/>
    <cellStyle name="Normal 181" xfId="3095"/>
    <cellStyle name="Normal 181 2" xfId="3096"/>
    <cellStyle name="Normal 181 2 2" xfId="3097"/>
    <cellStyle name="Normal 181 2 2 2" xfId="3098"/>
    <cellStyle name="Normal 181 2 2 2 2" xfId="3099"/>
    <cellStyle name="Normal 181 2 2 2 2 2" xfId="11759"/>
    <cellStyle name="Normal 181 2 2 2 2 3" xfId="17514"/>
    <cellStyle name="Normal 181 2 2 2 3" xfId="11758"/>
    <cellStyle name="Normal 181 2 2 2 4" xfId="17513"/>
    <cellStyle name="Normal 181 2 2 2_LNG &amp; LPG rework" xfId="6635"/>
    <cellStyle name="Normal 181 2 2 3" xfId="3100"/>
    <cellStyle name="Normal 181 2 2 3 2" xfId="11760"/>
    <cellStyle name="Normal 181 2 2 3 3" xfId="17515"/>
    <cellStyle name="Normal 181 2 2 4" xfId="11757"/>
    <cellStyle name="Normal 181 2 2 5" xfId="17512"/>
    <cellStyle name="Normal 181 2 2_LNG &amp; LPG rework" xfId="6636"/>
    <cellStyle name="Normal 181 2 3" xfId="3101"/>
    <cellStyle name="Normal 181 2 3 2" xfId="3102"/>
    <cellStyle name="Normal 181 2 3 2 2" xfId="11762"/>
    <cellStyle name="Normal 181 2 3 2 3" xfId="17517"/>
    <cellStyle name="Normal 181 2 3 3" xfId="11761"/>
    <cellStyle name="Normal 181 2 3 4" xfId="17516"/>
    <cellStyle name="Normal 181 2 3_LNG &amp; LPG rework" xfId="6634"/>
    <cellStyle name="Normal 181 2 4" xfId="3103"/>
    <cellStyle name="Normal 181 2 4 2" xfId="11763"/>
    <cellStyle name="Normal 181 2 4 3" xfId="17518"/>
    <cellStyle name="Normal 181 2 5" xfId="11756"/>
    <cellStyle name="Normal 181 2 6" xfId="17511"/>
    <cellStyle name="Normal 181 2_LNG &amp; LPG rework" xfId="6637"/>
    <cellStyle name="Normal 181 3" xfId="3104"/>
    <cellStyle name="Normal 181 3 2" xfId="3105"/>
    <cellStyle name="Normal 181 3 2 2" xfId="3106"/>
    <cellStyle name="Normal 181 3 2 2 2" xfId="3107"/>
    <cellStyle name="Normal 181 3 2 2 2 2" xfId="11767"/>
    <cellStyle name="Normal 181 3 2 2 2 3" xfId="17522"/>
    <cellStyle name="Normal 181 3 2 2 3" xfId="11766"/>
    <cellStyle name="Normal 181 3 2 2 4" xfId="17521"/>
    <cellStyle name="Normal 181 3 2 2_LNG &amp; LPG rework" xfId="6633"/>
    <cellStyle name="Normal 181 3 2 3" xfId="3108"/>
    <cellStyle name="Normal 181 3 2 3 2" xfId="11768"/>
    <cellStyle name="Normal 181 3 2 3 3" xfId="17523"/>
    <cellStyle name="Normal 181 3 2 4" xfId="11765"/>
    <cellStyle name="Normal 181 3 2 5" xfId="17520"/>
    <cellStyle name="Normal 181 3 2_LNG &amp; LPG rework" xfId="6579"/>
    <cellStyle name="Normal 181 3 3" xfId="3109"/>
    <cellStyle name="Normal 181 3 3 2" xfId="3110"/>
    <cellStyle name="Normal 181 3 3 2 2" xfId="11770"/>
    <cellStyle name="Normal 181 3 3 2 3" xfId="17525"/>
    <cellStyle name="Normal 181 3 3 3" xfId="11769"/>
    <cellStyle name="Normal 181 3 3 4" xfId="17524"/>
    <cellStyle name="Normal 181 3 3_LNG &amp; LPG rework" xfId="6632"/>
    <cellStyle name="Normal 181 3 4" xfId="3111"/>
    <cellStyle name="Normal 181 3 4 2" xfId="11771"/>
    <cellStyle name="Normal 181 3 4 3" xfId="17526"/>
    <cellStyle name="Normal 181 3 5" xfId="11764"/>
    <cellStyle name="Normal 181 3 6" xfId="17519"/>
    <cellStyle name="Normal 181 3_LNG &amp; LPG rework" xfId="6605"/>
    <cellStyle name="Normal 181 4" xfId="3112"/>
    <cellStyle name="Normal 181 4 2" xfId="3113"/>
    <cellStyle name="Normal 181 4 2 2" xfId="3114"/>
    <cellStyle name="Normal 181 4 2 2 2" xfId="11774"/>
    <cellStyle name="Normal 181 4 2 2 3" xfId="17529"/>
    <cellStyle name="Normal 181 4 2 3" xfId="11773"/>
    <cellStyle name="Normal 181 4 2 4" xfId="17528"/>
    <cellStyle name="Normal 181 4 2_LNG &amp; LPG rework" xfId="6604"/>
    <cellStyle name="Normal 181 4 3" xfId="3115"/>
    <cellStyle name="Normal 181 4 3 2" xfId="11775"/>
    <cellStyle name="Normal 181 4 3 3" xfId="17530"/>
    <cellStyle name="Normal 181 4 4" xfId="11772"/>
    <cellStyle name="Normal 181 4 5" xfId="17527"/>
    <cellStyle name="Normal 181 4_LNG &amp; LPG rework" xfId="6631"/>
    <cellStyle name="Normal 181 5" xfId="3116"/>
    <cellStyle name="Normal 181 5 2" xfId="3117"/>
    <cellStyle name="Normal 181 5 2 2" xfId="11777"/>
    <cellStyle name="Normal 181 5 2 3" xfId="17532"/>
    <cellStyle name="Normal 181 5 3" xfId="11776"/>
    <cellStyle name="Normal 181 5 4" xfId="17531"/>
    <cellStyle name="Normal 181 5_LNG &amp; LPG rework" xfId="6630"/>
    <cellStyle name="Normal 181 6" xfId="3118"/>
    <cellStyle name="Normal 181 6 2" xfId="11778"/>
    <cellStyle name="Normal 181 6 3" xfId="17533"/>
    <cellStyle name="Normal 181 7" xfId="11755"/>
    <cellStyle name="Normal 181 8" xfId="17510"/>
    <cellStyle name="Normal 181_LNG &amp; LPG rework" xfId="6638"/>
    <cellStyle name="Normal 182" xfId="3119"/>
    <cellStyle name="Normal 182 2" xfId="3120"/>
    <cellStyle name="Normal 182 2 2" xfId="3121"/>
    <cellStyle name="Normal 182 2 2 2" xfId="3122"/>
    <cellStyle name="Normal 182 2 2 2 2" xfId="3123"/>
    <cellStyle name="Normal 182 2 2 2 2 2" xfId="11783"/>
    <cellStyle name="Normal 182 2 2 2 2 3" xfId="17538"/>
    <cellStyle name="Normal 182 2 2 2 3" xfId="11782"/>
    <cellStyle name="Normal 182 2 2 2 4" xfId="17537"/>
    <cellStyle name="Normal 182 2 2 2_LNG &amp; LPG rework" xfId="6599"/>
    <cellStyle name="Normal 182 2 2 3" xfId="3124"/>
    <cellStyle name="Normal 182 2 2 3 2" xfId="11784"/>
    <cellStyle name="Normal 182 2 2 3 3" xfId="17539"/>
    <cellStyle name="Normal 182 2 2 4" xfId="11781"/>
    <cellStyle name="Normal 182 2 2 5" xfId="17536"/>
    <cellStyle name="Normal 182 2 2_LNG &amp; LPG rework" xfId="6628"/>
    <cellStyle name="Normal 182 2 3" xfId="3125"/>
    <cellStyle name="Normal 182 2 3 2" xfId="3126"/>
    <cellStyle name="Normal 182 2 3 2 2" xfId="11786"/>
    <cellStyle name="Normal 182 2 3 2 3" xfId="17541"/>
    <cellStyle name="Normal 182 2 3 3" xfId="11785"/>
    <cellStyle name="Normal 182 2 3 4" xfId="17540"/>
    <cellStyle name="Normal 182 2 3_LNG &amp; LPG rework" xfId="6586"/>
    <cellStyle name="Normal 182 2 4" xfId="3127"/>
    <cellStyle name="Normal 182 2 4 2" xfId="11787"/>
    <cellStyle name="Normal 182 2 4 3" xfId="17542"/>
    <cellStyle name="Normal 182 2 5" xfId="11780"/>
    <cellStyle name="Normal 182 2 6" xfId="17535"/>
    <cellStyle name="Normal 182 2_LNG &amp; LPG rework" xfId="6596"/>
    <cellStyle name="Normal 182 3" xfId="3128"/>
    <cellStyle name="Normal 182 3 2" xfId="3129"/>
    <cellStyle name="Normal 182 3 2 2" xfId="3130"/>
    <cellStyle name="Normal 182 3 2 2 2" xfId="3131"/>
    <cellStyle name="Normal 182 3 2 2 2 2" xfId="11791"/>
    <cellStyle name="Normal 182 3 2 2 2 3" xfId="17546"/>
    <cellStyle name="Normal 182 3 2 2 3" xfId="11790"/>
    <cellStyle name="Normal 182 3 2 2 4" xfId="17545"/>
    <cellStyle name="Normal 182 3 2 2_LNG &amp; LPG rework" xfId="6627"/>
    <cellStyle name="Normal 182 3 2 3" xfId="3132"/>
    <cellStyle name="Normal 182 3 2 3 2" xfId="11792"/>
    <cellStyle name="Normal 182 3 2 3 3" xfId="17547"/>
    <cellStyle name="Normal 182 3 2 4" xfId="11789"/>
    <cellStyle name="Normal 182 3 2 5" xfId="17544"/>
    <cellStyle name="Normal 182 3 2_LNG &amp; LPG rework" xfId="6589"/>
    <cellStyle name="Normal 182 3 3" xfId="3133"/>
    <cellStyle name="Normal 182 3 3 2" xfId="3134"/>
    <cellStyle name="Normal 182 3 3 2 2" xfId="11794"/>
    <cellStyle name="Normal 182 3 3 2 3" xfId="17549"/>
    <cellStyle name="Normal 182 3 3 3" xfId="11793"/>
    <cellStyle name="Normal 182 3 3 4" xfId="17548"/>
    <cellStyle name="Normal 182 3 3_LNG &amp; LPG rework" xfId="6593"/>
    <cellStyle name="Normal 182 3 4" xfId="3135"/>
    <cellStyle name="Normal 182 3 4 2" xfId="11795"/>
    <cellStyle name="Normal 182 3 4 3" xfId="17550"/>
    <cellStyle name="Normal 182 3 5" xfId="11788"/>
    <cellStyle name="Normal 182 3 6" xfId="17543"/>
    <cellStyle name="Normal 182 3_LNG &amp; LPG rework" xfId="6626"/>
    <cellStyle name="Normal 182 4" xfId="3136"/>
    <cellStyle name="Normal 182 4 2" xfId="3137"/>
    <cellStyle name="Normal 182 4 2 2" xfId="3138"/>
    <cellStyle name="Normal 182 4 2 2 2" xfId="11798"/>
    <cellStyle name="Normal 182 4 2 2 3" xfId="17553"/>
    <cellStyle name="Normal 182 4 2 3" xfId="11797"/>
    <cellStyle name="Normal 182 4 2 4" xfId="17552"/>
    <cellStyle name="Normal 182 4 2_LNG &amp; LPG rework" xfId="6587"/>
    <cellStyle name="Normal 182 4 3" xfId="3139"/>
    <cellStyle name="Normal 182 4 3 2" xfId="11799"/>
    <cellStyle name="Normal 182 4 3 3" xfId="17554"/>
    <cellStyle name="Normal 182 4 4" xfId="11796"/>
    <cellStyle name="Normal 182 4 5" xfId="17551"/>
    <cellStyle name="Normal 182 4_LNG &amp; LPG rework" xfId="6585"/>
    <cellStyle name="Normal 182 5" xfId="3140"/>
    <cellStyle name="Normal 182 5 2" xfId="3141"/>
    <cellStyle name="Normal 182 5 2 2" xfId="11801"/>
    <cellStyle name="Normal 182 5 2 3" xfId="17556"/>
    <cellStyle name="Normal 182 5 3" xfId="11800"/>
    <cellStyle name="Normal 182 5 4" xfId="17555"/>
    <cellStyle name="Normal 182 5_LNG &amp; LPG rework" xfId="6591"/>
    <cellStyle name="Normal 182 6" xfId="3142"/>
    <cellStyle name="Normal 182 6 2" xfId="11802"/>
    <cellStyle name="Normal 182 6 3" xfId="17557"/>
    <cellStyle name="Normal 182 7" xfId="11779"/>
    <cellStyle name="Normal 182 8" xfId="17534"/>
    <cellStyle name="Normal 182_LNG &amp; LPG rework" xfId="6629"/>
    <cellStyle name="Normal 183" xfId="3143"/>
    <cellStyle name="Normal 183 2" xfId="3144"/>
    <cellStyle name="Normal 183 2 2" xfId="3145"/>
    <cellStyle name="Normal 183 2 2 2" xfId="3146"/>
    <cellStyle name="Normal 183 2 2 2 2" xfId="3147"/>
    <cellStyle name="Normal 183 2 2 2 2 2" xfId="11807"/>
    <cellStyle name="Normal 183 2 2 2 2 3" xfId="17562"/>
    <cellStyle name="Normal 183 2 2 2 3" xfId="11806"/>
    <cellStyle name="Normal 183 2 2 2 4" xfId="17561"/>
    <cellStyle name="Normal 183 2 2 2_LNG &amp; LPG rework" xfId="6622"/>
    <cellStyle name="Normal 183 2 2 3" xfId="3148"/>
    <cellStyle name="Normal 183 2 2 3 2" xfId="11808"/>
    <cellStyle name="Normal 183 2 2 3 3" xfId="17563"/>
    <cellStyle name="Normal 183 2 2 4" xfId="11805"/>
    <cellStyle name="Normal 183 2 2 5" xfId="17560"/>
    <cellStyle name="Normal 183 2 2_LNG &amp; LPG rework" xfId="6625"/>
    <cellStyle name="Normal 183 2 3" xfId="3149"/>
    <cellStyle name="Normal 183 2 3 2" xfId="3150"/>
    <cellStyle name="Normal 183 2 3 2 2" xfId="11810"/>
    <cellStyle name="Normal 183 2 3 2 3" xfId="17565"/>
    <cellStyle name="Normal 183 2 3 3" xfId="11809"/>
    <cellStyle name="Normal 183 2 3 4" xfId="17564"/>
    <cellStyle name="Normal 183 2 3_LNG &amp; LPG rework" xfId="6615"/>
    <cellStyle name="Normal 183 2 4" xfId="3151"/>
    <cellStyle name="Normal 183 2 4 2" xfId="11811"/>
    <cellStyle name="Normal 183 2 4 3" xfId="17566"/>
    <cellStyle name="Normal 183 2 5" xfId="11804"/>
    <cellStyle name="Normal 183 2 6" xfId="17559"/>
    <cellStyle name="Normal 183 2_LNG &amp; LPG rework" xfId="6623"/>
    <cellStyle name="Normal 183 3" xfId="3152"/>
    <cellStyle name="Normal 183 3 2" xfId="3153"/>
    <cellStyle name="Normal 183 3 2 2" xfId="3154"/>
    <cellStyle name="Normal 183 3 2 2 2" xfId="3155"/>
    <cellStyle name="Normal 183 3 2 2 2 2" xfId="11815"/>
    <cellStyle name="Normal 183 3 2 2 2 3" xfId="17570"/>
    <cellStyle name="Normal 183 3 2 2 3" xfId="11814"/>
    <cellStyle name="Normal 183 3 2 2 4" xfId="17569"/>
    <cellStyle name="Normal 183 3 2 2_LNG &amp; LPG rework" xfId="6989"/>
    <cellStyle name="Normal 183 3 2 3" xfId="3156"/>
    <cellStyle name="Normal 183 3 2 3 2" xfId="11816"/>
    <cellStyle name="Normal 183 3 2 3 3" xfId="17571"/>
    <cellStyle name="Normal 183 3 2 4" xfId="11813"/>
    <cellStyle name="Normal 183 3 2 5" xfId="17568"/>
    <cellStyle name="Normal 183 3 2_LNG &amp; LPG rework" xfId="6588"/>
    <cellStyle name="Normal 183 3 3" xfId="3157"/>
    <cellStyle name="Normal 183 3 3 2" xfId="3158"/>
    <cellStyle name="Normal 183 3 3 2 2" xfId="11818"/>
    <cellStyle name="Normal 183 3 3 2 3" xfId="17573"/>
    <cellStyle name="Normal 183 3 3 3" xfId="11817"/>
    <cellStyle name="Normal 183 3 3 4" xfId="17572"/>
    <cellStyle name="Normal 183 3 3_LNG &amp; LPG rework" xfId="6988"/>
    <cellStyle name="Normal 183 3 4" xfId="3159"/>
    <cellStyle name="Normal 183 3 4 2" xfId="11819"/>
    <cellStyle name="Normal 183 3 4 3" xfId="17574"/>
    <cellStyle name="Normal 183 3 5" xfId="11812"/>
    <cellStyle name="Normal 183 3 6" xfId="17567"/>
    <cellStyle name="Normal 183 3_LNG &amp; LPG rework" xfId="6583"/>
    <cellStyle name="Normal 183 4" xfId="3160"/>
    <cellStyle name="Normal 183 4 2" xfId="3161"/>
    <cellStyle name="Normal 183 4 2 2" xfId="3162"/>
    <cellStyle name="Normal 183 4 2 2 2" xfId="11822"/>
    <cellStyle name="Normal 183 4 2 2 3" xfId="17577"/>
    <cellStyle name="Normal 183 4 2 3" xfId="11821"/>
    <cellStyle name="Normal 183 4 2 4" xfId="17576"/>
    <cellStyle name="Normal 183 4 2_LNG &amp; LPG rework" xfId="6987"/>
    <cellStyle name="Normal 183 4 3" xfId="3163"/>
    <cellStyle name="Normal 183 4 3 2" xfId="11823"/>
    <cellStyle name="Normal 183 4 3 3" xfId="17578"/>
    <cellStyle name="Normal 183 4 4" xfId="11820"/>
    <cellStyle name="Normal 183 4 5" xfId="17575"/>
    <cellStyle name="Normal 183 4_LNG &amp; LPG rework" xfId="6609"/>
    <cellStyle name="Normal 183 5" xfId="3164"/>
    <cellStyle name="Normal 183 5 2" xfId="3165"/>
    <cellStyle name="Normal 183 5 2 2" xfId="11825"/>
    <cellStyle name="Normal 183 5 2 3" xfId="17580"/>
    <cellStyle name="Normal 183 5 3" xfId="11824"/>
    <cellStyle name="Normal 183 5 4" xfId="17579"/>
    <cellStyle name="Normal 183 5_LNG &amp; LPG rework" xfId="6986"/>
    <cellStyle name="Normal 183 6" xfId="3166"/>
    <cellStyle name="Normal 183 6 2" xfId="11826"/>
    <cellStyle name="Normal 183 6 3" xfId="17581"/>
    <cellStyle name="Normal 183 7" xfId="11803"/>
    <cellStyle name="Normal 183 8" xfId="17558"/>
    <cellStyle name="Normal 183_LNG &amp; LPG rework" xfId="6624"/>
    <cellStyle name="Normal 184" xfId="3167"/>
    <cellStyle name="Normal 185" xfId="3168"/>
    <cellStyle name="Normal 185 2" xfId="3169"/>
    <cellStyle name="Normal 185 2 2" xfId="3170"/>
    <cellStyle name="Normal 185 2 2 2" xfId="3171"/>
    <cellStyle name="Normal 185 2 2 2 2" xfId="3172"/>
    <cellStyle name="Normal 185 2 2 2 2 2" xfId="11831"/>
    <cellStyle name="Normal 185 2 2 2 2 3" xfId="17586"/>
    <cellStyle name="Normal 185 2 2 2 3" xfId="11830"/>
    <cellStyle name="Normal 185 2 2 2 4" xfId="17585"/>
    <cellStyle name="Normal 185 2 2 2_LNG &amp; LPG rework" xfId="6618"/>
    <cellStyle name="Normal 185 2 2 3" xfId="3173"/>
    <cellStyle name="Normal 185 2 2 3 2" xfId="11832"/>
    <cellStyle name="Normal 185 2 2 3 3" xfId="17587"/>
    <cellStyle name="Normal 185 2 2 4" xfId="11829"/>
    <cellStyle name="Normal 185 2 2 5" xfId="17584"/>
    <cellStyle name="Normal 185 2 2_LNG &amp; LPG rework" xfId="6619"/>
    <cellStyle name="Normal 185 2 3" xfId="3174"/>
    <cellStyle name="Normal 185 2 3 2" xfId="3175"/>
    <cellStyle name="Normal 185 2 3 2 2" xfId="11834"/>
    <cellStyle name="Normal 185 2 3 2 3" xfId="17589"/>
    <cellStyle name="Normal 185 2 3 3" xfId="11833"/>
    <cellStyle name="Normal 185 2 3 4" xfId="17588"/>
    <cellStyle name="Normal 185 2 3_LNG &amp; LPG rework" xfId="6991"/>
    <cellStyle name="Normal 185 2 4" xfId="3176"/>
    <cellStyle name="Normal 185 2 4 2" xfId="11835"/>
    <cellStyle name="Normal 185 2 4 3" xfId="17590"/>
    <cellStyle name="Normal 185 2 5" xfId="11828"/>
    <cellStyle name="Normal 185 2 6" xfId="17583"/>
    <cellStyle name="Normal 185 2_LNG &amp; LPG rework" xfId="6621"/>
    <cellStyle name="Normal 185 3" xfId="3177"/>
    <cellStyle name="Normal 185 3 2" xfId="3178"/>
    <cellStyle name="Normal 185 3 2 2" xfId="3179"/>
    <cellStyle name="Normal 185 3 2 2 2" xfId="3180"/>
    <cellStyle name="Normal 185 3 2 2 2 2" xfId="11839"/>
    <cellStyle name="Normal 185 3 2 2 2 3" xfId="17594"/>
    <cellStyle name="Normal 185 3 2 2 3" xfId="11838"/>
    <cellStyle name="Normal 185 3 2 2 4" xfId="17593"/>
    <cellStyle name="Normal 185 3 2 2_LNG &amp; LPG rework" xfId="6614"/>
    <cellStyle name="Normal 185 3 2 3" xfId="3181"/>
    <cellStyle name="Normal 185 3 2 3 2" xfId="11840"/>
    <cellStyle name="Normal 185 3 2 3 3" xfId="17595"/>
    <cellStyle name="Normal 185 3 2 4" xfId="11837"/>
    <cellStyle name="Normal 185 3 2 5" xfId="17592"/>
    <cellStyle name="Normal 185 3 2_LNG &amp; LPG rework" xfId="6990"/>
    <cellStyle name="Normal 185 3 3" xfId="3182"/>
    <cellStyle name="Normal 185 3 3 2" xfId="3183"/>
    <cellStyle name="Normal 185 3 3 2 2" xfId="11842"/>
    <cellStyle name="Normal 185 3 3 2 3" xfId="17597"/>
    <cellStyle name="Normal 185 3 3 3" xfId="11841"/>
    <cellStyle name="Normal 185 3 3 4" xfId="17596"/>
    <cellStyle name="Normal 185 3 3_LNG &amp; LPG rework" xfId="6613"/>
    <cellStyle name="Normal 185 3 4" xfId="3184"/>
    <cellStyle name="Normal 185 3 4 2" xfId="11843"/>
    <cellStyle name="Normal 185 3 4 3" xfId="17598"/>
    <cellStyle name="Normal 185 3 5" xfId="11836"/>
    <cellStyle name="Normal 185 3 6" xfId="17591"/>
    <cellStyle name="Normal 185 3_LNG &amp; LPG rework" xfId="6608"/>
    <cellStyle name="Normal 185 4" xfId="3185"/>
    <cellStyle name="Normal 185 4 2" xfId="3186"/>
    <cellStyle name="Normal 185 4 2 2" xfId="3187"/>
    <cellStyle name="Normal 185 4 2 2 2" xfId="11846"/>
    <cellStyle name="Normal 185 4 2 2 3" xfId="17601"/>
    <cellStyle name="Normal 185 4 2 3" xfId="11845"/>
    <cellStyle name="Normal 185 4 2 4" xfId="17600"/>
    <cellStyle name="Normal 185 4 2_LNG &amp; LPG rework" xfId="6590"/>
    <cellStyle name="Normal 185 4 3" xfId="3188"/>
    <cellStyle name="Normal 185 4 3 2" xfId="11847"/>
    <cellStyle name="Normal 185 4 3 3" xfId="17602"/>
    <cellStyle name="Normal 185 4 4" xfId="11844"/>
    <cellStyle name="Normal 185 4 5" xfId="17599"/>
    <cellStyle name="Normal 185 4_LNG &amp; LPG rework" xfId="6612"/>
    <cellStyle name="Normal 185 5" xfId="3189"/>
    <cellStyle name="Normal 185 5 2" xfId="3190"/>
    <cellStyle name="Normal 185 5 2 2" xfId="11849"/>
    <cellStyle name="Normal 185 5 2 3" xfId="17604"/>
    <cellStyle name="Normal 185 5 3" xfId="11848"/>
    <cellStyle name="Normal 185 5 4" xfId="17603"/>
    <cellStyle name="Normal 185 5_LNG &amp; LPG rework" xfId="6592"/>
    <cellStyle name="Normal 185 6" xfId="3191"/>
    <cellStyle name="Normal 185 6 2" xfId="11850"/>
    <cellStyle name="Normal 185 6 3" xfId="17605"/>
    <cellStyle name="Normal 185 7" xfId="11827"/>
    <cellStyle name="Normal 185 8" xfId="17582"/>
    <cellStyle name="Normal 185_LNG &amp; LPG rework" xfId="6620"/>
    <cellStyle name="Normal 186" xfId="3192"/>
    <cellStyle name="Normal 186 2" xfId="3193"/>
    <cellStyle name="Normal 186 2 2" xfId="3194"/>
    <cellStyle name="Normal 186 2 2 2" xfId="3195"/>
    <cellStyle name="Normal 186 2 2 2 2" xfId="3196"/>
    <cellStyle name="Normal 186 2 2 2 2 2" xfId="11855"/>
    <cellStyle name="Normal 186 2 2 2 2 3" xfId="17610"/>
    <cellStyle name="Normal 186 2 2 2 3" xfId="11854"/>
    <cellStyle name="Normal 186 2 2 2 4" xfId="17609"/>
    <cellStyle name="Normal 186 2 2 2_LNG &amp; LPG rework" xfId="6581"/>
    <cellStyle name="Normal 186 2 2 3" xfId="3197"/>
    <cellStyle name="Normal 186 2 2 3 2" xfId="11856"/>
    <cellStyle name="Normal 186 2 2 3 3" xfId="17611"/>
    <cellStyle name="Normal 186 2 2 4" xfId="11853"/>
    <cellStyle name="Normal 186 2 2 5" xfId="17608"/>
    <cellStyle name="Normal 186 2 2_LNG &amp; LPG rework" xfId="6617"/>
    <cellStyle name="Normal 186 2 3" xfId="3198"/>
    <cellStyle name="Normal 186 2 3 2" xfId="3199"/>
    <cellStyle name="Normal 186 2 3 2 2" xfId="11858"/>
    <cellStyle name="Normal 186 2 3 2 3" xfId="17613"/>
    <cellStyle name="Normal 186 2 3 3" xfId="11857"/>
    <cellStyle name="Normal 186 2 3 4" xfId="17612"/>
    <cellStyle name="Normal 186 2 3_LNG &amp; LPG rework" xfId="6616"/>
    <cellStyle name="Normal 186 2 4" xfId="3200"/>
    <cellStyle name="Normal 186 2 4 2" xfId="11859"/>
    <cellStyle name="Normal 186 2 4 3" xfId="17614"/>
    <cellStyle name="Normal 186 2 5" xfId="11852"/>
    <cellStyle name="Normal 186 2 6" xfId="17607"/>
    <cellStyle name="Normal 186 2_LNG &amp; LPG rework" xfId="6580"/>
    <cellStyle name="Normal 186 3" xfId="3201"/>
    <cellStyle name="Normal 186 3 2" xfId="3202"/>
    <cellStyle name="Normal 186 3 2 2" xfId="3203"/>
    <cellStyle name="Normal 186 3 2 2 2" xfId="3204"/>
    <cellStyle name="Normal 186 3 2 2 2 2" xfId="11863"/>
    <cellStyle name="Normal 186 3 2 2 2 3" xfId="17618"/>
    <cellStyle name="Normal 186 3 2 2 3" xfId="11862"/>
    <cellStyle name="Normal 186 3 2 2 4" xfId="17617"/>
    <cellStyle name="Normal 186 3 2 2_LNG &amp; LPG rework" xfId="6994"/>
    <cellStyle name="Normal 186 3 2 3" xfId="3205"/>
    <cellStyle name="Normal 186 3 2 3 2" xfId="11864"/>
    <cellStyle name="Normal 186 3 2 3 3" xfId="17619"/>
    <cellStyle name="Normal 186 3 2 4" xfId="11861"/>
    <cellStyle name="Normal 186 3 2 5" xfId="17616"/>
    <cellStyle name="Normal 186 3 2_LNG &amp; LPG rework" xfId="6993"/>
    <cellStyle name="Normal 186 3 3" xfId="3206"/>
    <cellStyle name="Normal 186 3 3 2" xfId="3207"/>
    <cellStyle name="Normal 186 3 3 2 2" xfId="11866"/>
    <cellStyle name="Normal 186 3 3 2 3" xfId="17621"/>
    <cellStyle name="Normal 186 3 3 3" xfId="11865"/>
    <cellStyle name="Normal 186 3 3 4" xfId="17620"/>
    <cellStyle name="Normal 186 3 3_LNG &amp; LPG rework" xfId="6995"/>
    <cellStyle name="Normal 186 3 4" xfId="3208"/>
    <cellStyle name="Normal 186 3 4 2" xfId="11867"/>
    <cellStyle name="Normal 186 3 4 3" xfId="17622"/>
    <cellStyle name="Normal 186 3 5" xfId="11860"/>
    <cellStyle name="Normal 186 3 6" xfId="17615"/>
    <cellStyle name="Normal 186 3_LNG &amp; LPG rework" xfId="6992"/>
    <cellStyle name="Normal 186 4" xfId="3209"/>
    <cellStyle name="Normal 186 4 2" xfId="3210"/>
    <cellStyle name="Normal 186 4 2 2" xfId="3211"/>
    <cellStyle name="Normal 186 4 2 2 2" xfId="11870"/>
    <cellStyle name="Normal 186 4 2 2 3" xfId="17625"/>
    <cellStyle name="Normal 186 4 2 3" xfId="11869"/>
    <cellStyle name="Normal 186 4 2 4" xfId="17624"/>
    <cellStyle name="Normal 186 4 2_LNG &amp; LPG rework" xfId="6997"/>
    <cellStyle name="Normal 186 4 3" xfId="3212"/>
    <cellStyle name="Normal 186 4 3 2" xfId="11871"/>
    <cellStyle name="Normal 186 4 3 3" xfId="17626"/>
    <cellStyle name="Normal 186 4 4" xfId="11868"/>
    <cellStyle name="Normal 186 4 5" xfId="17623"/>
    <cellStyle name="Normal 186 4_LNG &amp; LPG rework" xfId="6996"/>
    <cellStyle name="Normal 186 5" xfId="3213"/>
    <cellStyle name="Normal 186 5 2" xfId="3214"/>
    <cellStyle name="Normal 186 5 2 2" xfId="11873"/>
    <cellStyle name="Normal 186 5 2 3" xfId="17628"/>
    <cellStyle name="Normal 186 5 3" xfId="11872"/>
    <cellStyle name="Normal 186 5 4" xfId="17627"/>
    <cellStyle name="Normal 186 5_LNG &amp; LPG rework" xfId="6998"/>
    <cellStyle name="Normal 186 6" xfId="3215"/>
    <cellStyle name="Normal 186 6 2" xfId="11874"/>
    <cellStyle name="Normal 186 6 3" xfId="17629"/>
    <cellStyle name="Normal 186 7" xfId="11851"/>
    <cellStyle name="Normal 186 8" xfId="17606"/>
    <cellStyle name="Normal 186_LNG &amp; LPG rework" xfId="6594"/>
    <cellStyle name="Normal 187" xfId="3216"/>
    <cellStyle name="Normal 187 2" xfId="3217"/>
    <cellStyle name="Normal 187 2 2" xfId="3218"/>
    <cellStyle name="Normal 187 2 2 2" xfId="3219"/>
    <cellStyle name="Normal 187 2 2 2 2" xfId="3220"/>
    <cellStyle name="Normal 187 2 2 2 2 2" xfId="11879"/>
    <cellStyle name="Normal 187 2 2 2 2 3" xfId="17634"/>
    <cellStyle name="Normal 187 2 2 2 3" xfId="11878"/>
    <cellStyle name="Normal 187 2 2 2 4" xfId="17633"/>
    <cellStyle name="Normal 187 2 2 2_LNG &amp; LPG rework" xfId="7002"/>
    <cellStyle name="Normal 187 2 2 3" xfId="3221"/>
    <cellStyle name="Normal 187 2 2 3 2" xfId="11880"/>
    <cellStyle name="Normal 187 2 2 3 3" xfId="17635"/>
    <cellStyle name="Normal 187 2 2 4" xfId="11877"/>
    <cellStyle name="Normal 187 2 2 5" xfId="17632"/>
    <cellStyle name="Normal 187 2 2_LNG &amp; LPG rework" xfId="7001"/>
    <cellStyle name="Normal 187 2 3" xfId="3222"/>
    <cellStyle name="Normal 187 2 3 2" xfId="3223"/>
    <cellStyle name="Normal 187 2 3 2 2" xfId="11882"/>
    <cellStyle name="Normal 187 2 3 2 3" xfId="17637"/>
    <cellStyle name="Normal 187 2 3 3" xfId="11881"/>
    <cellStyle name="Normal 187 2 3 4" xfId="17636"/>
    <cellStyle name="Normal 187 2 3_LNG &amp; LPG rework" xfId="7003"/>
    <cellStyle name="Normal 187 2 4" xfId="3224"/>
    <cellStyle name="Normal 187 2 4 2" xfId="11883"/>
    <cellStyle name="Normal 187 2 4 3" xfId="17638"/>
    <cellStyle name="Normal 187 2 5" xfId="11876"/>
    <cellStyle name="Normal 187 2 6" xfId="17631"/>
    <cellStyle name="Normal 187 2_LNG &amp; LPG rework" xfId="7000"/>
    <cellStyle name="Normal 187 3" xfId="3225"/>
    <cellStyle name="Normal 187 3 2" xfId="3226"/>
    <cellStyle name="Normal 187 3 2 2" xfId="3227"/>
    <cellStyle name="Normal 187 3 2 2 2" xfId="3228"/>
    <cellStyle name="Normal 187 3 2 2 2 2" xfId="11887"/>
    <cellStyle name="Normal 187 3 2 2 2 3" xfId="17642"/>
    <cellStyle name="Normal 187 3 2 2 3" xfId="11886"/>
    <cellStyle name="Normal 187 3 2 2 4" xfId="17641"/>
    <cellStyle name="Normal 187 3 2 2_LNG &amp; LPG rework" xfId="7006"/>
    <cellStyle name="Normal 187 3 2 3" xfId="3229"/>
    <cellStyle name="Normal 187 3 2 3 2" xfId="11888"/>
    <cellStyle name="Normal 187 3 2 3 3" xfId="17643"/>
    <cellStyle name="Normal 187 3 2 4" xfId="11885"/>
    <cellStyle name="Normal 187 3 2 5" xfId="17640"/>
    <cellStyle name="Normal 187 3 2_LNG &amp; LPG rework" xfId="7005"/>
    <cellStyle name="Normal 187 3 3" xfId="3230"/>
    <cellStyle name="Normal 187 3 3 2" xfId="3231"/>
    <cellStyle name="Normal 187 3 3 2 2" xfId="11890"/>
    <cellStyle name="Normal 187 3 3 2 3" xfId="17645"/>
    <cellStyle name="Normal 187 3 3 3" xfId="11889"/>
    <cellStyle name="Normal 187 3 3 4" xfId="17644"/>
    <cellStyle name="Normal 187 3 3_LNG &amp; LPG rework" xfId="7007"/>
    <cellStyle name="Normal 187 3 4" xfId="3232"/>
    <cellStyle name="Normal 187 3 4 2" xfId="11891"/>
    <cellStyle name="Normal 187 3 4 3" xfId="17646"/>
    <cellStyle name="Normal 187 3 5" xfId="11884"/>
    <cellStyle name="Normal 187 3 6" xfId="17639"/>
    <cellStyle name="Normal 187 3_LNG &amp; LPG rework" xfId="7004"/>
    <cellStyle name="Normal 187 4" xfId="3233"/>
    <cellStyle name="Normal 187 4 2" xfId="3234"/>
    <cellStyle name="Normal 187 4 2 2" xfId="3235"/>
    <cellStyle name="Normal 187 4 2 2 2" xfId="11894"/>
    <cellStyle name="Normal 187 4 2 2 3" xfId="17649"/>
    <cellStyle name="Normal 187 4 2 3" xfId="11893"/>
    <cellStyle name="Normal 187 4 2 4" xfId="17648"/>
    <cellStyle name="Normal 187 4 2_LNG &amp; LPG rework" xfId="7009"/>
    <cellStyle name="Normal 187 4 3" xfId="3236"/>
    <cellStyle name="Normal 187 4 3 2" xfId="11895"/>
    <cellStyle name="Normal 187 4 3 3" xfId="17650"/>
    <cellStyle name="Normal 187 4 4" xfId="11892"/>
    <cellStyle name="Normal 187 4 5" xfId="17647"/>
    <cellStyle name="Normal 187 4_LNG &amp; LPG rework" xfId="7008"/>
    <cellStyle name="Normal 187 5" xfId="3237"/>
    <cellStyle name="Normal 187 5 2" xfId="3238"/>
    <cellStyle name="Normal 187 5 2 2" xfId="11897"/>
    <cellStyle name="Normal 187 5 2 3" xfId="17652"/>
    <cellStyle name="Normal 187 5 3" xfId="11896"/>
    <cellStyle name="Normal 187 5 4" xfId="17651"/>
    <cellStyle name="Normal 187 5_LNG &amp; LPG rework" xfId="7010"/>
    <cellStyle name="Normal 187 6" xfId="3239"/>
    <cellStyle name="Normal 187 6 2" xfId="11898"/>
    <cellStyle name="Normal 187 6 3" xfId="17653"/>
    <cellStyle name="Normal 187 7" xfId="11875"/>
    <cellStyle name="Normal 187 8" xfId="17630"/>
    <cellStyle name="Normal 187_LNG &amp; LPG rework" xfId="6999"/>
    <cellStyle name="Normal 188" xfId="3240"/>
    <cellStyle name="Normal 188 2" xfId="3241"/>
    <cellStyle name="Normal 188 2 2" xfId="3242"/>
    <cellStyle name="Normal 188 2 2 2" xfId="3243"/>
    <cellStyle name="Normal 188 2 2 2 2" xfId="3244"/>
    <cellStyle name="Normal 188 2 2 2 2 2" xfId="11903"/>
    <cellStyle name="Normal 188 2 2 2 2 3" xfId="17658"/>
    <cellStyle name="Normal 188 2 2 2 3" xfId="11902"/>
    <cellStyle name="Normal 188 2 2 2 4" xfId="17657"/>
    <cellStyle name="Normal 188 2 2 2_LNG &amp; LPG rework" xfId="7014"/>
    <cellStyle name="Normal 188 2 2 3" xfId="3245"/>
    <cellStyle name="Normal 188 2 2 3 2" xfId="11904"/>
    <cellStyle name="Normal 188 2 2 3 3" xfId="17659"/>
    <cellStyle name="Normal 188 2 2 4" xfId="11901"/>
    <cellStyle name="Normal 188 2 2 5" xfId="17656"/>
    <cellStyle name="Normal 188 2 2_LNG &amp; LPG rework" xfId="7013"/>
    <cellStyle name="Normal 188 2 3" xfId="3246"/>
    <cellStyle name="Normal 188 2 3 2" xfId="3247"/>
    <cellStyle name="Normal 188 2 3 2 2" xfId="11906"/>
    <cellStyle name="Normal 188 2 3 2 3" xfId="17661"/>
    <cellStyle name="Normal 188 2 3 3" xfId="11905"/>
    <cellStyle name="Normal 188 2 3 4" xfId="17660"/>
    <cellStyle name="Normal 188 2 3_LNG &amp; LPG rework" xfId="7015"/>
    <cellStyle name="Normal 188 2 4" xfId="3248"/>
    <cellStyle name="Normal 188 2 4 2" xfId="11907"/>
    <cellStyle name="Normal 188 2 4 3" xfId="17662"/>
    <cellStyle name="Normal 188 2 5" xfId="11900"/>
    <cellStyle name="Normal 188 2 6" xfId="17655"/>
    <cellStyle name="Normal 188 2_LNG &amp; LPG rework" xfId="7012"/>
    <cellStyle name="Normal 188 3" xfId="3249"/>
    <cellStyle name="Normal 188 3 2" xfId="3250"/>
    <cellStyle name="Normal 188 3 2 2" xfId="3251"/>
    <cellStyle name="Normal 188 3 2 2 2" xfId="3252"/>
    <cellStyle name="Normal 188 3 2 2 2 2" xfId="11911"/>
    <cellStyle name="Normal 188 3 2 2 2 3" xfId="17666"/>
    <cellStyle name="Normal 188 3 2 2 3" xfId="11910"/>
    <cellStyle name="Normal 188 3 2 2 4" xfId="17665"/>
    <cellStyle name="Normal 188 3 2 2_LNG &amp; LPG rework" xfId="7018"/>
    <cellStyle name="Normal 188 3 2 3" xfId="3253"/>
    <cellStyle name="Normal 188 3 2 3 2" xfId="11912"/>
    <cellStyle name="Normal 188 3 2 3 3" xfId="17667"/>
    <cellStyle name="Normal 188 3 2 4" xfId="11909"/>
    <cellStyle name="Normal 188 3 2 5" xfId="17664"/>
    <cellStyle name="Normal 188 3 2_LNG &amp; LPG rework" xfId="7017"/>
    <cellStyle name="Normal 188 3 3" xfId="3254"/>
    <cellStyle name="Normal 188 3 3 2" xfId="3255"/>
    <cellStyle name="Normal 188 3 3 2 2" xfId="11914"/>
    <cellStyle name="Normal 188 3 3 2 3" xfId="17669"/>
    <cellStyle name="Normal 188 3 3 3" xfId="11913"/>
    <cellStyle name="Normal 188 3 3 4" xfId="17668"/>
    <cellStyle name="Normal 188 3 3_LNG &amp; LPG rework" xfId="7019"/>
    <cellStyle name="Normal 188 3 4" xfId="3256"/>
    <cellStyle name="Normal 188 3 4 2" xfId="11915"/>
    <cellStyle name="Normal 188 3 4 3" xfId="17670"/>
    <cellStyle name="Normal 188 3 5" xfId="11908"/>
    <cellStyle name="Normal 188 3 6" xfId="17663"/>
    <cellStyle name="Normal 188 3_LNG &amp; LPG rework" xfId="7016"/>
    <cellStyle name="Normal 188 4" xfId="3257"/>
    <cellStyle name="Normal 188 4 2" xfId="3258"/>
    <cellStyle name="Normal 188 4 2 2" xfId="3259"/>
    <cellStyle name="Normal 188 4 2 2 2" xfId="11918"/>
    <cellStyle name="Normal 188 4 2 2 3" xfId="17673"/>
    <cellStyle name="Normal 188 4 2 3" xfId="11917"/>
    <cellStyle name="Normal 188 4 2 4" xfId="17672"/>
    <cellStyle name="Normal 188 4 2_LNG &amp; LPG rework" xfId="7021"/>
    <cellStyle name="Normal 188 4 3" xfId="3260"/>
    <cellStyle name="Normal 188 4 3 2" xfId="11919"/>
    <cellStyle name="Normal 188 4 3 3" xfId="17674"/>
    <cellStyle name="Normal 188 4 4" xfId="11916"/>
    <cellStyle name="Normal 188 4 5" xfId="17671"/>
    <cellStyle name="Normal 188 4_LNG &amp; LPG rework" xfId="7020"/>
    <cellStyle name="Normal 188 5" xfId="3261"/>
    <cellStyle name="Normal 188 5 2" xfId="3262"/>
    <cellStyle name="Normal 188 5 2 2" xfId="11921"/>
    <cellStyle name="Normal 188 5 2 3" xfId="17676"/>
    <cellStyle name="Normal 188 5 3" xfId="11920"/>
    <cellStyle name="Normal 188 5 4" xfId="17675"/>
    <cellStyle name="Normal 188 5_LNG &amp; LPG rework" xfId="7022"/>
    <cellStyle name="Normal 188 6" xfId="3263"/>
    <cellStyle name="Normal 188 6 2" xfId="11922"/>
    <cellStyle name="Normal 188 6 3" xfId="17677"/>
    <cellStyle name="Normal 188 7" xfId="11899"/>
    <cellStyle name="Normal 188 8" xfId="17654"/>
    <cellStyle name="Normal 188_LNG &amp; LPG rework" xfId="7011"/>
    <cellStyle name="Normal 189" xfId="3264"/>
    <cellStyle name="Normal 189 2" xfId="3265"/>
    <cellStyle name="Normal 189 2 2" xfId="3266"/>
    <cellStyle name="Normal 189 2 2 2" xfId="3267"/>
    <cellStyle name="Normal 189 2 2 2 2" xfId="3268"/>
    <cellStyle name="Normal 189 2 2 2 2 2" xfId="11927"/>
    <cellStyle name="Normal 189 2 2 2 2 3" xfId="17682"/>
    <cellStyle name="Normal 189 2 2 2 3" xfId="11926"/>
    <cellStyle name="Normal 189 2 2 2 4" xfId="17681"/>
    <cellStyle name="Normal 189 2 2 2_LNG &amp; LPG rework" xfId="7026"/>
    <cellStyle name="Normal 189 2 2 3" xfId="3269"/>
    <cellStyle name="Normal 189 2 2 3 2" xfId="11928"/>
    <cellStyle name="Normal 189 2 2 3 3" xfId="17683"/>
    <cellStyle name="Normal 189 2 2 4" xfId="11925"/>
    <cellStyle name="Normal 189 2 2 5" xfId="17680"/>
    <cellStyle name="Normal 189 2 2_LNG &amp; LPG rework" xfId="7025"/>
    <cellStyle name="Normal 189 2 3" xfId="3270"/>
    <cellStyle name="Normal 189 2 3 2" xfId="3271"/>
    <cellStyle name="Normal 189 2 3 2 2" xfId="11930"/>
    <cellStyle name="Normal 189 2 3 2 3" xfId="17685"/>
    <cellStyle name="Normal 189 2 3 3" xfId="11929"/>
    <cellStyle name="Normal 189 2 3 4" xfId="17684"/>
    <cellStyle name="Normal 189 2 3_LNG &amp; LPG rework" xfId="7027"/>
    <cellStyle name="Normal 189 2 4" xfId="3272"/>
    <cellStyle name="Normal 189 2 4 2" xfId="11931"/>
    <cellStyle name="Normal 189 2 4 3" xfId="17686"/>
    <cellStyle name="Normal 189 2 5" xfId="11924"/>
    <cellStyle name="Normal 189 2 6" xfId="17679"/>
    <cellStyle name="Normal 189 2_LNG &amp; LPG rework" xfId="7024"/>
    <cellStyle name="Normal 189 3" xfId="3273"/>
    <cellStyle name="Normal 189 3 2" xfId="3274"/>
    <cellStyle name="Normal 189 3 2 2" xfId="3275"/>
    <cellStyle name="Normal 189 3 2 2 2" xfId="3276"/>
    <cellStyle name="Normal 189 3 2 2 2 2" xfId="11935"/>
    <cellStyle name="Normal 189 3 2 2 2 3" xfId="17690"/>
    <cellStyle name="Normal 189 3 2 2 3" xfId="11934"/>
    <cellStyle name="Normal 189 3 2 2 4" xfId="17689"/>
    <cellStyle name="Normal 189 3 2 2_LNG &amp; LPG rework" xfId="7030"/>
    <cellStyle name="Normal 189 3 2 3" xfId="3277"/>
    <cellStyle name="Normal 189 3 2 3 2" xfId="11936"/>
    <cellStyle name="Normal 189 3 2 3 3" xfId="17691"/>
    <cellStyle name="Normal 189 3 2 4" xfId="11933"/>
    <cellStyle name="Normal 189 3 2 5" xfId="17688"/>
    <cellStyle name="Normal 189 3 2_LNG &amp; LPG rework" xfId="7029"/>
    <cellStyle name="Normal 189 3 3" xfId="3278"/>
    <cellStyle name="Normal 189 3 3 2" xfId="3279"/>
    <cellStyle name="Normal 189 3 3 2 2" xfId="11938"/>
    <cellStyle name="Normal 189 3 3 2 3" xfId="17693"/>
    <cellStyle name="Normal 189 3 3 3" xfId="11937"/>
    <cellStyle name="Normal 189 3 3 4" xfId="17692"/>
    <cellStyle name="Normal 189 3 3_LNG &amp; LPG rework" xfId="7031"/>
    <cellStyle name="Normal 189 3 4" xfId="3280"/>
    <cellStyle name="Normal 189 3 4 2" xfId="11939"/>
    <cellStyle name="Normal 189 3 4 3" xfId="17694"/>
    <cellStyle name="Normal 189 3 5" xfId="11932"/>
    <cellStyle name="Normal 189 3 6" xfId="17687"/>
    <cellStyle name="Normal 189 3_LNG &amp; LPG rework" xfId="7028"/>
    <cellStyle name="Normal 189 4" xfId="3281"/>
    <cellStyle name="Normal 189 4 2" xfId="3282"/>
    <cellStyle name="Normal 189 4 2 2" xfId="3283"/>
    <cellStyle name="Normal 189 4 2 2 2" xfId="11942"/>
    <cellStyle name="Normal 189 4 2 2 3" xfId="17697"/>
    <cellStyle name="Normal 189 4 2 3" xfId="11941"/>
    <cellStyle name="Normal 189 4 2 4" xfId="17696"/>
    <cellStyle name="Normal 189 4 2_LNG &amp; LPG rework" xfId="7033"/>
    <cellStyle name="Normal 189 4 3" xfId="3284"/>
    <cellStyle name="Normal 189 4 3 2" xfId="11943"/>
    <cellStyle name="Normal 189 4 3 3" xfId="17698"/>
    <cellStyle name="Normal 189 4 4" xfId="11940"/>
    <cellStyle name="Normal 189 4 5" xfId="17695"/>
    <cellStyle name="Normal 189 4_LNG &amp; LPG rework" xfId="7032"/>
    <cellStyle name="Normal 189 5" xfId="3285"/>
    <cellStyle name="Normal 189 5 2" xfId="3286"/>
    <cellStyle name="Normal 189 5 2 2" xfId="11945"/>
    <cellStyle name="Normal 189 5 2 3" xfId="17700"/>
    <cellStyle name="Normal 189 5 3" xfId="11944"/>
    <cellStyle name="Normal 189 5 4" xfId="17699"/>
    <cellStyle name="Normal 189 5_LNG &amp; LPG rework" xfId="7034"/>
    <cellStyle name="Normal 189 6" xfId="3287"/>
    <cellStyle name="Normal 189 6 2" xfId="11946"/>
    <cellStyle name="Normal 189 6 3" xfId="17701"/>
    <cellStyle name="Normal 189 7" xfId="11923"/>
    <cellStyle name="Normal 189 8" xfId="17678"/>
    <cellStyle name="Normal 189_LNG &amp; LPG rework" xfId="7023"/>
    <cellStyle name="Normal 19" xfId="370"/>
    <cellStyle name="Normal 19 2" xfId="3288"/>
    <cellStyle name="Normal 19 3" xfId="3289"/>
    <cellStyle name="Normal 19 4" xfId="3290"/>
    <cellStyle name="Normal 19 5" xfId="3291"/>
    <cellStyle name="Normal 19_LNG &amp; LPG rework" xfId="7035"/>
    <cellStyle name="Normal 190" xfId="3292"/>
    <cellStyle name="Normal 191" xfId="3293"/>
    <cellStyle name="Normal 192" xfId="3294"/>
    <cellStyle name="Normal 193" xfId="3295"/>
    <cellStyle name="Normal 194" xfId="3296"/>
    <cellStyle name="Normal 195" xfId="3297"/>
    <cellStyle name="Normal 196" xfId="3298"/>
    <cellStyle name="Normal 196 2" xfId="3299"/>
    <cellStyle name="Normal 196 2 2" xfId="3300"/>
    <cellStyle name="Normal 196 2 2 2" xfId="3301"/>
    <cellStyle name="Normal 196 2 2 2 2" xfId="3302"/>
    <cellStyle name="Normal 196 2 2 2 2 2" xfId="11951"/>
    <cellStyle name="Normal 196 2 2 2 2 3" xfId="17706"/>
    <cellStyle name="Normal 196 2 2 2 3" xfId="11950"/>
    <cellStyle name="Normal 196 2 2 2 4" xfId="17705"/>
    <cellStyle name="Normal 196 2 2 2_LNG &amp; LPG rework" xfId="7039"/>
    <cellStyle name="Normal 196 2 2 3" xfId="3303"/>
    <cellStyle name="Normal 196 2 2 3 2" xfId="11952"/>
    <cellStyle name="Normal 196 2 2 3 3" xfId="17707"/>
    <cellStyle name="Normal 196 2 2 4" xfId="11949"/>
    <cellStyle name="Normal 196 2 2 5" xfId="17704"/>
    <cellStyle name="Normal 196 2 2_LNG &amp; LPG rework" xfId="7038"/>
    <cellStyle name="Normal 196 2 3" xfId="3304"/>
    <cellStyle name="Normal 196 2 3 2" xfId="3305"/>
    <cellStyle name="Normal 196 2 3 2 2" xfId="11954"/>
    <cellStyle name="Normal 196 2 3 2 3" xfId="17709"/>
    <cellStyle name="Normal 196 2 3 3" xfId="11953"/>
    <cellStyle name="Normal 196 2 3 4" xfId="17708"/>
    <cellStyle name="Normal 196 2 3_LNG &amp; LPG rework" xfId="7040"/>
    <cellStyle name="Normal 196 2 4" xfId="3306"/>
    <cellStyle name="Normal 196 2 4 2" xfId="11955"/>
    <cellStyle name="Normal 196 2 4 3" xfId="17710"/>
    <cellStyle name="Normal 196 2 5" xfId="11948"/>
    <cellStyle name="Normal 196 2 6" xfId="17703"/>
    <cellStyle name="Normal 196 2_LNG &amp; LPG rework" xfId="7037"/>
    <cellStyle name="Normal 196 3" xfId="3307"/>
    <cellStyle name="Normal 196 3 2" xfId="3308"/>
    <cellStyle name="Normal 196 3 2 2" xfId="3309"/>
    <cellStyle name="Normal 196 3 2 2 2" xfId="3310"/>
    <cellStyle name="Normal 196 3 2 2 2 2" xfId="11959"/>
    <cellStyle name="Normal 196 3 2 2 2 3" xfId="17714"/>
    <cellStyle name="Normal 196 3 2 2 3" xfId="11958"/>
    <cellStyle name="Normal 196 3 2 2 4" xfId="17713"/>
    <cellStyle name="Normal 196 3 2 2_LNG &amp; LPG rework" xfId="7043"/>
    <cellStyle name="Normal 196 3 2 3" xfId="3311"/>
    <cellStyle name="Normal 196 3 2 3 2" xfId="11960"/>
    <cellStyle name="Normal 196 3 2 3 3" xfId="17715"/>
    <cellStyle name="Normal 196 3 2 4" xfId="11957"/>
    <cellStyle name="Normal 196 3 2 5" xfId="17712"/>
    <cellStyle name="Normal 196 3 2_LNG &amp; LPG rework" xfId="7042"/>
    <cellStyle name="Normal 196 3 3" xfId="3312"/>
    <cellStyle name="Normal 196 3 3 2" xfId="3313"/>
    <cellStyle name="Normal 196 3 3 2 2" xfId="11962"/>
    <cellStyle name="Normal 196 3 3 2 3" xfId="17717"/>
    <cellStyle name="Normal 196 3 3 3" xfId="11961"/>
    <cellStyle name="Normal 196 3 3 4" xfId="17716"/>
    <cellStyle name="Normal 196 3 3_LNG &amp; LPG rework" xfId="7044"/>
    <cellStyle name="Normal 196 3 4" xfId="3314"/>
    <cellStyle name="Normal 196 3 4 2" xfId="11963"/>
    <cellStyle name="Normal 196 3 4 3" xfId="17718"/>
    <cellStyle name="Normal 196 3 5" xfId="11956"/>
    <cellStyle name="Normal 196 3 6" xfId="17711"/>
    <cellStyle name="Normal 196 3_LNG &amp; LPG rework" xfId="7041"/>
    <cellStyle name="Normal 196 4" xfId="3315"/>
    <cellStyle name="Normal 196 4 2" xfId="3316"/>
    <cellStyle name="Normal 196 4 2 2" xfId="3317"/>
    <cellStyle name="Normal 196 4 2 2 2" xfId="11966"/>
    <cellStyle name="Normal 196 4 2 2 3" xfId="17721"/>
    <cellStyle name="Normal 196 4 2 3" xfId="11965"/>
    <cellStyle name="Normal 196 4 2 4" xfId="17720"/>
    <cellStyle name="Normal 196 4 2_LNG &amp; LPG rework" xfId="7046"/>
    <cellStyle name="Normal 196 4 3" xfId="3318"/>
    <cellStyle name="Normal 196 4 3 2" xfId="11967"/>
    <cellStyle name="Normal 196 4 3 3" xfId="17722"/>
    <cellStyle name="Normal 196 4 4" xfId="11964"/>
    <cellStyle name="Normal 196 4 5" xfId="17719"/>
    <cellStyle name="Normal 196 4_LNG &amp; LPG rework" xfId="7045"/>
    <cellStyle name="Normal 196 5" xfId="3319"/>
    <cellStyle name="Normal 196 5 2" xfId="3320"/>
    <cellStyle name="Normal 196 5 2 2" xfId="11969"/>
    <cellStyle name="Normal 196 5 2 3" xfId="17724"/>
    <cellStyle name="Normal 196 5 3" xfId="11968"/>
    <cellStyle name="Normal 196 5 4" xfId="17723"/>
    <cellStyle name="Normal 196 5_LNG &amp; LPG rework" xfId="7047"/>
    <cellStyle name="Normal 196 6" xfId="3321"/>
    <cellStyle name="Normal 196 6 2" xfId="11970"/>
    <cellStyle name="Normal 196 6 3" xfId="17725"/>
    <cellStyle name="Normal 196 7" xfId="11947"/>
    <cellStyle name="Normal 196 8" xfId="17702"/>
    <cellStyle name="Normal 196_LNG &amp; LPG rework" xfId="7036"/>
    <cellStyle name="Normal 197" xfId="3322"/>
    <cellStyle name="Normal 197 2" xfId="3323"/>
    <cellStyle name="Normal 197 2 2" xfId="3324"/>
    <cellStyle name="Normal 197 2 2 2" xfId="3325"/>
    <cellStyle name="Normal 197 2 2 2 2" xfId="3326"/>
    <cellStyle name="Normal 197 2 2 2 2 2" xfId="11975"/>
    <cellStyle name="Normal 197 2 2 2 2 3" xfId="17730"/>
    <cellStyle name="Normal 197 2 2 2 3" xfId="11974"/>
    <cellStyle name="Normal 197 2 2 2 4" xfId="17729"/>
    <cellStyle name="Normal 197 2 2 2_LNG &amp; LPG rework" xfId="7051"/>
    <cellStyle name="Normal 197 2 2 3" xfId="3327"/>
    <cellStyle name="Normal 197 2 2 3 2" xfId="11976"/>
    <cellStyle name="Normal 197 2 2 3 3" xfId="17731"/>
    <cellStyle name="Normal 197 2 2 4" xfId="11973"/>
    <cellStyle name="Normal 197 2 2 5" xfId="17728"/>
    <cellStyle name="Normal 197 2 2_LNG &amp; LPG rework" xfId="7050"/>
    <cellStyle name="Normal 197 2 3" xfId="3328"/>
    <cellStyle name="Normal 197 2 3 2" xfId="3329"/>
    <cellStyle name="Normal 197 2 3 2 2" xfId="11978"/>
    <cellStyle name="Normal 197 2 3 2 3" xfId="17733"/>
    <cellStyle name="Normal 197 2 3 3" xfId="11977"/>
    <cellStyle name="Normal 197 2 3 4" xfId="17732"/>
    <cellStyle name="Normal 197 2 3_LNG &amp; LPG rework" xfId="7052"/>
    <cellStyle name="Normal 197 2 4" xfId="3330"/>
    <cellStyle name="Normal 197 2 4 2" xfId="11979"/>
    <cellStyle name="Normal 197 2 4 3" xfId="17734"/>
    <cellStyle name="Normal 197 2 5" xfId="11972"/>
    <cellStyle name="Normal 197 2 6" xfId="17727"/>
    <cellStyle name="Normal 197 2_LNG &amp; LPG rework" xfId="7049"/>
    <cellStyle name="Normal 197 3" xfId="3331"/>
    <cellStyle name="Normal 197 3 2" xfId="3332"/>
    <cellStyle name="Normal 197 3 2 2" xfId="3333"/>
    <cellStyle name="Normal 197 3 2 2 2" xfId="3334"/>
    <cellStyle name="Normal 197 3 2 2 2 2" xfId="11983"/>
    <cellStyle name="Normal 197 3 2 2 2 3" xfId="17738"/>
    <cellStyle name="Normal 197 3 2 2 3" xfId="11982"/>
    <cellStyle name="Normal 197 3 2 2 4" xfId="17737"/>
    <cellStyle name="Normal 197 3 2 2_LNG &amp; LPG rework" xfId="7055"/>
    <cellStyle name="Normal 197 3 2 3" xfId="3335"/>
    <cellStyle name="Normal 197 3 2 3 2" xfId="11984"/>
    <cellStyle name="Normal 197 3 2 3 3" xfId="17739"/>
    <cellStyle name="Normal 197 3 2 4" xfId="11981"/>
    <cellStyle name="Normal 197 3 2 5" xfId="17736"/>
    <cellStyle name="Normal 197 3 2_LNG &amp; LPG rework" xfId="7054"/>
    <cellStyle name="Normal 197 3 3" xfId="3336"/>
    <cellStyle name="Normal 197 3 3 2" xfId="3337"/>
    <cellStyle name="Normal 197 3 3 2 2" xfId="11986"/>
    <cellStyle name="Normal 197 3 3 2 3" xfId="17741"/>
    <cellStyle name="Normal 197 3 3 3" xfId="11985"/>
    <cellStyle name="Normal 197 3 3 4" xfId="17740"/>
    <cellStyle name="Normal 197 3 3_LNG &amp; LPG rework" xfId="7056"/>
    <cellStyle name="Normal 197 3 4" xfId="3338"/>
    <cellStyle name="Normal 197 3 4 2" xfId="11987"/>
    <cellStyle name="Normal 197 3 4 3" xfId="17742"/>
    <cellStyle name="Normal 197 3 5" xfId="11980"/>
    <cellStyle name="Normal 197 3 6" xfId="17735"/>
    <cellStyle name="Normal 197 3_LNG &amp; LPG rework" xfId="7053"/>
    <cellStyle name="Normal 197 4" xfId="3339"/>
    <cellStyle name="Normal 197 4 2" xfId="3340"/>
    <cellStyle name="Normal 197 4 2 2" xfId="3341"/>
    <cellStyle name="Normal 197 4 2 2 2" xfId="11990"/>
    <cellStyle name="Normal 197 4 2 2 3" xfId="17745"/>
    <cellStyle name="Normal 197 4 2 3" xfId="11989"/>
    <cellStyle name="Normal 197 4 2 4" xfId="17744"/>
    <cellStyle name="Normal 197 4 2_LNG &amp; LPG rework" xfId="7058"/>
    <cellStyle name="Normal 197 4 3" xfId="3342"/>
    <cellStyle name="Normal 197 4 3 2" xfId="11991"/>
    <cellStyle name="Normal 197 4 3 3" xfId="17746"/>
    <cellStyle name="Normal 197 4 4" xfId="11988"/>
    <cellStyle name="Normal 197 4 5" xfId="17743"/>
    <cellStyle name="Normal 197 4_LNG &amp; LPG rework" xfId="7057"/>
    <cellStyle name="Normal 197 5" xfId="3343"/>
    <cellStyle name="Normal 197 5 2" xfId="3344"/>
    <cellStyle name="Normal 197 5 2 2" xfId="11993"/>
    <cellStyle name="Normal 197 5 2 3" xfId="17748"/>
    <cellStyle name="Normal 197 5 3" xfId="11992"/>
    <cellStyle name="Normal 197 5 4" xfId="17747"/>
    <cellStyle name="Normal 197 5_LNG &amp; LPG rework" xfId="7059"/>
    <cellStyle name="Normal 197 6" xfId="3345"/>
    <cellStyle name="Normal 197 6 2" xfId="11994"/>
    <cellStyle name="Normal 197 6 3" xfId="17749"/>
    <cellStyle name="Normal 197 7" xfId="11971"/>
    <cellStyle name="Normal 197 8" xfId="17726"/>
    <cellStyle name="Normal 197_LNG &amp; LPG rework" xfId="7048"/>
    <cellStyle name="Normal 198" xfId="3346"/>
    <cellStyle name="Normal 198 2" xfId="3347"/>
    <cellStyle name="Normal 199" xfId="3348"/>
    <cellStyle name="Normal 199 2" xfId="3349"/>
    <cellStyle name="Normal 2" xfId="43"/>
    <cellStyle name="Normal 2 10" xfId="3350"/>
    <cellStyle name="Normal 2 10 2" xfId="11995"/>
    <cellStyle name="Normal 2 10 3" xfId="17750"/>
    <cellStyle name="Normal 2 11" xfId="3351"/>
    <cellStyle name="Normal 2 11 2" xfId="11996"/>
    <cellStyle name="Normal 2 11 3" xfId="17751"/>
    <cellStyle name="Normal 2 12" xfId="3352"/>
    <cellStyle name="Normal 2 13" xfId="26212"/>
    <cellStyle name="Normal 2 2" xfId="106"/>
    <cellStyle name="Normal 2 2 10" xfId="3353"/>
    <cellStyle name="Normal 2 2 10 2" xfId="11997"/>
    <cellStyle name="Normal 2 2 10 3" xfId="17752"/>
    <cellStyle name="Normal 2 2 11" xfId="3354"/>
    <cellStyle name="Normal 2 2 11 2" xfId="11998"/>
    <cellStyle name="Normal 2 2 11 3" xfId="17753"/>
    <cellStyle name="Normal 2 2 12" xfId="3355"/>
    <cellStyle name="Normal 2 2 13" xfId="29513"/>
    <cellStyle name="Normal 2 2 13 2" xfId="39182"/>
    <cellStyle name="Normal 2 2 2" xfId="372"/>
    <cellStyle name="Normal 2 2 2 2" xfId="3356"/>
    <cellStyle name="Normal 2 2 2 3" xfId="3357"/>
    <cellStyle name="Normal 2 2 2_Monthly Price Data" xfId="3358"/>
    <cellStyle name="Normal 2 2 3" xfId="373"/>
    <cellStyle name="Normal 2 2 3 10" xfId="3359"/>
    <cellStyle name="Normal 2 2 3 10 2" xfId="11999"/>
    <cellStyle name="Normal 2 2 3 10 3" xfId="17755"/>
    <cellStyle name="Normal 2 2 3 11" xfId="3360"/>
    <cellStyle name="Normal 2 2 3 11 2" xfId="12000"/>
    <cellStyle name="Normal 2 2 3 11 3" xfId="17756"/>
    <cellStyle name="Normal 2 2 3 12" xfId="3361"/>
    <cellStyle name="Normal 2 2 3 12 2" xfId="12001"/>
    <cellStyle name="Normal 2 2 3 12 3" xfId="17757"/>
    <cellStyle name="Normal 2 2 3 13" xfId="9213"/>
    <cellStyle name="Normal 2 2 3 14" xfId="17754"/>
    <cellStyle name="Normal 2 2 3 2" xfId="374"/>
    <cellStyle name="Normal 2 2 3 2 10" xfId="3362"/>
    <cellStyle name="Normal 2 2 3 2 10 2" xfId="12002"/>
    <cellStyle name="Normal 2 2 3 2 10 3" xfId="17759"/>
    <cellStyle name="Normal 2 2 3 2 11" xfId="3363"/>
    <cellStyle name="Normal 2 2 3 2 11 2" xfId="12003"/>
    <cellStyle name="Normal 2 2 3 2 11 3" xfId="17760"/>
    <cellStyle name="Normal 2 2 3 2 12" xfId="9214"/>
    <cellStyle name="Normal 2 2 3 2 13" xfId="17758"/>
    <cellStyle name="Normal 2 2 3 2 2" xfId="375"/>
    <cellStyle name="Normal 2 2 3 2 2 10" xfId="3364"/>
    <cellStyle name="Normal 2 2 3 2 2 10 2" xfId="12004"/>
    <cellStyle name="Normal 2 2 3 2 2 10 3" xfId="17762"/>
    <cellStyle name="Normal 2 2 3 2 2 11" xfId="9215"/>
    <cellStyle name="Normal 2 2 3 2 2 12" xfId="17761"/>
    <cellStyle name="Normal 2 2 3 2 2 2" xfId="376"/>
    <cellStyle name="Normal 2 2 3 2 2 2 10" xfId="17763"/>
    <cellStyle name="Normal 2 2 3 2 2 2 2" xfId="377"/>
    <cellStyle name="Normal 2 2 3 2 2 2 2 2" xfId="3365"/>
    <cellStyle name="Normal 2 2 3 2 2 2 2 2 2" xfId="12005"/>
    <cellStyle name="Normal 2 2 3 2 2 2 2 2 3" xfId="17765"/>
    <cellStyle name="Normal 2 2 3 2 2 2 2 3" xfId="3366"/>
    <cellStyle name="Normal 2 2 3 2 2 2 2 3 2" xfId="12006"/>
    <cellStyle name="Normal 2 2 3 2 2 2 2 3 3" xfId="17766"/>
    <cellStyle name="Normal 2 2 3 2 2 2 2 4" xfId="3367"/>
    <cellStyle name="Normal 2 2 3 2 2 2 2 4 2" xfId="12007"/>
    <cellStyle name="Normal 2 2 3 2 2 2 2 4 3" xfId="17767"/>
    <cellStyle name="Normal 2 2 3 2 2 2 2 5" xfId="3368"/>
    <cellStyle name="Normal 2 2 3 2 2 2 2 5 2" xfId="12008"/>
    <cellStyle name="Normal 2 2 3 2 2 2 2 5 3" xfId="17768"/>
    <cellStyle name="Normal 2 2 3 2 2 2 2 6" xfId="3369"/>
    <cellStyle name="Normal 2 2 3 2 2 2 2 6 2" xfId="12009"/>
    <cellStyle name="Normal 2 2 3 2 2 2 2 6 3" xfId="17769"/>
    <cellStyle name="Normal 2 2 3 2 2 2 2 7" xfId="9217"/>
    <cellStyle name="Normal 2 2 3 2 2 2 2 8" xfId="17764"/>
    <cellStyle name="Normal 2 2 3 2 2 2 2_LNG &amp; LPG rework" xfId="7065"/>
    <cellStyle name="Normal 2 2 3 2 2 2 3" xfId="3370"/>
    <cellStyle name="Normal 2 2 3 2 2 2 3 2" xfId="3371"/>
    <cellStyle name="Normal 2 2 3 2 2 2 3 2 2" xfId="12011"/>
    <cellStyle name="Normal 2 2 3 2 2 2 3 2 3" xfId="17771"/>
    <cellStyle name="Normal 2 2 3 2 2 2 3 3" xfId="3372"/>
    <cellStyle name="Normal 2 2 3 2 2 2 3 3 2" xfId="12012"/>
    <cellStyle name="Normal 2 2 3 2 2 2 3 3 3" xfId="17772"/>
    <cellStyle name="Normal 2 2 3 2 2 2 3 4" xfId="3373"/>
    <cellStyle name="Normal 2 2 3 2 2 2 3 4 2" xfId="12013"/>
    <cellStyle name="Normal 2 2 3 2 2 2 3 4 3" xfId="17773"/>
    <cellStyle name="Normal 2 2 3 2 2 2 3 5" xfId="3374"/>
    <cellStyle name="Normal 2 2 3 2 2 2 3 5 2" xfId="12014"/>
    <cellStyle name="Normal 2 2 3 2 2 2 3 5 3" xfId="17774"/>
    <cellStyle name="Normal 2 2 3 2 2 2 3 6" xfId="12010"/>
    <cellStyle name="Normal 2 2 3 2 2 2 3 7" xfId="17770"/>
    <cellStyle name="Normal 2 2 3 2 2 2 3_LNG &amp; LPG rework" xfId="7066"/>
    <cellStyle name="Normal 2 2 3 2 2 2 4" xfId="3375"/>
    <cellStyle name="Normal 2 2 3 2 2 2 4 2" xfId="12015"/>
    <cellStyle name="Normal 2 2 3 2 2 2 4 3" xfId="17775"/>
    <cellStyle name="Normal 2 2 3 2 2 2 5" xfId="3376"/>
    <cellStyle name="Normal 2 2 3 2 2 2 5 2" xfId="12016"/>
    <cellStyle name="Normal 2 2 3 2 2 2 5 3" xfId="17776"/>
    <cellStyle name="Normal 2 2 3 2 2 2 6" xfId="3377"/>
    <cellStyle name="Normal 2 2 3 2 2 2 6 2" xfId="12017"/>
    <cellStyle name="Normal 2 2 3 2 2 2 6 3" xfId="17777"/>
    <cellStyle name="Normal 2 2 3 2 2 2 7" xfId="3378"/>
    <cellStyle name="Normal 2 2 3 2 2 2 7 2" xfId="12018"/>
    <cellStyle name="Normal 2 2 3 2 2 2 7 3" xfId="17778"/>
    <cellStyle name="Normal 2 2 3 2 2 2 8" xfId="3379"/>
    <cellStyle name="Normal 2 2 3 2 2 2 8 2" xfId="12019"/>
    <cellStyle name="Normal 2 2 3 2 2 2 8 3" xfId="17779"/>
    <cellStyle name="Normal 2 2 3 2 2 2 9" xfId="9216"/>
    <cellStyle name="Normal 2 2 3 2 2 2_LNG &amp; LPG rework" xfId="7064"/>
    <cellStyle name="Normal 2 2 3 2 2 3" xfId="378"/>
    <cellStyle name="Normal 2 2 3 2 2 3 2" xfId="3380"/>
    <cellStyle name="Normal 2 2 3 2 2 3 2 2" xfId="12020"/>
    <cellStyle name="Normal 2 2 3 2 2 3 2 3" xfId="17781"/>
    <cellStyle name="Normal 2 2 3 2 2 3 3" xfId="3381"/>
    <cellStyle name="Normal 2 2 3 2 2 3 3 2" xfId="12021"/>
    <cellStyle name="Normal 2 2 3 2 2 3 3 3" xfId="17782"/>
    <cellStyle name="Normal 2 2 3 2 2 3 4" xfId="3382"/>
    <cellStyle name="Normal 2 2 3 2 2 3 4 2" xfId="12022"/>
    <cellStyle name="Normal 2 2 3 2 2 3 4 3" xfId="17783"/>
    <cellStyle name="Normal 2 2 3 2 2 3 5" xfId="3383"/>
    <cellStyle name="Normal 2 2 3 2 2 3 5 2" xfId="12023"/>
    <cellStyle name="Normal 2 2 3 2 2 3 5 3" xfId="17784"/>
    <cellStyle name="Normal 2 2 3 2 2 3 6" xfId="3384"/>
    <cellStyle name="Normal 2 2 3 2 2 3 6 2" xfId="12024"/>
    <cellStyle name="Normal 2 2 3 2 2 3 6 3" xfId="17785"/>
    <cellStyle name="Normal 2 2 3 2 2 3 7" xfId="9218"/>
    <cellStyle name="Normal 2 2 3 2 2 3 8" xfId="17780"/>
    <cellStyle name="Normal 2 2 3 2 2 3_LNG &amp; LPG rework" xfId="7067"/>
    <cellStyle name="Normal 2 2 3 2 2 4" xfId="3385"/>
    <cellStyle name="Normal 2 2 3 2 2 4 2" xfId="3386"/>
    <cellStyle name="Normal 2 2 3 2 2 4 2 2" xfId="12026"/>
    <cellStyle name="Normal 2 2 3 2 2 4 2 3" xfId="17787"/>
    <cellStyle name="Normal 2 2 3 2 2 4 3" xfId="3387"/>
    <cellStyle name="Normal 2 2 3 2 2 4 3 2" xfId="12027"/>
    <cellStyle name="Normal 2 2 3 2 2 4 3 3" xfId="17788"/>
    <cellStyle name="Normal 2 2 3 2 2 4 4" xfId="3388"/>
    <cellStyle name="Normal 2 2 3 2 2 4 4 2" xfId="12028"/>
    <cellStyle name="Normal 2 2 3 2 2 4 4 3" xfId="17789"/>
    <cellStyle name="Normal 2 2 3 2 2 4 5" xfId="3389"/>
    <cellStyle name="Normal 2 2 3 2 2 4 5 2" xfId="12029"/>
    <cellStyle name="Normal 2 2 3 2 2 4 5 3" xfId="17790"/>
    <cellStyle name="Normal 2 2 3 2 2 4 6" xfId="12025"/>
    <cellStyle name="Normal 2 2 3 2 2 4 7" xfId="17786"/>
    <cellStyle name="Normal 2 2 3 2 2 4_LNG &amp; LPG rework" xfId="7068"/>
    <cellStyle name="Normal 2 2 3 2 2 5" xfId="3390"/>
    <cellStyle name="Normal 2 2 3 2 2 5 2" xfId="3391"/>
    <cellStyle name="Normal 2 2 3 2 2 5 2 2" xfId="12031"/>
    <cellStyle name="Normal 2 2 3 2 2 5 2 3" xfId="17792"/>
    <cellStyle name="Normal 2 2 3 2 2 5 3" xfId="3392"/>
    <cellStyle name="Normal 2 2 3 2 2 5 3 2" xfId="12032"/>
    <cellStyle name="Normal 2 2 3 2 2 5 3 3" xfId="17793"/>
    <cellStyle name="Normal 2 2 3 2 2 5 4" xfId="3393"/>
    <cellStyle name="Normal 2 2 3 2 2 5 4 2" xfId="12033"/>
    <cellStyle name="Normal 2 2 3 2 2 5 4 3" xfId="17794"/>
    <cellStyle name="Normal 2 2 3 2 2 5 5" xfId="3394"/>
    <cellStyle name="Normal 2 2 3 2 2 5 5 2" xfId="12034"/>
    <cellStyle name="Normal 2 2 3 2 2 5 5 3" xfId="17795"/>
    <cellStyle name="Normal 2 2 3 2 2 5 6" xfId="12030"/>
    <cellStyle name="Normal 2 2 3 2 2 5 7" xfId="17791"/>
    <cellStyle name="Normal 2 2 3 2 2 5_LNG &amp; LPG rework" xfId="7069"/>
    <cellStyle name="Normal 2 2 3 2 2 6" xfId="3395"/>
    <cellStyle name="Normal 2 2 3 2 2 6 2" xfId="12035"/>
    <cellStyle name="Normal 2 2 3 2 2 6 3" xfId="17796"/>
    <cellStyle name="Normal 2 2 3 2 2 7" xfId="3396"/>
    <cellStyle name="Normal 2 2 3 2 2 7 2" xfId="12036"/>
    <cellStyle name="Normal 2 2 3 2 2 7 3" xfId="17797"/>
    <cellStyle name="Normal 2 2 3 2 2 8" xfId="3397"/>
    <cellStyle name="Normal 2 2 3 2 2 8 2" xfId="12037"/>
    <cellStyle name="Normal 2 2 3 2 2 8 3" xfId="17798"/>
    <cellStyle name="Normal 2 2 3 2 2 9" xfId="3398"/>
    <cellStyle name="Normal 2 2 3 2 2 9 2" xfId="12038"/>
    <cellStyle name="Normal 2 2 3 2 2 9 3" xfId="17799"/>
    <cellStyle name="Normal 2 2 3 2 2_LNG &amp; LPG rework" xfId="7063"/>
    <cellStyle name="Normal 2 2 3 2 3" xfId="379"/>
    <cellStyle name="Normal 2 2 3 2 3 10" xfId="17800"/>
    <cellStyle name="Normal 2 2 3 2 3 2" xfId="380"/>
    <cellStyle name="Normal 2 2 3 2 3 2 2" xfId="3399"/>
    <cellStyle name="Normal 2 2 3 2 3 2 2 2" xfId="12039"/>
    <cellStyle name="Normal 2 2 3 2 3 2 2 3" xfId="17802"/>
    <cellStyle name="Normal 2 2 3 2 3 2 3" xfId="3400"/>
    <cellStyle name="Normal 2 2 3 2 3 2 3 2" xfId="12040"/>
    <cellStyle name="Normal 2 2 3 2 3 2 3 3" xfId="17803"/>
    <cellStyle name="Normal 2 2 3 2 3 2 4" xfId="3401"/>
    <cellStyle name="Normal 2 2 3 2 3 2 4 2" xfId="12041"/>
    <cellStyle name="Normal 2 2 3 2 3 2 4 3" xfId="17804"/>
    <cellStyle name="Normal 2 2 3 2 3 2 5" xfId="3402"/>
    <cellStyle name="Normal 2 2 3 2 3 2 5 2" xfId="12042"/>
    <cellStyle name="Normal 2 2 3 2 3 2 5 3" xfId="17805"/>
    <cellStyle name="Normal 2 2 3 2 3 2 6" xfId="3403"/>
    <cellStyle name="Normal 2 2 3 2 3 2 6 2" xfId="12043"/>
    <cellStyle name="Normal 2 2 3 2 3 2 6 3" xfId="17806"/>
    <cellStyle name="Normal 2 2 3 2 3 2 7" xfId="9220"/>
    <cellStyle name="Normal 2 2 3 2 3 2 8" xfId="17801"/>
    <cellStyle name="Normal 2 2 3 2 3 2_LNG &amp; LPG rework" xfId="7071"/>
    <cellStyle name="Normal 2 2 3 2 3 3" xfId="3404"/>
    <cellStyle name="Normal 2 2 3 2 3 3 2" xfId="3405"/>
    <cellStyle name="Normal 2 2 3 2 3 3 2 2" xfId="12045"/>
    <cellStyle name="Normal 2 2 3 2 3 3 2 3" xfId="17808"/>
    <cellStyle name="Normal 2 2 3 2 3 3 3" xfId="3406"/>
    <cellStyle name="Normal 2 2 3 2 3 3 3 2" xfId="12046"/>
    <cellStyle name="Normal 2 2 3 2 3 3 3 3" xfId="17809"/>
    <cellStyle name="Normal 2 2 3 2 3 3 4" xfId="3407"/>
    <cellStyle name="Normal 2 2 3 2 3 3 4 2" xfId="12047"/>
    <cellStyle name="Normal 2 2 3 2 3 3 4 3" xfId="17810"/>
    <cellStyle name="Normal 2 2 3 2 3 3 5" xfId="3408"/>
    <cellStyle name="Normal 2 2 3 2 3 3 5 2" xfId="12048"/>
    <cellStyle name="Normal 2 2 3 2 3 3 5 3" xfId="17811"/>
    <cellStyle name="Normal 2 2 3 2 3 3 6" xfId="12044"/>
    <cellStyle name="Normal 2 2 3 2 3 3 7" xfId="17807"/>
    <cellStyle name="Normal 2 2 3 2 3 3_LNG &amp; LPG rework" xfId="7072"/>
    <cellStyle name="Normal 2 2 3 2 3 4" xfId="3409"/>
    <cellStyle name="Normal 2 2 3 2 3 4 2" xfId="12049"/>
    <cellStyle name="Normal 2 2 3 2 3 4 3" xfId="17812"/>
    <cellStyle name="Normal 2 2 3 2 3 5" xfId="3410"/>
    <cellStyle name="Normal 2 2 3 2 3 5 2" xfId="12050"/>
    <cellStyle name="Normal 2 2 3 2 3 5 3" xfId="17813"/>
    <cellStyle name="Normal 2 2 3 2 3 6" xfId="3411"/>
    <cellStyle name="Normal 2 2 3 2 3 6 2" xfId="12051"/>
    <cellStyle name="Normal 2 2 3 2 3 6 3" xfId="17814"/>
    <cellStyle name="Normal 2 2 3 2 3 7" xfId="3412"/>
    <cellStyle name="Normal 2 2 3 2 3 7 2" xfId="12052"/>
    <cellStyle name="Normal 2 2 3 2 3 7 3" xfId="17815"/>
    <cellStyle name="Normal 2 2 3 2 3 8" xfId="3413"/>
    <cellStyle name="Normal 2 2 3 2 3 8 2" xfId="12053"/>
    <cellStyle name="Normal 2 2 3 2 3 8 3" xfId="17816"/>
    <cellStyle name="Normal 2 2 3 2 3 9" xfId="9219"/>
    <cellStyle name="Normal 2 2 3 2 3_LNG &amp; LPG rework" xfId="7070"/>
    <cellStyle name="Normal 2 2 3 2 4" xfId="381"/>
    <cellStyle name="Normal 2 2 3 2 4 2" xfId="3414"/>
    <cellStyle name="Normal 2 2 3 2 4 2 2" xfId="12054"/>
    <cellStyle name="Normal 2 2 3 2 4 2 3" xfId="17818"/>
    <cellStyle name="Normal 2 2 3 2 4 3" xfId="3415"/>
    <cellStyle name="Normal 2 2 3 2 4 3 2" xfId="12055"/>
    <cellStyle name="Normal 2 2 3 2 4 3 3" xfId="17819"/>
    <cellStyle name="Normal 2 2 3 2 4 4" xfId="3416"/>
    <cellStyle name="Normal 2 2 3 2 4 4 2" xfId="12056"/>
    <cellStyle name="Normal 2 2 3 2 4 4 3" xfId="17820"/>
    <cellStyle name="Normal 2 2 3 2 4 5" xfId="3417"/>
    <cellStyle name="Normal 2 2 3 2 4 5 2" xfId="12057"/>
    <cellStyle name="Normal 2 2 3 2 4 5 3" xfId="17821"/>
    <cellStyle name="Normal 2 2 3 2 4 6" xfId="3418"/>
    <cellStyle name="Normal 2 2 3 2 4 6 2" xfId="12058"/>
    <cellStyle name="Normal 2 2 3 2 4 6 3" xfId="17822"/>
    <cellStyle name="Normal 2 2 3 2 4 7" xfId="9221"/>
    <cellStyle name="Normal 2 2 3 2 4 8" xfId="17817"/>
    <cellStyle name="Normal 2 2 3 2 4_LNG &amp; LPG rework" xfId="7073"/>
    <cellStyle name="Normal 2 2 3 2 5" xfId="3419"/>
    <cellStyle name="Normal 2 2 3 2 5 2" xfId="3420"/>
    <cellStyle name="Normal 2 2 3 2 5 2 2" xfId="12060"/>
    <cellStyle name="Normal 2 2 3 2 5 2 3" xfId="17824"/>
    <cellStyle name="Normal 2 2 3 2 5 3" xfId="3421"/>
    <cellStyle name="Normal 2 2 3 2 5 3 2" xfId="12061"/>
    <cellStyle name="Normal 2 2 3 2 5 3 3" xfId="17825"/>
    <cellStyle name="Normal 2 2 3 2 5 4" xfId="3422"/>
    <cellStyle name="Normal 2 2 3 2 5 4 2" xfId="12062"/>
    <cellStyle name="Normal 2 2 3 2 5 4 3" xfId="17826"/>
    <cellStyle name="Normal 2 2 3 2 5 5" xfId="3423"/>
    <cellStyle name="Normal 2 2 3 2 5 5 2" xfId="12063"/>
    <cellStyle name="Normal 2 2 3 2 5 5 3" xfId="17827"/>
    <cellStyle name="Normal 2 2 3 2 5 6" xfId="12059"/>
    <cellStyle name="Normal 2 2 3 2 5 7" xfId="17823"/>
    <cellStyle name="Normal 2 2 3 2 5_LNG &amp; LPG rework" xfId="7074"/>
    <cellStyle name="Normal 2 2 3 2 6" xfId="3424"/>
    <cellStyle name="Normal 2 2 3 2 6 2" xfId="3425"/>
    <cellStyle name="Normal 2 2 3 2 6 2 2" xfId="12065"/>
    <cellStyle name="Normal 2 2 3 2 6 2 3" xfId="17829"/>
    <cellStyle name="Normal 2 2 3 2 6 3" xfId="3426"/>
    <cellStyle name="Normal 2 2 3 2 6 3 2" xfId="12066"/>
    <cellStyle name="Normal 2 2 3 2 6 3 3" xfId="17830"/>
    <cellStyle name="Normal 2 2 3 2 6 4" xfId="3427"/>
    <cellStyle name="Normal 2 2 3 2 6 4 2" xfId="12067"/>
    <cellStyle name="Normal 2 2 3 2 6 4 3" xfId="17831"/>
    <cellStyle name="Normal 2 2 3 2 6 5" xfId="3428"/>
    <cellStyle name="Normal 2 2 3 2 6 5 2" xfId="12068"/>
    <cellStyle name="Normal 2 2 3 2 6 5 3" xfId="17832"/>
    <cellStyle name="Normal 2 2 3 2 6 6" xfId="12064"/>
    <cellStyle name="Normal 2 2 3 2 6 7" xfId="17828"/>
    <cellStyle name="Normal 2 2 3 2 6_LNG &amp; LPG rework" xfId="7075"/>
    <cellStyle name="Normal 2 2 3 2 7" xfId="3429"/>
    <cellStyle name="Normal 2 2 3 2 7 2" xfId="12069"/>
    <cellStyle name="Normal 2 2 3 2 7 3" xfId="17833"/>
    <cellStyle name="Normal 2 2 3 2 8" xfId="3430"/>
    <cellStyle name="Normal 2 2 3 2 8 2" xfId="12070"/>
    <cellStyle name="Normal 2 2 3 2 8 3" xfId="17834"/>
    <cellStyle name="Normal 2 2 3 2 9" xfId="3431"/>
    <cellStyle name="Normal 2 2 3 2 9 2" xfId="12071"/>
    <cellStyle name="Normal 2 2 3 2 9 3" xfId="17835"/>
    <cellStyle name="Normal 2 2 3 2_LNG &amp; LPG rework" xfId="7062"/>
    <cellStyle name="Normal 2 2 3 3" xfId="382"/>
    <cellStyle name="Normal 2 2 3 3 10" xfId="3432"/>
    <cellStyle name="Normal 2 2 3 3 10 2" xfId="12072"/>
    <cellStyle name="Normal 2 2 3 3 10 3" xfId="17837"/>
    <cellStyle name="Normal 2 2 3 3 11" xfId="9222"/>
    <cellStyle name="Normal 2 2 3 3 12" xfId="17836"/>
    <cellStyle name="Normal 2 2 3 3 2" xfId="383"/>
    <cellStyle name="Normal 2 2 3 3 2 10" xfId="17838"/>
    <cellStyle name="Normal 2 2 3 3 2 2" xfId="384"/>
    <cellStyle name="Normal 2 2 3 3 2 2 2" xfId="3433"/>
    <cellStyle name="Normal 2 2 3 3 2 2 2 2" xfId="12073"/>
    <cellStyle name="Normal 2 2 3 3 2 2 2 3" xfId="17840"/>
    <cellStyle name="Normal 2 2 3 3 2 2 3" xfId="3434"/>
    <cellStyle name="Normal 2 2 3 3 2 2 3 2" xfId="12074"/>
    <cellStyle name="Normal 2 2 3 3 2 2 3 3" xfId="17841"/>
    <cellStyle name="Normal 2 2 3 3 2 2 4" xfId="3435"/>
    <cellStyle name="Normal 2 2 3 3 2 2 4 2" xfId="12075"/>
    <cellStyle name="Normal 2 2 3 3 2 2 4 3" xfId="17842"/>
    <cellStyle name="Normal 2 2 3 3 2 2 5" xfId="3436"/>
    <cellStyle name="Normal 2 2 3 3 2 2 5 2" xfId="12076"/>
    <cellStyle name="Normal 2 2 3 3 2 2 5 3" xfId="17843"/>
    <cellStyle name="Normal 2 2 3 3 2 2 6" xfId="3437"/>
    <cellStyle name="Normal 2 2 3 3 2 2 6 2" xfId="12077"/>
    <cellStyle name="Normal 2 2 3 3 2 2 6 3" xfId="17844"/>
    <cellStyle name="Normal 2 2 3 3 2 2 7" xfId="9224"/>
    <cellStyle name="Normal 2 2 3 3 2 2 8" xfId="17839"/>
    <cellStyle name="Normal 2 2 3 3 2 2_LNG &amp; LPG rework" xfId="7078"/>
    <cellStyle name="Normal 2 2 3 3 2 3" xfId="3438"/>
    <cellStyle name="Normal 2 2 3 3 2 3 2" xfId="3439"/>
    <cellStyle name="Normal 2 2 3 3 2 3 2 2" xfId="12079"/>
    <cellStyle name="Normal 2 2 3 3 2 3 2 3" xfId="17846"/>
    <cellStyle name="Normal 2 2 3 3 2 3 3" xfId="3440"/>
    <cellStyle name="Normal 2 2 3 3 2 3 3 2" xfId="12080"/>
    <cellStyle name="Normal 2 2 3 3 2 3 3 3" xfId="17847"/>
    <cellStyle name="Normal 2 2 3 3 2 3 4" xfId="3441"/>
    <cellStyle name="Normal 2 2 3 3 2 3 4 2" xfId="12081"/>
    <cellStyle name="Normal 2 2 3 3 2 3 4 3" xfId="17848"/>
    <cellStyle name="Normal 2 2 3 3 2 3 5" xfId="3442"/>
    <cellStyle name="Normal 2 2 3 3 2 3 5 2" xfId="12082"/>
    <cellStyle name="Normal 2 2 3 3 2 3 5 3" xfId="17849"/>
    <cellStyle name="Normal 2 2 3 3 2 3 6" xfId="12078"/>
    <cellStyle name="Normal 2 2 3 3 2 3 7" xfId="17845"/>
    <cellStyle name="Normal 2 2 3 3 2 3_LNG &amp; LPG rework" xfId="7079"/>
    <cellStyle name="Normal 2 2 3 3 2 4" xfId="3443"/>
    <cellStyle name="Normal 2 2 3 3 2 4 2" xfId="12083"/>
    <cellStyle name="Normal 2 2 3 3 2 4 3" xfId="17850"/>
    <cellStyle name="Normal 2 2 3 3 2 5" xfId="3444"/>
    <cellStyle name="Normal 2 2 3 3 2 5 2" xfId="12084"/>
    <cellStyle name="Normal 2 2 3 3 2 5 3" xfId="17851"/>
    <cellStyle name="Normal 2 2 3 3 2 6" xfId="3445"/>
    <cellStyle name="Normal 2 2 3 3 2 6 2" xfId="12085"/>
    <cellStyle name="Normal 2 2 3 3 2 6 3" xfId="17852"/>
    <cellStyle name="Normal 2 2 3 3 2 7" xfId="3446"/>
    <cellStyle name="Normal 2 2 3 3 2 7 2" xfId="12086"/>
    <cellStyle name="Normal 2 2 3 3 2 7 3" xfId="17853"/>
    <cellStyle name="Normal 2 2 3 3 2 8" xfId="3447"/>
    <cellStyle name="Normal 2 2 3 3 2 8 2" xfId="12087"/>
    <cellStyle name="Normal 2 2 3 3 2 8 3" xfId="17854"/>
    <cellStyle name="Normal 2 2 3 3 2 9" xfId="9223"/>
    <cellStyle name="Normal 2 2 3 3 2_LNG &amp; LPG rework" xfId="7077"/>
    <cellStyle name="Normal 2 2 3 3 3" xfId="385"/>
    <cellStyle name="Normal 2 2 3 3 3 2" xfId="3448"/>
    <cellStyle name="Normal 2 2 3 3 3 2 2" xfId="12088"/>
    <cellStyle name="Normal 2 2 3 3 3 2 3" xfId="17856"/>
    <cellStyle name="Normal 2 2 3 3 3 3" xfId="3449"/>
    <cellStyle name="Normal 2 2 3 3 3 3 2" xfId="12089"/>
    <cellStyle name="Normal 2 2 3 3 3 3 3" xfId="17857"/>
    <cellStyle name="Normal 2 2 3 3 3 4" xfId="3450"/>
    <cellStyle name="Normal 2 2 3 3 3 4 2" xfId="12090"/>
    <cellStyle name="Normal 2 2 3 3 3 4 3" xfId="17858"/>
    <cellStyle name="Normal 2 2 3 3 3 5" xfId="3451"/>
    <cellStyle name="Normal 2 2 3 3 3 5 2" xfId="12091"/>
    <cellStyle name="Normal 2 2 3 3 3 5 3" xfId="17859"/>
    <cellStyle name="Normal 2 2 3 3 3 6" xfId="3452"/>
    <cellStyle name="Normal 2 2 3 3 3 6 2" xfId="12092"/>
    <cellStyle name="Normal 2 2 3 3 3 6 3" xfId="17860"/>
    <cellStyle name="Normal 2 2 3 3 3 7" xfId="9225"/>
    <cellStyle name="Normal 2 2 3 3 3 8" xfId="17855"/>
    <cellStyle name="Normal 2 2 3 3 3_LNG &amp; LPG rework" xfId="7080"/>
    <cellStyle name="Normal 2 2 3 3 4" xfId="3453"/>
    <cellStyle name="Normal 2 2 3 3 4 2" xfId="3454"/>
    <cellStyle name="Normal 2 2 3 3 4 2 2" xfId="12094"/>
    <cellStyle name="Normal 2 2 3 3 4 2 3" xfId="17862"/>
    <cellStyle name="Normal 2 2 3 3 4 3" xfId="3455"/>
    <cellStyle name="Normal 2 2 3 3 4 3 2" xfId="12095"/>
    <cellStyle name="Normal 2 2 3 3 4 3 3" xfId="17863"/>
    <cellStyle name="Normal 2 2 3 3 4 4" xfId="3456"/>
    <cellStyle name="Normal 2 2 3 3 4 4 2" xfId="12096"/>
    <cellStyle name="Normal 2 2 3 3 4 4 3" xfId="17864"/>
    <cellStyle name="Normal 2 2 3 3 4 5" xfId="3457"/>
    <cellStyle name="Normal 2 2 3 3 4 5 2" xfId="12097"/>
    <cellStyle name="Normal 2 2 3 3 4 5 3" xfId="17865"/>
    <cellStyle name="Normal 2 2 3 3 4 6" xfId="12093"/>
    <cellStyle name="Normal 2 2 3 3 4 7" xfId="17861"/>
    <cellStyle name="Normal 2 2 3 3 4_LNG &amp; LPG rework" xfId="7081"/>
    <cellStyle name="Normal 2 2 3 3 5" xfId="3458"/>
    <cellStyle name="Normal 2 2 3 3 5 2" xfId="3459"/>
    <cellStyle name="Normal 2 2 3 3 5 2 2" xfId="12099"/>
    <cellStyle name="Normal 2 2 3 3 5 2 3" xfId="17867"/>
    <cellStyle name="Normal 2 2 3 3 5 3" xfId="3460"/>
    <cellStyle name="Normal 2 2 3 3 5 3 2" xfId="12100"/>
    <cellStyle name="Normal 2 2 3 3 5 3 3" xfId="17868"/>
    <cellStyle name="Normal 2 2 3 3 5 4" xfId="3461"/>
    <cellStyle name="Normal 2 2 3 3 5 4 2" xfId="12101"/>
    <cellStyle name="Normal 2 2 3 3 5 4 3" xfId="17869"/>
    <cellStyle name="Normal 2 2 3 3 5 5" xfId="3462"/>
    <cellStyle name="Normal 2 2 3 3 5 5 2" xfId="12102"/>
    <cellStyle name="Normal 2 2 3 3 5 5 3" xfId="17870"/>
    <cellStyle name="Normal 2 2 3 3 5 6" xfId="12098"/>
    <cellStyle name="Normal 2 2 3 3 5 7" xfId="17866"/>
    <cellStyle name="Normal 2 2 3 3 5_LNG &amp; LPG rework" xfId="7082"/>
    <cellStyle name="Normal 2 2 3 3 6" xfId="3463"/>
    <cellStyle name="Normal 2 2 3 3 6 2" xfId="12103"/>
    <cellStyle name="Normal 2 2 3 3 6 3" xfId="17871"/>
    <cellStyle name="Normal 2 2 3 3 7" xfId="3464"/>
    <cellStyle name="Normal 2 2 3 3 7 2" xfId="12104"/>
    <cellStyle name="Normal 2 2 3 3 7 3" xfId="17872"/>
    <cellStyle name="Normal 2 2 3 3 8" xfId="3465"/>
    <cellStyle name="Normal 2 2 3 3 8 2" xfId="12105"/>
    <cellStyle name="Normal 2 2 3 3 8 3" xfId="17873"/>
    <cellStyle name="Normal 2 2 3 3 9" xfId="3466"/>
    <cellStyle name="Normal 2 2 3 3 9 2" xfId="12106"/>
    <cellStyle name="Normal 2 2 3 3 9 3" xfId="17874"/>
    <cellStyle name="Normal 2 2 3 3_LNG &amp; LPG rework" xfId="7076"/>
    <cellStyle name="Normal 2 2 3 4" xfId="386"/>
    <cellStyle name="Normal 2 2 3 4 10" xfId="17875"/>
    <cellStyle name="Normal 2 2 3 4 2" xfId="387"/>
    <cellStyle name="Normal 2 2 3 4 2 2" xfId="3467"/>
    <cellStyle name="Normal 2 2 3 4 2 2 2" xfId="12107"/>
    <cellStyle name="Normal 2 2 3 4 2 2 3" xfId="17877"/>
    <cellStyle name="Normal 2 2 3 4 2 3" xfId="3468"/>
    <cellStyle name="Normal 2 2 3 4 2 3 2" xfId="12108"/>
    <cellStyle name="Normal 2 2 3 4 2 3 3" xfId="17878"/>
    <cellStyle name="Normal 2 2 3 4 2 4" xfId="3469"/>
    <cellStyle name="Normal 2 2 3 4 2 4 2" xfId="12109"/>
    <cellStyle name="Normal 2 2 3 4 2 4 3" xfId="17879"/>
    <cellStyle name="Normal 2 2 3 4 2 5" xfId="3470"/>
    <cellStyle name="Normal 2 2 3 4 2 5 2" xfId="12110"/>
    <cellStyle name="Normal 2 2 3 4 2 5 3" xfId="17880"/>
    <cellStyle name="Normal 2 2 3 4 2 6" xfId="3471"/>
    <cellStyle name="Normal 2 2 3 4 2 6 2" xfId="12111"/>
    <cellStyle name="Normal 2 2 3 4 2 6 3" xfId="17881"/>
    <cellStyle name="Normal 2 2 3 4 2 7" xfId="9227"/>
    <cellStyle name="Normal 2 2 3 4 2 8" xfId="17876"/>
    <cellStyle name="Normal 2 2 3 4 2_LNG &amp; LPG rework" xfId="7084"/>
    <cellStyle name="Normal 2 2 3 4 3" xfId="3472"/>
    <cellStyle name="Normal 2 2 3 4 3 2" xfId="3473"/>
    <cellStyle name="Normal 2 2 3 4 3 2 2" xfId="12113"/>
    <cellStyle name="Normal 2 2 3 4 3 2 3" xfId="17883"/>
    <cellStyle name="Normal 2 2 3 4 3 3" xfId="3474"/>
    <cellStyle name="Normal 2 2 3 4 3 3 2" xfId="12114"/>
    <cellStyle name="Normal 2 2 3 4 3 3 3" xfId="17884"/>
    <cellStyle name="Normal 2 2 3 4 3 4" xfId="3475"/>
    <cellStyle name="Normal 2 2 3 4 3 4 2" xfId="12115"/>
    <cellStyle name="Normal 2 2 3 4 3 4 3" xfId="17885"/>
    <cellStyle name="Normal 2 2 3 4 3 5" xfId="3476"/>
    <cellStyle name="Normal 2 2 3 4 3 5 2" xfId="12116"/>
    <cellStyle name="Normal 2 2 3 4 3 5 3" xfId="17886"/>
    <cellStyle name="Normal 2 2 3 4 3 6" xfId="12112"/>
    <cellStyle name="Normal 2 2 3 4 3 7" xfId="17882"/>
    <cellStyle name="Normal 2 2 3 4 3_LNG &amp; LPG rework" xfId="7085"/>
    <cellStyle name="Normal 2 2 3 4 4" xfId="3477"/>
    <cellStyle name="Normal 2 2 3 4 4 2" xfId="12117"/>
    <cellStyle name="Normal 2 2 3 4 4 3" xfId="17887"/>
    <cellStyle name="Normal 2 2 3 4 5" xfId="3478"/>
    <cellStyle name="Normal 2 2 3 4 5 2" xfId="12118"/>
    <cellStyle name="Normal 2 2 3 4 5 3" xfId="17888"/>
    <cellStyle name="Normal 2 2 3 4 6" xfId="3479"/>
    <cellStyle name="Normal 2 2 3 4 6 2" xfId="12119"/>
    <cellStyle name="Normal 2 2 3 4 6 3" xfId="17889"/>
    <cellStyle name="Normal 2 2 3 4 7" xfId="3480"/>
    <cellStyle name="Normal 2 2 3 4 7 2" xfId="12120"/>
    <cellStyle name="Normal 2 2 3 4 7 3" xfId="17890"/>
    <cellStyle name="Normal 2 2 3 4 8" xfId="3481"/>
    <cellStyle name="Normal 2 2 3 4 8 2" xfId="12121"/>
    <cellStyle name="Normal 2 2 3 4 8 3" xfId="17891"/>
    <cellStyle name="Normal 2 2 3 4 9" xfId="9226"/>
    <cellStyle name="Normal 2 2 3 4_LNG &amp; LPG rework" xfId="7083"/>
    <cellStyle name="Normal 2 2 3 5" xfId="388"/>
    <cellStyle name="Normal 2 2 3 5 2" xfId="3482"/>
    <cellStyle name="Normal 2 2 3 5 2 2" xfId="12122"/>
    <cellStyle name="Normal 2 2 3 5 2 3" xfId="17893"/>
    <cellStyle name="Normal 2 2 3 5 3" xfId="3483"/>
    <cellStyle name="Normal 2 2 3 5 3 2" xfId="12123"/>
    <cellStyle name="Normal 2 2 3 5 3 3" xfId="17894"/>
    <cellStyle name="Normal 2 2 3 5 4" xfId="3484"/>
    <cellStyle name="Normal 2 2 3 5 4 2" xfId="12124"/>
    <cellStyle name="Normal 2 2 3 5 4 3" xfId="17895"/>
    <cellStyle name="Normal 2 2 3 5 5" xfId="3485"/>
    <cellStyle name="Normal 2 2 3 5 5 2" xfId="12125"/>
    <cellStyle name="Normal 2 2 3 5 5 3" xfId="17896"/>
    <cellStyle name="Normal 2 2 3 5 6" xfId="3486"/>
    <cellStyle name="Normal 2 2 3 5 6 2" xfId="12126"/>
    <cellStyle name="Normal 2 2 3 5 6 3" xfId="17897"/>
    <cellStyle name="Normal 2 2 3 5 7" xfId="9228"/>
    <cellStyle name="Normal 2 2 3 5 8" xfId="17892"/>
    <cellStyle name="Normal 2 2 3 5_LNG &amp; LPG rework" xfId="7086"/>
    <cellStyle name="Normal 2 2 3 6" xfId="3487"/>
    <cellStyle name="Normal 2 2 3 6 2" xfId="3488"/>
    <cellStyle name="Normal 2 2 3 6 2 2" xfId="12128"/>
    <cellStyle name="Normal 2 2 3 6 2 3" xfId="17899"/>
    <cellStyle name="Normal 2 2 3 6 3" xfId="3489"/>
    <cellStyle name="Normal 2 2 3 6 3 2" xfId="12129"/>
    <cellStyle name="Normal 2 2 3 6 3 3" xfId="17900"/>
    <cellStyle name="Normal 2 2 3 6 4" xfId="3490"/>
    <cellStyle name="Normal 2 2 3 6 4 2" xfId="12130"/>
    <cellStyle name="Normal 2 2 3 6 4 3" xfId="17901"/>
    <cellStyle name="Normal 2 2 3 6 5" xfId="3491"/>
    <cellStyle name="Normal 2 2 3 6 5 2" xfId="12131"/>
    <cellStyle name="Normal 2 2 3 6 5 3" xfId="17902"/>
    <cellStyle name="Normal 2 2 3 6 6" xfId="12127"/>
    <cellStyle name="Normal 2 2 3 6 7" xfId="17898"/>
    <cellStyle name="Normal 2 2 3 6_LNG &amp; LPG rework" xfId="7087"/>
    <cellStyle name="Normal 2 2 3 7" xfId="3492"/>
    <cellStyle name="Normal 2 2 3 7 2" xfId="3493"/>
    <cellStyle name="Normal 2 2 3 7 2 2" xfId="12133"/>
    <cellStyle name="Normal 2 2 3 7 2 3" xfId="17904"/>
    <cellStyle name="Normal 2 2 3 7 3" xfId="3494"/>
    <cellStyle name="Normal 2 2 3 7 3 2" xfId="12134"/>
    <cellStyle name="Normal 2 2 3 7 3 3" xfId="17905"/>
    <cellStyle name="Normal 2 2 3 7 4" xfId="3495"/>
    <cellStyle name="Normal 2 2 3 7 4 2" xfId="12135"/>
    <cellStyle name="Normal 2 2 3 7 4 3" xfId="17906"/>
    <cellStyle name="Normal 2 2 3 7 5" xfId="3496"/>
    <cellStyle name="Normal 2 2 3 7 5 2" xfId="12136"/>
    <cellStyle name="Normal 2 2 3 7 5 3" xfId="17907"/>
    <cellStyle name="Normal 2 2 3 7 6" xfId="12132"/>
    <cellStyle name="Normal 2 2 3 7 7" xfId="17903"/>
    <cellStyle name="Normal 2 2 3 7_LNG &amp; LPG rework" xfId="7088"/>
    <cellStyle name="Normal 2 2 3 8" xfId="3497"/>
    <cellStyle name="Normal 2 2 3 8 2" xfId="12137"/>
    <cellStyle name="Normal 2 2 3 8 3" xfId="17908"/>
    <cellStyle name="Normal 2 2 3 9" xfId="3498"/>
    <cellStyle name="Normal 2 2 3 9 2" xfId="12138"/>
    <cellStyle name="Normal 2 2 3 9 3" xfId="17909"/>
    <cellStyle name="Normal 2 2 3_LNG &amp; LPG rework" xfId="7061"/>
    <cellStyle name="Normal 2 2 4" xfId="389"/>
    <cellStyle name="Normal 2 2 4 10" xfId="3499"/>
    <cellStyle name="Normal 2 2 4 10 2" xfId="12139"/>
    <cellStyle name="Normal 2 2 4 10 3" xfId="17911"/>
    <cellStyle name="Normal 2 2 4 11" xfId="3500"/>
    <cellStyle name="Normal 2 2 4 11 2" xfId="12140"/>
    <cellStyle name="Normal 2 2 4 11 3" xfId="17912"/>
    <cellStyle name="Normal 2 2 4 12" xfId="9229"/>
    <cellStyle name="Normal 2 2 4 13" xfId="17910"/>
    <cellStyle name="Normal 2 2 4 2" xfId="390"/>
    <cellStyle name="Normal 2 2 4 2 10" xfId="3501"/>
    <cellStyle name="Normal 2 2 4 2 10 2" xfId="12141"/>
    <cellStyle name="Normal 2 2 4 2 10 3" xfId="17914"/>
    <cellStyle name="Normal 2 2 4 2 11" xfId="9230"/>
    <cellStyle name="Normal 2 2 4 2 12" xfId="17913"/>
    <cellStyle name="Normal 2 2 4 2 2" xfId="391"/>
    <cellStyle name="Normal 2 2 4 2 2 10" xfId="17915"/>
    <cellStyle name="Normal 2 2 4 2 2 2" xfId="392"/>
    <cellStyle name="Normal 2 2 4 2 2 2 2" xfId="3502"/>
    <cellStyle name="Normal 2 2 4 2 2 2 2 2" xfId="12142"/>
    <cellStyle name="Normal 2 2 4 2 2 2 2 3" xfId="17917"/>
    <cellStyle name="Normal 2 2 4 2 2 2 3" xfId="3503"/>
    <cellStyle name="Normal 2 2 4 2 2 2 3 2" xfId="12143"/>
    <cellStyle name="Normal 2 2 4 2 2 2 3 3" xfId="17918"/>
    <cellStyle name="Normal 2 2 4 2 2 2 4" xfId="3504"/>
    <cellStyle name="Normal 2 2 4 2 2 2 4 2" xfId="12144"/>
    <cellStyle name="Normal 2 2 4 2 2 2 4 3" xfId="17919"/>
    <cellStyle name="Normal 2 2 4 2 2 2 5" xfId="3505"/>
    <cellStyle name="Normal 2 2 4 2 2 2 5 2" xfId="12145"/>
    <cellStyle name="Normal 2 2 4 2 2 2 5 3" xfId="17920"/>
    <cellStyle name="Normal 2 2 4 2 2 2 6" xfId="3506"/>
    <cellStyle name="Normal 2 2 4 2 2 2 6 2" xfId="12146"/>
    <cellStyle name="Normal 2 2 4 2 2 2 6 3" xfId="17921"/>
    <cellStyle name="Normal 2 2 4 2 2 2 7" xfId="9232"/>
    <cellStyle name="Normal 2 2 4 2 2 2 8" xfId="17916"/>
    <cellStyle name="Normal 2 2 4 2 2 2_LNG &amp; LPG rework" xfId="7092"/>
    <cellStyle name="Normal 2 2 4 2 2 3" xfId="3507"/>
    <cellStyle name="Normal 2 2 4 2 2 3 2" xfId="3508"/>
    <cellStyle name="Normal 2 2 4 2 2 3 2 2" xfId="12148"/>
    <cellStyle name="Normal 2 2 4 2 2 3 2 3" xfId="17923"/>
    <cellStyle name="Normal 2 2 4 2 2 3 3" xfId="3509"/>
    <cellStyle name="Normal 2 2 4 2 2 3 3 2" xfId="12149"/>
    <cellStyle name="Normal 2 2 4 2 2 3 3 3" xfId="17924"/>
    <cellStyle name="Normal 2 2 4 2 2 3 4" xfId="3510"/>
    <cellStyle name="Normal 2 2 4 2 2 3 4 2" xfId="12150"/>
    <cellStyle name="Normal 2 2 4 2 2 3 4 3" xfId="17925"/>
    <cellStyle name="Normal 2 2 4 2 2 3 5" xfId="3511"/>
    <cellStyle name="Normal 2 2 4 2 2 3 5 2" xfId="12151"/>
    <cellStyle name="Normal 2 2 4 2 2 3 5 3" xfId="17926"/>
    <cellStyle name="Normal 2 2 4 2 2 3 6" xfId="12147"/>
    <cellStyle name="Normal 2 2 4 2 2 3 7" xfId="17922"/>
    <cellStyle name="Normal 2 2 4 2 2 3_LNG &amp; LPG rework" xfId="7093"/>
    <cellStyle name="Normal 2 2 4 2 2 4" xfId="3512"/>
    <cellStyle name="Normal 2 2 4 2 2 4 2" xfId="12152"/>
    <cellStyle name="Normal 2 2 4 2 2 4 3" xfId="17927"/>
    <cellStyle name="Normal 2 2 4 2 2 5" xfId="3513"/>
    <cellStyle name="Normal 2 2 4 2 2 5 2" xfId="12153"/>
    <cellStyle name="Normal 2 2 4 2 2 5 3" xfId="17928"/>
    <cellStyle name="Normal 2 2 4 2 2 6" xfId="3514"/>
    <cellStyle name="Normal 2 2 4 2 2 6 2" xfId="12154"/>
    <cellStyle name="Normal 2 2 4 2 2 6 3" xfId="17929"/>
    <cellStyle name="Normal 2 2 4 2 2 7" xfId="3515"/>
    <cellStyle name="Normal 2 2 4 2 2 7 2" xfId="12155"/>
    <cellStyle name="Normal 2 2 4 2 2 7 3" xfId="17930"/>
    <cellStyle name="Normal 2 2 4 2 2 8" xfId="3516"/>
    <cellStyle name="Normal 2 2 4 2 2 8 2" xfId="12156"/>
    <cellStyle name="Normal 2 2 4 2 2 8 3" xfId="17931"/>
    <cellStyle name="Normal 2 2 4 2 2 9" xfId="9231"/>
    <cellStyle name="Normal 2 2 4 2 2_LNG &amp; LPG rework" xfId="7091"/>
    <cellStyle name="Normal 2 2 4 2 3" xfId="393"/>
    <cellStyle name="Normal 2 2 4 2 3 2" xfId="3517"/>
    <cellStyle name="Normal 2 2 4 2 3 2 2" xfId="12157"/>
    <cellStyle name="Normal 2 2 4 2 3 2 3" xfId="17933"/>
    <cellStyle name="Normal 2 2 4 2 3 3" xfId="3518"/>
    <cellStyle name="Normal 2 2 4 2 3 3 2" xfId="12158"/>
    <cellStyle name="Normal 2 2 4 2 3 3 3" xfId="17934"/>
    <cellStyle name="Normal 2 2 4 2 3 4" xfId="3519"/>
    <cellStyle name="Normal 2 2 4 2 3 4 2" xfId="12159"/>
    <cellStyle name="Normal 2 2 4 2 3 4 3" xfId="17935"/>
    <cellStyle name="Normal 2 2 4 2 3 5" xfId="3520"/>
    <cellStyle name="Normal 2 2 4 2 3 5 2" xfId="12160"/>
    <cellStyle name="Normal 2 2 4 2 3 5 3" xfId="17936"/>
    <cellStyle name="Normal 2 2 4 2 3 6" xfId="3521"/>
    <cellStyle name="Normal 2 2 4 2 3 6 2" xfId="12161"/>
    <cellStyle name="Normal 2 2 4 2 3 6 3" xfId="17937"/>
    <cellStyle name="Normal 2 2 4 2 3 7" xfId="9233"/>
    <cellStyle name="Normal 2 2 4 2 3 8" xfId="17932"/>
    <cellStyle name="Normal 2 2 4 2 3_LNG &amp; LPG rework" xfId="7094"/>
    <cellStyle name="Normal 2 2 4 2 4" xfId="3522"/>
    <cellStyle name="Normal 2 2 4 2 4 2" xfId="3523"/>
    <cellStyle name="Normal 2 2 4 2 4 2 2" xfId="12163"/>
    <cellStyle name="Normal 2 2 4 2 4 2 3" xfId="17939"/>
    <cellStyle name="Normal 2 2 4 2 4 3" xfId="3524"/>
    <cellStyle name="Normal 2 2 4 2 4 3 2" xfId="12164"/>
    <cellStyle name="Normal 2 2 4 2 4 3 3" xfId="17940"/>
    <cellStyle name="Normal 2 2 4 2 4 4" xfId="3525"/>
    <cellStyle name="Normal 2 2 4 2 4 4 2" xfId="12165"/>
    <cellStyle name="Normal 2 2 4 2 4 4 3" xfId="17941"/>
    <cellStyle name="Normal 2 2 4 2 4 5" xfId="3526"/>
    <cellStyle name="Normal 2 2 4 2 4 5 2" xfId="12166"/>
    <cellStyle name="Normal 2 2 4 2 4 5 3" xfId="17942"/>
    <cellStyle name="Normal 2 2 4 2 4 6" xfId="12162"/>
    <cellStyle name="Normal 2 2 4 2 4 7" xfId="17938"/>
    <cellStyle name="Normal 2 2 4 2 4_LNG &amp; LPG rework" xfId="7095"/>
    <cellStyle name="Normal 2 2 4 2 5" xfId="3527"/>
    <cellStyle name="Normal 2 2 4 2 5 2" xfId="3528"/>
    <cellStyle name="Normal 2 2 4 2 5 2 2" xfId="12168"/>
    <cellStyle name="Normal 2 2 4 2 5 2 3" xfId="17944"/>
    <cellStyle name="Normal 2 2 4 2 5 3" xfId="3529"/>
    <cellStyle name="Normal 2 2 4 2 5 3 2" xfId="12169"/>
    <cellStyle name="Normal 2 2 4 2 5 3 3" xfId="17945"/>
    <cellStyle name="Normal 2 2 4 2 5 4" xfId="3530"/>
    <cellStyle name="Normal 2 2 4 2 5 4 2" xfId="12170"/>
    <cellStyle name="Normal 2 2 4 2 5 4 3" xfId="17946"/>
    <cellStyle name="Normal 2 2 4 2 5 5" xfId="3531"/>
    <cellStyle name="Normal 2 2 4 2 5 5 2" xfId="12171"/>
    <cellStyle name="Normal 2 2 4 2 5 5 3" xfId="17947"/>
    <cellStyle name="Normal 2 2 4 2 5 6" xfId="12167"/>
    <cellStyle name="Normal 2 2 4 2 5 7" xfId="17943"/>
    <cellStyle name="Normal 2 2 4 2 5_LNG &amp; LPG rework" xfId="7096"/>
    <cellStyle name="Normal 2 2 4 2 6" xfId="3532"/>
    <cellStyle name="Normal 2 2 4 2 6 2" xfId="12172"/>
    <cellStyle name="Normal 2 2 4 2 6 3" xfId="17948"/>
    <cellStyle name="Normal 2 2 4 2 7" xfId="3533"/>
    <cellStyle name="Normal 2 2 4 2 7 2" xfId="12173"/>
    <cellStyle name="Normal 2 2 4 2 7 3" xfId="17949"/>
    <cellStyle name="Normal 2 2 4 2 8" xfId="3534"/>
    <cellStyle name="Normal 2 2 4 2 8 2" xfId="12174"/>
    <cellStyle name="Normal 2 2 4 2 8 3" xfId="17950"/>
    <cellStyle name="Normal 2 2 4 2 9" xfId="3535"/>
    <cellStyle name="Normal 2 2 4 2 9 2" xfId="12175"/>
    <cellStyle name="Normal 2 2 4 2 9 3" xfId="17951"/>
    <cellStyle name="Normal 2 2 4 2_LNG &amp; LPG rework" xfId="7090"/>
    <cellStyle name="Normal 2 2 4 3" xfId="394"/>
    <cellStyle name="Normal 2 2 4 3 10" xfId="17952"/>
    <cellStyle name="Normal 2 2 4 3 2" xfId="395"/>
    <cellStyle name="Normal 2 2 4 3 2 2" xfId="3536"/>
    <cellStyle name="Normal 2 2 4 3 2 2 2" xfId="12176"/>
    <cellStyle name="Normal 2 2 4 3 2 2 3" xfId="17954"/>
    <cellStyle name="Normal 2 2 4 3 2 3" xfId="3537"/>
    <cellStyle name="Normal 2 2 4 3 2 3 2" xfId="12177"/>
    <cellStyle name="Normal 2 2 4 3 2 3 3" xfId="17955"/>
    <cellStyle name="Normal 2 2 4 3 2 4" xfId="3538"/>
    <cellStyle name="Normal 2 2 4 3 2 4 2" xfId="12178"/>
    <cellStyle name="Normal 2 2 4 3 2 4 3" xfId="17956"/>
    <cellStyle name="Normal 2 2 4 3 2 5" xfId="3539"/>
    <cellStyle name="Normal 2 2 4 3 2 5 2" xfId="12179"/>
    <cellStyle name="Normal 2 2 4 3 2 5 3" xfId="17957"/>
    <cellStyle name="Normal 2 2 4 3 2 6" xfId="3540"/>
    <cellStyle name="Normal 2 2 4 3 2 6 2" xfId="12180"/>
    <cellStyle name="Normal 2 2 4 3 2 6 3" xfId="17958"/>
    <cellStyle name="Normal 2 2 4 3 2 7" xfId="9235"/>
    <cellStyle name="Normal 2 2 4 3 2 8" xfId="17953"/>
    <cellStyle name="Normal 2 2 4 3 2_LNG &amp; LPG rework" xfId="7098"/>
    <cellStyle name="Normal 2 2 4 3 3" xfId="3541"/>
    <cellStyle name="Normal 2 2 4 3 3 2" xfId="3542"/>
    <cellStyle name="Normal 2 2 4 3 3 2 2" xfId="12182"/>
    <cellStyle name="Normal 2 2 4 3 3 2 3" xfId="17960"/>
    <cellStyle name="Normal 2 2 4 3 3 3" xfId="3543"/>
    <cellStyle name="Normal 2 2 4 3 3 3 2" xfId="12183"/>
    <cellStyle name="Normal 2 2 4 3 3 3 3" xfId="17961"/>
    <cellStyle name="Normal 2 2 4 3 3 4" xfId="3544"/>
    <cellStyle name="Normal 2 2 4 3 3 4 2" xfId="12184"/>
    <cellStyle name="Normal 2 2 4 3 3 4 3" xfId="17962"/>
    <cellStyle name="Normal 2 2 4 3 3 5" xfId="3545"/>
    <cellStyle name="Normal 2 2 4 3 3 5 2" xfId="12185"/>
    <cellStyle name="Normal 2 2 4 3 3 5 3" xfId="17963"/>
    <cellStyle name="Normal 2 2 4 3 3 6" xfId="12181"/>
    <cellStyle name="Normal 2 2 4 3 3 7" xfId="17959"/>
    <cellStyle name="Normal 2 2 4 3 3_LNG &amp; LPG rework" xfId="7099"/>
    <cellStyle name="Normal 2 2 4 3 4" xfId="3546"/>
    <cellStyle name="Normal 2 2 4 3 4 2" xfId="12186"/>
    <cellStyle name="Normal 2 2 4 3 4 3" xfId="17964"/>
    <cellStyle name="Normal 2 2 4 3 5" xfId="3547"/>
    <cellStyle name="Normal 2 2 4 3 5 2" xfId="12187"/>
    <cellStyle name="Normal 2 2 4 3 5 3" xfId="17965"/>
    <cellStyle name="Normal 2 2 4 3 6" xfId="3548"/>
    <cellStyle name="Normal 2 2 4 3 6 2" xfId="12188"/>
    <cellStyle name="Normal 2 2 4 3 6 3" xfId="17966"/>
    <cellStyle name="Normal 2 2 4 3 7" xfId="3549"/>
    <cellStyle name="Normal 2 2 4 3 7 2" xfId="12189"/>
    <cellStyle name="Normal 2 2 4 3 7 3" xfId="17967"/>
    <cellStyle name="Normal 2 2 4 3 8" xfId="3550"/>
    <cellStyle name="Normal 2 2 4 3 8 2" xfId="12190"/>
    <cellStyle name="Normal 2 2 4 3 8 3" xfId="17968"/>
    <cellStyle name="Normal 2 2 4 3 9" xfId="9234"/>
    <cellStyle name="Normal 2 2 4 3_LNG &amp; LPG rework" xfId="7097"/>
    <cellStyle name="Normal 2 2 4 4" xfId="396"/>
    <cellStyle name="Normal 2 2 4 4 2" xfId="3551"/>
    <cellStyle name="Normal 2 2 4 4 2 2" xfId="12191"/>
    <cellStyle name="Normal 2 2 4 4 2 3" xfId="17970"/>
    <cellStyle name="Normal 2 2 4 4 3" xfId="3552"/>
    <cellStyle name="Normal 2 2 4 4 3 2" xfId="12192"/>
    <cellStyle name="Normal 2 2 4 4 3 3" xfId="17971"/>
    <cellStyle name="Normal 2 2 4 4 4" xfId="3553"/>
    <cellStyle name="Normal 2 2 4 4 4 2" xfId="12193"/>
    <cellStyle name="Normal 2 2 4 4 4 3" xfId="17972"/>
    <cellStyle name="Normal 2 2 4 4 5" xfId="3554"/>
    <cellStyle name="Normal 2 2 4 4 5 2" xfId="12194"/>
    <cellStyle name="Normal 2 2 4 4 5 3" xfId="17973"/>
    <cellStyle name="Normal 2 2 4 4 6" xfId="3555"/>
    <cellStyle name="Normal 2 2 4 4 6 2" xfId="12195"/>
    <cellStyle name="Normal 2 2 4 4 6 3" xfId="17974"/>
    <cellStyle name="Normal 2 2 4 4 7" xfId="9236"/>
    <cellStyle name="Normal 2 2 4 4 8" xfId="17969"/>
    <cellStyle name="Normal 2 2 4 4_LNG &amp; LPG rework" xfId="7100"/>
    <cellStyle name="Normal 2 2 4 5" xfId="3556"/>
    <cellStyle name="Normal 2 2 4 5 2" xfId="3557"/>
    <cellStyle name="Normal 2 2 4 5 2 2" xfId="12197"/>
    <cellStyle name="Normal 2 2 4 5 2 3" xfId="17976"/>
    <cellStyle name="Normal 2 2 4 5 3" xfId="3558"/>
    <cellStyle name="Normal 2 2 4 5 3 2" xfId="12198"/>
    <cellStyle name="Normal 2 2 4 5 3 3" xfId="17977"/>
    <cellStyle name="Normal 2 2 4 5 4" xfId="3559"/>
    <cellStyle name="Normal 2 2 4 5 4 2" xfId="12199"/>
    <cellStyle name="Normal 2 2 4 5 4 3" xfId="17978"/>
    <cellStyle name="Normal 2 2 4 5 5" xfId="3560"/>
    <cellStyle name="Normal 2 2 4 5 5 2" xfId="12200"/>
    <cellStyle name="Normal 2 2 4 5 5 3" xfId="17979"/>
    <cellStyle name="Normal 2 2 4 5 6" xfId="12196"/>
    <cellStyle name="Normal 2 2 4 5 7" xfId="17975"/>
    <cellStyle name="Normal 2 2 4 5_LNG &amp; LPG rework" xfId="7101"/>
    <cellStyle name="Normal 2 2 4 6" xfId="3561"/>
    <cellStyle name="Normal 2 2 4 6 2" xfId="3562"/>
    <cellStyle name="Normal 2 2 4 6 2 2" xfId="12202"/>
    <cellStyle name="Normal 2 2 4 6 2 3" xfId="17981"/>
    <cellStyle name="Normal 2 2 4 6 3" xfId="3563"/>
    <cellStyle name="Normal 2 2 4 6 3 2" xfId="12203"/>
    <cellStyle name="Normal 2 2 4 6 3 3" xfId="17982"/>
    <cellStyle name="Normal 2 2 4 6 4" xfId="3564"/>
    <cellStyle name="Normal 2 2 4 6 4 2" xfId="12204"/>
    <cellStyle name="Normal 2 2 4 6 4 3" xfId="17983"/>
    <cellStyle name="Normal 2 2 4 6 5" xfId="3565"/>
    <cellStyle name="Normal 2 2 4 6 5 2" xfId="12205"/>
    <cellStyle name="Normal 2 2 4 6 5 3" xfId="17984"/>
    <cellStyle name="Normal 2 2 4 6 6" xfId="12201"/>
    <cellStyle name="Normal 2 2 4 6 7" xfId="17980"/>
    <cellStyle name="Normal 2 2 4 6_LNG &amp; LPG rework" xfId="7102"/>
    <cellStyle name="Normal 2 2 4 7" xfId="3566"/>
    <cellStyle name="Normal 2 2 4 7 2" xfId="12206"/>
    <cellStyle name="Normal 2 2 4 7 3" xfId="17985"/>
    <cellStyle name="Normal 2 2 4 8" xfId="3567"/>
    <cellStyle name="Normal 2 2 4 8 2" xfId="12207"/>
    <cellStyle name="Normal 2 2 4 8 3" xfId="17986"/>
    <cellStyle name="Normal 2 2 4 9" xfId="3568"/>
    <cellStyle name="Normal 2 2 4 9 2" xfId="12208"/>
    <cellStyle name="Normal 2 2 4 9 3" xfId="17987"/>
    <cellStyle name="Normal 2 2 4_LNG &amp; LPG rework" xfId="7089"/>
    <cellStyle name="Normal 2 2 5" xfId="397"/>
    <cellStyle name="Normal 2 2 5 10" xfId="3569"/>
    <cellStyle name="Normal 2 2 5 10 2" xfId="12209"/>
    <cellStyle name="Normal 2 2 5 10 3" xfId="17989"/>
    <cellStyle name="Normal 2 2 5 11" xfId="9237"/>
    <cellStyle name="Normal 2 2 5 12" xfId="17988"/>
    <cellStyle name="Normal 2 2 5 2" xfId="398"/>
    <cellStyle name="Normal 2 2 5 2 10" xfId="17990"/>
    <cellStyle name="Normal 2 2 5 2 2" xfId="399"/>
    <cellStyle name="Normal 2 2 5 2 2 2" xfId="3570"/>
    <cellStyle name="Normal 2 2 5 2 2 2 2" xfId="12210"/>
    <cellStyle name="Normal 2 2 5 2 2 2 3" xfId="17992"/>
    <cellStyle name="Normal 2 2 5 2 2 3" xfId="3571"/>
    <cellStyle name="Normal 2 2 5 2 2 3 2" xfId="12211"/>
    <cellStyle name="Normal 2 2 5 2 2 3 3" xfId="17993"/>
    <cellStyle name="Normal 2 2 5 2 2 4" xfId="3572"/>
    <cellStyle name="Normal 2 2 5 2 2 4 2" xfId="12212"/>
    <cellStyle name="Normal 2 2 5 2 2 4 3" xfId="17994"/>
    <cellStyle name="Normal 2 2 5 2 2 5" xfId="3573"/>
    <cellStyle name="Normal 2 2 5 2 2 5 2" xfId="12213"/>
    <cellStyle name="Normal 2 2 5 2 2 5 3" xfId="17995"/>
    <cellStyle name="Normal 2 2 5 2 2 6" xfId="3574"/>
    <cellStyle name="Normal 2 2 5 2 2 6 2" xfId="12214"/>
    <cellStyle name="Normal 2 2 5 2 2 6 3" xfId="17996"/>
    <cellStyle name="Normal 2 2 5 2 2 7" xfId="9239"/>
    <cellStyle name="Normal 2 2 5 2 2 8" xfId="17991"/>
    <cellStyle name="Normal 2 2 5 2 2_LNG &amp; LPG rework" xfId="7105"/>
    <cellStyle name="Normal 2 2 5 2 3" xfId="3575"/>
    <cellStyle name="Normal 2 2 5 2 3 2" xfId="3576"/>
    <cellStyle name="Normal 2 2 5 2 3 2 2" xfId="12216"/>
    <cellStyle name="Normal 2 2 5 2 3 2 3" xfId="17998"/>
    <cellStyle name="Normal 2 2 5 2 3 3" xfId="3577"/>
    <cellStyle name="Normal 2 2 5 2 3 3 2" xfId="12217"/>
    <cellStyle name="Normal 2 2 5 2 3 3 3" xfId="17999"/>
    <cellStyle name="Normal 2 2 5 2 3 4" xfId="3578"/>
    <cellStyle name="Normal 2 2 5 2 3 4 2" xfId="12218"/>
    <cellStyle name="Normal 2 2 5 2 3 4 3" xfId="18000"/>
    <cellStyle name="Normal 2 2 5 2 3 5" xfId="3579"/>
    <cellStyle name="Normal 2 2 5 2 3 5 2" xfId="12219"/>
    <cellStyle name="Normal 2 2 5 2 3 5 3" xfId="18001"/>
    <cellStyle name="Normal 2 2 5 2 3 6" xfId="12215"/>
    <cellStyle name="Normal 2 2 5 2 3 7" xfId="17997"/>
    <cellStyle name="Normal 2 2 5 2 3_LNG &amp; LPG rework" xfId="7106"/>
    <cellStyle name="Normal 2 2 5 2 4" xfId="3580"/>
    <cellStyle name="Normal 2 2 5 2 4 2" xfId="12220"/>
    <cellStyle name="Normal 2 2 5 2 4 3" xfId="18002"/>
    <cellStyle name="Normal 2 2 5 2 5" xfId="3581"/>
    <cellStyle name="Normal 2 2 5 2 5 2" xfId="12221"/>
    <cellStyle name="Normal 2 2 5 2 5 3" xfId="18003"/>
    <cellStyle name="Normal 2 2 5 2 6" xfId="3582"/>
    <cellStyle name="Normal 2 2 5 2 6 2" xfId="12222"/>
    <cellStyle name="Normal 2 2 5 2 6 3" xfId="18004"/>
    <cellStyle name="Normal 2 2 5 2 7" xfId="3583"/>
    <cellStyle name="Normal 2 2 5 2 7 2" xfId="12223"/>
    <cellStyle name="Normal 2 2 5 2 7 3" xfId="18005"/>
    <cellStyle name="Normal 2 2 5 2 8" xfId="3584"/>
    <cellStyle name="Normal 2 2 5 2 8 2" xfId="12224"/>
    <cellStyle name="Normal 2 2 5 2 8 3" xfId="18006"/>
    <cellStyle name="Normal 2 2 5 2 9" xfId="9238"/>
    <cellStyle name="Normal 2 2 5 2_LNG &amp; LPG rework" xfId="7104"/>
    <cellStyle name="Normal 2 2 5 3" xfId="400"/>
    <cellStyle name="Normal 2 2 5 3 2" xfId="3585"/>
    <cellStyle name="Normal 2 2 5 3 2 2" xfId="12225"/>
    <cellStyle name="Normal 2 2 5 3 2 3" xfId="18008"/>
    <cellStyle name="Normal 2 2 5 3 3" xfId="3586"/>
    <cellStyle name="Normal 2 2 5 3 3 2" xfId="12226"/>
    <cellStyle name="Normal 2 2 5 3 3 3" xfId="18009"/>
    <cellStyle name="Normal 2 2 5 3 4" xfId="3587"/>
    <cellStyle name="Normal 2 2 5 3 4 2" xfId="12227"/>
    <cellStyle name="Normal 2 2 5 3 4 3" xfId="18010"/>
    <cellStyle name="Normal 2 2 5 3 5" xfId="3588"/>
    <cellStyle name="Normal 2 2 5 3 5 2" xfId="12228"/>
    <cellStyle name="Normal 2 2 5 3 5 3" xfId="18011"/>
    <cellStyle name="Normal 2 2 5 3 6" xfId="3589"/>
    <cellStyle name="Normal 2 2 5 3 6 2" xfId="12229"/>
    <cellStyle name="Normal 2 2 5 3 6 3" xfId="18012"/>
    <cellStyle name="Normal 2 2 5 3 7" xfId="9240"/>
    <cellStyle name="Normal 2 2 5 3 8" xfId="18007"/>
    <cellStyle name="Normal 2 2 5 3_LNG &amp; LPG rework" xfId="7107"/>
    <cellStyle name="Normal 2 2 5 4" xfId="3590"/>
    <cellStyle name="Normal 2 2 5 4 2" xfId="3591"/>
    <cellStyle name="Normal 2 2 5 4 2 2" xfId="12231"/>
    <cellStyle name="Normal 2 2 5 4 2 3" xfId="18014"/>
    <cellStyle name="Normal 2 2 5 4 3" xfId="3592"/>
    <cellStyle name="Normal 2 2 5 4 3 2" xfId="12232"/>
    <cellStyle name="Normal 2 2 5 4 3 3" xfId="18015"/>
    <cellStyle name="Normal 2 2 5 4 4" xfId="3593"/>
    <cellStyle name="Normal 2 2 5 4 4 2" xfId="12233"/>
    <cellStyle name="Normal 2 2 5 4 4 3" xfId="18016"/>
    <cellStyle name="Normal 2 2 5 4 5" xfId="3594"/>
    <cellStyle name="Normal 2 2 5 4 5 2" xfId="12234"/>
    <cellStyle name="Normal 2 2 5 4 5 3" xfId="18017"/>
    <cellStyle name="Normal 2 2 5 4 6" xfId="12230"/>
    <cellStyle name="Normal 2 2 5 4 7" xfId="18013"/>
    <cellStyle name="Normal 2 2 5 4_LNG &amp; LPG rework" xfId="7108"/>
    <cellStyle name="Normal 2 2 5 5" xfId="3595"/>
    <cellStyle name="Normal 2 2 5 5 2" xfId="3596"/>
    <cellStyle name="Normal 2 2 5 5 2 2" xfId="12236"/>
    <cellStyle name="Normal 2 2 5 5 2 3" xfId="18019"/>
    <cellStyle name="Normal 2 2 5 5 3" xfId="3597"/>
    <cellStyle name="Normal 2 2 5 5 3 2" xfId="12237"/>
    <cellStyle name="Normal 2 2 5 5 3 3" xfId="18020"/>
    <cellStyle name="Normal 2 2 5 5 4" xfId="3598"/>
    <cellStyle name="Normal 2 2 5 5 4 2" xfId="12238"/>
    <cellStyle name="Normal 2 2 5 5 4 3" xfId="18021"/>
    <cellStyle name="Normal 2 2 5 5 5" xfId="3599"/>
    <cellStyle name="Normal 2 2 5 5 5 2" xfId="12239"/>
    <cellStyle name="Normal 2 2 5 5 5 3" xfId="18022"/>
    <cellStyle name="Normal 2 2 5 5 6" xfId="12235"/>
    <cellStyle name="Normal 2 2 5 5 7" xfId="18018"/>
    <cellStyle name="Normal 2 2 5 5_LNG &amp; LPG rework" xfId="7109"/>
    <cellStyle name="Normal 2 2 5 6" xfId="3600"/>
    <cellStyle name="Normal 2 2 5 6 2" xfId="12240"/>
    <cellStyle name="Normal 2 2 5 6 3" xfId="18023"/>
    <cellStyle name="Normal 2 2 5 7" xfId="3601"/>
    <cellStyle name="Normal 2 2 5 7 2" xfId="12241"/>
    <cellStyle name="Normal 2 2 5 7 3" xfId="18024"/>
    <cellStyle name="Normal 2 2 5 8" xfId="3602"/>
    <cellStyle name="Normal 2 2 5 8 2" xfId="12242"/>
    <cellStyle name="Normal 2 2 5 8 3" xfId="18025"/>
    <cellStyle name="Normal 2 2 5 9" xfId="3603"/>
    <cellStyle name="Normal 2 2 5 9 2" xfId="12243"/>
    <cellStyle name="Normal 2 2 5 9 3" xfId="18026"/>
    <cellStyle name="Normal 2 2 5_LNG &amp; LPG rework" xfId="7103"/>
    <cellStyle name="Normal 2 2 6" xfId="401"/>
    <cellStyle name="Normal 2 2 6 10" xfId="18027"/>
    <cellStyle name="Normal 2 2 6 2" xfId="402"/>
    <cellStyle name="Normal 2 2 6 2 2" xfId="3604"/>
    <cellStyle name="Normal 2 2 6 2 2 2" xfId="12244"/>
    <cellStyle name="Normal 2 2 6 2 2 3" xfId="18029"/>
    <cellStyle name="Normal 2 2 6 2 3" xfId="3605"/>
    <cellStyle name="Normal 2 2 6 2 3 2" xfId="12245"/>
    <cellStyle name="Normal 2 2 6 2 3 3" xfId="18030"/>
    <cellStyle name="Normal 2 2 6 2 4" xfId="3606"/>
    <cellStyle name="Normal 2 2 6 2 4 2" xfId="12246"/>
    <cellStyle name="Normal 2 2 6 2 4 3" xfId="18031"/>
    <cellStyle name="Normal 2 2 6 2 5" xfId="3607"/>
    <cellStyle name="Normal 2 2 6 2 5 2" xfId="12247"/>
    <cellStyle name="Normal 2 2 6 2 5 3" xfId="18032"/>
    <cellStyle name="Normal 2 2 6 2 6" xfId="3608"/>
    <cellStyle name="Normal 2 2 6 2 6 2" xfId="12248"/>
    <cellStyle name="Normal 2 2 6 2 6 3" xfId="18033"/>
    <cellStyle name="Normal 2 2 6 2 7" xfId="9242"/>
    <cellStyle name="Normal 2 2 6 2 8" xfId="18028"/>
    <cellStyle name="Normal 2 2 6 2_LNG &amp; LPG rework" xfId="7111"/>
    <cellStyle name="Normal 2 2 6 3" xfId="3609"/>
    <cellStyle name="Normal 2 2 6 3 2" xfId="3610"/>
    <cellStyle name="Normal 2 2 6 3 2 2" xfId="12250"/>
    <cellStyle name="Normal 2 2 6 3 2 3" xfId="18035"/>
    <cellStyle name="Normal 2 2 6 3 3" xfId="3611"/>
    <cellStyle name="Normal 2 2 6 3 3 2" xfId="12251"/>
    <cellStyle name="Normal 2 2 6 3 3 3" xfId="18036"/>
    <cellStyle name="Normal 2 2 6 3 4" xfId="3612"/>
    <cellStyle name="Normal 2 2 6 3 4 2" xfId="12252"/>
    <cellStyle name="Normal 2 2 6 3 4 3" xfId="18037"/>
    <cellStyle name="Normal 2 2 6 3 5" xfId="3613"/>
    <cellStyle name="Normal 2 2 6 3 5 2" xfId="12253"/>
    <cellStyle name="Normal 2 2 6 3 5 3" xfId="18038"/>
    <cellStyle name="Normal 2 2 6 3 6" xfId="12249"/>
    <cellStyle name="Normal 2 2 6 3 7" xfId="18034"/>
    <cellStyle name="Normal 2 2 6 3_LNG &amp; LPG rework" xfId="7112"/>
    <cellStyle name="Normal 2 2 6 4" xfId="3614"/>
    <cellStyle name="Normal 2 2 6 4 2" xfId="12254"/>
    <cellStyle name="Normal 2 2 6 4 3" xfId="18039"/>
    <cellStyle name="Normal 2 2 6 5" xfId="3615"/>
    <cellStyle name="Normal 2 2 6 5 2" xfId="12255"/>
    <cellStyle name="Normal 2 2 6 5 3" xfId="18040"/>
    <cellStyle name="Normal 2 2 6 6" xfId="3616"/>
    <cellStyle name="Normal 2 2 6 6 2" xfId="12256"/>
    <cellStyle name="Normal 2 2 6 6 3" xfId="18041"/>
    <cellStyle name="Normal 2 2 6 7" xfId="3617"/>
    <cellStyle name="Normal 2 2 6 7 2" xfId="12257"/>
    <cellStyle name="Normal 2 2 6 7 3" xfId="18042"/>
    <cellStyle name="Normal 2 2 6 8" xfId="3618"/>
    <cellStyle name="Normal 2 2 6 8 2" xfId="12258"/>
    <cellStyle name="Normal 2 2 6 8 3" xfId="18043"/>
    <cellStyle name="Normal 2 2 6 9" xfId="9241"/>
    <cellStyle name="Normal 2 2 6_LNG &amp; LPG rework" xfId="7110"/>
    <cellStyle name="Normal 2 2 7" xfId="403"/>
    <cellStyle name="Normal 2 2 7 2" xfId="3619"/>
    <cellStyle name="Normal 2 2 7 2 2" xfId="12259"/>
    <cellStyle name="Normal 2 2 7 2 3" xfId="18045"/>
    <cellStyle name="Normal 2 2 7 3" xfId="3620"/>
    <cellStyle name="Normal 2 2 7 3 2" xfId="12260"/>
    <cellStyle name="Normal 2 2 7 3 3" xfId="18046"/>
    <cellStyle name="Normal 2 2 7 4" xfId="9243"/>
    <cellStyle name="Normal 2 2 7 5" xfId="18044"/>
    <cellStyle name="Normal 2 2 7_LNG &amp; LPG rework" xfId="7113"/>
    <cellStyle name="Normal 2 2 8" xfId="371"/>
    <cellStyle name="Normal 2 2 8 2" xfId="3621"/>
    <cellStyle name="Normal 2 2 8 2 2" xfId="12261"/>
    <cellStyle name="Normal 2 2 8 2 3" xfId="18048"/>
    <cellStyle name="Normal 2 2 8 3" xfId="3622"/>
    <cellStyle name="Normal 2 2 8 3 2" xfId="12262"/>
    <cellStyle name="Normal 2 2 8 3 3" xfId="18049"/>
    <cellStyle name="Normal 2 2 8 4" xfId="3623"/>
    <cellStyle name="Normal 2 2 8 4 2" xfId="12263"/>
    <cellStyle name="Normal 2 2 8 4 3" xfId="18050"/>
    <cellStyle name="Normal 2 2 8 5" xfId="3624"/>
    <cellStyle name="Normal 2 2 8 5 2" xfId="12264"/>
    <cellStyle name="Normal 2 2 8 5 3" xfId="18051"/>
    <cellStyle name="Normal 2 2 8 6" xfId="9212"/>
    <cellStyle name="Normal 2 2 8 7" xfId="18047"/>
    <cellStyle name="Normal 2 2 8_LNG &amp; LPG rework" xfId="7114"/>
    <cellStyle name="Normal 2 2 9" xfId="3625"/>
    <cellStyle name="Normal 2 2 9 2" xfId="3626"/>
    <cellStyle name="Normal 2 2 9 2 2" xfId="12266"/>
    <cellStyle name="Normal 2 2 9 2 3" xfId="18053"/>
    <cellStyle name="Normal 2 2 9 3" xfId="3627"/>
    <cellStyle name="Normal 2 2 9 3 2" xfId="12267"/>
    <cellStyle name="Normal 2 2 9 3 3" xfId="18054"/>
    <cellStyle name="Normal 2 2 9 4" xfId="3628"/>
    <cellStyle name="Normal 2 2 9 4 2" xfId="12268"/>
    <cellStyle name="Normal 2 2 9 4 3" xfId="18055"/>
    <cellStyle name="Normal 2 2 9 5" xfId="3629"/>
    <cellStyle name="Normal 2 2 9 5 2" xfId="12269"/>
    <cellStyle name="Normal 2 2 9 5 3" xfId="18056"/>
    <cellStyle name="Normal 2 2 9 6" xfId="12265"/>
    <cellStyle name="Normal 2 2 9 7" xfId="18052"/>
    <cellStyle name="Normal 2 2 9_LNG &amp; LPG rework" xfId="7115"/>
    <cellStyle name="Normal 2 2_LNG &amp; LPG rework" xfId="7060"/>
    <cellStyle name="Normal 2 3" xfId="404"/>
    <cellStyle name="Normal 2 3 2" xfId="3630"/>
    <cellStyle name="Normal 2 3 3" xfId="3631"/>
    <cellStyle name="Normal 2 3 4" xfId="39183"/>
    <cellStyle name="Normal 2 4" xfId="405"/>
    <cellStyle name="Normal 2 4 10" xfId="3632"/>
    <cellStyle name="Normal 2 4 10 2" xfId="12270"/>
    <cellStyle name="Normal 2 4 10 3" xfId="18057"/>
    <cellStyle name="Normal 2 4 11" xfId="3633"/>
    <cellStyle name="Normal 2 4 11 2" xfId="12271"/>
    <cellStyle name="Normal 2 4 11 3" xfId="18058"/>
    <cellStyle name="Normal 2 4 12" xfId="3634"/>
    <cellStyle name="Normal 2 4 12 2" xfId="12272"/>
    <cellStyle name="Normal 2 4 12 3" xfId="18059"/>
    <cellStyle name="Normal 2 4 13" xfId="7827"/>
    <cellStyle name="Normal 2 4 2" xfId="406"/>
    <cellStyle name="Normal 2 4 2 2" xfId="407"/>
    <cellStyle name="Normal 2 4 2 2 10" xfId="3635"/>
    <cellStyle name="Normal 2 4 2 2 10 2" xfId="12273"/>
    <cellStyle name="Normal 2 4 2 2 10 3" xfId="18062"/>
    <cellStyle name="Normal 2 4 2 2 11" xfId="3636"/>
    <cellStyle name="Normal 2 4 2 2 11 2" xfId="12274"/>
    <cellStyle name="Normal 2 4 2 2 11 3" xfId="18063"/>
    <cellStyle name="Normal 2 4 2 2 12" xfId="9245"/>
    <cellStyle name="Normal 2 4 2 2 13" xfId="18061"/>
    <cellStyle name="Normal 2 4 2 2 2" xfId="408"/>
    <cellStyle name="Normal 2 4 2 2 2 10" xfId="3637"/>
    <cellStyle name="Normal 2 4 2 2 2 10 2" xfId="12275"/>
    <cellStyle name="Normal 2 4 2 2 2 10 3" xfId="18065"/>
    <cellStyle name="Normal 2 4 2 2 2 11" xfId="9246"/>
    <cellStyle name="Normal 2 4 2 2 2 12" xfId="18064"/>
    <cellStyle name="Normal 2 4 2 2 2 2" xfId="409"/>
    <cellStyle name="Normal 2 4 2 2 2 2 10" xfId="18066"/>
    <cellStyle name="Normal 2 4 2 2 2 2 2" xfId="410"/>
    <cellStyle name="Normal 2 4 2 2 2 2 2 2" xfId="3638"/>
    <cellStyle name="Normal 2 4 2 2 2 2 2 2 2" xfId="12276"/>
    <cellStyle name="Normal 2 4 2 2 2 2 2 2 3" xfId="18068"/>
    <cellStyle name="Normal 2 4 2 2 2 2 2 3" xfId="3639"/>
    <cellStyle name="Normal 2 4 2 2 2 2 2 3 2" xfId="12277"/>
    <cellStyle name="Normal 2 4 2 2 2 2 2 3 3" xfId="18069"/>
    <cellStyle name="Normal 2 4 2 2 2 2 2 4" xfId="3640"/>
    <cellStyle name="Normal 2 4 2 2 2 2 2 4 2" xfId="12278"/>
    <cellStyle name="Normal 2 4 2 2 2 2 2 4 3" xfId="18070"/>
    <cellStyle name="Normal 2 4 2 2 2 2 2 5" xfId="3641"/>
    <cellStyle name="Normal 2 4 2 2 2 2 2 5 2" xfId="12279"/>
    <cellStyle name="Normal 2 4 2 2 2 2 2 5 3" xfId="18071"/>
    <cellStyle name="Normal 2 4 2 2 2 2 2 6" xfId="3642"/>
    <cellStyle name="Normal 2 4 2 2 2 2 2 6 2" xfId="12280"/>
    <cellStyle name="Normal 2 4 2 2 2 2 2 6 3" xfId="18072"/>
    <cellStyle name="Normal 2 4 2 2 2 2 2 7" xfId="9248"/>
    <cellStyle name="Normal 2 4 2 2 2 2 2 8" xfId="18067"/>
    <cellStyle name="Normal 2 4 2 2 2 2 2_LNG &amp; LPG rework" xfId="7120"/>
    <cellStyle name="Normal 2 4 2 2 2 2 3" xfId="3643"/>
    <cellStyle name="Normal 2 4 2 2 2 2 3 2" xfId="3644"/>
    <cellStyle name="Normal 2 4 2 2 2 2 3 2 2" xfId="12282"/>
    <cellStyle name="Normal 2 4 2 2 2 2 3 2 3" xfId="18074"/>
    <cellStyle name="Normal 2 4 2 2 2 2 3 3" xfId="3645"/>
    <cellStyle name="Normal 2 4 2 2 2 2 3 3 2" xfId="12283"/>
    <cellStyle name="Normal 2 4 2 2 2 2 3 3 3" xfId="18075"/>
    <cellStyle name="Normal 2 4 2 2 2 2 3 4" xfId="3646"/>
    <cellStyle name="Normal 2 4 2 2 2 2 3 4 2" xfId="12284"/>
    <cellStyle name="Normal 2 4 2 2 2 2 3 4 3" xfId="18076"/>
    <cellStyle name="Normal 2 4 2 2 2 2 3 5" xfId="3647"/>
    <cellStyle name="Normal 2 4 2 2 2 2 3 5 2" xfId="12285"/>
    <cellStyle name="Normal 2 4 2 2 2 2 3 5 3" xfId="18077"/>
    <cellStyle name="Normal 2 4 2 2 2 2 3 6" xfId="12281"/>
    <cellStyle name="Normal 2 4 2 2 2 2 3 7" xfId="18073"/>
    <cellStyle name="Normal 2 4 2 2 2 2 3_LNG &amp; LPG rework" xfId="7121"/>
    <cellStyle name="Normal 2 4 2 2 2 2 4" xfId="3648"/>
    <cellStyle name="Normal 2 4 2 2 2 2 4 2" xfId="12286"/>
    <cellStyle name="Normal 2 4 2 2 2 2 4 3" xfId="18078"/>
    <cellStyle name="Normal 2 4 2 2 2 2 5" xfId="3649"/>
    <cellStyle name="Normal 2 4 2 2 2 2 5 2" xfId="12287"/>
    <cellStyle name="Normal 2 4 2 2 2 2 5 3" xfId="18079"/>
    <cellStyle name="Normal 2 4 2 2 2 2 6" xfId="3650"/>
    <cellStyle name="Normal 2 4 2 2 2 2 6 2" xfId="12288"/>
    <cellStyle name="Normal 2 4 2 2 2 2 6 3" xfId="18080"/>
    <cellStyle name="Normal 2 4 2 2 2 2 7" xfId="3651"/>
    <cellStyle name="Normal 2 4 2 2 2 2 7 2" xfId="12289"/>
    <cellStyle name="Normal 2 4 2 2 2 2 7 3" xfId="18081"/>
    <cellStyle name="Normal 2 4 2 2 2 2 8" xfId="3652"/>
    <cellStyle name="Normal 2 4 2 2 2 2 8 2" xfId="12290"/>
    <cellStyle name="Normal 2 4 2 2 2 2 8 3" xfId="18082"/>
    <cellStyle name="Normal 2 4 2 2 2 2 9" xfId="9247"/>
    <cellStyle name="Normal 2 4 2 2 2 2_LNG &amp; LPG rework" xfId="7119"/>
    <cellStyle name="Normal 2 4 2 2 2 3" xfId="411"/>
    <cellStyle name="Normal 2 4 2 2 2 3 2" xfId="3653"/>
    <cellStyle name="Normal 2 4 2 2 2 3 2 2" xfId="12291"/>
    <cellStyle name="Normal 2 4 2 2 2 3 2 3" xfId="18084"/>
    <cellStyle name="Normal 2 4 2 2 2 3 3" xfId="3654"/>
    <cellStyle name="Normal 2 4 2 2 2 3 3 2" xfId="12292"/>
    <cellStyle name="Normal 2 4 2 2 2 3 3 3" xfId="18085"/>
    <cellStyle name="Normal 2 4 2 2 2 3 4" xfId="3655"/>
    <cellStyle name="Normal 2 4 2 2 2 3 4 2" xfId="12293"/>
    <cellStyle name="Normal 2 4 2 2 2 3 4 3" xfId="18086"/>
    <cellStyle name="Normal 2 4 2 2 2 3 5" xfId="3656"/>
    <cellStyle name="Normal 2 4 2 2 2 3 5 2" xfId="12294"/>
    <cellStyle name="Normal 2 4 2 2 2 3 5 3" xfId="18087"/>
    <cellStyle name="Normal 2 4 2 2 2 3 6" xfId="3657"/>
    <cellStyle name="Normal 2 4 2 2 2 3 6 2" xfId="12295"/>
    <cellStyle name="Normal 2 4 2 2 2 3 6 3" xfId="18088"/>
    <cellStyle name="Normal 2 4 2 2 2 3 7" xfId="9249"/>
    <cellStyle name="Normal 2 4 2 2 2 3 8" xfId="18083"/>
    <cellStyle name="Normal 2 4 2 2 2 3_LNG &amp; LPG rework" xfId="7122"/>
    <cellStyle name="Normal 2 4 2 2 2 4" xfId="3658"/>
    <cellStyle name="Normal 2 4 2 2 2 4 2" xfId="3659"/>
    <cellStyle name="Normal 2 4 2 2 2 4 2 2" xfId="12297"/>
    <cellStyle name="Normal 2 4 2 2 2 4 2 3" xfId="18090"/>
    <cellStyle name="Normal 2 4 2 2 2 4 3" xfId="3660"/>
    <cellStyle name="Normal 2 4 2 2 2 4 3 2" xfId="12298"/>
    <cellStyle name="Normal 2 4 2 2 2 4 3 3" xfId="18091"/>
    <cellStyle name="Normal 2 4 2 2 2 4 4" xfId="3661"/>
    <cellStyle name="Normal 2 4 2 2 2 4 4 2" xfId="12299"/>
    <cellStyle name="Normal 2 4 2 2 2 4 4 3" xfId="18092"/>
    <cellStyle name="Normal 2 4 2 2 2 4 5" xfId="3662"/>
    <cellStyle name="Normal 2 4 2 2 2 4 5 2" xfId="12300"/>
    <cellStyle name="Normal 2 4 2 2 2 4 5 3" xfId="18093"/>
    <cellStyle name="Normal 2 4 2 2 2 4 6" xfId="12296"/>
    <cellStyle name="Normal 2 4 2 2 2 4 7" xfId="18089"/>
    <cellStyle name="Normal 2 4 2 2 2 4_LNG &amp; LPG rework" xfId="7123"/>
    <cellStyle name="Normal 2 4 2 2 2 5" xfId="3663"/>
    <cellStyle name="Normal 2 4 2 2 2 5 2" xfId="3664"/>
    <cellStyle name="Normal 2 4 2 2 2 5 2 2" xfId="12302"/>
    <cellStyle name="Normal 2 4 2 2 2 5 2 3" xfId="18095"/>
    <cellStyle name="Normal 2 4 2 2 2 5 3" xfId="3665"/>
    <cellStyle name="Normal 2 4 2 2 2 5 3 2" xfId="12303"/>
    <cellStyle name="Normal 2 4 2 2 2 5 3 3" xfId="18096"/>
    <cellStyle name="Normal 2 4 2 2 2 5 4" xfId="3666"/>
    <cellStyle name="Normal 2 4 2 2 2 5 4 2" xfId="12304"/>
    <cellStyle name="Normal 2 4 2 2 2 5 4 3" xfId="18097"/>
    <cellStyle name="Normal 2 4 2 2 2 5 5" xfId="3667"/>
    <cellStyle name="Normal 2 4 2 2 2 5 5 2" xfId="12305"/>
    <cellStyle name="Normal 2 4 2 2 2 5 5 3" xfId="18098"/>
    <cellStyle name="Normal 2 4 2 2 2 5 6" xfId="12301"/>
    <cellStyle name="Normal 2 4 2 2 2 5 7" xfId="18094"/>
    <cellStyle name="Normal 2 4 2 2 2 5_LNG &amp; LPG rework" xfId="7124"/>
    <cellStyle name="Normal 2 4 2 2 2 6" xfId="3668"/>
    <cellStyle name="Normal 2 4 2 2 2 6 2" xfId="12306"/>
    <cellStyle name="Normal 2 4 2 2 2 6 3" xfId="18099"/>
    <cellStyle name="Normal 2 4 2 2 2 7" xfId="3669"/>
    <cellStyle name="Normal 2 4 2 2 2 7 2" xfId="12307"/>
    <cellStyle name="Normal 2 4 2 2 2 7 3" xfId="18100"/>
    <cellStyle name="Normal 2 4 2 2 2 8" xfId="3670"/>
    <cellStyle name="Normal 2 4 2 2 2 8 2" xfId="12308"/>
    <cellStyle name="Normal 2 4 2 2 2 8 3" xfId="18101"/>
    <cellStyle name="Normal 2 4 2 2 2 9" xfId="3671"/>
    <cellStyle name="Normal 2 4 2 2 2 9 2" xfId="12309"/>
    <cellStyle name="Normal 2 4 2 2 2 9 3" xfId="18102"/>
    <cellStyle name="Normal 2 4 2 2 2_LNG &amp; LPG rework" xfId="7118"/>
    <cellStyle name="Normal 2 4 2 2 3" xfId="412"/>
    <cellStyle name="Normal 2 4 2 2 3 10" xfId="18103"/>
    <cellStyle name="Normal 2 4 2 2 3 2" xfId="413"/>
    <cellStyle name="Normal 2 4 2 2 3 2 2" xfId="3672"/>
    <cellStyle name="Normal 2 4 2 2 3 2 2 2" xfId="12310"/>
    <cellStyle name="Normal 2 4 2 2 3 2 2 3" xfId="18105"/>
    <cellStyle name="Normal 2 4 2 2 3 2 3" xfId="3673"/>
    <cellStyle name="Normal 2 4 2 2 3 2 3 2" xfId="12311"/>
    <cellStyle name="Normal 2 4 2 2 3 2 3 3" xfId="18106"/>
    <cellStyle name="Normal 2 4 2 2 3 2 4" xfId="3674"/>
    <cellStyle name="Normal 2 4 2 2 3 2 4 2" xfId="12312"/>
    <cellStyle name="Normal 2 4 2 2 3 2 4 3" xfId="18107"/>
    <cellStyle name="Normal 2 4 2 2 3 2 5" xfId="3675"/>
    <cellStyle name="Normal 2 4 2 2 3 2 5 2" xfId="12313"/>
    <cellStyle name="Normal 2 4 2 2 3 2 5 3" xfId="18108"/>
    <cellStyle name="Normal 2 4 2 2 3 2 6" xfId="3676"/>
    <cellStyle name="Normal 2 4 2 2 3 2 6 2" xfId="12314"/>
    <cellStyle name="Normal 2 4 2 2 3 2 6 3" xfId="18109"/>
    <cellStyle name="Normal 2 4 2 2 3 2 7" xfId="9251"/>
    <cellStyle name="Normal 2 4 2 2 3 2 8" xfId="18104"/>
    <cellStyle name="Normal 2 4 2 2 3 2_LNG &amp; LPG rework" xfId="7126"/>
    <cellStyle name="Normal 2 4 2 2 3 3" xfId="3677"/>
    <cellStyle name="Normal 2 4 2 2 3 3 2" xfId="3678"/>
    <cellStyle name="Normal 2 4 2 2 3 3 2 2" xfId="12316"/>
    <cellStyle name="Normal 2 4 2 2 3 3 2 3" xfId="18111"/>
    <cellStyle name="Normal 2 4 2 2 3 3 3" xfId="3679"/>
    <cellStyle name="Normal 2 4 2 2 3 3 3 2" xfId="12317"/>
    <cellStyle name="Normal 2 4 2 2 3 3 3 3" xfId="18112"/>
    <cellStyle name="Normal 2 4 2 2 3 3 4" xfId="3680"/>
    <cellStyle name="Normal 2 4 2 2 3 3 4 2" xfId="12318"/>
    <cellStyle name="Normal 2 4 2 2 3 3 4 3" xfId="18113"/>
    <cellStyle name="Normal 2 4 2 2 3 3 5" xfId="3681"/>
    <cellStyle name="Normal 2 4 2 2 3 3 5 2" xfId="12319"/>
    <cellStyle name="Normal 2 4 2 2 3 3 5 3" xfId="18114"/>
    <cellStyle name="Normal 2 4 2 2 3 3 6" xfId="12315"/>
    <cellStyle name="Normal 2 4 2 2 3 3 7" xfId="18110"/>
    <cellStyle name="Normal 2 4 2 2 3 3_LNG &amp; LPG rework" xfId="7127"/>
    <cellStyle name="Normal 2 4 2 2 3 4" xfId="3682"/>
    <cellStyle name="Normal 2 4 2 2 3 4 2" xfId="12320"/>
    <cellStyle name="Normal 2 4 2 2 3 4 3" xfId="18115"/>
    <cellStyle name="Normal 2 4 2 2 3 5" xfId="3683"/>
    <cellStyle name="Normal 2 4 2 2 3 5 2" xfId="12321"/>
    <cellStyle name="Normal 2 4 2 2 3 5 3" xfId="18116"/>
    <cellStyle name="Normal 2 4 2 2 3 6" xfId="3684"/>
    <cellStyle name="Normal 2 4 2 2 3 6 2" xfId="12322"/>
    <cellStyle name="Normal 2 4 2 2 3 6 3" xfId="18117"/>
    <cellStyle name="Normal 2 4 2 2 3 7" xfId="3685"/>
    <cellStyle name="Normal 2 4 2 2 3 7 2" xfId="12323"/>
    <cellStyle name="Normal 2 4 2 2 3 7 3" xfId="18118"/>
    <cellStyle name="Normal 2 4 2 2 3 8" xfId="3686"/>
    <cellStyle name="Normal 2 4 2 2 3 8 2" xfId="12324"/>
    <cellStyle name="Normal 2 4 2 2 3 8 3" xfId="18119"/>
    <cellStyle name="Normal 2 4 2 2 3 9" xfId="9250"/>
    <cellStyle name="Normal 2 4 2 2 3_LNG &amp; LPG rework" xfId="7125"/>
    <cellStyle name="Normal 2 4 2 2 4" xfId="414"/>
    <cellStyle name="Normal 2 4 2 2 4 2" xfId="3687"/>
    <cellStyle name="Normal 2 4 2 2 4 2 2" xfId="12325"/>
    <cellStyle name="Normal 2 4 2 2 4 2 3" xfId="18121"/>
    <cellStyle name="Normal 2 4 2 2 4 3" xfId="3688"/>
    <cellStyle name="Normal 2 4 2 2 4 3 2" xfId="12326"/>
    <cellStyle name="Normal 2 4 2 2 4 3 3" xfId="18122"/>
    <cellStyle name="Normal 2 4 2 2 4 4" xfId="3689"/>
    <cellStyle name="Normal 2 4 2 2 4 4 2" xfId="12327"/>
    <cellStyle name="Normal 2 4 2 2 4 4 3" xfId="18123"/>
    <cellStyle name="Normal 2 4 2 2 4 5" xfId="3690"/>
    <cellStyle name="Normal 2 4 2 2 4 5 2" xfId="12328"/>
    <cellStyle name="Normal 2 4 2 2 4 5 3" xfId="18124"/>
    <cellStyle name="Normal 2 4 2 2 4 6" xfId="3691"/>
    <cellStyle name="Normal 2 4 2 2 4 6 2" xfId="12329"/>
    <cellStyle name="Normal 2 4 2 2 4 6 3" xfId="18125"/>
    <cellStyle name="Normal 2 4 2 2 4 7" xfId="9252"/>
    <cellStyle name="Normal 2 4 2 2 4 8" xfId="18120"/>
    <cellStyle name="Normal 2 4 2 2 4_LNG &amp; LPG rework" xfId="7128"/>
    <cellStyle name="Normal 2 4 2 2 5" xfId="3692"/>
    <cellStyle name="Normal 2 4 2 2 5 2" xfId="3693"/>
    <cellStyle name="Normal 2 4 2 2 5 2 2" xfId="12331"/>
    <cellStyle name="Normal 2 4 2 2 5 2 3" xfId="18127"/>
    <cellStyle name="Normal 2 4 2 2 5 3" xfId="3694"/>
    <cellStyle name="Normal 2 4 2 2 5 3 2" xfId="12332"/>
    <cellStyle name="Normal 2 4 2 2 5 3 3" xfId="18128"/>
    <cellStyle name="Normal 2 4 2 2 5 4" xfId="3695"/>
    <cellStyle name="Normal 2 4 2 2 5 4 2" xfId="12333"/>
    <cellStyle name="Normal 2 4 2 2 5 4 3" xfId="18129"/>
    <cellStyle name="Normal 2 4 2 2 5 5" xfId="3696"/>
    <cellStyle name="Normal 2 4 2 2 5 5 2" xfId="12334"/>
    <cellStyle name="Normal 2 4 2 2 5 5 3" xfId="18130"/>
    <cellStyle name="Normal 2 4 2 2 5 6" xfId="12330"/>
    <cellStyle name="Normal 2 4 2 2 5 7" xfId="18126"/>
    <cellStyle name="Normal 2 4 2 2 5_LNG &amp; LPG rework" xfId="7129"/>
    <cellStyle name="Normal 2 4 2 2 6" xfId="3697"/>
    <cellStyle name="Normal 2 4 2 2 6 2" xfId="3698"/>
    <cellStyle name="Normal 2 4 2 2 6 2 2" xfId="12336"/>
    <cellStyle name="Normal 2 4 2 2 6 2 3" xfId="18132"/>
    <cellStyle name="Normal 2 4 2 2 6 3" xfId="3699"/>
    <cellStyle name="Normal 2 4 2 2 6 3 2" xfId="12337"/>
    <cellStyle name="Normal 2 4 2 2 6 3 3" xfId="18133"/>
    <cellStyle name="Normal 2 4 2 2 6 4" xfId="3700"/>
    <cellStyle name="Normal 2 4 2 2 6 4 2" xfId="12338"/>
    <cellStyle name="Normal 2 4 2 2 6 4 3" xfId="18134"/>
    <cellStyle name="Normal 2 4 2 2 6 5" xfId="3701"/>
    <cellStyle name="Normal 2 4 2 2 6 5 2" xfId="12339"/>
    <cellStyle name="Normal 2 4 2 2 6 5 3" xfId="18135"/>
    <cellStyle name="Normal 2 4 2 2 6 6" xfId="12335"/>
    <cellStyle name="Normal 2 4 2 2 6 7" xfId="18131"/>
    <cellStyle name="Normal 2 4 2 2 6_LNG &amp; LPG rework" xfId="7130"/>
    <cellStyle name="Normal 2 4 2 2 7" xfId="3702"/>
    <cellStyle name="Normal 2 4 2 2 7 2" xfId="12340"/>
    <cellStyle name="Normal 2 4 2 2 7 3" xfId="18136"/>
    <cellStyle name="Normal 2 4 2 2 8" xfId="3703"/>
    <cellStyle name="Normal 2 4 2 2 8 2" xfId="12341"/>
    <cellStyle name="Normal 2 4 2 2 8 3" xfId="18137"/>
    <cellStyle name="Normal 2 4 2 2 9" xfId="3704"/>
    <cellStyle name="Normal 2 4 2 2 9 2" xfId="12342"/>
    <cellStyle name="Normal 2 4 2 2 9 3" xfId="18138"/>
    <cellStyle name="Normal 2 4 2 2_LNG &amp; LPG rework" xfId="7117"/>
    <cellStyle name="Normal 2 4 2 3" xfId="415"/>
    <cellStyle name="Normal 2 4 2 3 10" xfId="3705"/>
    <cellStyle name="Normal 2 4 2 3 10 2" xfId="12343"/>
    <cellStyle name="Normal 2 4 2 3 10 3" xfId="18140"/>
    <cellStyle name="Normal 2 4 2 3 11" xfId="9253"/>
    <cellStyle name="Normal 2 4 2 3 12" xfId="18139"/>
    <cellStyle name="Normal 2 4 2 3 2" xfId="416"/>
    <cellStyle name="Normal 2 4 2 3 2 10" xfId="18141"/>
    <cellStyle name="Normal 2 4 2 3 2 2" xfId="417"/>
    <cellStyle name="Normal 2 4 2 3 2 2 2" xfId="3706"/>
    <cellStyle name="Normal 2 4 2 3 2 2 2 2" xfId="12344"/>
    <cellStyle name="Normal 2 4 2 3 2 2 2 3" xfId="18143"/>
    <cellStyle name="Normal 2 4 2 3 2 2 3" xfId="3707"/>
    <cellStyle name="Normal 2 4 2 3 2 2 3 2" xfId="12345"/>
    <cellStyle name="Normal 2 4 2 3 2 2 3 3" xfId="18144"/>
    <cellStyle name="Normal 2 4 2 3 2 2 4" xfId="3708"/>
    <cellStyle name="Normal 2 4 2 3 2 2 4 2" xfId="12346"/>
    <cellStyle name="Normal 2 4 2 3 2 2 4 3" xfId="18145"/>
    <cellStyle name="Normal 2 4 2 3 2 2 5" xfId="3709"/>
    <cellStyle name="Normal 2 4 2 3 2 2 5 2" xfId="12347"/>
    <cellStyle name="Normal 2 4 2 3 2 2 5 3" xfId="18146"/>
    <cellStyle name="Normal 2 4 2 3 2 2 6" xfId="3710"/>
    <cellStyle name="Normal 2 4 2 3 2 2 6 2" xfId="12348"/>
    <cellStyle name="Normal 2 4 2 3 2 2 6 3" xfId="18147"/>
    <cellStyle name="Normal 2 4 2 3 2 2 7" xfId="9255"/>
    <cellStyle name="Normal 2 4 2 3 2 2 8" xfId="18142"/>
    <cellStyle name="Normal 2 4 2 3 2 2_LNG &amp; LPG rework" xfId="7133"/>
    <cellStyle name="Normal 2 4 2 3 2 3" xfId="3711"/>
    <cellStyle name="Normal 2 4 2 3 2 3 2" xfId="3712"/>
    <cellStyle name="Normal 2 4 2 3 2 3 2 2" xfId="12350"/>
    <cellStyle name="Normal 2 4 2 3 2 3 2 3" xfId="18149"/>
    <cellStyle name="Normal 2 4 2 3 2 3 3" xfId="3713"/>
    <cellStyle name="Normal 2 4 2 3 2 3 3 2" xfId="12351"/>
    <cellStyle name="Normal 2 4 2 3 2 3 3 3" xfId="18150"/>
    <cellStyle name="Normal 2 4 2 3 2 3 4" xfId="3714"/>
    <cellStyle name="Normal 2 4 2 3 2 3 4 2" xfId="12352"/>
    <cellStyle name="Normal 2 4 2 3 2 3 4 3" xfId="18151"/>
    <cellStyle name="Normal 2 4 2 3 2 3 5" xfId="3715"/>
    <cellStyle name="Normal 2 4 2 3 2 3 5 2" xfId="12353"/>
    <cellStyle name="Normal 2 4 2 3 2 3 5 3" xfId="18152"/>
    <cellStyle name="Normal 2 4 2 3 2 3 6" xfId="12349"/>
    <cellStyle name="Normal 2 4 2 3 2 3 7" xfId="18148"/>
    <cellStyle name="Normal 2 4 2 3 2 3_LNG &amp; LPG rework" xfId="7134"/>
    <cellStyle name="Normal 2 4 2 3 2 4" xfId="3716"/>
    <cellStyle name="Normal 2 4 2 3 2 4 2" xfId="12354"/>
    <cellStyle name="Normal 2 4 2 3 2 4 3" xfId="18153"/>
    <cellStyle name="Normal 2 4 2 3 2 5" xfId="3717"/>
    <cellStyle name="Normal 2 4 2 3 2 5 2" xfId="12355"/>
    <cellStyle name="Normal 2 4 2 3 2 5 3" xfId="18154"/>
    <cellStyle name="Normal 2 4 2 3 2 6" xfId="3718"/>
    <cellStyle name="Normal 2 4 2 3 2 6 2" xfId="12356"/>
    <cellStyle name="Normal 2 4 2 3 2 6 3" xfId="18155"/>
    <cellStyle name="Normal 2 4 2 3 2 7" xfId="3719"/>
    <cellStyle name="Normal 2 4 2 3 2 7 2" xfId="12357"/>
    <cellStyle name="Normal 2 4 2 3 2 7 3" xfId="18156"/>
    <cellStyle name="Normal 2 4 2 3 2 8" xfId="3720"/>
    <cellStyle name="Normal 2 4 2 3 2 8 2" xfId="12358"/>
    <cellStyle name="Normal 2 4 2 3 2 8 3" xfId="18157"/>
    <cellStyle name="Normal 2 4 2 3 2 9" xfId="9254"/>
    <cellStyle name="Normal 2 4 2 3 2_LNG &amp; LPG rework" xfId="7132"/>
    <cellStyle name="Normal 2 4 2 3 3" xfId="418"/>
    <cellStyle name="Normal 2 4 2 3 3 2" xfId="3721"/>
    <cellStyle name="Normal 2 4 2 3 3 2 2" xfId="12359"/>
    <cellStyle name="Normal 2 4 2 3 3 2 3" xfId="18159"/>
    <cellStyle name="Normal 2 4 2 3 3 3" xfId="3722"/>
    <cellStyle name="Normal 2 4 2 3 3 3 2" xfId="12360"/>
    <cellStyle name="Normal 2 4 2 3 3 3 3" xfId="18160"/>
    <cellStyle name="Normal 2 4 2 3 3 4" xfId="3723"/>
    <cellStyle name="Normal 2 4 2 3 3 4 2" xfId="12361"/>
    <cellStyle name="Normal 2 4 2 3 3 4 3" xfId="18161"/>
    <cellStyle name="Normal 2 4 2 3 3 5" xfId="3724"/>
    <cellStyle name="Normal 2 4 2 3 3 5 2" xfId="12362"/>
    <cellStyle name="Normal 2 4 2 3 3 5 3" xfId="18162"/>
    <cellStyle name="Normal 2 4 2 3 3 6" xfId="3725"/>
    <cellStyle name="Normal 2 4 2 3 3 6 2" xfId="12363"/>
    <cellStyle name="Normal 2 4 2 3 3 6 3" xfId="18163"/>
    <cellStyle name="Normal 2 4 2 3 3 7" xfId="9256"/>
    <cellStyle name="Normal 2 4 2 3 3 8" xfId="18158"/>
    <cellStyle name="Normal 2 4 2 3 3_LNG &amp; LPG rework" xfId="7135"/>
    <cellStyle name="Normal 2 4 2 3 4" xfId="3726"/>
    <cellStyle name="Normal 2 4 2 3 4 2" xfId="3727"/>
    <cellStyle name="Normal 2 4 2 3 4 2 2" xfId="12365"/>
    <cellStyle name="Normal 2 4 2 3 4 2 3" xfId="18165"/>
    <cellStyle name="Normal 2 4 2 3 4 3" xfId="3728"/>
    <cellStyle name="Normal 2 4 2 3 4 3 2" xfId="12366"/>
    <cellStyle name="Normal 2 4 2 3 4 3 3" xfId="18166"/>
    <cellStyle name="Normal 2 4 2 3 4 4" xfId="3729"/>
    <cellStyle name="Normal 2 4 2 3 4 4 2" xfId="12367"/>
    <cellStyle name="Normal 2 4 2 3 4 4 3" xfId="18167"/>
    <cellStyle name="Normal 2 4 2 3 4 5" xfId="3730"/>
    <cellStyle name="Normal 2 4 2 3 4 5 2" xfId="12368"/>
    <cellStyle name="Normal 2 4 2 3 4 5 3" xfId="18168"/>
    <cellStyle name="Normal 2 4 2 3 4 6" xfId="12364"/>
    <cellStyle name="Normal 2 4 2 3 4 7" xfId="18164"/>
    <cellStyle name="Normal 2 4 2 3 4_LNG &amp; LPG rework" xfId="7136"/>
    <cellStyle name="Normal 2 4 2 3 5" xfId="3731"/>
    <cellStyle name="Normal 2 4 2 3 5 2" xfId="3732"/>
    <cellStyle name="Normal 2 4 2 3 5 2 2" xfId="12370"/>
    <cellStyle name="Normal 2 4 2 3 5 2 3" xfId="18170"/>
    <cellStyle name="Normal 2 4 2 3 5 3" xfId="3733"/>
    <cellStyle name="Normal 2 4 2 3 5 3 2" xfId="12371"/>
    <cellStyle name="Normal 2 4 2 3 5 3 3" xfId="18171"/>
    <cellStyle name="Normal 2 4 2 3 5 4" xfId="3734"/>
    <cellStyle name="Normal 2 4 2 3 5 4 2" xfId="12372"/>
    <cellStyle name="Normal 2 4 2 3 5 4 3" xfId="18172"/>
    <cellStyle name="Normal 2 4 2 3 5 5" xfId="3735"/>
    <cellStyle name="Normal 2 4 2 3 5 5 2" xfId="12373"/>
    <cellStyle name="Normal 2 4 2 3 5 5 3" xfId="18173"/>
    <cellStyle name="Normal 2 4 2 3 5 6" xfId="12369"/>
    <cellStyle name="Normal 2 4 2 3 5 7" xfId="18169"/>
    <cellStyle name="Normal 2 4 2 3 5_LNG &amp; LPG rework" xfId="7137"/>
    <cellStyle name="Normal 2 4 2 3 6" xfId="3736"/>
    <cellStyle name="Normal 2 4 2 3 6 2" xfId="12374"/>
    <cellStyle name="Normal 2 4 2 3 6 3" xfId="18174"/>
    <cellStyle name="Normal 2 4 2 3 7" xfId="3737"/>
    <cellStyle name="Normal 2 4 2 3 7 2" xfId="12375"/>
    <cellStyle name="Normal 2 4 2 3 7 3" xfId="18175"/>
    <cellStyle name="Normal 2 4 2 3 8" xfId="3738"/>
    <cellStyle name="Normal 2 4 2 3 8 2" xfId="12376"/>
    <cellStyle name="Normal 2 4 2 3 8 3" xfId="18176"/>
    <cellStyle name="Normal 2 4 2 3 9" xfId="3739"/>
    <cellStyle name="Normal 2 4 2 3 9 2" xfId="12377"/>
    <cellStyle name="Normal 2 4 2 3 9 3" xfId="18177"/>
    <cellStyle name="Normal 2 4 2 3_LNG &amp; LPG rework" xfId="7131"/>
    <cellStyle name="Normal 2 4 2 4" xfId="419"/>
    <cellStyle name="Normal 2 4 2 4 10" xfId="18178"/>
    <cellStyle name="Normal 2 4 2 4 2" xfId="420"/>
    <cellStyle name="Normal 2 4 2 4 2 2" xfId="3740"/>
    <cellStyle name="Normal 2 4 2 4 2 2 2" xfId="12378"/>
    <cellStyle name="Normal 2 4 2 4 2 2 3" xfId="18180"/>
    <cellStyle name="Normal 2 4 2 4 2 3" xfId="3741"/>
    <cellStyle name="Normal 2 4 2 4 2 3 2" xfId="12379"/>
    <cellStyle name="Normal 2 4 2 4 2 3 3" xfId="18181"/>
    <cellStyle name="Normal 2 4 2 4 2 4" xfId="3742"/>
    <cellStyle name="Normal 2 4 2 4 2 4 2" xfId="12380"/>
    <cellStyle name="Normal 2 4 2 4 2 4 3" xfId="18182"/>
    <cellStyle name="Normal 2 4 2 4 2 5" xfId="3743"/>
    <cellStyle name="Normal 2 4 2 4 2 5 2" xfId="12381"/>
    <cellStyle name="Normal 2 4 2 4 2 5 3" xfId="18183"/>
    <cellStyle name="Normal 2 4 2 4 2 6" xfId="3744"/>
    <cellStyle name="Normal 2 4 2 4 2 6 2" xfId="12382"/>
    <cellStyle name="Normal 2 4 2 4 2 6 3" xfId="18184"/>
    <cellStyle name="Normal 2 4 2 4 2 7" xfId="9258"/>
    <cellStyle name="Normal 2 4 2 4 2 8" xfId="18179"/>
    <cellStyle name="Normal 2 4 2 4 2_LNG &amp; LPG rework" xfId="7139"/>
    <cellStyle name="Normal 2 4 2 4 3" xfId="3745"/>
    <cellStyle name="Normal 2 4 2 4 3 2" xfId="3746"/>
    <cellStyle name="Normal 2 4 2 4 3 2 2" xfId="12384"/>
    <cellStyle name="Normal 2 4 2 4 3 2 3" xfId="18186"/>
    <cellStyle name="Normal 2 4 2 4 3 3" xfId="3747"/>
    <cellStyle name="Normal 2 4 2 4 3 3 2" xfId="12385"/>
    <cellStyle name="Normal 2 4 2 4 3 3 3" xfId="18187"/>
    <cellStyle name="Normal 2 4 2 4 3 4" xfId="3748"/>
    <cellStyle name="Normal 2 4 2 4 3 4 2" xfId="12386"/>
    <cellStyle name="Normal 2 4 2 4 3 4 3" xfId="18188"/>
    <cellStyle name="Normal 2 4 2 4 3 5" xfId="3749"/>
    <cellStyle name="Normal 2 4 2 4 3 5 2" xfId="12387"/>
    <cellStyle name="Normal 2 4 2 4 3 5 3" xfId="18189"/>
    <cellStyle name="Normal 2 4 2 4 3 6" xfId="12383"/>
    <cellStyle name="Normal 2 4 2 4 3 7" xfId="18185"/>
    <cellStyle name="Normal 2 4 2 4 3_LNG &amp; LPG rework" xfId="7140"/>
    <cellStyle name="Normal 2 4 2 4 4" xfId="3750"/>
    <cellStyle name="Normal 2 4 2 4 4 2" xfId="12388"/>
    <cellStyle name="Normal 2 4 2 4 4 3" xfId="18190"/>
    <cellStyle name="Normal 2 4 2 4 5" xfId="3751"/>
    <cellStyle name="Normal 2 4 2 4 5 2" xfId="12389"/>
    <cellStyle name="Normal 2 4 2 4 5 3" xfId="18191"/>
    <cellStyle name="Normal 2 4 2 4 6" xfId="3752"/>
    <cellStyle name="Normal 2 4 2 4 6 2" xfId="12390"/>
    <cellStyle name="Normal 2 4 2 4 6 3" xfId="18192"/>
    <cellStyle name="Normal 2 4 2 4 7" xfId="3753"/>
    <cellStyle name="Normal 2 4 2 4 7 2" xfId="12391"/>
    <cellStyle name="Normal 2 4 2 4 7 3" xfId="18193"/>
    <cellStyle name="Normal 2 4 2 4 8" xfId="3754"/>
    <cellStyle name="Normal 2 4 2 4 8 2" xfId="12392"/>
    <cellStyle name="Normal 2 4 2 4 8 3" xfId="18194"/>
    <cellStyle name="Normal 2 4 2 4 9" xfId="9257"/>
    <cellStyle name="Normal 2 4 2 4_LNG &amp; LPG rework" xfId="7138"/>
    <cellStyle name="Normal 2 4 2 5" xfId="421"/>
    <cellStyle name="Normal 2 4 2 5 2" xfId="3755"/>
    <cellStyle name="Normal 2 4 2 5 2 2" xfId="12393"/>
    <cellStyle name="Normal 2 4 2 5 2 3" xfId="18196"/>
    <cellStyle name="Normal 2 4 2 5 3" xfId="3756"/>
    <cellStyle name="Normal 2 4 2 5 3 2" xfId="12394"/>
    <cellStyle name="Normal 2 4 2 5 3 3" xfId="18197"/>
    <cellStyle name="Normal 2 4 2 5 4" xfId="3757"/>
    <cellStyle name="Normal 2 4 2 5 4 2" xfId="12395"/>
    <cellStyle name="Normal 2 4 2 5 4 3" xfId="18198"/>
    <cellStyle name="Normal 2 4 2 5 5" xfId="3758"/>
    <cellStyle name="Normal 2 4 2 5 5 2" xfId="12396"/>
    <cellStyle name="Normal 2 4 2 5 5 3" xfId="18199"/>
    <cellStyle name="Normal 2 4 2 5 6" xfId="3759"/>
    <cellStyle name="Normal 2 4 2 5 6 2" xfId="12397"/>
    <cellStyle name="Normal 2 4 2 5 6 3" xfId="18200"/>
    <cellStyle name="Normal 2 4 2 5 7" xfId="9259"/>
    <cellStyle name="Normal 2 4 2 5 8" xfId="18195"/>
    <cellStyle name="Normal 2 4 2 5_LNG &amp; LPG rework" xfId="7141"/>
    <cellStyle name="Normal 2 4 2 6" xfId="3760"/>
    <cellStyle name="Normal 2 4 2 6 2" xfId="12398"/>
    <cellStyle name="Normal 2 4 2 6 3" xfId="18201"/>
    <cellStyle name="Normal 2 4 2 7" xfId="9244"/>
    <cellStyle name="Normal 2 4 2 8" xfId="18060"/>
    <cellStyle name="Normal 2 4 2_LNG &amp; LPG rework" xfId="7116"/>
    <cellStyle name="Normal 2 4 3" xfId="422"/>
    <cellStyle name="Normal 2 4 3 10" xfId="3761"/>
    <cellStyle name="Normal 2 4 3 10 2" xfId="12399"/>
    <cellStyle name="Normal 2 4 3 10 3" xfId="18203"/>
    <cellStyle name="Normal 2 4 3 11" xfId="3762"/>
    <cellStyle name="Normal 2 4 3 11 2" xfId="12400"/>
    <cellStyle name="Normal 2 4 3 11 3" xfId="18204"/>
    <cellStyle name="Normal 2 4 3 12" xfId="9260"/>
    <cellStyle name="Normal 2 4 3 13" xfId="18202"/>
    <cellStyle name="Normal 2 4 3 2" xfId="423"/>
    <cellStyle name="Normal 2 4 3 2 10" xfId="3763"/>
    <cellStyle name="Normal 2 4 3 2 10 2" xfId="12401"/>
    <cellStyle name="Normal 2 4 3 2 10 3" xfId="18206"/>
    <cellStyle name="Normal 2 4 3 2 11" xfId="9261"/>
    <cellStyle name="Normal 2 4 3 2 12" xfId="18205"/>
    <cellStyle name="Normal 2 4 3 2 2" xfId="424"/>
    <cellStyle name="Normal 2 4 3 2 2 10" xfId="18207"/>
    <cellStyle name="Normal 2 4 3 2 2 2" xfId="425"/>
    <cellStyle name="Normal 2 4 3 2 2 2 2" xfId="3764"/>
    <cellStyle name="Normal 2 4 3 2 2 2 2 2" xfId="12402"/>
    <cellStyle name="Normal 2 4 3 2 2 2 2 3" xfId="18209"/>
    <cellStyle name="Normal 2 4 3 2 2 2 3" xfId="3765"/>
    <cellStyle name="Normal 2 4 3 2 2 2 3 2" xfId="12403"/>
    <cellStyle name="Normal 2 4 3 2 2 2 3 3" xfId="18210"/>
    <cellStyle name="Normal 2 4 3 2 2 2 4" xfId="3766"/>
    <cellStyle name="Normal 2 4 3 2 2 2 4 2" xfId="12404"/>
    <cellStyle name="Normal 2 4 3 2 2 2 4 3" xfId="18211"/>
    <cellStyle name="Normal 2 4 3 2 2 2 5" xfId="3767"/>
    <cellStyle name="Normal 2 4 3 2 2 2 5 2" xfId="12405"/>
    <cellStyle name="Normal 2 4 3 2 2 2 5 3" xfId="18212"/>
    <cellStyle name="Normal 2 4 3 2 2 2 6" xfId="3768"/>
    <cellStyle name="Normal 2 4 3 2 2 2 6 2" xfId="12406"/>
    <cellStyle name="Normal 2 4 3 2 2 2 6 3" xfId="18213"/>
    <cellStyle name="Normal 2 4 3 2 2 2 7" xfId="9263"/>
    <cellStyle name="Normal 2 4 3 2 2 2 8" xfId="18208"/>
    <cellStyle name="Normal 2 4 3 2 2 2_LNG &amp; LPG rework" xfId="7145"/>
    <cellStyle name="Normal 2 4 3 2 2 3" xfId="3769"/>
    <cellStyle name="Normal 2 4 3 2 2 3 2" xfId="3770"/>
    <cellStyle name="Normal 2 4 3 2 2 3 2 2" xfId="12408"/>
    <cellStyle name="Normal 2 4 3 2 2 3 2 3" xfId="18215"/>
    <cellStyle name="Normal 2 4 3 2 2 3 3" xfId="3771"/>
    <cellStyle name="Normal 2 4 3 2 2 3 3 2" xfId="12409"/>
    <cellStyle name="Normal 2 4 3 2 2 3 3 3" xfId="18216"/>
    <cellStyle name="Normal 2 4 3 2 2 3 4" xfId="3772"/>
    <cellStyle name="Normal 2 4 3 2 2 3 4 2" xfId="12410"/>
    <cellStyle name="Normal 2 4 3 2 2 3 4 3" xfId="18217"/>
    <cellStyle name="Normal 2 4 3 2 2 3 5" xfId="3773"/>
    <cellStyle name="Normal 2 4 3 2 2 3 5 2" xfId="12411"/>
    <cellStyle name="Normal 2 4 3 2 2 3 5 3" xfId="18218"/>
    <cellStyle name="Normal 2 4 3 2 2 3 6" xfId="12407"/>
    <cellStyle name="Normal 2 4 3 2 2 3 7" xfId="18214"/>
    <cellStyle name="Normal 2 4 3 2 2 3_LNG &amp; LPG rework" xfId="7146"/>
    <cellStyle name="Normal 2 4 3 2 2 4" xfId="3774"/>
    <cellStyle name="Normal 2 4 3 2 2 4 2" xfId="12412"/>
    <cellStyle name="Normal 2 4 3 2 2 4 3" xfId="18219"/>
    <cellStyle name="Normal 2 4 3 2 2 5" xfId="3775"/>
    <cellStyle name="Normal 2 4 3 2 2 5 2" xfId="12413"/>
    <cellStyle name="Normal 2 4 3 2 2 5 3" xfId="18220"/>
    <cellStyle name="Normal 2 4 3 2 2 6" xfId="3776"/>
    <cellStyle name="Normal 2 4 3 2 2 6 2" xfId="12414"/>
    <cellStyle name="Normal 2 4 3 2 2 6 3" xfId="18221"/>
    <cellStyle name="Normal 2 4 3 2 2 7" xfId="3777"/>
    <cellStyle name="Normal 2 4 3 2 2 7 2" xfId="12415"/>
    <cellStyle name="Normal 2 4 3 2 2 7 3" xfId="18222"/>
    <cellStyle name="Normal 2 4 3 2 2 8" xfId="3778"/>
    <cellStyle name="Normal 2 4 3 2 2 8 2" xfId="12416"/>
    <cellStyle name="Normal 2 4 3 2 2 8 3" xfId="18223"/>
    <cellStyle name="Normal 2 4 3 2 2 9" xfId="9262"/>
    <cellStyle name="Normal 2 4 3 2 2_LNG &amp; LPG rework" xfId="7144"/>
    <cellStyle name="Normal 2 4 3 2 3" xfId="426"/>
    <cellStyle name="Normal 2 4 3 2 3 2" xfId="3779"/>
    <cellStyle name="Normal 2 4 3 2 3 2 2" xfId="12417"/>
    <cellStyle name="Normal 2 4 3 2 3 2 3" xfId="18225"/>
    <cellStyle name="Normal 2 4 3 2 3 3" xfId="3780"/>
    <cellStyle name="Normal 2 4 3 2 3 3 2" xfId="12418"/>
    <cellStyle name="Normal 2 4 3 2 3 3 3" xfId="18226"/>
    <cellStyle name="Normal 2 4 3 2 3 4" xfId="3781"/>
    <cellStyle name="Normal 2 4 3 2 3 4 2" xfId="12419"/>
    <cellStyle name="Normal 2 4 3 2 3 4 3" xfId="18227"/>
    <cellStyle name="Normal 2 4 3 2 3 5" xfId="3782"/>
    <cellStyle name="Normal 2 4 3 2 3 5 2" xfId="12420"/>
    <cellStyle name="Normal 2 4 3 2 3 5 3" xfId="18228"/>
    <cellStyle name="Normal 2 4 3 2 3 6" xfId="3783"/>
    <cellStyle name="Normal 2 4 3 2 3 6 2" xfId="12421"/>
    <cellStyle name="Normal 2 4 3 2 3 6 3" xfId="18229"/>
    <cellStyle name="Normal 2 4 3 2 3 7" xfId="9264"/>
    <cellStyle name="Normal 2 4 3 2 3 8" xfId="18224"/>
    <cellStyle name="Normal 2 4 3 2 3_LNG &amp; LPG rework" xfId="7147"/>
    <cellStyle name="Normal 2 4 3 2 4" xfId="3784"/>
    <cellStyle name="Normal 2 4 3 2 4 2" xfId="3785"/>
    <cellStyle name="Normal 2 4 3 2 4 2 2" xfId="12423"/>
    <cellStyle name="Normal 2 4 3 2 4 2 3" xfId="18231"/>
    <cellStyle name="Normal 2 4 3 2 4 3" xfId="3786"/>
    <cellStyle name="Normal 2 4 3 2 4 3 2" xfId="12424"/>
    <cellStyle name="Normal 2 4 3 2 4 3 3" xfId="18232"/>
    <cellStyle name="Normal 2 4 3 2 4 4" xfId="3787"/>
    <cellStyle name="Normal 2 4 3 2 4 4 2" xfId="12425"/>
    <cellStyle name="Normal 2 4 3 2 4 4 3" xfId="18233"/>
    <cellStyle name="Normal 2 4 3 2 4 5" xfId="3788"/>
    <cellStyle name="Normal 2 4 3 2 4 5 2" xfId="12426"/>
    <cellStyle name="Normal 2 4 3 2 4 5 3" xfId="18234"/>
    <cellStyle name="Normal 2 4 3 2 4 6" xfId="12422"/>
    <cellStyle name="Normal 2 4 3 2 4 7" xfId="18230"/>
    <cellStyle name="Normal 2 4 3 2 4_LNG &amp; LPG rework" xfId="7148"/>
    <cellStyle name="Normal 2 4 3 2 5" xfId="3789"/>
    <cellStyle name="Normal 2 4 3 2 5 2" xfId="3790"/>
    <cellStyle name="Normal 2 4 3 2 5 2 2" xfId="12428"/>
    <cellStyle name="Normal 2 4 3 2 5 2 3" xfId="18236"/>
    <cellStyle name="Normal 2 4 3 2 5 3" xfId="3791"/>
    <cellStyle name="Normal 2 4 3 2 5 3 2" xfId="12429"/>
    <cellStyle name="Normal 2 4 3 2 5 3 3" xfId="18237"/>
    <cellStyle name="Normal 2 4 3 2 5 4" xfId="3792"/>
    <cellStyle name="Normal 2 4 3 2 5 4 2" xfId="12430"/>
    <cellStyle name="Normal 2 4 3 2 5 4 3" xfId="18238"/>
    <cellStyle name="Normal 2 4 3 2 5 5" xfId="3793"/>
    <cellStyle name="Normal 2 4 3 2 5 5 2" xfId="12431"/>
    <cellStyle name="Normal 2 4 3 2 5 5 3" xfId="18239"/>
    <cellStyle name="Normal 2 4 3 2 5 6" xfId="12427"/>
    <cellStyle name="Normal 2 4 3 2 5 7" xfId="18235"/>
    <cellStyle name="Normal 2 4 3 2 5_LNG &amp; LPG rework" xfId="7149"/>
    <cellStyle name="Normal 2 4 3 2 6" xfId="3794"/>
    <cellStyle name="Normal 2 4 3 2 6 2" xfId="12432"/>
    <cellStyle name="Normal 2 4 3 2 6 3" xfId="18240"/>
    <cellStyle name="Normal 2 4 3 2 7" xfId="3795"/>
    <cellStyle name="Normal 2 4 3 2 7 2" xfId="12433"/>
    <cellStyle name="Normal 2 4 3 2 7 3" xfId="18241"/>
    <cellStyle name="Normal 2 4 3 2 8" xfId="3796"/>
    <cellStyle name="Normal 2 4 3 2 8 2" xfId="12434"/>
    <cellStyle name="Normal 2 4 3 2 8 3" xfId="18242"/>
    <cellStyle name="Normal 2 4 3 2 9" xfId="3797"/>
    <cellStyle name="Normal 2 4 3 2 9 2" xfId="12435"/>
    <cellStyle name="Normal 2 4 3 2 9 3" xfId="18243"/>
    <cellStyle name="Normal 2 4 3 2_LNG &amp; LPG rework" xfId="7143"/>
    <cellStyle name="Normal 2 4 3 3" xfId="427"/>
    <cellStyle name="Normal 2 4 3 3 10" xfId="18244"/>
    <cellStyle name="Normal 2 4 3 3 2" xfId="428"/>
    <cellStyle name="Normal 2 4 3 3 2 2" xfId="3798"/>
    <cellStyle name="Normal 2 4 3 3 2 2 2" xfId="12436"/>
    <cellStyle name="Normal 2 4 3 3 2 2 3" xfId="18246"/>
    <cellStyle name="Normal 2 4 3 3 2 3" xfId="3799"/>
    <cellStyle name="Normal 2 4 3 3 2 3 2" xfId="12437"/>
    <cellStyle name="Normal 2 4 3 3 2 3 3" xfId="18247"/>
    <cellStyle name="Normal 2 4 3 3 2 4" xfId="3800"/>
    <cellStyle name="Normal 2 4 3 3 2 4 2" xfId="12438"/>
    <cellStyle name="Normal 2 4 3 3 2 4 3" xfId="18248"/>
    <cellStyle name="Normal 2 4 3 3 2 5" xfId="3801"/>
    <cellStyle name="Normal 2 4 3 3 2 5 2" xfId="12439"/>
    <cellStyle name="Normal 2 4 3 3 2 5 3" xfId="18249"/>
    <cellStyle name="Normal 2 4 3 3 2 6" xfId="3802"/>
    <cellStyle name="Normal 2 4 3 3 2 6 2" xfId="12440"/>
    <cellStyle name="Normal 2 4 3 3 2 6 3" xfId="18250"/>
    <cellStyle name="Normal 2 4 3 3 2 7" xfId="9266"/>
    <cellStyle name="Normal 2 4 3 3 2 8" xfId="18245"/>
    <cellStyle name="Normal 2 4 3 3 2_LNG &amp; LPG rework" xfId="7151"/>
    <cellStyle name="Normal 2 4 3 3 3" xfId="3803"/>
    <cellStyle name="Normal 2 4 3 3 3 2" xfId="3804"/>
    <cellStyle name="Normal 2 4 3 3 3 2 2" xfId="12442"/>
    <cellStyle name="Normal 2 4 3 3 3 2 3" xfId="18252"/>
    <cellStyle name="Normal 2 4 3 3 3 3" xfId="3805"/>
    <cellStyle name="Normal 2 4 3 3 3 3 2" xfId="12443"/>
    <cellStyle name="Normal 2 4 3 3 3 3 3" xfId="18253"/>
    <cellStyle name="Normal 2 4 3 3 3 4" xfId="3806"/>
    <cellStyle name="Normal 2 4 3 3 3 4 2" xfId="12444"/>
    <cellStyle name="Normal 2 4 3 3 3 4 3" xfId="18254"/>
    <cellStyle name="Normal 2 4 3 3 3 5" xfId="3807"/>
    <cellStyle name="Normal 2 4 3 3 3 5 2" xfId="12445"/>
    <cellStyle name="Normal 2 4 3 3 3 5 3" xfId="18255"/>
    <cellStyle name="Normal 2 4 3 3 3 6" xfId="12441"/>
    <cellStyle name="Normal 2 4 3 3 3 7" xfId="18251"/>
    <cellStyle name="Normal 2 4 3 3 3_LNG &amp; LPG rework" xfId="7152"/>
    <cellStyle name="Normal 2 4 3 3 4" xfId="3808"/>
    <cellStyle name="Normal 2 4 3 3 4 2" xfId="12446"/>
    <cellStyle name="Normal 2 4 3 3 4 3" xfId="18256"/>
    <cellStyle name="Normal 2 4 3 3 5" xfId="3809"/>
    <cellStyle name="Normal 2 4 3 3 5 2" xfId="12447"/>
    <cellStyle name="Normal 2 4 3 3 5 3" xfId="18257"/>
    <cellStyle name="Normal 2 4 3 3 6" xfId="3810"/>
    <cellStyle name="Normal 2 4 3 3 6 2" xfId="12448"/>
    <cellStyle name="Normal 2 4 3 3 6 3" xfId="18258"/>
    <cellStyle name="Normal 2 4 3 3 7" xfId="3811"/>
    <cellStyle name="Normal 2 4 3 3 7 2" xfId="12449"/>
    <cellStyle name="Normal 2 4 3 3 7 3" xfId="18259"/>
    <cellStyle name="Normal 2 4 3 3 8" xfId="3812"/>
    <cellStyle name="Normal 2 4 3 3 8 2" xfId="12450"/>
    <cellStyle name="Normal 2 4 3 3 8 3" xfId="18260"/>
    <cellStyle name="Normal 2 4 3 3 9" xfId="9265"/>
    <cellStyle name="Normal 2 4 3 3_LNG &amp; LPG rework" xfId="7150"/>
    <cellStyle name="Normal 2 4 3 4" xfId="429"/>
    <cellStyle name="Normal 2 4 3 4 2" xfId="3813"/>
    <cellStyle name="Normal 2 4 3 4 2 2" xfId="12451"/>
    <cellStyle name="Normal 2 4 3 4 2 3" xfId="18262"/>
    <cellStyle name="Normal 2 4 3 4 3" xfId="3814"/>
    <cellStyle name="Normal 2 4 3 4 3 2" xfId="12452"/>
    <cellStyle name="Normal 2 4 3 4 3 3" xfId="18263"/>
    <cellStyle name="Normal 2 4 3 4 4" xfId="3815"/>
    <cellStyle name="Normal 2 4 3 4 4 2" xfId="12453"/>
    <cellStyle name="Normal 2 4 3 4 4 3" xfId="18264"/>
    <cellStyle name="Normal 2 4 3 4 5" xfId="3816"/>
    <cellStyle name="Normal 2 4 3 4 5 2" xfId="12454"/>
    <cellStyle name="Normal 2 4 3 4 5 3" xfId="18265"/>
    <cellStyle name="Normal 2 4 3 4 6" xfId="3817"/>
    <cellStyle name="Normal 2 4 3 4 6 2" xfId="12455"/>
    <cellStyle name="Normal 2 4 3 4 6 3" xfId="18266"/>
    <cellStyle name="Normal 2 4 3 4 7" xfId="9267"/>
    <cellStyle name="Normal 2 4 3 4 8" xfId="18261"/>
    <cellStyle name="Normal 2 4 3 4_LNG &amp; LPG rework" xfId="7153"/>
    <cellStyle name="Normal 2 4 3 5" xfId="3818"/>
    <cellStyle name="Normal 2 4 3 5 2" xfId="3819"/>
    <cellStyle name="Normal 2 4 3 5 2 2" xfId="12457"/>
    <cellStyle name="Normal 2 4 3 5 2 3" xfId="18268"/>
    <cellStyle name="Normal 2 4 3 5 3" xfId="3820"/>
    <cellStyle name="Normal 2 4 3 5 3 2" xfId="12458"/>
    <cellStyle name="Normal 2 4 3 5 3 3" xfId="18269"/>
    <cellStyle name="Normal 2 4 3 5 4" xfId="3821"/>
    <cellStyle name="Normal 2 4 3 5 4 2" xfId="12459"/>
    <cellStyle name="Normal 2 4 3 5 4 3" xfId="18270"/>
    <cellStyle name="Normal 2 4 3 5 5" xfId="3822"/>
    <cellStyle name="Normal 2 4 3 5 5 2" xfId="12460"/>
    <cellStyle name="Normal 2 4 3 5 5 3" xfId="18271"/>
    <cellStyle name="Normal 2 4 3 5 6" xfId="12456"/>
    <cellStyle name="Normal 2 4 3 5 7" xfId="18267"/>
    <cellStyle name="Normal 2 4 3 5_LNG &amp; LPG rework" xfId="7154"/>
    <cellStyle name="Normal 2 4 3 6" xfId="3823"/>
    <cellStyle name="Normal 2 4 3 6 2" xfId="3824"/>
    <cellStyle name="Normal 2 4 3 6 2 2" xfId="12462"/>
    <cellStyle name="Normal 2 4 3 6 2 3" xfId="18273"/>
    <cellStyle name="Normal 2 4 3 6 3" xfId="3825"/>
    <cellStyle name="Normal 2 4 3 6 3 2" xfId="12463"/>
    <cellStyle name="Normal 2 4 3 6 3 3" xfId="18274"/>
    <cellStyle name="Normal 2 4 3 6 4" xfId="3826"/>
    <cellStyle name="Normal 2 4 3 6 4 2" xfId="12464"/>
    <cellStyle name="Normal 2 4 3 6 4 3" xfId="18275"/>
    <cellStyle name="Normal 2 4 3 6 5" xfId="3827"/>
    <cellStyle name="Normal 2 4 3 6 5 2" xfId="12465"/>
    <cellStyle name="Normal 2 4 3 6 5 3" xfId="18276"/>
    <cellStyle name="Normal 2 4 3 6 6" xfId="12461"/>
    <cellStyle name="Normal 2 4 3 6 7" xfId="18272"/>
    <cellStyle name="Normal 2 4 3 6_LNG &amp; LPG rework" xfId="7155"/>
    <cellStyle name="Normal 2 4 3 7" xfId="3828"/>
    <cellStyle name="Normal 2 4 3 7 2" xfId="12466"/>
    <cellStyle name="Normal 2 4 3 7 3" xfId="18277"/>
    <cellStyle name="Normal 2 4 3 8" xfId="3829"/>
    <cellStyle name="Normal 2 4 3 8 2" xfId="12467"/>
    <cellStyle name="Normal 2 4 3 8 3" xfId="18278"/>
    <cellStyle name="Normal 2 4 3 9" xfId="3830"/>
    <cellStyle name="Normal 2 4 3 9 2" xfId="12468"/>
    <cellStyle name="Normal 2 4 3 9 3" xfId="18279"/>
    <cellStyle name="Normal 2 4 3_LNG &amp; LPG rework" xfId="7142"/>
    <cellStyle name="Normal 2 4 4" xfId="430"/>
    <cellStyle name="Normal 2 4 4 10" xfId="3831"/>
    <cellStyle name="Normal 2 4 4 10 2" xfId="12469"/>
    <cellStyle name="Normal 2 4 4 10 3" xfId="18281"/>
    <cellStyle name="Normal 2 4 4 11" xfId="9268"/>
    <cellStyle name="Normal 2 4 4 12" xfId="18280"/>
    <cellStyle name="Normal 2 4 4 2" xfId="431"/>
    <cellStyle name="Normal 2 4 4 2 10" xfId="18282"/>
    <cellStyle name="Normal 2 4 4 2 2" xfId="432"/>
    <cellStyle name="Normal 2 4 4 2 2 2" xfId="3832"/>
    <cellStyle name="Normal 2 4 4 2 2 2 2" xfId="12470"/>
    <cellStyle name="Normal 2 4 4 2 2 2 3" xfId="18284"/>
    <cellStyle name="Normal 2 4 4 2 2 3" xfId="3833"/>
    <cellStyle name="Normal 2 4 4 2 2 3 2" xfId="12471"/>
    <cellStyle name="Normal 2 4 4 2 2 3 3" xfId="18285"/>
    <cellStyle name="Normal 2 4 4 2 2 4" xfId="3834"/>
    <cellStyle name="Normal 2 4 4 2 2 4 2" xfId="12472"/>
    <cellStyle name="Normal 2 4 4 2 2 4 3" xfId="18286"/>
    <cellStyle name="Normal 2 4 4 2 2 5" xfId="3835"/>
    <cellStyle name="Normal 2 4 4 2 2 5 2" xfId="12473"/>
    <cellStyle name="Normal 2 4 4 2 2 5 3" xfId="18287"/>
    <cellStyle name="Normal 2 4 4 2 2 6" xfId="3836"/>
    <cellStyle name="Normal 2 4 4 2 2 6 2" xfId="12474"/>
    <cellStyle name="Normal 2 4 4 2 2 6 3" xfId="18288"/>
    <cellStyle name="Normal 2 4 4 2 2 7" xfId="9270"/>
    <cellStyle name="Normal 2 4 4 2 2 8" xfId="18283"/>
    <cellStyle name="Normal 2 4 4 2 2_LNG &amp; LPG rework" xfId="7158"/>
    <cellStyle name="Normal 2 4 4 2 3" xfId="3837"/>
    <cellStyle name="Normal 2 4 4 2 3 2" xfId="3838"/>
    <cellStyle name="Normal 2 4 4 2 3 2 2" xfId="12476"/>
    <cellStyle name="Normal 2 4 4 2 3 2 3" xfId="18290"/>
    <cellStyle name="Normal 2 4 4 2 3 3" xfId="3839"/>
    <cellStyle name="Normal 2 4 4 2 3 3 2" xfId="12477"/>
    <cellStyle name="Normal 2 4 4 2 3 3 3" xfId="18291"/>
    <cellStyle name="Normal 2 4 4 2 3 4" xfId="3840"/>
    <cellStyle name="Normal 2 4 4 2 3 4 2" xfId="12478"/>
    <cellStyle name="Normal 2 4 4 2 3 4 3" xfId="18292"/>
    <cellStyle name="Normal 2 4 4 2 3 5" xfId="3841"/>
    <cellStyle name="Normal 2 4 4 2 3 5 2" xfId="12479"/>
    <cellStyle name="Normal 2 4 4 2 3 5 3" xfId="18293"/>
    <cellStyle name="Normal 2 4 4 2 3 6" xfId="12475"/>
    <cellStyle name="Normal 2 4 4 2 3 7" xfId="18289"/>
    <cellStyle name="Normal 2 4 4 2 3_LNG &amp; LPG rework" xfId="7159"/>
    <cellStyle name="Normal 2 4 4 2 4" xfId="3842"/>
    <cellStyle name="Normal 2 4 4 2 4 2" xfId="12480"/>
    <cellStyle name="Normal 2 4 4 2 4 3" xfId="18294"/>
    <cellStyle name="Normal 2 4 4 2 5" xfId="3843"/>
    <cellStyle name="Normal 2 4 4 2 5 2" xfId="12481"/>
    <cellStyle name="Normal 2 4 4 2 5 3" xfId="18295"/>
    <cellStyle name="Normal 2 4 4 2 6" xfId="3844"/>
    <cellStyle name="Normal 2 4 4 2 6 2" xfId="12482"/>
    <cellStyle name="Normal 2 4 4 2 6 3" xfId="18296"/>
    <cellStyle name="Normal 2 4 4 2 7" xfId="3845"/>
    <cellStyle name="Normal 2 4 4 2 7 2" xfId="12483"/>
    <cellStyle name="Normal 2 4 4 2 7 3" xfId="18297"/>
    <cellStyle name="Normal 2 4 4 2 8" xfId="3846"/>
    <cellStyle name="Normal 2 4 4 2 8 2" xfId="12484"/>
    <cellStyle name="Normal 2 4 4 2 8 3" xfId="18298"/>
    <cellStyle name="Normal 2 4 4 2 9" xfId="9269"/>
    <cellStyle name="Normal 2 4 4 2_LNG &amp; LPG rework" xfId="7157"/>
    <cellStyle name="Normal 2 4 4 3" xfId="433"/>
    <cellStyle name="Normal 2 4 4 3 2" xfId="3847"/>
    <cellStyle name="Normal 2 4 4 3 2 2" xfId="12485"/>
    <cellStyle name="Normal 2 4 4 3 2 3" xfId="18300"/>
    <cellStyle name="Normal 2 4 4 3 3" xfId="3848"/>
    <cellStyle name="Normal 2 4 4 3 3 2" xfId="12486"/>
    <cellStyle name="Normal 2 4 4 3 3 3" xfId="18301"/>
    <cellStyle name="Normal 2 4 4 3 4" xfId="3849"/>
    <cellStyle name="Normal 2 4 4 3 4 2" xfId="12487"/>
    <cellStyle name="Normal 2 4 4 3 4 3" xfId="18302"/>
    <cellStyle name="Normal 2 4 4 3 5" xfId="3850"/>
    <cellStyle name="Normal 2 4 4 3 5 2" xfId="12488"/>
    <cellStyle name="Normal 2 4 4 3 5 3" xfId="18303"/>
    <cellStyle name="Normal 2 4 4 3 6" xfId="3851"/>
    <cellStyle name="Normal 2 4 4 3 6 2" xfId="12489"/>
    <cellStyle name="Normal 2 4 4 3 6 3" xfId="18304"/>
    <cellStyle name="Normal 2 4 4 3 7" xfId="9271"/>
    <cellStyle name="Normal 2 4 4 3 8" xfId="18299"/>
    <cellStyle name="Normal 2 4 4 3_LNG &amp; LPG rework" xfId="7160"/>
    <cellStyle name="Normal 2 4 4 4" xfId="3852"/>
    <cellStyle name="Normal 2 4 4 4 2" xfId="3853"/>
    <cellStyle name="Normal 2 4 4 4 2 2" xfId="12491"/>
    <cellStyle name="Normal 2 4 4 4 2 3" xfId="18306"/>
    <cellStyle name="Normal 2 4 4 4 3" xfId="3854"/>
    <cellStyle name="Normal 2 4 4 4 3 2" xfId="12492"/>
    <cellStyle name="Normal 2 4 4 4 3 3" xfId="18307"/>
    <cellStyle name="Normal 2 4 4 4 4" xfId="3855"/>
    <cellStyle name="Normal 2 4 4 4 4 2" xfId="12493"/>
    <cellStyle name="Normal 2 4 4 4 4 3" xfId="18308"/>
    <cellStyle name="Normal 2 4 4 4 5" xfId="3856"/>
    <cellStyle name="Normal 2 4 4 4 5 2" xfId="12494"/>
    <cellStyle name="Normal 2 4 4 4 5 3" xfId="18309"/>
    <cellStyle name="Normal 2 4 4 4 6" xfId="12490"/>
    <cellStyle name="Normal 2 4 4 4 7" xfId="18305"/>
    <cellStyle name="Normal 2 4 4 4_LNG &amp; LPG rework" xfId="7161"/>
    <cellStyle name="Normal 2 4 4 5" xfId="3857"/>
    <cellStyle name="Normal 2 4 4 5 2" xfId="3858"/>
    <cellStyle name="Normal 2 4 4 5 2 2" xfId="12496"/>
    <cellStyle name="Normal 2 4 4 5 2 3" xfId="18311"/>
    <cellStyle name="Normal 2 4 4 5 3" xfId="3859"/>
    <cellStyle name="Normal 2 4 4 5 3 2" xfId="12497"/>
    <cellStyle name="Normal 2 4 4 5 3 3" xfId="18312"/>
    <cellStyle name="Normal 2 4 4 5 4" xfId="3860"/>
    <cellStyle name="Normal 2 4 4 5 4 2" xfId="12498"/>
    <cellStyle name="Normal 2 4 4 5 4 3" xfId="18313"/>
    <cellStyle name="Normal 2 4 4 5 5" xfId="3861"/>
    <cellStyle name="Normal 2 4 4 5 5 2" xfId="12499"/>
    <cellStyle name="Normal 2 4 4 5 5 3" xfId="18314"/>
    <cellStyle name="Normal 2 4 4 5 6" xfId="12495"/>
    <cellStyle name="Normal 2 4 4 5 7" xfId="18310"/>
    <cellStyle name="Normal 2 4 4 5_LNG &amp; LPG rework" xfId="7162"/>
    <cellStyle name="Normal 2 4 4 6" xfId="3862"/>
    <cellStyle name="Normal 2 4 4 6 2" xfId="12500"/>
    <cellStyle name="Normal 2 4 4 6 3" xfId="18315"/>
    <cellStyle name="Normal 2 4 4 7" xfId="3863"/>
    <cellStyle name="Normal 2 4 4 7 2" xfId="12501"/>
    <cellStyle name="Normal 2 4 4 7 3" xfId="18316"/>
    <cellStyle name="Normal 2 4 4 8" xfId="3864"/>
    <cellStyle name="Normal 2 4 4 8 2" xfId="12502"/>
    <cellStyle name="Normal 2 4 4 8 3" xfId="18317"/>
    <cellStyle name="Normal 2 4 4 9" xfId="3865"/>
    <cellStyle name="Normal 2 4 4 9 2" xfId="12503"/>
    <cellStyle name="Normal 2 4 4 9 3" xfId="18318"/>
    <cellStyle name="Normal 2 4 4_LNG &amp; LPG rework" xfId="7156"/>
    <cellStyle name="Normal 2 4 5" xfId="434"/>
    <cellStyle name="Normal 2 4 5 10" xfId="18319"/>
    <cellStyle name="Normal 2 4 5 2" xfId="435"/>
    <cellStyle name="Normal 2 4 5 2 2" xfId="3866"/>
    <cellStyle name="Normal 2 4 5 2 2 2" xfId="12504"/>
    <cellStyle name="Normal 2 4 5 2 2 3" xfId="18321"/>
    <cellStyle name="Normal 2 4 5 2 3" xfId="3867"/>
    <cellStyle name="Normal 2 4 5 2 3 2" xfId="12505"/>
    <cellStyle name="Normal 2 4 5 2 3 3" xfId="18322"/>
    <cellStyle name="Normal 2 4 5 2 4" xfId="3868"/>
    <cellStyle name="Normal 2 4 5 2 4 2" xfId="12506"/>
    <cellStyle name="Normal 2 4 5 2 4 3" xfId="18323"/>
    <cellStyle name="Normal 2 4 5 2 5" xfId="3869"/>
    <cellStyle name="Normal 2 4 5 2 5 2" xfId="12507"/>
    <cellStyle name="Normal 2 4 5 2 5 3" xfId="18324"/>
    <cellStyle name="Normal 2 4 5 2 6" xfId="3870"/>
    <cellStyle name="Normal 2 4 5 2 6 2" xfId="12508"/>
    <cellStyle name="Normal 2 4 5 2 6 3" xfId="18325"/>
    <cellStyle name="Normal 2 4 5 2 7" xfId="9273"/>
    <cellStyle name="Normal 2 4 5 2 8" xfId="18320"/>
    <cellStyle name="Normal 2 4 5 2_LNG &amp; LPG rework" xfId="7164"/>
    <cellStyle name="Normal 2 4 5 3" xfId="3871"/>
    <cellStyle name="Normal 2 4 5 3 2" xfId="3872"/>
    <cellStyle name="Normal 2 4 5 3 2 2" xfId="12510"/>
    <cellStyle name="Normal 2 4 5 3 2 3" xfId="18327"/>
    <cellStyle name="Normal 2 4 5 3 3" xfId="3873"/>
    <cellStyle name="Normal 2 4 5 3 3 2" xfId="12511"/>
    <cellStyle name="Normal 2 4 5 3 3 3" xfId="18328"/>
    <cellStyle name="Normal 2 4 5 3 4" xfId="3874"/>
    <cellStyle name="Normal 2 4 5 3 4 2" xfId="12512"/>
    <cellStyle name="Normal 2 4 5 3 4 3" xfId="18329"/>
    <cellStyle name="Normal 2 4 5 3 5" xfId="3875"/>
    <cellStyle name="Normal 2 4 5 3 5 2" xfId="12513"/>
    <cellStyle name="Normal 2 4 5 3 5 3" xfId="18330"/>
    <cellStyle name="Normal 2 4 5 3 6" xfId="12509"/>
    <cellStyle name="Normal 2 4 5 3 7" xfId="18326"/>
    <cellStyle name="Normal 2 4 5 3_LNG &amp; LPG rework" xfId="7165"/>
    <cellStyle name="Normal 2 4 5 4" xfId="3876"/>
    <cellStyle name="Normal 2 4 5 4 2" xfId="12514"/>
    <cellStyle name="Normal 2 4 5 4 3" xfId="18331"/>
    <cellStyle name="Normal 2 4 5 5" xfId="3877"/>
    <cellStyle name="Normal 2 4 5 5 2" xfId="12515"/>
    <cellStyle name="Normal 2 4 5 5 3" xfId="18332"/>
    <cellStyle name="Normal 2 4 5 6" xfId="3878"/>
    <cellStyle name="Normal 2 4 5 6 2" xfId="12516"/>
    <cellStyle name="Normal 2 4 5 6 3" xfId="18333"/>
    <cellStyle name="Normal 2 4 5 7" xfId="3879"/>
    <cellStyle name="Normal 2 4 5 7 2" xfId="12517"/>
    <cellStyle name="Normal 2 4 5 7 3" xfId="18334"/>
    <cellStyle name="Normal 2 4 5 8" xfId="3880"/>
    <cellStyle name="Normal 2 4 5 8 2" xfId="12518"/>
    <cellStyle name="Normal 2 4 5 8 3" xfId="18335"/>
    <cellStyle name="Normal 2 4 5 9" xfId="9272"/>
    <cellStyle name="Normal 2 4 5_LNG &amp; LPG rework" xfId="7163"/>
    <cellStyle name="Normal 2 4 6" xfId="436"/>
    <cellStyle name="Normal 2 4 6 2" xfId="3881"/>
    <cellStyle name="Normal 2 4 6 2 2" xfId="3882"/>
    <cellStyle name="Normal 2 4 6 2 2 2" xfId="12520"/>
    <cellStyle name="Normal 2 4 6 2 2 3" xfId="18338"/>
    <cellStyle name="Normal 2 4 6 2 3" xfId="3883"/>
    <cellStyle name="Normal 2 4 6 2 3 2" xfId="12521"/>
    <cellStyle name="Normal 2 4 6 2 3 3" xfId="18339"/>
    <cellStyle name="Normal 2 4 6 2 4" xfId="3884"/>
    <cellStyle name="Normal 2 4 6 2 4 2" xfId="12522"/>
    <cellStyle name="Normal 2 4 6 2 4 3" xfId="18340"/>
    <cellStyle name="Normal 2 4 6 2 5" xfId="3885"/>
    <cellStyle name="Normal 2 4 6 2 5 2" xfId="12523"/>
    <cellStyle name="Normal 2 4 6 2 5 3" xfId="18341"/>
    <cellStyle name="Normal 2 4 6 2 6" xfId="12519"/>
    <cellStyle name="Normal 2 4 6 2 7" xfId="18337"/>
    <cellStyle name="Normal 2 4 6 2_LNG &amp; LPG rework" xfId="7167"/>
    <cellStyle name="Normal 2 4 6 3" xfId="3886"/>
    <cellStyle name="Normal 2 4 6 3 2" xfId="12524"/>
    <cellStyle name="Normal 2 4 6 3 3" xfId="18342"/>
    <cellStyle name="Normal 2 4 6 4" xfId="3887"/>
    <cellStyle name="Normal 2 4 6 4 2" xfId="12525"/>
    <cellStyle name="Normal 2 4 6 4 3" xfId="18343"/>
    <cellStyle name="Normal 2 4 6 5" xfId="3888"/>
    <cellStyle name="Normal 2 4 6 5 2" xfId="12526"/>
    <cellStyle name="Normal 2 4 6 5 3" xfId="18344"/>
    <cellStyle name="Normal 2 4 6 6" xfId="3889"/>
    <cellStyle name="Normal 2 4 6 6 2" xfId="12527"/>
    <cellStyle name="Normal 2 4 6 6 3" xfId="18345"/>
    <cellStyle name="Normal 2 4 6 7" xfId="3890"/>
    <cellStyle name="Normal 2 4 6 7 2" xfId="12528"/>
    <cellStyle name="Normal 2 4 6 7 3" xfId="18346"/>
    <cellStyle name="Normal 2 4 6 8" xfId="9274"/>
    <cellStyle name="Normal 2 4 6 9" xfId="18336"/>
    <cellStyle name="Normal 2 4 6_LNG &amp; LPG rework" xfId="7166"/>
    <cellStyle name="Normal 2 4 7" xfId="3891"/>
    <cellStyle name="Normal 2 4 7 2" xfId="3892"/>
    <cellStyle name="Normal 2 4 7 2 2" xfId="12530"/>
    <cellStyle name="Normal 2 4 7 2 3" xfId="18348"/>
    <cellStyle name="Normal 2 4 7 3" xfId="3893"/>
    <cellStyle name="Normal 2 4 7 3 2" xfId="12531"/>
    <cellStyle name="Normal 2 4 7 3 3" xfId="18349"/>
    <cellStyle name="Normal 2 4 7 4" xfId="3894"/>
    <cellStyle name="Normal 2 4 7 4 2" xfId="12532"/>
    <cellStyle name="Normal 2 4 7 4 3" xfId="18350"/>
    <cellStyle name="Normal 2 4 7 5" xfId="3895"/>
    <cellStyle name="Normal 2 4 7 5 2" xfId="12533"/>
    <cellStyle name="Normal 2 4 7 5 3" xfId="18351"/>
    <cellStyle name="Normal 2 4 7 6" xfId="12529"/>
    <cellStyle name="Normal 2 4 7 7" xfId="18347"/>
    <cellStyle name="Normal 2 4 7_LNG &amp; LPG rework" xfId="7168"/>
    <cellStyle name="Normal 2 4 8" xfId="3896"/>
    <cellStyle name="Normal 2 4 8 2" xfId="12534"/>
    <cellStyle name="Normal 2 4 8 3" xfId="18352"/>
    <cellStyle name="Normal 2 4 9" xfId="3897"/>
    <cellStyle name="Normal 2 4 9 2" xfId="12535"/>
    <cellStyle name="Normal 2 4 9 3" xfId="18353"/>
    <cellStyle name="Normal 2 4_Data - Monthly Commodity Prices" xfId="6485"/>
    <cellStyle name="Normal 2 5" xfId="437"/>
    <cellStyle name="Normal 2 5 10" xfId="8900"/>
    <cellStyle name="Normal 2 5 2" xfId="438"/>
    <cellStyle name="Normal 2 5 2 10" xfId="3898"/>
    <cellStyle name="Normal 2 5 2 10 2" xfId="12536"/>
    <cellStyle name="Normal 2 5 2 10 3" xfId="18355"/>
    <cellStyle name="Normal 2 5 2 11" xfId="3899"/>
    <cellStyle name="Normal 2 5 2 11 2" xfId="12537"/>
    <cellStyle name="Normal 2 5 2 11 3" xfId="18356"/>
    <cellStyle name="Normal 2 5 2 12" xfId="3900"/>
    <cellStyle name="Normal 2 5 2 12 2" xfId="12538"/>
    <cellStyle name="Normal 2 5 2 12 3" xfId="18357"/>
    <cellStyle name="Normal 2 5 2 13" xfId="3901"/>
    <cellStyle name="Normal 2 5 2 13 2" xfId="12539"/>
    <cellStyle name="Normal 2 5 2 13 3" xfId="18358"/>
    <cellStyle name="Normal 2 5 2 14" xfId="9275"/>
    <cellStyle name="Normal 2 5 2 15" xfId="18354"/>
    <cellStyle name="Normal 2 5 2 2" xfId="439"/>
    <cellStyle name="Normal 2 5 2 2 10" xfId="3902"/>
    <cellStyle name="Normal 2 5 2 2 10 2" xfId="12540"/>
    <cellStyle name="Normal 2 5 2 2 10 3" xfId="18360"/>
    <cellStyle name="Normal 2 5 2 2 11" xfId="3903"/>
    <cellStyle name="Normal 2 5 2 2 11 2" xfId="12541"/>
    <cellStyle name="Normal 2 5 2 2 11 3" xfId="18361"/>
    <cellStyle name="Normal 2 5 2 2 12" xfId="9276"/>
    <cellStyle name="Normal 2 5 2 2 13" xfId="18359"/>
    <cellStyle name="Normal 2 5 2 2 2" xfId="440"/>
    <cellStyle name="Normal 2 5 2 2 2 10" xfId="3904"/>
    <cellStyle name="Normal 2 5 2 2 2 10 2" xfId="12542"/>
    <cellStyle name="Normal 2 5 2 2 2 10 3" xfId="18363"/>
    <cellStyle name="Normal 2 5 2 2 2 11" xfId="9277"/>
    <cellStyle name="Normal 2 5 2 2 2 12" xfId="18362"/>
    <cellStyle name="Normal 2 5 2 2 2 2" xfId="441"/>
    <cellStyle name="Normal 2 5 2 2 2 2 10" xfId="18364"/>
    <cellStyle name="Normal 2 5 2 2 2 2 2" xfId="442"/>
    <cellStyle name="Normal 2 5 2 2 2 2 2 2" xfId="3905"/>
    <cellStyle name="Normal 2 5 2 2 2 2 2 2 2" xfId="12543"/>
    <cellStyle name="Normal 2 5 2 2 2 2 2 2 3" xfId="18366"/>
    <cellStyle name="Normal 2 5 2 2 2 2 2 3" xfId="3906"/>
    <cellStyle name="Normal 2 5 2 2 2 2 2 3 2" xfId="12544"/>
    <cellStyle name="Normal 2 5 2 2 2 2 2 3 3" xfId="18367"/>
    <cellStyle name="Normal 2 5 2 2 2 2 2 4" xfId="3907"/>
    <cellStyle name="Normal 2 5 2 2 2 2 2 4 2" xfId="12545"/>
    <cellStyle name="Normal 2 5 2 2 2 2 2 4 3" xfId="18368"/>
    <cellStyle name="Normal 2 5 2 2 2 2 2 5" xfId="3908"/>
    <cellStyle name="Normal 2 5 2 2 2 2 2 5 2" xfId="12546"/>
    <cellStyle name="Normal 2 5 2 2 2 2 2 5 3" xfId="18369"/>
    <cellStyle name="Normal 2 5 2 2 2 2 2 6" xfId="3909"/>
    <cellStyle name="Normal 2 5 2 2 2 2 2 6 2" xfId="12547"/>
    <cellStyle name="Normal 2 5 2 2 2 2 2 6 3" xfId="18370"/>
    <cellStyle name="Normal 2 5 2 2 2 2 2 7" xfId="9279"/>
    <cellStyle name="Normal 2 5 2 2 2 2 2 8" xfId="18365"/>
    <cellStyle name="Normal 2 5 2 2 2 2 2_LNG &amp; LPG rework" xfId="7173"/>
    <cellStyle name="Normal 2 5 2 2 2 2 3" xfId="3910"/>
    <cellStyle name="Normal 2 5 2 2 2 2 3 2" xfId="3911"/>
    <cellStyle name="Normal 2 5 2 2 2 2 3 2 2" xfId="12549"/>
    <cellStyle name="Normal 2 5 2 2 2 2 3 2 3" xfId="18372"/>
    <cellStyle name="Normal 2 5 2 2 2 2 3 3" xfId="3912"/>
    <cellStyle name="Normal 2 5 2 2 2 2 3 3 2" xfId="12550"/>
    <cellStyle name="Normal 2 5 2 2 2 2 3 3 3" xfId="18373"/>
    <cellStyle name="Normal 2 5 2 2 2 2 3 4" xfId="3913"/>
    <cellStyle name="Normal 2 5 2 2 2 2 3 4 2" xfId="12551"/>
    <cellStyle name="Normal 2 5 2 2 2 2 3 4 3" xfId="18374"/>
    <cellStyle name="Normal 2 5 2 2 2 2 3 5" xfId="3914"/>
    <cellStyle name="Normal 2 5 2 2 2 2 3 5 2" xfId="12552"/>
    <cellStyle name="Normal 2 5 2 2 2 2 3 5 3" xfId="18375"/>
    <cellStyle name="Normal 2 5 2 2 2 2 3 6" xfId="12548"/>
    <cellStyle name="Normal 2 5 2 2 2 2 3 7" xfId="18371"/>
    <cellStyle name="Normal 2 5 2 2 2 2 3_LNG &amp; LPG rework" xfId="7174"/>
    <cellStyle name="Normal 2 5 2 2 2 2 4" xfId="3915"/>
    <cellStyle name="Normal 2 5 2 2 2 2 4 2" xfId="12553"/>
    <cellStyle name="Normal 2 5 2 2 2 2 4 3" xfId="18376"/>
    <cellStyle name="Normal 2 5 2 2 2 2 5" xfId="3916"/>
    <cellStyle name="Normal 2 5 2 2 2 2 5 2" xfId="12554"/>
    <cellStyle name="Normal 2 5 2 2 2 2 5 3" xfId="18377"/>
    <cellStyle name="Normal 2 5 2 2 2 2 6" xfId="3917"/>
    <cellStyle name="Normal 2 5 2 2 2 2 6 2" xfId="12555"/>
    <cellStyle name="Normal 2 5 2 2 2 2 6 3" xfId="18378"/>
    <cellStyle name="Normal 2 5 2 2 2 2 7" xfId="3918"/>
    <cellStyle name="Normal 2 5 2 2 2 2 7 2" xfId="12556"/>
    <cellStyle name="Normal 2 5 2 2 2 2 7 3" xfId="18379"/>
    <cellStyle name="Normal 2 5 2 2 2 2 8" xfId="3919"/>
    <cellStyle name="Normal 2 5 2 2 2 2 8 2" xfId="12557"/>
    <cellStyle name="Normal 2 5 2 2 2 2 8 3" xfId="18380"/>
    <cellStyle name="Normal 2 5 2 2 2 2 9" xfId="9278"/>
    <cellStyle name="Normal 2 5 2 2 2 2_LNG &amp; LPG rework" xfId="7172"/>
    <cellStyle name="Normal 2 5 2 2 2 3" xfId="443"/>
    <cellStyle name="Normal 2 5 2 2 2 3 2" xfId="3920"/>
    <cellStyle name="Normal 2 5 2 2 2 3 2 2" xfId="12558"/>
    <cellStyle name="Normal 2 5 2 2 2 3 2 3" xfId="18382"/>
    <cellStyle name="Normal 2 5 2 2 2 3 3" xfId="3921"/>
    <cellStyle name="Normal 2 5 2 2 2 3 3 2" xfId="12559"/>
    <cellStyle name="Normal 2 5 2 2 2 3 3 3" xfId="18383"/>
    <cellStyle name="Normal 2 5 2 2 2 3 4" xfId="3922"/>
    <cellStyle name="Normal 2 5 2 2 2 3 4 2" xfId="12560"/>
    <cellStyle name="Normal 2 5 2 2 2 3 4 3" xfId="18384"/>
    <cellStyle name="Normal 2 5 2 2 2 3 5" xfId="3923"/>
    <cellStyle name="Normal 2 5 2 2 2 3 5 2" xfId="12561"/>
    <cellStyle name="Normal 2 5 2 2 2 3 5 3" xfId="18385"/>
    <cellStyle name="Normal 2 5 2 2 2 3 6" xfId="3924"/>
    <cellStyle name="Normal 2 5 2 2 2 3 6 2" xfId="12562"/>
    <cellStyle name="Normal 2 5 2 2 2 3 6 3" xfId="18386"/>
    <cellStyle name="Normal 2 5 2 2 2 3 7" xfId="9280"/>
    <cellStyle name="Normal 2 5 2 2 2 3 8" xfId="18381"/>
    <cellStyle name="Normal 2 5 2 2 2 3_LNG &amp; LPG rework" xfId="7175"/>
    <cellStyle name="Normal 2 5 2 2 2 4" xfId="3925"/>
    <cellStyle name="Normal 2 5 2 2 2 4 2" xfId="3926"/>
    <cellStyle name="Normal 2 5 2 2 2 4 2 2" xfId="12564"/>
    <cellStyle name="Normal 2 5 2 2 2 4 2 3" xfId="18388"/>
    <cellStyle name="Normal 2 5 2 2 2 4 3" xfId="3927"/>
    <cellStyle name="Normal 2 5 2 2 2 4 3 2" xfId="12565"/>
    <cellStyle name="Normal 2 5 2 2 2 4 3 3" xfId="18389"/>
    <cellStyle name="Normal 2 5 2 2 2 4 4" xfId="3928"/>
    <cellStyle name="Normal 2 5 2 2 2 4 4 2" xfId="12566"/>
    <cellStyle name="Normal 2 5 2 2 2 4 4 3" xfId="18390"/>
    <cellStyle name="Normal 2 5 2 2 2 4 5" xfId="3929"/>
    <cellStyle name="Normal 2 5 2 2 2 4 5 2" xfId="12567"/>
    <cellStyle name="Normal 2 5 2 2 2 4 5 3" xfId="18391"/>
    <cellStyle name="Normal 2 5 2 2 2 4 6" xfId="12563"/>
    <cellStyle name="Normal 2 5 2 2 2 4 7" xfId="18387"/>
    <cellStyle name="Normal 2 5 2 2 2 4_LNG &amp; LPG rework" xfId="7176"/>
    <cellStyle name="Normal 2 5 2 2 2 5" xfId="3930"/>
    <cellStyle name="Normal 2 5 2 2 2 5 2" xfId="3931"/>
    <cellStyle name="Normal 2 5 2 2 2 5 2 2" xfId="12569"/>
    <cellStyle name="Normal 2 5 2 2 2 5 2 3" xfId="18393"/>
    <cellStyle name="Normal 2 5 2 2 2 5 3" xfId="3932"/>
    <cellStyle name="Normal 2 5 2 2 2 5 3 2" xfId="12570"/>
    <cellStyle name="Normal 2 5 2 2 2 5 3 3" xfId="18394"/>
    <cellStyle name="Normal 2 5 2 2 2 5 4" xfId="3933"/>
    <cellStyle name="Normal 2 5 2 2 2 5 4 2" xfId="12571"/>
    <cellStyle name="Normal 2 5 2 2 2 5 4 3" xfId="18395"/>
    <cellStyle name="Normal 2 5 2 2 2 5 5" xfId="3934"/>
    <cellStyle name="Normal 2 5 2 2 2 5 5 2" xfId="12572"/>
    <cellStyle name="Normal 2 5 2 2 2 5 5 3" xfId="18396"/>
    <cellStyle name="Normal 2 5 2 2 2 5 6" xfId="12568"/>
    <cellStyle name="Normal 2 5 2 2 2 5 7" xfId="18392"/>
    <cellStyle name="Normal 2 5 2 2 2 5_LNG &amp; LPG rework" xfId="7177"/>
    <cellStyle name="Normal 2 5 2 2 2 6" xfId="3935"/>
    <cellStyle name="Normal 2 5 2 2 2 6 2" xfId="12573"/>
    <cellStyle name="Normal 2 5 2 2 2 6 3" xfId="18397"/>
    <cellStyle name="Normal 2 5 2 2 2 7" xfId="3936"/>
    <cellStyle name="Normal 2 5 2 2 2 7 2" xfId="12574"/>
    <cellStyle name="Normal 2 5 2 2 2 7 3" xfId="18398"/>
    <cellStyle name="Normal 2 5 2 2 2 8" xfId="3937"/>
    <cellStyle name="Normal 2 5 2 2 2 8 2" xfId="12575"/>
    <cellStyle name="Normal 2 5 2 2 2 8 3" xfId="18399"/>
    <cellStyle name="Normal 2 5 2 2 2 9" xfId="3938"/>
    <cellStyle name="Normal 2 5 2 2 2 9 2" xfId="12576"/>
    <cellStyle name="Normal 2 5 2 2 2 9 3" xfId="18400"/>
    <cellStyle name="Normal 2 5 2 2 2_LNG &amp; LPG rework" xfId="7171"/>
    <cellStyle name="Normal 2 5 2 2 3" xfId="444"/>
    <cellStyle name="Normal 2 5 2 2 3 10" xfId="18401"/>
    <cellStyle name="Normal 2 5 2 2 3 2" xfId="445"/>
    <cellStyle name="Normal 2 5 2 2 3 2 2" xfId="3939"/>
    <cellStyle name="Normal 2 5 2 2 3 2 2 2" xfId="12577"/>
    <cellStyle name="Normal 2 5 2 2 3 2 2 3" xfId="18403"/>
    <cellStyle name="Normal 2 5 2 2 3 2 3" xfId="3940"/>
    <cellStyle name="Normal 2 5 2 2 3 2 3 2" xfId="12578"/>
    <cellStyle name="Normal 2 5 2 2 3 2 3 3" xfId="18404"/>
    <cellStyle name="Normal 2 5 2 2 3 2 4" xfId="3941"/>
    <cellStyle name="Normal 2 5 2 2 3 2 4 2" xfId="12579"/>
    <cellStyle name="Normal 2 5 2 2 3 2 4 3" xfId="18405"/>
    <cellStyle name="Normal 2 5 2 2 3 2 5" xfId="3942"/>
    <cellStyle name="Normal 2 5 2 2 3 2 5 2" xfId="12580"/>
    <cellStyle name="Normal 2 5 2 2 3 2 5 3" xfId="18406"/>
    <cellStyle name="Normal 2 5 2 2 3 2 6" xfId="3943"/>
    <cellStyle name="Normal 2 5 2 2 3 2 6 2" xfId="12581"/>
    <cellStyle name="Normal 2 5 2 2 3 2 6 3" xfId="18407"/>
    <cellStyle name="Normal 2 5 2 2 3 2 7" xfId="9282"/>
    <cellStyle name="Normal 2 5 2 2 3 2 8" xfId="18402"/>
    <cellStyle name="Normal 2 5 2 2 3 2_LNG &amp; LPG rework" xfId="7179"/>
    <cellStyle name="Normal 2 5 2 2 3 3" xfId="3944"/>
    <cellStyle name="Normal 2 5 2 2 3 3 2" xfId="3945"/>
    <cellStyle name="Normal 2 5 2 2 3 3 2 2" xfId="12583"/>
    <cellStyle name="Normal 2 5 2 2 3 3 2 3" xfId="18409"/>
    <cellStyle name="Normal 2 5 2 2 3 3 3" xfId="3946"/>
    <cellStyle name="Normal 2 5 2 2 3 3 3 2" xfId="12584"/>
    <cellStyle name="Normal 2 5 2 2 3 3 3 3" xfId="18410"/>
    <cellStyle name="Normal 2 5 2 2 3 3 4" xfId="3947"/>
    <cellStyle name="Normal 2 5 2 2 3 3 4 2" xfId="12585"/>
    <cellStyle name="Normal 2 5 2 2 3 3 4 3" xfId="18411"/>
    <cellStyle name="Normal 2 5 2 2 3 3 5" xfId="3948"/>
    <cellStyle name="Normal 2 5 2 2 3 3 5 2" xfId="12586"/>
    <cellStyle name="Normal 2 5 2 2 3 3 5 3" xfId="18412"/>
    <cellStyle name="Normal 2 5 2 2 3 3 6" xfId="12582"/>
    <cellStyle name="Normal 2 5 2 2 3 3 7" xfId="18408"/>
    <cellStyle name="Normal 2 5 2 2 3 3_LNG &amp; LPG rework" xfId="7180"/>
    <cellStyle name="Normal 2 5 2 2 3 4" xfId="3949"/>
    <cellStyle name="Normal 2 5 2 2 3 4 2" xfId="12587"/>
    <cellStyle name="Normal 2 5 2 2 3 4 3" xfId="18413"/>
    <cellStyle name="Normal 2 5 2 2 3 5" xfId="3950"/>
    <cellStyle name="Normal 2 5 2 2 3 5 2" xfId="12588"/>
    <cellStyle name="Normal 2 5 2 2 3 5 3" xfId="18414"/>
    <cellStyle name="Normal 2 5 2 2 3 6" xfId="3951"/>
    <cellStyle name="Normal 2 5 2 2 3 6 2" xfId="12589"/>
    <cellStyle name="Normal 2 5 2 2 3 6 3" xfId="18415"/>
    <cellStyle name="Normal 2 5 2 2 3 7" xfId="3952"/>
    <cellStyle name="Normal 2 5 2 2 3 7 2" xfId="12590"/>
    <cellStyle name="Normal 2 5 2 2 3 7 3" xfId="18416"/>
    <cellStyle name="Normal 2 5 2 2 3 8" xfId="3953"/>
    <cellStyle name="Normal 2 5 2 2 3 8 2" xfId="12591"/>
    <cellStyle name="Normal 2 5 2 2 3 8 3" xfId="18417"/>
    <cellStyle name="Normal 2 5 2 2 3 9" xfId="9281"/>
    <cellStyle name="Normal 2 5 2 2 3_LNG &amp; LPG rework" xfId="7178"/>
    <cellStyle name="Normal 2 5 2 2 4" xfId="446"/>
    <cellStyle name="Normal 2 5 2 2 4 2" xfId="3954"/>
    <cellStyle name="Normal 2 5 2 2 4 2 2" xfId="12592"/>
    <cellStyle name="Normal 2 5 2 2 4 2 3" xfId="18419"/>
    <cellStyle name="Normal 2 5 2 2 4 3" xfId="3955"/>
    <cellStyle name="Normal 2 5 2 2 4 3 2" xfId="12593"/>
    <cellStyle name="Normal 2 5 2 2 4 3 3" xfId="18420"/>
    <cellStyle name="Normal 2 5 2 2 4 4" xfId="3956"/>
    <cellStyle name="Normal 2 5 2 2 4 4 2" xfId="12594"/>
    <cellStyle name="Normal 2 5 2 2 4 4 3" xfId="18421"/>
    <cellStyle name="Normal 2 5 2 2 4 5" xfId="3957"/>
    <cellStyle name="Normal 2 5 2 2 4 5 2" xfId="12595"/>
    <cellStyle name="Normal 2 5 2 2 4 5 3" xfId="18422"/>
    <cellStyle name="Normal 2 5 2 2 4 6" xfId="3958"/>
    <cellStyle name="Normal 2 5 2 2 4 6 2" xfId="12596"/>
    <cellStyle name="Normal 2 5 2 2 4 6 3" xfId="18423"/>
    <cellStyle name="Normal 2 5 2 2 4 7" xfId="9283"/>
    <cellStyle name="Normal 2 5 2 2 4 8" xfId="18418"/>
    <cellStyle name="Normal 2 5 2 2 4_LNG &amp; LPG rework" xfId="7181"/>
    <cellStyle name="Normal 2 5 2 2 5" xfId="3959"/>
    <cellStyle name="Normal 2 5 2 2 5 2" xfId="3960"/>
    <cellStyle name="Normal 2 5 2 2 5 2 2" xfId="12598"/>
    <cellStyle name="Normal 2 5 2 2 5 2 3" xfId="18425"/>
    <cellStyle name="Normal 2 5 2 2 5 3" xfId="3961"/>
    <cellStyle name="Normal 2 5 2 2 5 3 2" xfId="12599"/>
    <cellStyle name="Normal 2 5 2 2 5 3 3" xfId="18426"/>
    <cellStyle name="Normal 2 5 2 2 5 4" xfId="3962"/>
    <cellStyle name="Normal 2 5 2 2 5 4 2" xfId="12600"/>
    <cellStyle name="Normal 2 5 2 2 5 4 3" xfId="18427"/>
    <cellStyle name="Normal 2 5 2 2 5 5" xfId="3963"/>
    <cellStyle name="Normal 2 5 2 2 5 5 2" xfId="12601"/>
    <cellStyle name="Normal 2 5 2 2 5 5 3" xfId="18428"/>
    <cellStyle name="Normal 2 5 2 2 5 6" xfId="12597"/>
    <cellStyle name="Normal 2 5 2 2 5 7" xfId="18424"/>
    <cellStyle name="Normal 2 5 2 2 5_LNG &amp; LPG rework" xfId="7182"/>
    <cellStyle name="Normal 2 5 2 2 6" xfId="3964"/>
    <cellStyle name="Normal 2 5 2 2 6 2" xfId="3965"/>
    <cellStyle name="Normal 2 5 2 2 6 2 2" xfId="12603"/>
    <cellStyle name="Normal 2 5 2 2 6 2 3" xfId="18430"/>
    <cellStyle name="Normal 2 5 2 2 6 3" xfId="3966"/>
    <cellStyle name="Normal 2 5 2 2 6 3 2" xfId="12604"/>
    <cellStyle name="Normal 2 5 2 2 6 3 3" xfId="18431"/>
    <cellStyle name="Normal 2 5 2 2 6 4" xfId="3967"/>
    <cellStyle name="Normal 2 5 2 2 6 4 2" xfId="12605"/>
    <cellStyle name="Normal 2 5 2 2 6 4 3" xfId="18432"/>
    <cellStyle name="Normal 2 5 2 2 6 5" xfId="3968"/>
    <cellStyle name="Normal 2 5 2 2 6 5 2" xfId="12606"/>
    <cellStyle name="Normal 2 5 2 2 6 5 3" xfId="18433"/>
    <cellStyle name="Normal 2 5 2 2 6 6" xfId="12602"/>
    <cellStyle name="Normal 2 5 2 2 6 7" xfId="18429"/>
    <cellStyle name="Normal 2 5 2 2 6_LNG &amp; LPG rework" xfId="7183"/>
    <cellStyle name="Normal 2 5 2 2 7" xfId="3969"/>
    <cellStyle name="Normal 2 5 2 2 7 2" xfId="12607"/>
    <cellStyle name="Normal 2 5 2 2 7 3" xfId="18434"/>
    <cellStyle name="Normal 2 5 2 2 8" xfId="3970"/>
    <cellStyle name="Normal 2 5 2 2 8 2" xfId="12608"/>
    <cellStyle name="Normal 2 5 2 2 8 3" xfId="18435"/>
    <cellStyle name="Normal 2 5 2 2 9" xfId="3971"/>
    <cellStyle name="Normal 2 5 2 2 9 2" xfId="12609"/>
    <cellStyle name="Normal 2 5 2 2 9 3" xfId="18436"/>
    <cellStyle name="Normal 2 5 2 2_LNG &amp; LPG rework" xfId="7170"/>
    <cellStyle name="Normal 2 5 2 3" xfId="447"/>
    <cellStyle name="Normal 2 5 2 3 10" xfId="3972"/>
    <cellStyle name="Normal 2 5 2 3 10 2" xfId="12610"/>
    <cellStyle name="Normal 2 5 2 3 10 3" xfId="18438"/>
    <cellStyle name="Normal 2 5 2 3 11" xfId="9284"/>
    <cellStyle name="Normal 2 5 2 3 12" xfId="18437"/>
    <cellStyle name="Normal 2 5 2 3 2" xfId="448"/>
    <cellStyle name="Normal 2 5 2 3 2 10" xfId="18439"/>
    <cellStyle name="Normal 2 5 2 3 2 2" xfId="449"/>
    <cellStyle name="Normal 2 5 2 3 2 2 2" xfId="3973"/>
    <cellStyle name="Normal 2 5 2 3 2 2 2 2" xfId="12611"/>
    <cellStyle name="Normal 2 5 2 3 2 2 2 3" xfId="18441"/>
    <cellStyle name="Normal 2 5 2 3 2 2 3" xfId="3974"/>
    <cellStyle name="Normal 2 5 2 3 2 2 3 2" xfId="12612"/>
    <cellStyle name="Normal 2 5 2 3 2 2 3 3" xfId="18442"/>
    <cellStyle name="Normal 2 5 2 3 2 2 4" xfId="3975"/>
    <cellStyle name="Normal 2 5 2 3 2 2 4 2" xfId="12613"/>
    <cellStyle name="Normal 2 5 2 3 2 2 4 3" xfId="18443"/>
    <cellStyle name="Normal 2 5 2 3 2 2 5" xfId="3976"/>
    <cellStyle name="Normal 2 5 2 3 2 2 5 2" xfId="12614"/>
    <cellStyle name="Normal 2 5 2 3 2 2 5 3" xfId="18444"/>
    <cellStyle name="Normal 2 5 2 3 2 2 6" xfId="3977"/>
    <cellStyle name="Normal 2 5 2 3 2 2 6 2" xfId="12615"/>
    <cellStyle name="Normal 2 5 2 3 2 2 6 3" xfId="18445"/>
    <cellStyle name="Normal 2 5 2 3 2 2 7" xfId="9286"/>
    <cellStyle name="Normal 2 5 2 3 2 2 8" xfId="18440"/>
    <cellStyle name="Normal 2 5 2 3 2 2_LNG &amp; LPG rework" xfId="7186"/>
    <cellStyle name="Normal 2 5 2 3 2 3" xfId="3978"/>
    <cellStyle name="Normal 2 5 2 3 2 3 2" xfId="3979"/>
    <cellStyle name="Normal 2 5 2 3 2 3 2 2" xfId="12617"/>
    <cellStyle name="Normal 2 5 2 3 2 3 2 3" xfId="18447"/>
    <cellStyle name="Normal 2 5 2 3 2 3 3" xfId="3980"/>
    <cellStyle name="Normal 2 5 2 3 2 3 3 2" xfId="12618"/>
    <cellStyle name="Normal 2 5 2 3 2 3 3 3" xfId="18448"/>
    <cellStyle name="Normal 2 5 2 3 2 3 4" xfId="3981"/>
    <cellStyle name="Normal 2 5 2 3 2 3 4 2" xfId="12619"/>
    <cellStyle name="Normal 2 5 2 3 2 3 4 3" xfId="18449"/>
    <cellStyle name="Normal 2 5 2 3 2 3 5" xfId="3982"/>
    <cellStyle name="Normal 2 5 2 3 2 3 5 2" xfId="12620"/>
    <cellStyle name="Normal 2 5 2 3 2 3 5 3" xfId="18450"/>
    <cellStyle name="Normal 2 5 2 3 2 3 6" xfId="12616"/>
    <cellStyle name="Normal 2 5 2 3 2 3 7" xfId="18446"/>
    <cellStyle name="Normal 2 5 2 3 2 3_LNG &amp; LPG rework" xfId="7187"/>
    <cellStyle name="Normal 2 5 2 3 2 4" xfId="3983"/>
    <cellStyle name="Normal 2 5 2 3 2 4 2" xfId="12621"/>
    <cellStyle name="Normal 2 5 2 3 2 4 3" xfId="18451"/>
    <cellStyle name="Normal 2 5 2 3 2 5" xfId="3984"/>
    <cellStyle name="Normal 2 5 2 3 2 5 2" xfId="12622"/>
    <cellStyle name="Normal 2 5 2 3 2 5 3" xfId="18452"/>
    <cellStyle name="Normal 2 5 2 3 2 6" xfId="3985"/>
    <cellStyle name="Normal 2 5 2 3 2 6 2" xfId="12623"/>
    <cellStyle name="Normal 2 5 2 3 2 6 3" xfId="18453"/>
    <cellStyle name="Normal 2 5 2 3 2 7" xfId="3986"/>
    <cellStyle name="Normal 2 5 2 3 2 7 2" xfId="12624"/>
    <cellStyle name="Normal 2 5 2 3 2 7 3" xfId="18454"/>
    <cellStyle name="Normal 2 5 2 3 2 8" xfId="3987"/>
    <cellStyle name="Normal 2 5 2 3 2 8 2" xfId="12625"/>
    <cellStyle name="Normal 2 5 2 3 2 8 3" xfId="18455"/>
    <cellStyle name="Normal 2 5 2 3 2 9" xfId="9285"/>
    <cellStyle name="Normal 2 5 2 3 2_LNG &amp; LPG rework" xfId="7185"/>
    <cellStyle name="Normal 2 5 2 3 3" xfId="450"/>
    <cellStyle name="Normal 2 5 2 3 3 2" xfId="3988"/>
    <cellStyle name="Normal 2 5 2 3 3 2 2" xfId="12626"/>
    <cellStyle name="Normal 2 5 2 3 3 2 3" xfId="18457"/>
    <cellStyle name="Normal 2 5 2 3 3 3" xfId="3989"/>
    <cellStyle name="Normal 2 5 2 3 3 3 2" xfId="12627"/>
    <cellStyle name="Normal 2 5 2 3 3 3 3" xfId="18458"/>
    <cellStyle name="Normal 2 5 2 3 3 4" xfId="3990"/>
    <cellStyle name="Normal 2 5 2 3 3 4 2" xfId="12628"/>
    <cellStyle name="Normal 2 5 2 3 3 4 3" xfId="18459"/>
    <cellStyle name="Normal 2 5 2 3 3 5" xfId="3991"/>
    <cellStyle name="Normal 2 5 2 3 3 5 2" xfId="12629"/>
    <cellStyle name="Normal 2 5 2 3 3 5 3" xfId="18460"/>
    <cellStyle name="Normal 2 5 2 3 3 6" xfId="3992"/>
    <cellStyle name="Normal 2 5 2 3 3 6 2" xfId="12630"/>
    <cellStyle name="Normal 2 5 2 3 3 6 3" xfId="18461"/>
    <cellStyle name="Normal 2 5 2 3 3 7" xfId="9287"/>
    <cellStyle name="Normal 2 5 2 3 3 8" xfId="18456"/>
    <cellStyle name="Normal 2 5 2 3 3_LNG &amp; LPG rework" xfId="7188"/>
    <cellStyle name="Normal 2 5 2 3 4" xfId="3993"/>
    <cellStyle name="Normal 2 5 2 3 4 2" xfId="3994"/>
    <cellStyle name="Normal 2 5 2 3 4 2 2" xfId="12632"/>
    <cellStyle name="Normal 2 5 2 3 4 2 3" xfId="18463"/>
    <cellStyle name="Normal 2 5 2 3 4 3" xfId="3995"/>
    <cellStyle name="Normal 2 5 2 3 4 3 2" xfId="12633"/>
    <cellStyle name="Normal 2 5 2 3 4 3 3" xfId="18464"/>
    <cellStyle name="Normal 2 5 2 3 4 4" xfId="3996"/>
    <cellStyle name="Normal 2 5 2 3 4 4 2" xfId="12634"/>
    <cellStyle name="Normal 2 5 2 3 4 4 3" xfId="18465"/>
    <cellStyle name="Normal 2 5 2 3 4 5" xfId="3997"/>
    <cellStyle name="Normal 2 5 2 3 4 5 2" xfId="12635"/>
    <cellStyle name="Normal 2 5 2 3 4 5 3" xfId="18466"/>
    <cellStyle name="Normal 2 5 2 3 4 6" xfId="12631"/>
    <cellStyle name="Normal 2 5 2 3 4 7" xfId="18462"/>
    <cellStyle name="Normal 2 5 2 3 4_LNG &amp; LPG rework" xfId="7189"/>
    <cellStyle name="Normal 2 5 2 3 5" xfId="3998"/>
    <cellStyle name="Normal 2 5 2 3 5 2" xfId="3999"/>
    <cellStyle name="Normal 2 5 2 3 5 2 2" xfId="12637"/>
    <cellStyle name="Normal 2 5 2 3 5 2 3" xfId="18468"/>
    <cellStyle name="Normal 2 5 2 3 5 3" xfId="4000"/>
    <cellStyle name="Normal 2 5 2 3 5 3 2" xfId="12638"/>
    <cellStyle name="Normal 2 5 2 3 5 3 3" xfId="18469"/>
    <cellStyle name="Normal 2 5 2 3 5 4" xfId="4001"/>
    <cellStyle name="Normal 2 5 2 3 5 4 2" xfId="12639"/>
    <cellStyle name="Normal 2 5 2 3 5 4 3" xfId="18470"/>
    <cellStyle name="Normal 2 5 2 3 5 5" xfId="4002"/>
    <cellStyle name="Normal 2 5 2 3 5 5 2" xfId="12640"/>
    <cellStyle name="Normal 2 5 2 3 5 5 3" xfId="18471"/>
    <cellStyle name="Normal 2 5 2 3 5 6" xfId="12636"/>
    <cellStyle name="Normal 2 5 2 3 5 7" xfId="18467"/>
    <cellStyle name="Normal 2 5 2 3 5_LNG &amp; LPG rework" xfId="7190"/>
    <cellStyle name="Normal 2 5 2 3 6" xfId="4003"/>
    <cellStyle name="Normal 2 5 2 3 6 2" xfId="12641"/>
    <cellStyle name="Normal 2 5 2 3 6 3" xfId="18472"/>
    <cellStyle name="Normal 2 5 2 3 7" xfId="4004"/>
    <cellStyle name="Normal 2 5 2 3 7 2" xfId="12642"/>
    <cellStyle name="Normal 2 5 2 3 7 3" xfId="18473"/>
    <cellStyle name="Normal 2 5 2 3 8" xfId="4005"/>
    <cellStyle name="Normal 2 5 2 3 8 2" xfId="12643"/>
    <cellStyle name="Normal 2 5 2 3 8 3" xfId="18474"/>
    <cellStyle name="Normal 2 5 2 3 9" xfId="4006"/>
    <cellStyle name="Normal 2 5 2 3 9 2" xfId="12644"/>
    <cellStyle name="Normal 2 5 2 3 9 3" xfId="18475"/>
    <cellStyle name="Normal 2 5 2 3_LNG &amp; LPG rework" xfId="7184"/>
    <cellStyle name="Normal 2 5 2 4" xfId="451"/>
    <cellStyle name="Normal 2 5 2 4 10" xfId="18476"/>
    <cellStyle name="Normal 2 5 2 4 2" xfId="452"/>
    <cellStyle name="Normal 2 5 2 4 2 2" xfId="4007"/>
    <cellStyle name="Normal 2 5 2 4 2 2 2" xfId="12645"/>
    <cellStyle name="Normal 2 5 2 4 2 2 3" xfId="18478"/>
    <cellStyle name="Normal 2 5 2 4 2 3" xfId="4008"/>
    <cellStyle name="Normal 2 5 2 4 2 3 2" xfId="12646"/>
    <cellStyle name="Normal 2 5 2 4 2 3 3" xfId="18479"/>
    <cellStyle name="Normal 2 5 2 4 2 4" xfId="4009"/>
    <cellStyle name="Normal 2 5 2 4 2 4 2" xfId="12647"/>
    <cellStyle name="Normal 2 5 2 4 2 4 3" xfId="18480"/>
    <cellStyle name="Normal 2 5 2 4 2 5" xfId="4010"/>
    <cellStyle name="Normal 2 5 2 4 2 5 2" xfId="12648"/>
    <cellStyle name="Normal 2 5 2 4 2 5 3" xfId="18481"/>
    <cellStyle name="Normal 2 5 2 4 2 6" xfId="4011"/>
    <cellStyle name="Normal 2 5 2 4 2 6 2" xfId="12649"/>
    <cellStyle name="Normal 2 5 2 4 2 6 3" xfId="18482"/>
    <cellStyle name="Normal 2 5 2 4 2 7" xfId="9289"/>
    <cellStyle name="Normal 2 5 2 4 2 8" xfId="18477"/>
    <cellStyle name="Normal 2 5 2 4 2_LNG &amp; LPG rework" xfId="7192"/>
    <cellStyle name="Normal 2 5 2 4 3" xfId="4012"/>
    <cellStyle name="Normal 2 5 2 4 3 2" xfId="4013"/>
    <cellStyle name="Normal 2 5 2 4 3 2 2" xfId="12651"/>
    <cellStyle name="Normal 2 5 2 4 3 2 3" xfId="18484"/>
    <cellStyle name="Normal 2 5 2 4 3 3" xfId="4014"/>
    <cellStyle name="Normal 2 5 2 4 3 3 2" xfId="12652"/>
    <cellStyle name="Normal 2 5 2 4 3 3 3" xfId="18485"/>
    <cellStyle name="Normal 2 5 2 4 3 4" xfId="4015"/>
    <cellStyle name="Normal 2 5 2 4 3 4 2" xfId="12653"/>
    <cellStyle name="Normal 2 5 2 4 3 4 3" xfId="18486"/>
    <cellStyle name="Normal 2 5 2 4 3 5" xfId="4016"/>
    <cellStyle name="Normal 2 5 2 4 3 5 2" xfId="12654"/>
    <cellStyle name="Normal 2 5 2 4 3 5 3" xfId="18487"/>
    <cellStyle name="Normal 2 5 2 4 3 6" xfId="12650"/>
    <cellStyle name="Normal 2 5 2 4 3 7" xfId="18483"/>
    <cellStyle name="Normal 2 5 2 4 3_LNG &amp; LPG rework" xfId="7193"/>
    <cellStyle name="Normal 2 5 2 4 4" xfId="4017"/>
    <cellStyle name="Normal 2 5 2 4 4 2" xfId="12655"/>
    <cellStyle name="Normal 2 5 2 4 4 3" xfId="18488"/>
    <cellStyle name="Normal 2 5 2 4 5" xfId="4018"/>
    <cellStyle name="Normal 2 5 2 4 5 2" xfId="12656"/>
    <cellStyle name="Normal 2 5 2 4 5 3" xfId="18489"/>
    <cellStyle name="Normal 2 5 2 4 6" xfId="4019"/>
    <cellStyle name="Normal 2 5 2 4 6 2" xfId="12657"/>
    <cellStyle name="Normal 2 5 2 4 6 3" xfId="18490"/>
    <cellStyle name="Normal 2 5 2 4 7" xfId="4020"/>
    <cellStyle name="Normal 2 5 2 4 7 2" xfId="12658"/>
    <cellStyle name="Normal 2 5 2 4 7 3" xfId="18491"/>
    <cellStyle name="Normal 2 5 2 4 8" xfId="4021"/>
    <cellStyle name="Normal 2 5 2 4 8 2" xfId="12659"/>
    <cellStyle name="Normal 2 5 2 4 8 3" xfId="18492"/>
    <cellStyle name="Normal 2 5 2 4 9" xfId="9288"/>
    <cellStyle name="Normal 2 5 2 4_LNG &amp; LPG rework" xfId="7191"/>
    <cellStyle name="Normal 2 5 2 5" xfId="453"/>
    <cellStyle name="Normal 2 5 2 5 2" xfId="4022"/>
    <cellStyle name="Normal 2 5 2 5 2 2" xfId="12660"/>
    <cellStyle name="Normal 2 5 2 5 2 3" xfId="18494"/>
    <cellStyle name="Normal 2 5 2 5 3" xfId="4023"/>
    <cellStyle name="Normal 2 5 2 5 3 2" xfId="12661"/>
    <cellStyle name="Normal 2 5 2 5 3 3" xfId="18495"/>
    <cellStyle name="Normal 2 5 2 5 4" xfId="9290"/>
    <cellStyle name="Normal 2 5 2 5 5" xfId="18493"/>
    <cellStyle name="Normal 2 5 2 5_LNG &amp; LPG rework" xfId="7194"/>
    <cellStyle name="Normal 2 5 2 6" xfId="4024"/>
    <cellStyle name="Normal 2 5 2 6 2" xfId="4025"/>
    <cellStyle name="Normal 2 5 2 6 2 2" xfId="12663"/>
    <cellStyle name="Normal 2 5 2 6 2 3" xfId="18497"/>
    <cellStyle name="Normal 2 5 2 6 3" xfId="4026"/>
    <cellStyle name="Normal 2 5 2 6 3 2" xfId="12664"/>
    <cellStyle name="Normal 2 5 2 6 3 3" xfId="18498"/>
    <cellStyle name="Normal 2 5 2 6 4" xfId="4027"/>
    <cellStyle name="Normal 2 5 2 6 4 2" xfId="12665"/>
    <cellStyle name="Normal 2 5 2 6 4 3" xfId="18499"/>
    <cellStyle name="Normal 2 5 2 6 5" xfId="4028"/>
    <cellStyle name="Normal 2 5 2 6 5 2" xfId="12666"/>
    <cellStyle name="Normal 2 5 2 6 5 3" xfId="18500"/>
    <cellStyle name="Normal 2 5 2 6 6" xfId="12662"/>
    <cellStyle name="Normal 2 5 2 6 7" xfId="18496"/>
    <cellStyle name="Normal 2 5 2 6_LNG &amp; LPG rework" xfId="7195"/>
    <cellStyle name="Normal 2 5 2 7" xfId="4029"/>
    <cellStyle name="Normal 2 5 2 7 2" xfId="4030"/>
    <cellStyle name="Normal 2 5 2 7 2 2" xfId="12668"/>
    <cellStyle name="Normal 2 5 2 7 2 3" xfId="18502"/>
    <cellStyle name="Normal 2 5 2 7 3" xfId="4031"/>
    <cellStyle name="Normal 2 5 2 7 3 2" xfId="12669"/>
    <cellStyle name="Normal 2 5 2 7 3 3" xfId="18503"/>
    <cellStyle name="Normal 2 5 2 7 4" xfId="4032"/>
    <cellStyle name="Normal 2 5 2 7 4 2" xfId="12670"/>
    <cellStyle name="Normal 2 5 2 7 4 3" xfId="18504"/>
    <cellStyle name="Normal 2 5 2 7 5" xfId="4033"/>
    <cellStyle name="Normal 2 5 2 7 5 2" xfId="12671"/>
    <cellStyle name="Normal 2 5 2 7 5 3" xfId="18505"/>
    <cellStyle name="Normal 2 5 2 7 6" xfId="12667"/>
    <cellStyle name="Normal 2 5 2 7 7" xfId="18501"/>
    <cellStyle name="Normal 2 5 2 7_LNG &amp; LPG rework" xfId="7196"/>
    <cellStyle name="Normal 2 5 2 8" xfId="4034"/>
    <cellStyle name="Normal 2 5 2 8 2" xfId="4035"/>
    <cellStyle name="Normal 2 5 2 8 2 2" xfId="12673"/>
    <cellStyle name="Normal 2 5 2 8 2 3" xfId="18507"/>
    <cellStyle name="Normal 2 5 2 8 3" xfId="4036"/>
    <cellStyle name="Normal 2 5 2 8 3 2" xfId="12674"/>
    <cellStyle name="Normal 2 5 2 8 3 3" xfId="18508"/>
    <cellStyle name="Normal 2 5 2 8 4" xfId="4037"/>
    <cellStyle name="Normal 2 5 2 8 4 2" xfId="12675"/>
    <cellStyle name="Normal 2 5 2 8 4 3" xfId="18509"/>
    <cellStyle name="Normal 2 5 2 8 5" xfId="4038"/>
    <cellStyle name="Normal 2 5 2 8 5 2" xfId="12676"/>
    <cellStyle name="Normal 2 5 2 8 5 3" xfId="18510"/>
    <cellStyle name="Normal 2 5 2 8 6" xfId="12672"/>
    <cellStyle name="Normal 2 5 2 8 7" xfId="18506"/>
    <cellStyle name="Normal 2 5 2 8_LNG &amp; LPG rework" xfId="7197"/>
    <cellStyle name="Normal 2 5 2 9" xfId="4039"/>
    <cellStyle name="Normal 2 5 2 9 2" xfId="12677"/>
    <cellStyle name="Normal 2 5 2 9 3" xfId="18511"/>
    <cellStyle name="Normal 2 5 2_LNG &amp; LPG rework" xfId="7169"/>
    <cellStyle name="Normal 2 5 3" xfId="454"/>
    <cellStyle name="Normal 2 5 3 10" xfId="4040"/>
    <cellStyle name="Normal 2 5 3 10 2" xfId="12678"/>
    <cellStyle name="Normal 2 5 3 10 3" xfId="18513"/>
    <cellStyle name="Normal 2 5 3 11" xfId="4041"/>
    <cellStyle name="Normal 2 5 3 11 2" xfId="12679"/>
    <cellStyle name="Normal 2 5 3 11 3" xfId="18514"/>
    <cellStyle name="Normal 2 5 3 12" xfId="4042"/>
    <cellStyle name="Normal 2 5 3 12 2" xfId="12680"/>
    <cellStyle name="Normal 2 5 3 12 3" xfId="18515"/>
    <cellStyle name="Normal 2 5 3 13" xfId="9291"/>
    <cellStyle name="Normal 2 5 3 14" xfId="18512"/>
    <cellStyle name="Normal 2 5 3 2" xfId="455"/>
    <cellStyle name="Normal 2 5 3 2 10" xfId="4043"/>
    <cellStyle name="Normal 2 5 3 2 10 2" xfId="12681"/>
    <cellStyle name="Normal 2 5 3 2 10 3" xfId="18517"/>
    <cellStyle name="Normal 2 5 3 2 11" xfId="9292"/>
    <cellStyle name="Normal 2 5 3 2 12" xfId="18516"/>
    <cellStyle name="Normal 2 5 3 2 2" xfId="456"/>
    <cellStyle name="Normal 2 5 3 2 2 10" xfId="18518"/>
    <cellStyle name="Normal 2 5 3 2 2 2" xfId="457"/>
    <cellStyle name="Normal 2 5 3 2 2 2 2" xfId="4044"/>
    <cellStyle name="Normal 2 5 3 2 2 2 2 2" xfId="12682"/>
    <cellStyle name="Normal 2 5 3 2 2 2 2 3" xfId="18520"/>
    <cellStyle name="Normal 2 5 3 2 2 2 3" xfId="4045"/>
    <cellStyle name="Normal 2 5 3 2 2 2 3 2" xfId="12683"/>
    <cellStyle name="Normal 2 5 3 2 2 2 3 3" xfId="18521"/>
    <cellStyle name="Normal 2 5 3 2 2 2 4" xfId="4046"/>
    <cellStyle name="Normal 2 5 3 2 2 2 4 2" xfId="12684"/>
    <cellStyle name="Normal 2 5 3 2 2 2 4 3" xfId="18522"/>
    <cellStyle name="Normal 2 5 3 2 2 2 5" xfId="4047"/>
    <cellStyle name="Normal 2 5 3 2 2 2 5 2" xfId="12685"/>
    <cellStyle name="Normal 2 5 3 2 2 2 5 3" xfId="18523"/>
    <cellStyle name="Normal 2 5 3 2 2 2 6" xfId="4048"/>
    <cellStyle name="Normal 2 5 3 2 2 2 6 2" xfId="12686"/>
    <cellStyle name="Normal 2 5 3 2 2 2 6 3" xfId="18524"/>
    <cellStyle name="Normal 2 5 3 2 2 2 7" xfId="9294"/>
    <cellStyle name="Normal 2 5 3 2 2 2 8" xfId="18519"/>
    <cellStyle name="Normal 2 5 3 2 2 2_LNG &amp; LPG rework" xfId="7201"/>
    <cellStyle name="Normal 2 5 3 2 2 3" xfId="4049"/>
    <cellStyle name="Normal 2 5 3 2 2 3 2" xfId="4050"/>
    <cellStyle name="Normal 2 5 3 2 2 3 2 2" xfId="12688"/>
    <cellStyle name="Normal 2 5 3 2 2 3 2 3" xfId="18526"/>
    <cellStyle name="Normal 2 5 3 2 2 3 3" xfId="4051"/>
    <cellStyle name="Normal 2 5 3 2 2 3 3 2" xfId="12689"/>
    <cellStyle name="Normal 2 5 3 2 2 3 3 3" xfId="18527"/>
    <cellStyle name="Normal 2 5 3 2 2 3 4" xfId="4052"/>
    <cellStyle name="Normal 2 5 3 2 2 3 4 2" xfId="12690"/>
    <cellStyle name="Normal 2 5 3 2 2 3 4 3" xfId="18528"/>
    <cellStyle name="Normal 2 5 3 2 2 3 5" xfId="4053"/>
    <cellStyle name="Normal 2 5 3 2 2 3 5 2" xfId="12691"/>
    <cellStyle name="Normal 2 5 3 2 2 3 5 3" xfId="18529"/>
    <cellStyle name="Normal 2 5 3 2 2 3 6" xfId="12687"/>
    <cellStyle name="Normal 2 5 3 2 2 3 7" xfId="18525"/>
    <cellStyle name="Normal 2 5 3 2 2 3_LNG &amp; LPG rework" xfId="7202"/>
    <cellStyle name="Normal 2 5 3 2 2 4" xfId="4054"/>
    <cellStyle name="Normal 2 5 3 2 2 4 2" xfId="12692"/>
    <cellStyle name="Normal 2 5 3 2 2 4 3" xfId="18530"/>
    <cellStyle name="Normal 2 5 3 2 2 5" xfId="4055"/>
    <cellStyle name="Normal 2 5 3 2 2 5 2" xfId="12693"/>
    <cellStyle name="Normal 2 5 3 2 2 5 3" xfId="18531"/>
    <cellStyle name="Normal 2 5 3 2 2 6" xfId="4056"/>
    <cellStyle name="Normal 2 5 3 2 2 6 2" xfId="12694"/>
    <cellStyle name="Normal 2 5 3 2 2 6 3" xfId="18532"/>
    <cellStyle name="Normal 2 5 3 2 2 7" xfId="4057"/>
    <cellStyle name="Normal 2 5 3 2 2 7 2" xfId="12695"/>
    <cellStyle name="Normal 2 5 3 2 2 7 3" xfId="18533"/>
    <cellStyle name="Normal 2 5 3 2 2 8" xfId="4058"/>
    <cellStyle name="Normal 2 5 3 2 2 8 2" xfId="12696"/>
    <cellStyle name="Normal 2 5 3 2 2 8 3" xfId="18534"/>
    <cellStyle name="Normal 2 5 3 2 2 9" xfId="9293"/>
    <cellStyle name="Normal 2 5 3 2 2_LNG &amp; LPG rework" xfId="7200"/>
    <cellStyle name="Normal 2 5 3 2 3" xfId="458"/>
    <cellStyle name="Normal 2 5 3 2 3 2" xfId="4059"/>
    <cellStyle name="Normal 2 5 3 2 3 2 2" xfId="12697"/>
    <cellStyle name="Normal 2 5 3 2 3 2 3" xfId="18536"/>
    <cellStyle name="Normal 2 5 3 2 3 3" xfId="4060"/>
    <cellStyle name="Normal 2 5 3 2 3 3 2" xfId="12698"/>
    <cellStyle name="Normal 2 5 3 2 3 3 3" xfId="18537"/>
    <cellStyle name="Normal 2 5 3 2 3 4" xfId="4061"/>
    <cellStyle name="Normal 2 5 3 2 3 4 2" xfId="12699"/>
    <cellStyle name="Normal 2 5 3 2 3 4 3" xfId="18538"/>
    <cellStyle name="Normal 2 5 3 2 3 5" xfId="4062"/>
    <cellStyle name="Normal 2 5 3 2 3 5 2" xfId="12700"/>
    <cellStyle name="Normal 2 5 3 2 3 5 3" xfId="18539"/>
    <cellStyle name="Normal 2 5 3 2 3 6" xfId="4063"/>
    <cellStyle name="Normal 2 5 3 2 3 6 2" xfId="12701"/>
    <cellStyle name="Normal 2 5 3 2 3 6 3" xfId="18540"/>
    <cellStyle name="Normal 2 5 3 2 3 7" xfId="9295"/>
    <cellStyle name="Normal 2 5 3 2 3 8" xfId="18535"/>
    <cellStyle name="Normal 2 5 3 2 3_LNG &amp; LPG rework" xfId="7203"/>
    <cellStyle name="Normal 2 5 3 2 4" xfId="4064"/>
    <cellStyle name="Normal 2 5 3 2 4 2" xfId="4065"/>
    <cellStyle name="Normal 2 5 3 2 4 2 2" xfId="12703"/>
    <cellStyle name="Normal 2 5 3 2 4 2 3" xfId="18542"/>
    <cellStyle name="Normal 2 5 3 2 4 3" xfId="4066"/>
    <cellStyle name="Normal 2 5 3 2 4 3 2" xfId="12704"/>
    <cellStyle name="Normal 2 5 3 2 4 3 3" xfId="18543"/>
    <cellStyle name="Normal 2 5 3 2 4 4" xfId="4067"/>
    <cellStyle name="Normal 2 5 3 2 4 4 2" xfId="12705"/>
    <cellStyle name="Normal 2 5 3 2 4 4 3" xfId="18544"/>
    <cellStyle name="Normal 2 5 3 2 4 5" xfId="4068"/>
    <cellStyle name="Normal 2 5 3 2 4 5 2" xfId="12706"/>
    <cellStyle name="Normal 2 5 3 2 4 5 3" xfId="18545"/>
    <cellStyle name="Normal 2 5 3 2 4 6" xfId="12702"/>
    <cellStyle name="Normal 2 5 3 2 4 7" xfId="18541"/>
    <cellStyle name="Normal 2 5 3 2 4_LNG &amp; LPG rework" xfId="7204"/>
    <cellStyle name="Normal 2 5 3 2 5" xfId="4069"/>
    <cellStyle name="Normal 2 5 3 2 5 2" xfId="4070"/>
    <cellStyle name="Normal 2 5 3 2 5 2 2" xfId="12708"/>
    <cellStyle name="Normal 2 5 3 2 5 2 3" xfId="18547"/>
    <cellStyle name="Normal 2 5 3 2 5 3" xfId="4071"/>
    <cellStyle name="Normal 2 5 3 2 5 3 2" xfId="12709"/>
    <cellStyle name="Normal 2 5 3 2 5 3 3" xfId="18548"/>
    <cellStyle name="Normal 2 5 3 2 5 4" xfId="4072"/>
    <cellStyle name="Normal 2 5 3 2 5 4 2" xfId="12710"/>
    <cellStyle name="Normal 2 5 3 2 5 4 3" xfId="18549"/>
    <cellStyle name="Normal 2 5 3 2 5 5" xfId="4073"/>
    <cellStyle name="Normal 2 5 3 2 5 5 2" xfId="12711"/>
    <cellStyle name="Normal 2 5 3 2 5 5 3" xfId="18550"/>
    <cellStyle name="Normal 2 5 3 2 5 6" xfId="12707"/>
    <cellStyle name="Normal 2 5 3 2 5 7" xfId="18546"/>
    <cellStyle name="Normal 2 5 3 2 5_LNG &amp; LPG rework" xfId="7205"/>
    <cellStyle name="Normal 2 5 3 2 6" xfId="4074"/>
    <cellStyle name="Normal 2 5 3 2 6 2" xfId="12712"/>
    <cellStyle name="Normal 2 5 3 2 6 3" xfId="18551"/>
    <cellStyle name="Normal 2 5 3 2 7" xfId="4075"/>
    <cellStyle name="Normal 2 5 3 2 7 2" xfId="12713"/>
    <cellStyle name="Normal 2 5 3 2 7 3" xfId="18552"/>
    <cellStyle name="Normal 2 5 3 2 8" xfId="4076"/>
    <cellStyle name="Normal 2 5 3 2 8 2" xfId="12714"/>
    <cellStyle name="Normal 2 5 3 2 8 3" xfId="18553"/>
    <cellStyle name="Normal 2 5 3 2 9" xfId="4077"/>
    <cellStyle name="Normal 2 5 3 2 9 2" xfId="12715"/>
    <cellStyle name="Normal 2 5 3 2 9 3" xfId="18554"/>
    <cellStyle name="Normal 2 5 3 2_LNG &amp; LPG rework" xfId="7199"/>
    <cellStyle name="Normal 2 5 3 3" xfId="459"/>
    <cellStyle name="Normal 2 5 3 3 10" xfId="18555"/>
    <cellStyle name="Normal 2 5 3 3 2" xfId="460"/>
    <cellStyle name="Normal 2 5 3 3 2 2" xfId="4078"/>
    <cellStyle name="Normal 2 5 3 3 2 2 2" xfId="12716"/>
    <cellStyle name="Normal 2 5 3 3 2 2 3" xfId="18557"/>
    <cellStyle name="Normal 2 5 3 3 2 3" xfId="4079"/>
    <cellStyle name="Normal 2 5 3 3 2 3 2" xfId="12717"/>
    <cellStyle name="Normal 2 5 3 3 2 3 3" xfId="18558"/>
    <cellStyle name="Normal 2 5 3 3 2 4" xfId="4080"/>
    <cellStyle name="Normal 2 5 3 3 2 4 2" xfId="12718"/>
    <cellStyle name="Normal 2 5 3 3 2 4 3" xfId="18559"/>
    <cellStyle name="Normal 2 5 3 3 2 5" xfId="4081"/>
    <cellStyle name="Normal 2 5 3 3 2 5 2" xfId="12719"/>
    <cellStyle name="Normal 2 5 3 3 2 5 3" xfId="18560"/>
    <cellStyle name="Normal 2 5 3 3 2 6" xfId="4082"/>
    <cellStyle name="Normal 2 5 3 3 2 6 2" xfId="12720"/>
    <cellStyle name="Normal 2 5 3 3 2 6 3" xfId="18561"/>
    <cellStyle name="Normal 2 5 3 3 2 7" xfId="9297"/>
    <cellStyle name="Normal 2 5 3 3 2 8" xfId="18556"/>
    <cellStyle name="Normal 2 5 3 3 2_LNG &amp; LPG rework" xfId="7207"/>
    <cellStyle name="Normal 2 5 3 3 3" xfId="4083"/>
    <cellStyle name="Normal 2 5 3 3 3 2" xfId="4084"/>
    <cellStyle name="Normal 2 5 3 3 3 2 2" xfId="12722"/>
    <cellStyle name="Normal 2 5 3 3 3 2 3" xfId="18563"/>
    <cellStyle name="Normal 2 5 3 3 3 3" xfId="4085"/>
    <cellStyle name="Normal 2 5 3 3 3 3 2" xfId="12723"/>
    <cellStyle name="Normal 2 5 3 3 3 3 3" xfId="18564"/>
    <cellStyle name="Normal 2 5 3 3 3 4" xfId="4086"/>
    <cellStyle name="Normal 2 5 3 3 3 4 2" xfId="12724"/>
    <cellStyle name="Normal 2 5 3 3 3 4 3" xfId="18565"/>
    <cellStyle name="Normal 2 5 3 3 3 5" xfId="4087"/>
    <cellStyle name="Normal 2 5 3 3 3 5 2" xfId="12725"/>
    <cellStyle name="Normal 2 5 3 3 3 5 3" xfId="18566"/>
    <cellStyle name="Normal 2 5 3 3 3 6" xfId="12721"/>
    <cellStyle name="Normal 2 5 3 3 3 7" xfId="18562"/>
    <cellStyle name="Normal 2 5 3 3 3_LNG &amp; LPG rework" xfId="7208"/>
    <cellStyle name="Normal 2 5 3 3 4" xfId="4088"/>
    <cellStyle name="Normal 2 5 3 3 4 2" xfId="12726"/>
    <cellStyle name="Normal 2 5 3 3 4 3" xfId="18567"/>
    <cellStyle name="Normal 2 5 3 3 5" xfId="4089"/>
    <cellStyle name="Normal 2 5 3 3 5 2" xfId="12727"/>
    <cellStyle name="Normal 2 5 3 3 5 3" xfId="18568"/>
    <cellStyle name="Normal 2 5 3 3 6" xfId="4090"/>
    <cellStyle name="Normal 2 5 3 3 6 2" xfId="12728"/>
    <cellStyle name="Normal 2 5 3 3 6 3" xfId="18569"/>
    <cellStyle name="Normal 2 5 3 3 7" xfId="4091"/>
    <cellStyle name="Normal 2 5 3 3 7 2" xfId="12729"/>
    <cellStyle name="Normal 2 5 3 3 7 3" xfId="18570"/>
    <cellStyle name="Normal 2 5 3 3 8" xfId="4092"/>
    <cellStyle name="Normal 2 5 3 3 8 2" xfId="12730"/>
    <cellStyle name="Normal 2 5 3 3 8 3" xfId="18571"/>
    <cellStyle name="Normal 2 5 3 3 9" xfId="9296"/>
    <cellStyle name="Normal 2 5 3 3_LNG &amp; LPG rework" xfId="7206"/>
    <cellStyle name="Normal 2 5 3 4" xfId="461"/>
    <cellStyle name="Normal 2 5 3 4 2" xfId="4093"/>
    <cellStyle name="Normal 2 5 3 4 2 2" xfId="12731"/>
    <cellStyle name="Normal 2 5 3 4 2 3" xfId="18573"/>
    <cellStyle name="Normal 2 5 3 4 3" xfId="4094"/>
    <cellStyle name="Normal 2 5 3 4 3 2" xfId="12732"/>
    <cellStyle name="Normal 2 5 3 4 3 3" xfId="18574"/>
    <cellStyle name="Normal 2 5 3 4 4" xfId="9298"/>
    <cellStyle name="Normal 2 5 3 4 5" xfId="18572"/>
    <cellStyle name="Normal 2 5 3 4_LNG &amp; LPG rework" xfId="7209"/>
    <cellStyle name="Normal 2 5 3 5" xfId="4095"/>
    <cellStyle name="Normal 2 5 3 5 2" xfId="4096"/>
    <cellStyle name="Normal 2 5 3 5 2 2" xfId="12734"/>
    <cellStyle name="Normal 2 5 3 5 2 3" xfId="18576"/>
    <cellStyle name="Normal 2 5 3 5 3" xfId="4097"/>
    <cellStyle name="Normal 2 5 3 5 3 2" xfId="12735"/>
    <cellStyle name="Normal 2 5 3 5 3 3" xfId="18577"/>
    <cellStyle name="Normal 2 5 3 5 4" xfId="4098"/>
    <cellStyle name="Normal 2 5 3 5 4 2" xfId="12736"/>
    <cellStyle name="Normal 2 5 3 5 4 3" xfId="18578"/>
    <cellStyle name="Normal 2 5 3 5 5" xfId="4099"/>
    <cellStyle name="Normal 2 5 3 5 5 2" xfId="12737"/>
    <cellStyle name="Normal 2 5 3 5 5 3" xfId="18579"/>
    <cellStyle name="Normal 2 5 3 5 6" xfId="12733"/>
    <cellStyle name="Normal 2 5 3 5 7" xfId="18575"/>
    <cellStyle name="Normal 2 5 3 5_LNG &amp; LPG rework" xfId="7210"/>
    <cellStyle name="Normal 2 5 3 6" xfId="4100"/>
    <cellStyle name="Normal 2 5 3 6 2" xfId="4101"/>
    <cellStyle name="Normal 2 5 3 6 2 2" xfId="12739"/>
    <cellStyle name="Normal 2 5 3 6 2 3" xfId="18581"/>
    <cellStyle name="Normal 2 5 3 6 3" xfId="4102"/>
    <cellStyle name="Normal 2 5 3 6 3 2" xfId="12740"/>
    <cellStyle name="Normal 2 5 3 6 3 3" xfId="18582"/>
    <cellStyle name="Normal 2 5 3 6 4" xfId="4103"/>
    <cellStyle name="Normal 2 5 3 6 4 2" xfId="12741"/>
    <cellStyle name="Normal 2 5 3 6 4 3" xfId="18583"/>
    <cellStyle name="Normal 2 5 3 6 5" xfId="4104"/>
    <cellStyle name="Normal 2 5 3 6 5 2" xfId="12742"/>
    <cellStyle name="Normal 2 5 3 6 5 3" xfId="18584"/>
    <cellStyle name="Normal 2 5 3 6 6" xfId="12738"/>
    <cellStyle name="Normal 2 5 3 6 7" xfId="18580"/>
    <cellStyle name="Normal 2 5 3 6_LNG &amp; LPG rework" xfId="7211"/>
    <cellStyle name="Normal 2 5 3 7" xfId="4105"/>
    <cellStyle name="Normal 2 5 3 7 2" xfId="4106"/>
    <cellStyle name="Normal 2 5 3 7 2 2" xfId="12744"/>
    <cellStyle name="Normal 2 5 3 7 2 3" xfId="18586"/>
    <cellStyle name="Normal 2 5 3 7 3" xfId="4107"/>
    <cellStyle name="Normal 2 5 3 7 3 2" xfId="12745"/>
    <cellStyle name="Normal 2 5 3 7 3 3" xfId="18587"/>
    <cellStyle name="Normal 2 5 3 7 4" xfId="4108"/>
    <cellStyle name="Normal 2 5 3 7 4 2" xfId="12746"/>
    <cellStyle name="Normal 2 5 3 7 4 3" xfId="18588"/>
    <cellStyle name="Normal 2 5 3 7 5" xfId="4109"/>
    <cellStyle name="Normal 2 5 3 7 5 2" xfId="12747"/>
    <cellStyle name="Normal 2 5 3 7 5 3" xfId="18589"/>
    <cellStyle name="Normal 2 5 3 7 6" xfId="12743"/>
    <cellStyle name="Normal 2 5 3 7 7" xfId="18585"/>
    <cellStyle name="Normal 2 5 3 7_LNG &amp; LPG rework" xfId="7212"/>
    <cellStyle name="Normal 2 5 3 8" xfId="4110"/>
    <cellStyle name="Normal 2 5 3 8 2" xfId="12748"/>
    <cellStyle name="Normal 2 5 3 8 3" xfId="18590"/>
    <cellStyle name="Normal 2 5 3 9" xfId="4111"/>
    <cellStyle name="Normal 2 5 3 9 2" xfId="12749"/>
    <cellStyle name="Normal 2 5 3 9 3" xfId="18591"/>
    <cellStyle name="Normal 2 5 3_LNG &amp; LPG rework" xfId="7198"/>
    <cellStyle name="Normal 2 5 4" xfId="462"/>
    <cellStyle name="Normal 2 5 4 10" xfId="4112"/>
    <cellStyle name="Normal 2 5 4 10 2" xfId="12750"/>
    <cellStyle name="Normal 2 5 4 10 3" xfId="18593"/>
    <cellStyle name="Normal 2 5 4 11" xfId="9299"/>
    <cellStyle name="Normal 2 5 4 12" xfId="18592"/>
    <cellStyle name="Normal 2 5 4 2" xfId="463"/>
    <cellStyle name="Normal 2 5 4 2 10" xfId="18594"/>
    <cellStyle name="Normal 2 5 4 2 2" xfId="464"/>
    <cellStyle name="Normal 2 5 4 2 2 2" xfId="4113"/>
    <cellStyle name="Normal 2 5 4 2 2 2 2" xfId="12751"/>
    <cellStyle name="Normal 2 5 4 2 2 2 3" xfId="18596"/>
    <cellStyle name="Normal 2 5 4 2 2 3" xfId="4114"/>
    <cellStyle name="Normal 2 5 4 2 2 3 2" xfId="12752"/>
    <cellStyle name="Normal 2 5 4 2 2 3 3" xfId="18597"/>
    <cellStyle name="Normal 2 5 4 2 2 4" xfId="4115"/>
    <cellStyle name="Normal 2 5 4 2 2 4 2" xfId="12753"/>
    <cellStyle name="Normal 2 5 4 2 2 4 3" xfId="18598"/>
    <cellStyle name="Normal 2 5 4 2 2 5" xfId="4116"/>
    <cellStyle name="Normal 2 5 4 2 2 5 2" xfId="12754"/>
    <cellStyle name="Normal 2 5 4 2 2 5 3" xfId="18599"/>
    <cellStyle name="Normal 2 5 4 2 2 6" xfId="4117"/>
    <cellStyle name="Normal 2 5 4 2 2 6 2" xfId="12755"/>
    <cellStyle name="Normal 2 5 4 2 2 6 3" xfId="18600"/>
    <cellStyle name="Normal 2 5 4 2 2 7" xfId="9301"/>
    <cellStyle name="Normal 2 5 4 2 2 8" xfId="18595"/>
    <cellStyle name="Normal 2 5 4 2 2_LNG &amp; LPG rework" xfId="7215"/>
    <cellStyle name="Normal 2 5 4 2 3" xfId="4118"/>
    <cellStyle name="Normal 2 5 4 2 3 2" xfId="4119"/>
    <cellStyle name="Normal 2 5 4 2 3 2 2" xfId="12757"/>
    <cellStyle name="Normal 2 5 4 2 3 2 3" xfId="18602"/>
    <cellStyle name="Normal 2 5 4 2 3 3" xfId="4120"/>
    <cellStyle name="Normal 2 5 4 2 3 3 2" xfId="12758"/>
    <cellStyle name="Normal 2 5 4 2 3 3 3" xfId="18603"/>
    <cellStyle name="Normal 2 5 4 2 3 4" xfId="4121"/>
    <cellStyle name="Normal 2 5 4 2 3 4 2" xfId="12759"/>
    <cellStyle name="Normal 2 5 4 2 3 4 3" xfId="18604"/>
    <cellStyle name="Normal 2 5 4 2 3 5" xfId="4122"/>
    <cellStyle name="Normal 2 5 4 2 3 5 2" xfId="12760"/>
    <cellStyle name="Normal 2 5 4 2 3 5 3" xfId="18605"/>
    <cellStyle name="Normal 2 5 4 2 3 6" xfId="12756"/>
    <cellStyle name="Normal 2 5 4 2 3 7" xfId="18601"/>
    <cellStyle name="Normal 2 5 4 2 3_LNG &amp; LPG rework" xfId="7216"/>
    <cellStyle name="Normal 2 5 4 2 4" xfId="4123"/>
    <cellStyle name="Normal 2 5 4 2 4 2" xfId="12761"/>
    <cellStyle name="Normal 2 5 4 2 4 3" xfId="18606"/>
    <cellStyle name="Normal 2 5 4 2 5" xfId="4124"/>
    <cellStyle name="Normal 2 5 4 2 5 2" xfId="12762"/>
    <cellStyle name="Normal 2 5 4 2 5 3" xfId="18607"/>
    <cellStyle name="Normal 2 5 4 2 6" xfId="4125"/>
    <cellStyle name="Normal 2 5 4 2 6 2" xfId="12763"/>
    <cellStyle name="Normal 2 5 4 2 6 3" xfId="18608"/>
    <cellStyle name="Normal 2 5 4 2 7" xfId="4126"/>
    <cellStyle name="Normal 2 5 4 2 7 2" xfId="12764"/>
    <cellStyle name="Normal 2 5 4 2 7 3" xfId="18609"/>
    <cellStyle name="Normal 2 5 4 2 8" xfId="4127"/>
    <cellStyle name="Normal 2 5 4 2 8 2" xfId="12765"/>
    <cellStyle name="Normal 2 5 4 2 8 3" xfId="18610"/>
    <cellStyle name="Normal 2 5 4 2 9" xfId="9300"/>
    <cellStyle name="Normal 2 5 4 2_LNG &amp; LPG rework" xfId="7214"/>
    <cellStyle name="Normal 2 5 4 3" xfId="465"/>
    <cellStyle name="Normal 2 5 4 3 2" xfId="4128"/>
    <cellStyle name="Normal 2 5 4 3 2 2" xfId="12766"/>
    <cellStyle name="Normal 2 5 4 3 2 3" xfId="18612"/>
    <cellStyle name="Normal 2 5 4 3 3" xfId="4129"/>
    <cellStyle name="Normal 2 5 4 3 3 2" xfId="12767"/>
    <cellStyle name="Normal 2 5 4 3 3 3" xfId="18613"/>
    <cellStyle name="Normal 2 5 4 3 4" xfId="4130"/>
    <cellStyle name="Normal 2 5 4 3 4 2" xfId="12768"/>
    <cellStyle name="Normal 2 5 4 3 4 3" xfId="18614"/>
    <cellStyle name="Normal 2 5 4 3 5" xfId="4131"/>
    <cellStyle name="Normal 2 5 4 3 5 2" xfId="12769"/>
    <cellStyle name="Normal 2 5 4 3 5 3" xfId="18615"/>
    <cellStyle name="Normal 2 5 4 3 6" xfId="4132"/>
    <cellStyle name="Normal 2 5 4 3 6 2" xfId="12770"/>
    <cellStyle name="Normal 2 5 4 3 6 3" xfId="18616"/>
    <cellStyle name="Normal 2 5 4 3 7" xfId="9302"/>
    <cellStyle name="Normal 2 5 4 3 8" xfId="18611"/>
    <cellStyle name="Normal 2 5 4 3_LNG &amp; LPG rework" xfId="7217"/>
    <cellStyle name="Normal 2 5 4 4" xfId="4133"/>
    <cellStyle name="Normal 2 5 4 4 2" xfId="4134"/>
    <cellStyle name="Normal 2 5 4 4 2 2" xfId="12772"/>
    <cellStyle name="Normal 2 5 4 4 2 3" xfId="18618"/>
    <cellStyle name="Normal 2 5 4 4 3" xfId="4135"/>
    <cellStyle name="Normal 2 5 4 4 3 2" xfId="12773"/>
    <cellStyle name="Normal 2 5 4 4 3 3" xfId="18619"/>
    <cellStyle name="Normal 2 5 4 4 4" xfId="4136"/>
    <cellStyle name="Normal 2 5 4 4 4 2" xfId="12774"/>
    <cellStyle name="Normal 2 5 4 4 4 3" xfId="18620"/>
    <cellStyle name="Normal 2 5 4 4 5" xfId="4137"/>
    <cellStyle name="Normal 2 5 4 4 5 2" xfId="12775"/>
    <cellStyle name="Normal 2 5 4 4 5 3" xfId="18621"/>
    <cellStyle name="Normal 2 5 4 4 6" xfId="12771"/>
    <cellStyle name="Normal 2 5 4 4 7" xfId="18617"/>
    <cellStyle name="Normal 2 5 4 4_LNG &amp; LPG rework" xfId="7218"/>
    <cellStyle name="Normal 2 5 4 5" xfId="4138"/>
    <cellStyle name="Normal 2 5 4 5 2" xfId="4139"/>
    <cellStyle name="Normal 2 5 4 5 2 2" xfId="12777"/>
    <cellStyle name="Normal 2 5 4 5 2 3" xfId="18623"/>
    <cellStyle name="Normal 2 5 4 5 3" xfId="4140"/>
    <cellStyle name="Normal 2 5 4 5 3 2" xfId="12778"/>
    <cellStyle name="Normal 2 5 4 5 3 3" xfId="18624"/>
    <cellStyle name="Normal 2 5 4 5 4" xfId="4141"/>
    <cellStyle name="Normal 2 5 4 5 4 2" xfId="12779"/>
    <cellStyle name="Normal 2 5 4 5 4 3" xfId="18625"/>
    <cellStyle name="Normal 2 5 4 5 5" xfId="4142"/>
    <cellStyle name="Normal 2 5 4 5 5 2" xfId="12780"/>
    <cellStyle name="Normal 2 5 4 5 5 3" xfId="18626"/>
    <cellStyle name="Normal 2 5 4 5 6" xfId="12776"/>
    <cellStyle name="Normal 2 5 4 5 7" xfId="18622"/>
    <cellStyle name="Normal 2 5 4 5_LNG &amp; LPG rework" xfId="7219"/>
    <cellStyle name="Normal 2 5 4 6" xfId="4143"/>
    <cellStyle name="Normal 2 5 4 6 2" xfId="12781"/>
    <cellStyle name="Normal 2 5 4 6 3" xfId="18627"/>
    <cellStyle name="Normal 2 5 4 7" xfId="4144"/>
    <cellStyle name="Normal 2 5 4 7 2" xfId="12782"/>
    <cellStyle name="Normal 2 5 4 7 3" xfId="18628"/>
    <cellStyle name="Normal 2 5 4 8" xfId="4145"/>
    <cellStyle name="Normal 2 5 4 8 2" xfId="12783"/>
    <cellStyle name="Normal 2 5 4 8 3" xfId="18629"/>
    <cellStyle name="Normal 2 5 4 9" xfId="4146"/>
    <cellStyle name="Normal 2 5 4 9 2" xfId="12784"/>
    <cellStyle name="Normal 2 5 4 9 3" xfId="18630"/>
    <cellStyle name="Normal 2 5 4_LNG &amp; LPG rework" xfId="7213"/>
    <cellStyle name="Normal 2 5 5" xfId="466"/>
    <cellStyle name="Normal 2 5 5 10" xfId="18631"/>
    <cellStyle name="Normal 2 5 5 2" xfId="467"/>
    <cellStyle name="Normal 2 5 5 2 2" xfId="4147"/>
    <cellStyle name="Normal 2 5 5 2 2 2" xfId="12785"/>
    <cellStyle name="Normal 2 5 5 2 2 3" xfId="18633"/>
    <cellStyle name="Normal 2 5 5 2 3" xfId="4148"/>
    <cellStyle name="Normal 2 5 5 2 3 2" xfId="12786"/>
    <cellStyle name="Normal 2 5 5 2 3 3" xfId="18634"/>
    <cellStyle name="Normal 2 5 5 2 4" xfId="4149"/>
    <cellStyle name="Normal 2 5 5 2 4 2" xfId="12787"/>
    <cellStyle name="Normal 2 5 5 2 4 3" xfId="18635"/>
    <cellStyle name="Normal 2 5 5 2 5" xfId="4150"/>
    <cellStyle name="Normal 2 5 5 2 5 2" xfId="12788"/>
    <cellStyle name="Normal 2 5 5 2 5 3" xfId="18636"/>
    <cellStyle name="Normal 2 5 5 2 6" xfId="4151"/>
    <cellStyle name="Normal 2 5 5 2 6 2" xfId="12789"/>
    <cellStyle name="Normal 2 5 5 2 6 3" xfId="18637"/>
    <cellStyle name="Normal 2 5 5 2 7" xfId="9304"/>
    <cellStyle name="Normal 2 5 5 2 8" xfId="18632"/>
    <cellStyle name="Normal 2 5 5 2_LNG &amp; LPG rework" xfId="7221"/>
    <cellStyle name="Normal 2 5 5 3" xfId="4152"/>
    <cellStyle name="Normal 2 5 5 3 2" xfId="4153"/>
    <cellStyle name="Normal 2 5 5 3 2 2" xfId="12791"/>
    <cellStyle name="Normal 2 5 5 3 2 3" xfId="18639"/>
    <cellStyle name="Normal 2 5 5 3 3" xfId="4154"/>
    <cellStyle name="Normal 2 5 5 3 3 2" xfId="12792"/>
    <cellStyle name="Normal 2 5 5 3 3 3" xfId="18640"/>
    <cellStyle name="Normal 2 5 5 3 4" xfId="4155"/>
    <cellStyle name="Normal 2 5 5 3 4 2" xfId="12793"/>
    <cellStyle name="Normal 2 5 5 3 4 3" xfId="18641"/>
    <cellStyle name="Normal 2 5 5 3 5" xfId="4156"/>
    <cellStyle name="Normal 2 5 5 3 5 2" xfId="12794"/>
    <cellStyle name="Normal 2 5 5 3 5 3" xfId="18642"/>
    <cellStyle name="Normal 2 5 5 3 6" xfId="12790"/>
    <cellStyle name="Normal 2 5 5 3 7" xfId="18638"/>
    <cellStyle name="Normal 2 5 5 3_LNG &amp; LPG rework" xfId="7222"/>
    <cellStyle name="Normal 2 5 5 4" xfId="4157"/>
    <cellStyle name="Normal 2 5 5 4 2" xfId="12795"/>
    <cellStyle name="Normal 2 5 5 4 3" xfId="18643"/>
    <cellStyle name="Normal 2 5 5 5" xfId="4158"/>
    <cellStyle name="Normal 2 5 5 5 2" xfId="12796"/>
    <cellStyle name="Normal 2 5 5 5 3" xfId="18644"/>
    <cellStyle name="Normal 2 5 5 6" xfId="4159"/>
    <cellStyle name="Normal 2 5 5 6 2" xfId="12797"/>
    <cellStyle name="Normal 2 5 5 6 3" xfId="18645"/>
    <cellStyle name="Normal 2 5 5 7" xfId="4160"/>
    <cellStyle name="Normal 2 5 5 7 2" xfId="12798"/>
    <cellStyle name="Normal 2 5 5 7 3" xfId="18646"/>
    <cellStyle name="Normal 2 5 5 8" xfId="4161"/>
    <cellStyle name="Normal 2 5 5 8 2" xfId="12799"/>
    <cellStyle name="Normal 2 5 5 8 3" xfId="18647"/>
    <cellStyle name="Normal 2 5 5 9" xfId="9303"/>
    <cellStyle name="Normal 2 5 5_LNG &amp; LPG rework" xfId="7220"/>
    <cellStyle name="Normal 2 5 6" xfId="468"/>
    <cellStyle name="Normal 2 5 6 2" xfId="4162"/>
    <cellStyle name="Normal 2 5 6 2 2" xfId="12800"/>
    <cellStyle name="Normal 2 5 6 2 3" xfId="18649"/>
    <cellStyle name="Normal 2 5 6 3" xfId="4163"/>
    <cellStyle name="Normal 2 5 6 3 2" xfId="12801"/>
    <cellStyle name="Normal 2 5 6 3 3" xfId="18650"/>
    <cellStyle name="Normal 2 5 6 4" xfId="4164"/>
    <cellStyle name="Normal 2 5 6 4 2" xfId="12802"/>
    <cellStyle name="Normal 2 5 6 4 3" xfId="18651"/>
    <cellStyle name="Normal 2 5 6 5" xfId="4165"/>
    <cellStyle name="Normal 2 5 6 5 2" xfId="12803"/>
    <cellStyle name="Normal 2 5 6 5 3" xfId="18652"/>
    <cellStyle name="Normal 2 5 6 6" xfId="4166"/>
    <cellStyle name="Normal 2 5 6 6 2" xfId="12804"/>
    <cellStyle name="Normal 2 5 6 6 3" xfId="18653"/>
    <cellStyle name="Normal 2 5 6 7" xfId="9305"/>
    <cellStyle name="Normal 2 5 6 8" xfId="18648"/>
    <cellStyle name="Normal 2 5 6_LNG &amp; LPG rework" xfId="7223"/>
    <cellStyle name="Normal 2 5 7" xfId="4167"/>
    <cellStyle name="Normal 2 5 7 2" xfId="12805"/>
    <cellStyle name="Normal 2 5 7 3" xfId="18654"/>
    <cellStyle name="Normal 2 5 8" xfId="7824"/>
    <cellStyle name="Normal 2 5 9" xfId="8905"/>
    <cellStyle name="Normal 2 5_Data - Monthly Commodity Prices" xfId="6482"/>
    <cellStyle name="Normal 2 6" xfId="191"/>
    <cellStyle name="Normal 2 6 2" xfId="4168"/>
    <cellStyle name="Normal 2 6 3" xfId="4169"/>
    <cellStyle name="Normal 2 6 4" xfId="9067"/>
    <cellStyle name="Normal 2 6 5" xfId="18655"/>
    <cellStyle name="Normal 2 6_LNG &amp; LPG rework" xfId="7224"/>
    <cellStyle name="Normal 2 7" xfId="4170"/>
    <cellStyle name="Normal 2 7 2" xfId="4171"/>
    <cellStyle name="Normal 2 7 2 2" xfId="12807"/>
    <cellStyle name="Normal 2 7 2 3" xfId="18657"/>
    <cellStyle name="Normal 2 7 3" xfId="4172"/>
    <cellStyle name="Normal 2 7 3 2" xfId="12808"/>
    <cellStyle name="Normal 2 7 3 3" xfId="18658"/>
    <cellStyle name="Normal 2 7 4" xfId="4173"/>
    <cellStyle name="Normal 2 7 4 2" xfId="12809"/>
    <cellStyle name="Normal 2 7 4 3" xfId="18659"/>
    <cellStyle name="Normal 2 7 5" xfId="4174"/>
    <cellStyle name="Normal 2 7 5 2" xfId="12810"/>
    <cellStyle name="Normal 2 7 5 3" xfId="18660"/>
    <cellStyle name="Normal 2 7 6" xfId="12806"/>
    <cellStyle name="Normal 2 7 7" xfId="18656"/>
    <cellStyle name="Normal 2 7_LNG &amp; LPG rework" xfId="7225"/>
    <cellStyle name="Normal 2 8" xfId="4175"/>
    <cellStyle name="Normal 2 8 2" xfId="4176"/>
    <cellStyle name="Normal 2 8 2 2" xfId="12812"/>
    <cellStyle name="Normal 2 8 2 3" xfId="18662"/>
    <cellStyle name="Normal 2 8 3" xfId="4177"/>
    <cellStyle name="Normal 2 8 3 2" xfId="12813"/>
    <cellStyle name="Normal 2 8 3 3" xfId="18663"/>
    <cellStyle name="Normal 2 8 4" xfId="4178"/>
    <cellStyle name="Normal 2 8 4 2" xfId="12814"/>
    <cellStyle name="Normal 2 8 4 3" xfId="18664"/>
    <cellStyle name="Normal 2 8 5" xfId="4179"/>
    <cellStyle name="Normal 2 8 5 2" xfId="12815"/>
    <cellStyle name="Normal 2 8 5 3" xfId="18665"/>
    <cellStyle name="Normal 2 8 6" xfId="12811"/>
    <cellStyle name="Normal 2 8 7" xfId="18661"/>
    <cellStyle name="Normal 2 8_LNG &amp; LPG rework" xfId="7226"/>
    <cellStyle name="Normal 2 9" xfId="4180"/>
    <cellStyle name="Normal 2 9 2" xfId="4181"/>
    <cellStyle name="Normal 2 9 2 2" xfId="12817"/>
    <cellStyle name="Normal 2 9 2 3" xfId="18667"/>
    <cellStyle name="Normal 2 9 3" xfId="4182"/>
    <cellStyle name="Normal 2 9 3 2" xfId="12818"/>
    <cellStyle name="Normal 2 9 3 3" xfId="18668"/>
    <cellStyle name="Normal 2 9 4" xfId="4183"/>
    <cellStyle name="Normal 2 9 4 2" xfId="12819"/>
    <cellStyle name="Normal 2 9 4 3" xfId="18669"/>
    <cellStyle name="Normal 2 9 5" xfId="4184"/>
    <cellStyle name="Normal 2 9 5 2" xfId="12820"/>
    <cellStyle name="Normal 2 9 5 3" xfId="18670"/>
    <cellStyle name="Normal 2 9 6" xfId="12816"/>
    <cellStyle name="Normal 2 9 7" xfId="18666"/>
    <cellStyle name="Normal 2 9_LNG &amp; LPG rework" xfId="7227"/>
    <cellStyle name="Normal 2_2015  Data" xfId="469"/>
    <cellStyle name="Normal 20" xfId="470"/>
    <cellStyle name="Normal 20 2" xfId="4185"/>
    <cellStyle name="Normal 20 3" xfId="4186"/>
    <cellStyle name="Normal 20 4" xfId="4187"/>
    <cellStyle name="Normal 20 4 2" xfId="12821"/>
    <cellStyle name="Normal 20 4 3" xfId="18672"/>
    <cellStyle name="Normal 20 5" xfId="4188"/>
    <cellStyle name="Normal 20 5 2" xfId="12822"/>
    <cellStyle name="Normal 20 5 3" xfId="18673"/>
    <cellStyle name="Normal 20 6" xfId="4189"/>
    <cellStyle name="Normal 20 7" xfId="9306"/>
    <cellStyle name="Normal 20 8" xfId="18671"/>
    <cellStyle name="Normal 20_LNG &amp; LPG rework" xfId="7228"/>
    <cellStyle name="Normal 200" xfId="4190"/>
    <cellStyle name="Normal 201" xfId="4191"/>
    <cellStyle name="Normal 201 2" xfId="4192"/>
    <cellStyle name="Normal 201 2 2" xfId="4193"/>
    <cellStyle name="Normal 201 2 2 2" xfId="4194"/>
    <cellStyle name="Normal 201 2 2 2 2" xfId="4195"/>
    <cellStyle name="Normal 201 2 2 2 2 2" xfId="12827"/>
    <cellStyle name="Normal 201 2 2 2 2 3" xfId="18678"/>
    <cellStyle name="Normal 201 2 2 2 3" xfId="12826"/>
    <cellStyle name="Normal 201 2 2 2 4" xfId="18677"/>
    <cellStyle name="Normal 201 2 2 2_LNG &amp; LPG rework" xfId="7232"/>
    <cellStyle name="Normal 201 2 2 3" xfId="4196"/>
    <cellStyle name="Normal 201 2 2 3 2" xfId="12828"/>
    <cellStyle name="Normal 201 2 2 3 3" xfId="18679"/>
    <cellStyle name="Normal 201 2 2 4" xfId="12825"/>
    <cellStyle name="Normal 201 2 2 5" xfId="18676"/>
    <cellStyle name="Normal 201 2 2_LNG &amp; LPG rework" xfId="7231"/>
    <cellStyle name="Normal 201 2 3" xfId="4197"/>
    <cellStyle name="Normal 201 2 3 2" xfId="4198"/>
    <cellStyle name="Normal 201 2 3 2 2" xfId="12830"/>
    <cellStyle name="Normal 201 2 3 2 3" xfId="18681"/>
    <cellStyle name="Normal 201 2 3 3" xfId="12829"/>
    <cellStyle name="Normal 201 2 3 4" xfId="18680"/>
    <cellStyle name="Normal 201 2 3_LNG &amp; LPG rework" xfId="7233"/>
    <cellStyle name="Normal 201 2 4" xfId="4199"/>
    <cellStyle name="Normal 201 2 4 2" xfId="12831"/>
    <cellStyle name="Normal 201 2 4 3" xfId="18682"/>
    <cellStyle name="Normal 201 2 5" xfId="12824"/>
    <cellStyle name="Normal 201 2 6" xfId="18675"/>
    <cellStyle name="Normal 201 2_LNG &amp; LPG rework" xfId="7230"/>
    <cellStyle name="Normal 201 3" xfId="4200"/>
    <cellStyle name="Normal 201 3 2" xfId="4201"/>
    <cellStyle name="Normal 201 3 2 2" xfId="4202"/>
    <cellStyle name="Normal 201 3 2 2 2" xfId="4203"/>
    <cellStyle name="Normal 201 3 2 2 2 2" xfId="12835"/>
    <cellStyle name="Normal 201 3 2 2 2 3" xfId="18686"/>
    <cellStyle name="Normal 201 3 2 2 3" xfId="12834"/>
    <cellStyle name="Normal 201 3 2 2 4" xfId="18685"/>
    <cellStyle name="Normal 201 3 2 2_LNG &amp; LPG rework" xfId="7236"/>
    <cellStyle name="Normal 201 3 2 3" xfId="4204"/>
    <cellStyle name="Normal 201 3 2 3 2" xfId="12836"/>
    <cellStyle name="Normal 201 3 2 3 3" xfId="18687"/>
    <cellStyle name="Normal 201 3 2 4" xfId="12833"/>
    <cellStyle name="Normal 201 3 2 5" xfId="18684"/>
    <cellStyle name="Normal 201 3 2_LNG &amp; LPG rework" xfId="7235"/>
    <cellStyle name="Normal 201 3 3" xfId="4205"/>
    <cellStyle name="Normal 201 3 3 2" xfId="4206"/>
    <cellStyle name="Normal 201 3 3 2 2" xfId="12838"/>
    <cellStyle name="Normal 201 3 3 2 3" xfId="18689"/>
    <cellStyle name="Normal 201 3 3 3" xfId="12837"/>
    <cellStyle name="Normal 201 3 3 4" xfId="18688"/>
    <cellStyle name="Normal 201 3 3_LNG &amp; LPG rework" xfId="7237"/>
    <cellStyle name="Normal 201 3 4" xfId="4207"/>
    <cellStyle name="Normal 201 3 4 2" xfId="12839"/>
    <cellStyle name="Normal 201 3 4 3" xfId="18690"/>
    <cellStyle name="Normal 201 3 5" xfId="12832"/>
    <cellStyle name="Normal 201 3 6" xfId="18683"/>
    <cellStyle name="Normal 201 3_LNG &amp; LPG rework" xfId="7234"/>
    <cellStyle name="Normal 201 4" xfId="4208"/>
    <cellStyle name="Normal 201 4 2" xfId="4209"/>
    <cellStyle name="Normal 201 4 2 2" xfId="4210"/>
    <cellStyle name="Normal 201 4 2 2 2" xfId="12842"/>
    <cellStyle name="Normal 201 4 2 2 3" xfId="18693"/>
    <cellStyle name="Normal 201 4 2 3" xfId="12841"/>
    <cellStyle name="Normal 201 4 2 4" xfId="18692"/>
    <cellStyle name="Normal 201 4 2_LNG &amp; LPG rework" xfId="7239"/>
    <cellStyle name="Normal 201 4 3" xfId="4211"/>
    <cellStyle name="Normal 201 4 3 2" xfId="12843"/>
    <cellStyle name="Normal 201 4 3 3" xfId="18694"/>
    <cellStyle name="Normal 201 4 4" xfId="12840"/>
    <cellStyle name="Normal 201 4 5" xfId="18691"/>
    <cellStyle name="Normal 201 4_LNG &amp; LPG rework" xfId="7238"/>
    <cellStyle name="Normal 201 5" xfId="4212"/>
    <cellStyle name="Normal 201 5 2" xfId="4213"/>
    <cellStyle name="Normal 201 5 2 2" xfId="12845"/>
    <cellStyle name="Normal 201 5 2 3" xfId="18696"/>
    <cellStyle name="Normal 201 5 3" xfId="12844"/>
    <cellStyle name="Normal 201 5 4" xfId="18695"/>
    <cellStyle name="Normal 201 5_LNG &amp; LPG rework" xfId="7240"/>
    <cellStyle name="Normal 201 6" xfId="4214"/>
    <cellStyle name="Normal 201 6 2" xfId="12846"/>
    <cellStyle name="Normal 201 6 3" xfId="18697"/>
    <cellStyle name="Normal 201 7" xfId="12823"/>
    <cellStyle name="Normal 201 8" xfId="18674"/>
    <cellStyle name="Normal 201_LNG &amp; LPG rework" xfId="7229"/>
    <cellStyle name="Normal 202" xfId="4215"/>
    <cellStyle name="Normal 202 2" xfId="4216"/>
    <cellStyle name="Normal 202 2 2" xfId="4217"/>
    <cellStyle name="Normal 202 2 2 2" xfId="4218"/>
    <cellStyle name="Normal 202 2 2 2 2" xfId="4219"/>
    <cellStyle name="Normal 202 2 2 2 2 2" xfId="12851"/>
    <cellStyle name="Normal 202 2 2 2 2 3" xfId="18702"/>
    <cellStyle name="Normal 202 2 2 2 3" xfId="12850"/>
    <cellStyle name="Normal 202 2 2 2 4" xfId="18701"/>
    <cellStyle name="Normal 202 2 2 2_LNG &amp; LPG rework" xfId="7244"/>
    <cellStyle name="Normal 202 2 2 3" xfId="4220"/>
    <cellStyle name="Normal 202 2 2 3 2" xfId="12852"/>
    <cellStyle name="Normal 202 2 2 3 3" xfId="18703"/>
    <cellStyle name="Normal 202 2 2 4" xfId="12849"/>
    <cellStyle name="Normal 202 2 2 5" xfId="18700"/>
    <cellStyle name="Normal 202 2 2_LNG &amp; LPG rework" xfId="7243"/>
    <cellStyle name="Normal 202 2 3" xfId="4221"/>
    <cellStyle name="Normal 202 2 3 2" xfId="4222"/>
    <cellStyle name="Normal 202 2 3 2 2" xfId="12854"/>
    <cellStyle name="Normal 202 2 3 2 3" xfId="18705"/>
    <cellStyle name="Normal 202 2 3 3" xfId="12853"/>
    <cellStyle name="Normal 202 2 3 4" xfId="18704"/>
    <cellStyle name="Normal 202 2 3_LNG &amp; LPG rework" xfId="7245"/>
    <cellStyle name="Normal 202 2 4" xfId="4223"/>
    <cellStyle name="Normal 202 2 4 2" xfId="12855"/>
    <cellStyle name="Normal 202 2 4 3" xfId="18706"/>
    <cellStyle name="Normal 202 2 5" xfId="12848"/>
    <cellStyle name="Normal 202 2 6" xfId="18699"/>
    <cellStyle name="Normal 202 2_LNG &amp; LPG rework" xfId="7242"/>
    <cellStyle name="Normal 202 3" xfId="4224"/>
    <cellStyle name="Normal 202 3 2" xfId="4225"/>
    <cellStyle name="Normal 202 3 2 2" xfId="4226"/>
    <cellStyle name="Normal 202 3 2 2 2" xfId="4227"/>
    <cellStyle name="Normal 202 3 2 2 2 2" xfId="12859"/>
    <cellStyle name="Normal 202 3 2 2 2 3" xfId="18710"/>
    <cellStyle name="Normal 202 3 2 2 3" xfId="12858"/>
    <cellStyle name="Normal 202 3 2 2 4" xfId="18709"/>
    <cellStyle name="Normal 202 3 2 2_LNG &amp; LPG rework" xfId="7248"/>
    <cellStyle name="Normal 202 3 2 3" xfId="4228"/>
    <cellStyle name="Normal 202 3 2 3 2" xfId="12860"/>
    <cellStyle name="Normal 202 3 2 3 3" xfId="18711"/>
    <cellStyle name="Normal 202 3 2 4" xfId="12857"/>
    <cellStyle name="Normal 202 3 2 5" xfId="18708"/>
    <cellStyle name="Normal 202 3 2_LNG &amp; LPG rework" xfId="7247"/>
    <cellStyle name="Normal 202 3 3" xfId="4229"/>
    <cellStyle name="Normal 202 3 3 2" xfId="4230"/>
    <cellStyle name="Normal 202 3 3 2 2" xfId="12862"/>
    <cellStyle name="Normal 202 3 3 2 3" xfId="18713"/>
    <cellStyle name="Normal 202 3 3 3" xfId="12861"/>
    <cellStyle name="Normal 202 3 3 4" xfId="18712"/>
    <cellStyle name="Normal 202 3 3_LNG &amp; LPG rework" xfId="7249"/>
    <cellStyle name="Normal 202 3 4" xfId="4231"/>
    <cellStyle name="Normal 202 3 4 2" xfId="12863"/>
    <cellStyle name="Normal 202 3 4 3" xfId="18714"/>
    <cellStyle name="Normal 202 3 5" xfId="12856"/>
    <cellStyle name="Normal 202 3 6" xfId="18707"/>
    <cellStyle name="Normal 202 3_LNG &amp; LPG rework" xfId="7246"/>
    <cellStyle name="Normal 202 4" xfId="4232"/>
    <cellStyle name="Normal 202 4 2" xfId="4233"/>
    <cellStyle name="Normal 202 4 2 2" xfId="4234"/>
    <cellStyle name="Normal 202 4 2 2 2" xfId="12866"/>
    <cellStyle name="Normal 202 4 2 2 3" xfId="18717"/>
    <cellStyle name="Normal 202 4 2 3" xfId="12865"/>
    <cellStyle name="Normal 202 4 2 4" xfId="18716"/>
    <cellStyle name="Normal 202 4 2_LNG &amp; LPG rework" xfId="7251"/>
    <cellStyle name="Normal 202 4 3" xfId="4235"/>
    <cellStyle name="Normal 202 4 3 2" xfId="12867"/>
    <cellStyle name="Normal 202 4 3 3" xfId="18718"/>
    <cellStyle name="Normal 202 4 4" xfId="12864"/>
    <cellStyle name="Normal 202 4 5" xfId="18715"/>
    <cellStyle name="Normal 202 4_LNG &amp; LPG rework" xfId="7250"/>
    <cellStyle name="Normal 202 5" xfId="4236"/>
    <cellStyle name="Normal 202 5 2" xfId="4237"/>
    <cellStyle name="Normal 202 5 2 2" xfId="12869"/>
    <cellStyle name="Normal 202 5 2 3" xfId="18720"/>
    <cellStyle name="Normal 202 5 3" xfId="12868"/>
    <cellStyle name="Normal 202 5 4" xfId="18719"/>
    <cellStyle name="Normal 202 5_LNG &amp; LPG rework" xfId="7252"/>
    <cellStyle name="Normal 202 6" xfId="4238"/>
    <cellStyle name="Normal 202 6 2" xfId="12870"/>
    <cellStyle name="Normal 202 6 3" xfId="18721"/>
    <cellStyle name="Normal 202 7" xfId="12847"/>
    <cellStyle name="Normal 202 8" xfId="18698"/>
    <cellStyle name="Normal 202_LNG &amp; LPG rework" xfId="7241"/>
    <cellStyle name="Normal 203" xfId="4239"/>
    <cellStyle name="Normal 203 2" xfId="4240"/>
    <cellStyle name="Normal 203 2 2" xfId="4241"/>
    <cellStyle name="Normal 203 2 2 2" xfId="4242"/>
    <cellStyle name="Normal 203 2 2 2 2" xfId="12874"/>
    <cellStyle name="Normal 203 2 2 2 3" xfId="18725"/>
    <cellStyle name="Normal 203 2 2 3" xfId="12873"/>
    <cellStyle name="Normal 203 2 2 4" xfId="18724"/>
    <cellStyle name="Normal 203 2 2_LNG &amp; LPG rework" xfId="7255"/>
    <cellStyle name="Normal 203 2 3" xfId="4243"/>
    <cellStyle name="Normal 203 2 3 2" xfId="12875"/>
    <cellStyle name="Normal 203 2 3 3" xfId="18726"/>
    <cellStyle name="Normal 203 2 4" xfId="12872"/>
    <cellStyle name="Normal 203 2 5" xfId="18723"/>
    <cellStyle name="Normal 203 2_LNG &amp; LPG rework" xfId="7254"/>
    <cellStyle name="Normal 203 3" xfId="4244"/>
    <cellStyle name="Normal 203 3 2" xfId="4245"/>
    <cellStyle name="Normal 203 3 2 2" xfId="12877"/>
    <cellStyle name="Normal 203 3 2 3" xfId="18728"/>
    <cellStyle name="Normal 203 3 3" xfId="12876"/>
    <cellStyle name="Normal 203 3 4" xfId="18727"/>
    <cellStyle name="Normal 203 3_LNG &amp; LPG rework" xfId="7256"/>
    <cellStyle name="Normal 203 4" xfId="4246"/>
    <cellStyle name="Normal 203 4 2" xfId="12878"/>
    <cellStyle name="Normal 203 4 3" xfId="18729"/>
    <cellStyle name="Normal 203 5" xfId="12871"/>
    <cellStyle name="Normal 203 6" xfId="18722"/>
    <cellStyle name="Normal 203_LNG &amp; LPG rework" xfId="7253"/>
    <cellStyle name="Normal 204" xfId="4247"/>
    <cellStyle name="Normal 204 2" xfId="4248"/>
    <cellStyle name="Normal 204 2 2" xfId="4249"/>
    <cellStyle name="Normal 204 2 2 2" xfId="4250"/>
    <cellStyle name="Normal 204 2 2 2 2" xfId="12882"/>
    <cellStyle name="Normal 204 2 2 2 3" xfId="18733"/>
    <cellStyle name="Normal 204 2 2 3" xfId="12881"/>
    <cellStyle name="Normal 204 2 2 4" xfId="18732"/>
    <cellStyle name="Normal 204 2 2_LNG &amp; LPG rework" xfId="7259"/>
    <cellStyle name="Normal 204 2 3" xfId="4251"/>
    <cellStyle name="Normal 204 2 3 2" xfId="12883"/>
    <cellStyle name="Normal 204 2 3 3" xfId="18734"/>
    <cellStyle name="Normal 204 2 4" xfId="12880"/>
    <cellStyle name="Normal 204 2 5" xfId="18731"/>
    <cellStyle name="Normal 204 2_LNG &amp; LPG rework" xfId="7258"/>
    <cellStyle name="Normal 204 3" xfId="4252"/>
    <cellStyle name="Normal 204 3 2" xfId="4253"/>
    <cellStyle name="Normal 204 3 2 2" xfId="12885"/>
    <cellStyle name="Normal 204 3 2 3" xfId="18736"/>
    <cellStyle name="Normal 204 3 3" xfId="12884"/>
    <cellStyle name="Normal 204 3 4" xfId="18735"/>
    <cellStyle name="Normal 204 3_LNG &amp; LPG rework" xfId="7260"/>
    <cellStyle name="Normal 204 4" xfId="4254"/>
    <cellStyle name="Normal 204 4 2" xfId="12886"/>
    <cellStyle name="Normal 204 4 3" xfId="18737"/>
    <cellStyle name="Normal 204 5" xfId="12879"/>
    <cellStyle name="Normal 204 6" xfId="18730"/>
    <cellStyle name="Normal 204_LNG &amp; LPG rework" xfId="7257"/>
    <cellStyle name="Normal 205" xfId="4255"/>
    <cellStyle name="Normal 205 2" xfId="4256"/>
    <cellStyle name="Normal 205 2 2" xfId="4257"/>
    <cellStyle name="Normal 205 2 2 2" xfId="4258"/>
    <cellStyle name="Normal 205 2 2 2 2" xfId="12890"/>
    <cellStyle name="Normal 205 2 2 2 3" xfId="18741"/>
    <cellStyle name="Normal 205 2 2 3" xfId="12889"/>
    <cellStyle name="Normal 205 2 2 4" xfId="18740"/>
    <cellStyle name="Normal 205 2 2_LNG &amp; LPG rework" xfId="7263"/>
    <cellStyle name="Normal 205 2 3" xfId="4259"/>
    <cellStyle name="Normal 205 2 3 2" xfId="12891"/>
    <cellStyle name="Normal 205 2 3 3" xfId="18742"/>
    <cellStyle name="Normal 205 2 4" xfId="12888"/>
    <cellStyle name="Normal 205 2 5" xfId="18739"/>
    <cellStyle name="Normal 205 2_LNG &amp; LPG rework" xfId="7262"/>
    <cellStyle name="Normal 205 3" xfId="4260"/>
    <cellStyle name="Normal 205 3 2" xfId="4261"/>
    <cellStyle name="Normal 205 3 2 2" xfId="12893"/>
    <cellStyle name="Normal 205 3 2 3" xfId="18744"/>
    <cellStyle name="Normal 205 3 3" xfId="12892"/>
    <cellStyle name="Normal 205 3 4" xfId="18743"/>
    <cellStyle name="Normal 205 3_LNG &amp; LPG rework" xfId="7264"/>
    <cellStyle name="Normal 205 4" xfId="4262"/>
    <cellStyle name="Normal 205 4 2" xfId="12894"/>
    <cellStyle name="Normal 205 4 3" xfId="18745"/>
    <cellStyle name="Normal 205 5" xfId="12887"/>
    <cellStyle name="Normal 205 6" xfId="18738"/>
    <cellStyle name="Normal 205_LNG &amp; LPG rework" xfId="7261"/>
    <cellStyle name="Normal 206" xfId="4263"/>
    <cellStyle name="Normal 207" xfId="4264"/>
    <cellStyle name="Normal 208" xfId="4265"/>
    <cellStyle name="Normal 208 2" xfId="4266"/>
    <cellStyle name="Normal 208 2 2" xfId="12896"/>
    <cellStyle name="Normal 208 2 3" xfId="18747"/>
    <cellStyle name="Normal 208 3" xfId="12895"/>
    <cellStyle name="Normal 208 4" xfId="18746"/>
    <cellStyle name="Normal 208_LNG &amp; LPG rework" xfId="7265"/>
    <cellStyle name="Normal 209" xfId="4267"/>
    <cellStyle name="Normal 21" xfId="471"/>
    <cellStyle name="Normal 21 2" xfId="4268"/>
    <cellStyle name="Normal 21 3" xfId="4269"/>
    <cellStyle name="Normal 21 4" xfId="4270"/>
    <cellStyle name="Normal 21_Monthly Price Data" xfId="6556"/>
    <cellStyle name="Normal 210" xfId="4271"/>
    <cellStyle name="Normal 211" xfId="4272"/>
    <cellStyle name="Normal 212" xfId="4273"/>
    <cellStyle name="Normal 213" xfId="4274"/>
    <cellStyle name="Normal 214" xfId="4275"/>
    <cellStyle name="Normal 215" xfId="6392"/>
    <cellStyle name="Normal 216" xfId="6401"/>
    <cellStyle name="Normal 217" xfId="6400"/>
    <cellStyle name="Normal 218" xfId="6403"/>
    <cellStyle name="Normal 219" xfId="6397"/>
    <cellStyle name="Normal 22" xfId="478"/>
    <cellStyle name="Normal 22 2" xfId="4276"/>
    <cellStyle name="Normal 22 3" xfId="4277"/>
    <cellStyle name="Normal 22_Monthly Price Data" xfId="6555"/>
    <cellStyle name="Normal 220" xfId="6398"/>
    <cellStyle name="Normal 221" xfId="6396"/>
    <cellStyle name="Normal 222" xfId="6402"/>
    <cellStyle name="Normal 223" xfId="6399"/>
    <cellStyle name="Normal 224" xfId="6395"/>
    <cellStyle name="Normal 225" xfId="6393"/>
    <cellStyle name="Normal 226" xfId="6404"/>
    <cellStyle name="Normal 227" xfId="6421"/>
    <cellStyle name="Normal 228" xfId="6413"/>
    <cellStyle name="Normal 229" xfId="6411"/>
    <cellStyle name="Normal 23" xfId="4278"/>
    <cellStyle name="Normal 23 2" xfId="4279"/>
    <cellStyle name="Normal 23 3" xfId="4280"/>
    <cellStyle name="Normal 23 4" xfId="4281"/>
    <cellStyle name="Normal 23_LNG &amp; LPG rework" xfId="7266"/>
    <cellStyle name="Normal 230" xfId="6418"/>
    <cellStyle name="Normal 231" xfId="6410"/>
    <cellStyle name="Normal 232" xfId="6420"/>
    <cellStyle name="Normal 233" xfId="6416"/>
    <cellStyle name="Normal 234" xfId="6417"/>
    <cellStyle name="Normal 235" xfId="6414"/>
    <cellStyle name="Normal 236" xfId="6407"/>
    <cellStyle name="Normal 237" xfId="6408"/>
    <cellStyle name="Normal 238" xfId="6405"/>
    <cellStyle name="Normal 239" xfId="6419"/>
    <cellStyle name="Normal 24" xfId="4282"/>
    <cellStyle name="Normal 24 2" xfId="4283"/>
    <cellStyle name="Normal 24 3" xfId="4284"/>
    <cellStyle name="Normal 24 4" xfId="4285"/>
    <cellStyle name="Normal 24_LNG &amp; LPG rework" xfId="7267"/>
    <cellStyle name="Normal 240" xfId="6406"/>
    <cellStyle name="Normal 241" xfId="6412"/>
    <cellStyle name="Normal 242" xfId="6394"/>
    <cellStyle name="Normal 243" xfId="6415"/>
    <cellStyle name="Normal 244" xfId="6409"/>
    <cellStyle name="Normal 245" xfId="6422"/>
    <cellStyle name="Normal 246" xfId="6476"/>
    <cellStyle name="Normal 246 2" xfId="14819"/>
    <cellStyle name="Normal 246 3" xfId="20740"/>
    <cellStyle name="Normal 247" xfId="6479"/>
    <cellStyle name="Normal 247 2" xfId="14822"/>
    <cellStyle name="Normal 247 3" xfId="20743"/>
    <cellStyle name="Normal 248" xfId="6520"/>
    <cellStyle name="Normal 248 2" xfId="20772"/>
    <cellStyle name="Normal 248 3" xfId="7837"/>
    <cellStyle name="Normal 249" xfId="6557"/>
    <cellStyle name="Normal 249 2" xfId="20789"/>
    <cellStyle name="Normal 25" xfId="4286"/>
    <cellStyle name="Normal 25 2" xfId="4287"/>
    <cellStyle name="Normal 25 3" xfId="4288"/>
    <cellStyle name="Normal 25 4" xfId="4289"/>
    <cellStyle name="Normal 25_LNG &amp; LPG rework" xfId="7268"/>
    <cellStyle name="Normal 250" xfId="7786"/>
    <cellStyle name="Normal 250 2" xfId="20803"/>
    <cellStyle name="Normal 250 3" xfId="8909"/>
    <cellStyle name="Normal 251" xfId="7787"/>
    <cellStyle name="Normal 251 2" xfId="20804"/>
    <cellStyle name="Normal 251 3" xfId="8910"/>
    <cellStyle name="Normal 252" xfId="7788"/>
    <cellStyle name="Normal 253" xfId="7789"/>
    <cellStyle name="Normal 254" xfId="7790"/>
    <cellStyle name="Normal 255" xfId="7791"/>
    <cellStyle name="Normal 256" xfId="7792"/>
    <cellStyle name="Normal 257" xfId="7793"/>
    <cellStyle name="Normal 257 2" xfId="20805"/>
    <cellStyle name="Normal 257 3" xfId="8924"/>
    <cellStyle name="Normal 258" xfId="7794"/>
    <cellStyle name="Normal 258 2" xfId="20806"/>
    <cellStyle name="Normal 258 3" xfId="8925"/>
    <cellStyle name="Normal 259" xfId="7795"/>
    <cellStyle name="Normal 259 2" xfId="20807"/>
    <cellStyle name="Normal 259 3" xfId="8926"/>
    <cellStyle name="Normal 26" xfId="4290"/>
    <cellStyle name="Normal 26 2" xfId="4291"/>
    <cellStyle name="Normal 26 3" xfId="4292"/>
    <cellStyle name="Normal 26 4" xfId="4293"/>
    <cellStyle name="Normal 26_LNG &amp; LPG rework" xfId="7269"/>
    <cellStyle name="Normal 260" xfId="7796"/>
    <cellStyle name="Normal 261" xfId="7797"/>
    <cellStyle name="Normal 262" xfId="7798"/>
    <cellStyle name="Normal 263" xfId="7799"/>
    <cellStyle name="Normal 264" xfId="7800"/>
    <cellStyle name="Normal 265" xfId="7801"/>
    <cellStyle name="Normal 266" xfId="20810"/>
    <cellStyle name="Normal 267" xfId="20811"/>
    <cellStyle name="Normal 267 2" xfId="21893"/>
    <cellStyle name="Normal 268" xfId="20812"/>
    <cellStyle name="Normal 268 2" xfId="21894"/>
    <cellStyle name="Normal 269" xfId="20814"/>
    <cellStyle name="Normal 269 2" xfId="21895"/>
    <cellStyle name="Normal 27" xfId="4294"/>
    <cellStyle name="Normal 27 2" xfId="4295"/>
    <cellStyle name="Normal 27 3" xfId="4296"/>
    <cellStyle name="Normal 27 4" xfId="4297"/>
    <cellStyle name="Normal 27_LNG &amp; LPG rework" xfId="7270"/>
    <cellStyle name="Normal 270" xfId="20815"/>
    <cellStyle name="Normal 270 2" xfId="25103"/>
    <cellStyle name="Normal 271" xfId="20816"/>
    <cellStyle name="Normal 272" xfId="20817"/>
    <cellStyle name="Normal 272 2" xfId="37036"/>
    <cellStyle name="Normal 273" xfId="20818"/>
    <cellStyle name="Normal 274" xfId="7802"/>
    <cellStyle name="Normal 274 2" xfId="29422"/>
    <cellStyle name="Normal 275" xfId="7804"/>
    <cellStyle name="Normal 276" xfId="8906"/>
    <cellStyle name="Normal 276 2" xfId="29424"/>
    <cellStyle name="Normal 277" xfId="20824"/>
    <cellStyle name="Normal 277 2" xfId="29427"/>
    <cellStyle name="Normal 277 3" xfId="45604"/>
    <cellStyle name="Normal 278" xfId="20827"/>
    <cellStyle name="Normal 278 2" xfId="29426"/>
    <cellStyle name="Normal 278 3" xfId="45605"/>
    <cellStyle name="Normal 279" xfId="21888"/>
    <cellStyle name="Normal 279 2" xfId="29441"/>
    <cellStyle name="Normal 279 3" xfId="45607"/>
    <cellStyle name="Normal 28" xfId="4298"/>
    <cellStyle name="Normal 28 2" xfId="4299"/>
    <cellStyle name="Normal 28 3" xfId="4300"/>
    <cellStyle name="Normal 28_Monthly Price Data" xfId="6554"/>
    <cellStyle name="Normal 280" xfId="21897"/>
    <cellStyle name="Normal 280 2" xfId="29443"/>
    <cellStyle name="Normal 280 3" xfId="45606"/>
    <cellStyle name="Normal 281" xfId="21900"/>
    <cellStyle name="Normal 281 2" xfId="29444"/>
    <cellStyle name="Normal 281 3" xfId="45608"/>
    <cellStyle name="Normal 282" xfId="22882"/>
    <cellStyle name="Normal 282 2" xfId="29446"/>
    <cellStyle name="Normal 283" xfId="26215"/>
    <cellStyle name="Normal 283 2" xfId="29447"/>
    <cellStyle name="Normal 284" xfId="26218"/>
    <cellStyle name="Normal 284 2" xfId="29448"/>
    <cellStyle name="Normal 285" xfId="29450"/>
    <cellStyle name="Normal 286" xfId="29452"/>
    <cellStyle name="Normal 287" xfId="29453"/>
    <cellStyle name="Normal 288" xfId="29455"/>
    <cellStyle name="Normal 289" xfId="29456"/>
    <cellStyle name="Normal 29" xfId="4301"/>
    <cellStyle name="Normal 29 2" xfId="4302"/>
    <cellStyle name="Normal 29 2 2" xfId="4303"/>
    <cellStyle name="Normal 29 2_Monthly Price Data" xfId="6552"/>
    <cellStyle name="Normal 29 3" xfId="4304"/>
    <cellStyle name="Normal 29 4" xfId="4305"/>
    <cellStyle name="Normal 29 5" xfId="4306"/>
    <cellStyle name="Normal 29 6" xfId="4307"/>
    <cellStyle name="Normal 29_Monthly Price Data" xfId="6553"/>
    <cellStyle name="Normal 290" xfId="29457"/>
    <cellStyle name="Normal 291" xfId="29458"/>
    <cellStyle name="Normal 292" xfId="29459"/>
    <cellStyle name="Normal 293" xfId="29460"/>
    <cellStyle name="Normal 294" xfId="29461"/>
    <cellStyle name="Normal 295" xfId="29463"/>
    <cellStyle name="Normal 296" xfId="29464"/>
    <cellStyle name="Normal 297" xfId="29466"/>
    <cellStyle name="Normal 298" xfId="29467"/>
    <cellStyle name="Normal 299" xfId="29469"/>
    <cellStyle name="Normal 3" xfId="44"/>
    <cellStyle name="Normal 3 2" xfId="107"/>
    <cellStyle name="Normal 3 2 2" xfId="472"/>
    <cellStyle name="Normal 3 2 3" xfId="9000"/>
    <cellStyle name="Normal 3 2 4" xfId="14971"/>
    <cellStyle name="Normal 3 2_LNG &amp; LPG rework" xfId="6549"/>
    <cellStyle name="Normal 3 3" xfId="4308"/>
    <cellStyle name="Normal 3 4" xfId="4309"/>
    <cellStyle name="Normal 3 5" xfId="4310"/>
    <cellStyle name="Normal 3 5 2" xfId="12897"/>
    <cellStyle name="Normal 3 5 3" xfId="18748"/>
    <cellStyle name="Normal 3 6" xfId="8945"/>
    <cellStyle name="Normal 3 7" xfId="14868"/>
    <cellStyle name="Normal 3 7 2" xfId="39184"/>
    <cellStyle name="Normal 3 8" xfId="29514"/>
    <cellStyle name="Normal 3 8 2" xfId="39188"/>
    <cellStyle name="Normal 3_2015  Data" xfId="473"/>
    <cellStyle name="Normal 30" xfId="4311"/>
    <cellStyle name="Normal 30 10" xfId="20821"/>
    <cellStyle name="Normal 30 2" xfId="4312"/>
    <cellStyle name="Normal 30 2 2" xfId="4313"/>
    <cellStyle name="Normal 30 2 2 2" xfId="4314"/>
    <cellStyle name="Normal 30 2 2 2 2" xfId="4315"/>
    <cellStyle name="Normal 30 2 2 2 2 2" xfId="12901"/>
    <cellStyle name="Normal 30 2 2 2 2 3" xfId="18752"/>
    <cellStyle name="Normal 30 2 2 2 3" xfId="12900"/>
    <cellStyle name="Normal 30 2 2 2 4" xfId="18751"/>
    <cellStyle name="Normal 30 2 2 2_LNG &amp; LPG rework" xfId="7273"/>
    <cellStyle name="Normal 30 2 2 3" xfId="4316"/>
    <cellStyle name="Normal 30 2 2 3 2" xfId="12902"/>
    <cellStyle name="Normal 30 2 2 3 3" xfId="18753"/>
    <cellStyle name="Normal 30 2 2 4" xfId="12899"/>
    <cellStyle name="Normal 30 2 2 5" xfId="18750"/>
    <cellStyle name="Normal 30 2 2_LNG &amp; LPG rework" xfId="7272"/>
    <cellStyle name="Normal 30 2 3" xfId="4317"/>
    <cellStyle name="Normal 30 2 3 2" xfId="4318"/>
    <cellStyle name="Normal 30 2 3 2 2" xfId="12904"/>
    <cellStyle name="Normal 30 2 3 2 3" xfId="18755"/>
    <cellStyle name="Normal 30 2 3 3" xfId="12903"/>
    <cellStyle name="Normal 30 2 3 4" xfId="18754"/>
    <cellStyle name="Normal 30 2 3_LNG &amp; LPG rework" xfId="7274"/>
    <cellStyle name="Normal 30 2 4" xfId="4319"/>
    <cellStyle name="Normal 30 2 4 2" xfId="12905"/>
    <cellStyle name="Normal 30 2 4 3" xfId="18756"/>
    <cellStyle name="Normal 30 2 5" xfId="4320"/>
    <cellStyle name="Normal 30 2 6" xfId="12898"/>
    <cellStyle name="Normal 30 2 7" xfId="18749"/>
    <cellStyle name="Normal 30 2_LNG &amp; LPG rework" xfId="7271"/>
    <cellStyle name="Normal 30 3" xfId="4321"/>
    <cellStyle name="Normal 30 3 2" xfId="4322"/>
    <cellStyle name="Normal 30 3 2 2" xfId="4323"/>
    <cellStyle name="Normal 30 3 2 2 2" xfId="4324"/>
    <cellStyle name="Normal 30 3 2 2 2 2" xfId="12909"/>
    <cellStyle name="Normal 30 3 2 2 2 3" xfId="18760"/>
    <cellStyle name="Normal 30 3 2 2 3" xfId="12908"/>
    <cellStyle name="Normal 30 3 2 2 4" xfId="18759"/>
    <cellStyle name="Normal 30 3 2 2_LNG &amp; LPG rework" xfId="7277"/>
    <cellStyle name="Normal 30 3 2 3" xfId="4325"/>
    <cellStyle name="Normal 30 3 2 3 2" xfId="12910"/>
    <cellStyle name="Normal 30 3 2 3 3" xfId="18761"/>
    <cellStyle name="Normal 30 3 2 4" xfId="12907"/>
    <cellStyle name="Normal 30 3 2 5" xfId="18758"/>
    <cellStyle name="Normal 30 3 2_LNG &amp; LPG rework" xfId="7276"/>
    <cellStyle name="Normal 30 3 3" xfId="4326"/>
    <cellStyle name="Normal 30 3 3 2" xfId="4327"/>
    <cellStyle name="Normal 30 3 3 2 2" xfId="12912"/>
    <cellStyle name="Normal 30 3 3 2 3" xfId="18763"/>
    <cellStyle name="Normal 30 3 3 3" xfId="12911"/>
    <cellStyle name="Normal 30 3 3 4" xfId="18762"/>
    <cellStyle name="Normal 30 3 3_LNG &amp; LPG rework" xfId="7278"/>
    <cellStyle name="Normal 30 3 4" xfId="4328"/>
    <cellStyle name="Normal 30 3 4 2" xfId="12913"/>
    <cellStyle name="Normal 30 3 4 3" xfId="18764"/>
    <cellStyle name="Normal 30 3 5" xfId="12906"/>
    <cellStyle name="Normal 30 3 6" xfId="18757"/>
    <cellStyle name="Normal 30 3_LNG &amp; LPG rework" xfId="7275"/>
    <cellStyle name="Normal 30 4" xfId="4329"/>
    <cellStyle name="Normal 30 4 2" xfId="4330"/>
    <cellStyle name="Normal 30 4 2 2" xfId="4331"/>
    <cellStyle name="Normal 30 4 2 2 2" xfId="12916"/>
    <cellStyle name="Normal 30 4 2 2 3" xfId="18767"/>
    <cellStyle name="Normal 30 4 2 3" xfId="12915"/>
    <cellStyle name="Normal 30 4 2 4" xfId="18766"/>
    <cellStyle name="Normal 30 4 2_LNG &amp; LPG rework" xfId="7280"/>
    <cellStyle name="Normal 30 4 3" xfId="4332"/>
    <cellStyle name="Normal 30 4 3 2" xfId="12917"/>
    <cellStyle name="Normal 30 4 3 3" xfId="18768"/>
    <cellStyle name="Normal 30 4 4" xfId="12914"/>
    <cellStyle name="Normal 30 4 5" xfId="18765"/>
    <cellStyle name="Normal 30 4_LNG &amp; LPG rework" xfId="7279"/>
    <cellStyle name="Normal 30 5" xfId="4333"/>
    <cellStyle name="Normal 30 5 2" xfId="4334"/>
    <cellStyle name="Normal 30 5 2 2" xfId="12919"/>
    <cellStyle name="Normal 30 5 2 3" xfId="18770"/>
    <cellStyle name="Normal 30 5 3" xfId="12918"/>
    <cellStyle name="Normal 30 5 4" xfId="18769"/>
    <cellStyle name="Normal 30 5_LNG &amp; LPG rework" xfId="7281"/>
    <cellStyle name="Normal 30 6" xfId="4335"/>
    <cellStyle name="Normal 30 6 2" xfId="12920"/>
    <cellStyle name="Normal 30 6 3" xfId="18771"/>
    <cellStyle name="Normal 30 7" xfId="4336"/>
    <cellStyle name="Normal 30 8" xfId="7831"/>
    <cellStyle name="Normal 30 9" xfId="8901"/>
    <cellStyle name="Normal 30_Data - Monthly Commodity Prices" xfId="6486"/>
    <cellStyle name="Normal 300" xfId="29470"/>
    <cellStyle name="Normal 301" xfId="29484"/>
    <cellStyle name="Normal 302" xfId="29485"/>
    <cellStyle name="Normal 303" xfId="29487"/>
    <cellStyle name="Normal 304" xfId="29488"/>
    <cellStyle name="Normal 305" xfId="29489"/>
    <cellStyle name="Normal 306" xfId="29493"/>
    <cellStyle name="Normal 306 2" xfId="32757"/>
    <cellStyle name="Normal 307" xfId="29494"/>
    <cellStyle name="Normal 307 2" xfId="32758"/>
    <cellStyle name="Normal 308" xfId="29496"/>
    <cellStyle name="Normal 308 2" xfId="32759"/>
    <cellStyle name="Normal 309" xfId="29499"/>
    <cellStyle name="Normal 31" xfId="4337"/>
    <cellStyle name="Normal 31 2" xfId="4338"/>
    <cellStyle name="Normal 31 2 2" xfId="4339"/>
    <cellStyle name="Normal 31 2 2 2" xfId="4340"/>
    <cellStyle name="Normal 31 2 2 2 2" xfId="4341"/>
    <cellStyle name="Normal 31 2 2 2 2 2" xfId="12925"/>
    <cellStyle name="Normal 31 2 2 2 2 3" xfId="18776"/>
    <cellStyle name="Normal 31 2 2 2 3" xfId="12924"/>
    <cellStyle name="Normal 31 2 2 2 4" xfId="18775"/>
    <cellStyle name="Normal 31 2 2 2_LNG &amp; LPG rework" xfId="7285"/>
    <cellStyle name="Normal 31 2 2 3" xfId="4342"/>
    <cellStyle name="Normal 31 2 2 3 2" xfId="12926"/>
    <cellStyle name="Normal 31 2 2 3 3" xfId="18777"/>
    <cellStyle name="Normal 31 2 2 4" xfId="12923"/>
    <cellStyle name="Normal 31 2 2 5" xfId="18774"/>
    <cellStyle name="Normal 31 2 2_LNG &amp; LPG rework" xfId="7284"/>
    <cellStyle name="Normal 31 2 3" xfId="4343"/>
    <cellStyle name="Normal 31 2 3 2" xfId="4344"/>
    <cellStyle name="Normal 31 2 3 2 2" xfId="12928"/>
    <cellStyle name="Normal 31 2 3 2 3" xfId="18779"/>
    <cellStyle name="Normal 31 2 3 3" xfId="12927"/>
    <cellStyle name="Normal 31 2 3 4" xfId="18778"/>
    <cellStyle name="Normal 31 2 3_LNG &amp; LPG rework" xfId="7286"/>
    <cellStyle name="Normal 31 2 4" xfId="4345"/>
    <cellStyle name="Normal 31 2 4 2" xfId="12929"/>
    <cellStyle name="Normal 31 2 4 3" xfId="18780"/>
    <cellStyle name="Normal 31 2 5" xfId="4346"/>
    <cellStyle name="Normal 31 2 6" xfId="12922"/>
    <cellStyle name="Normal 31 2 7" xfId="18773"/>
    <cellStyle name="Normal 31 2_LNG &amp; LPG rework" xfId="7283"/>
    <cellStyle name="Normal 31 3" xfId="4347"/>
    <cellStyle name="Normal 31 3 2" xfId="4348"/>
    <cellStyle name="Normal 31 3 2 2" xfId="4349"/>
    <cellStyle name="Normal 31 3 2 2 2" xfId="4350"/>
    <cellStyle name="Normal 31 3 2 2 2 2" xfId="12933"/>
    <cellStyle name="Normal 31 3 2 2 2 3" xfId="18784"/>
    <cellStyle name="Normal 31 3 2 2 3" xfId="12932"/>
    <cellStyle name="Normal 31 3 2 2 4" xfId="18783"/>
    <cellStyle name="Normal 31 3 2 2_LNG &amp; LPG rework" xfId="7289"/>
    <cellStyle name="Normal 31 3 2 3" xfId="4351"/>
    <cellStyle name="Normal 31 3 2 3 2" xfId="12934"/>
    <cellStyle name="Normal 31 3 2 3 3" xfId="18785"/>
    <cellStyle name="Normal 31 3 2 4" xfId="4352"/>
    <cellStyle name="Normal 31 3 2 4 2" xfId="12935"/>
    <cellStyle name="Normal 31 3 2 4 3" xfId="18786"/>
    <cellStyle name="Normal 31 3 2 5" xfId="4353"/>
    <cellStyle name="Normal 31 3 2 5 2" xfId="12936"/>
    <cellStyle name="Normal 31 3 2 5 3" xfId="18787"/>
    <cellStyle name="Normal 31 3 2 6" xfId="12931"/>
    <cellStyle name="Normal 31 3 2 7" xfId="18782"/>
    <cellStyle name="Normal 31 3 2_LNG &amp; LPG rework" xfId="7288"/>
    <cellStyle name="Normal 31 3 3" xfId="4354"/>
    <cellStyle name="Normal 31 3 3 2" xfId="4355"/>
    <cellStyle name="Normal 31 3 3 2 2" xfId="12938"/>
    <cellStyle name="Normal 31 3 3 2 3" xfId="18789"/>
    <cellStyle name="Normal 31 3 3 3" xfId="12937"/>
    <cellStyle name="Normal 31 3 3 4" xfId="18788"/>
    <cellStyle name="Normal 31 3 3_LNG &amp; LPG rework" xfId="7290"/>
    <cellStyle name="Normal 31 3 4" xfId="4356"/>
    <cellStyle name="Normal 31 3 4 2" xfId="12939"/>
    <cellStyle name="Normal 31 3 4 3" xfId="18790"/>
    <cellStyle name="Normal 31 3 5" xfId="4357"/>
    <cellStyle name="Normal 31 3 5 2" xfId="12940"/>
    <cellStyle name="Normal 31 3 5 3" xfId="18791"/>
    <cellStyle name="Normal 31 3 6" xfId="4358"/>
    <cellStyle name="Normal 31 3 6 2" xfId="12941"/>
    <cellStyle name="Normal 31 3 6 3" xfId="18792"/>
    <cellStyle name="Normal 31 3 7" xfId="12930"/>
    <cellStyle name="Normal 31 3 8" xfId="18781"/>
    <cellStyle name="Normal 31 3_LNG &amp; LPG rework" xfId="7287"/>
    <cellStyle name="Normal 31 4" xfId="4359"/>
    <cellStyle name="Normal 31 4 2" xfId="4360"/>
    <cellStyle name="Normal 31 4 2 2" xfId="4361"/>
    <cellStyle name="Normal 31 4 2 2 2" xfId="12944"/>
    <cellStyle name="Normal 31 4 2 2 3" xfId="18795"/>
    <cellStyle name="Normal 31 4 2 3" xfId="12943"/>
    <cellStyle name="Normal 31 4 2 4" xfId="18794"/>
    <cellStyle name="Normal 31 4 2_LNG &amp; LPG rework" xfId="7292"/>
    <cellStyle name="Normal 31 4 3" xfId="4362"/>
    <cellStyle name="Normal 31 4 3 2" xfId="12945"/>
    <cellStyle name="Normal 31 4 3 3" xfId="18796"/>
    <cellStyle name="Normal 31 4 4" xfId="12942"/>
    <cellStyle name="Normal 31 4 5" xfId="18793"/>
    <cellStyle name="Normal 31 4_LNG &amp; LPG rework" xfId="7291"/>
    <cellStyle name="Normal 31 5" xfId="4363"/>
    <cellStyle name="Normal 31 5 2" xfId="4364"/>
    <cellStyle name="Normal 31 5 2 2" xfId="12947"/>
    <cellStyle name="Normal 31 5 2 3" xfId="18798"/>
    <cellStyle name="Normal 31 5 3" xfId="12946"/>
    <cellStyle name="Normal 31 5 4" xfId="18797"/>
    <cellStyle name="Normal 31 5_LNG &amp; LPG rework" xfId="7293"/>
    <cellStyle name="Normal 31 6" xfId="4365"/>
    <cellStyle name="Normal 31 6 2" xfId="12948"/>
    <cellStyle name="Normal 31 6 3" xfId="18799"/>
    <cellStyle name="Normal 31 7" xfId="4366"/>
    <cellStyle name="Normal 31 7 2" xfId="12949"/>
    <cellStyle name="Normal 31 7 3" xfId="18800"/>
    <cellStyle name="Normal 31 8" xfId="12921"/>
    <cellStyle name="Normal 31 9" xfId="18772"/>
    <cellStyle name="Normal 31_LNG &amp; LPG rework" xfId="7282"/>
    <cellStyle name="Normal 310" xfId="29500"/>
    <cellStyle name="Normal 311" xfId="29501"/>
    <cellStyle name="Normal 312" xfId="26220"/>
    <cellStyle name="Normal 313" xfId="29553"/>
    <cellStyle name="Normal 314" xfId="30617"/>
    <cellStyle name="Normal 315" xfId="32764"/>
    <cellStyle name="Normal 32" xfId="4367"/>
    <cellStyle name="Normal 32 2" xfId="4368"/>
    <cellStyle name="Normal 32 2 2" xfId="4369"/>
    <cellStyle name="Normal 32 2 2 2" xfId="4370"/>
    <cellStyle name="Normal 32 2 2 2 2" xfId="4371"/>
    <cellStyle name="Normal 32 2 2 2 2 2" xfId="12954"/>
    <cellStyle name="Normal 32 2 2 2 2 3" xfId="18805"/>
    <cellStyle name="Normal 32 2 2 2 3" xfId="12953"/>
    <cellStyle name="Normal 32 2 2 2 4" xfId="18804"/>
    <cellStyle name="Normal 32 2 2 2_LNG &amp; LPG rework" xfId="7297"/>
    <cellStyle name="Normal 32 2 2 3" xfId="4372"/>
    <cellStyle name="Normal 32 2 2 3 2" xfId="12955"/>
    <cellStyle name="Normal 32 2 2 3 3" xfId="18806"/>
    <cellStyle name="Normal 32 2 2 4" xfId="4373"/>
    <cellStyle name="Normal 32 2 2 4 2" xfId="12956"/>
    <cellStyle name="Normal 32 2 2 4 3" xfId="18807"/>
    <cellStyle name="Normal 32 2 2 5" xfId="4374"/>
    <cellStyle name="Normal 32 2 2 5 2" xfId="12957"/>
    <cellStyle name="Normal 32 2 2 5 3" xfId="18808"/>
    <cellStyle name="Normal 32 2 2 6" xfId="12952"/>
    <cellStyle name="Normal 32 2 2 7" xfId="18803"/>
    <cellStyle name="Normal 32 2 2_LNG &amp; LPG rework" xfId="7296"/>
    <cellStyle name="Normal 32 2 3" xfId="4375"/>
    <cellStyle name="Normal 32 2 3 2" xfId="4376"/>
    <cellStyle name="Normal 32 2 3 2 2" xfId="12959"/>
    <cellStyle name="Normal 32 2 3 2 3" xfId="18810"/>
    <cellStyle name="Normal 32 2 3 3" xfId="4377"/>
    <cellStyle name="Normal 32 2 3 3 2" xfId="12960"/>
    <cellStyle name="Normal 32 2 3 3 3" xfId="18811"/>
    <cellStyle name="Normal 32 2 3 4" xfId="4378"/>
    <cellStyle name="Normal 32 2 3 4 2" xfId="12961"/>
    <cellStyle name="Normal 32 2 3 4 3" xfId="18812"/>
    <cellStyle name="Normal 32 2 3 5" xfId="4379"/>
    <cellStyle name="Normal 32 2 3 5 2" xfId="12962"/>
    <cellStyle name="Normal 32 2 3 5 3" xfId="18813"/>
    <cellStyle name="Normal 32 2 3 6" xfId="12958"/>
    <cellStyle name="Normal 32 2 3 7" xfId="18809"/>
    <cellStyle name="Normal 32 2 3_LNG &amp; LPG rework" xfId="7298"/>
    <cellStyle name="Normal 32 2 4" xfId="4380"/>
    <cellStyle name="Normal 32 2 4 2" xfId="12963"/>
    <cellStyle name="Normal 32 2 4 3" xfId="18814"/>
    <cellStyle name="Normal 32 2 5" xfId="4381"/>
    <cellStyle name="Normal 32 2 5 2" xfId="12964"/>
    <cellStyle name="Normal 32 2 5 3" xfId="18815"/>
    <cellStyle name="Normal 32 2 6" xfId="4382"/>
    <cellStyle name="Normal 32 2 6 2" xfId="12965"/>
    <cellStyle name="Normal 32 2 6 3" xfId="18816"/>
    <cellStyle name="Normal 32 2 7" xfId="4383"/>
    <cellStyle name="Normal 32 2 7 2" xfId="12966"/>
    <cellStyle name="Normal 32 2 7 3" xfId="18817"/>
    <cellStyle name="Normal 32 2 8" xfId="12951"/>
    <cellStyle name="Normal 32 2 9" xfId="18802"/>
    <cellStyle name="Normal 32 2_LNG &amp; LPG rework" xfId="7295"/>
    <cellStyle name="Normal 32 3" xfId="4384"/>
    <cellStyle name="Normal 32 3 2" xfId="4385"/>
    <cellStyle name="Normal 32 3 2 2" xfId="4386"/>
    <cellStyle name="Normal 32 3 2 2 2" xfId="4387"/>
    <cellStyle name="Normal 32 3 2 2 2 2" xfId="12970"/>
    <cellStyle name="Normal 32 3 2 2 2 3" xfId="18821"/>
    <cellStyle name="Normal 32 3 2 2 3" xfId="12969"/>
    <cellStyle name="Normal 32 3 2 2 4" xfId="18820"/>
    <cellStyle name="Normal 32 3 2 2_LNG &amp; LPG rework" xfId="7301"/>
    <cellStyle name="Normal 32 3 2 3" xfId="4388"/>
    <cellStyle name="Normal 32 3 2 3 2" xfId="12971"/>
    <cellStyle name="Normal 32 3 2 3 3" xfId="18822"/>
    <cellStyle name="Normal 32 3 2 4" xfId="12968"/>
    <cellStyle name="Normal 32 3 2 5" xfId="18819"/>
    <cellStyle name="Normal 32 3 2_LNG &amp; LPG rework" xfId="7300"/>
    <cellStyle name="Normal 32 3 3" xfId="4389"/>
    <cellStyle name="Normal 32 3 3 2" xfId="4390"/>
    <cellStyle name="Normal 32 3 3 2 2" xfId="12973"/>
    <cellStyle name="Normal 32 3 3 2 3" xfId="18824"/>
    <cellStyle name="Normal 32 3 3 3" xfId="12972"/>
    <cellStyle name="Normal 32 3 3 4" xfId="18823"/>
    <cellStyle name="Normal 32 3 3_LNG &amp; LPG rework" xfId="7302"/>
    <cellStyle name="Normal 32 3 4" xfId="4391"/>
    <cellStyle name="Normal 32 3 4 2" xfId="12974"/>
    <cellStyle name="Normal 32 3 4 3" xfId="18825"/>
    <cellStyle name="Normal 32 3 5" xfId="4392"/>
    <cellStyle name="Normal 32 3 6" xfId="12967"/>
    <cellStyle name="Normal 32 3 7" xfId="18818"/>
    <cellStyle name="Normal 32 3_LNG &amp; LPG rework" xfId="7299"/>
    <cellStyle name="Normal 32 4" xfId="4393"/>
    <cellStyle name="Normal 32 4 2" xfId="4394"/>
    <cellStyle name="Normal 32 4 2 2" xfId="4395"/>
    <cellStyle name="Normal 32 4 2 2 2" xfId="12977"/>
    <cellStyle name="Normal 32 4 2 2 3" xfId="18828"/>
    <cellStyle name="Normal 32 4 2 3" xfId="12976"/>
    <cellStyle name="Normal 32 4 2 4" xfId="18827"/>
    <cellStyle name="Normal 32 4 2_LNG &amp; LPG rework" xfId="7304"/>
    <cellStyle name="Normal 32 4 3" xfId="4396"/>
    <cellStyle name="Normal 32 4 3 2" xfId="12978"/>
    <cellStyle name="Normal 32 4 3 3" xfId="18829"/>
    <cellStyle name="Normal 32 4 4" xfId="4397"/>
    <cellStyle name="Normal 32 4 4 2" xfId="12979"/>
    <cellStyle name="Normal 32 4 4 3" xfId="18830"/>
    <cellStyle name="Normal 32 4 5" xfId="4398"/>
    <cellStyle name="Normal 32 4 5 2" xfId="12980"/>
    <cellStyle name="Normal 32 4 5 3" xfId="18831"/>
    <cellStyle name="Normal 32 4 6" xfId="12975"/>
    <cellStyle name="Normal 32 4 7" xfId="18826"/>
    <cellStyle name="Normal 32 4_LNG &amp; LPG rework" xfId="7303"/>
    <cellStyle name="Normal 32 5" xfId="4399"/>
    <cellStyle name="Normal 32 5 2" xfId="4400"/>
    <cellStyle name="Normal 32 5 2 2" xfId="12982"/>
    <cellStyle name="Normal 32 5 2 3" xfId="18833"/>
    <cellStyle name="Normal 32 5 3" xfId="4401"/>
    <cellStyle name="Normal 32 5 3 2" xfId="12983"/>
    <cellStyle name="Normal 32 5 3 3" xfId="18834"/>
    <cellStyle name="Normal 32 5 4" xfId="4402"/>
    <cellStyle name="Normal 32 5 4 2" xfId="12984"/>
    <cellStyle name="Normal 32 5 4 3" xfId="18835"/>
    <cellStyle name="Normal 32 5 5" xfId="4403"/>
    <cellStyle name="Normal 32 5 5 2" xfId="12985"/>
    <cellStyle name="Normal 32 5 5 3" xfId="18836"/>
    <cellStyle name="Normal 32 5 6" xfId="12981"/>
    <cellStyle name="Normal 32 5 7" xfId="18832"/>
    <cellStyle name="Normal 32 5_LNG &amp; LPG rework" xfId="7305"/>
    <cellStyle name="Normal 32 6" xfId="4404"/>
    <cellStyle name="Normal 32 6 2" xfId="12986"/>
    <cellStyle name="Normal 32 6 3" xfId="18837"/>
    <cellStyle name="Normal 32 7" xfId="4405"/>
    <cellStyle name="Normal 32 8" xfId="12950"/>
    <cellStyle name="Normal 32 9" xfId="18801"/>
    <cellStyle name="Normal 32_LNG &amp; LPG rework" xfId="7294"/>
    <cellStyle name="Normal 33" xfId="4406"/>
    <cellStyle name="Normal 33 10" xfId="26207"/>
    <cellStyle name="Normal 33 2" xfId="4407"/>
    <cellStyle name="Normal 33 2 2" xfId="4408"/>
    <cellStyle name="Normal 33 2 2 2" xfId="4409"/>
    <cellStyle name="Normal 33 2 2 2 2" xfId="4410"/>
    <cellStyle name="Normal 33 2 2 2 2 2" xfId="12991"/>
    <cellStyle name="Normal 33 2 2 2 2 3" xfId="18842"/>
    <cellStyle name="Normal 33 2 2 2 3" xfId="12990"/>
    <cellStyle name="Normal 33 2 2 2 4" xfId="18841"/>
    <cellStyle name="Normal 33 2 2 2_LNG &amp; LPG rework" xfId="7309"/>
    <cellStyle name="Normal 33 2 2 3" xfId="4411"/>
    <cellStyle name="Normal 33 2 2 3 2" xfId="12992"/>
    <cellStyle name="Normal 33 2 2 3 3" xfId="18843"/>
    <cellStyle name="Normal 33 2 2 4" xfId="4412"/>
    <cellStyle name="Normal 33 2 2 4 2" xfId="12993"/>
    <cellStyle name="Normal 33 2 2 4 3" xfId="18844"/>
    <cellStyle name="Normal 33 2 2 5" xfId="4413"/>
    <cellStyle name="Normal 33 2 2 5 2" xfId="12994"/>
    <cellStyle name="Normal 33 2 2 5 3" xfId="18845"/>
    <cellStyle name="Normal 33 2 2 6" xfId="12989"/>
    <cellStyle name="Normal 33 2 2 7" xfId="18840"/>
    <cellStyle name="Normal 33 2 2_LNG &amp; LPG rework" xfId="7308"/>
    <cellStyle name="Normal 33 2 3" xfId="4414"/>
    <cellStyle name="Normal 33 2 3 2" xfId="4415"/>
    <cellStyle name="Normal 33 2 3 2 2" xfId="12996"/>
    <cellStyle name="Normal 33 2 3 2 3" xfId="18847"/>
    <cellStyle name="Normal 33 2 3 3" xfId="4416"/>
    <cellStyle name="Normal 33 2 3 3 2" xfId="12997"/>
    <cellStyle name="Normal 33 2 3 3 3" xfId="18848"/>
    <cellStyle name="Normal 33 2 3 4" xfId="4417"/>
    <cellStyle name="Normal 33 2 3 4 2" xfId="12998"/>
    <cellStyle name="Normal 33 2 3 4 3" xfId="18849"/>
    <cellStyle name="Normal 33 2 3 5" xfId="4418"/>
    <cellStyle name="Normal 33 2 3 5 2" xfId="12999"/>
    <cellStyle name="Normal 33 2 3 5 3" xfId="18850"/>
    <cellStyle name="Normal 33 2 3 6" xfId="12995"/>
    <cellStyle name="Normal 33 2 3 7" xfId="18846"/>
    <cellStyle name="Normal 33 2 3_LNG &amp; LPG rework" xfId="7310"/>
    <cellStyle name="Normal 33 2 4" xfId="4419"/>
    <cellStyle name="Normal 33 2 4 2" xfId="13000"/>
    <cellStyle name="Normal 33 2 4 3" xfId="18851"/>
    <cellStyle name="Normal 33 2 5" xfId="4420"/>
    <cellStyle name="Normal 33 2 5 2" xfId="13001"/>
    <cellStyle name="Normal 33 2 5 3" xfId="18852"/>
    <cellStyle name="Normal 33 2 6" xfId="4421"/>
    <cellStyle name="Normal 33 2 6 2" xfId="13002"/>
    <cellStyle name="Normal 33 2 6 3" xfId="18853"/>
    <cellStyle name="Normal 33 2 7" xfId="4422"/>
    <cellStyle name="Normal 33 2 7 2" xfId="13003"/>
    <cellStyle name="Normal 33 2 7 3" xfId="18854"/>
    <cellStyle name="Normal 33 2 8" xfId="12988"/>
    <cellStyle name="Normal 33 2 9" xfId="18839"/>
    <cellStyle name="Normal 33 2_LNG &amp; LPG rework" xfId="7307"/>
    <cellStyle name="Normal 33 3" xfId="4423"/>
    <cellStyle name="Normal 33 3 2" xfId="4424"/>
    <cellStyle name="Normal 33 3 2 2" xfId="4425"/>
    <cellStyle name="Normal 33 3 2 2 2" xfId="4426"/>
    <cellStyle name="Normal 33 3 2 2 2 2" xfId="13007"/>
    <cellStyle name="Normal 33 3 2 2 2 3" xfId="18858"/>
    <cellStyle name="Normal 33 3 2 2 3" xfId="13006"/>
    <cellStyle name="Normal 33 3 2 2 4" xfId="18857"/>
    <cellStyle name="Normal 33 3 2 2_LNG &amp; LPG rework" xfId="7313"/>
    <cellStyle name="Normal 33 3 2 3" xfId="4427"/>
    <cellStyle name="Normal 33 3 2 3 2" xfId="13008"/>
    <cellStyle name="Normal 33 3 2 3 3" xfId="18859"/>
    <cellStyle name="Normal 33 3 2 4" xfId="13005"/>
    <cellStyle name="Normal 33 3 2 5" xfId="18856"/>
    <cellStyle name="Normal 33 3 2_LNG &amp; LPG rework" xfId="7312"/>
    <cellStyle name="Normal 33 3 3" xfId="4428"/>
    <cellStyle name="Normal 33 3 3 2" xfId="4429"/>
    <cellStyle name="Normal 33 3 3 2 2" xfId="13010"/>
    <cellStyle name="Normal 33 3 3 2 3" xfId="18861"/>
    <cellStyle name="Normal 33 3 3 3" xfId="13009"/>
    <cellStyle name="Normal 33 3 3 4" xfId="18860"/>
    <cellStyle name="Normal 33 3 3_LNG &amp; LPG rework" xfId="7314"/>
    <cellStyle name="Normal 33 3 4" xfId="4430"/>
    <cellStyle name="Normal 33 3 4 2" xfId="13011"/>
    <cellStyle name="Normal 33 3 4 3" xfId="18862"/>
    <cellStyle name="Normal 33 3 5" xfId="4431"/>
    <cellStyle name="Normal 33 3 6" xfId="13004"/>
    <cellStyle name="Normal 33 3 7" xfId="18855"/>
    <cellStyle name="Normal 33 3_LNG &amp; LPG rework" xfId="7311"/>
    <cellStyle name="Normal 33 4" xfId="4432"/>
    <cellStyle name="Normal 33 4 2" xfId="4433"/>
    <cellStyle name="Normal 33 4 2 2" xfId="4434"/>
    <cellStyle name="Normal 33 4 2 2 2" xfId="13014"/>
    <cellStyle name="Normal 33 4 2 2 3" xfId="18865"/>
    <cellStyle name="Normal 33 4 2 3" xfId="13013"/>
    <cellStyle name="Normal 33 4 2 4" xfId="18864"/>
    <cellStyle name="Normal 33 4 2_LNG &amp; LPG rework" xfId="7316"/>
    <cellStyle name="Normal 33 4 3" xfId="4435"/>
    <cellStyle name="Normal 33 4 3 2" xfId="13015"/>
    <cellStyle name="Normal 33 4 3 3" xfId="18866"/>
    <cellStyle name="Normal 33 4 4" xfId="4436"/>
    <cellStyle name="Normal 33 4 4 2" xfId="13016"/>
    <cellStyle name="Normal 33 4 4 3" xfId="18867"/>
    <cellStyle name="Normal 33 4 5" xfId="4437"/>
    <cellStyle name="Normal 33 4 5 2" xfId="13017"/>
    <cellStyle name="Normal 33 4 5 3" xfId="18868"/>
    <cellStyle name="Normal 33 4 6" xfId="13012"/>
    <cellStyle name="Normal 33 4 7" xfId="18863"/>
    <cellStyle name="Normal 33 4_LNG &amp; LPG rework" xfId="7315"/>
    <cellStyle name="Normal 33 5" xfId="4438"/>
    <cellStyle name="Normal 33 5 2" xfId="4439"/>
    <cellStyle name="Normal 33 5 2 2" xfId="13019"/>
    <cellStyle name="Normal 33 5 2 3" xfId="18870"/>
    <cellStyle name="Normal 33 5 3" xfId="4440"/>
    <cellStyle name="Normal 33 5 3 2" xfId="13020"/>
    <cellStyle name="Normal 33 5 3 3" xfId="18871"/>
    <cellStyle name="Normal 33 5 4" xfId="4441"/>
    <cellStyle name="Normal 33 5 4 2" xfId="13021"/>
    <cellStyle name="Normal 33 5 4 3" xfId="18872"/>
    <cellStyle name="Normal 33 5 5" xfId="4442"/>
    <cellStyle name="Normal 33 5 5 2" xfId="13022"/>
    <cellStyle name="Normal 33 5 5 3" xfId="18873"/>
    <cellStyle name="Normal 33 5 6" xfId="13018"/>
    <cellStyle name="Normal 33 5 7" xfId="18869"/>
    <cellStyle name="Normal 33 5_LNG &amp; LPG rework" xfId="7317"/>
    <cellStyle name="Normal 33 6" xfId="4443"/>
    <cellStyle name="Normal 33 6 2" xfId="13023"/>
    <cellStyle name="Normal 33 6 3" xfId="18874"/>
    <cellStyle name="Normal 33 7" xfId="4444"/>
    <cellStyle name="Normal 33 8" xfId="12987"/>
    <cellStyle name="Normal 33 9" xfId="18838"/>
    <cellStyle name="Normal 33_LNG &amp; LPG rework" xfId="7306"/>
    <cellStyle name="Normal 34" xfId="4445"/>
    <cellStyle name="Normal 34 2" xfId="4446"/>
    <cellStyle name="Normal 34 2 2" xfId="4447"/>
    <cellStyle name="Normal 34 2 2 2" xfId="4448"/>
    <cellStyle name="Normal 34 2 2 2 2" xfId="4449"/>
    <cellStyle name="Normal 34 2 2 2 2 2" xfId="13028"/>
    <cellStyle name="Normal 34 2 2 2 2 3" xfId="18879"/>
    <cellStyle name="Normal 34 2 2 2 3" xfId="13027"/>
    <cellStyle name="Normal 34 2 2 2 4" xfId="18878"/>
    <cellStyle name="Normal 34 2 2 2_LNG &amp; LPG rework" xfId="7321"/>
    <cellStyle name="Normal 34 2 2 3" xfId="4450"/>
    <cellStyle name="Normal 34 2 2 3 2" xfId="13029"/>
    <cellStyle name="Normal 34 2 2 3 3" xfId="18880"/>
    <cellStyle name="Normal 34 2 2 4" xfId="4451"/>
    <cellStyle name="Normal 34 2 2 4 2" xfId="13030"/>
    <cellStyle name="Normal 34 2 2 4 3" xfId="18881"/>
    <cellStyle name="Normal 34 2 2 5" xfId="4452"/>
    <cellStyle name="Normal 34 2 2 5 2" xfId="13031"/>
    <cellStyle name="Normal 34 2 2 5 3" xfId="18882"/>
    <cellStyle name="Normal 34 2 2 6" xfId="13026"/>
    <cellStyle name="Normal 34 2 2 7" xfId="18877"/>
    <cellStyle name="Normal 34 2 2_LNG &amp; LPG rework" xfId="7320"/>
    <cellStyle name="Normal 34 2 3" xfId="4453"/>
    <cellStyle name="Normal 34 2 3 2" xfId="4454"/>
    <cellStyle name="Normal 34 2 3 2 2" xfId="13033"/>
    <cellStyle name="Normal 34 2 3 2 3" xfId="18884"/>
    <cellStyle name="Normal 34 2 3 3" xfId="4455"/>
    <cellStyle name="Normal 34 2 3 3 2" xfId="13034"/>
    <cellStyle name="Normal 34 2 3 3 3" xfId="18885"/>
    <cellStyle name="Normal 34 2 3 4" xfId="4456"/>
    <cellStyle name="Normal 34 2 3 4 2" xfId="13035"/>
    <cellStyle name="Normal 34 2 3 4 3" xfId="18886"/>
    <cellStyle name="Normal 34 2 3 5" xfId="4457"/>
    <cellStyle name="Normal 34 2 3 5 2" xfId="13036"/>
    <cellStyle name="Normal 34 2 3 5 3" xfId="18887"/>
    <cellStyle name="Normal 34 2 3 6" xfId="13032"/>
    <cellStyle name="Normal 34 2 3 7" xfId="18883"/>
    <cellStyle name="Normal 34 2 3_LNG &amp; LPG rework" xfId="7322"/>
    <cellStyle name="Normal 34 2 4" xfId="4458"/>
    <cellStyle name="Normal 34 2 4 2" xfId="13037"/>
    <cellStyle name="Normal 34 2 4 3" xfId="18888"/>
    <cellStyle name="Normal 34 2 5" xfId="4459"/>
    <cellStyle name="Normal 34 2 5 2" xfId="13038"/>
    <cellStyle name="Normal 34 2 5 3" xfId="18889"/>
    <cellStyle name="Normal 34 2 6" xfId="4460"/>
    <cellStyle name="Normal 34 2 6 2" xfId="13039"/>
    <cellStyle name="Normal 34 2 6 3" xfId="18890"/>
    <cellStyle name="Normal 34 2 7" xfId="4461"/>
    <cellStyle name="Normal 34 2 7 2" xfId="13040"/>
    <cellStyle name="Normal 34 2 7 3" xfId="18891"/>
    <cellStyle name="Normal 34 2 8" xfId="13025"/>
    <cellStyle name="Normal 34 2 9" xfId="18876"/>
    <cellStyle name="Normal 34 2_LNG &amp; LPG rework" xfId="7319"/>
    <cellStyle name="Normal 34 3" xfId="4462"/>
    <cellStyle name="Normal 34 3 2" xfId="4463"/>
    <cellStyle name="Normal 34 3 2 2" xfId="4464"/>
    <cellStyle name="Normal 34 3 2 2 2" xfId="4465"/>
    <cellStyle name="Normal 34 3 2 2 2 2" xfId="13044"/>
    <cellStyle name="Normal 34 3 2 2 2 3" xfId="18895"/>
    <cellStyle name="Normal 34 3 2 2 3" xfId="13043"/>
    <cellStyle name="Normal 34 3 2 2 4" xfId="18894"/>
    <cellStyle name="Normal 34 3 2 2_LNG &amp; LPG rework" xfId="7325"/>
    <cellStyle name="Normal 34 3 2 3" xfId="4466"/>
    <cellStyle name="Normal 34 3 2 3 2" xfId="13045"/>
    <cellStyle name="Normal 34 3 2 3 3" xfId="18896"/>
    <cellStyle name="Normal 34 3 2 4" xfId="13042"/>
    <cellStyle name="Normal 34 3 2 5" xfId="18893"/>
    <cellStyle name="Normal 34 3 2_LNG &amp; LPG rework" xfId="7324"/>
    <cellStyle name="Normal 34 3 3" xfId="4467"/>
    <cellStyle name="Normal 34 3 3 2" xfId="4468"/>
    <cellStyle name="Normal 34 3 3 2 2" xfId="13047"/>
    <cellStyle name="Normal 34 3 3 2 3" xfId="18898"/>
    <cellStyle name="Normal 34 3 3 3" xfId="13046"/>
    <cellStyle name="Normal 34 3 3 4" xfId="18897"/>
    <cellStyle name="Normal 34 3 3_LNG &amp; LPG rework" xfId="7326"/>
    <cellStyle name="Normal 34 3 4" xfId="4469"/>
    <cellStyle name="Normal 34 3 4 2" xfId="13048"/>
    <cellStyle name="Normal 34 3 4 3" xfId="18899"/>
    <cellStyle name="Normal 34 3 5" xfId="4470"/>
    <cellStyle name="Normal 34 3 6" xfId="13041"/>
    <cellStyle name="Normal 34 3 7" xfId="18892"/>
    <cellStyle name="Normal 34 3_LNG &amp; LPG rework" xfId="7323"/>
    <cellStyle name="Normal 34 4" xfId="4471"/>
    <cellStyle name="Normal 34 4 2" xfId="4472"/>
    <cellStyle name="Normal 34 4 2 2" xfId="4473"/>
    <cellStyle name="Normal 34 4 2 2 2" xfId="13051"/>
    <cellStyle name="Normal 34 4 2 2 3" xfId="18902"/>
    <cellStyle name="Normal 34 4 2 3" xfId="13050"/>
    <cellStyle name="Normal 34 4 2 4" xfId="18901"/>
    <cellStyle name="Normal 34 4 2_LNG &amp; LPG rework" xfId="7328"/>
    <cellStyle name="Normal 34 4 3" xfId="4474"/>
    <cellStyle name="Normal 34 4 3 2" xfId="13052"/>
    <cellStyle name="Normal 34 4 3 3" xfId="18903"/>
    <cellStyle name="Normal 34 4 4" xfId="4475"/>
    <cellStyle name="Normal 34 4 5" xfId="13049"/>
    <cellStyle name="Normal 34 4 6" xfId="18900"/>
    <cellStyle name="Normal 34 4_LNG &amp; LPG rework" xfId="7327"/>
    <cellStyle name="Normal 34 5" xfId="4476"/>
    <cellStyle name="Normal 34 5 2" xfId="4477"/>
    <cellStyle name="Normal 34 5 2 2" xfId="13054"/>
    <cellStyle name="Normal 34 5 2 3" xfId="18905"/>
    <cellStyle name="Normal 34 5 3" xfId="13053"/>
    <cellStyle name="Normal 34 5 4" xfId="18904"/>
    <cellStyle name="Normal 34 5_LNG &amp; LPG rework" xfId="7329"/>
    <cellStyle name="Normal 34 6" xfId="4478"/>
    <cellStyle name="Normal 34 6 2" xfId="13055"/>
    <cellStyle name="Normal 34 6 3" xfId="18906"/>
    <cellStyle name="Normal 34 7" xfId="4479"/>
    <cellStyle name="Normal 34 8" xfId="13024"/>
    <cellStyle name="Normal 34 9" xfId="18875"/>
    <cellStyle name="Normal 34_LNG &amp; LPG rework" xfId="7318"/>
    <cellStyle name="Normal 35" xfId="4480"/>
    <cellStyle name="Normal 35 10" xfId="8902"/>
    <cellStyle name="Normal 35 2" xfId="4481"/>
    <cellStyle name="Normal 35 2 2" xfId="4482"/>
    <cellStyle name="Normal 35 2 2 2" xfId="4483"/>
    <cellStyle name="Normal 35 2 2 2 2" xfId="4484"/>
    <cellStyle name="Normal 35 2 2 2 2 2" xfId="13059"/>
    <cellStyle name="Normal 35 2 2 2 2 3" xfId="18910"/>
    <cellStyle name="Normal 35 2 2 2 3" xfId="13058"/>
    <cellStyle name="Normal 35 2 2 2 4" xfId="18909"/>
    <cellStyle name="Normal 35 2 2 2_LNG &amp; LPG rework" xfId="7332"/>
    <cellStyle name="Normal 35 2 2 3" xfId="4485"/>
    <cellStyle name="Normal 35 2 2 3 2" xfId="13060"/>
    <cellStyle name="Normal 35 2 2 3 3" xfId="18911"/>
    <cellStyle name="Normal 35 2 2 4" xfId="13057"/>
    <cellStyle name="Normal 35 2 2 5" xfId="18908"/>
    <cellStyle name="Normal 35 2 2_LNG &amp; LPG rework" xfId="7331"/>
    <cellStyle name="Normal 35 2 3" xfId="4486"/>
    <cellStyle name="Normal 35 2 3 2" xfId="4487"/>
    <cellStyle name="Normal 35 2 3 2 2" xfId="13062"/>
    <cellStyle name="Normal 35 2 3 2 3" xfId="18913"/>
    <cellStyle name="Normal 35 2 3 3" xfId="13061"/>
    <cellStyle name="Normal 35 2 3 4" xfId="18912"/>
    <cellStyle name="Normal 35 2 3_LNG &amp; LPG rework" xfId="7333"/>
    <cellStyle name="Normal 35 2 4" xfId="4488"/>
    <cellStyle name="Normal 35 2 4 2" xfId="13063"/>
    <cellStyle name="Normal 35 2 4 3" xfId="18914"/>
    <cellStyle name="Normal 35 2 5" xfId="4489"/>
    <cellStyle name="Normal 35 2 6" xfId="13056"/>
    <cellStyle name="Normal 35 2 7" xfId="18907"/>
    <cellStyle name="Normal 35 2_LNG &amp; LPG rework" xfId="7330"/>
    <cellStyle name="Normal 35 3" xfId="4490"/>
    <cellStyle name="Normal 35 3 2" xfId="4491"/>
    <cellStyle name="Normal 35 3 2 2" xfId="4492"/>
    <cellStyle name="Normal 35 3 2 2 2" xfId="4493"/>
    <cellStyle name="Normal 35 3 2 2 2 2" xfId="13067"/>
    <cellStyle name="Normal 35 3 2 2 2 3" xfId="18918"/>
    <cellStyle name="Normal 35 3 2 2 3" xfId="13066"/>
    <cellStyle name="Normal 35 3 2 2 4" xfId="18917"/>
    <cellStyle name="Normal 35 3 2 2_LNG &amp; LPG rework" xfId="7336"/>
    <cellStyle name="Normal 35 3 2 3" xfId="4494"/>
    <cellStyle name="Normal 35 3 2 3 2" xfId="13068"/>
    <cellStyle name="Normal 35 3 2 3 3" xfId="18919"/>
    <cellStyle name="Normal 35 3 2 4" xfId="13065"/>
    <cellStyle name="Normal 35 3 2 5" xfId="18916"/>
    <cellStyle name="Normal 35 3 2_LNG &amp; LPG rework" xfId="7335"/>
    <cellStyle name="Normal 35 3 3" xfId="4495"/>
    <cellStyle name="Normal 35 3 3 2" xfId="4496"/>
    <cellStyle name="Normal 35 3 3 2 2" xfId="13070"/>
    <cellStyle name="Normal 35 3 3 2 3" xfId="18921"/>
    <cellStyle name="Normal 35 3 3 3" xfId="13069"/>
    <cellStyle name="Normal 35 3 3 4" xfId="18920"/>
    <cellStyle name="Normal 35 3 3_LNG &amp; LPG rework" xfId="7337"/>
    <cellStyle name="Normal 35 3 4" xfId="4497"/>
    <cellStyle name="Normal 35 3 4 2" xfId="13071"/>
    <cellStyle name="Normal 35 3 4 3" xfId="18922"/>
    <cellStyle name="Normal 35 3 5" xfId="4498"/>
    <cellStyle name="Normal 35 3 6" xfId="13064"/>
    <cellStyle name="Normal 35 3 7" xfId="18915"/>
    <cellStyle name="Normal 35 3_LNG &amp; LPG rework" xfId="7334"/>
    <cellStyle name="Normal 35 4" xfId="4499"/>
    <cellStyle name="Normal 35 4 2" xfId="4500"/>
    <cellStyle name="Normal 35 4 2 2" xfId="4501"/>
    <cellStyle name="Normal 35 4 2 2 2" xfId="13074"/>
    <cellStyle name="Normal 35 4 2 2 3" xfId="18925"/>
    <cellStyle name="Normal 35 4 2 3" xfId="4502"/>
    <cellStyle name="Normal 35 4 2 3 2" xfId="13075"/>
    <cellStyle name="Normal 35 4 2 3 3" xfId="18926"/>
    <cellStyle name="Normal 35 4 2 4" xfId="4503"/>
    <cellStyle name="Normal 35 4 2 4 2" xfId="13076"/>
    <cellStyle name="Normal 35 4 2 4 3" xfId="18927"/>
    <cellStyle name="Normal 35 4 2 5" xfId="4504"/>
    <cellStyle name="Normal 35 4 2 5 2" xfId="13077"/>
    <cellStyle name="Normal 35 4 2 5 3" xfId="18928"/>
    <cellStyle name="Normal 35 4 2 6" xfId="13073"/>
    <cellStyle name="Normal 35 4 2 7" xfId="18924"/>
    <cellStyle name="Normal 35 4 2_LNG &amp; LPG rework" xfId="7339"/>
    <cellStyle name="Normal 35 4 3" xfId="4505"/>
    <cellStyle name="Normal 35 4 3 2" xfId="13078"/>
    <cellStyle name="Normal 35 4 3 3" xfId="18929"/>
    <cellStyle name="Normal 35 4 4" xfId="4506"/>
    <cellStyle name="Normal 35 4 4 2" xfId="13079"/>
    <cellStyle name="Normal 35 4 4 3" xfId="18930"/>
    <cellStyle name="Normal 35 4 5" xfId="4507"/>
    <cellStyle name="Normal 35 4 5 2" xfId="13080"/>
    <cellStyle name="Normal 35 4 5 3" xfId="18931"/>
    <cellStyle name="Normal 35 4 6" xfId="4508"/>
    <cellStyle name="Normal 35 4 6 2" xfId="13081"/>
    <cellStyle name="Normal 35 4 6 3" xfId="18932"/>
    <cellStyle name="Normal 35 4 7" xfId="13072"/>
    <cellStyle name="Normal 35 4 8" xfId="18923"/>
    <cellStyle name="Normal 35 4_LNG &amp; LPG rework" xfId="7338"/>
    <cellStyle name="Normal 35 5" xfId="4509"/>
    <cellStyle name="Normal 35 5 2" xfId="4510"/>
    <cellStyle name="Normal 35 5 2 2" xfId="13083"/>
    <cellStyle name="Normal 35 5 2 3" xfId="18934"/>
    <cellStyle name="Normal 35 5 3" xfId="13082"/>
    <cellStyle name="Normal 35 5 4" xfId="18933"/>
    <cellStyle name="Normal 35 5_LNG &amp; LPG rework" xfId="7340"/>
    <cellStyle name="Normal 35 6" xfId="4511"/>
    <cellStyle name="Normal 35 6 2" xfId="13084"/>
    <cellStyle name="Normal 35 6 3" xfId="18935"/>
    <cellStyle name="Normal 35 7" xfId="4512"/>
    <cellStyle name="Normal 35 7 2" xfId="13085"/>
    <cellStyle name="Normal 35 7 3" xfId="18936"/>
    <cellStyle name="Normal 35 8" xfId="4513"/>
    <cellStyle name="Normal 35 8 2" xfId="13086"/>
    <cellStyle name="Normal 35 8 3" xfId="18937"/>
    <cellStyle name="Normal 35 9" xfId="7828"/>
    <cellStyle name="Normal 35_Data - Monthly Commodity Prices" xfId="6483"/>
    <cellStyle name="Normal 36" xfId="4514"/>
    <cellStyle name="Normal 36 10" xfId="18938"/>
    <cellStyle name="Normal 36 2" xfId="4515"/>
    <cellStyle name="Normal 36 2 2" xfId="4516"/>
    <cellStyle name="Normal 36 2 2 2" xfId="4517"/>
    <cellStyle name="Normal 36 2 2 2 2" xfId="4518"/>
    <cellStyle name="Normal 36 2 2 2 2 2" xfId="13091"/>
    <cellStyle name="Normal 36 2 2 2 2 3" xfId="18942"/>
    <cellStyle name="Normal 36 2 2 2 3" xfId="13090"/>
    <cellStyle name="Normal 36 2 2 2 4" xfId="18941"/>
    <cellStyle name="Normal 36 2 2 2_LNG &amp; LPG rework" xfId="7344"/>
    <cellStyle name="Normal 36 2 2 3" xfId="4519"/>
    <cellStyle name="Normal 36 2 2 3 2" xfId="13092"/>
    <cellStyle name="Normal 36 2 2 3 3" xfId="18943"/>
    <cellStyle name="Normal 36 2 2 4" xfId="4520"/>
    <cellStyle name="Normal 36 2 2 4 2" xfId="13093"/>
    <cellStyle name="Normal 36 2 2 4 3" xfId="18944"/>
    <cellStyle name="Normal 36 2 2 5" xfId="4521"/>
    <cellStyle name="Normal 36 2 2 5 2" xfId="13094"/>
    <cellStyle name="Normal 36 2 2 5 3" xfId="18945"/>
    <cellStyle name="Normal 36 2 2 6" xfId="13089"/>
    <cellStyle name="Normal 36 2 2 7" xfId="18940"/>
    <cellStyle name="Normal 36 2 2_LNG &amp; LPG rework" xfId="7343"/>
    <cellStyle name="Normal 36 2 3" xfId="4522"/>
    <cellStyle name="Normal 36 2 3 2" xfId="4523"/>
    <cellStyle name="Normal 36 2 3 2 2" xfId="13096"/>
    <cellStyle name="Normal 36 2 3 2 3" xfId="18947"/>
    <cellStyle name="Normal 36 2 3 3" xfId="4524"/>
    <cellStyle name="Normal 36 2 3 3 2" xfId="13097"/>
    <cellStyle name="Normal 36 2 3 3 3" xfId="18948"/>
    <cellStyle name="Normal 36 2 3 4" xfId="4525"/>
    <cellStyle name="Normal 36 2 3 4 2" xfId="13098"/>
    <cellStyle name="Normal 36 2 3 4 3" xfId="18949"/>
    <cellStyle name="Normal 36 2 3 5" xfId="4526"/>
    <cellStyle name="Normal 36 2 3 5 2" xfId="13099"/>
    <cellStyle name="Normal 36 2 3 5 3" xfId="18950"/>
    <cellStyle name="Normal 36 2 3 6" xfId="13095"/>
    <cellStyle name="Normal 36 2 3 7" xfId="18946"/>
    <cellStyle name="Normal 36 2 3_LNG &amp; LPG rework" xfId="7345"/>
    <cellStyle name="Normal 36 2 4" xfId="4527"/>
    <cellStyle name="Normal 36 2 4 2" xfId="13100"/>
    <cellStyle name="Normal 36 2 4 3" xfId="18951"/>
    <cellStyle name="Normal 36 2 5" xfId="4528"/>
    <cellStyle name="Normal 36 2 5 2" xfId="13101"/>
    <cellStyle name="Normal 36 2 5 3" xfId="18952"/>
    <cellStyle name="Normal 36 2 6" xfId="4529"/>
    <cellStyle name="Normal 36 2 6 2" xfId="13102"/>
    <cellStyle name="Normal 36 2 6 3" xfId="18953"/>
    <cellStyle name="Normal 36 2 7" xfId="4530"/>
    <cellStyle name="Normal 36 2 7 2" xfId="13103"/>
    <cellStyle name="Normal 36 2 7 3" xfId="18954"/>
    <cellStyle name="Normal 36 2 8" xfId="13088"/>
    <cellStyle name="Normal 36 2 9" xfId="18939"/>
    <cellStyle name="Normal 36 2_LNG &amp; LPG rework" xfId="7342"/>
    <cellStyle name="Normal 36 3" xfId="4531"/>
    <cellStyle name="Normal 36 3 2" xfId="4532"/>
    <cellStyle name="Normal 36 3 2 2" xfId="4533"/>
    <cellStyle name="Normal 36 3 2 2 2" xfId="4534"/>
    <cellStyle name="Normal 36 3 2 2 2 2" xfId="13107"/>
    <cellStyle name="Normal 36 3 2 2 2 3" xfId="18958"/>
    <cellStyle name="Normal 36 3 2 2 3" xfId="13106"/>
    <cellStyle name="Normal 36 3 2 2 4" xfId="18957"/>
    <cellStyle name="Normal 36 3 2 2_LNG &amp; LPG rework" xfId="7348"/>
    <cellStyle name="Normal 36 3 2 3" xfId="4535"/>
    <cellStyle name="Normal 36 3 2 3 2" xfId="13108"/>
    <cellStyle name="Normal 36 3 2 3 3" xfId="18959"/>
    <cellStyle name="Normal 36 3 2 4" xfId="13105"/>
    <cellStyle name="Normal 36 3 2 5" xfId="18956"/>
    <cellStyle name="Normal 36 3 2_LNG &amp; LPG rework" xfId="7347"/>
    <cellStyle name="Normal 36 3 3" xfId="4536"/>
    <cellStyle name="Normal 36 3 3 2" xfId="4537"/>
    <cellStyle name="Normal 36 3 3 2 2" xfId="13110"/>
    <cellStyle name="Normal 36 3 3 2 3" xfId="18961"/>
    <cellStyle name="Normal 36 3 3 3" xfId="13109"/>
    <cellStyle name="Normal 36 3 3 4" xfId="18960"/>
    <cellStyle name="Normal 36 3 3_LNG &amp; LPG rework" xfId="7349"/>
    <cellStyle name="Normal 36 3 4" xfId="4538"/>
    <cellStyle name="Normal 36 3 4 2" xfId="13111"/>
    <cellStyle name="Normal 36 3 4 3" xfId="18962"/>
    <cellStyle name="Normal 36 3 5" xfId="4539"/>
    <cellStyle name="Normal 36 3 5 2" xfId="13112"/>
    <cellStyle name="Normal 36 3 5 3" xfId="18963"/>
    <cellStyle name="Normal 36 3 6" xfId="13104"/>
    <cellStyle name="Normal 36 3 7" xfId="18955"/>
    <cellStyle name="Normal 36 3_LNG &amp; LPG rework" xfId="7346"/>
    <cellStyle name="Normal 36 4" xfId="4540"/>
    <cellStyle name="Normal 36 4 2" xfId="4541"/>
    <cellStyle name="Normal 36 4 2 2" xfId="4542"/>
    <cellStyle name="Normal 36 4 2 2 2" xfId="13115"/>
    <cellStyle name="Normal 36 4 2 2 3" xfId="18966"/>
    <cellStyle name="Normal 36 4 2 3" xfId="13114"/>
    <cellStyle name="Normal 36 4 2 4" xfId="18965"/>
    <cellStyle name="Normal 36 4 2_LNG &amp; LPG rework" xfId="7351"/>
    <cellStyle name="Normal 36 4 3" xfId="4543"/>
    <cellStyle name="Normal 36 4 3 2" xfId="13116"/>
    <cellStyle name="Normal 36 4 3 3" xfId="18967"/>
    <cellStyle name="Normal 36 4 4" xfId="4544"/>
    <cellStyle name="Normal 36 4 4 2" xfId="13117"/>
    <cellStyle name="Normal 36 4 4 3" xfId="18968"/>
    <cellStyle name="Normal 36 4 5" xfId="4545"/>
    <cellStyle name="Normal 36 4 5 2" xfId="13118"/>
    <cellStyle name="Normal 36 4 5 3" xfId="18969"/>
    <cellStyle name="Normal 36 4 6" xfId="13113"/>
    <cellStyle name="Normal 36 4 7" xfId="18964"/>
    <cellStyle name="Normal 36 4_LNG &amp; LPG rework" xfId="7350"/>
    <cellStyle name="Normal 36 5" xfId="4546"/>
    <cellStyle name="Normal 36 5 2" xfId="4547"/>
    <cellStyle name="Normal 36 5 2 2" xfId="13120"/>
    <cellStyle name="Normal 36 5 2 3" xfId="18971"/>
    <cellStyle name="Normal 36 5 3" xfId="13119"/>
    <cellStyle name="Normal 36 5 4" xfId="18970"/>
    <cellStyle name="Normal 36 5_LNG &amp; LPG rework" xfId="7352"/>
    <cellStyle name="Normal 36 6" xfId="4548"/>
    <cellStyle name="Normal 36 6 2" xfId="13121"/>
    <cellStyle name="Normal 36 6 3" xfId="18972"/>
    <cellStyle name="Normal 36 7" xfId="4549"/>
    <cellStyle name="Normal 36 7 2" xfId="13122"/>
    <cellStyle name="Normal 36 7 3" xfId="18973"/>
    <cellStyle name="Normal 36 8" xfId="4550"/>
    <cellStyle name="Normal 36 8 2" xfId="13123"/>
    <cellStyle name="Normal 36 8 3" xfId="18974"/>
    <cellStyle name="Normal 36 9" xfId="13087"/>
    <cellStyle name="Normal 36_LNG &amp; LPG rework" xfId="7341"/>
    <cellStyle name="Normal 37" xfId="4551"/>
    <cellStyle name="Normal 37 2" xfId="4552"/>
    <cellStyle name="Normal 37 2 2" xfId="4553"/>
    <cellStyle name="Normal 37 2 2 2" xfId="4554"/>
    <cellStyle name="Normal 37 2 2 2 2" xfId="4555"/>
    <cellStyle name="Normal 37 2 2 2 2 2" xfId="13128"/>
    <cellStyle name="Normal 37 2 2 2 2 3" xfId="18979"/>
    <cellStyle name="Normal 37 2 2 2 3" xfId="13127"/>
    <cellStyle name="Normal 37 2 2 2 4" xfId="18978"/>
    <cellStyle name="Normal 37 2 2 2_LNG &amp; LPG rework" xfId="7356"/>
    <cellStyle name="Normal 37 2 2 3" xfId="4556"/>
    <cellStyle name="Normal 37 2 2 3 2" xfId="13129"/>
    <cellStyle name="Normal 37 2 2 3 3" xfId="18980"/>
    <cellStyle name="Normal 37 2 2 4" xfId="13126"/>
    <cellStyle name="Normal 37 2 2 5" xfId="18977"/>
    <cellStyle name="Normal 37 2 2_LNG &amp; LPG rework" xfId="7355"/>
    <cellStyle name="Normal 37 2 3" xfId="4557"/>
    <cellStyle name="Normal 37 2 3 2" xfId="4558"/>
    <cellStyle name="Normal 37 2 3 2 2" xfId="13131"/>
    <cellStyle name="Normal 37 2 3 2 3" xfId="18982"/>
    <cellStyle name="Normal 37 2 3 3" xfId="13130"/>
    <cellStyle name="Normal 37 2 3 4" xfId="18981"/>
    <cellStyle name="Normal 37 2 3_LNG &amp; LPG rework" xfId="7357"/>
    <cellStyle name="Normal 37 2 4" xfId="4559"/>
    <cellStyle name="Normal 37 2 4 2" xfId="13132"/>
    <cellStyle name="Normal 37 2 4 3" xfId="18983"/>
    <cellStyle name="Normal 37 2 5" xfId="4560"/>
    <cellStyle name="Normal 37 2 6" xfId="13125"/>
    <cellStyle name="Normal 37 2 7" xfId="18976"/>
    <cellStyle name="Normal 37 2_LNG &amp; LPG rework" xfId="7354"/>
    <cellStyle name="Normal 37 3" xfId="4561"/>
    <cellStyle name="Normal 37 3 2" xfId="4562"/>
    <cellStyle name="Normal 37 3 2 2" xfId="4563"/>
    <cellStyle name="Normal 37 3 2 2 2" xfId="4564"/>
    <cellStyle name="Normal 37 3 2 2 2 2" xfId="13136"/>
    <cellStyle name="Normal 37 3 2 2 2 3" xfId="18987"/>
    <cellStyle name="Normal 37 3 2 2 3" xfId="13135"/>
    <cellStyle name="Normal 37 3 2 2 4" xfId="18986"/>
    <cellStyle name="Normal 37 3 2 2_LNG &amp; LPG rework" xfId="7360"/>
    <cellStyle name="Normal 37 3 2 3" xfId="4565"/>
    <cellStyle name="Normal 37 3 2 3 2" xfId="13137"/>
    <cellStyle name="Normal 37 3 2 3 3" xfId="18988"/>
    <cellStyle name="Normal 37 3 2 4" xfId="13134"/>
    <cellStyle name="Normal 37 3 2 5" xfId="18985"/>
    <cellStyle name="Normal 37 3 2_LNG &amp; LPG rework" xfId="7359"/>
    <cellStyle name="Normal 37 3 3" xfId="4566"/>
    <cellStyle name="Normal 37 3 3 2" xfId="4567"/>
    <cellStyle name="Normal 37 3 3 2 2" xfId="13139"/>
    <cellStyle name="Normal 37 3 3 2 3" xfId="18990"/>
    <cellStyle name="Normal 37 3 3 3" xfId="13138"/>
    <cellStyle name="Normal 37 3 3 4" xfId="18989"/>
    <cellStyle name="Normal 37 3 3_LNG &amp; LPG rework" xfId="7361"/>
    <cellStyle name="Normal 37 3 4" xfId="4568"/>
    <cellStyle name="Normal 37 3 4 2" xfId="13140"/>
    <cellStyle name="Normal 37 3 4 3" xfId="18991"/>
    <cellStyle name="Normal 37 3 5" xfId="13133"/>
    <cellStyle name="Normal 37 3 6" xfId="18984"/>
    <cellStyle name="Normal 37 3_LNG &amp; LPG rework" xfId="7358"/>
    <cellStyle name="Normal 37 4" xfId="4569"/>
    <cellStyle name="Normal 37 4 2" xfId="4570"/>
    <cellStyle name="Normal 37 4 2 2" xfId="4571"/>
    <cellStyle name="Normal 37 4 2 2 2" xfId="13143"/>
    <cellStyle name="Normal 37 4 2 2 3" xfId="18994"/>
    <cellStyle name="Normal 37 4 2 3" xfId="13142"/>
    <cellStyle name="Normal 37 4 2 4" xfId="18993"/>
    <cellStyle name="Normal 37 4 2_LNG &amp; LPG rework" xfId="7363"/>
    <cellStyle name="Normal 37 4 3" xfId="4572"/>
    <cellStyle name="Normal 37 4 3 2" xfId="13144"/>
    <cellStyle name="Normal 37 4 3 3" xfId="18995"/>
    <cellStyle name="Normal 37 4 4" xfId="13141"/>
    <cellStyle name="Normal 37 4 5" xfId="18992"/>
    <cellStyle name="Normal 37 4_LNG &amp; LPG rework" xfId="7362"/>
    <cellStyle name="Normal 37 5" xfId="4573"/>
    <cellStyle name="Normal 37 5 2" xfId="4574"/>
    <cellStyle name="Normal 37 5 2 2" xfId="13146"/>
    <cellStyle name="Normal 37 5 2 3" xfId="18997"/>
    <cellStyle name="Normal 37 5 3" xfId="13145"/>
    <cellStyle name="Normal 37 5 4" xfId="18996"/>
    <cellStyle name="Normal 37 5_LNG &amp; LPG rework" xfId="7364"/>
    <cellStyle name="Normal 37 6" xfId="4575"/>
    <cellStyle name="Normal 37 6 2" xfId="13147"/>
    <cellStyle name="Normal 37 6 3" xfId="18998"/>
    <cellStyle name="Normal 37 7" xfId="4576"/>
    <cellStyle name="Normal 37 8" xfId="13124"/>
    <cellStyle name="Normal 37 9" xfId="18975"/>
    <cellStyle name="Normal 37_LNG &amp; LPG rework" xfId="7353"/>
    <cellStyle name="Normal 38" xfId="4577"/>
    <cellStyle name="Normal 38 2" xfId="4578"/>
    <cellStyle name="Normal 38 3" xfId="4579"/>
    <cellStyle name="Normal 38 4" xfId="4580"/>
    <cellStyle name="Normal 38_LNG &amp; LPG rework" xfId="7365"/>
    <cellStyle name="Normal 39" xfId="4581"/>
    <cellStyle name="Normal 39 2" xfId="4582"/>
    <cellStyle name="Normal 39 2 2" xfId="4583"/>
    <cellStyle name="Normal 39 2 2 2" xfId="4584"/>
    <cellStyle name="Normal 39 2 2 2 2" xfId="4585"/>
    <cellStyle name="Normal 39 2 2 2 2 2" xfId="13152"/>
    <cellStyle name="Normal 39 2 2 2 2 3" xfId="19003"/>
    <cellStyle name="Normal 39 2 2 2 3" xfId="13151"/>
    <cellStyle name="Normal 39 2 2 2 4" xfId="19002"/>
    <cellStyle name="Normal 39 2 2 2_LNG &amp; LPG rework" xfId="7369"/>
    <cellStyle name="Normal 39 2 2 3" xfId="4586"/>
    <cellStyle name="Normal 39 2 2 3 2" xfId="13153"/>
    <cellStyle name="Normal 39 2 2 3 3" xfId="19004"/>
    <cellStyle name="Normal 39 2 2 4" xfId="4587"/>
    <cellStyle name="Normal 39 2 2 4 2" xfId="13154"/>
    <cellStyle name="Normal 39 2 2 4 3" xfId="19005"/>
    <cellStyle name="Normal 39 2 2 5" xfId="4588"/>
    <cellStyle name="Normal 39 2 2 5 2" xfId="13155"/>
    <cellStyle name="Normal 39 2 2 5 3" xfId="19006"/>
    <cellStyle name="Normal 39 2 2 6" xfId="13150"/>
    <cellStyle name="Normal 39 2 2 7" xfId="19001"/>
    <cellStyle name="Normal 39 2 2_LNG &amp; LPG rework" xfId="7368"/>
    <cellStyle name="Normal 39 2 3" xfId="4589"/>
    <cellStyle name="Normal 39 2 3 2" xfId="4590"/>
    <cellStyle name="Normal 39 2 3 2 2" xfId="13157"/>
    <cellStyle name="Normal 39 2 3 2 3" xfId="19008"/>
    <cellStyle name="Normal 39 2 3 3" xfId="13156"/>
    <cellStyle name="Normal 39 2 3 4" xfId="19007"/>
    <cellStyle name="Normal 39 2 3_LNG &amp; LPG rework" xfId="7370"/>
    <cellStyle name="Normal 39 2 4" xfId="4591"/>
    <cellStyle name="Normal 39 2 4 2" xfId="13158"/>
    <cellStyle name="Normal 39 2 4 3" xfId="19009"/>
    <cellStyle name="Normal 39 2 5" xfId="4592"/>
    <cellStyle name="Normal 39 2 5 2" xfId="13159"/>
    <cellStyle name="Normal 39 2 5 3" xfId="19010"/>
    <cellStyle name="Normal 39 2 6" xfId="4593"/>
    <cellStyle name="Normal 39 2 6 2" xfId="13160"/>
    <cellStyle name="Normal 39 2 6 3" xfId="19011"/>
    <cellStyle name="Normal 39 2 7" xfId="13149"/>
    <cellStyle name="Normal 39 2 8" xfId="19000"/>
    <cellStyle name="Normal 39 2_LNG &amp; LPG rework" xfId="7367"/>
    <cellStyle name="Normal 39 3" xfId="4594"/>
    <cellStyle name="Normal 39 3 2" xfId="4595"/>
    <cellStyle name="Normal 39 3 2 2" xfId="4596"/>
    <cellStyle name="Normal 39 3 2 2 2" xfId="4597"/>
    <cellStyle name="Normal 39 3 2 2 2 2" xfId="13164"/>
    <cellStyle name="Normal 39 3 2 2 2 3" xfId="19015"/>
    <cellStyle name="Normal 39 3 2 2 3" xfId="13163"/>
    <cellStyle name="Normal 39 3 2 2 4" xfId="19014"/>
    <cellStyle name="Normal 39 3 2 2_LNG &amp; LPG rework" xfId="7373"/>
    <cellStyle name="Normal 39 3 2 3" xfId="4598"/>
    <cellStyle name="Normal 39 3 2 3 2" xfId="13165"/>
    <cellStyle name="Normal 39 3 2 3 3" xfId="19016"/>
    <cellStyle name="Normal 39 3 2 4" xfId="13162"/>
    <cellStyle name="Normal 39 3 2 5" xfId="19013"/>
    <cellStyle name="Normal 39 3 2_LNG &amp; LPG rework" xfId="7372"/>
    <cellStyle name="Normal 39 3 3" xfId="4599"/>
    <cellStyle name="Normal 39 3 3 2" xfId="4600"/>
    <cellStyle name="Normal 39 3 3 2 2" xfId="13167"/>
    <cellStyle name="Normal 39 3 3 2 3" xfId="19018"/>
    <cellStyle name="Normal 39 3 3 3" xfId="13166"/>
    <cellStyle name="Normal 39 3 3 4" xfId="19017"/>
    <cellStyle name="Normal 39 3 3_LNG &amp; LPG rework" xfId="7374"/>
    <cellStyle name="Normal 39 3 4" xfId="4601"/>
    <cellStyle name="Normal 39 3 4 2" xfId="13168"/>
    <cellStyle name="Normal 39 3 4 3" xfId="19019"/>
    <cellStyle name="Normal 39 3 5" xfId="4602"/>
    <cellStyle name="Normal 39 3 6" xfId="13161"/>
    <cellStyle name="Normal 39 3 7" xfId="19012"/>
    <cellStyle name="Normal 39 3_LNG &amp; LPG rework" xfId="7371"/>
    <cellStyle name="Normal 39 4" xfId="4603"/>
    <cellStyle name="Normal 39 4 2" xfId="4604"/>
    <cellStyle name="Normal 39 4 2 2" xfId="4605"/>
    <cellStyle name="Normal 39 4 2 2 2" xfId="13171"/>
    <cellStyle name="Normal 39 4 2 2 3" xfId="19022"/>
    <cellStyle name="Normal 39 4 2 3" xfId="13170"/>
    <cellStyle name="Normal 39 4 2 4" xfId="19021"/>
    <cellStyle name="Normal 39 4 2_LNG &amp; LPG rework" xfId="7376"/>
    <cellStyle name="Normal 39 4 3" xfId="4606"/>
    <cellStyle name="Normal 39 4 3 2" xfId="13172"/>
    <cellStyle name="Normal 39 4 3 3" xfId="19023"/>
    <cellStyle name="Normal 39 4 4" xfId="13169"/>
    <cellStyle name="Normal 39 4 5" xfId="19020"/>
    <cellStyle name="Normal 39 4_LNG &amp; LPG rework" xfId="7375"/>
    <cellStyle name="Normal 39 5" xfId="4607"/>
    <cellStyle name="Normal 39 5 2" xfId="4608"/>
    <cellStyle name="Normal 39 5 2 2" xfId="13174"/>
    <cellStyle name="Normal 39 5 2 3" xfId="19025"/>
    <cellStyle name="Normal 39 5 3" xfId="13173"/>
    <cellStyle name="Normal 39 5 4" xfId="19024"/>
    <cellStyle name="Normal 39 5_LNG &amp; LPG rework" xfId="7377"/>
    <cellStyle name="Normal 39 6" xfId="4609"/>
    <cellStyle name="Normal 39 6 2" xfId="13175"/>
    <cellStyle name="Normal 39 6 3" xfId="19026"/>
    <cellStyle name="Normal 39 7" xfId="4610"/>
    <cellStyle name="Normal 39 8" xfId="13148"/>
    <cellStyle name="Normal 39 9" xfId="18999"/>
    <cellStyle name="Normal 39_LNG &amp; LPG rework" xfId="7366"/>
    <cellStyle name="Normal 4" xfId="45"/>
    <cellStyle name="Normal 4 10" xfId="4611"/>
    <cellStyle name="Normal 4 10 2" xfId="13176"/>
    <cellStyle name="Normal 4 10 3" xfId="19027"/>
    <cellStyle name="Normal 4 11" xfId="8959"/>
    <cellStyle name="Normal 4 12" xfId="14882"/>
    <cellStyle name="Normal 4 12 2" xfId="39185"/>
    <cellStyle name="Normal 4 13" xfId="20813"/>
    <cellStyle name="Normal 4 14" xfId="20819"/>
    <cellStyle name="Normal 4 15" xfId="20820"/>
    <cellStyle name="Normal 4 16" xfId="26189"/>
    <cellStyle name="Normal 4 16 2" xfId="29462"/>
    <cellStyle name="Normal 4 17" xfId="29465"/>
    <cellStyle name="Normal 4 18" xfId="29486"/>
    <cellStyle name="Normal 4 19" xfId="29490"/>
    <cellStyle name="Normal 4 2" xfId="121"/>
    <cellStyle name="Normal 4 2 2" xfId="475"/>
    <cellStyle name="Normal 4 2 3" xfId="9013"/>
    <cellStyle name="Normal 4 2 4" xfId="14985"/>
    <cellStyle name="Normal 4 2_LNG &amp; LPG rework" xfId="6550"/>
    <cellStyle name="Normal 4 20" xfId="29491"/>
    <cellStyle name="Normal 4 21" xfId="29492"/>
    <cellStyle name="Normal 4 22" xfId="29495"/>
    <cellStyle name="Normal 4 23" xfId="29497"/>
    <cellStyle name="Normal 4 24" xfId="29498"/>
    <cellStyle name="Normal 4 25" xfId="29515"/>
    <cellStyle name="Normal 4 3" xfId="474"/>
    <cellStyle name="Normal 4 4" xfId="4612"/>
    <cellStyle name="Normal 4 5" xfId="4613"/>
    <cellStyle name="Normal 4 6" xfId="4614"/>
    <cellStyle name="Normal 4 7" xfId="4615"/>
    <cellStyle name="Normal 4 8" xfId="4616"/>
    <cellStyle name="Normal 4 9" xfId="4617"/>
    <cellStyle name="Normal 4_2015  Data" xfId="476"/>
    <cellStyle name="Normal 40" xfId="4618"/>
    <cellStyle name="Normal 40 10" xfId="20822"/>
    <cellStyle name="Normal 40 2" xfId="4619"/>
    <cellStyle name="Normal 40 2 2" xfId="4620"/>
    <cellStyle name="Normal 40 2 2 2" xfId="4621"/>
    <cellStyle name="Normal 40 2 2 2 2" xfId="4622"/>
    <cellStyle name="Normal 40 2 2 2 2 2" xfId="13180"/>
    <cellStyle name="Normal 40 2 2 2 2 3" xfId="19031"/>
    <cellStyle name="Normal 40 2 2 2 3" xfId="13179"/>
    <cellStyle name="Normal 40 2 2 2 4" xfId="19030"/>
    <cellStyle name="Normal 40 2 2 2_LNG &amp; LPG rework" xfId="7380"/>
    <cellStyle name="Normal 40 2 2 3" xfId="4623"/>
    <cellStyle name="Normal 40 2 2 3 2" xfId="13181"/>
    <cellStyle name="Normal 40 2 2 3 3" xfId="19032"/>
    <cellStyle name="Normal 40 2 2 4" xfId="13178"/>
    <cellStyle name="Normal 40 2 2 5" xfId="19029"/>
    <cellStyle name="Normal 40 2 2_LNG &amp; LPG rework" xfId="7379"/>
    <cellStyle name="Normal 40 2 3" xfId="4624"/>
    <cellStyle name="Normal 40 2 3 2" xfId="4625"/>
    <cellStyle name="Normal 40 2 3 2 2" xfId="13183"/>
    <cellStyle name="Normal 40 2 3 2 3" xfId="19034"/>
    <cellStyle name="Normal 40 2 3 3" xfId="13182"/>
    <cellStyle name="Normal 40 2 3 4" xfId="19033"/>
    <cellStyle name="Normal 40 2 3_LNG &amp; LPG rework" xfId="7381"/>
    <cellStyle name="Normal 40 2 4" xfId="4626"/>
    <cellStyle name="Normal 40 2 4 2" xfId="13184"/>
    <cellStyle name="Normal 40 2 4 3" xfId="19035"/>
    <cellStyle name="Normal 40 2 5" xfId="4627"/>
    <cellStyle name="Normal 40 2 6" xfId="13177"/>
    <cellStyle name="Normal 40 2 7" xfId="19028"/>
    <cellStyle name="Normal 40 2_LNG &amp; LPG rework" xfId="7378"/>
    <cellStyle name="Normal 40 3" xfId="4628"/>
    <cellStyle name="Normal 40 3 2" xfId="4629"/>
    <cellStyle name="Normal 40 3 2 2" xfId="4630"/>
    <cellStyle name="Normal 40 3 2 2 2" xfId="4631"/>
    <cellStyle name="Normal 40 3 2 2 2 2" xfId="13188"/>
    <cellStyle name="Normal 40 3 2 2 2 3" xfId="19039"/>
    <cellStyle name="Normal 40 3 2 2 3" xfId="13187"/>
    <cellStyle name="Normal 40 3 2 2 4" xfId="19038"/>
    <cellStyle name="Normal 40 3 2 2_LNG &amp; LPG rework" xfId="7384"/>
    <cellStyle name="Normal 40 3 2 3" xfId="4632"/>
    <cellStyle name="Normal 40 3 2 3 2" xfId="13189"/>
    <cellStyle name="Normal 40 3 2 3 3" xfId="19040"/>
    <cellStyle name="Normal 40 3 2 4" xfId="13186"/>
    <cellStyle name="Normal 40 3 2 5" xfId="19037"/>
    <cellStyle name="Normal 40 3 2_LNG &amp; LPG rework" xfId="7383"/>
    <cellStyle name="Normal 40 3 3" xfId="4633"/>
    <cellStyle name="Normal 40 3 3 2" xfId="4634"/>
    <cellStyle name="Normal 40 3 3 2 2" xfId="13191"/>
    <cellStyle name="Normal 40 3 3 2 3" xfId="19042"/>
    <cellStyle name="Normal 40 3 3 3" xfId="13190"/>
    <cellStyle name="Normal 40 3 3 4" xfId="19041"/>
    <cellStyle name="Normal 40 3 3_LNG &amp; LPG rework" xfId="7385"/>
    <cellStyle name="Normal 40 3 4" xfId="4635"/>
    <cellStyle name="Normal 40 3 4 2" xfId="13192"/>
    <cellStyle name="Normal 40 3 4 3" xfId="19043"/>
    <cellStyle name="Normal 40 3 5" xfId="4636"/>
    <cellStyle name="Normal 40 3 6" xfId="13185"/>
    <cellStyle name="Normal 40 3 7" xfId="19036"/>
    <cellStyle name="Normal 40 3_LNG &amp; LPG rework" xfId="7382"/>
    <cellStyle name="Normal 40 4" xfId="4637"/>
    <cellStyle name="Normal 40 4 2" xfId="4638"/>
    <cellStyle name="Normal 40 4 2 2" xfId="4639"/>
    <cellStyle name="Normal 40 4 2 2 2" xfId="13195"/>
    <cellStyle name="Normal 40 4 2 2 3" xfId="19046"/>
    <cellStyle name="Normal 40 4 2 3" xfId="13194"/>
    <cellStyle name="Normal 40 4 2 4" xfId="19045"/>
    <cellStyle name="Normal 40 4 2_LNG &amp; LPG rework" xfId="7387"/>
    <cellStyle name="Normal 40 4 3" xfId="4640"/>
    <cellStyle name="Normal 40 4 3 2" xfId="13196"/>
    <cellStyle name="Normal 40 4 3 3" xfId="19047"/>
    <cellStyle name="Normal 40 4 4" xfId="13193"/>
    <cellStyle name="Normal 40 4 5" xfId="19044"/>
    <cellStyle name="Normal 40 4_LNG &amp; LPG rework" xfId="7386"/>
    <cellStyle name="Normal 40 5" xfId="4641"/>
    <cellStyle name="Normal 40 5 2" xfId="4642"/>
    <cellStyle name="Normal 40 5 2 2" xfId="13198"/>
    <cellStyle name="Normal 40 5 2 3" xfId="19049"/>
    <cellStyle name="Normal 40 5 3" xfId="13197"/>
    <cellStyle name="Normal 40 5 4" xfId="19048"/>
    <cellStyle name="Normal 40 5_LNG &amp; LPG rework" xfId="7388"/>
    <cellStyle name="Normal 40 6" xfId="4643"/>
    <cellStyle name="Normal 40 6 2" xfId="13199"/>
    <cellStyle name="Normal 40 6 3" xfId="19050"/>
    <cellStyle name="Normal 40 7" xfId="4644"/>
    <cellStyle name="Normal 40 8" xfId="7826"/>
    <cellStyle name="Normal 40 9" xfId="8903"/>
    <cellStyle name="Normal 40_Data - Monthly Commodity Prices" xfId="6518"/>
    <cellStyle name="Normal 41" xfId="4645"/>
    <cellStyle name="Normal 41 2" xfId="4646"/>
    <cellStyle name="Normal 41 2 2" xfId="4647"/>
    <cellStyle name="Normal 41 2 2 2" xfId="4648"/>
    <cellStyle name="Normal 41 2 2 2 2" xfId="4649"/>
    <cellStyle name="Normal 41 2 2 2 2 2" xfId="13204"/>
    <cellStyle name="Normal 41 2 2 2 2 3" xfId="19055"/>
    <cellStyle name="Normal 41 2 2 2 3" xfId="13203"/>
    <cellStyle name="Normal 41 2 2 2 4" xfId="19054"/>
    <cellStyle name="Normal 41 2 2 2_LNG &amp; LPG rework" xfId="7392"/>
    <cellStyle name="Normal 41 2 2 3" xfId="4650"/>
    <cellStyle name="Normal 41 2 2 3 2" xfId="13205"/>
    <cellStyle name="Normal 41 2 2 3 3" xfId="19056"/>
    <cellStyle name="Normal 41 2 2 4" xfId="13202"/>
    <cellStyle name="Normal 41 2 2 5" xfId="19053"/>
    <cellStyle name="Normal 41 2 2_LNG &amp; LPG rework" xfId="7391"/>
    <cellStyle name="Normal 41 2 3" xfId="4651"/>
    <cellStyle name="Normal 41 2 3 2" xfId="4652"/>
    <cellStyle name="Normal 41 2 3 2 2" xfId="13207"/>
    <cellStyle name="Normal 41 2 3 2 3" xfId="19058"/>
    <cellStyle name="Normal 41 2 3 3" xfId="13206"/>
    <cellStyle name="Normal 41 2 3 4" xfId="19057"/>
    <cellStyle name="Normal 41 2 3_LNG &amp; LPG rework" xfId="7393"/>
    <cellStyle name="Normal 41 2 4" xfId="4653"/>
    <cellStyle name="Normal 41 2 4 2" xfId="13208"/>
    <cellStyle name="Normal 41 2 4 3" xfId="19059"/>
    <cellStyle name="Normal 41 2 5" xfId="4654"/>
    <cellStyle name="Normal 41 2 6" xfId="13201"/>
    <cellStyle name="Normal 41 2 7" xfId="19052"/>
    <cellStyle name="Normal 41 2_LNG &amp; LPG rework" xfId="7390"/>
    <cellStyle name="Normal 41 3" xfId="4655"/>
    <cellStyle name="Normal 41 3 2" xfId="4656"/>
    <cellStyle name="Normal 41 3 2 2" xfId="4657"/>
    <cellStyle name="Normal 41 3 2 2 2" xfId="4658"/>
    <cellStyle name="Normal 41 3 2 2 2 2" xfId="13212"/>
    <cellStyle name="Normal 41 3 2 2 2 3" xfId="19063"/>
    <cellStyle name="Normal 41 3 2 2 3" xfId="13211"/>
    <cellStyle name="Normal 41 3 2 2 4" xfId="19062"/>
    <cellStyle name="Normal 41 3 2 2_LNG &amp; LPG rework" xfId="7396"/>
    <cellStyle name="Normal 41 3 2 3" xfId="4659"/>
    <cellStyle name="Normal 41 3 2 3 2" xfId="13213"/>
    <cellStyle name="Normal 41 3 2 3 3" xfId="19064"/>
    <cellStyle name="Normal 41 3 2 4" xfId="13210"/>
    <cellStyle name="Normal 41 3 2 5" xfId="19061"/>
    <cellStyle name="Normal 41 3 2_LNG &amp; LPG rework" xfId="7395"/>
    <cellStyle name="Normal 41 3 3" xfId="4660"/>
    <cellStyle name="Normal 41 3 3 2" xfId="4661"/>
    <cellStyle name="Normal 41 3 3 2 2" xfId="13215"/>
    <cellStyle name="Normal 41 3 3 2 3" xfId="19066"/>
    <cellStyle name="Normal 41 3 3 3" xfId="13214"/>
    <cellStyle name="Normal 41 3 3 4" xfId="19065"/>
    <cellStyle name="Normal 41 3 3_LNG &amp; LPG rework" xfId="7397"/>
    <cellStyle name="Normal 41 3 4" xfId="4662"/>
    <cellStyle name="Normal 41 3 4 2" xfId="13216"/>
    <cellStyle name="Normal 41 3 4 3" xfId="19067"/>
    <cellStyle name="Normal 41 3 5" xfId="13209"/>
    <cellStyle name="Normal 41 3 6" xfId="19060"/>
    <cellStyle name="Normal 41 3_LNG &amp; LPG rework" xfId="7394"/>
    <cellStyle name="Normal 41 4" xfId="4663"/>
    <cellStyle name="Normal 41 4 2" xfId="4664"/>
    <cellStyle name="Normal 41 4 2 2" xfId="4665"/>
    <cellStyle name="Normal 41 4 2 2 2" xfId="13219"/>
    <cellStyle name="Normal 41 4 2 2 3" xfId="19070"/>
    <cellStyle name="Normal 41 4 2 3" xfId="13218"/>
    <cellStyle name="Normal 41 4 2 4" xfId="19069"/>
    <cellStyle name="Normal 41 4 2_LNG &amp; LPG rework" xfId="7399"/>
    <cellStyle name="Normal 41 4 3" xfId="4666"/>
    <cellStyle name="Normal 41 4 3 2" xfId="13220"/>
    <cellStyle name="Normal 41 4 3 3" xfId="19071"/>
    <cellStyle name="Normal 41 4 4" xfId="13217"/>
    <cellStyle name="Normal 41 4 5" xfId="19068"/>
    <cellStyle name="Normal 41 4_LNG &amp; LPG rework" xfId="7398"/>
    <cellStyle name="Normal 41 5" xfId="4667"/>
    <cellStyle name="Normal 41 5 2" xfId="4668"/>
    <cellStyle name="Normal 41 5 2 2" xfId="13222"/>
    <cellStyle name="Normal 41 5 2 3" xfId="19073"/>
    <cellStyle name="Normal 41 5 3" xfId="13221"/>
    <cellStyle name="Normal 41 5 4" xfId="19072"/>
    <cellStyle name="Normal 41 5_LNG &amp; LPG rework" xfId="7400"/>
    <cellStyle name="Normal 41 6" xfId="4669"/>
    <cellStyle name="Normal 41 6 2" xfId="13223"/>
    <cellStyle name="Normal 41 6 3" xfId="19074"/>
    <cellStyle name="Normal 41 7" xfId="4670"/>
    <cellStyle name="Normal 41 8" xfId="13200"/>
    <cellStyle name="Normal 41 9" xfId="19051"/>
    <cellStyle name="Normal 41_LNG &amp; LPG rework" xfId="7389"/>
    <cellStyle name="Normal 42" xfId="4671"/>
    <cellStyle name="Normal 42 10" xfId="26211"/>
    <cellStyle name="Normal 42 2" xfId="4672"/>
    <cellStyle name="Normal 42 2 2" xfId="4673"/>
    <cellStyle name="Normal 42 2 2 2" xfId="4674"/>
    <cellStyle name="Normal 42 2 2 2 2" xfId="4675"/>
    <cellStyle name="Normal 42 2 2 2 2 2" xfId="13228"/>
    <cellStyle name="Normal 42 2 2 2 2 3" xfId="19079"/>
    <cellStyle name="Normal 42 2 2 2 3" xfId="13227"/>
    <cellStyle name="Normal 42 2 2 2 4" xfId="19078"/>
    <cellStyle name="Normal 42 2 2 2_LNG &amp; LPG rework" xfId="7404"/>
    <cellStyle name="Normal 42 2 2 3" xfId="4676"/>
    <cellStyle name="Normal 42 2 2 3 2" xfId="13229"/>
    <cellStyle name="Normal 42 2 2 3 3" xfId="19080"/>
    <cellStyle name="Normal 42 2 2 4" xfId="13226"/>
    <cellStyle name="Normal 42 2 2 5" xfId="19077"/>
    <cellStyle name="Normal 42 2 2_LNG &amp; LPG rework" xfId="7403"/>
    <cellStyle name="Normal 42 2 3" xfId="4677"/>
    <cellStyle name="Normal 42 2 3 2" xfId="4678"/>
    <cellStyle name="Normal 42 2 3 2 2" xfId="13231"/>
    <cellStyle name="Normal 42 2 3 2 3" xfId="19082"/>
    <cellStyle name="Normal 42 2 3 3" xfId="13230"/>
    <cellStyle name="Normal 42 2 3 4" xfId="19081"/>
    <cellStyle name="Normal 42 2 3_LNG &amp; LPG rework" xfId="7405"/>
    <cellStyle name="Normal 42 2 4" xfId="4679"/>
    <cellStyle name="Normal 42 2 4 2" xfId="13232"/>
    <cellStyle name="Normal 42 2 4 3" xfId="19083"/>
    <cellStyle name="Normal 42 2 5" xfId="4680"/>
    <cellStyle name="Normal 42 2 6" xfId="13225"/>
    <cellStyle name="Normal 42 2 7" xfId="19076"/>
    <cellStyle name="Normal 42 2_LNG &amp; LPG rework" xfId="7402"/>
    <cellStyle name="Normal 42 3" xfId="4681"/>
    <cellStyle name="Normal 42 3 2" xfId="4682"/>
    <cellStyle name="Normal 42 3 2 2" xfId="4683"/>
    <cellStyle name="Normal 42 3 2 2 2" xfId="4684"/>
    <cellStyle name="Normal 42 3 2 2 2 2" xfId="13236"/>
    <cellStyle name="Normal 42 3 2 2 2 3" xfId="19087"/>
    <cellStyle name="Normal 42 3 2 2 3" xfId="13235"/>
    <cellStyle name="Normal 42 3 2 2 4" xfId="19086"/>
    <cellStyle name="Normal 42 3 2 2_LNG &amp; LPG rework" xfId="7408"/>
    <cellStyle name="Normal 42 3 2 3" xfId="4685"/>
    <cellStyle name="Normal 42 3 2 3 2" xfId="13237"/>
    <cellStyle name="Normal 42 3 2 3 3" xfId="19088"/>
    <cellStyle name="Normal 42 3 2 4" xfId="13234"/>
    <cellStyle name="Normal 42 3 2 5" xfId="19085"/>
    <cellStyle name="Normal 42 3 2_LNG &amp; LPG rework" xfId="7407"/>
    <cellStyle name="Normal 42 3 3" xfId="4686"/>
    <cellStyle name="Normal 42 3 3 2" xfId="4687"/>
    <cellStyle name="Normal 42 3 3 2 2" xfId="13239"/>
    <cellStyle name="Normal 42 3 3 2 3" xfId="19090"/>
    <cellStyle name="Normal 42 3 3 3" xfId="13238"/>
    <cellStyle name="Normal 42 3 3 4" xfId="19089"/>
    <cellStyle name="Normal 42 3 3_LNG &amp; LPG rework" xfId="7409"/>
    <cellStyle name="Normal 42 3 4" xfId="4688"/>
    <cellStyle name="Normal 42 3 4 2" xfId="13240"/>
    <cellStyle name="Normal 42 3 4 3" xfId="19091"/>
    <cellStyle name="Normal 42 3 5" xfId="13233"/>
    <cellStyle name="Normal 42 3 6" xfId="19084"/>
    <cellStyle name="Normal 42 3_LNG &amp; LPG rework" xfId="7406"/>
    <cellStyle name="Normal 42 4" xfId="4689"/>
    <cellStyle name="Normal 42 4 2" xfId="4690"/>
    <cellStyle name="Normal 42 4 2 2" xfId="4691"/>
    <cellStyle name="Normal 42 4 2 2 2" xfId="13243"/>
    <cellStyle name="Normal 42 4 2 2 3" xfId="19094"/>
    <cellStyle name="Normal 42 4 2 3" xfId="13242"/>
    <cellStyle name="Normal 42 4 2 4" xfId="19093"/>
    <cellStyle name="Normal 42 4 2_LNG &amp; LPG rework" xfId="7411"/>
    <cellStyle name="Normal 42 4 3" xfId="4692"/>
    <cellStyle name="Normal 42 4 3 2" xfId="13244"/>
    <cellStyle name="Normal 42 4 3 3" xfId="19095"/>
    <cellStyle name="Normal 42 4 4" xfId="13241"/>
    <cellStyle name="Normal 42 4 5" xfId="19092"/>
    <cellStyle name="Normal 42 4_LNG &amp; LPG rework" xfId="7410"/>
    <cellStyle name="Normal 42 5" xfId="4693"/>
    <cellStyle name="Normal 42 5 2" xfId="4694"/>
    <cellStyle name="Normal 42 5 2 2" xfId="13246"/>
    <cellStyle name="Normal 42 5 2 3" xfId="19097"/>
    <cellStyle name="Normal 42 5 3" xfId="13245"/>
    <cellStyle name="Normal 42 5 4" xfId="19096"/>
    <cellStyle name="Normal 42 5_LNG &amp; LPG rework" xfId="7412"/>
    <cellStyle name="Normal 42 6" xfId="4695"/>
    <cellStyle name="Normal 42 6 2" xfId="13247"/>
    <cellStyle name="Normal 42 6 3" xfId="19098"/>
    <cellStyle name="Normal 42 7" xfId="4696"/>
    <cellStyle name="Normal 42 8" xfId="13224"/>
    <cellStyle name="Normal 42 9" xfId="19075"/>
    <cellStyle name="Normal 42_LNG &amp; LPG rework" xfId="7401"/>
    <cellStyle name="Normal 43" xfId="4697"/>
    <cellStyle name="Normal 43 2" xfId="4698"/>
    <cellStyle name="Normal 43 2 2" xfId="4699"/>
    <cellStyle name="Normal 43 2 2 2" xfId="4700"/>
    <cellStyle name="Normal 43 2 2 2 2" xfId="4701"/>
    <cellStyle name="Normal 43 2 2 2 2 2" xfId="13252"/>
    <cellStyle name="Normal 43 2 2 2 2 3" xfId="19103"/>
    <cellStyle name="Normal 43 2 2 2 3" xfId="13251"/>
    <cellStyle name="Normal 43 2 2 2 4" xfId="19102"/>
    <cellStyle name="Normal 43 2 2 2_LNG &amp; LPG rework" xfId="7416"/>
    <cellStyle name="Normal 43 2 2 3" xfId="4702"/>
    <cellStyle name="Normal 43 2 2 3 2" xfId="13253"/>
    <cellStyle name="Normal 43 2 2 3 3" xfId="19104"/>
    <cellStyle name="Normal 43 2 2 4" xfId="13250"/>
    <cellStyle name="Normal 43 2 2 5" xfId="19101"/>
    <cellStyle name="Normal 43 2 2_LNG &amp; LPG rework" xfId="7415"/>
    <cellStyle name="Normal 43 2 3" xfId="4703"/>
    <cellStyle name="Normal 43 2 3 2" xfId="4704"/>
    <cellStyle name="Normal 43 2 3 2 2" xfId="13255"/>
    <cellStyle name="Normal 43 2 3 2 3" xfId="19106"/>
    <cellStyle name="Normal 43 2 3 3" xfId="13254"/>
    <cellStyle name="Normal 43 2 3 4" xfId="19105"/>
    <cellStyle name="Normal 43 2 3_LNG &amp; LPG rework" xfId="7417"/>
    <cellStyle name="Normal 43 2 4" xfId="4705"/>
    <cellStyle name="Normal 43 2 4 2" xfId="13256"/>
    <cellStyle name="Normal 43 2 4 3" xfId="19107"/>
    <cellStyle name="Normal 43 2 5" xfId="4706"/>
    <cellStyle name="Normal 43 2 6" xfId="13249"/>
    <cellStyle name="Normal 43 2 7" xfId="19100"/>
    <cellStyle name="Normal 43 2_LNG &amp; LPG rework" xfId="7414"/>
    <cellStyle name="Normal 43 3" xfId="4707"/>
    <cellStyle name="Normal 43 3 2" xfId="4708"/>
    <cellStyle name="Normal 43 3 2 2" xfId="4709"/>
    <cellStyle name="Normal 43 3 2 2 2" xfId="4710"/>
    <cellStyle name="Normal 43 3 2 2 2 2" xfId="13260"/>
    <cellStyle name="Normal 43 3 2 2 2 3" xfId="19111"/>
    <cellStyle name="Normal 43 3 2 2 3" xfId="13259"/>
    <cellStyle name="Normal 43 3 2 2 4" xfId="19110"/>
    <cellStyle name="Normal 43 3 2 2_LNG &amp; LPG rework" xfId="7420"/>
    <cellStyle name="Normal 43 3 2 3" xfId="4711"/>
    <cellStyle name="Normal 43 3 2 3 2" xfId="13261"/>
    <cellStyle name="Normal 43 3 2 3 3" xfId="19112"/>
    <cellStyle name="Normal 43 3 2 4" xfId="13258"/>
    <cellStyle name="Normal 43 3 2 5" xfId="19109"/>
    <cellStyle name="Normal 43 3 2_LNG &amp; LPG rework" xfId="7419"/>
    <cellStyle name="Normal 43 3 3" xfId="4712"/>
    <cellStyle name="Normal 43 3 3 2" xfId="4713"/>
    <cellStyle name="Normal 43 3 3 2 2" xfId="13263"/>
    <cellStyle name="Normal 43 3 3 2 3" xfId="19114"/>
    <cellStyle name="Normal 43 3 3 3" xfId="13262"/>
    <cellStyle name="Normal 43 3 3 4" xfId="19113"/>
    <cellStyle name="Normal 43 3 3_LNG &amp; LPG rework" xfId="7421"/>
    <cellStyle name="Normal 43 3 4" xfId="4714"/>
    <cellStyle name="Normal 43 3 4 2" xfId="13264"/>
    <cellStyle name="Normal 43 3 4 3" xfId="19115"/>
    <cellStyle name="Normal 43 3 5" xfId="13257"/>
    <cellStyle name="Normal 43 3 6" xfId="19108"/>
    <cellStyle name="Normal 43 3_LNG &amp; LPG rework" xfId="7418"/>
    <cellStyle name="Normal 43 4" xfId="4715"/>
    <cellStyle name="Normal 43 4 2" xfId="4716"/>
    <cellStyle name="Normal 43 4 2 2" xfId="4717"/>
    <cellStyle name="Normal 43 4 2 2 2" xfId="13267"/>
    <cellStyle name="Normal 43 4 2 2 3" xfId="19118"/>
    <cellStyle name="Normal 43 4 2 3" xfId="13266"/>
    <cellStyle name="Normal 43 4 2 4" xfId="19117"/>
    <cellStyle name="Normal 43 4 2_LNG &amp; LPG rework" xfId="7423"/>
    <cellStyle name="Normal 43 4 3" xfId="4718"/>
    <cellStyle name="Normal 43 4 3 2" xfId="13268"/>
    <cellStyle name="Normal 43 4 3 3" xfId="19119"/>
    <cellStyle name="Normal 43 4 4" xfId="13265"/>
    <cellStyle name="Normal 43 4 5" xfId="19116"/>
    <cellStyle name="Normal 43 4_LNG &amp; LPG rework" xfId="7422"/>
    <cellStyle name="Normal 43 5" xfId="4719"/>
    <cellStyle name="Normal 43 5 2" xfId="4720"/>
    <cellStyle name="Normal 43 5 2 2" xfId="13270"/>
    <cellStyle name="Normal 43 5 2 3" xfId="19121"/>
    <cellStyle name="Normal 43 5 3" xfId="13269"/>
    <cellStyle name="Normal 43 5 4" xfId="19120"/>
    <cellStyle name="Normal 43 5_LNG &amp; LPG rework" xfId="7424"/>
    <cellStyle name="Normal 43 6" xfId="4721"/>
    <cellStyle name="Normal 43 6 2" xfId="13271"/>
    <cellStyle name="Normal 43 6 3" xfId="19122"/>
    <cellStyle name="Normal 43 7" xfId="4722"/>
    <cellStyle name="Normal 43 8" xfId="13248"/>
    <cellStyle name="Normal 43 9" xfId="19099"/>
    <cellStyle name="Normal 43_LNG &amp; LPG rework" xfId="7413"/>
    <cellStyle name="Normal 44" xfId="4723"/>
    <cellStyle name="Normal 44 2" xfId="4724"/>
    <cellStyle name="Normal 44 2 2" xfId="4725"/>
    <cellStyle name="Normal 44 2 2 2" xfId="4726"/>
    <cellStyle name="Normal 44 2 2 2 2" xfId="4727"/>
    <cellStyle name="Normal 44 2 2 2 2 2" xfId="13276"/>
    <cellStyle name="Normal 44 2 2 2 2 3" xfId="19127"/>
    <cellStyle name="Normal 44 2 2 2 3" xfId="13275"/>
    <cellStyle name="Normal 44 2 2 2 4" xfId="19126"/>
    <cellStyle name="Normal 44 2 2 2_LNG &amp; LPG rework" xfId="7428"/>
    <cellStyle name="Normal 44 2 2 3" xfId="4728"/>
    <cellStyle name="Normal 44 2 2 3 2" xfId="13277"/>
    <cellStyle name="Normal 44 2 2 3 3" xfId="19128"/>
    <cellStyle name="Normal 44 2 2 4" xfId="13274"/>
    <cellStyle name="Normal 44 2 2 5" xfId="19125"/>
    <cellStyle name="Normal 44 2 2_LNG &amp; LPG rework" xfId="7427"/>
    <cellStyle name="Normal 44 2 3" xfId="4729"/>
    <cellStyle name="Normal 44 2 3 2" xfId="4730"/>
    <cellStyle name="Normal 44 2 3 2 2" xfId="13279"/>
    <cellStyle name="Normal 44 2 3 2 3" xfId="19130"/>
    <cellStyle name="Normal 44 2 3 3" xfId="13278"/>
    <cellStyle name="Normal 44 2 3 4" xfId="19129"/>
    <cellStyle name="Normal 44 2 3_LNG &amp; LPG rework" xfId="7429"/>
    <cellStyle name="Normal 44 2 4" xfId="4731"/>
    <cellStyle name="Normal 44 2 4 2" xfId="13280"/>
    <cellStyle name="Normal 44 2 4 3" xfId="19131"/>
    <cellStyle name="Normal 44 2 5" xfId="4732"/>
    <cellStyle name="Normal 44 2 6" xfId="13273"/>
    <cellStyle name="Normal 44 2 7" xfId="19124"/>
    <cellStyle name="Normal 44 2_LNG &amp; LPG rework" xfId="7426"/>
    <cellStyle name="Normal 44 3" xfId="4733"/>
    <cellStyle name="Normal 44 3 2" xfId="4734"/>
    <cellStyle name="Normal 44 3 2 2" xfId="4735"/>
    <cellStyle name="Normal 44 3 2 2 2" xfId="4736"/>
    <cellStyle name="Normal 44 3 2 2 2 2" xfId="13284"/>
    <cellStyle name="Normal 44 3 2 2 2 3" xfId="19135"/>
    <cellStyle name="Normal 44 3 2 2 3" xfId="13283"/>
    <cellStyle name="Normal 44 3 2 2 4" xfId="19134"/>
    <cellStyle name="Normal 44 3 2 2_LNG &amp; LPG rework" xfId="7432"/>
    <cellStyle name="Normal 44 3 2 3" xfId="4737"/>
    <cellStyle name="Normal 44 3 2 3 2" xfId="13285"/>
    <cellStyle name="Normal 44 3 2 3 3" xfId="19136"/>
    <cellStyle name="Normal 44 3 2 4" xfId="13282"/>
    <cellStyle name="Normal 44 3 2 5" xfId="19133"/>
    <cellStyle name="Normal 44 3 2_LNG &amp; LPG rework" xfId="7431"/>
    <cellStyle name="Normal 44 3 3" xfId="4738"/>
    <cellStyle name="Normal 44 3 3 2" xfId="4739"/>
    <cellStyle name="Normal 44 3 3 2 2" xfId="13287"/>
    <cellStyle name="Normal 44 3 3 2 3" xfId="19138"/>
    <cellStyle name="Normal 44 3 3 3" xfId="13286"/>
    <cellStyle name="Normal 44 3 3 4" xfId="19137"/>
    <cellStyle name="Normal 44 3 3_LNG &amp; LPG rework" xfId="7433"/>
    <cellStyle name="Normal 44 3 4" xfId="4740"/>
    <cellStyle name="Normal 44 3 4 2" xfId="13288"/>
    <cellStyle name="Normal 44 3 4 3" xfId="19139"/>
    <cellStyle name="Normal 44 3 5" xfId="13281"/>
    <cellStyle name="Normal 44 3 6" xfId="19132"/>
    <cellStyle name="Normal 44 3_LNG &amp; LPG rework" xfId="7430"/>
    <cellStyle name="Normal 44 4" xfId="4741"/>
    <cellStyle name="Normal 44 4 2" xfId="4742"/>
    <cellStyle name="Normal 44 4 2 2" xfId="4743"/>
    <cellStyle name="Normal 44 4 2 2 2" xfId="13291"/>
    <cellStyle name="Normal 44 4 2 2 3" xfId="19142"/>
    <cellStyle name="Normal 44 4 2 3" xfId="13290"/>
    <cellStyle name="Normal 44 4 2 4" xfId="19141"/>
    <cellStyle name="Normal 44 4 2_LNG &amp; LPG rework" xfId="7435"/>
    <cellStyle name="Normal 44 4 3" xfId="4744"/>
    <cellStyle name="Normal 44 4 3 2" xfId="13292"/>
    <cellStyle name="Normal 44 4 3 3" xfId="19143"/>
    <cellStyle name="Normal 44 4 4" xfId="13289"/>
    <cellStyle name="Normal 44 4 5" xfId="19140"/>
    <cellStyle name="Normal 44 4_LNG &amp; LPG rework" xfId="7434"/>
    <cellStyle name="Normal 44 5" xfId="4745"/>
    <cellStyle name="Normal 44 5 2" xfId="4746"/>
    <cellStyle name="Normal 44 5 2 2" xfId="13294"/>
    <cellStyle name="Normal 44 5 2 3" xfId="19145"/>
    <cellStyle name="Normal 44 5 3" xfId="13293"/>
    <cellStyle name="Normal 44 5 4" xfId="19144"/>
    <cellStyle name="Normal 44 5_LNG &amp; LPG rework" xfId="7436"/>
    <cellStyle name="Normal 44 6" xfId="4747"/>
    <cellStyle name="Normal 44 6 2" xfId="13295"/>
    <cellStyle name="Normal 44 6 3" xfId="19146"/>
    <cellStyle name="Normal 44 7" xfId="4748"/>
    <cellStyle name="Normal 44 8" xfId="13272"/>
    <cellStyle name="Normal 44 9" xfId="19123"/>
    <cellStyle name="Normal 44_LNG &amp; LPG rework" xfId="7425"/>
    <cellStyle name="Normal 45" xfId="4749"/>
    <cellStyle name="Normal 45 2" xfId="4750"/>
    <cellStyle name="Normal 45 2 2" xfId="4751"/>
    <cellStyle name="Normal 45 2 2 2" xfId="4752"/>
    <cellStyle name="Normal 45 2 2 2 2" xfId="4753"/>
    <cellStyle name="Normal 45 2 2 2 2 2" xfId="13300"/>
    <cellStyle name="Normal 45 2 2 2 2 3" xfId="19151"/>
    <cellStyle name="Normal 45 2 2 2 3" xfId="13299"/>
    <cellStyle name="Normal 45 2 2 2 4" xfId="19150"/>
    <cellStyle name="Normal 45 2 2 2_LNG &amp; LPG rework" xfId="7440"/>
    <cellStyle name="Normal 45 2 2 3" xfId="4754"/>
    <cellStyle name="Normal 45 2 2 3 2" xfId="13301"/>
    <cellStyle name="Normal 45 2 2 3 3" xfId="19152"/>
    <cellStyle name="Normal 45 2 2 4" xfId="13298"/>
    <cellStyle name="Normal 45 2 2 5" xfId="19149"/>
    <cellStyle name="Normal 45 2 2_LNG &amp; LPG rework" xfId="7439"/>
    <cellStyle name="Normal 45 2 3" xfId="4755"/>
    <cellStyle name="Normal 45 2 3 2" xfId="4756"/>
    <cellStyle name="Normal 45 2 3 2 2" xfId="13303"/>
    <cellStyle name="Normal 45 2 3 2 3" xfId="19154"/>
    <cellStyle name="Normal 45 2 3 3" xfId="13302"/>
    <cellStyle name="Normal 45 2 3 4" xfId="19153"/>
    <cellStyle name="Normal 45 2 3_LNG &amp; LPG rework" xfId="7441"/>
    <cellStyle name="Normal 45 2 4" xfId="4757"/>
    <cellStyle name="Normal 45 2 4 2" xfId="13304"/>
    <cellStyle name="Normal 45 2 4 3" xfId="19155"/>
    <cellStyle name="Normal 45 2 5" xfId="4758"/>
    <cellStyle name="Normal 45 2 6" xfId="13297"/>
    <cellStyle name="Normal 45 2 7" xfId="19148"/>
    <cellStyle name="Normal 45 2_LNG &amp; LPG rework" xfId="7438"/>
    <cellStyle name="Normal 45 3" xfId="4759"/>
    <cellStyle name="Normal 45 3 2" xfId="4760"/>
    <cellStyle name="Normal 45 3 2 2" xfId="4761"/>
    <cellStyle name="Normal 45 3 2 2 2" xfId="4762"/>
    <cellStyle name="Normal 45 3 2 2 2 2" xfId="13308"/>
    <cellStyle name="Normal 45 3 2 2 2 3" xfId="19159"/>
    <cellStyle name="Normal 45 3 2 2 3" xfId="13307"/>
    <cellStyle name="Normal 45 3 2 2 4" xfId="19158"/>
    <cellStyle name="Normal 45 3 2 2_LNG &amp; LPG rework" xfId="7444"/>
    <cellStyle name="Normal 45 3 2 3" xfId="4763"/>
    <cellStyle name="Normal 45 3 2 3 2" xfId="13309"/>
    <cellStyle name="Normal 45 3 2 3 3" xfId="19160"/>
    <cellStyle name="Normal 45 3 2 4" xfId="13306"/>
    <cellStyle name="Normal 45 3 2 5" xfId="19157"/>
    <cellStyle name="Normal 45 3 2_LNG &amp; LPG rework" xfId="7443"/>
    <cellStyle name="Normal 45 3 3" xfId="4764"/>
    <cellStyle name="Normal 45 3 3 2" xfId="4765"/>
    <cellStyle name="Normal 45 3 3 2 2" xfId="13311"/>
    <cellStyle name="Normal 45 3 3 2 3" xfId="19162"/>
    <cellStyle name="Normal 45 3 3 3" xfId="13310"/>
    <cellStyle name="Normal 45 3 3 4" xfId="19161"/>
    <cellStyle name="Normal 45 3 3_LNG &amp; LPG rework" xfId="7445"/>
    <cellStyle name="Normal 45 3 4" xfId="4766"/>
    <cellStyle name="Normal 45 3 4 2" xfId="13312"/>
    <cellStyle name="Normal 45 3 4 3" xfId="19163"/>
    <cellStyle name="Normal 45 3 5" xfId="13305"/>
    <cellStyle name="Normal 45 3 6" xfId="19156"/>
    <cellStyle name="Normal 45 3_LNG &amp; LPG rework" xfId="7442"/>
    <cellStyle name="Normal 45 4" xfId="4767"/>
    <cellStyle name="Normal 45 4 2" xfId="4768"/>
    <cellStyle name="Normal 45 4 2 2" xfId="4769"/>
    <cellStyle name="Normal 45 4 2 2 2" xfId="13315"/>
    <cellStyle name="Normal 45 4 2 2 3" xfId="19166"/>
    <cellStyle name="Normal 45 4 2 3" xfId="13314"/>
    <cellStyle name="Normal 45 4 2 4" xfId="19165"/>
    <cellStyle name="Normal 45 4 2_LNG &amp; LPG rework" xfId="7447"/>
    <cellStyle name="Normal 45 4 3" xfId="4770"/>
    <cellStyle name="Normal 45 4 3 2" xfId="13316"/>
    <cellStyle name="Normal 45 4 3 3" xfId="19167"/>
    <cellStyle name="Normal 45 4 4" xfId="13313"/>
    <cellStyle name="Normal 45 4 5" xfId="19164"/>
    <cellStyle name="Normal 45 4_LNG &amp; LPG rework" xfId="7446"/>
    <cellStyle name="Normal 45 5" xfId="4771"/>
    <cellStyle name="Normal 45 5 2" xfId="4772"/>
    <cellStyle name="Normal 45 5 2 2" xfId="13318"/>
    <cellStyle name="Normal 45 5 2 3" xfId="19169"/>
    <cellStyle name="Normal 45 5 3" xfId="13317"/>
    <cellStyle name="Normal 45 5 4" xfId="19168"/>
    <cellStyle name="Normal 45 5_LNG &amp; LPG rework" xfId="7448"/>
    <cellStyle name="Normal 45 6" xfId="4773"/>
    <cellStyle name="Normal 45 6 2" xfId="13319"/>
    <cellStyle name="Normal 45 6 3" xfId="19170"/>
    <cellStyle name="Normal 45 7" xfId="4774"/>
    <cellStyle name="Normal 45 8" xfId="13296"/>
    <cellStyle name="Normal 45 9" xfId="19147"/>
    <cellStyle name="Normal 45_LNG &amp; LPG rework" xfId="7437"/>
    <cellStyle name="Normal 46" xfId="4775"/>
    <cellStyle name="Normal 46 2" xfId="4776"/>
    <cellStyle name="Normal 46 2 2" xfId="4777"/>
    <cellStyle name="Normal 46 2 2 2" xfId="13321"/>
    <cellStyle name="Normal 46 2 2 3" xfId="19172"/>
    <cellStyle name="Normal 46 2 3" xfId="4778"/>
    <cellStyle name="Normal 46 2 3 2" xfId="13322"/>
    <cellStyle name="Normal 46 2 3 3" xfId="19173"/>
    <cellStyle name="Normal 46 2 4" xfId="4779"/>
    <cellStyle name="Normal 46 2 4 2" xfId="13323"/>
    <cellStyle name="Normal 46 2 4 3" xfId="19174"/>
    <cellStyle name="Normal 46 2 5" xfId="4780"/>
    <cellStyle name="Normal 46 2 5 2" xfId="13324"/>
    <cellStyle name="Normal 46 2 5 3" xfId="19175"/>
    <cellStyle name="Normal 46 2 6" xfId="13320"/>
    <cellStyle name="Normal 46 2 7" xfId="19171"/>
    <cellStyle name="Normal 46 2_LNG &amp; LPG rework" xfId="7450"/>
    <cellStyle name="Normal 46 3" xfId="4781"/>
    <cellStyle name="Normal 46 3 2" xfId="4782"/>
    <cellStyle name="Normal 46 3 2 2" xfId="13326"/>
    <cellStyle name="Normal 46 3 2 3" xfId="19177"/>
    <cellStyle name="Normal 46 3 3" xfId="4783"/>
    <cellStyle name="Normal 46 3 3 2" xfId="13327"/>
    <cellStyle name="Normal 46 3 3 3" xfId="19178"/>
    <cellStyle name="Normal 46 3 4" xfId="4784"/>
    <cellStyle name="Normal 46 3 4 2" xfId="13328"/>
    <cellStyle name="Normal 46 3 4 3" xfId="19179"/>
    <cellStyle name="Normal 46 3 5" xfId="4785"/>
    <cellStyle name="Normal 46 3 5 2" xfId="13329"/>
    <cellStyle name="Normal 46 3 5 3" xfId="19180"/>
    <cellStyle name="Normal 46 3 6" xfId="13325"/>
    <cellStyle name="Normal 46 3 7" xfId="19176"/>
    <cellStyle name="Normal 46 3_LNG &amp; LPG rework" xfId="7451"/>
    <cellStyle name="Normal 46 4" xfId="4786"/>
    <cellStyle name="Normal 46 4 2" xfId="13330"/>
    <cellStyle name="Normal 46 4 3" xfId="19181"/>
    <cellStyle name="Normal 46 5" xfId="4787"/>
    <cellStyle name="Normal 46 5 2" xfId="13331"/>
    <cellStyle name="Normal 46 5 3" xfId="19182"/>
    <cellStyle name="Normal 46 6" xfId="4788"/>
    <cellStyle name="Normal 46 6 2" xfId="13332"/>
    <cellStyle name="Normal 46 6 3" xfId="19183"/>
    <cellStyle name="Normal 46 7" xfId="4789"/>
    <cellStyle name="Normal 46 7 2" xfId="13333"/>
    <cellStyle name="Normal 46 7 3" xfId="19184"/>
    <cellStyle name="Normal 46 8" xfId="4790"/>
    <cellStyle name="Normal 46 8 2" xfId="13334"/>
    <cellStyle name="Normal 46 8 3" xfId="19185"/>
    <cellStyle name="Normal 46_LNG &amp; LPG rework" xfId="7449"/>
    <cellStyle name="Normal 47" xfId="4791"/>
    <cellStyle name="Normal 47 2" xfId="4792"/>
    <cellStyle name="Normal 47 2 2" xfId="4793"/>
    <cellStyle name="Normal 47 2 2 2" xfId="13336"/>
    <cellStyle name="Normal 47 2 2 3" xfId="19187"/>
    <cellStyle name="Normal 47 2 3" xfId="4794"/>
    <cellStyle name="Normal 47 2 3 2" xfId="13337"/>
    <cellStyle name="Normal 47 2 3 3" xfId="19188"/>
    <cellStyle name="Normal 47 2 4" xfId="4795"/>
    <cellStyle name="Normal 47 2 4 2" xfId="13338"/>
    <cellStyle name="Normal 47 2 4 3" xfId="19189"/>
    <cellStyle name="Normal 47 2 5" xfId="4796"/>
    <cellStyle name="Normal 47 2 5 2" xfId="13339"/>
    <cellStyle name="Normal 47 2 5 3" xfId="19190"/>
    <cellStyle name="Normal 47 2 6" xfId="13335"/>
    <cellStyle name="Normal 47 2 7" xfId="19186"/>
    <cellStyle name="Normal 47 2_LNG &amp; LPG rework" xfId="7453"/>
    <cellStyle name="Normal 47 3" xfId="4797"/>
    <cellStyle name="Normal 47 3 2" xfId="4798"/>
    <cellStyle name="Normal 47 3 2 2" xfId="13341"/>
    <cellStyle name="Normal 47 3 2 3" xfId="19192"/>
    <cellStyle name="Normal 47 3 3" xfId="4799"/>
    <cellStyle name="Normal 47 3 3 2" xfId="13342"/>
    <cellStyle name="Normal 47 3 3 3" xfId="19193"/>
    <cellStyle name="Normal 47 3 4" xfId="4800"/>
    <cellStyle name="Normal 47 3 4 2" xfId="13343"/>
    <cellStyle name="Normal 47 3 4 3" xfId="19194"/>
    <cellStyle name="Normal 47 3 5" xfId="4801"/>
    <cellStyle name="Normal 47 3 5 2" xfId="13344"/>
    <cellStyle name="Normal 47 3 5 3" xfId="19195"/>
    <cellStyle name="Normal 47 3 6" xfId="13340"/>
    <cellStyle name="Normal 47 3 7" xfId="19191"/>
    <cellStyle name="Normal 47 3_LNG &amp; LPG rework" xfId="7454"/>
    <cellStyle name="Normal 47 4" xfId="4802"/>
    <cellStyle name="Normal 47 4 2" xfId="13345"/>
    <cellStyle name="Normal 47 4 3" xfId="19196"/>
    <cellStyle name="Normal 47 5" xfId="4803"/>
    <cellStyle name="Normal 47 5 2" xfId="13346"/>
    <cellStyle name="Normal 47 5 3" xfId="19197"/>
    <cellStyle name="Normal 47 6" xfId="4804"/>
    <cellStyle name="Normal 47 6 2" xfId="13347"/>
    <cellStyle name="Normal 47 6 3" xfId="19198"/>
    <cellStyle name="Normal 47 7" xfId="4805"/>
    <cellStyle name="Normal 47 7 2" xfId="13348"/>
    <cellStyle name="Normal 47 7 3" xfId="19199"/>
    <cellStyle name="Normal 47 8" xfId="4806"/>
    <cellStyle name="Normal 47 8 2" xfId="13349"/>
    <cellStyle name="Normal 47 8 3" xfId="19200"/>
    <cellStyle name="Normal 47_LNG &amp; LPG rework" xfId="7452"/>
    <cellStyle name="Normal 48" xfId="4807"/>
    <cellStyle name="Normal 48 2" xfId="4808"/>
    <cellStyle name="Normal 48 3" xfId="4809"/>
    <cellStyle name="Normal 48_LNG &amp; LPG rework" xfId="7455"/>
    <cellStyle name="Normal 49" xfId="4810"/>
    <cellStyle name="Normal 49 2" xfId="4811"/>
    <cellStyle name="Normal 49 2 2" xfId="4812"/>
    <cellStyle name="Normal 49 2 2 2" xfId="13351"/>
    <cellStyle name="Normal 49 2 2 3" xfId="19202"/>
    <cellStyle name="Normal 49 2 3" xfId="4813"/>
    <cellStyle name="Normal 49 2 3 2" xfId="13352"/>
    <cellStyle name="Normal 49 2 3 3" xfId="19203"/>
    <cellStyle name="Normal 49 2 4" xfId="4814"/>
    <cellStyle name="Normal 49 2 4 2" xfId="13353"/>
    <cellStyle name="Normal 49 2 4 3" xfId="19204"/>
    <cellStyle name="Normal 49 2 5" xfId="4815"/>
    <cellStyle name="Normal 49 2 5 2" xfId="13354"/>
    <cellStyle name="Normal 49 2 5 3" xfId="19205"/>
    <cellStyle name="Normal 49 2 6" xfId="13350"/>
    <cellStyle name="Normal 49 2 7" xfId="19201"/>
    <cellStyle name="Normal 49 2_LNG &amp; LPG rework" xfId="7457"/>
    <cellStyle name="Normal 49 3" xfId="4816"/>
    <cellStyle name="Normal 49 3 2" xfId="4817"/>
    <cellStyle name="Normal 49 3 2 2" xfId="13356"/>
    <cellStyle name="Normal 49 3 2 3" xfId="19207"/>
    <cellStyle name="Normal 49 3 3" xfId="4818"/>
    <cellStyle name="Normal 49 3 3 2" xfId="13357"/>
    <cellStyle name="Normal 49 3 3 3" xfId="19208"/>
    <cellStyle name="Normal 49 3 4" xfId="4819"/>
    <cellStyle name="Normal 49 3 4 2" xfId="13358"/>
    <cellStyle name="Normal 49 3 4 3" xfId="19209"/>
    <cellStyle name="Normal 49 3 5" xfId="4820"/>
    <cellStyle name="Normal 49 3 5 2" xfId="13359"/>
    <cellStyle name="Normal 49 3 5 3" xfId="19210"/>
    <cellStyle name="Normal 49 3 6" xfId="13355"/>
    <cellStyle name="Normal 49 3 7" xfId="19206"/>
    <cellStyle name="Normal 49 3_LNG &amp; LPG rework" xfId="7458"/>
    <cellStyle name="Normal 49 4" xfId="4821"/>
    <cellStyle name="Normal 49 4 2" xfId="13360"/>
    <cellStyle name="Normal 49 4 3" xfId="19211"/>
    <cellStyle name="Normal 49 5" xfId="4822"/>
    <cellStyle name="Normal 49 5 2" xfId="13361"/>
    <cellStyle name="Normal 49 5 3" xfId="19212"/>
    <cellStyle name="Normal 49 6" xfId="4823"/>
    <cellStyle name="Normal 49 6 2" xfId="13362"/>
    <cellStyle name="Normal 49 6 3" xfId="19213"/>
    <cellStyle name="Normal 49 7" xfId="4824"/>
    <cellStyle name="Normal 49 7 2" xfId="13363"/>
    <cellStyle name="Normal 49 7 3" xfId="19214"/>
    <cellStyle name="Normal 49 8" xfId="4825"/>
    <cellStyle name="Normal 49 8 2" xfId="13364"/>
    <cellStyle name="Normal 49 8 3" xfId="19215"/>
    <cellStyle name="Normal 49_LNG &amp; LPG rework" xfId="7456"/>
    <cellStyle name="Normal 5" xfId="46"/>
    <cellStyle name="Normal 5 2" xfId="139"/>
    <cellStyle name="Normal 5 2 2" xfId="4826"/>
    <cellStyle name="Normal 5 2_Monthly Price Data" xfId="6551"/>
    <cellStyle name="Normal 5 3" xfId="4827"/>
    <cellStyle name="Normal 5 4" xfId="4828"/>
    <cellStyle name="Normal 5 5" xfId="4829"/>
    <cellStyle name="Normal 5 6" xfId="26219"/>
    <cellStyle name="Normal 5 6 2" xfId="39186"/>
    <cellStyle name="Normal 5 7" xfId="39189"/>
    <cellStyle name="Normal 5_2015  Data" xfId="479"/>
    <cellStyle name="Normal 50" xfId="4830"/>
    <cellStyle name="Normal 50 2" xfId="4831"/>
    <cellStyle name="Normal 50 3" xfId="4832"/>
    <cellStyle name="Normal 50_LNG &amp; LPG rework" xfId="7459"/>
    <cellStyle name="Normal 51" xfId="4833"/>
    <cellStyle name="Normal 51 2" xfId="4834"/>
    <cellStyle name="Normal 51 3" xfId="4835"/>
    <cellStyle name="Normal 51_LNG &amp; LPG rework" xfId="7460"/>
    <cellStyle name="Normal 52" xfId="4836"/>
    <cellStyle name="Normal 52 2" xfId="4837"/>
    <cellStyle name="Normal 52 3" xfId="4838"/>
    <cellStyle name="Normal 52_LNG &amp; LPG rework" xfId="7461"/>
    <cellStyle name="Normal 53" xfId="4839"/>
    <cellStyle name="Normal 53 2" xfId="4840"/>
    <cellStyle name="Normal 53 3" xfId="4841"/>
    <cellStyle name="Normal 53_LNG &amp; LPG rework" xfId="7462"/>
    <cellStyle name="Normal 54" xfId="4842"/>
    <cellStyle name="Normal 54 2" xfId="4843"/>
    <cellStyle name="Normal 54 3" xfId="4844"/>
    <cellStyle name="Normal 54_LNG &amp; LPG rework" xfId="7463"/>
    <cellStyle name="Normal 55" xfId="4845"/>
    <cellStyle name="Normal 55 2" xfId="4846"/>
    <cellStyle name="Normal 55 3" xfId="4847"/>
    <cellStyle name="Normal 55_LNG &amp; LPG rework" xfId="7464"/>
    <cellStyle name="Normal 56" xfId="4848"/>
    <cellStyle name="Normal 56 2" xfId="4849"/>
    <cellStyle name="Normal 56 3" xfId="4850"/>
    <cellStyle name="Normal 56_LNG &amp; LPG rework" xfId="7465"/>
    <cellStyle name="Normal 57" xfId="4851"/>
    <cellStyle name="Normal 57 2" xfId="4852"/>
    <cellStyle name="Normal 57_LNG &amp; LPG rework" xfId="7466"/>
    <cellStyle name="Normal 58" xfId="4853"/>
    <cellStyle name="Normal 58 2" xfId="4854"/>
    <cellStyle name="Normal 58_LNG &amp; LPG rework" xfId="7467"/>
    <cellStyle name="Normal 59" xfId="4855"/>
    <cellStyle name="Normal 59 2" xfId="4856"/>
    <cellStyle name="Normal 59 3" xfId="4857"/>
    <cellStyle name="Normal 59_LNG &amp; LPG rework" xfId="7468"/>
    <cellStyle name="Normal 6" xfId="48"/>
    <cellStyle name="Normal 6 2" xfId="141"/>
    <cellStyle name="Normal 6 2 2" xfId="481"/>
    <cellStyle name="Normal 6 2 3" xfId="4858"/>
    <cellStyle name="Normal 6 2 4" xfId="9028"/>
    <cellStyle name="Normal 6 2_Data - Monthly Commodity Prices" xfId="6519"/>
    <cellStyle name="Normal 6 3" xfId="480"/>
    <cellStyle name="Normal 6 4" xfId="4859"/>
    <cellStyle name="Normal 6 5" xfId="4860"/>
    <cellStyle name="Normal 6 6" xfId="4861"/>
    <cellStyle name="Normal 6 6 2" xfId="13365"/>
    <cellStyle name="Normal 6 6 3" xfId="19216"/>
    <cellStyle name="Normal 6 7" xfId="14897"/>
    <cellStyle name="Normal 6 8" xfId="29516"/>
    <cellStyle name="Normal 6_2015  Data" xfId="482"/>
    <cellStyle name="Normal 60" xfId="4862"/>
    <cellStyle name="Normal 60 2" xfId="4863"/>
    <cellStyle name="Normal 60_LNG &amp; LPG rework" xfId="7469"/>
    <cellStyle name="Normal 61" xfId="4864"/>
    <cellStyle name="Normal 61 2" xfId="4865"/>
    <cellStyle name="Normal 61_LNG &amp; LPG rework" xfId="7470"/>
    <cellStyle name="Normal 62" xfId="4866"/>
    <cellStyle name="Normal 62 2" xfId="4867"/>
    <cellStyle name="Normal 62 3" xfId="4868"/>
    <cellStyle name="Normal 62_LNG &amp; LPG rework" xfId="7471"/>
    <cellStyle name="Normal 63" xfId="4869"/>
    <cellStyle name="Normal 63 2" xfId="4870"/>
    <cellStyle name="Normal 63 3" xfId="4871"/>
    <cellStyle name="Normal 63_LNG &amp; LPG rework" xfId="7472"/>
    <cellStyle name="Normal 64" xfId="4872"/>
    <cellStyle name="Normal 64 2" xfId="4873"/>
    <cellStyle name="Normal 64 2 2" xfId="4874"/>
    <cellStyle name="Normal 64 2 2 2" xfId="13367"/>
    <cellStyle name="Normal 64 2 2 3" xfId="19218"/>
    <cellStyle name="Normal 64 2 3" xfId="4875"/>
    <cellStyle name="Normal 64 2 3 2" xfId="13368"/>
    <cellStyle name="Normal 64 2 3 3" xfId="19219"/>
    <cellStyle name="Normal 64 2 4" xfId="4876"/>
    <cellStyle name="Normal 64 2 4 2" xfId="13369"/>
    <cellStyle name="Normal 64 2 4 3" xfId="19220"/>
    <cellStyle name="Normal 64 2 5" xfId="4877"/>
    <cellStyle name="Normal 64 2 5 2" xfId="13370"/>
    <cellStyle name="Normal 64 2 5 3" xfId="19221"/>
    <cellStyle name="Normal 64 2 6" xfId="13366"/>
    <cellStyle name="Normal 64 2 7" xfId="19217"/>
    <cellStyle name="Normal 64 2_LNG &amp; LPG rework" xfId="7474"/>
    <cellStyle name="Normal 64 3" xfId="4878"/>
    <cellStyle name="Normal 64 3 2" xfId="4879"/>
    <cellStyle name="Normal 64 3 2 2" xfId="13372"/>
    <cellStyle name="Normal 64 3 2 3" xfId="19223"/>
    <cellStyle name="Normal 64 3 3" xfId="4880"/>
    <cellStyle name="Normal 64 3 3 2" xfId="13373"/>
    <cellStyle name="Normal 64 3 3 3" xfId="19224"/>
    <cellStyle name="Normal 64 3 4" xfId="4881"/>
    <cellStyle name="Normal 64 3 4 2" xfId="13374"/>
    <cellStyle name="Normal 64 3 4 3" xfId="19225"/>
    <cellStyle name="Normal 64 3 5" xfId="4882"/>
    <cellStyle name="Normal 64 3 5 2" xfId="13375"/>
    <cellStyle name="Normal 64 3 5 3" xfId="19226"/>
    <cellStyle name="Normal 64 3 6" xfId="13371"/>
    <cellStyle name="Normal 64 3 7" xfId="19222"/>
    <cellStyle name="Normal 64 3_LNG &amp; LPG rework" xfId="7475"/>
    <cellStyle name="Normal 64 4" xfId="4883"/>
    <cellStyle name="Normal 64 4 2" xfId="13376"/>
    <cellStyle name="Normal 64 4 3" xfId="19227"/>
    <cellStyle name="Normal 64 5" xfId="4884"/>
    <cellStyle name="Normal 64 5 2" xfId="13377"/>
    <cellStyle name="Normal 64 5 3" xfId="19228"/>
    <cellStyle name="Normal 64 6" xfId="4885"/>
    <cellStyle name="Normal 64 6 2" xfId="13378"/>
    <cellStyle name="Normal 64 6 3" xfId="19229"/>
    <cellStyle name="Normal 64 7" xfId="4886"/>
    <cellStyle name="Normal 64 7 2" xfId="13379"/>
    <cellStyle name="Normal 64 7 3" xfId="19230"/>
    <cellStyle name="Normal 64 8" xfId="4887"/>
    <cellStyle name="Normal 64 8 2" xfId="13380"/>
    <cellStyle name="Normal 64 8 3" xfId="19231"/>
    <cellStyle name="Normal 64_LNG &amp; LPG rework" xfId="7473"/>
    <cellStyle name="Normal 65" xfId="4888"/>
    <cellStyle name="Normal 65 2" xfId="4889"/>
    <cellStyle name="Normal 65 2 2" xfId="4890"/>
    <cellStyle name="Normal 65 2 2 2" xfId="13382"/>
    <cellStyle name="Normal 65 2 2 3" xfId="19233"/>
    <cellStyle name="Normal 65 2 3" xfId="4891"/>
    <cellStyle name="Normal 65 2 3 2" xfId="13383"/>
    <cellStyle name="Normal 65 2 3 3" xfId="19234"/>
    <cellStyle name="Normal 65 2 4" xfId="4892"/>
    <cellStyle name="Normal 65 2 4 2" xfId="13384"/>
    <cellStyle name="Normal 65 2 4 3" xfId="19235"/>
    <cellStyle name="Normal 65 2 5" xfId="4893"/>
    <cellStyle name="Normal 65 2 5 2" xfId="13385"/>
    <cellStyle name="Normal 65 2 5 3" xfId="19236"/>
    <cellStyle name="Normal 65 2 6" xfId="13381"/>
    <cellStyle name="Normal 65 2 7" xfId="19232"/>
    <cellStyle name="Normal 65 2_LNG &amp; LPG rework" xfId="7477"/>
    <cellStyle name="Normal 65 3" xfId="4894"/>
    <cellStyle name="Normal 65 3 2" xfId="4895"/>
    <cellStyle name="Normal 65 3 2 2" xfId="13387"/>
    <cellStyle name="Normal 65 3 2 3" xfId="19238"/>
    <cellStyle name="Normal 65 3 3" xfId="4896"/>
    <cellStyle name="Normal 65 3 3 2" xfId="13388"/>
    <cellStyle name="Normal 65 3 3 3" xfId="19239"/>
    <cellStyle name="Normal 65 3 4" xfId="4897"/>
    <cellStyle name="Normal 65 3 4 2" xfId="13389"/>
    <cellStyle name="Normal 65 3 4 3" xfId="19240"/>
    <cellStyle name="Normal 65 3 5" xfId="4898"/>
    <cellStyle name="Normal 65 3 5 2" xfId="13390"/>
    <cellStyle name="Normal 65 3 5 3" xfId="19241"/>
    <cellStyle name="Normal 65 3 6" xfId="13386"/>
    <cellStyle name="Normal 65 3 7" xfId="19237"/>
    <cellStyle name="Normal 65 3_LNG &amp; LPG rework" xfId="7478"/>
    <cellStyle name="Normal 65 4" xfId="4899"/>
    <cellStyle name="Normal 65 4 2" xfId="13391"/>
    <cellStyle name="Normal 65 4 3" xfId="19242"/>
    <cellStyle name="Normal 65 5" xfId="4900"/>
    <cellStyle name="Normal 65 5 2" xfId="13392"/>
    <cellStyle name="Normal 65 5 3" xfId="19243"/>
    <cellStyle name="Normal 65 6" xfId="4901"/>
    <cellStyle name="Normal 65 6 2" xfId="13393"/>
    <cellStyle name="Normal 65 6 3" xfId="19244"/>
    <cellStyle name="Normal 65 7" xfId="4902"/>
    <cellStyle name="Normal 65 7 2" xfId="13394"/>
    <cellStyle name="Normal 65 7 3" xfId="19245"/>
    <cellStyle name="Normal 65 8" xfId="4903"/>
    <cellStyle name="Normal 65 8 2" xfId="13395"/>
    <cellStyle name="Normal 65 8 3" xfId="19246"/>
    <cellStyle name="Normal 65_LNG &amp; LPG rework" xfId="7476"/>
    <cellStyle name="Normal 66" xfId="4904"/>
    <cellStyle name="Normal 66 2" xfId="4905"/>
    <cellStyle name="Normal 66 2 2" xfId="4906"/>
    <cellStyle name="Normal 66 2 2 2" xfId="13397"/>
    <cellStyle name="Normal 66 2 2 3" xfId="19248"/>
    <cellStyle name="Normal 66 2 3" xfId="4907"/>
    <cellStyle name="Normal 66 2 3 2" xfId="13398"/>
    <cellStyle name="Normal 66 2 3 3" xfId="19249"/>
    <cellStyle name="Normal 66 2 4" xfId="4908"/>
    <cellStyle name="Normal 66 2 4 2" xfId="13399"/>
    <cellStyle name="Normal 66 2 4 3" xfId="19250"/>
    <cellStyle name="Normal 66 2 5" xfId="4909"/>
    <cellStyle name="Normal 66 2 5 2" xfId="13400"/>
    <cellStyle name="Normal 66 2 5 3" xfId="19251"/>
    <cellStyle name="Normal 66 2 6" xfId="13396"/>
    <cellStyle name="Normal 66 2 7" xfId="19247"/>
    <cellStyle name="Normal 66 2_LNG &amp; LPG rework" xfId="7480"/>
    <cellStyle name="Normal 66 3" xfId="4910"/>
    <cellStyle name="Normal 66 3 2" xfId="4911"/>
    <cellStyle name="Normal 66 3 2 2" xfId="13402"/>
    <cellStyle name="Normal 66 3 2 3" xfId="19253"/>
    <cellStyle name="Normal 66 3 3" xfId="4912"/>
    <cellStyle name="Normal 66 3 3 2" xfId="13403"/>
    <cellStyle name="Normal 66 3 3 3" xfId="19254"/>
    <cellStyle name="Normal 66 3 4" xfId="4913"/>
    <cellStyle name="Normal 66 3 4 2" xfId="13404"/>
    <cellStyle name="Normal 66 3 4 3" xfId="19255"/>
    <cellStyle name="Normal 66 3 5" xfId="4914"/>
    <cellStyle name="Normal 66 3 5 2" xfId="13405"/>
    <cellStyle name="Normal 66 3 5 3" xfId="19256"/>
    <cellStyle name="Normal 66 3 6" xfId="13401"/>
    <cellStyle name="Normal 66 3 7" xfId="19252"/>
    <cellStyle name="Normal 66 3_LNG &amp; LPG rework" xfId="7481"/>
    <cellStyle name="Normal 66 4" xfId="4915"/>
    <cellStyle name="Normal 66 4 2" xfId="13406"/>
    <cellStyle name="Normal 66 4 3" xfId="19257"/>
    <cellStyle name="Normal 66 5" xfId="4916"/>
    <cellStyle name="Normal 66 5 2" xfId="13407"/>
    <cellStyle name="Normal 66 5 3" xfId="19258"/>
    <cellStyle name="Normal 66 6" xfId="4917"/>
    <cellStyle name="Normal 66 6 2" xfId="13408"/>
    <cellStyle name="Normal 66 6 3" xfId="19259"/>
    <cellStyle name="Normal 66 7" xfId="4918"/>
    <cellStyle name="Normal 66 7 2" xfId="13409"/>
    <cellStyle name="Normal 66 7 3" xfId="19260"/>
    <cellStyle name="Normal 66 8" xfId="4919"/>
    <cellStyle name="Normal 66 8 2" xfId="13410"/>
    <cellStyle name="Normal 66 8 3" xfId="19261"/>
    <cellStyle name="Normal 66_LNG &amp; LPG rework" xfId="7479"/>
    <cellStyle name="Normal 67" xfId="4920"/>
    <cellStyle name="Normal 67 2" xfId="4921"/>
    <cellStyle name="Normal 67 2 2" xfId="4922"/>
    <cellStyle name="Normal 67 2 2 2" xfId="13412"/>
    <cellStyle name="Normal 67 2 2 3" xfId="19263"/>
    <cellStyle name="Normal 67 2 3" xfId="4923"/>
    <cellStyle name="Normal 67 2 3 2" xfId="13413"/>
    <cellStyle name="Normal 67 2 3 3" xfId="19264"/>
    <cellStyle name="Normal 67 2 4" xfId="4924"/>
    <cellStyle name="Normal 67 2 4 2" xfId="13414"/>
    <cellStyle name="Normal 67 2 4 3" xfId="19265"/>
    <cellStyle name="Normal 67 2 5" xfId="4925"/>
    <cellStyle name="Normal 67 2 5 2" xfId="13415"/>
    <cellStyle name="Normal 67 2 5 3" xfId="19266"/>
    <cellStyle name="Normal 67 2 6" xfId="13411"/>
    <cellStyle name="Normal 67 2 7" xfId="19262"/>
    <cellStyle name="Normal 67 2_LNG &amp; LPG rework" xfId="7483"/>
    <cellStyle name="Normal 67 3" xfId="4926"/>
    <cellStyle name="Normal 67 3 2" xfId="4927"/>
    <cellStyle name="Normal 67 3 2 2" xfId="13417"/>
    <cellStyle name="Normal 67 3 2 3" xfId="19268"/>
    <cellStyle name="Normal 67 3 3" xfId="4928"/>
    <cellStyle name="Normal 67 3 3 2" xfId="13418"/>
    <cellStyle name="Normal 67 3 3 3" xfId="19269"/>
    <cellStyle name="Normal 67 3 4" xfId="4929"/>
    <cellStyle name="Normal 67 3 4 2" xfId="13419"/>
    <cellStyle name="Normal 67 3 4 3" xfId="19270"/>
    <cellStyle name="Normal 67 3 5" xfId="4930"/>
    <cellStyle name="Normal 67 3 5 2" xfId="13420"/>
    <cellStyle name="Normal 67 3 5 3" xfId="19271"/>
    <cellStyle name="Normal 67 3 6" xfId="13416"/>
    <cellStyle name="Normal 67 3 7" xfId="19267"/>
    <cellStyle name="Normal 67 3_LNG &amp; LPG rework" xfId="7484"/>
    <cellStyle name="Normal 67 4" xfId="4931"/>
    <cellStyle name="Normal 67 4 2" xfId="13421"/>
    <cellStyle name="Normal 67 4 3" xfId="19272"/>
    <cellStyle name="Normal 67 5" xfId="4932"/>
    <cellStyle name="Normal 67 5 2" xfId="13422"/>
    <cellStyle name="Normal 67 5 3" xfId="19273"/>
    <cellStyle name="Normal 67 6" xfId="4933"/>
    <cellStyle name="Normal 67 6 2" xfId="13423"/>
    <cellStyle name="Normal 67 6 3" xfId="19274"/>
    <cellStyle name="Normal 67 7" xfId="4934"/>
    <cellStyle name="Normal 67 7 2" xfId="13424"/>
    <cellStyle name="Normal 67 7 3" xfId="19275"/>
    <cellStyle name="Normal 67 8" xfId="4935"/>
    <cellStyle name="Normal 67 8 2" xfId="13425"/>
    <cellStyle name="Normal 67 8 3" xfId="19276"/>
    <cellStyle name="Normal 67_LNG &amp; LPG rework" xfId="7482"/>
    <cellStyle name="Normal 68" xfId="4936"/>
    <cellStyle name="Normal 68 2" xfId="4937"/>
    <cellStyle name="Normal 68_LNG &amp; LPG rework" xfId="7485"/>
    <cellStyle name="Normal 69" xfId="4938"/>
    <cellStyle name="Normal 69 2" xfId="4939"/>
    <cellStyle name="Normal 69_LNG &amp; LPG rework" xfId="7486"/>
    <cellStyle name="Normal 7" xfId="47"/>
    <cellStyle name="Normal 7 2" xfId="155"/>
    <cellStyle name="Normal 7 2 2" xfId="9042"/>
    <cellStyle name="Normal 7 2 3" xfId="7811"/>
    <cellStyle name="Normal 7 3" xfId="483"/>
    <cellStyle name="Normal 7 4" xfId="4940"/>
    <cellStyle name="Normal 7 5" xfId="4941"/>
    <cellStyle name="Normal 7 6" xfId="14911"/>
    <cellStyle name="Normal 7 6 2" xfId="39181"/>
    <cellStyle name="Normal 7 7" xfId="29517"/>
    <cellStyle name="Normal 7_Data - Monthly Commodity Prices" xfId="6389"/>
    <cellStyle name="Normal 70" xfId="4942"/>
    <cellStyle name="Normal 70 2" xfId="4943"/>
    <cellStyle name="Normal 70 2 2" xfId="4944"/>
    <cellStyle name="Normal 70 2 2 2" xfId="13427"/>
    <cellStyle name="Normal 70 2 2 3" xfId="19278"/>
    <cellStyle name="Normal 70 2 3" xfId="4945"/>
    <cellStyle name="Normal 70 2 3 2" xfId="13428"/>
    <cellStyle name="Normal 70 2 3 3" xfId="19279"/>
    <cellStyle name="Normal 70 2 4" xfId="4946"/>
    <cellStyle name="Normal 70 2 4 2" xfId="13429"/>
    <cellStyle name="Normal 70 2 4 3" xfId="19280"/>
    <cellStyle name="Normal 70 2 5" xfId="4947"/>
    <cellStyle name="Normal 70 2 5 2" xfId="13430"/>
    <cellStyle name="Normal 70 2 5 3" xfId="19281"/>
    <cellStyle name="Normal 70 2 6" xfId="13426"/>
    <cellStyle name="Normal 70 2 7" xfId="19277"/>
    <cellStyle name="Normal 70 2_LNG &amp; LPG rework" xfId="7488"/>
    <cellStyle name="Normal 70 3" xfId="4948"/>
    <cellStyle name="Normal 70 3 2" xfId="4949"/>
    <cellStyle name="Normal 70 3 2 2" xfId="13432"/>
    <cellStyle name="Normal 70 3 2 3" xfId="19283"/>
    <cellStyle name="Normal 70 3 3" xfId="4950"/>
    <cellStyle name="Normal 70 3 3 2" xfId="13433"/>
    <cellStyle name="Normal 70 3 3 3" xfId="19284"/>
    <cellStyle name="Normal 70 3 4" xfId="4951"/>
    <cellStyle name="Normal 70 3 4 2" xfId="13434"/>
    <cellStyle name="Normal 70 3 4 3" xfId="19285"/>
    <cellStyle name="Normal 70 3 5" xfId="4952"/>
    <cellStyle name="Normal 70 3 5 2" xfId="13435"/>
    <cellStyle name="Normal 70 3 5 3" xfId="19286"/>
    <cellStyle name="Normal 70 3 6" xfId="13431"/>
    <cellStyle name="Normal 70 3 7" xfId="19282"/>
    <cellStyle name="Normal 70 3_LNG &amp; LPG rework" xfId="7489"/>
    <cellStyle name="Normal 70 4" xfId="4953"/>
    <cellStyle name="Normal 70 4 2" xfId="13436"/>
    <cellStyle name="Normal 70 4 3" xfId="19287"/>
    <cellStyle name="Normal 70 5" xfId="4954"/>
    <cellStyle name="Normal 70 5 2" xfId="13437"/>
    <cellStyle name="Normal 70 5 3" xfId="19288"/>
    <cellStyle name="Normal 70 6" xfId="4955"/>
    <cellStyle name="Normal 70 6 2" xfId="13438"/>
    <cellStyle name="Normal 70 6 3" xfId="19289"/>
    <cellStyle name="Normal 70 7" xfId="4956"/>
    <cellStyle name="Normal 70 7 2" xfId="13439"/>
    <cellStyle name="Normal 70 7 3" xfId="19290"/>
    <cellStyle name="Normal 70 8" xfId="4957"/>
    <cellStyle name="Normal 70 8 2" xfId="13440"/>
    <cellStyle name="Normal 70 8 3" xfId="19291"/>
    <cellStyle name="Normal 70_LNG &amp; LPG rework" xfId="7487"/>
    <cellStyle name="Normal 71" xfId="4958"/>
    <cellStyle name="Normal 71 2" xfId="4959"/>
    <cellStyle name="Normal 71 3" xfId="4960"/>
    <cellStyle name="Normal 71_LNG &amp; LPG rework" xfId="7490"/>
    <cellStyle name="Normal 72" xfId="4961"/>
    <cellStyle name="Normal 72 2" xfId="4962"/>
    <cellStyle name="Normal 72 2 2" xfId="4963"/>
    <cellStyle name="Normal 72 2 2 2" xfId="13442"/>
    <cellStyle name="Normal 72 2 2 3" xfId="19293"/>
    <cellStyle name="Normal 72 2 3" xfId="4964"/>
    <cellStyle name="Normal 72 2 3 2" xfId="13443"/>
    <cellStyle name="Normal 72 2 3 3" xfId="19294"/>
    <cellStyle name="Normal 72 2 4" xfId="4965"/>
    <cellStyle name="Normal 72 2 4 2" xfId="13444"/>
    <cellStyle name="Normal 72 2 4 3" xfId="19295"/>
    <cellStyle name="Normal 72 2 5" xfId="4966"/>
    <cellStyle name="Normal 72 2 5 2" xfId="13445"/>
    <cellStyle name="Normal 72 2 5 3" xfId="19296"/>
    <cellStyle name="Normal 72 2 6" xfId="13441"/>
    <cellStyle name="Normal 72 2 7" xfId="19292"/>
    <cellStyle name="Normal 72 2_LNG &amp; LPG rework" xfId="7492"/>
    <cellStyle name="Normal 72 3" xfId="4967"/>
    <cellStyle name="Normal 72 3 2" xfId="4968"/>
    <cellStyle name="Normal 72 3 2 2" xfId="13447"/>
    <cellStyle name="Normal 72 3 2 3" xfId="19298"/>
    <cellStyle name="Normal 72 3 3" xfId="4969"/>
    <cellStyle name="Normal 72 3 3 2" xfId="13448"/>
    <cellStyle name="Normal 72 3 3 3" xfId="19299"/>
    <cellStyle name="Normal 72 3 4" xfId="4970"/>
    <cellStyle name="Normal 72 3 4 2" xfId="13449"/>
    <cellStyle name="Normal 72 3 4 3" xfId="19300"/>
    <cellStyle name="Normal 72 3 5" xfId="4971"/>
    <cellStyle name="Normal 72 3 5 2" xfId="13450"/>
    <cellStyle name="Normal 72 3 5 3" xfId="19301"/>
    <cellStyle name="Normal 72 3 6" xfId="13446"/>
    <cellStyle name="Normal 72 3 7" xfId="19297"/>
    <cellStyle name="Normal 72 3_LNG &amp; LPG rework" xfId="7493"/>
    <cellStyle name="Normal 72 4" xfId="4972"/>
    <cellStyle name="Normal 72 4 2" xfId="13451"/>
    <cellStyle name="Normal 72 4 3" xfId="19302"/>
    <cellStyle name="Normal 72 5" xfId="4973"/>
    <cellStyle name="Normal 72 5 2" xfId="13452"/>
    <cellStyle name="Normal 72 5 3" xfId="19303"/>
    <cellStyle name="Normal 72 6" xfId="4974"/>
    <cellStyle name="Normal 72 6 2" xfId="13453"/>
    <cellStyle name="Normal 72 6 3" xfId="19304"/>
    <cellStyle name="Normal 72 7" xfId="4975"/>
    <cellStyle name="Normal 72 7 2" xfId="13454"/>
    <cellStyle name="Normal 72 7 3" xfId="19305"/>
    <cellStyle name="Normal 72 8" xfId="4976"/>
    <cellStyle name="Normal 72 8 2" xfId="13455"/>
    <cellStyle name="Normal 72 8 3" xfId="19306"/>
    <cellStyle name="Normal 72_LNG &amp; LPG rework" xfId="7491"/>
    <cellStyle name="Normal 73" xfId="4977"/>
    <cellStyle name="Normal 73 2" xfId="4978"/>
    <cellStyle name="Normal 73 2 2" xfId="4979"/>
    <cellStyle name="Normal 73 2 2 2" xfId="13457"/>
    <cellStyle name="Normal 73 2 2 3" xfId="19308"/>
    <cellStyle name="Normal 73 2 3" xfId="4980"/>
    <cellStyle name="Normal 73 2 3 2" xfId="13458"/>
    <cellStyle name="Normal 73 2 3 3" xfId="19309"/>
    <cellStyle name="Normal 73 2 4" xfId="4981"/>
    <cellStyle name="Normal 73 2 4 2" xfId="13459"/>
    <cellStyle name="Normal 73 2 4 3" xfId="19310"/>
    <cellStyle name="Normal 73 2 5" xfId="4982"/>
    <cellStyle name="Normal 73 2 5 2" xfId="13460"/>
    <cellStyle name="Normal 73 2 5 3" xfId="19311"/>
    <cellStyle name="Normal 73 2 6" xfId="13456"/>
    <cellStyle name="Normal 73 2 7" xfId="19307"/>
    <cellStyle name="Normal 73 2_LNG &amp; LPG rework" xfId="7495"/>
    <cellStyle name="Normal 73 3" xfId="4983"/>
    <cellStyle name="Normal 73 3 2" xfId="4984"/>
    <cellStyle name="Normal 73 3 2 2" xfId="13462"/>
    <cellStyle name="Normal 73 3 2 3" xfId="19313"/>
    <cellStyle name="Normal 73 3 3" xfId="4985"/>
    <cellStyle name="Normal 73 3 3 2" xfId="13463"/>
    <cellStyle name="Normal 73 3 3 3" xfId="19314"/>
    <cellStyle name="Normal 73 3 4" xfId="4986"/>
    <cellStyle name="Normal 73 3 4 2" xfId="13464"/>
    <cellStyle name="Normal 73 3 4 3" xfId="19315"/>
    <cellStyle name="Normal 73 3 5" xfId="4987"/>
    <cellStyle name="Normal 73 3 5 2" xfId="13465"/>
    <cellStyle name="Normal 73 3 5 3" xfId="19316"/>
    <cellStyle name="Normal 73 3 6" xfId="13461"/>
    <cellStyle name="Normal 73 3 7" xfId="19312"/>
    <cellStyle name="Normal 73 3_LNG &amp; LPG rework" xfId="7496"/>
    <cellStyle name="Normal 73 4" xfId="4988"/>
    <cellStyle name="Normal 73 4 2" xfId="13466"/>
    <cellStyle name="Normal 73 4 3" xfId="19317"/>
    <cellStyle name="Normal 73 5" xfId="4989"/>
    <cellStyle name="Normal 73 5 2" xfId="13467"/>
    <cellStyle name="Normal 73 5 3" xfId="19318"/>
    <cellStyle name="Normal 73 6" xfId="4990"/>
    <cellStyle name="Normal 73 6 2" xfId="13468"/>
    <cellStyle name="Normal 73 6 3" xfId="19319"/>
    <cellStyle name="Normal 73 7" xfId="4991"/>
    <cellStyle name="Normal 73 7 2" xfId="13469"/>
    <cellStyle name="Normal 73 7 3" xfId="19320"/>
    <cellStyle name="Normal 73 8" xfId="4992"/>
    <cellStyle name="Normal 73 8 2" xfId="13470"/>
    <cellStyle name="Normal 73 8 3" xfId="19321"/>
    <cellStyle name="Normal 73_LNG &amp; LPG rework" xfId="7494"/>
    <cellStyle name="Normal 74" xfId="4993"/>
    <cellStyle name="Normal 74 2" xfId="4994"/>
    <cellStyle name="Normal 74 2 2" xfId="4995"/>
    <cellStyle name="Normal 74 2 2 2" xfId="13472"/>
    <cellStyle name="Normal 74 2 2 3" xfId="19323"/>
    <cellStyle name="Normal 74 2 3" xfId="4996"/>
    <cellStyle name="Normal 74 2 3 2" xfId="13473"/>
    <cellStyle name="Normal 74 2 3 3" xfId="19324"/>
    <cellStyle name="Normal 74 2 4" xfId="4997"/>
    <cellStyle name="Normal 74 2 4 2" xfId="13474"/>
    <cellStyle name="Normal 74 2 4 3" xfId="19325"/>
    <cellStyle name="Normal 74 2 5" xfId="4998"/>
    <cellStyle name="Normal 74 2 5 2" xfId="13475"/>
    <cellStyle name="Normal 74 2 5 3" xfId="19326"/>
    <cellStyle name="Normal 74 2 6" xfId="13471"/>
    <cellStyle name="Normal 74 2 7" xfId="19322"/>
    <cellStyle name="Normal 74 2_LNG &amp; LPG rework" xfId="7498"/>
    <cellStyle name="Normal 74 3" xfId="4999"/>
    <cellStyle name="Normal 74 3 2" xfId="5000"/>
    <cellStyle name="Normal 74 3 2 2" xfId="13477"/>
    <cellStyle name="Normal 74 3 2 3" xfId="19328"/>
    <cellStyle name="Normal 74 3 3" xfId="5001"/>
    <cellStyle name="Normal 74 3 3 2" xfId="13478"/>
    <cellStyle name="Normal 74 3 3 3" xfId="19329"/>
    <cellStyle name="Normal 74 3 4" xfId="5002"/>
    <cellStyle name="Normal 74 3 4 2" xfId="13479"/>
    <cellStyle name="Normal 74 3 4 3" xfId="19330"/>
    <cellStyle name="Normal 74 3 5" xfId="5003"/>
    <cellStyle name="Normal 74 3 5 2" xfId="13480"/>
    <cellStyle name="Normal 74 3 5 3" xfId="19331"/>
    <cellStyle name="Normal 74 3 6" xfId="13476"/>
    <cellStyle name="Normal 74 3 7" xfId="19327"/>
    <cellStyle name="Normal 74 3_LNG &amp; LPG rework" xfId="7499"/>
    <cellStyle name="Normal 74 4" xfId="5004"/>
    <cellStyle name="Normal 74 4 2" xfId="13481"/>
    <cellStyle name="Normal 74 4 3" xfId="19332"/>
    <cellStyle name="Normal 74 5" xfId="5005"/>
    <cellStyle name="Normal 74 5 2" xfId="13482"/>
    <cellStyle name="Normal 74 5 3" xfId="19333"/>
    <cellStyle name="Normal 74 6" xfId="5006"/>
    <cellStyle name="Normal 74 6 2" xfId="13483"/>
    <cellStyle name="Normal 74 6 3" xfId="19334"/>
    <cellStyle name="Normal 74 7" xfId="5007"/>
    <cellStyle name="Normal 74 7 2" xfId="13484"/>
    <cellStyle name="Normal 74 7 3" xfId="19335"/>
    <cellStyle name="Normal 74 8" xfId="5008"/>
    <cellStyle name="Normal 74 8 2" xfId="13485"/>
    <cellStyle name="Normal 74 8 3" xfId="19336"/>
    <cellStyle name="Normal 74_LNG &amp; LPG rework" xfId="7497"/>
    <cellStyle name="Normal 75" xfId="5009"/>
    <cellStyle name="Normal 75 2" xfId="5010"/>
    <cellStyle name="Normal 75 2 2" xfId="5011"/>
    <cellStyle name="Normal 75 2 2 2" xfId="13487"/>
    <cellStyle name="Normal 75 2 2 3" xfId="19338"/>
    <cellStyle name="Normal 75 2 3" xfId="5012"/>
    <cellStyle name="Normal 75 2 3 2" xfId="13488"/>
    <cellStyle name="Normal 75 2 3 3" xfId="19339"/>
    <cellStyle name="Normal 75 2 4" xfId="5013"/>
    <cellStyle name="Normal 75 2 4 2" xfId="13489"/>
    <cellStyle name="Normal 75 2 4 3" xfId="19340"/>
    <cellStyle name="Normal 75 2 5" xfId="5014"/>
    <cellStyle name="Normal 75 2 5 2" xfId="13490"/>
    <cellStyle name="Normal 75 2 5 3" xfId="19341"/>
    <cellStyle name="Normal 75 2 6" xfId="13486"/>
    <cellStyle name="Normal 75 2 7" xfId="19337"/>
    <cellStyle name="Normal 75 2_LNG &amp; LPG rework" xfId="7501"/>
    <cellStyle name="Normal 75 3" xfId="5015"/>
    <cellStyle name="Normal 75 3 2" xfId="5016"/>
    <cellStyle name="Normal 75 3 2 2" xfId="13492"/>
    <cellStyle name="Normal 75 3 2 3" xfId="19343"/>
    <cellStyle name="Normal 75 3 3" xfId="5017"/>
    <cellStyle name="Normal 75 3 3 2" xfId="13493"/>
    <cellStyle name="Normal 75 3 3 3" xfId="19344"/>
    <cellStyle name="Normal 75 3 4" xfId="5018"/>
    <cellStyle name="Normal 75 3 4 2" xfId="13494"/>
    <cellStyle name="Normal 75 3 4 3" xfId="19345"/>
    <cellStyle name="Normal 75 3 5" xfId="5019"/>
    <cellStyle name="Normal 75 3 5 2" xfId="13495"/>
    <cellStyle name="Normal 75 3 5 3" xfId="19346"/>
    <cellStyle name="Normal 75 3 6" xfId="13491"/>
    <cellStyle name="Normal 75 3 7" xfId="19342"/>
    <cellStyle name="Normal 75 3_LNG &amp; LPG rework" xfId="7502"/>
    <cellStyle name="Normal 75 4" xfId="5020"/>
    <cellStyle name="Normal 75 4 2" xfId="13496"/>
    <cellStyle name="Normal 75 4 3" xfId="19347"/>
    <cellStyle name="Normal 75 5" xfId="5021"/>
    <cellStyle name="Normal 75 5 2" xfId="13497"/>
    <cellStyle name="Normal 75 5 3" xfId="19348"/>
    <cellStyle name="Normal 75 6" xfId="5022"/>
    <cellStyle name="Normal 75 6 2" xfId="13498"/>
    <cellStyle name="Normal 75 6 3" xfId="19349"/>
    <cellStyle name="Normal 75 7" xfId="5023"/>
    <cellStyle name="Normal 75 7 2" xfId="13499"/>
    <cellStyle name="Normal 75 7 3" xfId="19350"/>
    <cellStyle name="Normal 75 8" xfId="5024"/>
    <cellStyle name="Normal 75 8 2" xfId="13500"/>
    <cellStyle name="Normal 75 8 3" xfId="19351"/>
    <cellStyle name="Normal 75_LNG &amp; LPG rework" xfId="7500"/>
    <cellStyle name="Normal 76" xfId="5025"/>
    <cellStyle name="Normal 76 2" xfId="5026"/>
    <cellStyle name="Normal 76 2 2" xfId="5027"/>
    <cellStyle name="Normal 76 2 2 2" xfId="13502"/>
    <cellStyle name="Normal 76 2 2 3" xfId="19353"/>
    <cellStyle name="Normal 76 2 3" xfId="5028"/>
    <cellStyle name="Normal 76 2 3 2" xfId="13503"/>
    <cellStyle name="Normal 76 2 3 3" xfId="19354"/>
    <cellStyle name="Normal 76 2 4" xfId="5029"/>
    <cellStyle name="Normal 76 2 4 2" xfId="13504"/>
    <cellStyle name="Normal 76 2 4 3" xfId="19355"/>
    <cellStyle name="Normal 76 2 5" xfId="5030"/>
    <cellStyle name="Normal 76 2 5 2" xfId="13505"/>
    <cellStyle name="Normal 76 2 5 3" xfId="19356"/>
    <cellStyle name="Normal 76 2 6" xfId="13501"/>
    <cellStyle name="Normal 76 2 7" xfId="19352"/>
    <cellStyle name="Normal 76 2_LNG &amp; LPG rework" xfId="7504"/>
    <cellStyle name="Normal 76 3" xfId="5031"/>
    <cellStyle name="Normal 76 3 2" xfId="5032"/>
    <cellStyle name="Normal 76 3 2 2" xfId="13507"/>
    <cellStyle name="Normal 76 3 2 3" xfId="19358"/>
    <cellStyle name="Normal 76 3 3" xfId="5033"/>
    <cellStyle name="Normal 76 3 3 2" xfId="13508"/>
    <cellStyle name="Normal 76 3 3 3" xfId="19359"/>
    <cellStyle name="Normal 76 3 4" xfId="5034"/>
    <cellStyle name="Normal 76 3 4 2" xfId="13509"/>
    <cellStyle name="Normal 76 3 4 3" xfId="19360"/>
    <cellStyle name="Normal 76 3 5" xfId="5035"/>
    <cellStyle name="Normal 76 3 5 2" xfId="13510"/>
    <cellStyle name="Normal 76 3 5 3" xfId="19361"/>
    <cellStyle name="Normal 76 3 6" xfId="13506"/>
    <cellStyle name="Normal 76 3 7" xfId="19357"/>
    <cellStyle name="Normal 76 3_LNG &amp; LPG rework" xfId="7505"/>
    <cellStyle name="Normal 76 4" xfId="5036"/>
    <cellStyle name="Normal 76 4 2" xfId="13511"/>
    <cellStyle name="Normal 76 4 3" xfId="19362"/>
    <cellStyle name="Normal 76 5" xfId="5037"/>
    <cellStyle name="Normal 76 5 2" xfId="13512"/>
    <cellStyle name="Normal 76 5 3" xfId="19363"/>
    <cellStyle name="Normal 76 6" xfId="5038"/>
    <cellStyle name="Normal 76 6 2" xfId="13513"/>
    <cellStyle name="Normal 76 6 3" xfId="19364"/>
    <cellStyle name="Normal 76 7" xfId="5039"/>
    <cellStyle name="Normal 76 7 2" xfId="13514"/>
    <cellStyle name="Normal 76 7 3" xfId="19365"/>
    <cellStyle name="Normal 76 8" xfId="5040"/>
    <cellStyle name="Normal 76 8 2" xfId="13515"/>
    <cellStyle name="Normal 76 8 3" xfId="19366"/>
    <cellStyle name="Normal 76_LNG &amp; LPG rework" xfId="7503"/>
    <cellStyle name="Normal 77" xfId="5041"/>
    <cellStyle name="Normal 77 2" xfId="5042"/>
    <cellStyle name="Normal 77 2 2" xfId="5043"/>
    <cellStyle name="Normal 77 2 2 2" xfId="13517"/>
    <cellStyle name="Normal 77 2 2 3" xfId="19368"/>
    <cellStyle name="Normal 77 2 3" xfId="5044"/>
    <cellStyle name="Normal 77 2 3 2" xfId="13518"/>
    <cellStyle name="Normal 77 2 3 3" xfId="19369"/>
    <cellStyle name="Normal 77 2 4" xfId="5045"/>
    <cellStyle name="Normal 77 2 4 2" xfId="13519"/>
    <cellStyle name="Normal 77 2 4 3" xfId="19370"/>
    <cellStyle name="Normal 77 2 5" xfId="5046"/>
    <cellStyle name="Normal 77 2 5 2" xfId="13520"/>
    <cellStyle name="Normal 77 2 5 3" xfId="19371"/>
    <cellStyle name="Normal 77 2 6" xfId="13516"/>
    <cellStyle name="Normal 77 2 7" xfId="19367"/>
    <cellStyle name="Normal 77 2_LNG &amp; LPG rework" xfId="7507"/>
    <cellStyle name="Normal 77 3" xfId="5047"/>
    <cellStyle name="Normal 77 3 2" xfId="5048"/>
    <cellStyle name="Normal 77 3 2 2" xfId="13522"/>
    <cellStyle name="Normal 77 3 2 3" xfId="19373"/>
    <cellStyle name="Normal 77 3 3" xfId="5049"/>
    <cellStyle name="Normal 77 3 3 2" xfId="13523"/>
    <cellStyle name="Normal 77 3 3 3" xfId="19374"/>
    <cellStyle name="Normal 77 3 4" xfId="5050"/>
    <cellStyle name="Normal 77 3 4 2" xfId="13524"/>
    <cellStyle name="Normal 77 3 4 3" xfId="19375"/>
    <cellStyle name="Normal 77 3 5" xfId="5051"/>
    <cellStyle name="Normal 77 3 5 2" xfId="13525"/>
    <cellStyle name="Normal 77 3 5 3" xfId="19376"/>
    <cellStyle name="Normal 77 3 6" xfId="13521"/>
    <cellStyle name="Normal 77 3 7" xfId="19372"/>
    <cellStyle name="Normal 77 3_LNG &amp; LPG rework" xfId="7508"/>
    <cellStyle name="Normal 77 4" xfId="5052"/>
    <cellStyle name="Normal 77 4 2" xfId="13526"/>
    <cellStyle name="Normal 77 4 3" xfId="19377"/>
    <cellStyle name="Normal 77 5" xfId="5053"/>
    <cellStyle name="Normal 77 5 2" xfId="13527"/>
    <cellStyle name="Normal 77 5 3" xfId="19378"/>
    <cellStyle name="Normal 77 6" xfId="5054"/>
    <cellStyle name="Normal 77 6 2" xfId="13528"/>
    <cellStyle name="Normal 77 6 3" xfId="19379"/>
    <cellStyle name="Normal 77 7" xfId="5055"/>
    <cellStyle name="Normal 77 7 2" xfId="13529"/>
    <cellStyle name="Normal 77 7 3" xfId="19380"/>
    <cellStyle name="Normal 77 8" xfId="5056"/>
    <cellStyle name="Normal 77 8 2" xfId="13530"/>
    <cellStyle name="Normal 77 8 3" xfId="19381"/>
    <cellStyle name="Normal 77_LNG &amp; LPG rework" xfId="7506"/>
    <cellStyle name="Normal 78" xfId="5057"/>
    <cellStyle name="Normal 78 2" xfId="5058"/>
    <cellStyle name="Normal 78 2 2" xfId="5059"/>
    <cellStyle name="Normal 78 2 2 2" xfId="13532"/>
    <cellStyle name="Normal 78 2 2 3" xfId="19383"/>
    <cellStyle name="Normal 78 2 3" xfId="5060"/>
    <cellStyle name="Normal 78 2 3 2" xfId="13533"/>
    <cellStyle name="Normal 78 2 3 3" xfId="19384"/>
    <cellStyle name="Normal 78 2 4" xfId="5061"/>
    <cellStyle name="Normal 78 2 4 2" xfId="13534"/>
    <cellStyle name="Normal 78 2 4 3" xfId="19385"/>
    <cellStyle name="Normal 78 2 5" xfId="5062"/>
    <cellStyle name="Normal 78 2 5 2" xfId="13535"/>
    <cellStyle name="Normal 78 2 5 3" xfId="19386"/>
    <cellStyle name="Normal 78 2 6" xfId="13531"/>
    <cellStyle name="Normal 78 2 7" xfId="19382"/>
    <cellStyle name="Normal 78 2_LNG &amp; LPG rework" xfId="7510"/>
    <cellStyle name="Normal 78 3" xfId="5063"/>
    <cellStyle name="Normal 78 3 2" xfId="5064"/>
    <cellStyle name="Normal 78 3 2 2" xfId="13537"/>
    <cellStyle name="Normal 78 3 2 3" xfId="19388"/>
    <cellStyle name="Normal 78 3 3" xfId="5065"/>
    <cellStyle name="Normal 78 3 3 2" xfId="13538"/>
    <cellStyle name="Normal 78 3 3 3" xfId="19389"/>
    <cellStyle name="Normal 78 3 4" xfId="5066"/>
    <cellStyle name="Normal 78 3 4 2" xfId="13539"/>
    <cellStyle name="Normal 78 3 4 3" xfId="19390"/>
    <cellStyle name="Normal 78 3 5" xfId="5067"/>
    <cellStyle name="Normal 78 3 5 2" xfId="13540"/>
    <cellStyle name="Normal 78 3 5 3" xfId="19391"/>
    <cellStyle name="Normal 78 3 6" xfId="13536"/>
    <cellStyle name="Normal 78 3 7" xfId="19387"/>
    <cellStyle name="Normal 78 3_LNG &amp; LPG rework" xfId="7511"/>
    <cellStyle name="Normal 78 4" xfId="5068"/>
    <cellStyle name="Normal 78 4 2" xfId="13541"/>
    <cellStyle name="Normal 78 4 3" xfId="19392"/>
    <cellStyle name="Normal 78 5" xfId="5069"/>
    <cellStyle name="Normal 78 5 2" xfId="13542"/>
    <cellStyle name="Normal 78 5 3" xfId="19393"/>
    <cellStyle name="Normal 78 6" xfId="5070"/>
    <cellStyle name="Normal 78 6 2" xfId="13543"/>
    <cellStyle name="Normal 78 6 3" xfId="19394"/>
    <cellStyle name="Normal 78 7" xfId="5071"/>
    <cellStyle name="Normal 78 7 2" xfId="13544"/>
    <cellStyle name="Normal 78 7 3" xfId="19395"/>
    <cellStyle name="Normal 78 8" xfId="5072"/>
    <cellStyle name="Normal 78 8 2" xfId="13545"/>
    <cellStyle name="Normal 78 8 3" xfId="19396"/>
    <cellStyle name="Normal 78_LNG &amp; LPG rework" xfId="7509"/>
    <cellStyle name="Normal 79" xfId="5073"/>
    <cellStyle name="Normal 79 2" xfId="5074"/>
    <cellStyle name="Normal 79 3" xfId="5075"/>
    <cellStyle name="Normal 79_LNG &amp; LPG rework" xfId="7512"/>
    <cellStyle name="Normal 8" xfId="484"/>
    <cellStyle name="Normal 8 10" xfId="8985"/>
    <cellStyle name="Normal 8 11" xfId="14925"/>
    <cellStyle name="Normal 8 12" xfId="7807"/>
    <cellStyle name="Normal 8 12 2" xfId="29518"/>
    <cellStyle name="Normal 8 13" xfId="26205"/>
    <cellStyle name="Normal 8 2" xfId="485"/>
    <cellStyle name="Normal 8 2 2" xfId="5076"/>
    <cellStyle name="Normal 8 2 3" xfId="26213"/>
    <cellStyle name="Normal 8 2_LNG &amp; LPG rework" xfId="7513"/>
    <cellStyle name="Normal 8 3" xfId="5077"/>
    <cellStyle name="Normal 8 4" xfId="5078"/>
    <cellStyle name="Normal 8 5" xfId="5079"/>
    <cellStyle name="Normal 8 6" xfId="5080"/>
    <cellStyle name="Normal 8 7" xfId="5081"/>
    <cellStyle name="Normal 8 7 2" xfId="26214"/>
    <cellStyle name="Normal 8 8" xfId="5082"/>
    <cellStyle name="Normal 8 9" xfId="5083"/>
    <cellStyle name="Normal 8_2015  Data" xfId="486"/>
    <cellStyle name="Normal 80" xfId="5084"/>
    <cellStyle name="Normal 80 2" xfId="5085"/>
    <cellStyle name="Normal 80_LNG &amp; LPG rework" xfId="7514"/>
    <cellStyle name="Normal 81" xfId="5086"/>
    <cellStyle name="Normal 81 2" xfId="5087"/>
    <cellStyle name="Normal 81_LNG &amp; LPG rework" xfId="7515"/>
    <cellStyle name="Normal 82" xfId="5088"/>
    <cellStyle name="Normal 82 2" xfId="5089"/>
    <cellStyle name="Normal 82_LNG &amp; LPG rework" xfId="7516"/>
    <cellStyle name="Normal 83" xfId="5090"/>
    <cellStyle name="Normal 83 2" xfId="5091"/>
    <cellStyle name="Normal 83_LNG &amp; LPG rework" xfId="7517"/>
    <cellStyle name="Normal 84" xfId="5092"/>
    <cellStyle name="Normal 84 2" xfId="5093"/>
    <cellStyle name="Normal 84 2 2" xfId="13546"/>
    <cellStyle name="Normal 84 2 3" xfId="19397"/>
    <cellStyle name="Normal 84 3" xfId="5094"/>
    <cellStyle name="Normal 84 3 2" xfId="13547"/>
    <cellStyle name="Normal 84 3 3" xfId="19398"/>
    <cellStyle name="Normal 84 4" xfId="5095"/>
    <cellStyle name="Normal 84 4 2" xfId="13548"/>
    <cellStyle name="Normal 84 4 3" xfId="19399"/>
    <cellStyle name="Normal 84 5" xfId="5096"/>
    <cellStyle name="Normal 84 5 2" xfId="13549"/>
    <cellStyle name="Normal 84 5 3" xfId="19400"/>
    <cellStyle name="Normal 84 6" xfId="5097"/>
    <cellStyle name="Normal 84 6 2" xfId="13550"/>
    <cellStyle name="Normal 84 6 3" xfId="19401"/>
    <cellStyle name="Normal 84_LNG &amp; LPG rework" xfId="7518"/>
    <cellStyle name="Normal 85" xfId="5098"/>
    <cellStyle name="Normal 85 2" xfId="5099"/>
    <cellStyle name="Normal 85 3" xfId="5100"/>
    <cellStyle name="Normal 85_LNG &amp; LPG rework" xfId="7519"/>
    <cellStyle name="Normal 86" xfId="5101"/>
    <cellStyle name="Normal 86 2" xfId="5102"/>
    <cellStyle name="Normal 86 2 2" xfId="13551"/>
    <cellStyle name="Normal 86 2 3" xfId="19402"/>
    <cellStyle name="Normal 86 3" xfId="5103"/>
    <cellStyle name="Normal 86 3 2" xfId="13552"/>
    <cellStyle name="Normal 86 3 3" xfId="19403"/>
    <cellStyle name="Normal 86 4" xfId="5104"/>
    <cellStyle name="Normal 86 4 2" xfId="13553"/>
    <cellStyle name="Normal 86 4 3" xfId="19404"/>
    <cellStyle name="Normal 86 5" xfId="5105"/>
    <cellStyle name="Normal 86 5 2" xfId="13554"/>
    <cellStyle name="Normal 86 5 3" xfId="19405"/>
    <cellStyle name="Normal 86 6" xfId="5106"/>
    <cellStyle name="Normal 86 6 2" xfId="13555"/>
    <cellStyle name="Normal 86 6 3" xfId="19406"/>
    <cellStyle name="Normal 86_LNG &amp; LPG rework" xfId="7520"/>
    <cellStyle name="Normal 87" xfId="5107"/>
    <cellStyle name="Normal 87 2" xfId="5108"/>
    <cellStyle name="Normal 87 2 2" xfId="13556"/>
    <cellStyle name="Normal 87 2 3" xfId="19407"/>
    <cellStyle name="Normal 87 3" xfId="5109"/>
    <cellStyle name="Normal 87 3 2" xfId="13557"/>
    <cellStyle name="Normal 87 3 3" xfId="19408"/>
    <cellStyle name="Normal 87 4" xfId="5110"/>
    <cellStyle name="Normal 87 4 2" xfId="13558"/>
    <cellStyle name="Normal 87 4 3" xfId="19409"/>
    <cellStyle name="Normal 87 5" xfId="5111"/>
    <cellStyle name="Normal 87 5 2" xfId="13559"/>
    <cellStyle name="Normal 87 5 3" xfId="19410"/>
    <cellStyle name="Normal 87 6" xfId="5112"/>
    <cellStyle name="Normal 87 6 2" xfId="13560"/>
    <cellStyle name="Normal 87 6 3" xfId="19411"/>
    <cellStyle name="Normal 87_LNG &amp; LPG rework" xfId="7521"/>
    <cellStyle name="Normal 88" xfId="5113"/>
    <cellStyle name="Normal 88 2" xfId="5114"/>
    <cellStyle name="Normal 88 3" xfId="5115"/>
    <cellStyle name="Normal 88_LNG &amp; LPG rework" xfId="7522"/>
    <cellStyle name="Normal 89" xfId="5116"/>
    <cellStyle name="Normal 89 2" xfId="5117"/>
    <cellStyle name="Normal 89_LNG &amp; LPG rework" xfId="7523"/>
    <cellStyle name="Normal 9" xfId="487"/>
    <cellStyle name="Normal 9 10" xfId="5118"/>
    <cellStyle name="Normal 9 10 10" xfId="26209"/>
    <cellStyle name="Normal 9 10 2" xfId="5119"/>
    <cellStyle name="Normal 9 10 2 2" xfId="5120"/>
    <cellStyle name="Normal 9 10 2 2 2" xfId="13563"/>
    <cellStyle name="Normal 9 10 2 2 3" xfId="19414"/>
    <cellStyle name="Normal 9 10 2 3" xfId="5121"/>
    <cellStyle name="Normal 9 10 2 3 2" xfId="13564"/>
    <cellStyle name="Normal 9 10 2 3 3" xfId="19415"/>
    <cellStyle name="Normal 9 10 2 4" xfId="5122"/>
    <cellStyle name="Normal 9 10 2 4 2" xfId="13565"/>
    <cellStyle name="Normal 9 10 2 4 3" xfId="19416"/>
    <cellStyle name="Normal 9 10 2 5" xfId="5123"/>
    <cellStyle name="Normal 9 10 2 5 2" xfId="13566"/>
    <cellStyle name="Normal 9 10 2 5 3" xfId="19417"/>
    <cellStyle name="Normal 9 10 2 6" xfId="13562"/>
    <cellStyle name="Normal 9 10 2 7" xfId="19413"/>
    <cellStyle name="Normal 9 10 2_LNG &amp; LPG rework" xfId="7525"/>
    <cellStyle name="Normal 9 10 3" xfId="5124"/>
    <cellStyle name="Normal 9 10 3 2" xfId="5125"/>
    <cellStyle name="Normal 9 10 3 2 2" xfId="13568"/>
    <cellStyle name="Normal 9 10 3 2 3" xfId="19419"/>
    <cellStyle name="Normal 9 10 3 3" xfId="5126"/>
    <cellStyle name="Normal 9 10 3 3 2" xfId="13569"/>
    <cellStyle name="Normal 9 10 3 3 3" xfId="19420"/>
    <cellStyle name="Normal 9 10 3 4" xfId="5127"/>
    <cellStyle name="Normal 9 10 3 4 2" xfId="13570"/>
    <cellStyle name="Normal 9 10 3 4 3" xfId="19421"/>
    <cellStyle name="Normal 9 10 3 5" xfId="5128"/>
    <cellStyle name="Normal 9 10 3 5 2" xfId="13571"/>
    <cellStyle name="Normal 9 10 3 5 3" xfId="19422"/>
    <cellStyle name="Normal 9 10 3 6" xfId="13567"/>
    <cellStyle name="Normal 9 10 3 7" xfId="19418"/>
    <cellStyle name="Normal 9 10 3_LNG &amp; LPG rework" xfId="7526"/>
    <cellStyle name="Normal 9 10 4" xfId="5129"/>
    <cellStyle name="Normal 9 10 4 2" xfId="13572"/>
    <cellStyle name="Normal 9 10 4 3" xfId="19423"/>
    <cellStyle name="Normal 9 10 5" xfId="5130"/>
    <cellStyle name="Normal 9 10 5 2" xfId="13573"/>
    <cellStyle name="Normal 9 10 5 3" xfId="19424"/>
    <cellStyle name="Normal 9 10 6" xfId="5131"/>
    <cellStyle name="Normal 9 10 6 2" xfId="13574"/>
    <cellStyle name="Normal 9 10 6 3" xfId="19425"/>
    <cellStyle name="Normal 9 10 7" xfId="5132"/>
    <cellStyle name="Normal 9 10 7 2" xfId="13575"/>
    <cellStyle name="Normal 9 10 7 3" xfId="19426"/>
    <cellStyle name="Normal 9 10 8" xfId="13561"/>
    <cellStyle name="Normal 9 10 9" xfId="19412"/>
    <cellStyle name="Normal 9 10_LNG &amp; LPG rework" xfId="7524"/>
    <cellStyle name="Normal 9 11" xfId="5133"/>
    <cellStyle name="Normal 9 11 2" xfId="5134"/>
    <cellStyle name="Normal 9 11 2 2" xfId="5135"/>
    <cellStyle name="Normal 9 11 2 2 2" xfId="13578"/>
    <cellStyle name="Normal 9 11 2 2 3" xfId="19429"/>
    <cellStyle name="Normal 9 11 2 3" xfId="5136"/>
    <cellStyle name="Normal 9 11 2 3 2" xfId="13579"/>
    <cellStyle name="Normal 9 11 2 3 3" xfId="19430"/>
    <cellStyle name="Normal 9 11 2 4" xfId="5137"/>
    <cellStyle name="Normal 9 11 2 4 2" xfId="13580"/>
    <cellStyle name="Normal 9 11 2 4 3" xfId="19431"/>
    <cellStyle name="Normal 9 11 2 5" xfId="5138"/>
    <cellStyle name="Normal 9 11 2 5 2" xfId="13581"/>
    <cellStyle name="Normal 9 11 2 5 3" xfId="19432"/>
    <cellStyle name="Normal 9 11 2 6" xfId="13577"/>
    <cellStyle name="Normal 9 11 2 7" xfId="19428"/>
    <cellStyle name="Normal 9 11 2_LNG &amp; LPG rework" xfId="7528"/>
    <cellStyle name="Normal 9 11 3" xfId="5139"/>
    <cellStyle name="Normal 9 11 3 2" xfId="5140"/>
    <cellStyle name="Normal 9 11 3 2 2" xfId="13583"/>
    <cellStyle name="Normal 9 11 3 2 3" xfId="19434"/>
    <cellStyle name="Normal 9 11 3 3" xfId="5141"/>
    <cellStyle name="Normal 9 11 3 3 2" xfId="13584"/>
    <cellStyle name="Normal 9 11 3 3 3" xfId="19435"/>
    <cellStyle name="Normal 9 11 3 4" xfId="5142"/>
    <cellStyle name="Normal 9 11 3 4 2" xfId="13585"/>
    <cellStyle name="Normal 9 11 3 4 3" xfId="19436"/>
    <cellStyle name="Normal 9 11 3 5" xfId="5143"/>
    <cellStyle name="Normal 9 11 3 5 2" xfId="13586"/>
    <cellStyle name="Normal 9 11 3 5 3" xfId="19437"/>
    <cellStyle name="Normal 9 11 3 6" xfId="13582"/>
    <cellStyle name="Normal 9 11 3 7" xfId="19433"/>
    <cellStyle name="Normal 9 11 3_LNG &amp; LPG rework" xfId="7529"/>
    <cellStyle name="Normal 9 11 4" xfId="5144"/>
    <cellStyle name="Normal 9 11 4 2" xfId="13587"/>
    <cellStyle name="Normal 9 11 4 3" xfId="19438"/>
    <cellStyle name="Normal 9 11 5" xfId="5145"/>
    <cellStyle name="Normal 9 11 5 2" xfId="13588"/>
    <cellStyle name="Normal 9 11 5 3" xfId="19439"/>
    <cellStyle name="Normal 9 11 6" xfId="5146"/>
    <cellStyle name="Normal 9 11 6 2" xfId="13589"/>
    <cellStyle name="Normal 9 11 6 3" xfId="19440"/>
    <cellStyle name="Normal 9 11 7" xfId="5147"/>
    <cellStyle name="Normal 9 11 7 2" xfId="13590"/>
    <cellStyle name="Normal 9 11 7 3" xfId="19441"/>
    <cellStyle name="Normal 9 11 8" xfId="13576"/>
    <cellStyle name="Normal 9 11 9" xfId="19427"/>
    <cellStyle name="Normal 9 11_LNG &amp; LPG rework" xfId="7527"/>
    <cellStyle name="Normal 9 12" xfId="5148"/>
    <cellStyle name="Normal 9 12 2" xfId="5149"/>
    <cellStyle name="Normal 9 12 2 2" xfId="5150"/>
    <cellStyle name="Normal 9 12 2 2 2" xfId="13593"/>
    <cellStyle name="Normal 9 12 2 2 3" xfId="19444"/>
    <cellStyle name="Normal 9 12 2 3" xfId="5151"/>
    <cellStyle name="Normal 9 12 2 3 2" xfId="13594"/>
    <cellStyle name="Normal 9 12 2 3 3" xfId="19445"/>
    <cellStyle name="Normal 9 12 2 4" xfId="5152"/>
    <cellStyle name="Normal 9 12 2 4 2" xfId="13595"/>
    <cellStyle name="Normal 9 12 2 4 3" xfId="19446"/>
    <cellStyle name="Normal 9 12 2 5" xfId="5153"/>
    <cellStyle name="Normal 9 12 2 5 2" xfId="13596"/>
    <cellStyle name="Normal 9 12 2 5 3" xfId="19447"/>
    <cellStyle name="Normal 9 12 2 6" xfId="13592"/>
    <cellStyle name="Normal 9 12 2 7" xfId="19443"/>
    <cellStyle name="Normal 9 12 2_LNG &amp; LPG rework" xfId="7531"/>
    <cellStyle name="Normal 9 12 3" xfId="5154"/>
    <cellStyle name="Normal 9 12 3 2" xfId="5155"/>
    <cellStyle name="Normal 9 12 3 2 2" xfId="13598"/>
    <cellStyle name="Normal 9 12 3 2 3" xfId="19449"/>
    <cellStyle name="Normal 9 12 3 3" xfId="5156"/>
    <cellStyle name="Normal 9 12 3 3 2" xfId="13599"/>
    <cellStyle name="Normal 9 12 3 3 3" xfId="19450"/>
    <cellStyle name="Normal 9 12 3 4" xfId="5157"/>
    <cellStyle name="Normal 9 12 3 4 2" xfId="13600"/>
    <cellStyle name="Normal 9 12 3 4 3" xfId="19451"/>
    <cellStyle name="Normal 9 12 3 5" xfId="5158"/>
    <cellStyle name="Normal 9 12 3 5 2" xfId="13601"/>
    <cellStyle name="Normal 9 12 3 5 3" xfId="19452"/>
    <cellStyle name="Normal 9 12 3 6" xfId="13597"/>
    <cellStyle name="Normal 9 12 3 7" xfId="19448"/>
    <cellStyle name="Normal 9 12 3_LNG &amp; LPG rework" xfId="7532"/>
    <cellStyle name="Normal 9 12 4" xfId="5159"/>
    <cellStyle name="Normal 9 12 4 2" xfId="13602"/>
    <cellStyle name="Normal 9 12 4 3" xfId="19453"/>
    <cellStyle name="Normal 9 12 5" xfId="5160"/>
    <cellStyle name="Normal 9 12 5 2" xfId="13603"/>
    <cellStyle name="Normal 9 12 5 3" xfId="19454"/>
    <cellStyle name="Normal 9 12 6" xfId="5161"/>
    <cellStyle name="Normal 9 12 6 2" xfId="13604"/>
    <cellStyle name="Normal 9 12 6 3" xfId="19455"/>
    <cellStyle name="Normal 9 12 7" xfId="5162"/>
    <cellStyle name="Normal 9 12 7 2" xfId="13605"/>
    <cellStyle name="Normal 9 12 7 3" xfId="19456"/>
    <cellStyle name="Normal 9 12 8" xfId="13591"/>
    <cellStyle name="Normal 9 12 9" xfId="19442"/>
    <cellStyle name="Normal 9 12_LNG &amp; LPG rework" xfId="7530"/>
    <cellStyle name="Normal 9 13" xfId="5163"/>
    <cellStyle name="Normal 9 13 2" xfId="5164"/>
    <cellStyle name="Normal 9 13 2 2" xfId="5165"/>
    <cellStyle name="Normal 9 13 2 2 2" xfId="13608"/>
    <cellStyle name="Normal 9 13 2 2 3" xfId="19459"/>
    <cellStyle name="Normal 9 13 2 3" xfId="5166"/>
    <cellStyle name="Normal 9 13 2 3 2" xfId="13609"/>
    <cellStyle name="Normal 9 13 2 3 3" xfId="19460"/>
    <cellStyle name="Normal 9 13 2 4" xfId="5167"/>
    <cellStyle name="Normal 9 13 2 4 2" xfId="13610"/>
    <cellStyle name="Normal 9 13 2 4 3" xfId="19461"/>
    <cellStyle name="Normal 9 13 2 5" xfId="5168"/>
    <cellStyle name="Normal 9 13 2 5 2" xfId="13611"/>
    <cellStyle name="Normal 9 13 2 5 3" xfId="19462"/>
    <cellStyle name="Normal 9 13 2 6" xfId="13607"/>
    <cellStyle name="Normal 9 13 2 7" xfId="19458"/>
    <cellStyle name="Normal 9 13 2_LNG &amp; LPG rework" xfId="7534"/>
    <cellStyle name="Normal 9 13 3" xfId="5169"/>
    <cellStyle name="Normal 9 13 3 2" xfId="5170"/>
    <cellStyle name="Normal 9 13 3 2 2" xfId="13613"/>
    <cellStyle name="Normal 9 13 3 2 3" xfId="19464"/>
    <cellStyle name="Normal 9 13 3 3" xfId="5171"/>
    <cellStyle name="Normal 9 13 3 3 2" xfId="13614"/>
    <cellStyle name="Normal 9 13 3 3 3" xfId="19465"/>
    <cellStyle name="Normal 9 13 3 4" xfId="5172"/>
    <cellStyle name="Normal 9 13 3 4 2" xfId="13615"/>
    <cellStyle name="Normal 9 13 3 4 3" xfId="19466"/>
    <cellStyle name="Normal 9 13 3 5" xfId="5173"/>
    <cellStyle name="Normal 9 13 3 5 2" xfId="13616"/>
    <cellStyle name="Normal 9 13 3 5 3" xfId="19467"/>
    <cellStyle name="Normal 9 13 3 6" xfId="13612"/>
    <cellStyle name="Normal 9 13 3 7" xfId="19463"/>
    <cellStyle name="Normal 9 13 3_LNG &amp; LPG rework" xfId="7535"/>
    <cellStyle name="Normal 9 13 4" xfId="5174"/>
    <cellStyle name="Normal 9 13 4 2" xfId="13617"/>
    <cellStyle name="Normal 9 13 4 3" xfId="19468"/>
    <cellStyle name="Normal 9 13 5" xfId="5175"/>
    <cellStyle name="Normal 9 13 5 2" xfId="13618"/>
    <cellStyle name="Normal 9 13 5 3" xfId="19469"/>
    <cellStyle name="Normal 9 13 6" xfId="5176"/>
    <cellStyle name="Normal 9 13 6 2" xfId="13619"/>
    <cellStyle name="Normal 9 13 6 3" xfId="19470"/>
    <cellStyle name="Normal 9 13 7" xfId="5177"/>
    <cellStyle name="Normal 9 13 7 2" xfId="13620"/>
    <cellStyle name="Normal 9 13 7 3" xfId="19471"/>
    <cellStyle name="Normal 9 13 8" xfId="13606"/>
    <cellStyle name="Normal 9 13 9" xfId="19457"/>
    <cellStyle name="Normal 9 13_LNG &amp; LPG rework" xfId="7533"/>
    <cellStyle name="Normal 9 14" xfId="5178"/>
    <cellStyle name="Normal 9 14 2" xfId="5179"/>
    <cellStyle name="Normal 9 14 2 2" xfId="5180"/>
    <cellStyle name="Normal 9 14 2 2 2" xfId="13623"/>
    <cellStyle name="Normal 9 14 2 2 3" xfId="19474"/>
    <cellStyle name="Normal 9 14 2 3" xfId="5181"/>
    <cellStyle name="Normal 9 14 2 3 2" xfId="13624"/>
    <cellStyle name="Normal 9 14 2 3 3" xfId="19475"/>
    <cellStyle name="Normal 9 14 2 4" xfId="5182"/>
    <cellStyle name="Normal 9 14 2 4 2" xfId="13625"/>
    <cellStyle name="Normal 9 14 2 4 3" xfId="19476"/>
    <cellStyle name="Normal 9 14 2 5" xfId="5183"/>
    <cellStyle name="Normal 9 14 2 5 2" xfId="13626"/>
    <cellStyle name="Normal 9 14 2 5 3" xfId="19477"/>
    <cellStyle name="Normal 9 14 2 6" xfId="13622"/>
    <cellStyle name="Normal 9 14 2 7" xfId="19473"/>
    <cellStyle name="Normal 9 14 2_LNG &amp; LPG rework" xfId="7537"/>
    <cellStyle name="Normal 9 14 3" xfId="5184"/>
    <cellStyle name="Normal 9 14 3 2" xfId="5185"/>
    <cellStyle name="Normal 9 14 3 2 2" xfId="13628"/>
    <cellStyle name="Normal 9 14 3 2 3" xfId="19479"/>
    <cellStyle name="Normal 9 14 3 3" xfId="5186"/>
    <cellStyle name="Normal 9 14 3 3 2" xfId="13629"/>
    <cellStyle name="Normal 9 14 3 3 3" xfId="19480"/>
    <cellStyle name="Normal 9 14 3 4" xfId="5187"/>
    <cellStyle name="Normal 9 14 3 4 2" xfId="13630"/>
    <cellStyle name="Normal 9 14 3 4 3" xfId="19481"/>
    <cellStyle name="Normal 9 14 3 5" xfId="5188"/>
    <cellStyle name="Normal 9 14 3 5 2" xfId="13631"/>
    <cellStyle name="Normal 9 14 3 5 3" xfId="19482"/>
    <cellStyle name="Normal 9 14 3 6" xfId="13627"/>
    <cellStyle name="Normal 9 14 3 7" xfId="19478"/>
    <cellStyle name="Normal 9 14 3_LNG &amp; LPG rework" xfId="7538"/>
    <cellStyle name="Normal 9 14 4" xfId="5189"/>
    <cellStyle name="Normal 9 14 4 2" xfId="13632"/>
    <cellStyle name="Normal 9 14 4 3" xfId="19483"/>
    <cellStyle name="Normal 9 14 5" xfId="5190"/>
    <cellStyle name="Normal 9 14 5 2" xfId="13633"/>
    <cellStyle name="Normal 9 14 5 3" xfId="19484"/>
    <cellStyle name="Normal 9 14 6" xfId="5191"/>
    <cellStyle name="Normal 9 14 6 2" xfId="13634"/>
    <cellStyle name="Normal 9 14 6 3" xfId="19485"/>
    <cellStyle name="Normal 9 14 7" xfId="5192"/>
    <cellStyle name="Normal 9 14 7 2" xfId="13635"/>
    <cellStyle name="Normal 9 14 7 3" xfId="19486"/>
    <cellStyle name="Normal 9 14 8" xfId="13621"/>
    <cellStyle name="Normal 9 14 9" xfId="19472"/>
    <cellStyle name="Normal 9 14_LNG &amp; LPG rework" xfId="7536"/>
    <cellStyle name="Normal 9 15" xfId="5193"/>
    <cellStyle name="Normal 9 15 2" xfId="5194"/>
    <cellStyle name="Normal 9 15 2 2" xfId="5195"/>
    <cellStyle name="Normal 9 15 2 2 2" xfId="13638"/>
    <cellStyle name="Normal 9 15 2 2 3" xfId="19489"/>
    <cellStyle name="Normal 9 15 2 3" xfId="5196"/>
    <cellStyle name="Normal 9 15 2 3 2" xfId="13639"/>
    <cellStyle name="Normal 9 15 2 3 3" xfId="19490"/>
    <cellStyle name="Normal 9 15 2 4" xfId="5197"/>
    <cellStyle name="Normal 9 15 2 4 2" xfId="13640"/>
    <cellStyle name="Normal 9 15 2 4 3" xfId="19491"/>
    <cellStyle name="Normal 9 15 2 5" xfId="5198"/>
    <cellStyle name="Normal 9 15 2 5 2" xfId="13641"/>
    <cellStyle name="Normal 9 15 2 5 3" xfId="19492"/>
    <cellStyle name="Normal 9 15 2 6" xfId="13637"/>
    <cellStyle name="Normal 9 15 2 7" xfId="19488"/>
    <cellStyle name="Normal 9 15 2_LNG &amp; LPG rework" xfId="7540"/>
    <cellStyle name="Normal 9 15 3" xfId="5199"/>
    <cellStyle name="Normal 9 15 3 2" xfId="5200"/>
    <cellStyle name="Normal 9 15 3 2 2" xfId="13643"/>
    <cellStyle name="Normal 9 15 3 2 3" xfId="19494"/>
    <cellStyle name="Normal 9 15 3 3" xfId="5201"/>
    <cellStyle name="Normal 9 15 3 3 2" xfId="13644"/>
    <cellStyle name="Normal 9 15 3 3 3" xfId="19495"/>
    <cellStyle name="Normal 9 15 3 4" xfId="5202"/>
    <cellStyle name="Normal 9 15 3 4 2" xfId="13645"/>
    <cellStyle name="Normal 9 15 3 4 3" xfId="19496"/>
    <cellStyle name="Normal 9 15 3 5" xfId="5203"/>
    <cellStyle name="Normal 9 15 3 5 2" xfId="13646"/>
    <cellStyle name="Normal 9 15 3 5 3" xfId="19497"/>
    <cellStyle name="Normal 9 15 3 6" xfId="13642"/>
    <cellStyle name="Normal 9 15 3 7" xfId="19493"/>
    <cellStyle name="Normal 9 15 3_LNG &amp; LPG rework" xfId="7541"/>
    <cellStyle name="Normal 9 15 4" xfId="5204"/>
    <cellStyle name="Normal 9 15 4 2" xfId="13647"/>
    <cellStyle name="Normal 9 15 4 3" xfId="19498"/>
    <cellStyle name="Normal 9 15 5" xfId="5205"/>
    <cellStyle name="Normal 9 15 5 2" xfId="13648"/>
    <cellStyle name="Normal 9 15 5 3" xfId="19499"/>
    <cellStyle name="Normal 9 15 6" xfId="5206"/>
    <cellStyle name="Normal 9 15 6 2" xfId="13649"/>
    <cellStyle name="Normal 9 15 6 3" xfId="19500"/>
    <cellStyle name="Normal 9 15 7" xfId="5207"/>
    <cellStyle name="Normal 9 15 7 2" xfId="13650"/>
    <cellStyle name="Normal 9 15 7 3" xfId="19501"/>
    <cellStyle name="Normal 9 15 8" xfId="13636"/>
    <cellStyle name="Normal 9 15 9" xfId="19487"/>
    <cellStyle name="Normal 9 15_LNG &amp; LPG rework" xfId="7539"/>
    <cellStyle name="Normal 9 16" xfId="5208"/>
    <cellStyle name="Normal 9 16 2" xfId="5209"/>
    <cellStyle name="Normal 9 16 2 2" xfId="5210"/>
    <cellStyle name="Normal 9 16 2 2 2" xfId="13653"/>
    <cellStyle name="Normal 9 16 2 2 3" xfId="19504"/>
    <cellStyle name="Normal 9 16 2 3" xfId="5211"/>
    <cellStyle name="Normal 9 16 2 3 2" xfId="13654"/>
    <cellStyle name="Normal 9 16 2 3 3" xfId="19505"/>
    <cellStyle name="Normal 9 16 2 4" xfId="5212"/>
    <cellStyle name="Normal 9 16 2 4 2" xfId="13655"/>
    <cellStyle name="Normal 9 16 2 4 3" xfId="19506"/>
    <cellStyle name="Normal 9 16 2 5" xfId="5213"/>
    <cellStyle name="Normal 9 16 2 5 2" xfId="13656"/>
    <cellStyle name="Normal 9 16 2 5 3" xfId="19507"/>
    <cellStyle name="Normal 9 16 2 6" xfId="13652"/>
    <cellStyle name="Normal 9 16 2 7" xfId="19503"/>
    <cellStyle name="Normal 9 16 2_LNG &amp; LPG rework" xfId="7543"/>
    <cellStyle name="Normal 9 16 3" xfId="5214"/>
    <cellStyle name="Normal 9 16 3 2" xfId="5215"/>
    <cellStyle name="Normal 9 16 3 2 2" xfId="13658"/>
    <cellStyle name="Normal 9 16 3 2 3" xfId="19509"/>
    <cellStyle name="Normal 9 16 3 3" xfId="5216"/>
    <cellStyle name="Normal 9 16 3 3 2" xfId="13659"/>
    <cellStyle name="Normal 9 16 3 3 3" xfId="19510"/>
    <cellStyle name="Normal 9 16 3 4" xfId="5217"/>
    <cellStyle name="Normal 9 16 3 4 2" xfId="13660"/>
    <cellStyle name="Normal 9 16 3 4 3" xfId="19511"/>
    <cellStyle name="Normal 9 16 3 5" xfId="5218"/>
    <cellStyle name="Normal 9 16 3 5 2" xfId="13661"/>
    <cellStyle name="Normal 9 16 3 5 3" xfId="19512"/>
    <cellStyle name="Normal 9 16 3 6" xfId="13657"/>
    <cellStyle name="Normal 9 16 3 7" xfId="19508"/>
    <cellStyle name="Normal 9 16 3_LNG &amp; LPG rework" xfId="7544"/>
    <cellStyle name="Normal 9 16 4" xfId="5219"/>
    <cellStyle name="Normal 9 16 4 2" xfId="13662"/>
    <cellStyle name="Normal 9 16 4 3" xfId="19513"/>
    <cellStyle name="Normal 9 16 5" xfId="5220"/>
    <cellStyle name="Normal 9 16 5 2" xfId="13663"/>
    <cellStyle name="Normal 9 16 5 3" xfId="19514"/>
    <cellStyle name="Normal 9 16 6" xfId="5221"/>
    <cellStyle name="Normal 9 16 6 2" xfId="13664"/>
    <cellStyle name="Normal 9 16 6 3" xfId="19515"/>
    <cellStyle name="Normal 9 16 7" xfId="5222"/>
    <cellStyle name="Normal 9 16 7 2" xfId="13665"/>
    <cellStyle name="Normal 9 16 7 3" xfId="19516"/>
    <cellStyle name="Normal 9 16 8" xfId="13651"/>
    <cellStyle name="Normal 9 16 9" xfId="19502"/>
    <cellStyle name="Normal 9 16_LNG &amp; LPG rework" xfId="7542"/>
    <cellStyle name="Normal 9 17" xfId="5223"/>
    <cellStyle name="Normal 9 17 2" xfId="5224"/>
    <cellStyle name="Normal 9 17 2 2" xfId="5225"/>
    <cellStyle name="Normal 9 17 2 2 2" xfId="13668"/>
    <cellStyle name="Normal 9 17 2 2 3" xfId="19519"/>
    <cellStyle name="Normal 9 17 2 3" xfId="5226"/>
    <cellStyle name="Normal 9 17 2 3 2" xfId="13669"/>
    <cellStyle name="Normal 9 17 2 3 3" xfId="19520"/>
    <cellStyle name="Normal 9 17 2 4" xfId="5227"/>
    <cellStyle name="Normal 9 17 2 4 2" xfId="13670"/>
    <cellStyle name="Normal 9 17 2 4 3" xfId="19521"/>
    <cellStyle name="Normal 9 17 2 5" xfId="5228"/>
    <cellStyle name="Normal 9 17 2 5 2" xfId="13671"/>
    <cellStyle name="Normal 9 17 2 5 3" xfId="19522"/>
    <cellStyle name="Normal 9 17 2 6" xfId="13667"/>
    <cellStyle name="Normal 9 17 2 7" xfId="19518"/>
    <cellStyle name="Normal 9 17 2_LNG &amp; LPG rework" xfId="7546"/>
    <cellStyle name="Normal 9 17 3" xfId="5229"/>
    <cellStyle name="Normal 9 17 3 2" xfId="5230"/>
    <cellStyle name="Normal 9 17 3 2 2" xfId="13673"/>
    <cellStyle name="Normal 9 17 3 2 3" xfId="19524"/>
    <cellStyle name="Normal 9 17 3 3" xfId="5231"/>
    <cellStyle name="Normal 9 17 3 3 2" xfId="13674"/>
    <cellStyle name="Normal 9 17 3 3 3" xfId="19525"/>
    <cellStyle name="Normal 9 17 3 4" xfId="5232"/>
    <cellStyle name="Normal 9 17 3 4 2" xfId="13675"/>
    <cellStyle name="Normal 9 17 3 4 3" xfId="19526"/>
    <cellStyle name="Normal 9 17 3 5" xfId="5233"/>
    <cellStyle name="Normal 9 17 3 5 2" xfId="13676"/>
    <cellStyle name="Normal 9 17 3 5 3" xfId="19527"/>
    <cellStyle name="Normal 9 17 3 6" xfId="13672"/>
    <cellStyle name="Normal 9 17 3 7" xfId="19523"/>
    <cellStyle name="Normal 9 17 3_LNG &amp; LPG rework" xfId="7547"/>
    <cellStyle name="Normal 9 17 4" xfId="5234"/>
    <cellStyle name="Normal 9 17 4 2" xfId="13677"/>
    <cellStyle name="Normal 9 17 4 3" xfId="19528"/>
    <cellStyle name="Normal 9 17 5" xfId="5235"/>
    <cellStyle name="Normal 9 17 5 2" xfId="13678"/>
    <cellStyle name="Normal 9 17 5 3" xfId="19529"/>
    <cellStyle name="Normal 9 17 6" xfId="5236"/>
    <cellStyle name="Normal 9 17 6 2" xfId="13679"/>
    <cellStyle name="Normal 9 17 6 3" xfId="19530"/>
    <cellStyle name="Normal 9 17 7" xfId="5237"/>
    <cellStyle name="Normal 9 17 7 2" xfId="13680"/>
    <cellStyle name="Normal 9 17 7 3" xfId="19531"/>
    <cellStyle name="Normal 9 17 8" xfId="13666"/>
    <cellStyle name="Normal 9 17 9" xfId="19517"/>
    <cellStyle name="Normal 9 17_LNG &amp; LPG rework" xfId="7545"/>
    <cellStyle name="Normal 9 18" xfId="5238"/>
    <cellStyle name="Normal 9 18 2" xfId="5239"/>
    <cellStyle name="Normal 9 18 2 2" xfId="5240"/>
    <cellStyle name="Normal 9 18 2 2 2" xfId="13683"/>
    <cellStyle name="Normal 9 18 2 2 3" xfId="19534"/>
    <cellStyle name="Normal 9 18 2 3" xfId="5241"/>
    <cellStyle name="Normal 9 18 2 3 2" xfId="13684"/>
    <cellStyle name="Normal 9 18 2 3 3" xfId="19535"/>
    <cellStyle name="Normal 9 18 2 4" xfId="5242"/>
    <cellStyle name="Normal 9 18 2 4 2" xfId="13685"/>
    <cellStyle name="Normal 9 18 2 4 3" xfId="19536"/>
    <cellStyle name="Normal 9 18 2 5" xfId="5243"/>
    <cellStyle name="Normal 9 18 2 5 2" xfId="13686"/>
    <cellStyle name="Normal 9 18 2 5 3" xfId="19537"/>
    <cellStyle name="Normal 9 18 2 6" xfId="13682"/>
    <cellStyle name="Normal 9 18 2 7" xfId="19533"/>
    <cellStyle name="Normal 9 18 2_LNG &amp; LPG rework" xfId="7549"/>
    <cellStyle name="Normal 9 18 3" xfId="5244"/>
    <cellStyle name="Normal 9 18 3 2" xfId="5245"/>
    <cellStyle name="Normal 9 18 3 2 2" xfId="13688"/>
    <cellStyle name="Normal 9 18 3 2 3" xfId="19539"/>
    <cellStyle name="Normal 9 18 3 3" xfId="5246"/>
    <cellStyle name="Normal 9 18 3 3 2" xfId="13689"/>
    <cellStyle name="Normal 9 18 3 3 3" xfId="19540"/>
    <cellStyle name="Normal 9 18 3 4" xfId="5247"/>
    <cellStyle name="Normal 9 18 3 4 2" xfId="13690"/>
    <cellStyle name="Normal 9 18 3 4 3" xfId="19541"/>
    <cellStyle name="Normal 9 18 3 5" xfId="5248"/>
    <cellStyle name="Normal 9 18 3 5 2" xfId="13691"/>
    <cellStyle name="Normal 9 18 3 5 3" xfId="19542"/>
    <cellStyle name="Normal 9 18 3 6" xfId="13687"/>
    <cellStyle name="Normal 9 18 3 7" xfId="19538"/>
    <cellStyle name="Normal 9 18 3_LNG &amp; LPG rework" xfId="7550"/>
    <cellStyle name="Normal 9 18 4" xfId="5249"/>
    <cellStyle name="Normal 9 18 4 2" xfId="13692"/>
    <cellStyle name="Normal 9 18 4 3" xfId="19543"/>
    <cellStyle name="Normal 9 18 5" xfId="5250"/>
    <cellStyle name="Normal 9 18 5 2" xfId="13693"/>
    <cellStyle name="Normal 9 18 5 3" xfId="19544"/>
    <cellStyle name="Normal 9 18 6" xfId="5251"/>
    <cellStyle name="Normal 9 18 6 2" xfId="13694"/>
    <cellStyle name="Normal 9 18 6 3" xfId="19545"/>
    <cellStyle name="Normal 9 18 7" xfId="5252"/>
    <cellStyle name="Normal 9 18 7 2" xfId="13695"/>
    <cellStyle name="Normal 9 18 7 3" xfId="19546"/>
    <cellStyle name="Normal 9 18 8" xfId="13681"/>
    <cellStyle name="Normal 9 18 9" xfId="19532"/>
    <cellStyle name="Normal 9 18_LNG &amp; LPG rework" xfId="7548"/>
    <cellStyle name="Normal 9 19" xfId="5253"/>
    <cellStyle name="Normal 9 19 2" xfId="5254"/>
    <cellStyle name="Normal 9 19 2 2" xfId="5255"/>
    <cellStyle name="Normal 9 19 2 2 2" xfId="13698"/>
    <cellStyle name="Normal 9 19 2 2 3" xfId="19549"/>
    <cellStyle name="Normal 9 19 2 3" xfId="5256"/>
    <cellStyle name="Normal 9 19 2 3 2" xfId="13699"/>
    <cellStyle name="Normal 9 19 2 3 3" xfId="19550"/>
    <cellStyle name="Normal 9 19 2 4" xfId="5257"/>
    <cellStyle name="Normal 9 19 2 4 2" xfId="13700"/>
    <cellStyle name="Normal 9 19 2 4 3" xfId="19551"/>
    <cellStyle name="Normal 9 19 2 5" xfId="5258"/>
    <cellStyle name="Normal 9 19 2 5 2" xfId="13701"/>
    <cellStyle name="Normal 9 19 2 5 3" xfId="19552"/>
    <cellStyle name="Normal 9 19 2 6" xfId="13697"/>
    <cellStyle name="Normal 9 19 2 7" xfId="19548"/>
    <cellStyle name="Normal 9 19 2_LNG &amp; LPG rework" xfId="7552"/>
    <cellStyle name="Normal 9 19 3" xfId="5259"/>
    <cellStyle name="Normal 9 19 3 2" xfId="5260"/>
    <cellStyle name="Normal 9 19 3 2 2" xfId="13703"/>
    <cellStyle name="Normal 9 19 3 2 3" xfId="19554"/>
    <cellStyle name="Normal 9 19 3 3" xfId="5261"/>
    <cellStyle name="Normal 9 19 3 3 2" xfId="13704"/>
    <cellStyle name="Normal 9 19 3 3 3" xfId="19555"/>
    <cellStyle name="Normal 9 19 3 4" xfId="5262"/>
    <cellStyle name="Normal 9 19 3 4 2" xfId="13705"/>
    <cellStyle name="Normal 9 19 3 4 3" xfId="19556"/>
    <cellStyle name="Normal 9 19 3 5" xfId="5263"/>
    <cellStyle name="Normal 9 19 3 5 2" xfId="13706"/>
    <cellStyle name="Normal 9 19 3 5 3" xfId="19557"/>
    <cellStyle name="Normal 9 19 3 6" xfId="13702"/>
    <cellStyle name="Normal 9 19 3 7" xfId="19553"/>
    <cellStyle name="Normal 9 19 3_LNG &amp; LPG rework" xfId="7553"/>
    <cellStyle name="Normal 9 19 4" xfId="5264"/>
    <cellStyle name="Normal 9 19 4 2" xfId="13707"/>
    <cellStyle name="Normal 9 19 4 3" xfId="19558"/>
    <cellStyle name="Normal 9 19 5" xfId="5265"/>
    <cellStyle name="Normal 9 19 5 2" xfId="13708"/>
    <cellStyle name="Normal 9 19 5 3" xfId="19559"/>
    <cellStyle name="Normal 9 19 6" xfId="5266"/>
    <cellStyle name="Normal 9 19 6 2" xfId="13709"/>
    <cellStyle name="Normal 9 19 6 3" xfId="19560"/>
    <cellStyle name="Normal 9 19 7" xfId="5267"/>
    <cellStyle name="Normal 9 19 7 2" xfId="13710"/>
    <cellStyle name="Normal 9 19 7 3" xfId="19561"/>
    <cellStyle name="Normal 9 19 8" xfId="13696"/>
    <cellStyle name="Normal 9 19 9" xfId="19547"/>
    <cellStyle name="Normal 9 19_LNG &amp; LPG rework" xfId="7551"/>
    <cellStyle name="Normal 9 2" xfId="488"/>
    <cellStyle name="Normal 9 2 10" xfId="5268"/>
    <cellStyle name="Normal 9 2 10 2" xfId="13711"/>
    <cellStyle name="Normal 9 2 10 3" xfId="19563"/>
    <cellStyle name="Normal 9 2 11" xfId="5269"/>
    <cellStyle name="Normal 9 2 11 2" xfId="13712"/>
    <cellStyle name="Normal 9 2 11 3" xfId="19564"/>
    <cellStyle name="Normal 9 2 12" xfId="9308"/>
    <cellStyle name="Normal 9 2 13" xfId="19562"/>
    <cellStyle name="Normal 9 2 2" xfId="489"/>
    <cellStyle name="Normal 9 2 2 10" xfId="5270"/>
    <cellStyle name="Normal 9 2 2 10 2" xfId="13713"/>
    <cellStyle name="Normal 9 2 2 10 3" xfId="19566"/>
    <cellStyle name="Normal 9 2 2 11" xfId="9309"/>
    <cellStyle name="Normal 9 2 2 12" xfId="19565"/>
    <cellStyle name="Normal 9 2 2 2" xfId="490"/>
    <cellStyle name="Normal 9 2 2 2 10" xfId="19567"/>
    <cellStyle name="Normal 9 2 2 2 2" xfId="491"/>
    <cellStyle name="Normal 9 2 2 2 2 2" xfId="5271"/>
    <cellStyle name="Normal 9 2 2 2 2 2 2" xfId="13714"/>
    <cellStyle name="Normal 9 2 2 2 2 2 3" xfId="19569"/>
    <cellStyle name="Normal 9 2 2 2 2 3" xfId="5272"/>
    <cellStyle name="Normal 9 2 2 2 2 3 2" xfId="13715"/>
    <cellStyle name="Normal 9 2 2 2 2 3 3" xfId="19570"/>
    <cellStyle name="Normal 9 2 2 2 2 4" xfId="5273"/>
    <cellStyle name="Normal 9 2 2 2 2 4 2" xfId="13716"/>
    <cellStyle name="Normal 9 2 2 2 2 4 3" xfId="19571"/>
    <cellStyle name="Normal 9 2 2 2 2 5" xfId="5274"/>
    <cellStyle name="Normal 9 2 2 2 2 5 2" xfId="13717"/>
    <cellStyle name="Normal 9 2 2 2 2 5 3" xfId="19572"/>
    <cellStyle name="Normal 9 2 2 2 2 6" xfId="5275"/>
    <cellStyle name="Normal 9 2 2 2 2 6 2" xfId="13718"/>
    <cellStyle name="Normal 9 2 2 2 2 6 3" xfId="19573"/>
    <cellStyle name="Normal 9 2 2 2 2 7" xfId="9311"/>
    <cellStyle name="Normal 9 2 2 2 2 8" xfId="19568"/>
    <cellStyle name="Normal 9 2 2 2 2_LNG &amp; LPG rework" xfId="7557"/>
    <cellStyle name="Normal 9 2 2 2 3" xfId="5276"/>
    <cellStyle name="Normal 9 2 2 2 3 2" xfId="5277"/>
    <cellStyle name="Normal 9 2 2 2 3 2 2" xfId="13720"/>
    <cellStyle name="Normal 9 2 2 2 3 2 3" xfId="19575"/>
    <cellStyle name="Normal 9 2 2 2 3 3" xfId="5278"/>
    <cellStyle name="Normal 9 2 2 2 3 3 2" xfId="13721"/>
    <cellStyle name="Normal 9 2 2 2 3 3 3" xfId="19576"/>
    <cellStyle name="Normal 9 2 2 2 3 4" xfId="5279"/>
    <cellStyle name="Normal 9 2 2 2 3 4 2" xfId="13722"/>
    <cellStyle name="Normal 9 2 2 2 3 4 3" xfId="19577"/>
    <cellStyle name="Normal 9 2 2 2 3 5" xfId="5280"/>
    <cellStyle name="Normal 9 2 2 2 3 5 2" xfId="13723"/>
    <cellStyle name="Normal 9 2 2 2 3 5 3" xfId="19578"/>
    <cellStyle name="Normal 9 2 2 2 3 6" xfId="13719"/>
    <cellStyle name="Normal 9 2 2 2 3 7" xfId="19574"/>
    <cellStyle name="Normal 9 2 2 2 3_LNG &amp; LPG rework" xfId="7558"/>
    <cellStyle name="Normal 9 2 2 2 4" xfId="5281"/>
    <cellStyle name="Normal 9 2 2 2 4 2" xfId="13724"/>
    <cellStyle name="Normal 9 2 2 2 4 3" xfId="19579"/>
    <cellStyle name="Normal 9 2 2 2 5" xfId="5282"/>
    <cellStyle name="Normal 9 2 2 2 5 2" xfId="13725"/>
    <cellStyle name="Normal 9 2 2 2 5 3" xfId="19580"/>
    <cellStyle name="Normal 9 2 2 2 6" xfId="5283"/>
    <cellStyle name="Normal 9 2 2 2 6 2" xfId="13726"/>
    <cellStyle name="Normal 9 2 2 2 6 3" xfId="19581"/>
    <cellStyle name="Normal 9 2 2 2 7" xfId="5284"/>
    <cellStyle name="Normal 9 2 2 2 7 2" xfId="13727"/>
    <cellStyle name="Normal 9 2 2 2 7 3" xfId="19582"/>
    <cellStyle name="Normal 9 2 2 2 8" xfId="5285"/>
    <cellStyle name="Normal 9 2 2 2 8 2" xfId="13728"/>
    <cellStyle name="Normal 9 2 2 2 8 3" xfId="19583"/>
    <cellStyle name="Normal 9 2 2 2 9" xfId="9310"/>
    <cellStyle name="Normal 9 2 2 2_LNG &amp; LPG rework" xfId="7556"/>
    <cellStyle name="Normal 9 2 2 3" xfId="492"/>
    <cellStyle name="Normal 9 2 2 3 2" xfId="5286"/>
    <cellStyle name="Normal 9 2 2 3 2 2" xfId="13729"/>
    <cellStyle name="Normal 9 2 2 3 2 3" xfId="19585"/>
    <cellStyle name="Normal 9 2 2 3 3" xfId="5287"/>
    <cellStyle name="Normal 9 2 2 3 3 2" xfId="13730"/>
    <cellStyle name="Normal 9 2 2 3 3 3" xfId="19586"/>
    <cellStyle name="Normal 9 2 2 3 4" xfId="5288"/>
    <cellStyle name="Normal 9 2 2 3 4 2" xfId="13731"/>
    <cellStyle name="Normal 9 2 2 3 4 3" xfId="19587"/>
    <cellStyle name="Normal 9 2 2 3 5" xfId="5289"/>
    <cellStyle name="Normal 9 2 2 3 5 2" xfId="13732"/>
    <cellStyle name="Normal 9 2 2 3 5 3" xfId="19588"/>
    <cellStyle name="Normal 9 2 2 3 6" xfId="5290"/>
    <cellStyle name="Normal 9 2 2 3 6 2" xfId="13733"/>
    <cellStyle name="Normal 9 2 2 3 6 3" xfId="19589"/>
    <cellStyle name="Normal 9 2 2 3 7" xfId="9312"/>
    <cellStyle name="Normal 9 2 2 3 8" xfId="19584"/>
    <cellStyle name="Normal 9 2 2 3_LNG &amp; LPG rework" xfId="7559"/>
    <cellStyle name="Normal 9 2 2 4" xfId="5291"/>
    <cellStyle name="Normal 9 2 2 4 2" xfId="5292"/>
    <cellStyle name="Normal 9 2 2 4 2 2" xfId="13735"/>
    <cellStyle name="Normal 9 2 2 4 2 3" xfId="19591"/>
    <cellStyle name="Normal 9 2 2 4 3" xfId="5293"/>
    <cellStyle name="Normal 9 2 2 4 3 2" xfId="13736"/>
    <cellStyle name="Normal 9 2 2 4 3 3" xfId="19592"/>
    <cellStyle name="Normal 9 2 2 4 4" xfId="5294"/>
    <cellStyle name="Normal 9 2 2 4 4 2" xfId="13737"/>
    <cellStyle name="Normal 9 2 2 4 4 3" xfId="19593"/>
    <cellStyle name="Normal 9 2 2 4 5" xfId="5295"/>
    <cellStyle name="Normal 9 2 2 4 5 2" xfId="13738"/>
    <cellStyle name="Normal 9 2 2 4 5 3" xfId="19594"/>
    <cellStyle name="Normal 9 2 2 4 6" xfId="13734"/>
    <cellStyle name="Normal 9 2 2 4 7" xfId="19590"/>
    <cellStyle name="Normal 9 2 2 4_LNG &amp; LPG rework" xfId="7560"/>
    <cellStyle name="Normal 9 2 2 5" xfId="5296"/>
    <cellStyle name="Normal 9 2 2 5 2" xfId="5297"/>
    <cellStyle name="Normal 9 2 2 5 2 2" xfId="13740"/>
    <cellStyle name="Normal 9 2 2 5 2 3" xfId="19596"/>
    <cellStyle name="Normal 9 2 2 5 3" xfId="5298"/>
    <cellStyle name="Normal 9 2 2 5 3 2" xfId="13741"/>
    <cellStyle name="Normal 9 2 2 5 3 3" xfId="19597"/>
    <cellStyle name="Normal 9 2 2 5 4" xfId="5299"/>
    <cellStyle name="Normal 9 2 2 5 4 2" xfId="13742"/>
    <cellStyle name="Normal 9 2 2 5 4 3" xfId="19598"/>
    <cellStyle name="Normal 9 2 2 5 5" xfId="5300"/>
    <cellStyle name="Normal 9 2 2 5 5 2" xfId="13743"/>
    <cellStyle name="Normal 9 2 2 5 5 3" xfId="19599"/>
    <cellStyle name="Normal 9 2 2 5 6" xfId="13739"/>
    <cellStyle name="Normal 9 2 2 5 7" xfId="19595"/>
    <cellStyle name="Normal 9 2 2 5_LNG &amp; LPG rework" xfId="7561"/>
    <cellStyle name="Normal 9 2 2 6" xfId="5301"/>
    <cellStyle name="Normal 9 2 2 6 2" xfId="13744"/>
    <cellStyle name="Normal 9 2 2 6 3" xfId="19600"/>
    <cellStyle name="Normal 9 2 2 7" xfId="5302"/>
    <cellStyle name="Normal 9 2 2 7 2" xfId="13745"/>
    <cellStyle name="Normal 9 2 2 7 3" xfId="19601"/>
    <cellStyle name="Normal 9 2 2 8" xfId="5303"/>
    <cellStyle name="Normal 9 2 2 8 2" xfId="13746"/>
    <cellStyle name="Normal 9 2 2 8 3" xfId="19602"/>
    <cellStyle name="Normal 9 2 2 9" xfId="5304"/>
    <cellStyle name="Normal 9 2 2 9 2" xfId="13747"/>
    <cellStyle name="Normal 9 2 2 9 3" xfId="19603"/>
    <cellStyle name="Normal 9 2 2_LNG &amp; LPG rework" xfId="7555"/>
    <cellStyle name="Normal 9 2 3" xfId="493"/>
    <cellStyle name="Normal 9 2 3 10" xfId="19604"/>
    <cellStyle name="Normal 9 2 3 2" xfId="494"/>
    <cellStyle name="Normal 9 2 3 2 2" xfId="5305"/>
    <cellStyle name="Normal 9 2 3 2 2 2" xfId="13748"/>
    <cellStyle name="Normal 9 2 3 2 2 3" xfId="19606"/>
    <cellStyle name="Normal 9 2 3 2 3" xfId="5306"/>
    <cellStyle name="Normal 9 2 3 2 3 2" xfId="13749"/>
    <cellStyle name="Normal 9 2 3 2 3 3" xfId="19607"/>
    <cellStyle name="Normal 9 2 3 2 4" xfId="5307"/>
    <cellStyle name="Normal 9 2 3 2 4 2" xfId="13750"/>
    <cellStyle name="Normal 9 2 3 2 4 3" xfId="19608"/>
    <cellStyle name="Normal 9 2 3 2 5" xfId="5308"/>
    <cellStyle name="Normal 9 2 3 2 5 2" xfId="13751"/>
    <cellStyle name="Normal 9 2 3 2 5 3" xfId="19609"/>
    <cellStyle name="Normal 9 2 3 2 6" xfId="5309"/>
    <cellStyle name="Normal 9 2 3 2 6 2" xfId="13752"/>
    <cellStyle name="Normal 9 2 3 2 6 3" xfId="19610"/>
    <cellStyle name="Normal 9 2 3 2 7" xfId="9314"/>
    <cellStyle name="Normal 9 2 3 2 8" xfId="19605"/>
    <cellStyle name="Normal 9 2 3 2_LNG &amp; LPG rework" xfId="7563"/>
    <cellStyle name="Normal 9 2 3 3" xfId="5310"/>
    <cellStyle name="Normal 9 2 3 3 2" xfId="5311"/>
    <cellStyle name="Normal 9 2 3 3 2 2" xfId="13754"/>
    <cellStyle name="Normal 9 2 3 3 2 3" xfId="19612"/>
    <cellStyle name="Normal 9 2 3 3 3" xfId="5312"/>
    <cellStyle name="Normal 9 2 3 3 3 2" xfId="13755"/>
    <cellStyle name="Normal 9 2 3 3 3 3" xfId="19613"/>
    <cellStyle name="Normal 9 2 3 3 4" xfId="5313"/>
    <cellStyle name="Normal 9 2 3 3 4 2" xfId="13756"/>
    <cellStyle name="Normal 9 2 3 3 4 3" xfId="19614"/>
    <cellStyle name="Normal 9 2 3 3 5" xfId="5314"/>
    <cellStyle name="Normal 9 2 3 3 5 2" xfId="13757"/>
    <cellStyle name="Normal 9 2 3 3 5 3" xfId="19615"/>
    <cellStyle name="Normal 9 2 3 3 6" xfId="13753"/>
    <cellStyle name="Normal 9 2 3 3 7" xfId="19611"/>
    <cellStyle name="Normal 9 2 3 3_LNG &amp; LPG rework" xfId="7564"/>
    <cellStyle name="Normal 9 2 3 4" xfId="5315"/>
    <cellStyle name="Normal 9 2 3 4 2" xfId="13758"/>
    <cellStyle name="Normal 9 2 3 4 3" xfId="19616"/>
    <cellStyle name="Normal 9 2 3 5" xfId="5316"/>
    <cellStyle name="Normal 9 2 3 5 2" xfId="13759"/>
    <cellStyle name="Normal 9 2 3 5 3" xfId="19617"/>
    <cellStyle name="Normal 9 2 3 6" xfId="5317"/>
    <cellStyle name="Normal 9 2 3 6 2" xfId="13760"/>
    <cellStyle name="Normal 9 2 3 6 3" xfId="19618"/>
    <cellStyle name="Normal 9 2 3 7" xfId="5318"/>
    <cellStyle name="Normal 9 2 3 7 2" xfId="13761"/>
    <cellStyle name="Normal 9 2 3 7 3" xfId="19619"/>
    <cellStyle name="Normal 9 2 3 8" xfId="5319"/>
    <cellStyle name="Normal 9 2 3 8 2" xfId="13762"/>
    <cellStyle name="Normal 9 2 3 8 3" xfId="19620"/>
    <cellStyle name="Normal 9 2 3 9" xfId="9313"/>
    <cellStyle name="Normal 9 2 3_LNG &amp; LPG rework" xfId="7562"/>
    <cellStyle name="Normal 9 2 4" xfId="495"/>
    <cellStyle name="Normal 9 2 4 2" xfId="5320"/>
    <cellStyle name="Normal 9 2 4 2 2" xfId="13763"/>
    <cellStyle name="Normal 9 2 4 2 3" xfId="19622"/>
    <cellStyle name="Normal 9 2 4 3" xfId="5321"/>
    <cellStyle name="Normal 9 2 4 3 2" xfId="13764"/>
    <cellStyle name="Normal 9 2 4 3 3" xfId="19623"/>
    <cellStyle name="Normal 9 2 4 4" xfId="5322"/>
    <cellStyle name="Normal 9 2 4 4 2" xfId="13765"/>
    <cellStyle name="Normal 9 2 4 4 3" xfId="19624"/>
    <cellStyle name="Normal 9 2 4 5" xfId="5323"/>
    <cellStyle name="Normal 9 2 4 5 2" xfId="13766"/>
    <cellStyle name="Normal 9 2 4 5 3" xfId="19625"/>
    <cellStyle name="Normal 9 2 4 6" xfId="5324"/>
    <cellStyle name="Normal 9 2 4 6 2" xfId="13767"/>
    <cellStyle name="Normal 9 2 4 6 3" xfId="19626"/>
    <cellStyle name="Normal 9 2 4 7" xfId="9315"/>
    <cellStyle name="Normal 9 2 4 8" xfId="19621"/>
    <cellStyle name="Normal 9 2 4_LNG &amp; LPG rework" xfId="7565"/>
    <cellStyle name="Normal 9 2 5" xfId="5325"/>
    <cellStyle name="Normal 9 2 5 2" xfId="5326"/>
    <cellStyle name="Normal 9 2 5 2 2" xfId="13769"/>
    <cellStyle name="Normal 9 2 5 2 3" xfId="19628"/>
    <cellStyle name="Normal 9 2 5 3" xfId="5327"/>
    <cellStyle name="Normal 9 2 5 3 2" xfId="13770"/>
    <cellStyle name="Normal 9 2 5 3 3" xfId="19629"/>
    <cellStyle name="Normal 9 2 5 4" xfId="5328"/>
    <cellStyle name="Normal 9 2 5 4 2" xfId="13771"/>
    <cellStyle name="Normal 9 2 5 4 3" xfId="19630"/>
    <cellStyle name="Normal 9 2 5 5" xfId="5329"/>
    <cellStyle name="Normal 9 2 5 5 2" xfId="13772"/>
    <cellStyle name="Normal 9 2 5 5 3" xfId="19631"/>
    <cellStyle name="Normal 9 2 5 6" xfId="13768"/>
    <cellStyle name="Normal 9 2 5 7" xfId="19627"/>
    <cellStyle name="Normal 9 2 5_LNG &amp; LPG rework" xfId="7566"/>
    <cellStyle name="Normal 9 2 6" xfId="5330"/>
    <cellStyle name="Normal 9 2 6 2" xfId="5331"/>
    <cellStyle name="Normal 9 2 6 2 2" xfId="13774"/>
    <cellStyle name="Normal 9 2 6 2 3" xfId="19633"/>
    <cellStyle name="Normal 9 2 6 3" xfId="5332"/>
    <cellStyle name="Normal 9 2 6 3 2" xfId="13775"/>
    <cellStyle name="Normal 9 2 6 3 3" xfId="19634"/>
    <cellStyle name="Normal 9 2 6 4" xfId="5333"/>
    <cellStyle name="Normal 9 2 6 4 2" xfId="13776"/>
    <cellStyle name="Normal 9 2 6 4 3" xfId="19635"/>
    <cellStyle name="Normal 9 2 6 5" xfId="5334"/>
    <cellStyle name="Normal 9 2 6 5 2" xfId="13777"/>
    <cellStyle name="Normal 9 2 6 5 3" xfId="19636"/>
    <cellStyle name="Normal 9 2 6 6" xfId="13773"/>
    <cellStyle name="Normal 9 2 6 7" xfId="19632"/>
    <cellStyle name="Normal 9 2 6_LNG &amp; LPG rework" xfId="7567"/>
    <cellStyle name="Normal 9 2 7" xfId="5335"/>
    <cellStyle name="Normal 9 2 7 2" xfId="13778"/>
    <cellStyle name="Normal 9 2 7 3" xfId="19637"/>
    <cellStyle name="Normal 9 2 8" xfId="5336"/>
    <cellStyle name="Normal 9 2 8 2" xfId="13779"/>
    <cellStyle name="Normal 9 2 8 3" xfId="19638"/>
    <cellStyle name="Normal 9 2 9" xfId="5337"/>
    <cellStyle name="Normal 9 2 9 2" xfId="13780"/>
    <cellStyle name="Normal 9 2 9 3" xfId="19639"/>
    <cellStyle name="Normal 9 2_LNG &amp; LPG rework" xfId="7554"/>
    <cellStyle name="Normal 9 20" xfId="5338"/>
    <cellStyle name="Normal 9 20 2" xfId="5339"/>
    <cellStyle name="Normal 9 20 2 2" xfId="5340"/>
    <cellStyle name="Normal 9 20 2 2 2" xfId="13783"/>
    <cellStyle name="Normal 9 20 2 2 3" xfId="19642"/>
    <cellStyle name="Normal 9 20 2 3" xfId="5341"/>
    <cellStyle name="Normal 9 20 2 3 2" xfId="13784"/>
    <cellStyle name="Normal 9 20 2 3 3" xfId="19643"/>
    <cellStyle name="Normal 9 20 2 4" xfId="5342"/>
    <cellStyle name="Normal 9 20 2 4 2" xfId="13785"/>
    <cellStyle name="Normal 9 20 2 4 3" xfId="19644"/>
    <cellStyle name="Normal 9 20 2 5" xfId="5343"/>
    <cellStyle name="Normal 9 20 2 5 2" xfId="13786"/>
    <cellStyle name="Normal 9 20 2 5 3" xfId="19645"/>
    <cellStyle name="Normal 9 20 2 6" xfId="13782"/>
    <cellStyle name="Normal 9 20 2 7" xfId="19641"/>
    <cellStyle name="Normal 9 20 2_LNG &amp; LPG rework" xfId="7569"/>
    <cellStyle name="Normal 9 20 3" xfId="5344"/>
    <cellStyle name="Normal 9 20 3 2" xfId="13787"/>
    <cellStyle name="Normal 9 20 3 3" xfId="19646"/>
    <cellStyle name="Normal 9 20 4" xfId="5345"/>
    <cellStyle name="Normal 9 20 4 2" xfId="13788"/>
    <cellStyle name="Normal 9 20 4 3" xfId="19647"/>
    <cellStyle name="Normal 9 20 5" xfId="5346"/>
    <cellStyle name="Normal 9 20 5 2" xfId="13789"/>
    <cellStyle name="Normal 9 20 5 3" xfId="19648"/>
    <cellStyle name="Normal 9 20 6" xfId="5347"/>
    <cellStyle name="Normal 9 20 6 2" xfId="13790"/>
    <cellStyle name="Normal 9 20 6 3" xfId="19649"/>
    <cellStyle name="Normal 9 20 7" xfId="13781"/>
    <cellStyle name="Normal 9 20 8" xfId="19640"/>
    <cellStyle name="Normal 9 20_LNG &amp; LPG rework" xfId="7568"/>
    <cellStyle name="Normal 9 21" xfId="5348"/>
    <cellStyle name="Normal 9 21 2" xfId="5349"/>
    <cellStyle name="Normal 9 21 2 2" xfId="13792"/>
    <cellStyle name="Normal 9 21 2 3" xfId="19651"/>
    <cellStyle name="Normal 9 21 3" xfId="5350"/>
    <cellStyle name="Normal 9 21 3 2" xfId="13793"/>
    <cellStyle name="Normal 9 21 3 3" xfId="19652"/>
    <cellStyle name="Normal 9 21 4" xfId="5351"/>
    <cellStyle name="Normal 9 21 4 2" xfId="13794"/>
    <cellStyle name="Normal 9 21 4 3" xfId="19653"/>
    <cellStyle name="Normal 9 21 5" xfId="5352"/>
    <cellStyle name="Normal 9 21 5 2" xfId="13795"/>
    <cellStyle name="Normal 9 21 5 3" xfId="19654"/>
    <cellStyle name="Normal 9 21 6" xfId="13791"/>
    <cellStyle name="Normal 9 21 7" xfId="19650"/>
    <cellStyle name="Normal 9 21_LNG &amp; LPG rework" xfId="7570"/>
    <cellStyle name="Normal 9 22" xfId="5353"/>
    <cellStyle name="Normal 9 22 2" xfId="5354"/>
    <cellStyle name="Normal 9 22 2 2" xfId="13797"/>
    <cellStyle name="Normal 9 22 2 3" xfId="19656"/>
    <cellStyle name="Normal 9 22 3" xfId="5355"/>
    <cellStyle name="Normal 9 22 3 2" xfId="13798"/>
    <cellStyle name="Normal 9 22 3 3" xfId="19657"/>
    <cellStyle name="Normal 9 22 4" xfId="5356"/>
    <cellStyle name="Normal 9 22 4 2" xfId="13799"/>
    <cellStyle name="Normal 9 22 4 3" xfId="19658"/>
    <cellStyle name="Normal 9 22 5" xfId="5357"/>
    <cellStyle name="Normal 9 22 5 2" xfId="13800"/>
    <cellStyle name="Normal 9 22 5 3" xfId="19659"/>
    <cellStyle name="Normal 9 22 6" xfId="13796"/>
    <cellStyle name="Normal 9 22 7" xfId="19655"/>
    <cellStyle name="Normal 9 22_LNG &amp; LPG rework" xfId="7571"/>
    <cellStyle name="Normal 9 23" xfId="5358"/>
    <cellStyle name="Normal 9 23 2" xfId="13801"/>
    <cellStyle name="Normal 9 23 3" xfId="19660"/>
    <cellStyle name="Normal 9 24" xfId="5359"/>
    <cellStyle name="Normal 9 24 2" xfId="13802"/>
    <cellStyle name="Normal 9 24 3" xfId="19661"/>
    <cellStyle name="Normal 9 25" xfId="5360"/>
    <cellStyle name="Normal 9 25 2" xfId="13803"/>
    <cellStyle name="Normal 9 25 3" xfId="19662"/>
    <cellStyle name="Normal 9 26" xfId="5361"/>
    <cellStyle name="Normal 9 26 2" xfId="13804"/>
    <cellStyle name="Normal 9 26 3" xfId="19663"/>
    <cellStyle name="Normal 9 27" xfId="5362"/>
    <cellStyle name="Normal 9 27 2" xfId="13805"/>
    <cellStyle name="Normal 9 27 3" xfId="19664"/>
    <cellStyle name="Normal 9 28" xfId="5363"/>
    <cellStyle name="Normal 9 28 2" xfId="13806"/>
    <cellStyle name="Normal 9 28 3" xfId="19665"/>
    <cellStyle name="Normal 9 29" xfId="9307"/>
    <cellStyle name="Normal 9 3" xfId="496"/>
    <cellStyle name="Normal 9 3 10" xfId="5364"/>
    <cellStyle name="Normal 9 3 10 2" xfId="13807"/>
    <cellStyle name="Normal 9 3 10 3" xfId="19667"/>
    <cellStyle name="Normal 9 3 11" xfId="9316"/>
    <cellStyle name="Normal 9 3 12" xfId="19666"/>
    <cellStyle name="Normal 9 3 2" xfId="497"/>
    <cellStyle name="Normal 9 3 2 10" xfId="19668"/>
    <cellStyle name="Normal 9 3 2 2" xfId="498"/>
    <cellStyle name="Normal 9 3 2 2 2" xfId="5365"/>
    <cellStyle name="Normal 9 3 2 2 2 2" xfId="13808"/>
    <cellStyle name="Normal 9 3 2 2 2 3" xfId="19670"/>
    <cellStyle name="Normal 9 3 2 2 3" xfId="5366"/>
    <cellStyle name="Normal 9 3 2 2 3 2" xfId="13809"/>
    <cellStyle name="Normal 9 3 2 2 3 3" xfId="19671"/>
    <cellStyle name="Normal 9 3 2 2 4" xfId="5367"/>
    <cellStyle name="Normal 9 3 2 2 4 2" xfId="13810"/>
    <cellStyle name="Normal 9 3 2 2 4 3" xfId="19672"/>
    <cellStyle name="Normal 9 3 2 2 5" xfId="5368"/>
    <cellStyle name="Normal 9 3 2 2 5 2" xfId="13811"/>
    <cellStyle name="Normal 9 3 2 2 5 3" xfId="19673"/>
    <cellStyle name="Normal 9 3 2 2 6" xfId="5369"/>
    <cellStyle name="Normal 9 3 2 2 6 2" xfId="13812"/>
    <cellStyle name="Normal 9 3 2 2 6 3" xfId="19674"/>
    <cellStyle name="Normal 9 3 2 2 7" xfId="9318"/>
    <cellStyle name="Normal 9 3 2 2 8" xfId="19669"/>
    <cellStyle name="Normal 9 3 2 2_LNG &amp; LPG rework" xfId="7574"/>
    <cellStyle name="Normal 9 3 2 3" xfId="5370"/>
    <cellStyle name="Normal 9 3 2 3 2" xfId="5371"/>
    <cellStyle name="Normal 9 3 2 3 2 2" xfId="13814"/>
    <cellStyle name="Normal 9 3 2 3 2 3" xfId="19676"/>
    <cellStyle name="Normal 9 3 2 3 3" xfId="5372"/>
    <cellStyle name="Normal 9 3 2 3 3 2" xfId="13815"/>
    <cellStyle name="Normal 9 3 2 3 3 3" xfId="19677"/>
    <cellStyle name="Normal 9 3 2 3 4" xfId="5373"/>
    <cellStyle name="Normal 9 3 2 3 4 2" xfId="13816"/>
    <cellStyle name="Normal 9 3 2 3 4 3" xfId="19678"/>
    <cellStyle name="Normal 9 3 2 3 5" xfId="5374"/>
    <cellStyle name="Normal 9 3 2 3 5 2" xfId="13817"/>
    <cellStyle name="Normal 9 3 2 3 5 3" xfId="19679"/>
    <cellStyle name="Normal 9 3 2 3 6" xfId="13813"/>
    <cellStyle name="Normal 9 3 2 3 7" xfId="19675"/>
    <cellStyle name="Normal 9 3 2 3_LNG &amp; LPG rework" xfId="7575"/>
    <cellStyle name="Normal 9 3 2 4" xfId="5375"/>
    <cellStyle name="Normal 9 3 2 4 2" xfId="13818"/>
    <cellStyle name="Normal 9 3 2 4 3" xfId="19680"/>
    <cellStyle name="Normal 9 3 2 5" xfId="5376"/>
    <cellStyle name="Normal 9 3 2 5 2" xfId="13819"/>
    <cellStyle name="Normal 9 3 2 5 3" xfId="19681"/>
    <cellStyle name="Normal 9 3 2 6" xfId="5377"/>
    <cellStyle name="Normal 9 3 2 6 2" xfId="13820"/>
    <cellStyle name="Normal 9 3 2 6 3" xfId="19682"/>
    <cellStyle name="Normal 9 3 2 7" xfId="5378"/>
    <cellStyle name="Normal 9 3 2 7 2" xfId="13821"/>
    <cellStyle name="Normal 9 3 2 7 3" xfId="19683"/>
    <cellStyle name="Normal 9 3 2 8" xfId="5379"/>
    <cellStyle name="Normal 9 3 2 8 2" xfId="13822"/>
    <cellStyle name="Normal 9 3 2 8 3" xfId="19684"/>
    <cellStyle name="Normal 9 3 2 9" xfId="9317"/>
    <cellStyle name="Normal 9 3 2_LNG &amp; LPG rework" xfId="7573"/>
    <cellStyle name="Normal 9 3 3" xfId="499"/>
    <cellStyle name="Normal 9 3 3 2" xfId="5380"/>
    <cellStyle name="Normal 9 3 3 2 2" xfId="13823"/>
    <cellStyle name="Normal 9 3 3 2 3" xfId="19686"/>
    <cellStyle name="Normal 9 3 3 3" xfId="5381"/>
    <cellStyle name="Normal 9 3 3 3 2" xfId="13824"/>
    <cellStyle name="Normal 9 3 3 3 3" xfId="19687"/>
    <cellStyle name="Normal 9 3 3 4" xfId="5382"/>
    <cellStyle name="Normal 9 3 3 4 2" xfId="13825"/>
    <cellStyle name="Normal 9 3 3 4 3" xfId="19688"/>
    <cellStyle name="Normal 9 3 3 5" xfId="5383"/>
    <cellStyle name="Normal 9 3 3 5 2" xfId="13826"/>
    <cellStyle name="Normal 9 3 3 5 3" xfId="19689"/>
    <cellStyle name="Normal 9 3 3 6" xfId="5384"/>
    <cellStyle name="Normal 9 3 3 6 2" xfId="13827"/>
    <cellStyle name="Normal 9 3 3 6 3" xfId="19690"/>
    <cellStyle name="Normal 9 3 3 7" xfId="9319"/>
    <cellStyle name="Normal 9 3 3 8" xfId="19685"/>
    <cellStyle name="Normal 9 3 3_LNG &amp; LPG rework" xfId="7576"/>
    <cellStyle name="Normal 9 3 4" xfId="5385"/>
    <cellStyle name="Normal 9 3 4 2" xfId="5386"/>
    <cellStyle name="Normal 9 3 4 2 2" xfId="13829"/>
    <cellStyle name="Normal 9 3 4 2 3" xfId="19692"/>
    <cellStyle name="Normal 9 3 4 3" xfId="5387"/>
    <cellStyle name="Normal 9 3 4 3 2" xfId="13830"/>
    <cellStyle name="Normal 9 3 4 3 3" xfId="19693"/>
    <cellStyle name="Normal 9 3 4 4" xfId="5388"/>
    <cellStyle name="Normal 9 3 4 4 2" xfId="13831"/>
    <cellStyle name="Normal 9 3 4 4 3" xfId="19694"/>
    <cellStyle name="Normal 9 3 4 5" xfId="5389"/>
    <cellStyle name="Normal 9 3 4 5 2" xfId="13832"/>
    <cellStyle name="Normal 9 3 4 5 3" xfId="19695"/>
    <cellStyle name="Normal 9 3 4 6" xfId="13828"/>
    <cellStyle name="Normal 9 3 4 7" xfId="19691"/>
    <cellStyle name="Normal 9 3 4_LNG &amp; LPG rework" xfId="7577"/>
    <cellStyle name="Normal 9 3 5" xfId="5390"/>
    <cellStyle name="Normal 9 3 5 2" xfId="5391"/>
    <cellStyle name="Normal 9 3 5 2 2" xfId="13834"/>
    <cellStyle name="Normal 9 3 5 2 3" xfId="19697"/>
    <cellStyle name="Normal 9 3 5 3" xfId="5392"/>
    <cellStyle name="Normal 9 3 5 3 2" xfId="13835"/>
    <cellStyle name="Normal 9 3 5 3 3" xfId="19698"/>
    <cellStyle name="Normal 9 3 5 4" xfId="5393"/>
    <cellStyle name="Normal 9 3 5 4 2" xfId="13836"/>
    <cellStyle name="Normal 9 3 5 4 3" xfId="19699"/>
    <cellStyle name="Normal 9 3 5 5" xfId="5394"/>
    <cellStyle name="Normal 9 3 5 5 2" xfId="13837"/>
    <cellStyle name="Normal 9 3 5 5 3" xfId="19700"/>
    <cellStyle name="Normal 9 3 5 6" xfId="13833"/>
    <cellStyle name="Normal 9 3 5 7" xfId="19696"/>
    <cellStyle name="Normal 9 3 5_LNG &amp; LPG rework" xfId="7578"/>
    <cellStyle name="Normal 9 3 6" xfId="5395"/>
    <cellStyle name="Normal 9 3 6 2" xfId="13838"/>
    <cellStyle name="Normal 9 3 6 3" xfId="19701"/>
    <cellStyle name="Normal 9 3 7" xfId="5396"/>
    <cellStyle name="Normal 9 3 7 2" xfId="13839"/>
    <cellStyle name="Normal 9 3 7 3" xfId="19702"/>
    <cellStyle name="Normal 9 3 8" xfId="5397"/>
    <cellStyle name="Normal 9 3 8 2" xfId="13840"/>
    <cellStyle name="Normal 9 3 8 3" xfId="19703"/>
    <cellStyle name="Normal 9 3 9" xfId="5398"/>
    <cellStyle name="Normal 9 3 9 2" xfId="13841"/>
    <cellStyle name="Normal 9 3 9 3" xfId="19704"/>
    <cellStyle name="Normal 9 3_LNG &amp; LPG rework" xfId="7572"/>
    <cellStyle name="Normal 9 30" xfId="14939"/>
    <cellStyle name="Normal 9 31" xfId="29519"/>
    <cellStyle name="Normal 9 4" xfId="500"/>
    <cellStyle name="Normal 9 4 10" xfId="19705"/>
    <cellStyle name="Normal 9 4 2" xfId="501"/>
    <cellStyle name="Normal 9 4 2 2" xfId="5399"/>
    <cellStyle name="Normal 9 4 2 2 2" xfId="13842"/>
    <cellStyle name="Normal 9 4 2 2 3" xfId="19707"/>
    <cellStyle name="Normal 9 4 2 3" xfId="5400"/>
    <cellStyle name="Normal 9 4 2 3 2" xfId="13843"/>
    <cellStyle name="Normal 9 4 2 3 3" xfId="19708"/>
    <cellStyle name="Normal 9 4 2 4" xfId="5401"/>
    <cellStyle name="Normal 9 4 2 4 2" xfId="13844"/>
    <cellStyle name="Normal 9 4 2 4 3" xfId="19709"/>
    <cellStyle name="Normal 9 4 2 5" xfId="5402"/>
    <cellStyle name="Normal 9 4 2 5 2" xfId="13845"/>
    <cellStyle name="Normal 9 4 2 5 3" xfId="19710"/>
    <cellStyle name="Normal 9 4 2 6" xfId="5403"/>
    <cellStyle name="Normal 9 4 2 6 2" xfId="13846"/>
    <cellStyle name="Normal 9 4 2 6 3" xfId="19711"/>
    <cellStyle name="Normal 9 4 2 7" xfId="9321"/>
    <cellStyle name="Normal 9 4 2 8" xfId="19706"/>
    <cellStyle name="Normal 9 4 2_LNG &amp; LPG rework" xfId="7580"/>
    <cellStyle name="Normal 9 4 3" xfId="5404"/>
    <cellStyle name="Normal 9 4 3 2" xfId="5405"/>
    <cellStyle name="Normal 9 4 3 2 2" xfId="13848"/>
    <cellStyle name="Normal 9 4 3 2 3" xfId="19713"/>
    <cellStyle name="Normal 9 4 3 3" xfId="5406"/>
    <cellStyle name="Normal 9 4 3 3 2" xfId="13849"/>
    <cellStyle name="Normal 9 4 3 3 3" xfId="19714"/>
    <cellStyle name="Normal 9 4 3 4" xfId="5407"/>
    <cellStyle name="Normal 9 4 3 4 2" xfId="13850"/>
    <cellStyle name="Normal 9 4 3 4 3" xfId="19715"/>
    <cellStyle name="Normal 9 4 3 5" xfId="5408"/>
    <cellStyle name="Normal 9 4 3 5 2" xfId="13851"/>
    <cellStyle name="Normal 9 4 3 5 3" xfId="19716"/>
    <cellStyle name="Normal 9 4 3 6" xfId="13847"/>
    <cellStyle name="Normal 9 4 3 7" xfId="19712"/>
    <cellStyle name="Normal 9 4 3_LNG &amp; LPG rework" xfId="7581"/>
    <cellStyle name="Normal 9 4 4" xfId="5409"/>
    <cellStyle name="Normal 9 4 4 2" xfId="13852"/>
    <cellStyle name="Normal 9 4 4 3" xfId="19717"/>
    <cellStyle name="Normal 9 4 5" xfId="5410"/>
    <cellStyle name="Normal 9 4 5 2" xfId="13853"/>
    <cellStyle name="Normal 9 4 5 3" xfId="19718"/>
    <cellStyle name="Normal 9 4 6" xfId="5411"/>
    <cellStyle name="Normal 9 4 6 2" xfId="13854"/>
    <cellStyle name="Normal 9 4 6 3" xfId="19719"/>
    <cellStyle name="Normal 9 4 7" xfId="5412"/>
    <cellStyle name="Normal 9 4 7 2" xfId="13855"/>
    <cellStyle name="Normal 9 4 7 3" xfId="19720"/>
    <cellStyle name="Normal 9 4 8" xfId="5413"/>
    <cellStyle name="Normal 9 4 8 2" xfId="13856"/>
    <cellStyle name="Normal 9 4 8 3" xfId="19721"/>
    <cellStyle name="Normal 9 4 9" xfId="9320"/>
    <cellStyle name="Normal 9 4_LNG &amp; LPG rework" xfId="7579"/>
    <cellStyle name="Normal 9 5" xfId="502"/>
    <cellStyle name="Normal 9 5 10" xfId="19722"/>
    <cellStyle name="Normal 9 5 2" xfId="5414"/>
    <cellStyle name="Normal 9 5 2 2" xfId="5415"/>
    <cellStyle name="Normal 9 5 2 2 2" xfId="13858"/>
    <cellStyle name="Normal 9 5 2 2 3" xfId="19724"/>
    <cellStyle name="Normal 9 5 2 3" xfId="5416"/>
    <cellStyle name="Normal 9 5 2 3 2" xfId="13859"/>
    <cellStyle name="Normal 9 5 2 3 3" xfId="19725"/>
    <cellStyle name="Normal 9 5 2 4" xfId="5417"/>
    <cellStyle name="Normal 9 5 2 4 2" xfId="13860"/>
    <cellStyle name="Normal 9 5 2 4 3" xfId="19726"/>
    <cellStyle name="Normal 9 5 2 5" xfId="5418"/>
    <cellStyle name="Normal 9 5 2 5 2" xfId="13861"/>
    <cellStyle name="Normal 9 5 2 5 3" xfId="19727"/>
    <cellStyle name="Normal 9 5 2 6" xfId="13857"/>
    <cellStyle name="Normal 9 5 2 7" xfId="19723"/>
    <cellStyle name="Normal 9 5 2_LNG &amp; LPG rework" xfId="7583"/>
    <cellStyle name="Normal 9 5 3" xfId="5419"/>
    <cellStyle name="Normal 9 5 3 2" xfId="5420"/>
    <cellStyle name="Normal 9 5 3 2 2" xfId="13863"/>
    <cellStyle name="Normal 9 5 3 2 3" xfId="19729"/>
    <cellStyle name="Normal 9 5 3 3" xfId="5421"/>
    <cellStyle name="Normal 9 5 3 3 2" xfId="13864"/>
    <cellStyle name="Normal 9 5 3 3 3" xfId="19730"/>
    <cellStyle name="Normal 9 5 3 4" xfId="5422"/>
    <cellStyle name="Normal 9 5 3 4 2" xfId="13865"/>
    <cellStyle name="Normal 9 5 3 4 3" xfId="19731"/>
    <cellStyle name="Normal 9 5 3 5" xfId="5423"/>
    <cellStyle name="Normal 9 5 3 5 2" xfId="13866"/>
    <cellStyle name="Normal 9 5 3 5 3" xfId="19732"/>
    <cellStyle name="Normal 9 5 3 6" xfId="13862"/>
    <cellStyle name="Normal 9 5 3 7" xfId="19728"/>
    <cellStyle name="Normal 9 5 3_LNG &amp; LPG rework" xfId="7584"/>
    <cellStyle name="Normal 9 5 4" xfId="5424"/>
    <cellStyle name="Normal 9 5 4 2" xfId="13867"/>
    <cellStyle name="Normal 9 5 4 3" xfId="19733"/>
    <cellStyle name="Normal 9 5 5" xfId="5425"/>
    <cellStyle name="Normal 9 5 5 2" xfId="13868"/>
    <cellStyle name="Normal 9 5 5 3" xfId="19734"/>
    <cellStyle name="Normal 9 5 6" xfId="5426"/>
    <cellStyle name="Normal 9 5 6 2" xfId="13869"/>
    <cellStyle name="Normal 9 5 6 3" xfId="19735"/>
    <cellStyle name="Normal 9 5 7" xfId="5427"/>
    <cellStyle name="Normal 9 5 7 2" xfId="13870"/>
    <cellStyle name="Normal 9 5 7 3" xfId="19736"/>
    <cellStyle name="Normal 9 5 8" xfId="5428"/>
    <cellStyle name="Normal 9 5 8 2" xfId="13871"/>
    <cellStyle name="Normal 9 5 8 3" xfId="19737"/>
    <cellStyle name="Normal 9 5 9" xfId="9322"/>
    <cellStyle name="Normal 9 5_LNG &amp; LPG rework" xfId="7582"/>
    <cellStyle name="Normal 9 6" xfId="5429"/>
    <cellStyle name="Normal 9 7" xfId="5430"/>
    <cellStyle name="Normal 9 7 2" xfId="5431"/>
    <cellStyle name="Normal 9 7 2 2" xfId="5432"/>
    <cellStyle name="Normal 9 7 2 2 2" xfId="13874"/>
    <cellStyle name="Normal 9 7 2 2 3" xfId="19740"/>
    <cellStyle name="Normal 9 7 2 3" xfId="5433"/>
    <cellStyle name="Normal 9 7 2 3 2" xfId="13875"/>
    <cellStyle name="Normal 9 7 2 3 3" xfId="19741"/>
    <cellStyle name="Normal 9 7 2 4" xfId="5434"/>
    <cellStyle name="Normal 9 7 2 4 2" xfId="13876"/>
    <cellStyle name="Normal 9 7 2 4 3" xfId="19742"/>
    <cellStyle name="Normal 9 7 2 5" xfId="5435"/>
    <cellStyle name="Normal 9 7 2 5 2" xfId="13877"/>
    <cellStyle name="Normal 9 7 2 5 3" xfId="19743"/>
    <cellStyle name="Normal 9 7 2 6" xfId="13873"/>
    <cellStyle name="Normal 9 7 2 7" xfId="19739"/>
    <cellStyle name="Normal 9 7 2_LNG &amp; LPG rework" xfId="7586"/>
    <cellStyle name="Normal 9 7 3" xfId="5436"/>
    <cellStyle name="Normal 9 7 3 2" xfId="5437"/>
    <cellStyle name="Normal 9 7 3 2 2" xfId="13879"/>
    <cellStyle name="Normal 9 7 3 2 3" xfId="19745"/>
    <cellStyle name="Normal 9 7 3 3" xfId="5438"/>
    <cellStyle name="Normal 9 7 3 3 2" xfId="13880"/>
    <cellStyle name="Normal 9 7 3 3 3" xfId="19746"/>
    <cellStyle name="Normal 9 7 3 4" xfId="5439"/>
    <cellStyle name="Normal 9 7 3 4 2" xfId="13881"/>
    <cellStyle name="Normal 9 7 3 4 3" xfId="19747"/>
    <cellStyle name="Normal 9 7 3 5" xfId="5440"/>
    <cellStyle name="Normal 9 7 3 5 2" xfId="13882"/>
    <cellStyle name="Normal 9 7 3 5 3" xfId="19748"/>
    <cellStyle name="Normal 9 7 3 6" xfId="13878"/>
    <cellStyle name="Normal 9 7 3 7" xfId="19744"/>
    <cellStyle name="Normal 9 7 3_LNG &amp; LPG rework" xfId="7587"/>
    <cellStyle name="Normal 9 7 4" xfId="5441"/>
    <cellStyle name="Normal 9 7 4 2" xfId="13883"/>
    <cellStyle name="Normal 9 7 4 3" xfId="19749"/>
    <cellStyle name="Normal 9 7 5" xfId="5442"/>
    <cellStyle name="Normal 9 7 5 2" xfId="13884"/>
    <cellStyle name="Normal 9 7 5 3" xfId="19750"/>
    <cellStyle name="Normal 9 7 6" xfId="5443"/>
    <cellStyle name="Normal 9 7 6 2" xfId="13885"/>
    <cellStyle name="Normal 9 7 6 3" xfId="19751"/>
    <cellStyle name="Normal 9 7 7" xfId="5444"/>
    <cellStyle name="Normal 9 7 7 2" xfId="13886"/>
    <cellStyle name="Normal 9 7 7 3" xfId="19752"/>
    <cellStyle name="Normal 9 7 8" xfId="13872"/>
    <cellStyle name="Normal 9 7 9" xfId="19738"/>
    <cellStyle name="Normal 9 7_LNG &amp; LPG rework" xfId="7585"/>
    <cellStyle name="Normal 9 8" xfId="5445"/>
    <cellStyle name="Normal 9 8 2" xfId="5446"/>
    <cellStyle name="Normal 9 8 2 2" xfId="5447"/>
    <cellStyle name="Normal 9 8 2 2 2" xfId="13889"/>
    <cellStyle name="Normal 9 8 2 2 3" xfId="19755"/>
    <cellStyle name="Normal 9 8 2 3" xfId="5448"/>
    <cellStyle name="Normal 9 8 2 3 2" xfId="13890"/>
    <cellStyle name="Normal 9 8 2 3 3" xfId="19756"/>
    <cellStyle name="Normal 9 8 2 4" xfId="5449"/>
    <cellStyle name="Normal 9 8 2 4 2" xfId="13891"/>
    <cellStyle name="Normal 9 8 2 4 3" xfId="19757"/>
    <cellStyle name="Normal 9 8 2 5" xfId="5450"/>
    <cellStyle name="Normal 9 8 2 5 2" xfId="13892"/>
    <cellStyle name="Normal 9 8 2 5 3" xfId="19758"/>
    <cellStyle name="Normal 9 8 2 6" xfId="13888"/>
    <cellStyle name="Normal 9 8 2 7" xfId="19754"/>
    <cellStyle name="Normal 9 8 2_LNG &amp; LPG rework" xfId="7589"/>
    <cellStyle name="Normal 9 8 3" xfId="5451"/>
    <cellStyle name="Normal 9 8 3 2" xfId="5452"/>
    <cellStyle name="Normal 9 8 3 2 2" xfId="13894"/>
    <cellStyle name="Normal 9 8 3 2 3" xfId="19760"/>
    <cellStyle name="Normal 9 8 3 3" xfId="5453"/>
    <cellStyle name="Normal 9 8 3 3 2" xfId="13895"/>
    <cellStyle name="Normal 9 8 3 3 3" xfId="19761"/>
    <cellStyle name="Normal 9 8 3 4" xfId="5454"/>
    <cellStyle name="Normal 9 8 3 4 2" xfId="13896"/>
    <cellStyle name="Normal 9 8 3 4 3" xfId="19762"/>
    <cellStyle name="Normal 9 8 3 5" xfId="5455"/>
    <cellStyle name="Normal 9 8 3 5 2" xfId="13897"/>
    <cellStyle name="Normal 9 8 3 5 3" xfId="19763"/>
    <cellStyle name="Normal 9 8 3 6" xfId="13893"/>
    <cellStyle name="Normal 9 8 3 7" xfId="19759"/>
    <cellStyle name="Normal 9 8 3_LNG &amp; LPG rework" xfId="7590"/>
    <cellStyle name="Normal 9 8 4" xfId="5456"/>
    <cellStyle name="Normal 9 8 4 2" xfId="13898"/>
    <cellStyle name="Normal 9 8 4 3" xfId="19764"/>
    <cellStyle name="Normal 9 8 5" xfId="5457"/>
    <cellStyle name="Normal 9 8 5 2" xfId="13899"/>
    <cellStyle name="Normal 9 8 5 3" xfId="19765"/>
    <cellStyle name="Normal 9 8 6" xfId="5458"/>
    <cellStyle name="Normal 9 8 6 2" xfId="13900"/>
    <cellStyle name="Normal 9 8 6 3" xfId="19766"/>
    <cellStyle name="Normal 9 8 7" xfId="5459"/>
    <cellStyle name="Normal 9 8 7 2" xfId="13901"/>
    <cellStyle name="Normal 9 8 7 3" xfId="19767"/>
    <cellStyle name="Normal 9 8 8" xfId="13887"/>
    <cellStyle name="Normal 9 8 9" xfId="19753"/>
    <cellStyle name="Normal 9 8_LNG &amp; LPG rework" xfId="7588"/>
    <cellStyle name="Normal 9 9" xfId="5460"/>
    <cellStyle name="Normal 9 9 2" xfId="5461"/>
    <cellStyle name="Normal 9 9 2 2" xfId="5462"/>
    <cellStyle name="Normal 9 9 2 2 2" xfId="13904"/>
    <cellStyle name="Normal 9 9 2 2 3" xfId="19770"/>
    <cellStyle name="Normal 9 9 2 3" xfId="5463"/>
    <cellStyle name="Normal 9 9 2 3 2" xfId="13905"/>
    <cellStyle name="Normal 9 9 2 3 3" xfId="19771"/>
    <cellStyle name="Normal 9 9 2 4" xfId="5464"/>
    <cellStyle name="Normal 9 9 2 4 2" xfId="13906"/>
    <cellStyle name="Normal 9 9 2 4 3" xfId="19772"/>
    <cellStyle name="Normal 9 9 2 5" xfId="5465"/>
    <cellStyle name="Normal 9 9 2 5 2" xfId="13907"/>
    <cellStyle name="Normal 9 9 2 5 3" xfId="19773"/>
    <cellStyle name="Normal 9 9 2 6" xfId="13903"/>
    <cellStyle name="Normal 9 9 2 7" xfId="19769"/>
    <cellStyle name="Normal 9 9 2_LNG &amp; LPG rework" xfId="7592"/>
    <cellStyle name="Normal 9 9 3" xfId="5466"/>
    <cellStyle name="Normal 9 9 3 2" xfId="5467"/>
    <cellStyle name="Normal 9 9 3 2 2" xfId="13909"/>
    <cellStyle name="Normal 9 9 3 2 3" xfId="19775"/>
    <cellStyle name="Normal 9 9 3 3" xfId="5468"/>
    <cellStyle name="Normal 9 9 3 3 2" xfId="13910"/>
    <cellStyle name="Normal 9 9 3 3 3" xfId="19776"/>
    <cellStyle name="Normal 9 9 3 4" xfId="5469"/>
    <cellStyle name="Normal 9 9 3 4 2" xfId="13911"/>
    <cellStyle name="Normal 9 9 3 4 3" xfId="19777"/>
    <cellStyle name="Normal 9 9 3 5" xfId="5470"/>
    <cellStyle name="Normal 9 9 3 5 2" xfId="13912"/>
    <cellStyle name="Normal 9 9 3 5 3" xfId="19778"/>
    <cellStyle name="Normal 9 9 3 6" xfId="13908"/>
    <cellStyle name="Normal 9 9 3 7" xfId="19774"/>
    <cellStyle name="Normal 9 9 3_LNG &amp; LPG rework" xfId="7593"/>
    <cellStyle name="Normal 9 9 4" xfId="5471"/>
    <cellStyle name="Normal 9 9 4 2" xfId="13913"/>
    <cellStyle name="Normal 9 9 4 3" xfId="19779"/>
    <cellStyle name="Normal 9 9 5" xfId="5472"/>
    <cellStyle name="Normal 9 9 5 2" xfId="13914"/>
    <cellStyle name="Normal 9 9 5 3" xfId="19780"/>
    <cellStyle name="Normal 9 9 6" xfId="5473"/>
    <cellStyle name="Normal 9 9 6 2" xfId="13915"/>
    <cellStyle name="Normal 9 9 6 3" xfId="19781"/>
    <cellStyle name="Normal 9 9 7" xfId="5474"/>
    <cellStyle name="Normal 9 9 7 2" xfId="13916"/>
    <cellStyle name="Normal 9 9 7 3" xfId="19782"/>
    <cellStyle name="Normal 9 9 8" xfId="13902"/>
    <cellStyle name="Normal 9 9 9" xfId="19768"/>
    <cellStyle name="Normal 9 9_LNG &amp; LPG rework" xfId="7591"/>
    <cellStyle name="Normal 9_2015  Data" xfId="503"/>
    <cellStyle name="Normal 90" xfId="5475"/>
    <cellStyle name="Normal 90 2" xfId="5476"/>
    <cellStyle name="Normal 90 3" xfId="5477"/>
    <cellStyle name="Normal 90_LNG &amp; LPG rework" xfId="7594"/>
    <cellStyle name="Normal 91" xfId="5478"/>
    <cellStyle name="Normal 91 2" xfId="5479"/>
    <cellStyle name="Normal 91 3" xfId="5480"/>
    <cellStyle name="Normal 91_LNG &amp; LPG rework" xfId="7595"/>
    <cellStyle name="Normal 92" xfId="5481"/>
    <cellStyle name="Normal 92 2" xfId="5482"/>
    <cellStyle name="Normal 92 3" xfId="5483"/>
    <cellStyle name="Normal 92_LNG &amp; LPG rework" xfId="7596"/>
    <cellStyle name="Normal 93" xfId="5484"/>
    <cellStyle name="Normal 93 2" xfId="5485"/>
    <cellStyle name="Normal 93_LNG &amp; LPG rework" xfId="7597"/>
    <cellStyle name="Normal 94" xfId="5486"/>
    <cellStyle name="Normal 94 2" xfId="5487"/>
    <cellStyle name="Normal 94_LNG &amp; LPG rework" xfId="7598"/>
    <cellStyle name="Normal 95" xfId="5488"/>
    <cellStyle name="Normal 95 2" xfId="5489"/>
    <cellStyle name="Normal 95_LNG &amp; LPG rework" xfId="7599"/>
    <cellStyle name="Normal 96" xfId="5490"/>
    <cellStyle name="Normal 96 2" xfId="5491"/>
    <cellStyle name="Normal 96 2 2" xfId="13917"/>
    <cellStyle name="Normal 96 2 3" xfId="19783"/>
    <cellStyle name="Normal 96_LNG &amp; LPG rework" xfId="7600"/>
    <cellStyle name="Normal 97" xfId="5492"/>
    <cellStyle name="Normal 97 2" xfId="5493"/>
    <cellStyle name="Normal 97 2 2" xfId="13918"/>
    <cellStyle name="Normal 97 2 3" xfId="19784"/>
    <cellStyle name="Normal 97_LNG &amp; LPG rework" xfId="7601"/>
    <cellStyle name="Normal 98" xfId="5494"/>
    <cellStyle name="Normal 98 2" xfId="5495"/>
    <cellStyle name="Normal 98 2 2" xfId="13919"/>
    <cellStyle name="Normal 98 2 3" xfId="19785"/>
    <cellStyle name="Normal 98_LNG &amp; LPG rework" xfId="7602"/>
    <cellStyle name="Normal 99" xfId="5496"/>
    <cellStyle name="Normal 99 2" xfId="5497"/>
    <cellStyle name="Normal 99 2 2" xfId="13920"/>
    <cellStyle name="Normal 99 2 3" xfId="19786"/>
    <cellStyle name="Normal 99_LNG &amp; LPG rework" xfId="7603"/>
    <cellStyle name="Note" xfId="6391" builtinId="10" customBuiltin="1"/>
    <cellStyle name="Note 10" xfId="6488"/>
    <cellStyle name="Note 10 2" xfId="14825"/>
    <cellStyle name="Note 10 3" xfId="20746"/>
    <cellStyle name="Note 11" xfId="6501"/>
    <cellStyle name="Note 11 2" xfId="14838"/>
    <cellStyle name="Note 11 3" xfId="20759"/>
    <cellStyle name="Note 12" xfId="6521"/>
    <cellStyle name="Note 12 2" xfId="20773"/>
    <cellStyle name="Note 13" xfId="6558"/>
    <cellStyle name="Note 13 2" xfId="20790"/>
    <cellStyle name="Note 14" xfId="8911"/>
    <cellStyle name="Note 15" xfId="8929"/>
    <cellStyle name="Note 16" xfId="20788"/>
    <cellStyle name="Note 17" xfId="29428"/>
    <cellStyle name="Note 18" xfId="29471"/>
    <cellStyle name="Note 2" xfId="108"/>
    <cellStyle name="Note 2 2" xfId="6454"/>
    <cellStyle name="Note 2 2 2" xfId="14804"/>
    <cellStyle name="Note 2 2 3" xfId="14972"/>
    <cellStyle name="Note 2 3" xfId="8946"/>
    <cellStyle name="Note 2 4" xfId="14869"/>
    <cellStyle name="Note 2_LNG &amp; LPG rework" xfId="7604"/>
    <cellStyle name="Note 3" xfId="86"/>
    <cellStyle name="Note 3 2" xfId="122"/>
    <cellStyle name="Note 3 2 2" xfId="9014"/>
    <cellStyle name="Note 3 2 3" xfId="14986"/>
    <cellStyle name="Note 3 3" xfId="8960"/>
    <cellStyle name="Note 3 4" xfId="14883"/>
    <cellStyle name="Note 3_LNG &amp; LPG rework" xfId="7605"/>
    <cellStyle name="Note 4" xfId="142"/>
    <cellStyle name="Note 4 2" xfId="9029"/>
    <cellStyle name="Note 4 3" xfId="14898"/>
    <cellStyle name="Note 5" xfId="156"/>
    <cellStyle name="Note 5 2" xfId="9043"/>
    <cellStyle name="Note 5 3" xfId="14912"/>
    <cellStyle name="Note 6" xfId="6390"/>
    <cellStyle name="Note 6 2" xfId="14777"/>
    <cellStyle name="Note 6 3" xfId="14926"/>
    <cellStyle name="Note 7" xfId="6428"/>
    <cellStyle name="Note 7 2" xfId="14778"/>
    <cellStyle name="Note 7 3" xfId="14940"/>
    <cellStyle name="Note 8" xfId="6441"/>
    <cellStyle name="Note 8 2" xfId="14791"/>
    <cellStyle name="Note 8 3" xfId="14957"/>
    <cellStyle name="Note 9" xfId="6455"/>
    <cellStyle name="Note 9 2" xfId="14805"/>
    <cellStyle name="Note 9 3" xfId="15012"/>
    <cellStyle name="Output" xfId="11" builtinId="21" customBuiltin="1"/>
    <cellStyle name="Percent" xfId="90"/>
    <cellStyle name="Percent 10" xfId="8942"/>
    <cellStyle name="Percent 11" xfId="14854"/>
    <cellStyle name="Percent 12" xfId="29423"/>
    <cellStyle name="Percent 13" xfId="29442"/>
    <cellStyle name="Percent 14" xfId="29445"/>
    <cellStyle name="Percent 15" xfId="29449"/>
    <cellStyle name="Percent 16" xfId="29451"/>
    <cellStyle name="Percent 17" xfId="29454"/>
    <cellStyle name="Percent 2" xfId="51"/>
    <cellStyle name="Percent 2 10" xfId="20808"/>
    <cellStyle name="Percent 2 10 2" xfId="26210"/>
    <cellStyle name="Percent 2 11" xfId="26202"/>
    <cellStyle name="Percent 2 2" xfId="140"/>
    <cellStyle name="Percent 2 2 10" xfId="5498"/>
    <cellStyle name="Percent 2 2 10 2" xfId="13921"/>
    <cellStyle name="Percent 2 2 10 3" xfId="19787"/>
    <cellStyle name="Percent 2 2 11" xfId="5499"/>
    <cellStyle name="Percent 2 2 11 2" xfId="13922"/>
    <cellStyle name="Percent 2 2 11 3" xfId="19788"/>
    <cellStyle name="Percent 2 2 12" xfId="5500"/>
    <cellStyle name="Percent 2 2 12 2" xfId="13923"/>
    <cellStyle name="Percent 2 2 12 3" xfId="19789"/>
    <cellStyle name="Percent 2 2 13" xfId="5501"/>
    <cellStyle name="Percent 2 2 13 2" xfId="13924"/>
    <cellStyle name="Percent 2 2 13 3" xfId="19790"/>
    <cellStyle name="Percent 2 2 14" xfId="5502"/>
    <cellStyle name="Percent 2 2 14 2" xfId="13925"/>
    <cellStyle name="Percent 2 2 14 3" xfId="19791"/>
    <cellStyle name="Percent 2 2 2" xfId="505"/>
    <cellStyle name="Percent 2 2 2 10" xfId="5503"/>
    <cellStyle name="Percent 2 2 2 10 2" xfId="13926"/>
    <cellStyle name="Percent 2 2 2 10 3" xfId="19793"/>
    <cellStyle name="Percent 2 2 2 11" xfId="5504"/>
    <cellStyle name="Percent 2 2 2 11 2" xfId="13927"/>
    <cellStyle name="Percent 2 2 2 11 3" xfId="19794"/>
    <cellStyle name="Percent 2 2 2 12" xfId="5505"/>
    <cellStyle name="Percent 2 2 2 12 2" xfId="13928"/>
    <cellStyle name="Percent 2 2 2 12 3" xfId="19795"/>
    <cellStyle name="Percent 2 2 2 13" xfId="9324"/>
    <cellStyle name="Percent 2 2 2 14" xfId="19792"/>
    <cellStyle name="Percent 2 2 2 2" xfId="506"/>
    <cellStyle name="Percent 2 2 2 2 10" xfId="5506"/>
    <cellStyle name="Percent 2 2 2 2 10 2" xfId="13929"/>
    <cellStyle name="Percent 2 2 2 2 10 3" xfId="19797"/>
    <cellStyle name="Percent 2 2 2 2 11" xfId="5507"/>
    <cellStyle name="Percent 2 2 2 2 11 2" xfId="13930"/>
    <cellStyle name="Percent 2 2 2 2 11 3" xfId="19798"/>
    <cellStyle name="Percent 2 2 2 2 12" xfId="9325"/>
    <cellStyle name="Percent 2 2 2 2 13" xfId="19796"/>
    <cellStyle name="Percent 2 2 2 2 2" xfId="507"/>
    <cellStyle name="Percent 2 2 2 2 2 10" xfId="5508"/>
    <cellStyle name="Percent 2 2 2 2 2 10 2" xfId="13931"/>
    <cellStyle name="Percent 2 2 2 2 2 10 3" xfId="19800"/>
    <cellStyle name="Percent 2 2 2 2 2 11" xfId="9326"/>
    <cellStyle name="Percent 2 2 2 2 2 12" xfId="19799"/>
    <cellStyle name="Percent 2 2 2 2 2 2" xfId="508"/>
    <cellStyle name="Percent 2 2 2 2 2 2 10" xfId="19801"/>
    <cellStyle name="Percent 2 2 2 2 2 2 2" xfId="509"/>
    <cellStyle name="Percent 2 2 2 2 2 2 2 2" xfId="5509"/>
    <cellStyle name="Percent 2 2 2 2 2 2 2 2 2" xfId="13932"/>
    <cellStyle name="Percent 2 2 2 2 2 2 2 2 3" xfId="19803"/>
    <cellStyle name="Percent 2 2 2 2 2 2 2 3" xfId="5510"/>
    <cellStyle name="Percent 2 2 2 2 2 2 2 3 2" xfId="13933"/>
    <cellStyle name="Percent 2 2 2 2 2 2 2 3 3" xfId="19804"/>
    <cellStyle name="Percent 2 2 2 2 2 2 2 4" xfId="5511"/>
    <cellStyle name="Percent 2 2 2 2 2 2 2 4 2" xfId="13934"/>
    <cellStyle name="Percent 2 2 2 2 2 2 2 4 3" xfId="19805"/>
    <cellStyle name="Percent 2 2 2 2 2 2 2 5" xfId="5512"/>
    <cellStyle name="Percent 2 2 2 2 2 2 2 5 2" xfId="13935"/>
    <cellStyle name="Percent 2 2 2 2 2 2 2 5 3" xfId="19806"/>
    <cellStyle name="Percent 2 2 2 2 2 2 2 6" xfId="5513"/>
    <cellStyle name="Percent 2 2 2 2 2 2 2 6 2" xfId="13936"/>
    <cellStyle name="Percent 2 2 2 2 2 2 2 6 3" xfId="19807"/>
    <cellStyle name="Percent 2 2 2 2 2 2 2 7" xfId="9328"/>
    <cellStyle name="Percent 2 2 2 2 2 2 2 8" xfId="19802"/>
    <cellStyle name="Percent 2 2 2 2 2 2 2_LNG &amp; LPG rework" xfId="7613"/>
    <cellStyle name="Percent 2 2 2 2 2 2 3" xfId="5514"/>
    <cellStyle name="Percent 2 2 2 2 2 2 3 2" xfId="5515"/>
    <cellStyle name="Percent 2 2 2 2 2 2 3 2 2" xfId="13938"/>
    <cellStyle name="Percent 2 2 2 2 2 2 3 2 3" xfId="19809"/>
    <cellStyle name="Percent 2 2 2 2 2 2 3 3" xfId="5516"/>
    <cellStyle name="Percent 2 2 2 2 2 2 3 3 2" xfId="13939"/>
    <cellStyle name="Percent 2 2 2 2 2 2 3 3 3" xfId="19810"/>
    <cellStyle name="Percent 2 2 2 2 2 2 3 4" xfId="5517"/>
    <cellStyle name="Percent 2 2 2 2 2 2 3 4 2" xfId="13940"/>
    <cellStyle name="Percent 2 2 2 2 2 2 3 4 3" xfId="19811"/>
    <cellStyle name="Percent 2 2 2 2 2 2 3 5" xfId="5518"/>
    <cellStyle name="Percent 2 2 2 2 2 2 3 5 2" xfId="13941"/>
    <cellStyle name="Percent 2 2 2 2 2 2 3 5 3" xfId="19812"/>
    <cellStyle name="Percent 2 2 2 2 2 2 3 6" xfId="13937"/>
    <cellStyle name="Percent 2 2 2 2 2 2 3 7" xfId="19808"/>
    <cellStyle name="Percent 2 2 2 2 2 2 3_LNG &amp; LPG rework" xfId="7614"/>
    <cellStyle name="Percent 2 2 2 2 2 2 4" xfId="5519"/>
    <cellStyle name="Percent 2 2 2 2 2 2 4 2" xfId="13942"/>
    <cellStyle name="Percent 2 2 2 2 2 2 4 3" xfId="19813"/>
    <cellStyle name="Percent 2 2 2 2 2 2 5" xfId="5520"/>
    <cellStyle name="Percent 2 2 2 2 2 2 5 2" xfId="13943"/>
    <cellStyle name="Percent 2 2 2 2 2 2 5 3" xfId="19814"/>
    <cellStyle name="Percent 2 2 2 2 2 2 6" xfId="5521"/>
    <cellStyle name="Percent 2 2 2 2 2 2 6 2" xfId="13944"/>
    <cellStyle name="Percent 2 2 2 2 2 2 6 3" xfId="19815"/>
    <cellStyle name="Percent 2 2 2 2 2 2 7" xfId="5522"/>
    <cellStyle name="Percent 2 2 2 2 2 2 7 2" xfId="13945"/>
    <cellStyle name="Percent 2 2 2 2 2 2 7 3" xfId="19816"/>
    <cellStyle name="Percent 2 2 2 2 2 2 8" xfId="5523"/>
    <cellStyle name="Percent 2 2 2 2 2 2 8 2" xfId="13946"/>
    <cellStyle name="Percent 2 2 2 2 2 2 8 3" xfId="19817"/>
    <cellStyle name="Percent 2 2 2 2 2 2 9" xfId="9327"/>
    <cellStyle name="Percent 2 2 2 2 2 2_LNG &amp; LPG rework" xfId="7612"/>
    <cellStyle name="Percent 2 2 2 2 2 3" xfId="510"/>
    <cellStyle name="Percent 2 2 2 2 2 3 2" xfId="5524"/>
    <cellStyle name="Percent 2 2 2 2 2 3 2 2" xfId="13947"/>
    <cellStyle name="Percent 2 2 2 2 2 3 2 3" xfId="19819"/>
    <cellStyle name="Percent 2 2 2 2 2 3 3" xfId="5525"/>
    <cellStyle name="Percent 2 2 2 2 2 3 3 2" xfId="13948"/>
    <cellStyle name="Percent 2 2 2 2 2 3 3 3" xfId="19820"/>
    <cellStyle name="Percent 2 2 2 2 2 3 4" xfId="5526"/>
    <cellStyle name="Percent 2 2 2 2 2 3 4 2" xfId="13949"/>
    <cellStyle name="Percent 2 2 2 2 2 3 4 3" xfId="19821"/>
    <cellStyle name="Percent 2 2 2 2 2 3 5" xfId="5527"/>
    <cellStyle name="Percent 2 2 2 2 2 3 5 2" xfId="13950"/>
    <cellStyle name="Percent 2 2 2 2 2 3 5 3" xfId="19822"/>
    <cellStyle name="Percent 2 2 2 2 2 3 6" xfId="5528"/>
    <cellStyle name="Percent 2 2 2 2 2 3 6 2" xfId="13951"/>
    <cellStyle name="Percent 2 2 2 2 2 3 6 3" xfId="19823"/>
    <cellStyle name="Percent 2 2 2 2 2 3 7" xfId="9329"/>
    <cellStyle name="Percent 2 2 2 2 2 3 8" xfId="19818"/>
    <cellStyle name="Percent 2 2 2 2 2 3_LNG &amp; LPG rework" xfId="7615"/>
    <cellStyle name="Percent 2 2 2 2 2 4" xfId="5529"/>
    <cellStyle name="Percent 2 2 2 2 2 4 2" xfId="5530"/>
    <cellStyle name="Percent 2 2 2 2 2 4 2 2" xfId="13953"/>
    <cellStyle name="Percent 2 2 2 2 2 4 2 3" xfId="19825"/>
    <cellStyle name="Percent 2 2 2 2 2 4 3" xfId="5531"/>
    <cellStyle name="Percent 2 2 2 2 2 4 3 2" xfId="13954"/>
    <cellStyle name="Percent 2 2 2 2 2 4 3 3" xfId="19826"/>
    <cellStyle name="Percent 2 2 2 2 2 4 4" xfId="5532"/>
    <cellStyle name="Percent 2 2 2 2 2 4 4 2" xfId="13955"/>
    <cellStyle name="Percent 2 2 2 2 2 4 4 3" xfId="19827"/>
    <cellStyle name="Percent 2 2 2 2 2 4 5" xfId="5533"/>
    <cellStyle name="Percent 2 2 2 2 2 4 5 2" xfId="13956"/>
    <cellStyle name="Percent 2 2 2 2 2 4 5 3" xfId="19828"/>
    <cellStyle name="Percent 2 2 2 2 2 4 6" xfId="13952"/>
    <cellStyle name="Percent 2 2 2 2 2 4 7" xfId="19824"/>
    <cellStyle name="Percent 2 2 2 2 2 4_LNG &amp; LPG rework" xfId="7616"/>
    <cellStyle name="Percent 2 2 2 2 2 5" xfId="5534"/>
    <cellStyle name="Percent 2 2 2 2 2 5 2" xfId="5535"/>
    <cellStyle name="Percent 2 2 2 2 2 5 2 2" xfId="13958"/>
    <cellStyle name="Percent 2 2 2 2 2 5 2 3" xfId="19830"/>
    <cellStyle name="Percent 2 2 2 2 2 5 3" xfId="5536"/>
    <cellStyle name="Percent 2 2 2 2 2 5 3 2" xfId="13959"/>
    <cellStyle name="Percent 2 2 2 2 2 5 3 3" xfId="19831"/>
    <cellStyle name="Percent 2 2 2 2 2 5 4" xfId="5537"/>
    <cellStyle name="Percent 2 2 2 2 2 5 4 2" xfId="13960"/>
    <cellStyle name="Percent 2 2 2 2 2 5 4 3" xfId="19832"/>
    <cellStyle name="Percent 2 2 2 2 2 5 5" xfId="5538"/>
    <cellStyle name="Percent 2 2 2 2 2 5 5 2" xfId="13961"/>
    <cellStyle name="Percent 2 2 2 2 2 5 5 3" xfId="19833"/>
    <cellStyle name="Percent 2 2 2 2 2 5 6" xfId="13957"/>
    <cellStyle name="Percent 2 2 2 2 2 5 7" xfId="19829"/>
    <cellStyle name="Percent 2 2 2 2 2 5_LNG &amp; LPG rework" xfId="7617"/>
    <cellStyle name="Percent 2 2 2 2 2 6" xfId="5539"/>
    <cellStyle name="Percent 2 2 2 2 2 6 2" xfId="13962"/>
    <cellStyle name="Percent 2 2 2 2 2 6 3" xfId="19834"/>
    <cellStyle name="Percent 2 2 2 2 2 7" xfId="5540"/>
    <cellStyle name="Percent 2 2 2 2 2 7 2" xfId="13963"/>
    <cellStyle name="Percent 2 2 2 2 2 7 3" xfId="19835"/>
    <cellStyle name="Percent 2 2 2 2 2 8" xfId="5541"/>
    <cellStyle name="Percent 2 2 2 2 2 8 2" xfId="13964"/>
    <cellStyle name="Percent 2 2 2 2 2 8 3" xfId="19836"/>
    <cellStyle name="Percent 2 2 2 2 2 9" xfId="5542"/>
    <cellStyle name="Percent 2 2 2 2 2 9 2" xfId="13965"/>
    <cellStyle name="Percent 2 2 2 2 2 9 3" xfId="19837"/>
    <cellStyle name="Percent 2 2 2 2 2_LNG &amp; LPG rework" xfId="7611"/>
    <cellStyle name="Percent 2 2 2 2 3" xfId="511"/>
    <cellStyle name="Percent 2 2 2 2 3 10" xfId="19838"/>
    <cellStyle name="Percent 2 2 2 2 3 2" xfId="512"/>
    <cellStyle name="Percent 2 2 2 2 3 2 2" xfId="5543"/>
    <cellStyle name="Percent 2 2 2 2 3 2 2 2" xfId="13966"/>
    <cellStyle name="Percent 2 2 2 2 3 2 2 3" xfId="19840"/>
    <cellStyle name="Percent 2 2 2 2 3 2 3" xfId="5544"/>
    <cellStyle name="Percent 2 2 2 2 3 2 3 2" xfId="13967"/>
    <cellStyle name="Percent 2 2 2 2 3 2 3 3" xfId="19841"/>
    <cellStyle name="Percent 2 2 2 2 3 2 4" xfId="5545"/>
    <cellStyle name="Percent 2 2 2 2 3 2 4 2" xfId="13968"/>
    <cellStyle name="Percent 2 2 2 2 3 2 4 3" xfId="19842"/>
    <cellStyle name="Percent 2 2 2 2 3 2 5" xfId="5546"/>
    <cellStyle name="Percent 2 2 2 2 3 2 5 2" xfId="13969"/>
    <cellStyle name="Percent 2 2 2 2 3 2 5 3" xfId="19843"/>
    <cellStyle name="Percent 2 2 2 2 3 2 6" xfId="5547"/>
    <cellStyle name="Percent 2 2 2 2 3 2 6 2" xfId="13970"/>
    <cellStyle name="Percent 2 2 2 2 3 2 6 3" xfId="19844"/>
    <cellStyle name="Percent 2 2 2 2 3 2 7" xfId="9331"/>
    <cellStyle name="Percent 2 2 2 2 3 2 8" xfId="19839"/>
    <cellStyle name="Percent 2 2 2 2 3 2_LNG &amp; LPG rework" xfId="7619"/>
    <cellStyle name="Percent 2 2 2 2 3 3" xfId="5548"/>
    <cellStyle name="Percent 2 2 2 2 3 3 2" xfId="5549"/>
    <cellStyle name="Percent 2 2 2 2 3 3 2 2" xfId="13972"/>
    <cellStyle name="Percent 2 2 2 2 3 3 2 3" xfId="19846"/>
    <cellStyle name="Percent 2 2 2 2 3 3 3" xfId="5550"/>
    <cellStyle name="Percent 2 2 2 2 3 3 3 2" xfId="13973"/>
    <cellStyle name="Percent 2 2 2 2 3 3 3 3" xfId="19847"/>
    <cellStyle name="Percent 2 2 2 2 3 3 4" xfId="5551"/>
    <cellStyle name="Percent 2 2 2 2 3 3 4 2" xfId="13974"/>
    <cellStyle name="Percent 2 2 2 2 3 3 4 3" xfId="19848"/>
    <cellStyle name="Percent 2 2 2 2 3 3 5" xfId="5552"/>
    <cellStyle name="Percent 2 2 2 2 3 3 5 2" xfId="13975"/>
    <cellStyle name="Percent 2 2 2 2 3 3 5 3" xfId="19849"/>
    <cellStyle name="Percent 2 2 2 2 3 3 6" xfId="13971"/>
    <cellStyle name="Percent 2 2 2 2 3 3 7" xfId="19845"/>
    <cellStyle name="Percent 2 2 2 2 3 3_LNG &amp; LPG rework" xfId="7620"/>
    <cellStyle name="Percent 2 2 2 2 3 4" xfId="5553"/>
    <cellStyle name="Percent 2 2 2 2 3 4 2" xfId="13976"/>
    <cellStyle name="Percent 2 2 2 2 3 4 3" xfId="19850"/>
    <cellStyle name="Percent 2 2 2 2 3 5" xfId="5554"/>
    <cellStyle name="Percent 2 2 2 2 3 5 2" xfId="13977"/>
    <cellStyle name="Percent 2 2 2 2 3 5 3" xfId="19851"/>
    <cellStyle name="Percent 2 2 2 2 3 6" xfId="5555"/>
    <cellStyle name="Percent 2 2 2 2 3 6 2" xfId="13978"/>
    <cellStyle name="Percent 2 2 2 2 3 6 3" xfId="19852"/>
    <cellStyle name="Percent 2 2 2 2 3 7" xfId="5556"/>
    <cellStyle name="Percent 2 2 2 2 3 7 2" xfId="13979"/>
    <cellStyle name="Percent 2 2 2 2 3 7 3" xfId="19853"/>
    <cellStyle name="Percent 2 2 2 2 3 8" xfId="5557"/>
    <cellStyle name="Percent 2 2 2 2 3 8 2" xfId="13980"/>
    <cellStyle name="Percent 2 2 2 2 3 8 3" xfId="19854"/>
    <cellStyle name="Percent 2 2 2 2 3 9" xfId="9330"/>
    <cellStyle name="Percent 2 2 2 2 3_LNG &amp; LPG rework" xfId="7618"/>
    <cellStyle name="Percent 2 2 2 2 4" xfId="513"/>
    <cellStyle name="Percent 2 2 2 2 4 2" xfId="5558"/>
    <cellStyle name="Percent 2 2 2 2 4 2 2" xfId="13981"/>
    <cellStyle name="Percent 2 2 2 2 4 2 3" xfId="19856"/>
    <cellStyle name="Percent 2 2 2 2 4 3" xfId="5559"/>
    <cellStyle name="Percent 2 2 2 2 4 3 2" xfId="13982"/>
    <cellStyle name="Percent 2 2 2 2 4 3 3" xfId="19857"/>
    <cellStyle name="Percent 2 2 2 2 4 4" xfId="5560"/>
    <cellStyle name="Percent 2 2 2 2 4 4 2" xfId="13983"/>
    <cellStyle name="Percent 2 2 2 2 4 4 3" xfId="19858"/>
    <cellStyle name="Percent 2 2 2 2 4 5" xfId="5561"/>
    <cellStyle name="Percent 2 2 2 2 4 5 2" xfId="13984"/>
    <cellStyle name="Percent 2 2 2 2 4 5 3" xfId="19859"/>
    <cellStyle name="Percent 2 2 2 2 4 6" xfId="5562"/>
    <cellStyle name="Percent 2 2 2 2 4 6 2" xfId="13985"/>
    <cellStyle name="Percent 2 2 2 2 4 6 3" xfId="19860"/>
    <cellStyle name="Percent 2 2 2 2 4 7" xfId="9332"/>
    <cellStyle name="Percent 2 2 2 2 4 8" xfId="19855"/>
    <cellStyle name="Percent 2 2 2 2 4_LNG &amp; LPG rework" xfId="7621"/>
    <cellStyle name="Percent 2 2 2 2 5" xfId="5563"/>
    <cellStyle name="Percent 2 2 2 2 5 2" xfId="5564"/>
    <cellStyle name="Percent 2 2 2 2 5 2 2" xfId="13987"/>
    <cellStyle name="Percent 2 2 2 2 5 2 3" xfId="19862"/>
    <cellStyle name="Percent 2 2 2 2 5 3" xfId="5565"/>
    <cellStyle name="Percent 2 2 2 2 5 3 2" xfId="13988"/>
    <cellStyle name="Percent 2 2 2 2 5 3 3" xfId="19863"/>
    <cellStyle name="Percent 2 2 2 2 5 4" xfId="5566"/>
    <cellStyle name="Percent 2 2 2 2 5 4 2" xfId="13989"/>
    <cellStyle name="Percent 2 2 2 2 5 4 3" xfId="19864"/>
    <cellStyle name="Percent 2 2 2 2 5 5" xfId="5567"/>
    <cellStyle name="Percent 2 2 2 2 5 5 2" xfId="13990"/>
    <cellStyle name="Percent 2 2 2 2 5 5 3" xfId="19865"/>
    <cellStyle name="Percent 2 2 2 2 5 6" xfId="13986"/>
    <cellStyle name="Percent 2 2 2 2 5 7" xfId="19861"/>
    <cellStyle name="Percent 2 2 2 2 5_LNG &amp; LPG rework" xfId="7622"/>
    <cellStyle name="Percent 2 2 2 2 6" xfId="5568"/>
    <cellStyle name="Percent 2 2 2 2 6 2" xfId="5569"/>
    <cellStyle name="Percent 2 2 2 2 6 2 2" xfId="13992"/>
    <cellStyle name="Percent 2 2 2 2 6 2 3" xfId="19867"/>
    <cellStyle name="Percent 2 2 2 2 6 3" xfId="5570"/>
    <cellStyle name="Percent 2 2 2 2 6 3 2" xfId="13993"/>
    <cellStyle name="Percent 2 2 2 2 6 3 3" xfId="19868"/>
    <cellStyle name="Percent 2 2 2 2 6 4" xfId="5571"/>
    <cellStyle name="Percent 2 2 2 2 6 4 2" xfId="13994"/>
    <cellStyle name="Percent 2 2 2 2 6 4 3" xfId="19869"/>
    <cellStyle name="Percent 2 2 2 2 6 5" xfId="5572"/>
    <cellStyle name="Percent 2 2 2 2 6 5 2" xfId="13995"/>
    <cellStyle name="Percent 2 2 2 2 6 5 3" xfId="19870"/>
    <cellStyle name="Percent 2 2 2 2 6 6" xfId="13991"/>
    <cellStyle name="Percent 2 2 2 2 6 7" xfId="19866"/>
    <cellStyle name="Percent 2 2 2 2 6_LNG &amp; LPG rework" xfId="7623"/>
    <cellStyle name="Percent 2 2 2 2 7" xfId="5573"/>
    <cellStyle name="Percent 2 2 2 2 7 2" xfId="13996"/>
    <cellStyle name="Percent 2 2 2 2 7 3" xfId="19871"/>
    <cellStyle name="Percent 2 2 2 2 8" xfId="5574"/>
    <cellStyle name="Percent 2 2 2 2 8 2" xfId="13997"/>
    <cellStyle name="Percent 2 2 2 2 8 3" xfId="19872"/>
    <cellStyle name="Percent 2 2 2 2 9" xfId="5575"/>
    <cellStyle name="Percent 2 2 2 2 9 2" xfId="13998"/>
    <cellStyle name="Percent 2 2 2 2 9 3" xfId="19873"/>
    <cellStyle name="Percent 2 2 2 2_LNG &amp; LPG rework" xfId="7610"/>
    <cellStyle name="Percent 2 2 2 3" xfId="514"/>
    <cellStyle name="Percent 2 2 2 3 10" xfId="5576"/>
    <cellStyle name="Percent 2 2 2 3 10 2" xfId="13999"/>
    <cellStyle name="Percent 2 2 2 3 10 3" xfId="19875"/>
    <cellStyle name="Percent 2 2 2 3 11" xfId="9333"/>
    <cellStyle name="Percent 2 2 2 3 12" xfId="19874"/>
    <cellStyle name="Percent 2 2 2 3 2" xfId="515"/>
    <cellStyle name="Percent 2 2 2 3 2 10" xfId="19876"/>
    <cellStyle name="Percent 2 2 2 3 2 2" xfId="516"/>
    <cellStyle name="Percent 2 2 2 3 2 2 2" xfId="5577"/>
    <cellStyle name="Percent 2 2 2 3 2 2 2 2" xfId="14000"/>
    <cellStyle name="Percent 2 2 2 3 2 2 2 3" xfId="19878"/>
    <cellStyle name="Percent 2 2 2 3 2 2 3" xfId="5578"/>
    <cellStyle name="Percent 2 2 2 3 2 2 3 2" xfId="14001"/>
    <cellStyle name="Percent 2 2 2 3 2 2 3 3" xfId="19879"/>
    <cellStyle name="Percent 2 2 2 3 2 2 4" xfId="5579"/>
    <cellStyle name="Percent 2 2 2 3 2 2 4 2" xfId="14002"/>
    <cellStyle name="Percent 2 2 2 3 2 2 4 3" xfId="19880"/>
    <cellStyle name="Percent 2 2 2 3 2 2 5" xfId="5580"/>
    <cellStyle name="Percent 2 2 2 3 2 2 5 2" xfId="14003"/>
    <cellStyle name="Percent 2 2 2 3 2 2 5 3" xfId="19881"/>
    <cellStyle name="Percent 2 2 2 3 2 2 6" xfId="5581"/>
    <cellStyle name="Percent 2 2 2 3 2 2 6 2" xfId="14004"/>
    <cellStyle name="Percent 2 2 2 3 2 2 6 3" xfId="19882"/>
    <cellStyle name="Percent 2 2 2 3 2 2 7" xfId="9335"/>
    <cellStyle name="Percent 2 2 2 3 2 2 8" xfId="19877"/>
    <cellStyle name="Percent 2 2 2 3 2 2_LNG &amp; LPG rework" xfId="7626"/>
    <cellStyle name="Percent 2 2 2 3 2 3" xfId="5582"/>
    <cellStyle name="Percent 2 2 2 3 2 3 2" xfId="5583"/>
    <cellStyle name="Percent 2 2 2 3 2 3 2 2" xfId="14006"/>
    <cellStyle name="Percent 2 2 2 3 2 3 2 3" xfId="19884"/>
    <cellStyle name="Percent 2 2 2 3 2 3 3" xfId="5584"/>
    <cellStyle name="Percent 2 2 2 3 2 3 3 2" xfId="14007"/>
    <cellStyle name="Percent 2 2 2 3 2 3 3 3" xfId="19885"/>
    <cellStyle name="Percent 2 2 2 3 2 3 4" xfId="5585"/>
    <cellStyle name="Percent 2 2 2 3 2 3 4 2" xfId="14008"/>
    <cellStyle name="Percent 2 2 2 3 2 3 4 3" xfId="19886"/>
    <cellStyle name="Percent 2 2 2 3 2 3 5" xfId="5586"/>
    <cellStyle name="Percent 2 2 2 3 2 3 5 2" xfId="14009"/>
    <cellStyle name="Percent 2 2 2 3 2 3 5 3" xfId="19887"/>
    <cellStyle name="Percent 2 2 2 3 2 3 6" xfId="14005"/>
    <cellStyle name="Percent 2 2 2 3 2 3 7" xfId="19883"/>
    <cellStyle name="Percent 2 2 2 3 2 3_LNG &amp; LPG rework" xfId="7627"/>
    <cellStyle name="Percent 2 2 2 3 2 4" xfId="5587"/>
    <cellStyle name="Percent 2 2 2 3 2 4 2" xfId="14010"/>
    <cellStyle name="Percent 2 2 2 3 2 4 3" xfId="19888"/>
    <cellStyle name="Percent 2 2 2 3 2 5" xfId="5588"/>
    <cellStyle name="Percent 2 2 2 3 2 5 2" xfId="14011"/>
    <cellStyle name="Percent 2 2 2 3 2 5 3" xfId="19889"/>
    <cellStyle name="Percent 2 2 2 3 2 6" xfId="5589"/>
    <cellStyle name="Percent 2 2 2 3 2 6 2" xfId="14012"/>
    <cellStyle name="Percent 2 2 2 3 2 6 3" xfId="19890"/>
    <cellStyle name="Percent 2 2 2 3 2 7" xfId="5590"/>
    <cellStyle name="Percent 2 2 2 3 2 7 2" xfId="14013"/>
    <cellStyle name="Percent 2 2 2 3 2 7 3" xfId="19891"/>
    <cellStyle name="Percent 2 2 2 3 2 8" xfId="5591"/>
    <cellStyle name="Percent 2 2 2 3 2 8 2" xfId="14014"/>
    <cellStyle name="Percent 2 2 2 3 2 8 3" xfId="19892"/>
    <cellStyle name="Percent 2 2 2 3 2 9" xfId="9334"/>
    <cellStyle name="Percent 2 2 2 3 2_LNG &amp; LPG rework" xfId="7625"/>
    <cellStyle name="Percent 2 2 2 3 3" xfId="517"/>
    <cellStyle name="Percent 2 2 2 3 3 2" xfId="5592"/>
    <cellStyle name="Percent 2 2 2 3 3 2 2" xfId="14015"/>
    <cellStyle name="Percent 2 2 2 3 3 2 3" xfId="19894"/>
    <cellStyle name="Percent 2 2 2 3 3 3" xfId="5593"/>
    <cellStyle name="Percent 2 2 2 3 3 3 2" xfId="14016"/>
    <cellStyle name="Percent 2 2 2 3 3 3 3" xfId="19895"/>
    <cellStyle name="Percent 2 2 2 3 3 4" xfId="5594"/>
    <cellStyle name="Percent 2 2 2 3 3 4 2" xfId="14017"/>
    <cellStyle name="Percent 2 2 2 3 3 4 3" xfId="19896"/>
    <cellStyle name="Percent 2 2 2 3 3 5" xfId="5595"/>
    <cellStyle name="Percent 2 2 2 3 3 5 2" xfId="14018"/>
    <cellStyle name="Percent 2 2 2 3 3 5 3" xfId="19897"/>
    <cellStyle name="Percent 2 2 2 3 3 6" xfId="5596"/>
    <cellStyle name="Percent 2 2 2 3 3 6 2" xfId="14019"/>
    <cellStyle name="Percent 2 2 2 3 3 6 3" xfId="19898"/>
    <cellStyle name="Percent 2 2 2 3 3 7" xfId="9336"/>
    <cellStyle name="Percent 2 2 2 3 3 8" xfId="19893"/>
    <cellStyle name="Percent 2 2 2 3 3_LNG &amp; LPG rework" xfId="7628"/>
    <cellStyle name="Percent 2 2 2 3 4" xfId="5597"/>
    <cellStyle name="Percent 2 2 2 3 4 2" xfId="5598"/>
    <cellStyle name="Percent 2 2 2 3 4 2 2" xfId="14021"/>
    <cellStyle name="Percent 2 2 2 3 4 2 3" xfId="19900"/>
    <cellStyle name="Percent 2 2 2 3 4 3" xfId="5599"/>
    <cellStyle name="Percent 2 2 2 3 4 3 2" xfId="14022"/>
    <cellStyle name="Percent 2 2 2 3 4 3 3" xfId="19901"/>
    <cellStyle name="Percent 2 2 2 3 4 4" xfId="5600"/>
    <cellStyle name="Percent 2 2 2 3 4 4 2" xfId="14023"/>
    <cellStyle name="Percent 2 2 2 3 4 4 3" xfId="19902"/>
    <cellStyle name="Percent 2 2 2 3 4 5" xfId="5601"/>
    <cellStyle name="Percent 2 2 2 3 4 5 2" xfId="14024"/>
    <cellStyle name="Percent 2 2 2 3 4 5 3" xfId="19903"/>
    <cellStyle name="Percent 2 2 2 3 4 6" xfId="14020"/>
    <cellStyle name="Percent 2 2 2 3 4 7" xfId="19899"/>
    <cellStyle name="Percent 2 2 2 3 4_LNG &amp; LPG rework" xfId="7629"/>
    <cellStyle name="Percent 2 2 2 3 5" xfId="5602"/>
    <cellStyle name="Percent 2 2 2 3 5 2" xfId="5603"/>
    <cellStyle name="Percent 2 2 2 3 5 2 2" xfId="14026"/>
    <cellStyle name="Percent 2 2 2 3 5 2 3" xfId="19905"/>
    <cellStyle name="Percent 2 2 2 3 5 3" xfId="5604"/>
    <cellStyle name="Percent 2 2 2 3 5 3 2" xfId="14027"/>
    <cellStyle name="Percent 2 2 2 3 5 3 3" xfId="19906"/>
    <cellStyle name="Percent 2 2 2 3 5 4" xfId="5605"/>
    <cellStyle name="Percent 2 2 2 3 5 4 2" xfId="14028"/>
    <cellStyle name="Percent 2 2 2 3 5 4 3" xfId="19907"/>
    <cellStyle name="Percent 2 2 2 3 5 5" xfId="5606"/>
    <cellStyle name="Percent 2 2 2 3 5 5 2" xfId="14029"/>
    <cellStyle name="Percent 2 2 2 3 5 5 3" xfId="19908"/>
    <cellStyle name="Percent 2 2 2 3 5 6" xfId="14025"/>
    <cellStyle name="Percent 2 2 2 3 5 7" xfId="19904"/>
    <cellStyle name="Percent 2 2 2 3 5_LNG &amp; LPG rework" xfId="7630"/>
    <cellStyle name="Percent 2 2 2 3 6" xfId="5607"/>
    <cellStyle name="Percent 2 2 2 3 6 2" xfId="14030"/>
    <cellStyle name="Percent 2 2 2 3 6 3" xfId="19909"/>
    <cellStyle name="Percent 2 2 2 3 7" xfId="5608"/>
    <cellStyle name="Percent 2 2 2 3 7 2" xfId="14031"/>
    <cellStyle name="Percent 2 2 2 3 7 3" xfId="19910"/>
    <cellStyle name="Percent 2 2 2 3 8" xfId="5609"/>
    <cellStyle name="Percent 2 2 2 3 8 2" xfId="14032"/>
    <cellStyle name="Percent 2 2 2 3 8 3" xfId="19911"/>
    <cellStyle name="Percent 2 2 2 3 9" xfId="5610"/>
    <cellStyle name="Percent 2 2 2 3 9 2" xfId="14033"/>
    <cellStyle name="Percent 2 2 2 3 9 3" xfId="19912"/>
    <cellStyle name="Percent 2 2 2 3_LNG &amp; LPG rework" xfId="7624"/>
    <cellStyle name="Percent 2 2 2 4" xfId="518"/>
    <cellStyle name="Percent 2 2 2 4 10" xfId="19913"/>
    <cellStyle name="Percent 2 2 2 4 2" xfId="519"/>
    <cellStyle name="Percent 2 2 2 4 2 2" xfId="5611"/>
    <cellStyle name="Percent 2 2 2 4 2 2 2" xfId="14034"/>
    <cellStyle name="Percent 2 2 2 4 2 2 3" xfId="19915"/>
    <cellStyle name="Percent 2 2 2 4 2 3" xfId="5612"/>
    <cellStyle name="Percent 2 2 2 4 2 3 2" xfId="14035"/>
    <cellStyle name="Percent 2 2 2 4 2 3 3" xfId="19916"/>
    <cellStyle name="Percent 2 2 2 4 2 4" xfId="5613"/>
    <cellStyle name="Percent 2 2 2 4 2 4 2" xfId="14036"/>
    <cellStyle name="Percent 2 2 2 4 2 4 3" xfId="19917"/>
    <cellStyle name="Percent 2 2 2 4 2 5" xfId="5614"/>
    <cellStyle name="Percent 2 2 2 4 2 5 2" xfId="14037"/>
    <cellStyle name="Percent 2 2 2 4 2 5 3" xfId="19918"/>
    <cellStyle name="Percent 2 2 2 4 2 6" xfId="5615"/>
    <cellStyle name="Percent 2 2 2 4 2 6 2" xfId="14038"/>
    <cellStyle name="Percent 2 2 2 4 2 6 3" xfId="19919"/>
    <cellStyle name="Percent 2 2 2 4 2 7" xfId="9338"/>
    <cellStyle name="Percent 2 2 2 4 2 8" xfId="19914"/>
    <cellStyle name="Percent 2 2 2 4 2_LNG &amp; LPG rework" xfId="7632"/>
    <cellStyle name="Percent 2 2 2 4 3" xfId="5616"/>
    <cellStyle name="Percent 2 2 2 4 3 2" xfId="5617"/>
    <cellStyle name="Percent 2 2 2 4 3 2 2" xfId="14040"/>
    <cellStyle name="Percent 2 2 2 4 3 2 3" xfId="19921"/>
    <cellStyle name="Percent 2 2 2 4 3 3" xfId="5618"/>
    <cellStyle name="Percent 2 2 2 4 3 3 2" xfId="14041"/>
    <cellStyle name="Percent 2 2 2 4 3 3 3" xfId="19922"/>
    <cellStyle name="Percent 2 2 2 4 3 4" xfId="5619"/>
    <cellStyle name="Percent 2 2 2 4 3 4 2" xfId="14042"/>
    <cellStyle name="Percent 2 2 2 4 3 4 3" xfId="19923"/>
    <cellStyle name="Percent 2 2 2 4 3 5" xfId="5620"/>
    <cellStyle name="Percent 2 2 2 4 3 5 2" xfId="14043"/>
    <cellStyle name="Percent 2 2 2 4 3 5 3" xfId="19924"/>
    <cellStyle name="Percent 2 2 2 4 3 6" xfId="14039"/>
    <cellStyle name="Percent 2 2 2 4 3 7" xfId="19920"/>
    <cellStyle name="Percent 2 2 2 4 3_LNG &amp; LPG rework" xfId="7633"/>
    <cellStyle name="Percent 2 2 2 4 4" xfId="5621"/>
    <cellStyle name="Percent 2 2 2 4 4 2" xfId="14044"/>
    <cellStyle name="Percent 2 2 2 4 4 3" xfId="19925"/>
    <cellStyle name="Percent 2 2 2 4 5" xfId="5622"/>
    <cellStyle name="Percent 2 2 2 4 5 2" xfId="14045"/>
    <cellStyle name="Percent 2 2 2 4 5 3" xfId="19926"/>
    <cellStyle name="Percent 2 2 2 4 6" xfId="5623"/>
    <cellStyle name="Percent 2 2 2 4 6 2" xfId="14046"/>
    <cellStyle name="Percent 2 2 2 4 6 3" xfId="19927"/>
    <cellStyle name="Percent 2 2 2 4 7" xfId="5624"/>
    <cellStyle name="Percent 2 2 2 4 7 2" xfId="14047"/>
    <cellStyle name="Percent 2 2 2 4 7 3" xfId="19928"/>
    <cellStyle name="Percent 2 2 2 4 8" xfId="5625"/>
    <cellStyle name="Percent 2 2 2 4 8 2" xfId="14048"/>
    <cellStyle name="Percent 2 2 2 4 8 3" xfId="19929"/>
    <cellStyle name="Percent 2 2 2 4 9" xfId="9337"/>
    <cellStyle name="Percent 2 2 2 4_LNG &amp; LPG rework" xfId="7631"/>
    <cellStyle name="Percent 2 2 2 5" xfId="520"/>
    <cellStyle name="Percent 2 2 2 5 2" xfId="5626"/>
    <cellStyle name="Percent 2 2 2 5 2 2" xfId="14049"/>
    <cellStyle name="Percent 2 2 2 5 2 3" xfId="19931"/>
    <cellStyle name="Percent 2 2 2 5 3" xfId="5627"/>
    <cellStyle name="Percent 2 2 2 5 3 2" xfId="14050"/>
    <cellStyle name="Percent 2 2 2 5 3 3" xfId="19932"/>
    <cellStyle name="Percent 2 2 2 5 4" xfId="5628"/>
    <cellStyle name="Percent 2 2 2 5 4 2" xfId="14051"/>
    <cellStyle name="Percent 2 2 2 5 4 3" xfId="19933"/>
    <cellStyle name="Percent 2 2 2 5 5" xfId="5629"/>
    <cellStyle name="Percent 2 2 2 5 5 2" xfId="14052"/>
    <cellStyle name="Percent 2 2 2 5 5 3" xfId="19934"/>
    <cellStyle name="Percent 2 2 2 5 6" xfId="5630"/>
    <cellStyle name="Percent 2 2 2 5 6 2" xfId="14053"/>
    <cellStyle name="Percent 2 2 2 5 6 3" xfId="19935"/>
    <cellStyle name="Percent 2 2 2 5 7" xfId="9339"/>
    <cellStyle name="Percent 2 2 2 5 8" xfId="19930"/>
    <cellStyle name="Percent 2 2 2 5_LNG &amp; LPG rework" xfId="7634"/>
    <cellStyle name="Percent 2 2 2 6" xfId="5631"/>
    <cellStyle name="Percent 2 2 2 6 2" xfId="5632"/>
    <cellStyle name="Percent 2 2 2 6 2 2" xfId="14055"/>
    <cellStyle name="Percent 2 2 2 6 2 3" xfId="19937"/>
    <cellStyle name="Percent 2 2 2 6 3" xfId="5633"/>
    <cellStyle name="Percent 2 2 2 6 3 2" xfId="14056"/>
    <cellStyle name="Percent 2 2 2 6 3 3" xfId="19938"/>
    <cellStyle name="Percent 2 2 2 6 4" xfId="5634"/>
    <cellStyle name="Percent 2 2 2 6 4 2" xfId="14057"/>
    <cellStyle name="Percent 2 2 2 6 4 3" xfId="19939"/>
    <cellStyle name="Percent 2 2 2 6 5" xfId="5635"/>
    <cellStyle name="Percent 2 2 2 6 5 2" xfId="14058"/>
    <cellStyle name="Percent 2 2 2 6 5 3" xfId="19940"/>
    <cellStyle name="Percent 2 2 2 6 6" xfId="14054"/>
    <cellStyle name="Percent 2 2 2 6 7" xfId="19936"/>
    <cellStyle name="Percent 2 2 2 6_LNG &amp; LPG rework" xfId="7635"/>
    <cellStyle name="Percent 2 2 2 7" xfId="5636"/>
    <cellStyle name="Percent 2 2 2 7 2" xfId="5637"/>
    <cellStyle name="Percent 2 2 2 7 2 2" xfId="14060"/>
    <cellStyle name="Percent 2 2 2 7 2 3" xfId="19942"/>
    <cellStyle name="Percent 2 2 2 7 3" xfId="5638"/>
    <cellStyle name="Percent 2 2 2 7 3 2" xfId="14061"/>
    <cellStyle name="Percent 2 2 2 7 3 3" xfId="19943"/>
    <cellStyle name="Percent 2 2 2 7 4" xfId="5639"/>
    <cellStyle name="Percent 2 2 2 7 4 2" xfId="14062"/>
    <cellStyle name="Percent 2 2 2 7 4 3" xfId="19944"/>
    <cellStyle name="Percent 2 2 2 7 5" xfId="5640"/>
    <cellStyle name="Percent 2 2 2 7 5 2" xfId="14063"/>
    <cellStyle name="Percent 2 2 2 7 5 3" xfId="19945"/>
    <cellStyle name="Percent 2 2 2 7 6" xfId="14059"/>
    <cellStyle name="Percent 2 2 2 7 7" xfId="19941"/>
    <cellStyle name="Percent 2 2 2 7_LNG &amp; LPG rework" xfId="7636"/>
    <cellStyle name="Percent 2 2 2 8" xfId="5641"/>
    <cellStyle name="Percent 2 2 2 8 2" xfId="14064"/>
    <cellStyle name="Percent 2 2 2 8 3" xfId="19946"/>
    <cellStyle name="Percent 2 2 2 9" xfId="5642"/>
    <cellStyle name="Percent 2 2 2 9 2" xfId="14065"/>
    <cellStyle name="Percent 2 2 2 9 3" xfId="19947"/>
    <cellStyle name="Percent 2 2 2_LNG &amp; LPG rework" xfId="7609"/>
    <cellStyle name="Percent 2 2 3" xfId="521"/>
    <cellStyle name="Percent 2 2 3 10" xfId="5643"/>
    <cellStyle name="Percent 2 2 3 10 2" xfId="14066"/>
    <cellStyle name="Percent 2 2 3 10 3" xfId="19949"/>
    <cellStyle name="Percent 2 2 3 11" xfId="5644"/>
    <cellStyle name="Percent 2 2 3 11 2" xfId="14067"/>
    <cellStyle name="Percent 2 2 3 11 3" xfId="19950"/>
    <cellStyle name="Percent 2 2 3 12" xfId="9340"/>
    <cellStyle name="Percent 2 2 3 13" xfId="19948"/>
    <cellStyle name="Percent 2 2 3 2" xfId="522"/>
    <cellStyle name="Percent 2 2 3 2 10" xfId="5645"/>
    <cellStyle name="Percent 2 2 3 2 10 2" xfId="14068"/>
    <cellStyle name="Percent 2 2 3 2 10 3" xfId="19952"/>
    <cellStyle name="Percent 2 2 3 2 11" xfId="9341"/>
    <cellStyle name="Percent 2 2 3 2 12" xfId="19951"/>
    <cellStyle name="Percent 2 2 3 2 2" xfId="523"/>
    <cellStyle name="Percent 2 2 3 2 2 10" xfId="19953"/>
    <cellStyle name="Percent 2 2 3 2 2 2" xfId="524"/>
    <cellStyle name="Percent 2 2 3 2 2 2 2" xfId="5646"/>
    <cellStyle name="Percent 2 2 3 2 2 2 2 2" xfId="14069"/>
    <cellStyle name="Percent 2 2 3 2 2 2 2 3" xfId="19955"/>
    <cellStyle name="Percent 2 2 3 2 2 2 3" xfId="5647"/>
    <cellStyle name="Percent 2 2 3 2 2 2 3 2" xfId="14070"/>
    <cellStyle name="Percent 2 2 3 2 2 2 3 3" xfId="19956"/>
    <cellStyle name="Percent 2 2 3 2 2 2 4" xfId="5648"/>
    <cellStyle name="Percent 2 2 3 2 2 2 4 2" xfId="14071"/>
    <cellStyle name="Percent 2 2 3 2 2 2 4 3" xfId="19957"/>
    <cellStyle name="Percent 2 2 3 2 2 2 5" xfId="5649"/>
    <cellStyle name="Percent 2 2 3 2 2 2 5 2" xfId="14072"/>
    <cellStyle name="Percent 2 2 3 2 2 2 5 3" xfId="19958"/>
    <cellStyle name="Percent 2 2 3 2 2 2 6" xfId="5650"/>
    <cellStyle name="Percent 2 2 3 2 2 2 6 2" xfId="14073"/>
    <cellStyle name="Percent 2 2 3 2 2 2 6 3" xfId="19959"/>
    <cellStyle name="Percent 2 2 3 2 2 2 7" xfId="9343"/>
    <cellStyle name="Percent 2 2 3 2 2 2 8" xfId="19954"/>
    <cellStyle name="Percent 2 2 3 2 2 2_LNG &amp; LPG rework" xfId="7640"/>
    <cellStyle name="Percent 2 2 3 2 2 3" xfId="5651"/>
    <cellStyle name="Percent 2 2 3 2 2 3 2" xfId="5652"/>
    <cellStyle name="Percent 2 2 3 2 2 3 2 2" xfId="14075"/>
    <cellStyle name="Percent 2 2 3 2 2 3 2 3" xfId="19961"/>
    <cellStyle name="Percent 2 2 3 2 2 3 3" xfId="5653"/>
    <cellStyle name="Percent 2 2 3 2 2 3 3 2" xfId="14076"/>
    <cellStyle name="Percent 2 2 3 2 2 3 3 3" xfId="19962"/>
    <cellStyle name="Percent 2 2 3 2 2 3 4" xfId="5654"/>
    <cellStyle name="Percent 2 2 3 2 2 3 4 2" xfId="14077"/>
    <cellStyle name="Percent 2 2 3 2 2 3 4 3" xfId="19963"/>
    <cellStyle name="Percent 2 2 3 2 2 3 5" xfId="5655"/>
    <cellStyle name="Percent 2 2 3 2 2 3 5 2" xfId="14078"/>
    <cellStyle name="Percent 2 2 3 2 2 3 5 3" xfId="19964"/>
    <cellStyle name="Percent 2 2 3 2 2 3 6" xfId="14074"/>
    <cellStyle name="Percent 2 2 3 2 2 3 7" xfId="19960"/>
    <cellStyle name="Percent 2 2 3 2 2 3_LNG &amp; LPG rework" xfId="7641"/>
    <cellStyle name="Percent 2 2 3 2 2 4" xfId="5656"/>
    <cellStyle name="Percent 2 2 3 2 2 4 2" xfId="14079"/>
    <cellStyle name="Percent 2 2 3 2 2 4 3" xfId="19965"/>
    <cellStyle name="Percent 2 2 3 2 2 5" xfId="5657"/>
    <cellStyle name="Percent 2 2 3 2 2 5 2" xfId="14080"/>
    <cellStyle name="Percent 2 2 3 2 2 5 3" xfId="19966"/>
    <cellStyle name="Percent 2 2 3 2 2 6" xfId="5658"/>
    <cellStyle name="Percent 2 2 3 2 2 6 2" xfId="14081"/>
    <cellStyle name="Percent 2 2 3 2 2 6 3" xfId="19967"/>
    <cellStyle name="Percent 2 2 3 2 2 7" xfId="5659"/>
    <cellStyle name="Percent 2 2 3 2 2 7 2" xfId="14082"/>
    <cellStyle name="Percent 2 2 3 2 2 7 3" xfId="19968"/>
    <cellStyle name="Percent 2 2 3 2 2 8" xfId="5660"/>
    <cellStyle name="Percent 2 2 3 2 2 8 2" xfId="14083"/>
    <cellStyle name="Percent 2 2 3 2 2 8 3" xfId="19969"/>
    <cellStyle name="Percent 2 2 3 2 2 9" xfId="9342"/>
    <cellStyle name="Percent 2 2 3 2 2_LNG &amp; LPG rework" xfId="7639"/>
    <cellStyle name="Percent 2 2 3 2 3" xfId="525"/>
    <cellStyle name="Percent 2 2 3 2 3 2" xfId="5661"/>
    <cellStyle name="Percent 2 2 3 2 3 2 2" xfId="14084"/>
    <cellStyle name="Percent 2 2 3 2 3 2 3" xfId="19971"/>
    <cellStyle name="Percent 2 2 3 2 3 3" xfId="5662"/>
    <cellStyle name="Percent 2 2 3 2 3 3 2" xfId="14085"/>
    <cellStyle name="Percent 2 2 3 2 3 3 3" xfId="19972"/>
    <cellStyle name="Percent 2 2 3 2 3 4" xfId="5663"/>
    <cellStyle name="Percent 2 2 3 2 3 4 2" xfId="14086"/>
    <cellStyle name="Percent 2 2 3 2 3 4 3" xfId="19973"/>
    <cellStyle name="Percent 2 2 3 2 3 5" xfId="5664"/>
    <cellStyle name="Percent 2 2 3 2 3 5 2" xfId="14087"/>
    <cellStyle name="Percent 2 2 3 2 3 5 3" xfId="19974"/>
    <cellStyle name="Percent 2 2 3 2 3 6" xfId="5665"/>
    <cellStyle name="Percent 2 2 3 2 3 6 2" xfId="14088"/>
    <cellStyle name="Percent 2 2 3 2 3 6 3" xfId="19975"/>
    <cellStyle name="Percent 2 2 3 2 3 7" xfId="9344"/>
    <cellStyle name="Percent 2 2 3 2 3 8" xfId="19970"/>
    <cellStyle name="Percent 2 2 3 2 3_LNG &amp; LPG rework" xfId="7642"/>
    <cellStyle name="Percent 2 2 3 2 4" xfId="5666"/>
    <cellStyle name="Percent 2 2 3 2 4 2" xfId="5667"/>
    <cellStyle name="Percent 2 2 3 2 4 2 2" xfId="14090"/>
    <cellStyle name="Percent 2 2 3 2 4 2 3" xfId="19977"/>
    <cellStyle name="Percent 2 2 3 2 4 3" xfId="5668"/>
    <cellStyle name="Percent 2 2 3 2 4 3 2" xfId="14091"/>
    <cellStyle name="Percent 2 2 3 2 4 3 3" xfId="19978"/>
    <cellStyle name="Percent 2 2 3 2 4 4" xfId="5669"/>
    <cellStyle name="Percent 2 2 3 2 4 4 2" xfId="14092"/>
    <cellStyle name="Percent 2 2 3 2 4 4 3" xfId="19979"/>
    <cellStyle name="Percent 2 2 3 2 4 5" xfId="5670"/>
    <cellStyle name="Percent 2 2 3 2 4 5 2" xfId="14093"/>
    <cellStyle name="Percent 2 2 3 2 4 5 3" xfId="19980"/>
    <cellStyle name="Percent 2 2 3 2 4 6" xfId="14089"/>
    <cellStyle name="Percent 2 2 3 2 4 7" xfId="19976"/>
    <cellStyle name="Percent 2 2 3 2 4_LNG &amp; LPG rework" xfId="7643"/>
    <cellStyle name="Percent 2 2 3 2 5" xfId="5671"/>
    <cellStyle name="Percent 2 2 3 2 5 2" xfId="5672"/>
    <cellStyle name="Percent 2 2 3 2 5 2 2" xfId="14095"/>
    <cellStyle name="Percent 2 2 3 2 5 2 3" xfId="19982"/>
    <cellStyle name="Percent 2 2 3 2 5 3" xfId="5673"/>
    <cellStyle name="Percent 2 2 3 2 5 3 2" xfId="14096"/>
    <cellStyle name="Percent 2 2 3 2 5 3 3" xfId="19983"/>
    <cellStyle name="Percent 2 2 3 2 5 4" xfId="5674"/>
    <cellStyle name="Percent 2 2 3 2 5 4 2" xfId="14097"/>
    <cellStyle name="Percent 2 2 3 2 5 4 3" xfId="19984"/>
    <cellStyle name="Percent 2 2 3 2 5 5" xfId="5675"/>
    <cellStyle name="Percent 2 2 3 2 5 5 2" xfId="14098"/>
    <cellStyle name="Percent 2 2 3 2 5 5 3" xfId="19985"/>
    <cellStyle name="Percent 2 2 3 2 5 6" xfId="14094"/>
    <cellStyle name="Percent 2 2 3 2 5 7" xfId="19981"/>
    <cellStyle name="Percent 2 2 3 2 5_LNG &amp; LPG rework" xfId="7644"/>
    <cellStyle name="Percent 2 2 3 2 6" xfId="5676"/>
    <cellStyle name="Percent 2 2 3 2 6 2" xfId="14099"/>
    <cellStyle name="Percent 2 2 3 2 6 3" xfId="19986"/>
    <cellStyle name="Percent 2 2 3 2 7" xfId="5677"/>
    <cellStyle name="Percent 2 2 3 2 7 2" xfId="14100"/>
    <cellStyle name="Percent 2 2 3 2 7 3" xfId="19987"/>
    <cellStyle name="Percent 2 2 3 2 8" xfId="5678"/>
    <cellStyle name="Percent 2 2 3 2 8 2" xfId="14101"/>
    <cellStyle name="Percent 2 2 3 2 8 3" xfId="19988"/>
    <cellStyle name="Percent 2 2 3 2 9" xfId="5679"/>
    <cellStyle name="Percent 2 2 3 2 9 2" xfId="14102"/>
    <cellStyle name="Percent 2 2 3 2 9 3" xfId="19989"/>
    <cellStyle name="Percent 2 2 3 2_LNG &amp; LPG rework" xfId="7638"/>
    <cellStyle name="Percent 2 2 3 3" xfId="526"/>
    <cellStyle name="Percent 2 2 3 3 10" xfId="19990"/>
    <cellStyle name="Percent 2 2 3 3 2" xfId="527"/>
    <cellStyle name="Percent 2 2 3 3 2 2" xfId="5680"/>
    <cellStyle name="Percent 2 2 3 3 2 2 2" xfId="14103"/>
    <cellStyle name="Percent 2 2 3 3 2 2 3" xfId="19992"/>
    <cellStyle name="Percent 2 2 3 3 2 3" xfId="5681"/>
    <cellStyle name="Percent 2 2 3 3 2 3 2" xfId="14104"/>
    <cellStyle name="Percent 2 2 3 3 2 3 3" xfId="19993"/>
    <cellStyle name="Percent 2 2 3 3 2 4" xfId="5682"/>
    <cellStyle name="Percent 2 2 3 3 2 4 2" xfId="14105"/>
    <cellStyle name="Percent 2 2 3 3 2 4 3" xfId="19994"/>
    <cellStyle name="Percent 2 2 3 3 2 5" xfId="5683"/>
    <cellStyle name="Percent 2 2 3 3 2 5 2" xfId="14106"/>
    <cellStyle name="Percent 2 2 3 3 2 5 3" xfId="19995"/>
    <cellStyle name="Percent 2 2 3 3 2 6" xfId="5684"/>
    <cellStyle name="Percent 2 2 3 3 2 6 2" xfId="14107"/>
    <cellStyle name="Percent 2 2 3 3 2 6 3" xfId="19996"/>
    <cellStyle name="Percent 2 2 3 3 2 7" xfId="9346"/>
    <cellStyle name="Percent 2 2 3 3 2 8" xfId="19991"/>
    <cellStyle name="Percent 2 2 3 3 2_LNG &amp; LPG rework" xfId="7646"/>
    <cellStyle name="Percent 2 2 3 3 3" xfId="5685"/>
    <cellStyle name="Percent 2 2 3 3 3 2" xfId="5686"/>
    <cellStyle name="Percent 2 2 3 3 3 2 2" xfId="14109"/>
    <cellStyle name="Percent 2 2 3 3 3 2 3" xfId="19998"/>
    <cellStyle name="Percent 2 2 3 3 3 3" xfId="5687"/>
    <cellStyle name="Percent 2 2 3 3 3 3 2" xfId="14110"/>
    <cellStyle name="Percent 2 2 3 3 3 3 3" xfId="19999"/>
    <cellStyle name="Percent 2 2 3 3 3 4" xfId="5688"/>
    <cellStyle name="Percent 2 2 3 3 3 4 2" xfId="14111"/>
    <cellStyle name="Percent 2 2 3 3 3 4 3" xfId="20000"/>
    <cellStyle name="Percent 2 2 3 3 3 5" xfId="5689"/>
    <cellStyle name="Percent 2 2 3 3 3 5 2" xfId="14112"/>
    <cellStyle name="Percent 2 2 3 3 3 5 3" xfId="20001"/>
    <cellStyle name="Percent 2 2 3 3 3 6" xfId="14108"/>
    <cellStyle name="Percent 2 2 3 3 3 7" xfId="19997"/>
    <cellStyle name="Percent 2 2 3 3 3_LNG &amp; LPG rework" xfId="7647"/>
    <cellStyle name="Percent 2 2 3 3 4" xfId="5690"/>
    <cellStyle name="Percent 2 2 3 3 4 2" xfId="14113"/>
    <cellStyle name="Percent 2 2 3 3 4 3" xfId="20002"/>
    <cellStyle name="Percent 2 2 3 3 5" xfId="5691"/>
    <cellStyle name="Percent 2 2 3 3 5 2" xfId="14114"/>
    <cellStyle name="Percent 2 2 3 3 5 3" xfId="20003"/>
    <cellStyle name="Percent 2 2 3 3 6" xfId="5692"/>
    <cellStyle name="Percent 2 2 3 3 6 2" xfId="14115"/>
    <cellStyle name="Percent 2 2 3 3 6 3" xfId="20004"/>
    <cellStyle name="Percent 2 2 3 3 7" xfId="5693"/>
    <cellStyle name="Percent 2 2 3 3 7 2" xfId="14116"/>
    <cellStyle name="Percent 2 2 3 3 7 3" xfId="20005"/>
    <cellStyle name="Percent 2 2 3 3 8" xfId="5694"/>
    <cellStyle name="Percent 2 2 3 3 8 2" xfId="14117"/>
    <cellStyle name="Percent 2 2 3 3 8 3" xfId="20006"/>
    <cellStyle name="Percent 2 2 3 3 9" xfId="9345"/>
    <cellStyle name="Percent 2 2 3 3_LNG &amp; LPG rework" xfId="7645"/>
    <cellStyle name="Percent 2 2 3 4" xfId="528"/>
    <cellStyle name="Percent 2 2 3 4 2" xfId="5695"/>
    <cellStyle name="Percent 2 2 3 4 2 2" xfId="14118"/>
    <cellStyle name="Percent 2 2 3 4 2 3" xfId="20008"/>
    <cellStyle name="Percent 2 2 3 4 3" xfId="5696"/>
    <cellStyle name="Percent 2 2 3 4 3 2" xfId="14119"/>
    <cellStyle name="Percent 2 2 3 4 3 3" xfId="20009"/>
    <cellStyle name="Percent 2 2 3 4 4" xfId="5697"/>
    <cellStyle name="Percent 2 2 3 4 4 2" xfId="14120"/>
    <cellStyle name="Percent 2 2 3 4 4 3" xfId="20010"/>
    <cellStyle name="Percent 2 2 3 4 5" xfId="5698"/>
    <cellStyle name="Percent 2 2 3 4 5 2" xfId="14121"/>
    <cellStyle name="Percent 2 2 3 4 5 3" xfId="20011"/>
    <cellStyle name="Percent 2 2 3 4 6" xfId="5699"/>
    <cellStyle name="Percent 2 2 3 4 6 2" xfId="14122"/>
    <cellStyle name="Percent 2 2 3 4 6 3" xfId="20012"/>
    <cellStyle name="Percent 2 2 3 4 7" xfId="9347"/>
    <cellStyle name="Percent 2 2 3 4 8" xfId="20007"/>
    <cellStyle name="Percent 2 2 3 4_LNG &amp; LPG rework" xfId="7648"/>
    <cellStyle name="Percent 2 2 3 5" xfId="5700"/>
    <cellStyle name="Percent 2 2 3 5 2" xfId="5701"/>
    <cellStyle name="Percent 2 2 3 5 2 2" xfId="14124"/>
    <cellStyle name="Percent 2 2 3 5 2 3" xfId="20014"/>
    <cellStyle name="Percent 2 2 3 5 3" xfId="5702"/>
    <cellStyle name="Percent 2 2 3 5 3 2" xfId="14125"/>
    <cellStyle name="Percent 2 2 3 5 3 3" xfId="20015"/>
    <cellStyle name="Percent 2 2 3 5 4" xfId="5703"/>
    <cellStyle name="Percent 2 2 3 5 4 2" xfId="14126"/>
    <cellStyle name="Percent 2 2 3 5 4 3" xfId="20016"/>
    <cellStyle name="Percent 2 2 3 5 5" xfId="5704"/>
    <cellStyle name="Percent 2 2 3 5 5 2" xfId="14127"/>
    <cellStyle name="Percent 2 2 3 5 5 3" xfId="20017"/>
    <cellStyle name="Percent 2 2 3 5 6" xfId="14123"/>
    <cellStyle name="Percent 2 2 3 5 7" xfId="20013"/>
    <cellStyle name="Percent 2 2 3 5_LNG &amp; LPG rework" xfId="7649"/>
    <cellStyle name="Percent 2 2 3 6" xfId="5705"/>
    <cellStyle name="Percent 2 2 3 6 2" xfId="5706"/>
    <cellStyle name="Percent 2 2 3 6 2 2" xfId="14129"/>
    <cellStyle name="Percent 2 2 3 6 2 3" xfId="20019"/>
    <cellStyle name="Percent 2 2 3 6 3" xfId="5707"/>
    <cellStyle name="Percent 2 2 3 6 3 2" xfId="14130"/>
    <cellStyle name="Percent 2 2 3 6 3 3" xfId="20020"/>
    <cellStyle name="Percent 2 2 3 6 4" xfId="5708"/>
    <cellStyle name="Percent 2 2 3 6 4 2" xfId="14131"/>
    <cellStyle name="Percent 2 2 3 6 4 3" xfId="20021"/>
    <cellStyle name="Percent 2 2 3 6 5" xfId="5709"/>
    <cellStyle name="Percent 2 2 3 6 5 2" xfId="14132"/>
    <cellStyle name="Percent 2 2 3 6 5 3" xfId="20022"/>
    <cellStyle name="Percent 2 2 3 6 6" xfId="14128"/>
    <cellStyle name="Percent 2 2 3 6 7" xfId="20018"/>
    <cellStyle name="Percent 2 2 3 6_LNG &amp; LPG rework" xfId="7650"/>
    <cellStyle name="Percent 2 2 3 7" xfId="5710"/>
    <cellStyle name="Percent 2 2 3 7 2" xfId="14133"/>
    <cellStyle name="Percent 2 2 3 7 3" xfId="20023"/>
    <cellStyle name="Percent 2 2 3 8" xfId="5711"/>
    <cellStyle name="Percent 2 2 3 8 2" xfId="14134"/>
    <cellStyle name="Percent 2 2 3 8 3" xfId="20024"/>
    <cellStyle name="Percent 2 2 3 9" xfId="5712"/>
    <cellStyle name="Percent 2 2 3 9 2" xfId="14135"/>
    <cellStyle name="Percent 2 2 3 9 3" xfId="20025"/>
    <cellStyle name="Percent 2 2 3_LNG &amp; LPG rework" xfId="7637"/>
    <cellStyle name="Percent 2 2 4" xfId="529"/>
    <cellStyle name="Percent 2 2 4 10" xfId="5713"/>
    <cellStyle name="Percent 2 2 4 10 2" xfId="14136"/>
    <cellStyle name="Percent 2 2 4 10 3" xfId="20027"/>
    <cellStyle name="Percent 2 2 4 11" xfId="9348"/>
    <cellStyle name="Percent 2 2 4 12" xfId="20026"/>
    <cellStyle name="Percent 2 2 4 2" xfId="530"/>
    <cellStyle name="Percent 2 2 4 2 10" xfId="20028"/>
    <cellStyle name="Percent 2 2 4 2 2" xfId="531"/>
    <cellStyle name="Percent 2 2 4 2 2 2" xfId="5714"/>
    <cellStyle name="Percent 2 2 4 2 2 2 2" xfId="14137"/>
    <cellStyle name="Percent 2 2 4 2 2 2 3" xfId="20030"/>
    <cellStyle name="Percent 2 2 4 2 2 3" xfId="5715"/>
    <cellStyle name="Percent 2 2 4 2 2 3 2" xfId="14138"/>
    <cellStyle name="Percent 2 2 4 2 2 3 3" xfId="20031"/>
    <cellStyle name="Percent 2 2 4 2 2 4" xfId="5716"/>
    <cellStyle name="Percent 2 2 4 2 2 4 2" xfId="14139"/>
    <cellStyle name="Percent 2 2 4 2 2 4 3" xfId="20032"/>
    <cellStyle name="Percent 2 2 4 2 2 5" xfId="5717"/>
    <cellStyle name="Percent 2 2 4 2 2 5 2" xfId="14140"/>
    <cellStyle name="Percent 2 2 4 2 2 5 3" xfId="20033"/>
    <cellStyle name="Percent 2 2 4 2 2 6" xfId="5718"/>
    <cellStyle name="Percent 2 2 4 2 2 6 2" xfId="14141"/>
    <cellStyle name="Percent 2 2 4 2 2 6 3" xfId="20034"/>
    <cellStyle name="Percent 2 2 4 2 2 7" xfId="9350"/>
    <cellStyle name="Percent 2 2 4 2 2 8" xfId="20029"/>
    <cellStyle name="Percent 2 2 4 2 2_LNG &amp; LPG rework" xfId="7653"/>
    <cellStyle name="Percent 2 2 4 2 3" xfId="5719"/>
    <cellStyle name="Percent 2 2 4 2 3 2" xfId="5720"/>
    <cellStyle name="Percent 2 2 4 2 3 2 2" xfId="14143"/>
    <cellStyle name="Percent 2 2 4 2 3 2 3" xfId="20036"/>
    <cellStyle name="Percent 2 2 4 2 3 3" xfId="5721"/>
    <cellStyle name="Percent 2 2 4 2 3 3 2" xfId="14144"/>
    <cellStyle name="Percent 2 2 4 2 3 3 3" xfId="20037"/>
    <cellStyle name="Percent 2 2 4 2 3 4" xfId="5722"/>
    <cellStyle name="Percent 2 2 4 2 3 4 2" xfId="14145"/>
    <cellStyle name="Percent 2 2 4 2 3 4 3" xfId="20038"/>
    <cellStyle name="Percent 2 2 4 2 3 5" xfId="5723"/>
    <cellStyle name="Percent 2 2 4 2 3 5 2" xfId="14146"/>
    <cellStyle name="Percent 2 2 4 2 3 5 3" xfId="20039"/>
    <cellStyle name="Percent 2 2 4 2 3 6" xfId="14142"/>
    <cellStyle name="Percent 2 2 4 2 3 7" xfId="20035"/>
    <cellStyle name="Percent 2 2 4 2 3_LNG &amp; LPG rework" xfId="7654"/>
    <cellStyle name="Percent 2 2 4 2 4" xfId="5724"/>
    <cellStyle name="Percent 2 2 4 2 4 2" xfId="14147"/>
    <cellStyle name="Percent 2 2 4 2 4 3" xfId="20040"/>
    <cellStyle name="Percent 2 2 4 2 5" xfId="5725"/>
    <cellStyle name="Percent 2 2 4 2 5 2" xfId="14148"/>
    <cellStyle name="Percent 2 2 4 2 5 3" xfId="20041"/>
    <cellStyle name="Percent 2 2 4 2 6" xfId="5726"/>
    <cellStyle name="Percent 2 2 4 2 6 2" xfId="14149"/>
    <cellStyle name="Percent 2 2 4 2 6 3" xfId="20042"/>
    <cellStyle name="Percent 2 2 4 2 7" xfId="5727"/>
    <cellStyle name="Percent 2 2 4 2 7 2" xfId="14150"/>
    <cellStyle name="Percent 2 2 4 2 7 3" xfId="20043"/>
    <cellStyle name="Percent 2 2 4 2 8" xfId="5728"/>
    <cellStyle name="Percent 2 2 4 2 8 2" xfId="14151"/>
    <cellStyle name="Percent 2 2 4 2 8 3" xfId="20044"/>
    <cellStyle name="Percent 2 2 4 2 9" xfId="9349"/>
    <cellStyle name="Percent 2 2 4 2_LNG &amp; LPG rework" xfId="7652"/>
    <cellStyle name="Percent 2 2 4 3" xfId="532"/>
    <cellStyle name="Percent 2 2 4 3 2" xfId="5729"/>
    <cellStyle name="Percent 2 2 4 3 2 2" xfId="14152"/>
    <cellStyle name="Percent 2 2 4 3 2 3" xfId="20046"/>
    <cellStyle name="Percent 2 2 4 3 3" xfId="5730"/>
    <cellStyle name="Percent 2 2 4 3 3 2" xfId="14153"/>
    <cellStyle name="Percent 2 2 4 3 3 3" xfId="20047"/>
    <cellStyle name="Percent 2 2 4 3 4" xfId="5731"/>
    <cellStyle name="Percent 2 2 4 3 4 2" xfId="14154"/>
    <cellStyle name="Percent 2 2 4 3 4 3" xfId="20048"/>
    <cellStyle name="Percent 2 2 4 3 5" xfId="5732"/>
    <cellStyle name="Percent 2 2 4 3 5 2" xfId="14155"/>
    <cellStyle name="Percent 2 2 4 3 5 3" xfId="20049"/>
    <cellStyle name="Percent 2 2 4 3 6" xfId="5733"/>
    <cellStyle name="Percent 2 2 4 3 6 2" xfId="14156"/>
    <cellStyle name="Percent 2 2 4 3 6 3" xfId="20050"/>
    <cellStyle name="Percent 2 2 4 3 7" xfId="9351"/>
    <cellStyle name="Percent 2 2 4 3 8" xfId="20045"/>
    <cellStyle name="Percent 2 2 4 3_LNG &amp; LPG rework" xfId="7655"/>
    <cellStyle name="Percent 2 2 4 4" xfId="5734"/>
    <cellStyle name="Percent 2 2 4 4 2" xfId="5735"/>
    <cellStyle name="Percent 2 2 4 4 2 2" xfId="14158"/>
    <cellStyle name="Percent 2 2 4 4 2 3" xfId="20052"/>
    <cellStyle name="Percent 2 2 4 4 3" xfId="5736"/>
    <cellStyle name="Percent 2 2 4 4 3 2" xfId="14159"/>
    <cellStyle name="Percent 2 2 4 4 3 3" xfId="20053"/>
    <cellStyle name="Percent 2 2 4 4 4" xfId="5737"/>
    <cellStyle name="Percent 2 2 4 4 4 2" xfId="14160"/>
    <cellStyle name="Percent 2 2 4 4 4 3" xfId="20054"/>
    <cellStyle name="Percent 2 2 4 4 5" xfId="5738"/>
    <cellStyle name="Percent 2 2 4 4 5 2" xfId="14161"/>
    <cellStyle name="Percent 2 2 4 4 5 3" xfId="20055"/>
    <cellStyle name="Percent 2 2 4 4 6" xfId="14157"/>
    <cellStyle name="Percent 2 2 4 4 7" xfId="20051"/>
    <cellStyle name="Percent 2 2 4 4_LNG &amp; LPG rework" xfId="7656"/>
    <cellStyle name="Percent 2 2 4 5" xfId="5739"/>
    <cellStyle name="Percent 2 2 4 5 2" xfId="5740"/>
    <cellStyle name="Percent 2 2 4 5 2 2" xfId="14163"/>
    <cellStyle name="Percent 2 2 4 5 2 3" xfId="20057"/>
    <cellStyle name="Percent 2 2 4 5 3" xfId="5741"/>
    <cellStyle name="Percent 2 2 4 5 3 2" xfId="14164"/>
    <cellStyle name="Percent 2 2 4 5 3 3" xfId="20058"/>
    <cellStyle name="Percent 2 2 4 5 4" xfId="5742"/>
    <cellStyle name="Percent 2 2 4 5 4 2" xfId="14165"/>
    <cellStyle name="Percent 2 2 4 5 4 3" xfId="20059"/>
    <cellStyle name="Percent 2 2 4 5 5" xfId="5743"/>
    <cellStyle name="Percent 2 2 4 5 5 2" xfId="14166"/>
    <cellStyle name="Percent 2 2 4 5 5 3" xfId="20060"/>
    <cellStyle name="Percent 2 2 4 5 6" xfId="14162"/>
    <cellStyle name="Percent 2 2 4 5 7" xfId="20056"/>
    <cellStyle name="Percent 2 2 4 5_LNG &amp; LPG rework" xfId="7657"/>
    <cellStyle name="Percent 2 2 4 6" xfId="5744"/>
    <cellStyle name="Percent 2 2 4 6 2" xfId="14167"/>
    <cellStyle name="Percent 2 2 4 6 3" xfId="20061"/>
    <cellStyle name="Percent 2 2 4 7" xfId="5745"/>
    <cellStyle name="Percent 2 2 4 7 2" xfId="14168"/>
    <cellStyle name="Percent 2 2 4 7 3" xfId="20062"/>
    <cellStyle name="Percent 2 2 4 8" xfId="5746"/>
    <cellStyle name="Percent 2 2 4 8 2" xfId="14169"/>
    <cellStyle name="Percent 2 2 4 8 3" xfId="20063"/>
    <cellStyle name="Percent 2 2 4 9" xfId="5747"/>
    <cellStyle name="Percent 2 2 4 9 2" xfId="14170"/>
    <cellStyle name="Percent 2 2 4 9 3" xfId="20064"/>
    <cellStyle name="Percent 2 2 4_LNG &amp; LPG rework" xfId="7651"/>
    <cellStyle name="Percent 2 2 5" xfId="533"/>
    <cellStyle name="Percent 2 2 5 10" xfId="20065"/>
    <cellStyle name="Percent 2 2 5 2" xfId="534"/>
    <cellStyle name="Percent 2 2 5 2 2" xfId="5748"/>
    <cellStyle name="Percent 2 2 5 2 2 2" xfId="14171"/>
    <cellStyle name="Percent 2 2 5 2 2 3" xfId="20067"/>
    <cellStyle name="Percent 2 2 5 2 3" xfId="5749"/>
    <cellStyle name="Percent 2 2 5 2 3 2" xfId="14172"/>
    <cellStyle name="Percent 2 2 5 2 3 3" xfId="20068"/>
    <cellStyle name="Percent 2 2 5 2 4" xfId="5750"/>
    <cellStyle name="Percent 2 2 5 2 4 2" xfId="14173"/>
    <cellStyle name="Percent 2 2 5 2 4 3" xfId="20069"/>
    <cellStyle name="Percent 2 2 5 2 5" xfId="5751"/>
    <cellStyle name="Percent 2 2 5 2 5 2" xfId="14174"/>
    <cellStyle name="Percent 2 2 5 2 5 3" xfId="20070"/>
    <cellStyle name="Percent 2 2 5 2 6" xfId="5752"/>
    <cellStyle name="Percent 2 2 5 2 6 2" xfId="14175"/>
    <cellStyle name="Percent 2 2 5 2 6 3" xfId="20071"/>
    <cellStyle name="Percent 2 2 5 2 7" xfId="9353"/>
    <cellStyle name="Percent 2 2 5 2 8" xfId="20066"/>
    <cellStyle name="Percent 2 2 5 2_LNG &amp; LPG rework" xfId="7659"/>
    <cellStyle name="Percent 2 2 5 3" xfId="5753"/>
    <cellStyle name="Percent 2 2 5 3 2" xfId="5754"/>
    <cellStyle name="Percent 2 2 5 3 2 2" xfId="14177"/>
    <cellStyle name="Percent 2 2 5 3 2 3" xfId="20073"/>
    <cellStyle name="Percent 2 2 5 3 3" xfId="5755"/>
    <cellStyle name="Percent 2 2 5 3 3 2" xfId="14178"/>
    <cellStyle name="Percent 2 2 5 3 3 3" xfId="20074"/>
    <cellStyle name="Percent 2 2 5 3 4" xfId="5756"/>
    <cellStyle name="Percent 2 2 5 3 4 2" xfId="14179"/>
    <cellStyle name="Percent 2 2 5 3 4 3" xfId="20075"/>
    <cellStyle name="Percent 2 2 5 3 5" xfId="5757"/>
    <cellStyle name="Percent 2 2 5 3 5 2" xfId="14180"/>
    <cellStyle name="Percent 2 2 5 3 5 3" xfId="20076"/>
    <cellStyle name="Percent 2 2 5 3 6" xfId="14176"/>
    <cellStyle name="Percent 2 2 5 3 7" xfId="20072"/>
    <cellStyle name="Percent 2 2 5 3_LNG &amp; LPG rework" xfId="7660"/>
    <cellStyle name="Percent 2 2 5 4" xfId="5758"/>
    <cellStyle name="Percent 2 2 5 4 2" xfId="14181"/>
    <cellStyle name="Percent 2 2 5 4 3" xfId="20077"/>
    <cellStyle name="Percent 2 2 5 5" xfId="5759"/>
    <cellStyle name="Percent 2 2 5 5 2" xfId="14182"/>
    <cellStyle name="Percent 2 2 5 5 3" xfId="20078"/>
    <cellStyle name="Percent 2 2 5 6" xfId="5760"/>
    <cellStyle name="Percent 2 2 5 6 2" xfId="14183"/>
    <cellStyle name="Percent 2 2 5 6 3" xfId="20079"/>
    <cellStyle name="Percent 2 2 5 7" xfId="5761"/>
    <cellStyle name="Percent 2 2 5 7 2" xfId="14184"/>
    <cellStyle name="Percent 2 2 5 7 3" xfId="20080"/>
    <cellStyle name="Percent 2 2 5 8" xfId="5762"/>
    <cellStyle name="Percent 2 2 5 8 2" xfId="14185"/>
    <cellStyle name="Percent 2 2 5 8 3" xfId="20081"/>
    <cellStyle name="Percent 2 2 5 9" xfId="9352"/>
    <cellStyle name="Percent 2 2 5_LNG &amp; LPG rework" xfId="7658"/>
    <cellStyle name="Percent 2 2 6" xfId="535"/>
    <cellStyle name="Percent 2 2 6 2" xfId="5763"/>
    <cellStyle name="Percent 2 2 6 2 2" xfId="14186"/>
    <cellStyle name="Percent 2 2 6 2 3" xfId="20083"/>
    <cellStyle name="Percent 2 2 6 3" xfId="5764"/>
    <cellStyle name="Percent 2 2 6 3 2" xfId="14187"/>
    <cellStyle name="Percent 2 2 6 3 3" xfId="20084"/>
    <cellStyle name="Percent 2 2 6 4" xfId="9354"/>
    <cellStyle name="Percent 2 2 6 5" xfId="20082"/>
    <cellStyle name="Percent 2 2 6_LNG &amp; LPG rework" xfId="7661"/>
    <cellStyle name="Percent 2 2 7" xfId="504"/>
    <cellStyle name="Percent 2 2 7 2" xfId="5765"/>
    <cellStyle name="Percent 2 2 7 2 2" xfId="14188"/>
    <cellStyle name="Percent 2 2 7 2 3" xfId="20086"/>
    <cellStyle name="Percent 2 2 7 3" xfId="5766"/>
    <cellStyle name="Percent 2 2 7 3 2" xfId="14189"/>
    <cellStyle name="Percent 2 2 7 3 3" xfId="20087"/>
    <cellStyle name="Percent 2 2 7 4" xfId="5767"/>
    <cellStyle name="Percent 2 2 7 4 2" xfId="14190"/>
    <cellStyle name="Percent 2 2 7 4 3" xfId="20088"/>
    <cellStyle name="Percent 2 2 7 5" xfId="5768"/>
    <cellStyle name="Percent 2 2 7 5 2" xfId="14191"/>
    <cellStyle name="Percent 2 2 7 5 3" xfId="20089"/>
    <cellStyle name="Percent 2 2 7 6" xfId="9323"/>
    <cellStyle name="Percent 2 2 7 7" xfId="20085"/>
    <cellStyle name="Percent 2 2 7_LNG &amp; LPG rework" xfId="7662"/>
    <cellStyle name="Percent 2 2 8" xfId="5769"/>
    <cellStyle name="Percent 2 2 8 2" xfId="5770"/>
    <cellStyle name="Percent 2 2 8 2 2" xfId="14193"/>
    <cellStyle name="Percent 2 2 8 2 3" xfId="20091"/>
    <cellStyle name="Percent 2 2 8 3" xfId="5771"/>
    <cellStyle name="Percent 2 2 8 3 2" xfId="14194"/>
    <cellStyle name="Percent 2 2 8 3 3" xfId="20092"/>
    <cellStyle name="Percent 2 2 8 4" xfId="5772"/>
    <cellStyle name="Percent 2 2 8 4 2" xfId="14195"/>
    <cellStyle name="Percent 2 2 8 4 3" xfId="20093"/>
    <cellStyle name="Percent 2 2 8 5" xfId="5773"/>
    <cellStyle name="Percent 2 2 8 5 2" xfId="14196"/>
    <cellStyle name="Percent 2 2 8 5 3" xfId="20094"/>
    <cellStyle name="Percent 2 2 8 6" xfId="14192"/>
    <cellStyle name="Percent 2 2 8 7" xfId="20090"/>
    <cellStyle name="Percent 2 2 8_LNG &amp; LPG rework" xfId="7663"/>
    <cellStyle name="Percent 2 2 9" xfId="5774"/>
    <cellStyle name="Percent 2 2 9 2" xfId="5775"/>
    <cellStyle name="Percent 2 2 9 2 2" xfId="14198"/>
    <cellStyle name="Percent 2 2 9 2 3" xfId="20096"/>
    <cellStyle name="Percent 2 2 9 3" xfId="5776"/>
    <cellStyle name="Percent 2 2 9 3 2" xfId="14199"/>
    <cellStyle name="Percent 2 2 9 3 3" xfId="20097"/>
    <cellStyle name="Percent 2 2 9 4" xfId="5777"/>
    <cellStyle name="Percent 2 2 9 4 2" xfId="14200"/>
    <cellStyle name="Percent 2 2 9 4 3" xfId="20098"/>
    <cellStyle name="Percent 2 2 9 5" xfId="5778"/>
    <cellStyle name="Percent 2 2 9 5 2" xfId="14201"/>
    <cellStyle name="Percent 2 2 9 5 3" xfId="20099"/>
    <cellStyle name="Percent 2 2 9 6" xfId="14197"/>
    <cellStyle name="Percent 2 2 9 7" xfId="20095"/>
    <cellStyle name="Percent 2 2 9_LNG &amp; LPG rework" xfId="7664"/>
    <cellStyle name="Percent 2 2_LNG &amp; LPG rework" xfId="7608"/>
    <cellStyle name="Percent 2 3" xfId="536"/>
    <cellStyle name="Percent 2 3 10" xfId="5779"/>
    <cellStyle name="Percent 2 3 10 2" xfId="14202"/>
    <cellStyle name="Percent 2 3 10 3" xfId="20101"/>
    <cellStyle name="Percent 2 3 11" xfId="5780"/>
    <cellStyle name="Percent 2 3 11 2" xfId="14203"/>
    <cellStyle name="Percent 2 3 11 3" xfId="20102"/>
    <cellStyle name="Percent 2 3 12" xfId="5781"/>
    <cellStyle name="Percent 2 3 12 2" xfId="14204"/>
    <cellStyle name="Percent 2 3 12 3" xfId="20103"/>
    <cellStyle name="Percent 2 3 13" xfId="5782"/>
    <cellStyle name="Percent 2 3 13 2" xfId="14205"/>
    <cellStyle name="Percent 2 3 13 3" xfId="20104"/>
    <cellStyle name="Percent 2 3 14" xfId="9355"/>
    <cellStyle name="Percent 2 3 15" xfId="20100"/>
    <cellStyle name="Percent 2 3 2" xfId="537"/>
    <cellStyle name="Percent 2 3 2 10" xfId="5783"/>
    <cellStyle name="Percent 2 3 2 10 2" xfId="14206"/>
    <cellStyle name="Percent 2 3 2 10 3" xfId="20106"/>
    <cellStyle name="Percent 2 3 2 11" xfId="5784"/>
    <cellStyle name="Percent 2 3 2 11 2" xfId="14207"/>
    <cellStyle name="Percent 2 3 2 11 3" xfId="20107"/>
    <cellStyle name="Percent 2 3 2 12" xfId="5785"/>
    <cellStyle name="Percent 2 3 2 12 2" xfId="14208"/>
    <cellStyle name="Percent 2 3 2 12 3" xfId="20108"/>
    <cellStyle name="Percent 2 3 2 13" xfId="9356"/>
    <cellStyle name="Percent 2 3 2 14" xfId="20105"/>
    <cellStyle name="Percent 2 3 2 2" xfId="538"/>
    <cellStyle name="Percent 2 3 2 2 10" xfId="5786"/>
    <cellStyle name="Percent 2 3 2 2 10 2" xfId="14209"/>
    <cellStyle name="Percent 2 3 2 2 10 3" xfId="20110"/>
    <cellStyle name="Percent 2 3 2 2 11" xfId="5787"/>
    <cellStyle name="Percent 2 3 2 2 11 2" xfId="14210"/>
    <cellStyle name="Percent 2 3 2 2 11 3" xfId="20111"/>
    <cellStyle name="Percent 2 3 2 2 12" xfId="9357"/>
    <cellStyle name="Percent 2 3 2 2 13" xfId="20109"/>
    <cellStyle name="Percent 2 3 2 2 2" xfId="539"/>
    <cellStyle name="Percent 2 3 2 2 2 10" xfId="5788"/>
    <cellStyle name="Percent 2 3 2 2 2 10 2" xfId="14211"/>
    <cellStyle name="Percent 2 3 2 2 2 10 3" xfId="20113"/>
    <cellStyle name="Percent 2 3 2 2 2 11" xfId="9358"/>
    <cellStyle name="Percent 2 3 2 2 2 12" xfId="20112"/>
    <cellStyle name="Percent 2 3 2 2 2 2" xfId="540"/>
    <cellStyle name="Percent 2 3 2 2 2 2 10" xfId="20114"/>
    <cellStyle name="Percent 2 3 2 2 2 2 2" xfId="541"/>
    <cellStyle name="Percent 2 3 2 2 2 2 2 2" xfId="5789"/>
    <cellStyle name="Percent 2 3 2 2 2 2 2 2 2" xfId="14212"/>
    <cellStyle name="Percent 2 3 2 2 2 2 2 2 3" xfId="20116"/>
    <cellStyle name="Percent 2 3 2 2 2 2 2 3" xfId="5790"/>
    <cellStyle name="Percent 2 3 2 2 2 2 2 3 2" xfId="14213"/>
    <cellStyle name="Percent 2 3 2 2 2 2 2 3 3" xfId="20117"/>
    <cellStyle name="Percent 2 3 2 2 2 2 2 4" xfId="5791"/>
    <cellStyle name="Percent 2 3 2 2 2 2 2 4 2" xfId="14214"/>
    <cellStyle name="Percent 2 3 2 2 2 2 2 4 3" xfId="20118"/>
    <cellStyle name="Percent 2 3 2 2 2 2 2 5" xfId="5792"/>
    <cellStyle name="Percent 2 3 2 2 2 2 2 5 2" xfId="14215"/>
    <cellStyle name="Percent 2 3 2 2 2 2 2 5 3" xfId="20119"/>
    <cellStyle name="Percent 2 3 2 2 2 2 2 6" xfId="5793"/>
    <cellStyle name="Percent 2 3 2 2 2 2 2 6 2" xfId="14216"/>
    <cellStyle name="Percent 2 3 2 2 2 2 2 6 3" xfId="20120"/>
    <cellStyle name="Percent 2 3 2 2 2 2 2 7" xfId="9360"/>
    <cellStyle name="Percent 2 3 2 2 2 2 2 8" xfId="20115"/>
    <cellStyle name="Percent 2 3 2 2 2 2 2_LNG &amp; LPG rework" xfId="7670"/>
    <cellStyle name="Percent 2 3 2 2 2 2 3" xfId="5794"/>
    <cellStyle name="Percent 2 3 2 2 2 2 3 2" xfId="5795"/>
    <cellStyle name="Percent 2 3 2 2 2 2 3 2 2" xfId="14218"/>
    <cellStyle name="Percent 2 3 2 2 2 2 3 2 3" xfId="20122"/>
    <cellStyle name="Percent 2 3 2 2 2 2 3 3" xfId="5796"/>
    <cellStyle name="Percent 2 3 2 2 2 2 3 3 2" xfId="14219"/>
    <cellStyle name="Percent 2 3 2 2 2 2 3 3 3" xfId="20123"/>
    <cellStyle name="Percent 2 3 2 2 2 2 3 4" xfId="5797"/>
    <cellStyle name="Percent 2 3 2 2 2 2 3 4 2" xfId="14220"/>
    <cellStyle name="Percent 2 3 2 2 2 2 3 4 3" xfId="20124"/>
    <cellStyle name="Percent 2 3 2 2 2 2 3 5" xfId="5798"/>
    <cellStyle name="Percent 2 3 2 2 2 2 3 5 2" xfId="14221"/>
    <cellStyle name="Percent 2 3 2 2 2 2 3 5 3" xfId="20125"/>
    <cellStyle name="Percent 2 3 2 2 2 2 3 6" xfId="14217"/>
    <cellStyle name="Percent 2 3 2 2 2 2 3 7" xfId="20121"/>
    <cellStyle name="Percent 2 3 2 2 2 2 3_LNG &amp; LPG rework" xfId="7671"/>
    <cellStyle name="Percent 2 3 2 2 2 2 4" xfId="5799"/>
    <cellStyle name="Percent 2 3 2 2 2 2 4 2" xfId="14222"/>
    <cellStyle name="Percent 2 3 2 2 2 2 4 3" xfId="20126"/>
    <cellStyle name="Percent 2 3 2 2 2 2 5" xfId="5800"/>
    <cellStyle name="Percent 2 3 2 2 2 2 5 2" xfId="14223"/>
    <cellStyle name="Percent 2 3 2 2 2 2 5 3" xfId="20127"/>
    <cellStyle name="Percent 2 3 2 2 2 2 6" xfId="5801"/>
    <cellStyle name="Percent 2 3 2 2 2 2 6 2" xfId="14224"/>
    <cellStyle name="Percent 2 3 2 2 2 2 6 3" xfId="20128"/>
    <cellStyle name="Percent 2 3 2 2 2 2 7" xfId="5802"/>
    <cellStyle name="Percent 2 3 2 2 2 2 7 2" xfId="14225"/>
    <cellStyle name="Percent 2 3 2 2 2 2 7 3" xfId="20129"/>
    <cellStyle name="Percent 2 3 2 2 2 2 8" xfId="5803"/>
    <cellStyle name="Percent 2 3 2 2 2 2 8 2" xfId="14226"/>
    <cellStyle name="Percent 2 3 2 2 2 2 8 3" xfId="20130"/>
    <cellStyle name="Percent 2 3 2 2 2 2 9" xfId="9359"/>
    <cellStyle name="Percent 2 3 2 2 2 2_LNG &amp; LPG rework" xfId="7669"/>
    <cellStyle name="Percent 2 3 2 2 2 3" xfId="542"/>
    <cellStyle name="Percent 2 3 2 2 2 3 2" xfId="5804"/>
    <cellStyle name="Percent 2 3 2 2 2 3 2 2" xfId="14227"/>
    <cellStyle name="Percent 2 3 2 2 2 3 2 3" xfId="20132"/>
    <cellStyle name="Percent 2 3 2 2 2 3 3" xfId="5805"/>
    <cellStyle name="Percent 2 3 2 2 2 3 3 2" xfId="14228"/>
    <cellStyle name="Percent 2 3 2 2 2 3 3 3" xfId="20133"/>
    <cellStyle name="Percent 2 3 2 2 2 3 4" xfId="5806"/>
    <cellStyle name="Percent 2 3 2 2 2 3 4 2" xfId="14229"/>
    <cellStyle name="Percent 2 3 2 2 2 3 4 3" xfId="20134"/>
    <cellStyle name="Percent 2 3 2 2 2 3 5" xfId="5807"/>
    <cellStyle name="Percent 2 3 2 2 2 3 5 2" xfId="14230"/>
    <cellStyle name="Percent 2 3 2 2 2 3 5 3" xfId="20135"/>
    <cellStyle name="Percent 2 3 2 2 2 3 6" xfId="5808"/>
    <cellStyle name="Percent 2 3 2 2 2 3 6 2" xfId="14231"/>
    <cellStyle name="Percent 2 3 2 2 2 3 6 3" xfId="20136"/>
    <cellStyle name="Percent 2 3 2 2 2 3 7" xfId="9361"/>
    <cellStyle name="Percent 2 3 2 2 2 3 8" xfId="20131"/>
    <cellStyle name="Percent 2 3 2 2 2 3_LNG &amp; LPG rework" xfId="7672"/>
    <cellStyle name="Percent 2 3 2 2 2 4" xfId="5809"/>
    <cellStyle name="Percent 2 3 2 2 2 4 2" xfId="5810"/>
    <cellStyle name="Percent 2 3 2 2 2 4 2 2" xfId="14233"/>
    <cellStyle name="Percent 2 3 2 2 2 4 2 3" xfId="20138"/>
    <cellStyle name="Percent 2 3 2 2 2 4 3" xfId="5811"/>
    <cellStyle name="Percent 2 3 2 2 2 4 3 2" xfId="14234"/>
    <cellStyle name="Percent 2 3 2 2 2 4 3 3" xfId="20139"/>
    <cellStyle name="Percent 2 3 2 2 2 4 4" xfId="5812"/>
    <cellStyle name="Percent 2 3 2 2 2 4 4 2" xfId="14235"/>
    <cellStyle name="Percent 2 3 2 2 2 4 4 3" xfId="20140"/>
    <cellStyle name="Percent 2 3 2 2 2 4 5" xfId="5813"/>
    <cellStyle name="Percent 2 3 2 2 2 4 5 2" xfId="14236"/>
    <cellStyle name="Percent 2 3 2 2 2 4 5 3" xfId="20141"/>
    <cellStyle name="Percent 2 3 2 2 2 4 6" xfId="14232"/>
    <cellStyle name="Percent 2 3 2 2 2 4 7" xfId="20137"/>
    <cellStyle name="Percent 2 3 2 2 2 4_LNG &amp; LPG rework" xfId="7673"/>
    <cellStyle name="Percent 2 3 2 2 2 5" xfId="5814"/>
    <cellStyle name="Percent 2 3 2 2 2 5 2" xfId="5815"/>
    <cellStyle name="Percent 2 3 2 2 2 5 2 2" xfId="14238"/>
    <cellStyle name="Percent 2 3 2 2 2 5 2 3" xfId="20143"/>
    <cellStyle name="Percent 2 3 2 2 2 5 3" xfId="5816"/>
    <cellStyle name="Percent 2 3 2 2 2 5 3 2" xfId="14239"/>
    <cellStyle name="Percent 2 3 2 2 2 5 3 3" xfId="20144"/>
    <cellStyle name="Percent 2 3 2 2 2 5 4" xfId="5817"/>
    <cellStyle name="Percent 2 3 2 2 2 5 4 2" xfId="14240"/>
    <cellStyle name="Percent 2 3 2 2 2 5 4 3" xfId="20145"/>
    <cellStyle name="Percent 2 3 2 2 2 5 5" xfId="5818"/>
    <cellStyle name="Percent 2 3 2 2 2 5 5 2" xfId="14241"/>
    <cellStyle name="Percent 2 3 2 2 2 5 5 3" xfId="20146"/>
    <cellStyle name="Percent 2 3 2 2 2 5 6" xfId="14237"/>
    <cellStyle name="Percent 2 3 2 2 2 5 7" xfId="20142"/>
    <cellStyle name="Percent 2 3 2 2 2 5_LNG &amp; LPG rework" xfId="7674"/>
    <cellStyle name="Percent 2 3 2 2 2 6" xfId="5819"/>
    <cellStyle name="Percent 2 3 2 2 2 6 2" xfId="14242"/>
    <cellStyle name="Percent 2 3 2 2 2 6 3" xfId="20147"/>
    <cellStyle name="Percent 2 3 2 2 2 7" xfId="5820"/>
    <cellStyle name="Percent 2 3 2 2 2 7 2" xfId="14243"/>
    <cellStyle name="Percent 2 3 2 2 2 7 3" xfId="20148"/>
    <cellStyle name="Percent 2 3 2 2 2 8" xfId="5821"/>
    <cellStyle name="Percent 2 3 2 2 2 8 2" xfId="14244"/>
    <cellStyle name="Percent 2 3 2 2 2 8 3" xfId="20149"/>
    <cellStyle name="Percent 2 3 2 2 2 9" xfId="5822"/>
    <cellStyle name="Percent 2 3 2 2 2 9 2" xfId="14245"/>
    <cellStyle name="Percent 2 3 2 2 2 9 3" xfId="20150"/>
    <cellStyle name="Percent 2 3 2 2 2_LNG &amp; LPG rework" xfId="7668"/>
    <cellStyle name="Percent 2 3 2 2 3" xfId="543"/>
    <cellStyle name="Percent 2 3 2 2 3 10" xfId="20151"/>
    <cellStyle name="Percent 2 3 2 2 3 2" xfId="544"/>
    <cellStyle name="Percent 2 3 2 2 3 2 2" xfId="5823"/>
    <cellStyle name="Percent 2 3 2 2 3 2 2 2" xfId="14246"/>
    <cellStyle name="Percent 2 3 2 2 3 2 2 3" xfId="20153"/>
    <cellStyle name="Percent 2 3 2 2 3 2 3" xfId="5824"/>
    <cellStyle name="Percent 2 3 2 2 3 2 3 2" xfId="14247"/>
    <cellStyle name="Percent 2 3 2 2 3 2 3 3" xfId="20154"/>
    <cellStyle name="Percent 2 3 2 2 3 2 4" xfId="5825"/>
    <cellStyle name="Percent 2 3 2 2 3 2 4 2" xfId="14248"/>
    <cellStyle name="Percent 2 3 2 2 3 2 4 3" xfId="20155"/>
    <cellStyle name="Percent 2 3 2 2 3 2 5" xfId="5826"/>
    <cellStyle name="Percent 2 3 2 2 3 2 5 2" xfId="14249"/>
    <cellStyle name="Percent 2 3 2 2 3 2 5 3" xfId="20156"/>
    <cellStyle name="Percent 2 3 2 2 3 2 6" xfId="5827"/>
    <cellStyle name="Percent 2 3 2 2 3 2 6 2" xfId="14250"/>
    <cellStyle name="Percent 2 3 2 2 3 2 6 3" xfId="20157"/>
    <cellStyle name="Percent 2 3 2 2 3 2 7" xfId="9363"/>
    <cellStyle name="Percent 2 3 2 2 3 2 8" xfId="20152"/>
    <cellStyle name="Percent 2 3 2 2 3 2_LNG &amp; LPG rework" xfId="7676"/>
    <cellStyle name="Percent 2 3 2 2 3 3" xfId="5828"/>
    <cellStyle name="Percent 2 3 2 2 3 3 2" xfId="5829"/>
    <cellStyle name="Percent 2 3 2 2 3 3 2 2" xfId="14252"/>
    <cellStyle name="Percent 2 3 2 2 3 3 2 3" xfId="20159"/>
    <cellStyle name="Percent 2 3 2 2 3 3 3" xfId="5830"/>
    <cellStyle name="Percent 2 3 2 2 3 3 3 2" xfId="14253"/>
    <cellStyle name="Percent 2 3 2 2 3 3 3 3" xfId="20160"/>
    <cellStyle name="Percent 2 3 2 2 3 3 4" xfId="5831"/>
    <cellStyle name="Percent 2 3 2 2 3 3 4 2" xfId="14254"/>
    <cellStyle name="Percent 2 3 2 2 3 3 4 3" xfId="20161"/>
    <cellStyle name="Percent 2 3 2 2 3 3 5" xfId="5832"/>
    <cellStyle name="Percent 2 3 2 2 3 3 5 2" xfId="14255"/>
    <cellStyle name="Percent 2 3 2 2 3 3 5 3" xfId="20162"/>
    <cellStyle name="Percent 2 3 2 2 3 3 6" xfId="14251"/>
    <cellStyle name="Percent 2 3 2 2 3 3 7" xfId="20158"/>
    <cellStyle name="Percent 2 3 2 2 3 3_LNG &amp; LPG rework" xfId="7677"/>
    <cellStyle name="Percent 2 3 2 2 3 4" xfId="5833"/>
    <cellStyle name="Percent 2 3 2 2 3 4 2" xfId="14256"/>
    <cellStyle name="Percent 2 3 2 2 3 4 3" xfId="20163"/>
    <cellStyle name="Percent 2 3 2 2 3 5" xfId="5834"/>
    <cellStyle name="Percent 2 3 2 2 3 5 2" xfId="14257"/>
    <cellStyle name="Percent 2 3 2 2 3 5 3" xfId="20164"/>
    <cellStyle name="Percent 2 3 2 2 3 6" xfId="5835"/>
    <cellStyle name="Percent 2 3 2 2 3 6 2" xfId="14258"/>
    <cellStyle name="Percent 2 3 2 2 3 6 3" xfId="20165"/>
    <cellStyle name="Percent 2 3 2 2 3 7" xfId="5836"/>
    <cellStyle name="Percent 2 3 2 2 3 7 2" xfId="14259"/>
    <cellStyle name="Percent 2 3 2 2 3 7 3" xfId="20166"/>
    <cellStyle name="Percent 2 3 2 2 3 8" xfId="5837"/>
    <cellStyle name="Percent 2 3 2 2 3 8 2" xfId="14260"/>
    <cellStyle name="Percent 2 3 2 2 3 8 3" xfId="20167"/>
    <cellStyle name="Percent 2 3 2 2 3 9" xfId="9362"/>
    <cellStyle name="Percent 2 3 2 2 3_LNG &amp; LPG rework" xfId="7675"/>
    <cellStyle name="Percent 2 3 2 2 4" xfId="545"/>
    <cellStyle name="Percent 2 3 2 2 4 2" xfId="5838"/>
    <cellStyle name="Percent 2 3 2 2 4 2 2" xfId="14261"/>
    <cellStyle name="Percent 2 3 2 2 4 2 3" xfId="20169"/>
    <cellStyle name="Percent 2 3 2 2 4 3" xfId="5839"/>
    <cellStyle name="Percent 2 3 2 2 4 3 2" xfId="14262"/>
    <cellStyle name="Percent 2 3 2 2 4 3 3" xfId="20170"/>
    <cellStyle name="Percent 2 3 2 2 4 4" xfId="5840"/>
    <cellStyle name="Percent 2 3 2 2 4 4 2" xfId="14263"/>
    <cellStyle name="Percent 2 3 2 2 4 4 3" xfId="20171"/>
    <cellStyle name="Percent 2 3 2 2 4 5" xfId="5841"/>
    <cellStyle name="Percent 2 3 2 2 4 5 2" xfId="14264"/>
    <cellStyle name="Percent 2 3 2 2 4 5 3" xfId="20172"/>
    <cellStyle name="Percent 2 3 2 2 4 6" xfId="5842"/>
    <cellStyle name="Percent 2 3 2 2 4 6 2" xfId="14265"/>
    <cellStyle name="Percent 2 3 2 2 4 6 3" xfId="20173"/>
    <cellStyle name="Percent 2 3 2 2 4 7" xfId="9364"/>
    <cellStyle name="Percent 2 3 2 2 4 8" xfId="20168"/>
    <cellStyle name="Percent 2 3 2 2 4_LNG &amp; LPG rework" xfId="7678"/>
    <cellStyle name="Percent 2 3 2 2 5" xfId="5843"/>
    <cellStyle name="Percent 2 3 2 2 5 2" xfId="5844"/>
    <cellStyle name="Percent 2 3 2 2 5 2 2" xfId="14267"/>
    <cellStyle name="Percent 2 3 2 2 5 2 3" xfId="20175"/>
    <cellStyle name="Percent 2 3 2 2 5 3" xfId="5845"/>
    <cellStyle name="Percent 2 3 2 2 5 3 2" xfId="14268"/>
    <cellStyle name="Percent 2 3 2 2 5 3 3" xfId="20176"/>
    <cellStyle name="Percent 2 3 2 2 5 4" xfId="5846"/>
    <cellStyle name="Percent 2 3 2 2 5 4 2" xfId="14269"/>
    <cellStyle name="Percent 2 3 2 2 5 4 3" xfId="20177"/>
    <cellStyle name="Percent 2 3 2 2 5 5" xfId="5847"/>
    <cellStyle name="Percent 2 3 2 2 5 5 2" xfId="14270"/>
    <cellStyle name="Percent 2 3 2 2 5 5 3" xfId="20178"/>
    <cellStyle name="Percent 2 3 2 2 5 6" xfId="14266"/>
    <cellStyle name="Percent 2 3 2 2 5 7" xfId="20174"/>
    <cellStyle name="Percent 2 3 2 2 5_LNG &amp; LPG rework" xfId="7679"/>
    <cellStyle name="Percent 2 3 2 2 6" xfId="5848"/>
    <cellStyle name="Percent 2 3 2 2 6 2" xfId="5849"/>
    <cellStyle name="Percent 2 3 2 2 6 2 2" xfId="14272"/>
    <cellStyle name="Percent 2 3 2 2 6 2 3" xfId="20180"/>
    <cellStyle name="Percent 2 3 2 2 6 3" xfId="5850"/>
    <cellStyle name="Percent 2 3 2 2 6 3 2" xfId="14273"/>
    <cellStyle name="Percent 2 3 2 2 6 3 3" xfId="20181"/>
    <cellStyle name="Percent 2 3 2 2 6 4" xfId="5851"/>
    <cellStyle name="Percent 2 3 2 2 6 4 2" xfId="14274"/>
    <cellStyle name="Percent 2 3 2 2 6 4 3" xfId="20182"/>
    <cellStyle name="Percent 2 3 2 2 6 5" xfId="5852"/>
    <cellStyle name="Percent 2 3 2 2 6 5 2" xfId="14275"/>
    <cellStyle name="Percent 2 3 2 2 6 5 3" xfId="20183"/>
    <cellStyle name="Percent 2 3 2 2 6 6" xfId="14271"/>
    <cellStyle name="Percent 2 3 2 2 6 7" xfId="20179"/>
    <cellStyle name="Percent 2 3 2 2 6_LNG &amp; LPG rework" xfId="7680"/>
    <cellStyle name="Percent 2 3 2 2 7" xfId="5853"/>
    <cellStyle name="Percent 2 3 2 2 7 2" xfId="14276"/>
    <cellStyle name="Percent 2 3 2 2 7 3" xfId="20184"/>
    <cellStyle name="Percent 2 3 2 2 8" xfId="5854"/>
    <cellStyle name="Percent 2 3 2 2 8 2" xfId="14277"/>
    <cellStyle name="Percent 2 3 2 2 8 3" xfId="20185"/>
    <cellStyle name="Percent 2 3 2 2 9" xfId="5855"/>
    <cellStyle name="Percent 2 3 2 2 9 2" xfId="14278"/>
    <cellStyle name="Percent 2 3 2 2 9 3" xfId="20186"/>
    <cellStyle name="Percent 2 3 2 2_LNG &amp; LPG rework" xfId="7667"/>
    <cellStyle name="Percent 2 3 2 3" xfId="546"/>
    <cellStyle name="Percent 2 3 2 3 10" xfId="5856"/>
    <cellStyle name="Percent 2 3 2 3 10 2" xfId="14279"/>
    <cellStyle name="Percent 2 3 2 3 10 3" xfId="20188"/>
    <cellStyle name="Percent 2 3 2 3 11" xfId="9365"/>
    <cellStyle name="Percent 2 3 2 3 12" xfId="20187"/>
    <cellStyle name="Percent 2 3 2 3 2" xfId="547"/>
    <cellStyle name="Percent 2 3 2 3 2 10" xfId="20189"/>
    <cellStyle name="Percent 2 3 2 3 2 2" xfId="548"/>
    <cellStyle name="Percent 2 3 2 3 2 2 2" xfId="5857"/>
    <cellStyle name="Percent 2 3 2 3 2 2 2 2" xfId="14280"/>
    <cellStyle name="Percent 2 3 2 3 2 2 2 3" xfId="20191"/>
    <cellStyle name="Percent 2 3 2 3 2 2 3" xfId="5858"/>
    <cellStyle name="Percent 2 3 2 3 2 2 3 2" xfId="14281"/>
    <cellStyle name="Percent 2 3 2 3 2 2 3 3" xfId="20192"/>
    <cellStyle name="Percent 2 3 2 3 2 2 4" xfId="5859"/>
    <cellStyle name="Percent 2 3 2 3 2 2 4 2" xfId="14282"/>
    <cellStyle name="Percent 2 3 2 3 2 2 4 3" xfId="20193"/>
    <cellStyle name="Percent 2 3 2 3 2 2 5" xfId="5860"/>
    <cellStyle name="Percent 2 3 2 3 2 2 5 2" xfId="14283"/>
    <cellStyle name="Percent 2 3 2 3 2 2 5 3" xfId="20194"/>
    <cellStyle name="Percent 2 3 2 3 2 2 6" xfId="5861"/>
    <cellStyle name="Percent 2 3 2 3 2 2 6 2" xfId="14284"/>
    <cellStyle name="Percent 2 3 2 3 2 2 6 3" xfId="20195"/>
    <cellStyle name="Percent 2 3 2 3 2 2 7" xfId="9367"/>
    <cellStyle name="Percent 2 3 2 3 2 2 8" xfId="20190"/>
    <cellStyle name="Percent 2 3 2 3 2 2_LNG &amp; LPG rework" xfId="7683"/>
    <cellStyle name="Percent 2 3 2 3 2 3" xfId="5862"/>
    <cellStyle name="Percent 2 3 2 3 2 3 2" xfId="5863"/>
    <cellStyle name="Percent 2 3 2 3 2 3 2 2" xfId="14286"/>
    <cellStyle name="Percent 2 3 2 3 2 3 2 3" xfId="20197"/>
    <cellStyle name="Percent 2 3 2 3 2 3 3" xfId="5864"/>
    <cellStyle name="Percent 2 3 2 3 2 3 3 2" xfId="14287"/>
    <cellStyle name="Percent 2 3 2 3 2 3 3 3" xfId="20198"/>
    <cellStyle name="Percent 2 3 2 3 2 3 4" xfId="5865"/>
    <cellStyle name="Percent 2 3 2 3 2 3 4 2" xfId="14288"/>
    <cellStyle name="Percent 2 3 2 3 2 3 4 3" xfId="20199"/>
    <cellStyle name="Percent 2 3 2 3 2 3 5" xfId="5866"/>
    <cellStyle name="Percent 2 3 2 3 2 3 5 2" xfId="14289"/>
    <cellStyle name="Percent 2 3 2 3 2 3 5 3" xfId="20200"/>
    <cellStyle name="Percent 2 3 2 3 2 3 6" xfId="14285"/>
    <cellStyle name="Percent 2 3 2 3 2 3 7" xfId="20196"/>
    <cellStyle name="Percent 2 3 2 3 2 3_LNG &amp; LPG rework" xfId="7684"/>
    <cellStyle name="Percent 2 3 2 3 2 4" xfId="5867"/>
    <cellStyle name="Percent 2 3 2 3 2 4 2" xfId="14290"/>
    <cellStyle name="Percent 2 3 2 3 2 4 3" xfId="20201"/>
    <cellStyle name="Percent 2 3 2 3 2 5" xfId="5868"/>
    <cellStyle name="Percent 2 3 2 3 2 5 2" xfId="14291"/>
    <cellStyle name="Percent 2 3 2 3 2 5 3" xfId="20202"/>
    <cellStyle name="Percent 2 3 2 3 2 6" xfId="5869"/>
    <cellStyle name="Percent 2 3 2 3 2 6 2" xfId="14292"/>
    <cellStyle name="Percent 2 3 2 3 2 6 3" xfId="20203"/>
    <cellStyle name="Percent 2 3 2 3 2 7" xfId="5870"/>
    <cellStyle name="Percent 2 3 2 3 2 7 2" xfId="14293"/>
    <cellStyle name="Percent 2 3 2 3 2 7 3" xfId="20204"/>
    <cellStyle name="Percent 2 3 2 3 2 8" xfId="5871"/>
    <cellStyle name="Percent 2 3 2 3 2 8 2" xfId="14294"/>
    <cellStyle name="Percent 2 3 2 3 2 8 3" xfId="20205"/>
    <cellStyle name="Percent 2 3 2 3 2 9" xfId="9366"/>
    <cellStyle name="Percent 2 3 2 3 2_LNG &amp; LPG rework" xfId="7682"/>
    <cellStyle name="Percent 2 3 2 3 3" xfId="549"/>
    <cellStyle name="Percent 2 3 2 3 3 2" xfId="5872"/>
    <cellStyle name="Percent 2 3 2 3 3 2 2" xfId="14295"/>
    <cellStyle name="Percent 2 3 2 3 3 2 3" xfId="20207"/>
    <cellStyle name="Percent 2 3 2 3 3 3" xfId="5873"/>
    <cellStyle name="Percent 2 3 2 3 3 3 2" xfId="14296"/>
    <cellStyle name="Percent 2 3 2 3 3 3 3" xfId="20208"/>
    <cellStyle name="Percent 2 3 2 3 3 4" xfId="5874"/>
    <cellStyle name="Percent 2 3 2 3 3 4 2" xfId="14297"/>
    <cellStyle name="Percent 2 3 2 3 3 4 3" xfId="20209"/>
    <cellStyle name="Percent 2 3 2 3 3 5" xfId="5875"/>
    <cellStyle name="Percent 2 3 2 3 3 5 2" xfId="14298"/>
    <cellStyle name="Percent 2 3 2 3 3 5 3" xfId="20210"/>
    <cellStyle name="Percent 2 3 2 3 3 6" xfId="5876"/>
    <cellStyle name="Percent 2 3 2 3 3 6 2" xfId="14299"/>
    <cellStyle name="Percent 2 3 2 3 3 6 3" xfId="20211"/>
    <cellStyle name="Percent 2 3 2 3 3 7" xfId="9368"/>
    <cellStyle name="Percent 2 3 2 3 3 8" xfId="20206"/>
    <cellStyle name="Percent 2 3 2 3 3_LNG &amp; LPG rework" xfId="7685"/>
    <cellStyle name="Percent 2 3 2 3 4" xfId="5877"/>
    <cellStyle name="Percent 2 3 2 3 4 2" xfId="5878"/>
    <cellStyle name="Percent 2 3 2 3 4 2 2" xfId="14301"/>
    <cellStyle name="Percent 2 3 2 3 4 2 3" xfId="20213"/>
    <cellStyle name="Percent 2 3 2 3 4 3" xfId="5879"/>
    <cellStyle name="Percent 2 3 2 3 4 3 2" xfId="14302"/>
    <cellStyle name="Percent 2 3 2 3 4 3 3" xfId="20214"/>
    <cellStyle name="Percent 2 3 2 3 4 4" xfId="5880"/>
    <cellStyle name="Percent 2 3 2 3 4 4 2" xfId="14303"/>
    <cellStyle name="Percent 2 3 2 3 4 4 3" xfId="20215"/>
    <cellStyle name="Percent 2 3 2 3 4 5" xfId="5881"/>
    <cellStyle name="Percent 2 3 2 3 4 5 2" xfId="14304"/>
    <cellStyle name="Percent 2 3 2 3 4 5 3" xfId="20216"/>
    <cellStyle name="Percent 2 3 2 3 4 6" xfId="14300"/>
    <cellStyle name="Percent 2 3 2 3 4 7" xfId="20212"/>
    <cellStyle name="Percent 2 3 2 3 4_LNG &amp; LPG rework" xfId="7686"/>
    <cellStyle name="Percent 2 3 2 3 5" xfId="5882"/>
    <cellStyle name="Percent 2 3 2 3 5 2" xfId="5883"/>
    <cellStyle name="Percent 2 3 2 3 5 2 2" xfId="14306"/>
    <cellStyle name="Percent 2 3 2 3 5 2 3" xfId="20218"/>
    <cellStyle name="Percent 2 3 2 3 5 3" xfId="5884"/>
    <cellStyle name="Percent 2 3 2 3 5 3 2" xfId="14307"/>
    <cellStyle name="Percent 2 3 2 3 5 3 3" xfId="20219"/>
    <cellStyle name="Percent 2 3 2 3 5 4" xfId="5885"/>
    <cellStyle name="Percent 2 3 2 3 5 4 2" xfId="14308"/>
    <cellStyle name="Percent 2 3 2 3 5 4 3" xfId="20220"/>
    <cellStyle name="Percent 2 3 2 3 5 5" xfId="5886"/>
    <cellStyle name="Percent 2 3 2 3 5 5 2" xfId="14309"/>
    <cellStyle name="Percent 2 3 2 3 5 5 3" xfId="20221"/>
    <cellStyle name="Percent 2 3 2 3 5 6" xfId="14305"/>
    <cellStyle name="Percent 2 3 2 3 5 7" xfId="20217"/>
    <cellStyle name="Percent 2 3 2 3 5_LNG &amp; LPG rework" xfId="7687"/>
    <cellStyle name="Percent 2 3 2 3 6" xfId="5887"/>
    <cellStyle name="Percent 2 3 2 3 6 2" xfId="14310"/>
    <cellStyle name="Percent 2 3 2 3 6 3" xfId="20222"/>
    <cellStyle name="Percent 2 3 2 3 7" xfId="5888"/>
    <cellStyle name="Percent 2 3 2 3 7 2" xfId="14311"/>
    <cellStyle name="Percent 2 3 2 3 7 3" xfId="20223"/>
    <cellStyle name="Percent 2 3 2 3 8" xfId="5889"/>
    <cellStyle name="Percent 2 3 2 3 8 2" xfId="14312"/>
    <cellStyle name="Percent 2 3 2 3 8 3" xfId="20224"/>
    <cellStyle name="Percent 2 3 2 3 9" xfId="5890"/>
    <cellStyle name="Percent 2 3 2 3 9 2" xfId="14313"/>
    <cellStyle name="Percent 2 3 2 3 9 3" xfId="20225"/>
    <cellStyle name="Percent 2 3 2 3_LNG &amp; LPG rework" xfId="7681"/>
    <cellStyle name="Percent 2 3 2 4" xfId="550"/>
    <cellStyle name="Percent 2 3 2 4 10" xfId="20226"/>
    <cellStyle name="Percent 2 3 2 4 2" xfId="551"/>
    <cellStyle name="Percent 2 3 2 4 2 2" xfId="5891"/>
    <cellStyle name="Percent 2 3 2 4 2 2 2" xfId="14314"/>
    <cellStyle name="Percent 2 3 2 4 2 2 3" xfId="20228"/>
    <cellStyle name="Percent 2 3 2 4 2 3" xfId="5892"/>
    <cellStyle name="Percent 2 3 2 4 2 3 2" xfId="14315"/>
    <cellStyle name="Percent 2 3 2 4 2 3 3" xfId="20229"/>
    <cellStyle name="Percent 2 3 2 4 2 4" xfId="5893"/>
    <cellStyle name="Percent 2 3 2 4 2 4 2" xfId="14316"/>
    <cellStyle name="Percent 2 3 2 4 2 4 3" xfId="20230"/>
    <cellStyle name="Percent 2 3 2 4 2 5" xfId="5894"/>
    <cellStyle name="Percent 2 3 2 4 2 5 2" xfId="14317"/>
    <cellStyle name="Percent 2 3 2 4 2 5 3" xfId="20231"/>
    <cellStyle name="Percent 2 3 2 4 2 6" xfId="5895"/>
    <cellStyle name="Percent 2 3 2 4 2 6 2" xfId="14318"/>
    <cellStyle name="Percent 2 3 2 4 2 6 3" xfId="20232"/>
    <cellStyle name="Percent 2 3 2 4 2 7" xfId="9370"/>
    <cellStyle name="Percent 2 3 2 4 2 8" xfId="20227"/>
    <cellStyle name="Percent 2 3 2 4 2_LNG &amp; LPG rework" xfId="7689"/>
    <cellStyle name="Percent 2 3 2 4 3" xfId="5896"/>
    <cellStyle name="Percent 2 3 2 4 3 2" xfId="5897"/>
    <cellStyle name="Percent 2 3 2 4 3 2 2" xfId="14320"/>
    <cellStyle name="Percent 2 3 2 4 3 2 3" xfId="20234"/>
    <cellStyle name="Percent 2 3 2 4 3 3" xfId="5898"/>
    <cellStyle name="Percent 2 3 2 4 3 3 2" xfId="14321"/>
    <cellStyle name="Percent 2 3 2 4 3 3 3" xfId="20235"/>
    <cellStyle name="Percent 2 3 2 4 3 4" xfId="5899"/>
    <cellStyle name="Percent 2 3 2 4 3 4 2" xfId="14322"/>
    <cellStyle name="Percent 2 3 2 4 3 4 3" xfId="20236"/>
    <cellStyle name="Percent 2 3 2 4 3 5" xfId="5900"/>
    <cellStyle name="Percent 2 3 2 4 3 5 2" xfId="14323"/>
    <cellStyle name="Percent 2 3 2 4 3 5 3" xfId="20237"/>
    <cellStyle name="Percent 2 3 2 4 3 6" xfId="14319"/>
    <cellStyle name="Percent 2 3 2 4 3 7" xfId="20233"/>
    <cellStyle name="Percent 2 3 2 4 3_LNG &amp; LPG rework" xfId="7690"/>
    <cellStyle name="Percent 2 3 2 4 4" xfId="5901"/>
    <cellStyle name="Percent 2 3 2 4 4 2" xfId="14324"/>
    <cellStyle name="Percent 2 3 2 4 4 3" xfId="20238"/>
    <cellStyle name="Percent 2 3 2 4 5" xfId="5902"/>
    <cellStyle name="Percent 2 3 2 4 5 2" xfId="14325"/>
    <cellStyle name="Percent 2 3 2 4 5 3" xfId="20239"/>
    <cellStyle name="Percent 2 3 2 4 6" xfId="5903"/>
    <cellStyle name="Percent 2 3 2 4 6 2" xfId="14326"/>
    <cellStyle name="Percent 2 3 2 4 6 3" xfId="20240"/>
    <cellStyle name="Percent 2 3 2 4 7" xfId="5904"/>
    <cellStyle name="Percent 2 3 2 4 7 2" xfId="14327"/>
    <cellStyle name="Percent 2 3 2 4 7 3" xfId="20241"/>
    <cellStyle name="Percent 2 3 2 4 8" xfId="5905"/>
    <cellStyle name="Percent 2 3 2 4 8 2" xfId="14328"/>
    <cellStyle name="Percent 2 3 2 4 8 3" xfId="20242"/>
    <cellStyle name="Percent 2 3 2 4 9" xfId="9369"/>
    <cellStyle name="Percent 2 3 2 4_LNG &amp; LPG rework" xfId="7688"/>
    <cellStyle name="Percent 2 3 2 5" xfId="552"/>
    <cellStyle name="Percent 2 3 2 5 2" xfId="5906"/>
    <cellStyle name="Percent 2 3 2 5 2 2" xfId="14329"/>
    <cellStyle name="Percent 2 3 2 5 2 3" xfId="20244"/>
    <cellStyle name="Percent 2 3 2 5 3" xfId="5907"/>
    <cellStyle name="Percent 2 3 2 5 3 2" xfId="14330"/>
    <cellStyle name="Percent 2 3 2 5 3 3" xfId="20245"/>
    <cellStyle name="Percent 2 3 2 5 4" xfId="5908"/>
    <cellStyle name="Percent 2 3 2 5 4 2" xfId="14331"/>
    <cellStyle name="Percent 2 3 2 5 4 3" xfId="20246"/>
    <cellStyle name="Percent 2 3 2 5 5" xfId="5909"/>
    <cellStyle name="Percent 2 3 2 5 5 2" xfId="14332"/>
    <cellStyle name="Percent 2 3 2 5 5 3" xfId="20247"/>
    <cellStyle name="Percent 2 3 2 5 6" xfId="5910"/>
    <cellStyle name="Percent 2 3 2 5 6 2" xfId="14333"/>
    <cellStyle name="Percent 2 3 2 5 6 3" xfId="20248"/>
    <cellStyle name="Percent 2 3 2 5 7" xfId="9371"/>
    <cellStyle name="Percent 2 3 2 5 8" xfId="20243"/>
    <cellStyle name="Percent 2 3 2 5_LNG &amp; LPG rework" xfId="7691"/>
    <cellStyle name="Percent 2 3 2 6" xfId="5911"/>
    <cellStyle name="Percent 2 3 2 6 2" xfId="5912"/>
    <cellStyle name="Percent 2 3 2 6 2 2" xfId="14335"/>
    <cellStyle name="Percent 2 3 2 6 2 3" xfId="20250"/>
    <cellStyle name="Percent 2 3 2 6 3" xfId="5913"/>
    <cellStyle name="Percent 2 3 2 6 3 2" xfId="14336"/>
    <cellStyle name="Percent 2 3 2 6 3 3" xfId="20251"/>
    <cellStyle name="Percent 2 3 2 6 4" xfId="5914"/>
    <cellStyle name="Percent 2 3 2 6 4 2" xfId="14337"/>
    <cellStyle name="Percent 2 3 2 6 4 3" xfId="20252"/>
    <cellStyle name="Percent 2 3 2 6 5" xfId="5915"/>
    <cellStyle name="Percent 2 3 2 6 5 2" xfId="14338"/>
    <cellStyle name="Percent 2 3 2 6 5 3" xfId="20253"/>
    <cellStyle name="Percent 2 3 2 6 6" xfId="14334"/>
    <cellStyle name="Percent 2 3 2 6 7" xfId="20249"/>
    <cellStyle name="Percent 2 3 2 6_LNG &amp; LPG rework" xfId="7692"/>
    <cellStyle name="Percent 2 3 2 7" xfId="5916"/>
    <cellStyle name="Percent 2 3 2 7 2" xfId="5917"/>
    <cellStyle name="Percent 2 3 2 7 2 2" xfId="14340"/>
    <cellStyle name="Percent 2 3 2 7 2 3" xfId="20255"/>
    <cellStyle name="Percent 2 3 2 7 3" xfId="5918"/>
    <cellStyle name="Percent 2 3 2 7 3 2" xfId="14341"/>
    <cellStyle name="Percent 2 3 2 7 3 3" xfId="20256"/>
    <cellStyle name="Percent 2 3 2 7 4" xfId="5919"/>
    <cellStyle name="Percent 2 3 2 7 4 2" xfId="14342"/>
    <cellStyle name="Percent 2 3 2 7 4 3" xfId="20257"/>
    <cellStyle name="Percent 2 3 2 7 5" xfId="5920"/>
    <cellStyle name="Percent 2 3 2 7 5 2" xfId="14343"/>
    <cellStyle name="Percent 2 3 2 7 5 3" xfId="20258"/>
    <cellStyle name="Percent 2 3 2 7 6" xfId="14339"/>
    <cellStyle name="Percent 2 3 2 7 7" xfId="20254"/>
    <cellStyle name="Percent 2 3 2 7_LNG &amp; LPG rework" xfId="7693"/>
    <cellStyle name="Percent 2 3 2 8" xfId="5921"/>
    <cellStyle name="Percent 2 3 2 8 2" xfId="14344"/>
    <cellStyle name="Percent 2 3 2 8 3" xfId="20259"/>
    <cellStyle name="Percent 2 3 2 9" xfId="5922"/>
    <cellStyle name="Percent 2 3 2 9 2" xfId="14345"/>
    <cellStyle name="Percent 2 3 2 9 3" xfId="20260"/>
    <cellStyle name="Percent 2 3 2_LNG &amp; LPG rework" xfId="7666"/>
    <cellStyle name="Percent 2 3 3" xfId="553"/>
    <cellStyle name="Percent 2 3 3 10" xfId="5923"/>
    <cellStyle name="Percent 2 3 3 10 2" xfId="14346"/>
    <cellStyle name="Percent 2 3 3 10 3" xfId="20262"/>
    <cellStyle name="Percent 2 3 3 11" xfId="5924"/>
    <cellStyle name="Percent 2 3 3 11 2" xfId="14347"/>
    <cellStyle name="Percent 2 3 3 11 3" xfId="20263"/>
    <cellStyle name="Percent 2 3 3 12" xfId="9372"/>
    <cellStyle name="Percent 2 3 3 13" xfId="20261"/>
    <cellStyle name="Percent 2 3 3 2" xfId="554"/>
    <cellStyle name="Percent 2 3 3 2 10" xfId="5925"/>
    <cellStyle name="Percent 2 3 3 2 10 2" xfId="14348"/>
    <cellStyle name="Percent 2 3 3 2 10 3" xfId="20265"/>
    <cellStyle name="Percent 2 3 3 2 11" xfId="9373"/>
    <cellStyle name="Percent 2 3 3 2 12" xfId="20264"/>
    <cellStyle name="Percent 2 3 3 2 2" xfId="555"/>
    <cellStyle name="Percent 2 3 3 2 2 10" xfId="20266"/>
    <cellStyle name="Percent 2 3 3 2 2 2" xfId="556"/>
    <cellStyle name="Percent 2 3 3 2 2 2 2" xfId="5926"/>
    <cellStyle name="Percent 2 3 3 2 2 2 2 2" xfId="14349"/>
    <cellStyle name="Percent 2 3 3 2 2 2 2 3" xfId="20268"/>
    <cellStyle name="Percent 2 3 3 2 2 2 3" xfId="5927"/>
    <cellStyle name="Percent 2 3 3 2 2 2 3 2" xfId="14350"/>
    <cellStyle name="Percent 2 3 3 2 2 2 3 3" xfId="20269"/>
    <cellStyle name="Percent 2 3 3 2 2 2 4" xfId="5928"/>
    <cellStyle name="Percent 2 3 3 2 2 2 4 2" xfId="14351"/>
    <cellStyle name="Percent 2 3 3 2 2 2 4 3" xfId="20270"/>
    <cellStyle name="Percent 2 3 3 2 2 2 5" xfId="5929"/>
    <cellStyle name="Percent 2 3 3 2 2 2 5 2" xfId="14352"/>
    <cellStyle name="Percent 2 3 3 2 2 2 5 3" xfId="20271"/>
    <cellStyle name="Percent 2 3 3 2 2 2 6" xfId="5930"/>
    <cellStyle name="Percent 2 3 3 2 2 2 6 2" xfId="14353"/>
    <cellStyle name="Percent 2 3 3 2 2 2 6 3" xfId="20272"/>
    <cellStyle name="Percent 2 3 3 2 2 2 7" xfId="9375"/>
    <cellStyle name="Percent 2 3 3 2 2 2 8" xfId="20267"/>
    <cellStyle name="Percent 2 3 3 2 2 2_LNG &amp; LPG rework" xfId="7697"/>
    <cellStyle name="Percent 2 3 3 2 2 3" xfId="5931"/>
    <cellStyle name="Percent 2 3 3 2 2 3 2" xfId="5932"/>
    <cellStyle name="Percent 2 3 3 2 2 3 2 2" xfId="14355"/>
    <cellStyle name="Percent 2 3 3 2 2 3 2 3" xfId="20274"/>
    <cellStyle name="Percent 2 3 3 2 2 3 3" xfId="5933"/>
    <cellStyle name="Percent 2 3 3 2 2 3 3 2" xfId="14356"/>
    <cellStyle name="Percent 2 3 3 2 2 3 3 3" xfId="20275"/>
    <cellStyle name="Percent 2 3 3 2 2 3 4" xfId="5934"/>
    <cellStyle name="Percent 2 3 3 2 2 3 4 2" xfId="14357"/>
    <cellStyle name="Percent 2 3 3 2 2 3 4 3" xfId="20276"/>
    <cellStyle name="Percent 2 3 3 2 2 3 5" xfId="5935"/>
    <cellStyle name="Percent 2 3 3 2 2 3 5 2" xfId="14358"/>
    <cellStyle name="Percent 2 3 3 2 2 3 5 3" xfId="20277"/>
    <cellStyle name="Percent 2 3 3 2 2 3 6" xfId="14354"/>
    <cellStyle name="Percent 2 3 3 2 2 3 7" xfId="20273"/>
    <cellStyle name="Percent 2 3 3 2 2 3_LNG &amp; LPG rework" xfId="7698"/>
    <cellStyle name="Percent 2 3 3 2 2 4" xfId="5936"/>
    <cellStyle name="Percent 2 3 3 2 2 4 2" xfId="14359"/>
    <cellStyle name="Percent 2 3 3 2 2 4 3" xfId="20278"/>
    <cellStyle name="Percent 2 3 3 2 2 5" xfId="5937"/>
    <cellStyle name="Percent 2 3 3 2 2 5 2" xfId="14360"/>
    <cellStyle name="Percent 2 3 3 2 2 5 3" xfId="20279"/>
    <cellStyle name="Percent 2 3 3 2 2 6" xfId="5938"/>
    <cellStyle name="Percent 2 3 3 2 2 6 2" xfId="14361"/>
    <cellStyle name="Percent 2 3 3 2 2 6 3" xfId="20280"/>
    <cellStyle name="Percent 2 3 3 2 2 7" xfId="5939"/>
    <cellStyle name="Percent 2 3 3 2 2 7 2" xfId="14362"/>
    <cellStyle name="Percent 2 3 3 2 2 7 3" xfId="20281"/>
    <cellStyle name="Percent 2 3 3 2 2 8" xfId="5940"/>
    <cellStyle name="Percent 2 3 3 2 2 8 2" xfId="14363"/>
    <cellStyle name="Percent 2 3 3 2 2 8 3" xfId="20282"/>
    <cellStyle name="Percent 2 3 3 2 2 9" xfId="9374"/>
    <cellStyle name="Percent 2 3 3 2 2_LNG &amp; LPG rework" xfId="7696"/>
    <cellStyle name="Percent 2 3 3 2 3" xfId="557"/>
    <cellStyle name="Percent 2 3 3 2 3 2" xfId="5941"/>
    <cellStyle name="Percent 2 3 3 2 3 2 2" xfId="14364"/>
    <cellStyle name="Percent 2 3 3 2 3 2 3" xfId="20284"/>
    <cellStyle name="Percent 2 3 3 2 3 3" xfId="5942"/>
    <cellStyle name="Percent 2 3 3 2 3 3 2" xfId="14365"/>
    <cellStyle name="Percent 2 3 3 2 3 3 3" xfId="20285"/>
    <cellStyle name="Percent 2 3 3 2 3 4" xfId="5943"/>
    <cellStyle name="Percent 2 3 3 2 3 4 2" xfId="14366"/>
    <cellStyle name="Percent 2 3 3 2 3 4 3" xfId="20286"/>
    <cellStyle name="Percent 2 3 3 2 3 5" xfId="5944"/>
    <cellStyle name="Percent 2 3 3 2 3 5 2" xfId="14367"/>
    <cellStyle name="Percent 2 3 3 2 3 5 3" xfId="20287"/>
    <cellStyle name="Percent 2 3 3 2 3 6" xfId="5945"/>
    <cellStyle name="Percent 2 3 3 2 3 6 2" xfId="14368"/>
    <cellStyle name="Percent 2 3 3 2 3 6 3" xfId="20288"/>
    <cellStyle name="Percent 2 3 3 2 3 7" xfId="9376"/>
    <cellStyle name="Percent 2 3 3 2 3 8" xfId="20283"/>
    <cellStyle name="Percent 2 3 3 2 3_LNG &amp; LPG rework" xfId="7699"/>
    <cellStyle name="Percent 2 3 3 2 4" xfId="5946"/>
    <cellStyle name="Percent 2 3 3 2 4 2" xfId="5947"/>
    <cellStyle name="Percent 2 3 3 2 4 2 2" xfId="14370"/>
    <cellStyle name="Percent 2 3 3 2 4 2 3" xfId="20290"/>
    <cellStyle name="Percent 2 3 3 2 4 3" xfId="5948"/>
    <cellStyle name="Percent 2 3 3 2 4 3 2" xfId="14371"/>
    <cellStyle name="Percent 2 3 3 2 4 3 3" xfId="20291"/>
    <cellStyle name="Percent 2 3 3 2 4 4" xfId="5949"/>
    <cellStyle name="Percent 2 3 3 2 4 4 2" xfId="14372"/>
    <cellStyle name="Percent 2 3 3 2 4 4 3" xfId="20292"/>
    <cellStyle name="Percent 2 3 3 2 4 5" xfId="5950"/>
    <cellStyle name="Percent 2 3 3 2 4 5 2" xfId="14373"/>
    <cellStyle name="Percent 2 3 3 2 4 5 3" xfId="20293"/>
    <cellStyle name="Percent 2 3 3 2 4 6" xfId="14369"/>
    <cellStyle name="Percent 2 3 3 2 4 7" xfId="20289"/>
    <cellStyle name="Percent 2 3 3 2 4_LNG &amp; LPG rework" xfId="7700"/>
    <cellStyle name="Percent 2 3 3 2 5" xfId="5951"/>
    <cellStyle name="Percent 2 3 3 2 5 2" xfId="5952"/>
    <cellStyle name="Percent 2 3 3 2 5 2 2" xfId="14375"/>
    <cellStyle name="Percent 2 3 3 2 5 2 3" xfId="20295"/>
    <cellStyle name="Percent 2 3 3 2 5 3" xfId="5953"/>
    <cellStyle name="Percent 2 3 3 2 5 3 2" xfId="14376"/>
    <cellStyle name="Percent 2 3 3 2 5 3 3" xfId="20296"/>
    <cellStyle name="Percent 2 3 3 2 5 4" xfId="5954"/>
    <cellStyle name="Percent 2 3 3 2 5 4 2" xfId="14377"/>
    <cellStyle name="Percent 2 3 3 2 5 4 3" xfId="20297"/>
    <cellStyle name="Percent 2 3 3 2 5 5" xfId="5955"/>
    <cellStyle name="Percent 2 3 3 2 5 5 2" xfId="14378"/>
    <cellStyle name="Percent 2 3 3 2 5 5 3" xfId="20298"/>
    <cellStyle name="Percent 2 3 3 2 5 6" xfId="14374"/>
    <cellStyle name="Percent 2 3 3 2 5 7" xfId="20294"/>
    <cellStyle name="Percent 2 3 3 2 5_LNG &amp; LPG rework" xfId="7701"/>
    <cellStyle name="Percent 2 3 3 2 6" xfId="5956"/>
    <cellStyle name="Percent 2 3 3 2 6 2" xfId="14379"/>
    <cellStyle name="Percent 2 3 3 2 6 3" xfId="20299"/>
    <cellStyle name="Percent 2 3 3 2 7" xfId="5957"/>
    <cellStyle name="Percent 2 3 3 2 7 2" xfId="14380"/>
    <cellStyle name="Percent 2 3 3 2 7 3" xfId="20300"/>
    <cellStyle name="Percent 2 3 3 2 8" xfId="5958"/>
    <cellStyle name="Percent 2 3 3 2 8 2" xfId="14381"/>
    <cellStyle name="Percent 2 3 3 2 8 3" xfId="20301"/>
    <cellStyle name="Percent 2 3 3 2 9" xfId="5959"/>
    <cellStyle name="Percent 2 3 3 2 9 2" xfId="14382"/>
    <cellStyle name="Percent 2 3 3 2 9 3" xfId="20302"/>
    <cellStyle name="Percent 2 3 3 2_LNG &amp; LPG rework" xfId="7695"/>
    <cellStyle name="Percent 2 3 3 3" xfId="558"/>
    <cellStyle name="Percent 2 3 3 3 10" xfId="20303"/>
    <cellStyle name="Percent 2 3 3 3 2" xfId="559"/>
    <cellStyle name="Percent 2 3 3 3 2 2" xfId="5960"/>
    <cellStyle name="Percent 2 3 3 3 2 2 2" xfId="14383"/>
    <cellStyle name="Percent 2 3 3 3 2 2 3" xfId="20305"/>
    <cellStyle name="Percent 2 3 3 3 2 3" xfId="5961"/>
    <cellStyle name="Percent 2 3 3 3 2 3 2" xfId="14384"/>
    <cellStyle name="Percent 2 3 3 3 2 3 3" xfId="20306"/>
    <cellStyle name="Percent 2 3 3 3 2 4" xfId="5962"/>
    <cellStyle name="Percent 2 3 3 3 2 4 2" xfId="14385"/>
    <cellStyle name="Percent 2 3 3 3 2 4 3" xfId="20307"/>
    <cellStyle name="Percent 2 3 3 3 2 5" xfId="5963"/>
    <cellStyle name="Percent 2 3 3 3 2 5 2" xfId="14386"/>
    <cellStyle name="Percent 2 3 3 3 2 5 3" xfId="20308"/>
    <cellStyle name="Percent 2 3 3 3 2 6" xfId="5964"/>
    <cellStyle name="Percent 2 3 3 3 2 6 2" xfId="14387"/>
    <cellStyle name="Percent 2 3 3 3 2 6 3" xfId="20309"/>
    <cellStyle name="Percent 2 3 3 3 2 7" xfId="9378"/>
    <cellStyle name="Percent 2 3 3 3 2 8" xfId="20304"/>
    <cellStyle name="Percent 2 3 3 3 2_LNG &amp; LPG rework" xfId="7703"/>
    <cellStyle name="Percent 2 3 3 3 3" xfId="5965"/>
    <cellStyle name="Percent 2 3 3 3 3 2" xfId="5966"/>
    <cellStyle name="Percent 2 3 3 3 3 2 2" xfId="14389"/>
    <cellStyle name="Percent 2 3 3 3 3 2 3" xfId="20311"/>
    <cellStyle name="Percent 2 3 3 3 3 3" xfId="5967"/>
    <cellStyle name="Percent 2 3 3 3 3 3 2" xfId="14390"/>
    <cellStyle name="Percent 2 3 3 3 3 3 3" xfId="20312"/>
    <cellStyle name="Percent 2 3 3 3 3 4" xfId="5968"/>
    <cellStyle name="Percent 2 3 3 3 3 4 2" xfId="14391"/>
    <cellStyle name="Percent 2 3 3 3 3 4 3" xfId="20313"/>
    <cellStyle name="Percent 2 3 3 3 3 5" xfId="5969"/>
    <cellStyle name="Percent 2 3 3 3 3 5 2" xfId="14392"/>
    <cellStyle name="Percent 2 3 3 3 3 5 3" xfId="20314"/>
    <cellStyle name="Percent 2 3 3 3 3 6" xfId="14388"/>
    <cellStyle name="Percent 2 3 3 3 3 7" xfId="20310"/>
    <cellStyle name="Percent 2 3 3 3 3_LNG &amp; LPG rework" xfId="7704"/>
    <cellStyle name="Percent 2 3 3 3 4" xfId="5970"/>
    <cellStyle name="Percent 2 3 3 3 4 2" xfId="14393"/>
    <cellStyle name="Percent 2 3 3 3 4 3" xfId="20315"/>
    <cellStyle name="Percent 2 3 3 3 5" xfId="5971"/>
    <cellStyle name="Percent 2 3 3 3 5 2" xfId="14394"/>
    <cellStyle name="Percent 2 3 3 3 5 3" xfId="20316"/>
    <cellStyle name="Percent 2 3 3 3 6" xfId="5972"/>
    <cellStyle name="Percent 2 3 3 3 6 2" xfId="14395"/>
    <cellStyle name="Percent 2 3 3 3 6 3" xfId="20317"/>
    <cellStyle name="Percent 2 3 3 3 7" xfId="5973"/>
    <cellStyle name="Percent 2 3 3 3 7 2" xfId="14396"/>
    <cellStyle name="Percent 2 3 3 3 7 3" xfId="20318"/>
    <cellStyle name="Percent 2 3 3 3 8" xfId="5974"/>
    <cellStyle name="Percent 2 3 3 3 8 2" xfId="14397"/>
    <cellStyle name="Percent 2 3 3 3 8 3" xfId="20319"/>
    <cellStyle name="Percent 2 3 3 3 9" xfId="9377"/>
    <cellStyle name="Percent 2 3 3 3_LNG &amp; LPG rework" xfId="7702"/>
    <cellStyle name="Percent 2 3 3 4" xfId="560"/>
    <cellStyle name="Percent 2 3 3 4 2" xfId="5975"/>
    <cellStyle name="Percent 2 3 3 4 2 2" xfId="14398"/>
    <cellStyle name="Percent 2 3 3 4 2 3" xfId="20321"/>
    <cellStyle name="Percent 2 3 3 4 3" xfId="5976"/>
    <cellStyle name="Percent 2 3 3 4 3 2" xfId="14399"/>
    <cellStyle name="Percent 2 3 3 4 3 3" xfId="20322"/>
    <cellStyle name="Percent 2 3 3 4 4" xfId="5977"/>
    <cellStyle name="Percent 2 3 3 4 4 2" xfId="14400"/>
    <cellStyle name="Percent 2 3 3 4 4 3" xfId="20323"/>
    <cellStyle name="Percent 2 3 3 4 5" xfId="5978"/>
    <cellStyle name="Percent 2 3 3 4 5 2" xfId="14401"/>
    <cellStyle name="Percent 2 3 3 4 5 3" xfId="20324"/>
    <cellStyle name="Percent 2 3 3 4 6" xfId="5979"/>
    <cellStyle name="Percent 2 3 3 4 6 2" xfId="14402"/>
    <cellStyle name="Percent 2 3 3 4 6 3" xfId="20325"/>
    <cellStyle name="Percent 2 3 3 4 7" xfId="9379"/>
    <cellStyle name="Percent 2 3 3 4 8" xfId="20320"/>
    <cellStyle name="Percent 2 3 3 4_LNG &amp; LPG rework" xfId="7705"/>
    <cellStyle name="Percent 2 3 3 5" xfId="5980"/>
    <cellStyle name="Percent 2 3 3 5 2" xfId="5981"/>
    <cellStyle name="Percent 2 3 3 5 2 2" xfId="14404"/>
    <cellStyle name="Percent 2 3 3 5 2 3" xfId="20327"/>
    <cellStyle name="Percent 2 3 3 5 3" xfId="5982"/>
    <cellStyle name="Percent 2 3 3 5 3 2" xfId="14405"/>
    <cellStyle name="Percent 2 3 3 5 3 3" xfId="20328"/>
    <cellStyle name="Percent 2 3 3 5 4" xfId="5983"/>
    <cellStyle name="Percent 2 3 3 5 4 2" xfId="14406"/>
    <cellStyle name="Percent 2 3 3 5 4 3" xfId="20329"/>
    <cellStyle name="Percent 2 3 3 5 5" xfId="5984"/>
    <cellStyle name="Percent 2 3 3 5 5 2" xfId="14407"/>
    <cellStyle name="Percent 2 3 3 5 5 3" xfId="20330"/>
    <cellStyle name="Percent 2 3 3 5 6" xfId="14403"/>
    <cellStyle name="Percent 2 3 3 5 7" xfId="20326"/>
    <cellStyle name="Percent 2 3 3 5_LNG &amp; LPG rework" xfId="7706"/>
    <cellStyle name="Percent 2 3 3 6" xfId="5985"/>
    <cellStyle name="Percent 2 3 3 6 2" xfId="5986"/>
    <cellStyle name="Percent 2 3 3 6 2 2" xfId="14409"/>
    <cellStyle name="Percent 2 3 3 6 2 3" xfId="20332"/>
    <cellStyle name="Percent 2 3 3 6 3" xfId="5987"/>
    <cellStyle name="Percent 2 3 3 6 3 2" xfId="14410"/>
    <cellStyle name="Percent 2 3 3 6 3 3" xfId="20333"/>
    <cellStyle name="Percent 2 3 3 6 4" xfId="5988"/>
    <cellStyle name="Percent 2 3 3 6 4 2" xfId="14411"/>
    <cellStyle name="Percent 2 3 3 6 4 3" xfId="20334"/>
    <cellStyle name="Percent 2 3 3 6 5" xfId="5989"/>
    <cellStyle name="Percent 2 3 3 6 5 2" xfId="14412"/>
    <cellStyle name="Percent 2 3 3 6 5 3" xfId="20335"/>
    <cellStyle name="Percent 2 3 3 6 6" xfId="14408"/>
    <cellStyle name="Percent 2 3 3 6 7" xfId="20331"/>
    <cellStyle name="Percent 2 3 3 6_LNG &amp; LPG rework" xfId="7707"/>
    <cellStyle name="Percent 2 3 3 7" xfId="5990"/>
    <cellStyle name="Percent 2 3 3 7 2" xfId="14413"/>
    <cellStyle name="Percent 2 3 3 7 3" xfId="20336"/>
    <cellStyle name="Percent 2 3 3 8" xfId="5991"/>
    <cellStyle name="Percent 2 3 3 8 2" xfId="14414"/>
    <cellStyle name="Percent 2 3 3 8 3" xfId="20337"/>
    <cellStyle name="Percent 2 3 3 9" xfId="5992"/>
    <cellStyle name="Percent 2 3 3 9 2" xfId="14415"/>
    <cellStyle name="Percent 2 3 3 9 3" xfId="20338"/>
    <cellStyle name="Percent 2 3 3_LNG &amp; LPG rework" xfId="7694"/>
    <cellStyle name="Percent 2 3 4" xfId="561"/>
    <cellStyle name="Percent 2 3 4 10" xfId="5993"/>
    <cellStyle name="Percent 2 3 4 10 2" xfId="14416"/>
    <cellStyle name="Percent 2 3 4 10 3" xfId="20340"/>
    <cellStyle name="Percent 2 3 4 11" xfId="9380"/>
    <cellStyle name="Percent 2 3 4 12" xfId="20339"/>
    <cellStyle name="Percent 2 3 4 2" xfId="562"/>
    <cellStyle name="Percent 2 3 4 2 10" xfId="20341"/>
    <cellStyle name="Percent 2 3 4 2 2" xfId="563"/>
    <cellStyle name="Percent 2 3 4 2 2 2" xfId="5994"/>
    <cellStyle name="Percent 2 3 4 2 2 2 2" xfId="14417"/>
    <cellStyle name="Percent 2 3 4 2 2 2 3" xfId="20343"/>
    <cellStyle name="Percent 2 3 4 2 2 3" xfId="5995"/>
    <cellStyle name="Percent 2 3 4 2 2 3 2" xfId="14418"/>
    <cellStyle name="Percent 2 3 4 2 2 3 3" xfId="20344"/>
    <cellStyle name="Percent 2 3 4 2 2 4" xfId="5996"/>
    <cellStyle name="Percent 2 3 4 2 2 4 2" xfId="14419"/>
    <cellStyle name="Percent 2 3 4 2 2 4 3" xfId="20345"/>
    <cellStyle name="Percent 2 3 4 2 2 5" xfId="5997"/>
    <cellStyle name="Percent 2 3 4 2 2 5 2" xfId="14420"/>
    <cellStyle name="Percent 2 3 4 2 2 5 3" xfId="20346"/>
    <cellStyle name="Percent 2 3 4 2 2 6" xfId="5998"/>
    <cellStyle name="Percent 2 3 4 2 2 6 2" xfId="14421"/>
    <cellStyle name="Percent 2 3 4 2 2 6 3" xfId="20347"/>
    <cellStyle name="Percent 2 3 4 2 2 7" xfId="9382"/>
    <cellStyle name="Percent 2 3 4 2 2 8" xfId="20342"/>
    <cellStyle name="Percent 2 3 4 2 2_LNG &amp; LPG rework" xfId="7710"/>
    <cellStyle name="Percent 2 3 4 2 3" xfId="5999"/>
    <cellStyle name="Percent 2 3 4 2 3 2" xfId="6000"/>
    <cellStyle name="Percent 2 3 4 2 3 2 2" xfId="14423"/>
    <cellStyle name="Percent 2 3 4 2 3 2 3" xfId="20349"/>
    <cellStyle name="Percent 2 3 4 2 3 3" xfId="6001"/>
    <cellStyle name="Percent 2 3 4 2 3 3 2" xfId="14424"/>
    <cellStyle name="Percent 2 3 4 2 3 3 3" xfId="20350"/>
    <cellStyle name="Percent 2 3 4 2 3 4" xfId="6002"/>
    <cellStyle name="Percent 2 3 4 2 3 4 2" xfId="14425"/>
    <cellStyle name="Percent 2 3 4 2 3 4 3" xfId="20351"/>
    <cellStyle name="Percent 2 3 4 2 3 5" xfId="6003"/>
    <cellStyle name="Percent 2 3 4 2 3 5 2" xfId="14426"/>
    <cellStyle name="Percent 2 3 4 2 3 5 3" xfId="20352"/>
    <cellStyle name="Percent 2 3 4 2 3 6" xfId="14422"/>
    <cellStyle name="Percent 2 3 4 2 3 7" xfId="20348"/>
    <cellStyle name="Percent 2 3 4 2 3_LNG &amp; LPG rework" xfId="7711"/>
    <cellStyle name="Percent 2 3 4 2 4" xfId="6004"/>
    <cellStyle name="Percent 2 3 4 2 4 2" xfId="14427"/>
    <cellStyle name="Percent 2 3 4 2 4 3" xfId="20353"/>
    <cellStyle name="Percent 2 3 4 2 5" xfId="6005"/>
    <cellStyle name="Percent 2 3 4 2 5 2" xfId="14428"/>
    <cellStyle name="Percent 2 3 4 2 5 3" xfId="20354"/>
    <cellStyle name="Percent 2 3 4 2 6" xfId="6006"/>
    <cellStyle name="Percent 2 3 4 2 6 2" xfId="14429"/>
    <cellStyle name="Percent 2 3 4 2 6 3" xfId="20355"/>
    <cellStyle name="Percent 2 3 4 2 7" xfId="6007"/>
    <cellStyle name="Percent 2 3 4 2 7 2" xfId="14430"/>
    <cellStyle name="Percent 2 3 4 2 7 3" xfId="20356"/>
    <cellStyle name="Percent 2 3 4 2 8" xfId="6008"/>
    <cellStyle name="Percent 2 3 4 2 8 2" xfId="14431"/>
    <cellStyle name="Percent 2 3 4 2 8 3" xfId="20357"/>
    <cellStyle name="Percent 2 3 4 2 9" xfId="9381"/>
    <cellStyle name="Percent 2 3 4 2_LNG &amp; LPG rework" xfId="7709"/>
    <cellStyle name="Percent 2 3 4 3" xfId="564"/>
    <cellStyle name="Percent 2 3 4 3 2" xfId="6009"/>
    <cellStyle name="Percent 2 3 4 3 2 2" xfId="14432"/>
    <cellStyle name="Percent 2 3 4 3 2 3" xfId="20359"/>
    <cellStyle name="Percent 2 3 4 3 3" xfId="6010"/>
    <cellStyle name="Percent 2 3 4 3 3 2" xfId="14433"/>
    <cellStyle name="Percent 2 3 4 3 3 3" xfId="20360"/>
    <cellStyle name="Percent 2 3 4 3 4" xfId="6011"/>
    <cellStyle name="Percent 2 3 4 3 4 2" xfId="14434"/>
    <cellStyle name="Percent 2 3 4 3 4 3" xfId="20361"/>
    <cellStyle name="Percent 2 3 4 3 5" xfId="6012"/>
    <cellStyle name="Percent 2 3 4 3 5 2" xfId="14435"/>
    <cellStyle name="Percent 2 3 4 3 5 3" xfId="20362"/>
    <cellStyle name="Percent 2 3 4 3 6" xfId="6013"/>
    <cellStyle name="Percent 2 3 4 3 6 2" xfId="14436"/>
    <cellStyle name="Percent 2 3 4 3 6 3" xfId="20363"/>
    <cellStyle name="Percent 2 3 4 3 7" xfId="9383"/>
    <cellStyle name="Percent 2 3 4 3 8" xfId="20358"/>
    <cellStyle name="Percent 2 3 4 3_LNG &amp; LPG rework" xfId="7712"/>
    <cellStyle name="Percent 2 3 4 4" xfId="6014"/>
    <cellStyle name="Percent 2 3 4 4 2" xfId="6015"/>
    <cellStyle name="Percent 2 3 4 4 2 2" xfId="14438"/>
    <cellStyle name="Percent 2 3 4 4 2 3" xfId="20365"/>
    <cellStyle name="Percent 2 3 4 4 3" xfId="6016"/>
    <cellStyle name="Percent 2 3 4 4 3 2" xfId="14439"/>
    <cellStyle name="Percent 2 3 4 4 3 3" xfId="20366"/>
    <cellStyle name="Percent 2 3 4 4 4" xfId="6017"/>
    <cellStyle name="Percent 2 3 4 4 4 2" xfId="14440"/>
    <cellStyle name="Percent 2 3 4 4 4 3" xfId="20367"/>
    <cellStyle name="Percent 2 3 4 4 5" xfId="6018"/>
    <cellStyle name="Percent 2 3 4 4 5 2" xfId="14441"/>
    <cellStyle name="Percent 2 3 4 4 5 3" xfId="20368"/>
    <cellStyle name="Percent 2 3 4 4 6" xfId="14437"/>
    <cellStyle name="Percent 2 3 4 4 7" xfId="20364"/>
    <cellStyle name="Percent 2 3 4 4_LNG &amp; LPG rework" xfId="7713"/>
    <cellStyle name="Percent 2 3 4 5" xfId="6019"/>
    <cellStyle name="Percent 2 3 4 5 2" xfId="6020"/>
    <cellStyle name="Percent 2 3 4 5 2 2" xfId="14443"/>
    <cellStyle name="Percent 2 3 4 5 2 3" xfId="20370"/>
    <cellStyle name="Percent 2 3 4 5 3" xfId="6021"/>
    <cellStyle name="Percent 2 3 4 5 3 2" xfId="14444"/>
    <cellStyle name="Percent 2 3 4 5 3 3" xfId="20371"/>
    <cellStyle name="Percent 2 3 4 5 4" xfId="6022"/>
    <cellStyle name="Percent 2 3 4 5 4 2" xfId="14445"/>
    <cellStyle name="Percent 2 3 4 5 4 3" xfId="20372"/>
    <cellStyle name="Percent 2 3 4 5 5" xfId="6023"/>
    <cellStyle name="Percent 2 3 4 5 5 2" xfId="14446"/>
    <cellStyle name="Percent 2 3 4 5 5 3" xfId="20373"/>
    <cellStyle name="Percent 2 3 4 5 6" xfId="14442"/>
    <cellStyle name="Percent 2 3 4 5 7" xfId="20369"/>
    <cellStyle name="Percent 2 3 4 5_LNG &amp; LPG rework" xfId="7714"/>
    <cellStyle name="Percent 2 3 4 6" xfId="6024"/>
    <cellStyle name="Percent 2 3 4 6 2" xfId="14447"/>
    <cellStyle name="Percent 2 3 4 6 3" xfId="20374"/>
    <cellStyle name="Percent 2 3 4 7" xfId="6025"/>
    <cellStyle name="Percent 2 3 4 7 2" xfId="14448"/>
    <cellStyle name="Percent 2 3 4 7 3" xfId="20375"/>
    <cellStyle name="Percent 2 3 4 8" xfId="6026"/>
    <cellStyle name="Percent 2 3 4 8 2" xfId="14449"/>
    <cellStyle name="Percent 2 3 4 8 3" xfId="20376"/>
    <cellStyle name="Percent 2 3 4 9" xfId="6027"/>
    <cellStyle name="Percent 2 3 4 9 2" xfId="14450"/>
    <cellStyle name="Percent 2 3 4 9 3" xfId="20377"/>
    <cellStyle name="Percent 2 3 4_LNG &amp; LPG rework" xfId="7708"/>
    <cellStyle name="Percent 2 3 5" xfId="565"/>
    <cellStyle name="Percent 2 3 5 10" xfId="20378"/>
    <cellStyle name="Percent 2 3 5 2" xfId="566"/>
    <cellStyle name="Percent 2 3 5 2 2" xfId="6028"/>
    <cellStyle name="Percent 2 3 5 2 2 2" xfId="14451"/>
    <cellStyle name="Percent 2 3 5 2 2 3" xfId="20380"/>
    <cellStyle name="Percent 2 3 5 2 3" xfId="6029"/>
    <cellStyle name="Percent 2 3 5 2 3 2" xfId="14452"/>
    <cellStyle name="Percent 2 3 5 2 3 3" xfId="20381"/>
    <cellStyle name="Percent 2 3 5 2 4" xfId="6030"/>
    <cellStyle name="Percent 2 3 5 2 4 2" xfId="14453"/>
    <cellStyle name="Percent 2 3 5 2 4 3" xfId="20382"/>
    <cellStyle name="Percent 2 3 5 2 5" xfId="6031"/>
    <cellStyle name="Percent 2 3 5 2 5 2" xfId="14454"/>
    <cellStyle name="Percent 2 3 5 2 5 3" xfId="20383"/>
    <cellStyle name="Percent 2 3 5 2 6" xfId="6032"/>
    <cellStyle name="Percent 2 3 5 2 6 2" xfId="14455"/>
    <cellStyle name="Percent 2 3 5 2 6 3" xfId="20384"/>
    <cellStyle name="Percent 2 3 5 2 7" xfId="9385"/>
    <cellStyle name="Percent 2 3 5 2 8" xfId="20379"/>
    <cellStyle name="Percent 2 3 5 2_LNG &amp; LPG rework" xfId="7716"/>
    <cellStyle name="Percent 2 3 5 3" xfId="6033"/>
    <cellStyle name="Percent 2 3 5 3 2" xfId="6034"/>
    <cellStyle name="Percent 2 3 5 3 2 2" xfId="14457"/>
    <cellStyle name="Percent 2 3 5 3 2 3" xfId="20386"/>
    <cellStyle name="Percent 2 3 5 3 3" xfId="6035"/>
    <cellStyle name="Percent 2 3 5 3 3 2" xfId="14458"/>
    <cellStyle name="Percent 2 3 5 3 3 3" xfId="20387"/>
    <cellStyle name="Percent 2 3 5 3 4" xfId="6036"/>
    <cellStyle name="Percent 2 3 5 3 4 2" xfId="14459"/>
    <cellStyle name="Percent 2 3 5 3 4 3" xfId="20388"/>
    <cellStyle name="Percent 2 3 5 3 5" xfId="6037"/>
    <cellStyle name="Percent 2 3 5 3 5 2" xfId="14460"/>
    <cellStyle name="Percent 2 3 5 3 5 3" xfId="20389"/>
    <cellStyle name="Percent 2 3 5 3 6" xfId="14456"/>
    <cellStyle name="Percent 2 3 5 3 7" xfId="20385"/>
    <cellStyle name="Percent 2 3 5 3_LNG &amp; LPG rework" xfId="7717"/>
    <cellStyle name="Percent 2 3 5 4" xfId="6038"/>
    <cellStyle name="Percent 2 3 5 4 2" xfId="14461"/>
    <cellStyle name="Percent 2 3 5 4 3" xfId="20390"/>
    <cellStyle name="Percent 2 3 5 5" xfId="6039"/>
    <cellStyle name="Percent 2 3 5 5 2" xfId="14462"/>
    <cellStyle name="Percent 2 3 5 5 3" xfId="20391"/>
    <cellStyle name="Percent 2 3 5 6" xfId="6040"/>
    <cellStyle name="Percent 2 3 5 6 2" xfId="14463"/>
    <cellStyle name="Percent 2 3 5 6 3" xfId="20392"/>
    <cellStyle name="Percent 2 3 5 7" xfId="6041"/>
    <cellStyle name="Percent 2 3 5 7 2" xfId="14464"/>
    <cellStyle name="Percent 2 3 5 7 3" xfId="20393"/>
    <cellStyle name="Percent 2 3 5 8" xfId="6042"/>
    <cellStyle name="Percent 2 3 5 8 2" xfId="14465"/>
    <cellStyle name="Percent 2 3 5 8 3" xfId="20394"/>
    <cellStyle name="Percent 2 3 5 9" xfId="9384"/>
    <cellStyle name="Percent 2 3 5_LNG &amp; LPG rework" xfId="7715"/>
    <cellStyle name="Percent 2 3 6" xfId="567"/>
    <cellStyle name="Percent 2 3 6 2" xfId="6043"/>
    <cellStyle name="Percent 2 3 6 2 2" xfId="14466"/>
    <cellStyle name="Percent 2 3 6 2 3" xfId="20396"/>
    <cellStyle name="Percent 2 3 6 3" xfId="6044"/>
    <cellStyle name="Percent 2 3 6 3 2" xfId="14467"/>
    <cellStyle name="Percent 2 3 6 3 3" xfId="20397"/>
    <cellStyle name="Percent 2 3 6 4" xfId="6045"/>
    <cellStyle name="Percent 2 3 6 4 2" xfId="14468"/>
    <cellStyle name="Percent 2 3 6 4 3" xfId="20398"/>
    <cellStyle name="Percent 2 3 6 5" xfId="6046"/>
    <cellStyle name="Percent 2 3 6 5 2" xfId="14469"/>
    <cellStyle name="Percent 2 3 6 5 3" xfId="20399"/>
    <cellStyle name="Percent 2 3 6 6" xfId="6047"/>
    <cellStyle name="Percent 2 3 6 6 2" xfId="14470"/>
    <cellStyle name="Percent 2 3 6 6 3" xfId="20400"/>
    <cellStyle name="Percent 2 3 6 7" xfId="9386"/>
    <cellStyle name="Percent 2 3 6 8" xfId="20395"/>
    <cellStyle name="Percent 2 3 6_LNG &amp; LPG rework" xfId="7718"/>
    <cellStyle name="Percent 2 3 7" xfId="6048"/>
    <cellStyle name="Percent 2 3 7 2" xfId="6049"/>
    <cellStyle name="Percent 2 3 7 2 2" xfId="14472"/>
    <cellStyle name="Percent 2 3 7 2 3" xfId="20402"/>
    <cellStyle name="Percent 2 3 7 3" xfId="6050"/>
    <cellStyle name="Percent 2 3 7 3 2" xfId="14473"/>
    <cellStyle name="Percent 2 3 7 3 3" xfId="20403"/>
    <cellStyle name="Percent 2 3 7 4" xfId="6051"/>
    <cellStyle name="Percent 2 3 7 4 2" xfId="14474"/>
    <cellStyle name="Percent 2 3 7 4 3" xfId="20404"/>
    <cellStyle name="Percent 2 3 7 5" xfId="6052"/>
    <cellStyle name="Percent 2 3 7 5 2" xfId="14475"/>
    <cellStyle name="Percent 2 3 7 5 3" xfId="20405"/>
    <cellStyle name="Percent 2 3 7 6" xfId="14471"/>
    <cellStyle name="Percent 2 3 7 7" xfId="20401"/>
    <cellStyle name="Percent 2 3 7_LNG &amp; LPG rework" xfId="7719"/>
    <cellStyle name="Percent 2 3 8" xfId="6053"/>
    <cellStyle name="Percent 2 3 8 2" xfId="6054"/>
    <cellStyle name="Percent 2 3 8 2 2" xfId="14477"/>
    <cellStyle name="Percent 2 3 8 2 3" xfId="20407"/>
    <cellStyle name="Percent 2 3 8 3" xfId="6055"/>
    <cellStyle name="Percent 2 3 8 3 2" xfId="14478"/>
    <cellStyle name="Percent 2 3 8 3 3" xfId="20408"/>
    <cellStyle name="Percent 2 3 8 4" xfId="6056"/>
    <cellStyle name="Percent 2 3 8 4 2" xfId="14479"/>
    <cellStyle name="Percent 2 3 8 4 3" xfId="20409"/>
    <cellStyle name="Percent 2 3 8 5" xfId="6057"/>
    <cellStyle name="Percent 2 3 8 5 2" xfId="14480"/>
    <cellStyle name="Percent 2 3 8 5 3" xfId="20410"/>
    <cellStyle name="Percent 2 3 8 6" xfId="14476"/>
    <cellStyle name="Percent 2 3 8 7" xfId="20406"/>
    <cellStyle name="Percent 2 3 8_LNG &amp; LPG rework" xfId="7720"/>
    <cellStyle name="Percent 2 3 9" xfId="6058"/>
    <cellStyle name="Percent 2 3 9 2" xfId="14481"/>
    <cellStyle name="Percent 2 3 9 3" xfId="20411"/>
    <cellStyle name="Percent 2 3_LNG &amp; LPG rework" xfId="7665"/>
    <cellStyle name="Percent 2 4" xfId="568"/>
    <cellStyle name="Percent 2 4 10" xfId="6059"/>
    <cellStyle name="Percent 2 4 10 2" xfId="14482"/>
    <cellStyle name="Percent 2 4 10 3" xfId="20413"/>
    <cellStyle name="Percent 2 4 11" xfId="6060"/>
    <cellStyle name="Percent 2 4 11 2" xfId="14483"/>
    <cellStyle name="Percent 2 4 11 3" xfId="20414"/>
    <cellStyle name="Percent 2 4 12" xfId="6061"/>
    <cellStyle name="Percent 2 4 12 2" xfId="14484"/>
    <cellStyle name="Percent 2 4 12 3" xfId="20415"/>
    <cellStyle name="Percent 2 4 13" xfId="6062"/>
    <cellStyle name="Percent 2 4 13 2" xfId="14485"/>
    <cellStyle name="Percent 2 4 13 3" xfId="20416"/>
    <cellStyle name="Percent 2 4 14" xfId="9387"/>
    <cellStyle name="Percent 2 4 15" xfId="20412"/>
    <cellStyle name="Percent 2 4 2" xfId="569"/>
    <cellStyle name="Percent 2 4 2 10" xfId="6063"/>
    <cellStyle name="Percent 2 4 2 10 2" xfId="14486"/>
    <cellStyle name="Percent 2 4 2 10 3" xfId="20418"/>
    <cellStyle name="Percent 2 4 2 11" xfId="6064"/>
    <cellStyle name="Percent 2 4 2 11 2" xfId="14487"/>
    <cellStyle name="Percent 2 4 2 11 3" xfId="20419"/>
    <cellStyle name="Percent 2 4 2 12" xfId="6065"/>
    <cellStyle name="Percent 2 4 2 12 2" xfId="14488"/>
    <cellStyle name="Percent 2 4 2 12 3" xfId="20420"/>
    <cellStyle name="Percent 2 4 2 13" xfId="9388"/>
    <cellStyle name="Percent 2 4 2 14" xfId="20417"/>
    <cellStyle name="Percent 2 4 2 2" xfId="570"/>
    <cellStyle name="Percent 2 4 2 2 10" xfId="6066"/>
    <cellStyle name="Percent 2 4 2 2 10 2" xfId="14489"/>
    <cellStyle name="Percent 2 4 2 2 10 3" xfId="20422"/>
    <cellStyle name="Percent 2 4 2 2 11" xfId="6067"/>
    <cellStyle name="Percent 2 4 2 2 11 2" xfId="14490"/>
    <cellStyle name="Percent 2 4 2 2 11 3" xfId="20423"/>
    <cellStyle name="Percent 2 4 2 2 12" xfId="9389"/>
    <cellStyle name="Percent 2 4 2 2 13" xfId="20421"/>
    <cellStyle name="Percent 2 4 2 2 2" xfId="571"/>
    <cellStyle name="Percent 2 4 2 2 2 10" xfId="6068"/>
    <cellStyle name="Percent 2 4 2 2 2 10 2" xfId="14491"/>
    <cellStyle name="Percent 2 4 2 2 2 10 3" xfId="20425"/>
    <cellStyle name="Percent 2 4 2 2 2 11" xfId="9390"/>
    <cellStyle name="Percent 2 4 2 2 2 12" xfId="20424"/>
    <cellStyle name="Percent 2 4 2 2 2 2" xfId="572"/>
    <cellStyle name="Percent 2 4 2 2 2 2 10" xfId="20426"/>
    <cellStyle name="Percent 2 4 2 2 2 2 2" xfId="573"/>
    <cellStyle name="Percent 2 4 2 2 2 2 2 2" xfId="6069"/>
    <cellStyle name="Percent 2 4 2 2 2 2 2 2 2" xfId="14492"/>
    <cellStyle name="Percent 2 4 2 2 2 2 2 2 3" xfId="20428"/>
    <cellStyle name="Percent 2 4 2 2 2 2 2 3" xfId="6070"/>
    <cellStyle name="Percent 2 4 2 2 2 2 2 3 2" xfId="14493"/>
    <cellStyle name="Percent 2 4 2 2 2 2 2 3 3" xfId="20429"/>
    <cellStyle name="Percent 2 4 2 2 2 2 2 4" xfId="6071"/>
    <cellStyle name="Percent 2 4 2 2 2 2 2 4 2" xfId="14494"/>
    <cellStyle name="Percent 2 4 2 2 2 2 2 4 3" xfId="20430"/>
    <cellStyle name="Percent 2 4 2 2 2 2 2 5" xfId="6072"/>
    <cellStyle name="Percent 2 4 2 2 2 2 2 5 2" xfId="14495"/>
    <cellStyle name="Percent 2 4 2 2 2 2 2 5 3" xfId="20431"/>
    <cellStyle name="Percent 2 4 2 2 2 2 2 6" xfId="6073"/>
    <cellStyle name="Percent 2 4 2 2 2 2 2 6 2" xfId="14496"/>
    <cellStyle name="Percent 2 4 2 2 2 2 2 6 3" xfId="20432"/>
    <cellStyle name="Percent 2 4 2 2 2 2 2 7" xfId="9392"/>
    <cellStyle name="Percent 2 4 2 2 2 2 2 8" xfId="20427"/>
    <cellStyle name="Percent 2 4 2 2 2 2 2_LNG &amp; LPG rework" xfId="7726"/>
    <cellStyle name="Percent 2 4 2 2 2 2 3" xfId="6074"/>
    <cellStyle name="Percent 2 4 2 2 2 2 3 2" xfId="6075"/>
    <cellStyle name="Percent 2 4 2 2 2 2 3 2 2" xfId="14498"/>
    <cellStyle name="Percent 2 4 2 2 2 2 3 2 3" xfId="20434"/>
    <cellStyle name="Percent 2 4 2 2 2 2 3 3" xfId="6076"/>
    <cellStyle name="Percent 2 4 2 2 2 2 3 3 2" xfId="14499"/>
    <cellStyle name="Percent 2 4 2 2 2 2 3 3 3" xfId="20435"/>
    <cellStyle name="Percent 2 4 2 2 2 2 3 4" xfId="6077"/>
    <cellStyle name="Percent 2 4 2 2 2 2 3 4 2" xfId="14500"/>
    <cellStyle name="Percent 2 4 2 2 2 2 3 4 3" xfId="20436"/>
    <cellStyle name="Percent 2 4 2 2 2 2 3 5" xfId="6078"/>
    <cellStyle name="Percent 2 4 2 2 2 2 3 5 2" xfId="14501"/>
    <cellStyle name="Percent 2 4 2 2 2 2 3 5 3" xfId="20437"/>
    <cellStyle name="Percent 2 4 2 2 2 2 3 6" xfId="14497"/>
    <cellStyle name="Percent 2 4 2 2 2 2 3 7" xfId="20433"/>
    <cellStyle name="Percent 2 4 2 2 2 2 3_LNG &amp; LPG rework" xfId="7727"/>
    <cellStyle name="Percent 2 4 2 2 2 2 4" xfId="6079"/>
    <cellStyle name="Percent 2 4 2 2 2 2 4 2" xfId="14502"/>
    <cellStyle name="Percent 2 4 2 2 2 2 4 3" xfId="20438"/>
    <cellStyle name="Percent 2 4 2 2 2 2 5" xfId="6080"/>
    <cellStyle name="Percent 2 4 2 2 2 2 5 2" xfId="14503"/>
    <cellStyle name="Percent 2 4 2 2 2 2 5 3" xfId="20439"/>
    <cellStyle name="Percent 2 4 2 2 2 2 6" xfId="6081"/>
    <cellStyle name="Percent 2 4 2 2 2 2 6 2" xfId="14504"/>
    <cellStyle name="Percent 2 4 2 2 2 2 6 3" xfId="20440"/>
    <cellStyle name="Percent 2 4 2 2 2 2 7" xfId="6082"/>
    <cellStyle name="Percent 2 4 2 2 2 2 7 2" xfId="14505"/>
    <cellStyle name="Percent 2 4 2 2 2 2 7 3" xfId="20441"/>
    <cellStyle name="Percent 2 4 2 2 2 2 8" xfId="6083"/>
    <cellStyle name="Percent 2 4 2 2 2 2 8 2" xfId="14506"/>
    <cellStyle name="Percent 2 4 2 2 2 2 8 3" xfId="20442"/>
    <cellStyle name="Percent 2 4 2 2 2 2 9" xfId="9391"/>
    <cellStyle name="Percent 2 4 2 2 2 2_LNG &amp; LPG rework" xfId="7725"/>
    <cellStyle name="Percent 2 4 2 2 2 3" xfId="574"/>
    <cellStyle name="Percent 2 4 2 2 2 3 2" xfId="6084"/>
    <cellStyle name="Percent 2 4 2 2 2 3 2 2" xfId="14507"/>
    <cellStyle name="Percent 2 4 2 2 2 3 2 3" xfId="20444"/>
    <cellStyle name="Percent 2 4 2 2 2 3 3" xfId="6085"/>
    <cellStyle name="Percent 2 4 2 2 2 3 3 2" xfId="14508"/>
    <cellStyle name="Percent 2 4 2 2 2 3 3 3" xfId="20445"/>
    <cellStyle name="Percent 2 4 2 2 2 3 4" xfId="6086"/>
    <cellStyle name="Percent 2 4 2 2 2 3 4 2" xfId="14509"/>
    <cellStyle name="Percent 2 4 2 2 2 3 4 3" xfId="20446"/>
    <cellStyle name="Percent 2 4 2 2 2 3 5" xfId="6087"/>
    <cellStyle name="Percent 2 4 2 2 2 3 5 2" xfId="14510"/>
    <cellStyle name="Percent 2 4 2 2 2 3 5 3" xfId="20447"/>
    <cellStyle name="Percent 2 4 2 2 2 3 6" xfId="6088"/>
    <cellStyle name="Percent 2 4 2 2 2 3 6 2" xfId="14511"/>
    <cellStyle name="Percent 2 4 2 2 2 3 6 3" xfId="20448"/>
    <cellStyle name="Percent 2 4 2 2 2 3 7" xfId="9393"/>
    <cellStyle name="Percent 2 4 2 2 2 3 8" xfId="20443"/>
    <cellStyle name="Percent 2 4 2 2 2 3_LNG &amp; LPG rework" xfId="7728"/>
    <cellStyle name="Percent 2 4 2 2 2 4" xfId="6089"/>
    <cellStyle name="Percent 2 4 2 2 2 4 2" xfId="6090"/>
    <cellStyle name="Percent 2 4 2 2 2 4 2 2" xfId="14513"/>
    <cellStyle name="Percent 2 4 2 2 2 4 2 3" xfId="20450"/>
    <cellStyle name="Percent 2 4 2 2 2 4 3" xfId="6091"/>
    <cellStyle name="Percent 2 4 2 2 2 4 3 2" xfId="14514"/>
    <cellStyle name="Percent 2 4 2 2 2 4 3 3" xfId="20451"/>
    <cellStyle name="Percent 2 4 2 2 2 4 4" xfId="6092"/>
    <cellStyle name="Percent 2 4 2 2 2 4 4 2" xfId="14515"/>
    <cellStyle name="Percent 2 4 2 2 2 4 4 3" xfId="20452"/>
    <cellStyle name="Percent 2 4 2 2 2 4 5" xfId="6093"/>
    <cellStyle name="Percent 2 4 2 2 2 4 5 2" xfId="14516"/>
    <cellStyle name="Percent 2 4 2 2 2 4 5 3" xfId="20453"/>
    <cellStyle name="Percent 2 4 2 2 2 4 6" xfId="14512"/>
    <cellStyle name="Percent 2 4 2 2 2 4 7" xfId="20449"/>
    <cellStyle name="Percent 2 4 2 2 2 4_LNG &amp; LPG rework" xfId="7729"/>
    <cellStyle name="Percent 2 4 2 2 2 5" xfId="6094"/>
    <cellStyle name="Percent 2 4 2 2 2 5 2" xfId="6095"/>
    <cellStyle name="Percent 2 4 2 2 2 5 2 2" xfId="14518"/>
    <cellStyle name="Percent 2 4 2 2 2 5 2 3" xfId="20455"/>
    <cellStyle name="Percent 2 4 2 2 2 5 3" xfId="6096"/>
    <cellStyle name="Percent 2 4 2 2 2 5 3 2" xfId="14519"/>
    <cellStyle name="Percent 2 4 2 2 2 5 3 3" xfId="20456"/>
    <cellStyle name="Percent 2 4 2 2 2 5 4" xfId="6097"/>
    <cellStyle name="Percent 2 4 2 2 2 5 4 2" xfId="14520"/>
    <cellStyle name="Percent 2 4 2 2 2 5 4 3" xfId="20457"/>
    <cellStyle name="Percent 2 4 2 2 2 5 5" xfId="6098"/>
    <cellStyle name="Percent 2 4 2 2 2 5 5 2" xfId="14521"/>
    <cellStyle name="Percent 2 4 2 2 2 5 5 3" xfId="20458"/>
    <cellStyle name="Percent 2 4 2 2 2 5 6" xfId="14517"/>
    <cellStyle name="Percent 2 4 2 2 2 5 7" xfId="20454"/>
    <cellStyle name="Percent 2 4 2 2 2 5_LNG &amp; LPG rework" xfId="7730"/>
    <cellStyle name="Percent 2 4 2 2 2 6" xfId="6099"/>
    <cellStyle name="Percent 2 4 2 2 2 6 2" xfId="14522"/>
    <cellStyle name="Percent 2 4 2 2 2 6 3" xfId="20459"/>
    <cellStyle name="Percent 2 4 2 2 2 7" xfId="6100"/>
    <cellStyle name="Percent 2 4 2 2 2 7 2" xfId="14523"/>
    <cellStyle name="Percent 2 4 2 2 2 7 3" xfId="20460"/>
    <cellStyle name="Percent 2 4 2 2 2 8" xfId="6101"/>
    <cellStyle name="Percent 2 4 2 2 2 8 2" xfId="14524"/>
    <cellStyle name="Percent 2 4 2 2 2 8 3" xfId="20461"/>
    <cellStyle name="Percent 2 4 2 2 2 9" xfId="6102"/>
    <cellStyle name="Percent 2 4 2 2 2 9 2" xfId="14525"/>
    <cellStyle name="Percent 2 4 2 2 2 9 3" xfId="20462"/>
    <cellStyle name="Percent 2 4 2 2 2_LNG &amp; LPG rework" xfId="7724"/>
    <cellStyle name="Percent 2 4 2 2 3" xfId="575"/>
    <cellStyle name="Percent 2 4 2 2 3 10" xfId="20463"/>
    <cellStyle name="Percent 2 4 2 2 3 2" xfId="576"/>
    <cellStyle name="Percent 2 4 2 2 3 2 2" xfId="6103"/>
    <cellStyle name="Percent 2 4 2 2 3 2 2 2" xfId="14526"/>
    <cellStyle name="Percent 2 4 2 2 3 2 2 3" xfId="20465"/>
    <cellStyle name="Percent 2 4 2 2 3 2 3" xfId="6104"/>
    <cellStyle name="Percent 2 4 2 2 3 2 3 2" xfId="14527"/>
    <cellStyle name="Percent 2 4 2 2 3 2 3 3" xfId="20466"/>
    <cellStyle name="Percent 2 4 2 2 3 2 4" xfId="6105"/>
    <cellStyle name="Percent 2 4 2 2 3 2 4 2" xfId="14528"/>
    <cellStyle name="Percent 2 4 2 2 3 2 4 3" xfId="20467"/>
    <cellStyle name="Percent 2 4 2 2 3 2 5" xfId="6106"/>
    <cellStyle name="Percent 2 4 2 2 3 2 5 2" xfId="14529"/>
    <cellStyle name="Percent 2 4 2 2 3 2 5 3" xfId="20468"/>
    <cellStyle name="Percent 2 4 2 2 3 2 6" xfId="6107"/>
    <cellStyle name="Percent 2 4 2 2 3 2 6 2" xfId="14530"/>
    <cellStyle name="Percent 2 4 2 2 3 2 6 3" xfId="20469"/>
    <cellStyle name="Percent 2 4 2 2 3 2 7" xfId="9395"/>
    <cellStyle name="Percent 2 4 2 2 3 2 8" xfId="20464"/>
    <cellStyle name="Percent 2 4 2 2 3 2_LNG &amp; LPG rework" xfId="7732"/>
    <cellStyle name="Percent 2 4 2 2 3 3" xfId="6108"/>
    <cellStyle name="Percent 2 4 2 2 3 3 2" xfId="6109"/>
    <cellStyle name="Percent 2 4 2 2 3 3 2 2" xfId="14532"/>
    <cellStyle name="Percent 2 4 2 2 3 3 2 3" xfId="20471"/>
    <cellStyle name="Percent 2 4 2 2 3 3 3" xfId="6110"/>
    <cellStyle name="Percent 2 4 2 2 3 3 3 2" xfId="14533"/>
    <cellStyle name="Percent 2 4 2 2 3 3 3 3" xfId="20472"/>
    <cellStyle name="Percent 2 4 2 2 3 3 4" xfId="6111"/>
    <cellStyle name="Percent 2 4 2 2 3 3 4 2" xfId="14534"/>
    <cellStyle name="Percent 2 4 2 2 3 3 4 3" xfId="20473"/>
    <cellStyle name="Percent 2 4 2 2 3 3 5" xfId="6112"/>
    <cellStyle name="Percent 2 4 2 2 3 3 5 2" xfId="14535"/>
    <cellStyle name="Percent 2 4 2 2 3 3 5 3" xfId="20474"/>
    <cellStyle name="Percent 2 4 2 2 3 3 6" xfId="14531"/>
    <cellStyle name="Percent 2 4 2 2 3 3 7" xfId="20470"/>
    <cellStyle name="Percent 2 4 2 2 3 3_LNG &amp; LPG rework" xfId="7733"/>
    <cellStyle name="Percent 2 4 2 2 3 4" xfId="6113"/>
    <cellStyle name="Percent 2 4 2 2 3 4 2" xfId="14536"/>
    <cellStyle name="Percent 2 4 2 2 3 4 3" xfId="20475"/>
    <cellStyle name="Percent 2 4 2 2 3 5" xfId="6114"/>
    <cellStyle name="Percent 2 4 2 2 3 5 2" xfId="14537"/>
    <cellStyle name="Percent 2 4 2 2 3 5 3" xfId="20476"/>
    <cellStyle name="Percent 2 4 2 2 3 6" xfId="6115"/>
    <cellStyle name="Percent 2 4 2 2 3 6 2" xfId="14538"/>
    <cellStyle name="Percent 2 4 2 2 3 6 3" xfId="20477"/>
    <cellStyle name="Percent 2 4 2 2 3 7" xfId="6116"/>
    <cellStyle name="Percent 2 4 2 2 3 7 2" xfId="14539"/>
    <cellStyle name="Percent 2 4 2 2 3 7 3" xfId="20478"/>
    <cellStyle name="Percent 2 4 2 2 3 8" xfId="6117"/>
    <cellStyle name="Percent 2 4 2 2 3 8 2" xfId="14540"/>
    <cellStyle name="Percent 2 4 2 2 3 8 3" xfId="20479"/>
    <cellStyle name="Percent 2 4 2 2 3 9" xfId="9394"/>
    <cellStyle name="Percent 2 4 2 2 3_LNG &amp; LPG rework" xfId="7731"/>
    <cellStyle name="Percent 2 4 2 2 4" xfId="577"/>
    <cellStyle name="Percent 2 4 2 2 4 2" xfId="6118"/>
    <cellStyle name="Percent 2 4 2 2 4 2 2" xfId="14541"/>
    <cellStyle name="Percent 2 4 2 2 4 2 3" xfId="20481"/>
    <cellStyle name="Percent 2 4 2 2 4 3" xfId="6119"/>
    <cellStyle name="Percent 2 4 2 2 4 3 2" xfId="14542"/>
    <cellStyle name="Percent 2 4 2 2 4 3 3" xfId="20482"/>
    <cellStyle name="Percent 2 4 2 2 4 4" xfId="6120"/>
    <cellStyle name="Percent 2 4 2 2 4 4 2" xfId="14543"/>
    <cellStyle name="Percent 2 4 2 2 4 4 3" xfId="20483"/>
    <cellStyle name="Percent 2 4 2 2 4 5" xfId="6121"/>
    <cellStyle name="Percent 2 4 2 2 4 5 2" xfId="14544"/>
    <cellStyle name="Percent 2 4 2 2 4 5 3" xfId="20484"/>
    <cellStyle name="Percent 2 4 2 2 4 6" xfId="6122"/>
    <cellStyle name="Percent 2 4 2 2 4 6 2" xfId="14545"/>
    <cellStyle name="Percent 2 4 2 2 4 6 3" xfId="20485"/>
    <cellStyle name="Percent 2 4 2 2 4 7" xfId="9396"/>
    <cellStyle name="Percent 2 4 2 2 4 8" xfId="20480"/>
    <cellStyle name="Percent 2 4 2 2 4_LNG &amp; LPG rework" xfId="7734"/>
    <cellStyle name="Percent 2 4 2 2 5" xfId="6123"/>
    <cellStyle name="Percent 2 4 2 2 5 2" xfId="6124"/>
    <cellStyle name="Percent 2 4 2 2 5 2 2" xfId="14547"/>
    <cellStyle name="Percent 2 4 2 2 5 2 3" xfId="20487"/>
    <cellStyle name="Percent 2 4 2 2 5 3" xfId="6125"/>
    <cellStyle name="Percent 2 4 2 2 5 3 2" xfId="14548"/>
    <cellStyle name="Percent 2 4 2 2 5 3 3" xfId="20488"/>
    <cellStyle name="Percent 2 4 2 2 5 4" xfId="6126"/>
    <cellStyle name="Percent 2 4 2 2 5 4 2" xfId="14549"/>
    <cellStyle name="Percent 2 4 2 2 5 4 3" xfId="20489"/>
    <cellStyle name="Percent 2 4 2 2 5 5" xfId="6127"/>
    <cellStyle name="Percent 2 4 2 2 5 5 2" xfId="14550"/>
    <cellStyle name="Percent 2 4 2 2 5 5 3" xfId="20490"/>
    <cellStyle name="Percent 2 4 2 2 5 6" xfId="14546"/>
    <cellStyle name="Percent 2 4 2 2 5 7" xfId="20486"/>
    <cellStyle name="Percent 2 4 2 2 5_LNG &amp; LPG rework" xfId="7735"/>
    <cellStyle name="Percent 2 4 2 2 6" xfId="6128"/>
    <cellStyle name="Percent 2 4 2 2 6 2" xfId="6129"/>
    <cellStyle name="Percent 2 4 2 2 6 2 2" xfId="14552"/>
    <cellStyle name="Percent 2 4 2 2 6 2 3" xfId="20492"/>
    <cellStyle name="Percent 2 4 2 2 6 3" xfId="6130"/>
    <cellStyle name="Percent 2 4 2 2 6 3 2" xfId="14553"/>
    <cellStyle name="Percent 2 4 2 2 6 3 3" xfId="20493"/>
    <cellStyle name="Percent 2 4 2 2 6 4" xfId="6131"/>
    <cellStyle name="Percent 2 4 2 2 6 4 2" xfId="14554"/>
    <cellStyle name="Percent 2 4 2 2 6 4 3" xfId="20494"/>
    <cellStyle name="Percent 2 4 2 2 6 5" xfId="6132"/>
    <cellStyle name="Percent 2 4 2 2 6 5 2" xfId="14555"/>
    <cellStyle name="Percent 2 4 2 2 6 5 3" xfId="20495"/>
    <cellStyle name="Percent 2 4 2 2 6 6" xfId="14551"/>
    <cellStyle name="Percent 2 4 2 2 6 7" xfId="20491"/>
    <cellStyle name="Percent 2 4 2 2 6_LNG &amp; LPG rework" xfId="7736"/>
    <cellStyle name="Percent 2 4 2 2 7" xfId="6133"/>
    <cellStyle name="Percent 2 4 2 2 7 2" xfId="14556"/>
    <cellStyle name="Percent 2 4 2 2 7 3" xfId="20496"/>
    <cellStyle name="Percent 2 4 2 2 8" xfId="6134"/>
    <cellStyle name="Percent 2 4 2 2 8 2" xfId="14557"/>
    <cellStyle name="Percent 2 4 2 2 8 3" xfId="20497"/>
    <cellStyle name="Percent 2 4 2 2 9" xfId="6135"/>
    <cellStyle name="Percent 2 4 2 2 9 2" xfId="14558"/>
    <cellStyle name="Percent 2 4 2 2 9 3" xfId="20498"/>
    <cellStyle name="Percent 2 4 2 2_LNG &amp; LPG rework" xfId="7723"/>
    <cellStyle name="Percent 2 4 2 3" xfId="578"/>
    <cellStyle name="Percent 2 4 2 3 10" xfId="6136"/>
    <cellStyle name="Percent 2 4 2 3 10 2" xfId="14559"/>
    <cellStyle name="Percent 2 4 2 3 10 3" xfId="20500"/>
    <cellStyle name="Percent 2 4 2 3 11" xfId="9397"/>
    <cellStyle name="Percent 2 4 2 3 12" xfId="20499"/>
    <cellStyle name="Percent 2 4 2 3 2" xfId="579"/>
    <cellStyle name="Percent 2 4 2 3 2 10" xfId="20501"/>
    <cellStyle name="Percent 2 4 2 3 2 2" xfId="580"/>
    <cellStyle name="Percent 2 4 2 3 2 2 2" xfId="6137"/>
    <cellStyle name="Percent 2 4 2 3 2 2 2 2" xfId="14560"/>
    <cellStyle name="Percent 2 4 2 3 2 2 2 3" xfId="20503"/>
    <cellStyle name="Percent 2 4 2 3 2 2 3" xfId="6138"/>
    <cellStyle name="Percent 2 4 2 3 2 2 3 2" xfId="14561"/>
    <cellStyle name="Percent 2 4 2 3 2 2 3 3" xfId="20504"/>
    <cellStyle name="Percent 2 4 2 3 2 2 4" xfId="6139"/>
    <cellStyle name="Percent 2 4 2 3 2 2 4 2" xfId="14562"/>
    <cellStyle name="Percent 2 4 2 3 2 2 4 3" xfId="20505"/>
    <cellStyle name="Percent 2 4 2 3 2 2 5" xfId="6140"/>
    <cellStyle name="Percent 2 4 2 3 2 2 5 2" xfId="14563"/>
    <cellStyle name="Percent 2 4 2 3 2 2 5 3" xfId="20506"/>
    <cellStyle name="Percent 2 4 2 3 2 2 6" xfId="6141"/>
    <cellStyle name="Percent 2 4 2 3 2 2 6 2" xfId="14564"/>
    <cellStyle name="Percent 2 4 2 3 2 2 6 3" xfId="20507"/>
    <cellStyle name="Percent 2 4 2 3 2 2 7" xfId="9399"/>
    <cellStyle name="Percent 2 4 2 3 2 2 8" xfId="20502"/>
    <cellStyle name="Percent 2 4 2 3 2 2_LNG &amp; LPG rework" xfId="7739"/>
    <cellStyle name="Percent 2 4 2 3 2 3" xfId="6142"/>
    <cellStyle name="Percent 2 4 2 3 2 3 2" xfId="6143"/>
    <cellStyle name="Percent 2 4 2 3 2 3 2 2" xfId="14566"/>
    <cellStyle name="Percent 2 4 2 3 2 3 2 3" xfId="20509"/>
    <cellStyle name="Percent 2 4 2 3 2 3 3" xfId="6144"/>
    <cellStyle name="Percent 2 4 2 3 2 3 3 2" xfId="14567"/>
    <cellStyle name="Percent 2 4 2 3 2 3 3 3" xfId="20510"/>
    <cellStyle name="Percent 2 4 2 3 2 3 4" xfId="6145"/>
    <cellStyle name="Percent 2 4 2 3 2 3 4 2" xfId="14568"/>
    <cellStyle name="Percent 2 4 2 3 2 3 4 3" xfId="20511"/>
    <cellStyle name="Percent 2 4 2 3 2 3 5" xfId="6146"/>
    <cellStyle name="Percent 2 4 2 3 2 3 5 2" xfId="14569"/>
    <cellStyle name="Percent 2 4 2 3 2 3 5 3" xfId="20512"/>
    <cellStyle name="Percent 2 4 2 3 2 3 6" xfId="14565"/>
    <cellStyle name="Percent 2 4 2 3 2 3 7" xfId="20508"/>
    <cellStyle name="Percent 2 4 2 3 2 3_LNG &amp; LPG rework" xfId="7740"/>
    <cellStyle name="Percent 2 4 2 3 2 4" xfId="6147"/>
    <cellStyle name="Percent 2 4 2 3 2 4 2" xfId="14570"/>
    <cellStyle name="Percent 2 4 2 3 2 4 3" xfId="20513"/>
    <cellStyle name="Percent 2 4 2 3 2 5" xfId="6148"/>
    <cellStyle name="Percent 2 4 2 3 2 5 2" xfId="14571"/>
    <cellStyle name="Percent 2 4 2 3 2 5 3" xfId="20514"/>
    <cellStyle name="Percent 2 4 2 3 2 6" xfId="6149"/>
    <cellStyle name="Percent 2 4 2 3 2 6 2" xfId="14572"/>
    <cellStyle name="Percent 2 4 2 3 2 6 3" xfId="20515"/>
    <cellStyle name="Percent 2 4 2 3 2 7" xfId="6150"/>
    <cellStyle name="Percent 2 4 2 3 2 7 2" xfId="14573"/>
    <cellStyle name="Percent 2 4 2 3 2 7 3" xfId="20516"/>
    <cellStyle name="Percent 2 4 2 3 2 8" xfId="6151"/>
    <cellStyle name="Percent 2 4 2 3 2 8 2" xfId="14574"/>
    <cellStyle name="Percent 2 4 2 3 2 8 3" xfId="20517"/>
    <cellStyle name="Percent 2 4 2 3 2 9" xfId="9398"/>
    <cellStyle name="Percent 2 4 2 3 2_LNG &amp; LPG rework" xfId="7738"/>
    <cellStyle name="Percent 2 4 2 3 3" xfId="581"/>
    <cellStyle name="Percent 2 4 2 3 3 2" xfId="6152"/>
    <cellStyle name="Percent 2 4 2 3 3 2 2" xfId="14575"/>
    <cellStyle name="Percent 2 4 2 3 3 2 3" xfId="20519"/>
    <cellStyle name="Percent 2 4 2 3 3 3" xfId="6153"/>
    <cellStyle name="Percent 2 4 2 3 3 3 2" xfId="14576"/>
    <cellStyle name="Percent 2 4 2 3 3 3 3" xfId="20520"/>
    <cellStyle name="Percent 2 4 2 3 3 4" xfId="6154"/>
    <cellStyle name="Percent 2 4 2 3 3 4 2" xfId="14577"/>
    <cellStyle name="Percent 2 4 2 3 3 4 3" xfId="20521"/>
    <cellStyle name="Percent 2 4 2 3 3 5" xfId="6155"/>
    <cellStyle name="Percent 2 4 2 3 3 5 2" xfId="14578"/>
    <cellStyle name="Percent 2 4 2 3 3 5 3" xfId="20522"/>
    <cellStyle name="Percent 2 4 2 3 3 6" xfId="6156"/>
    <cellStyle name="Percent 2 4 2 3 3 6 2" xfId="14579"/>
    <cellStyle name="Percent 2 4 2 3 3 6 3" xfId="20523"/>
    <cellStyle name="Percent 2 4 2 3 3 7" xfId="9400"/>
    <cellStyle name="Percent 2 4 2 3 3 8" xfId="20518"/>
    <cellStyle name="Percent 2 4 2 3 3_LNG &amp; LPG rework" xfId="7741"/>
    <cellStyle name="Percent 2 4 2 3 4" xfId="6157"/>
    <cellStyle name="Percent 2 4 2 3 4 2" xfId="6158"/>
    <cellStyle name="Percent 2 4 2 3 4 2 2" xfId="14581"/>
    <cellStyle name="Percent 2 4 2 3 4 2 3" xfId="20525"/>
    <cellStyle name="Percent 2 4 2 3 4 3" xfId="6159"/>
    <cellStyle name="Percent 2 4 2 3 4 3 2" xfId="14582"/>
    <cellStyle name="Percent 2 4 2 3 4 3 3" xfId="20526"/>
    <cellStyle name="Percent 2 4 2 3 4 4" xfId="6160"/>
    <cellStyle name="Percent 2 4 2 3 4 4 2" xfId="14583"/>
    <cellStyle name="Percent 2 4 2 3 4 4 3" xfId="20527"/>
    <cellStyle name="Percent 2 4 2 3 4 5" xfId="6161"/>
    <cellStyle name="Percent 2 4 2 3 4 5 2" xfId="14584"/>
    <cellStyle name="Percent 2 4 2 3 4 5 3" xfId="20528"/>
    <cellStyle name="Percent 2 4 2 3 4 6" xfId="14580"/>
    <cellStyle name="Percent 2 4 2 3 4 7" xfId="20524"/>
    <cellStyle name="Percent 2 4 2 3 4_LNG &amp; LPG rework" xfId="7742"/>
    <cellStyle name="Percent 2 4 2 3 5" xfId="6162"/>
    <cellStyle name="Percent 2 4 2 3 5 2" xfId="6163"/>
    <cellStyle name="Percent 2 4 2 3 5 2 2" xfId="14586"/>
    <cellStyle name="Percent 2 4 2 3 5 2 3" xfId="20530"/>
    <cellStyle name="Percent 2 4 2 3 5 3" xfId="6164"/>
    <cellStyle name="Percent 2 4 2 3 5 3 2" xfId="14587"/>
    <cellStyle name="Percent 2 4 2 3 5 3 3" xfId="20531"/>
    <cellStyle name="Percent 2 4 2 3 5 4" xfId="6165"/>
    <cellStyle name="Percent 2 4 2 3 5 4 2" xfId="14588"/>
    <cellStyle name="Percent 2 4 2 3 5 4 3" xfId="20532"/>
    <cellStyle name="Percent 2 4 2 3 5 5" xfId="6166"/>
    <cellStyle name="Percent 2 4 2 3 5 5 2" xfId="14589"/>
    <cellStyle name="Percent 2 4 2 3 5 5 3" xfId="20533"/>
    <cellStyle name="Percent 2 4 2 3 5 6" xfId="14585"/>
    <cellStyle name="Percent 2 4 2 3 5 7" xfId="20529"/>
    <cellStyle name="Percent 2 4 2 3 5_LNG &amp; LPG rework" xfId="7743"/>
    <cellStyle name="Percent 2 4 2 3 6" xfId="6167"/>
    <cellStyle name="Percent 2 4 2 3 6 2" xfId="14590"/>
    <cellStyle name="Percent 2 4 2 3 6 3" xfId="20534"/>
    <cellStyle name="Percent 2 4 2 3 7" xfId="6168"/>
    <cellStyle name="Percent 2 4 2 3 7 2" xfId="14591"/>
    <cellStyle name="Percent 2 4 2 3 7 3" xfId="20535"/>
    <cellStyle name="Percent 2 4 2 3 8" xfId="6169"/>
    <cellStyle name="Percent 2 4 2 3 8 2" xfId="14592"/>
    <cellStyle name="Percent 2 4 2 3 8 3" xfId="20536"/>
    <cellStyle name="Percent 2 4 2 3 9" xfId="6170"/>
    <cellStyle name="Percent 2 4 2 3 9 2" xfId="14593"/>
    <cellStyle name="Percent 2 4 2 3 9 3" xfId="20537"/>
    <cellStyle name="Percent 2 4 2 3_LNG &amp; LPG rework" xfId="7737"/>
    <cellStyle name="Percent 2 4 2 4" xfId="582"/>
    <cellStyle name="Percent 2 4 2 4 10" xfId="20538"/>
    <cellStyle name="Percent 2 4 2 4 2" xfId="583"/>
    <cellStyle name="Percent 2 4 2 4 2 2" xfId="6171"/>
    <cellStyle name="Percent 2 4 2 4 2 2 2" xfId="14594"/>
    <cellStyle name="Percent 2 4 2 4 2 2 3" xfId="20540"/>
    <cellStyle name="Percent 2 4 2 4 2 3" xfId="6172"/>
    <cellStyle name="Percent 2 4 2 4 2 3 2" xfId="14595"/>
    <cellStyle name="Percent 2 4 2 4 2 3 3" xfId="20541"/>
    <cellStyle name="Percent 2 4 2 4 2 4" xfId="6173"/>
    <cellStyle name="Percent 2 4 2 4 2 4 2" xfId="14596"/>
    <cellStyle name="Percent 2 4 2 4 2 4 3" xfId="20542"/>
    <cellStyle name="Percent 2 4 2 4 2 5" xfId="6174"/>
    <cellStyle name="Percent 2 4 2 4 2 5 2" xfId="14597"/>
    <cellStyle name="Percent 2 4 2 4 2 5 3" xfId="20543"/>
    <cellStyle name="Percent 2 4 2 4 2 6" xfId="6175"/>
    <cellStyle name="Percent 2 4 2 4 2 6 2" xfId="14598"/>
    <cellStyle name="Percent 2 4 2 4 2 6 3" xfId="20544"/>
    <cellStyle name="Percent 2 4 2 4 2 7" xfId="9402"/>
    <cellStyle name="Percent 2 4 2 4 2 8" xfId="20539"/>
    <cellStyle name="Percent 2 4 2 4 2_LNG &amp; LPG rework" xfId="7745"/>
    <cellStyle name="Percent 2 4 2 4 3" xfId="6176"/>
    <cellStyle name="Percent 2 4 2 4 3 2" xfId="6177"/>
    <cellStyle name="Percent 2 4 2 4 3 2 2" xfId="14600"/>
    <cellStyle name="Percent 2 4 2 4 3 2 3" xfId="20546"/>
    <cellStyle name="Percent 2 4 2 4 3 3" xfId="6178"/>
    <cellStyle name="Percent 2 4 2 4 3 3 2" xfId="14601"/>
    <cellStyle name="Percent 2 4 2 4 3 3 3" xfId="20547"/>
    <cellStyle name="Percent 2 4 2 4 3 4" xfId="6179"/>
    <cellStyle name="Percent 2 4 2 4 3 4 2" xfId="14602"/>
    <cellStyle name="Percent 2 4 2 4 3 4 3" xfId="20548"/>
    <cellStyle name="Percent 2 4 2 4 3 5" xfId="6180"/>
    <cellStyle name="Percent 2 4 2 4 3 5 2" xfId="14603"/>
    <cellStyle name="Percent 2 4 2 4 3 5 3" xfId="20549"/>
    <cellStyle name="Percent 2 4 2 4 3 6" xfId="14599"/>
    <cellStyle name="Percent 2 4 2 4 3 7" xfId="20545"/>
    <cellStyle name="Percent 2 4 2 4 3_LNG &amp; LPG rework" xfId="7746"/>
    <cellStyle name="Percent 2 4 2 4 4" xfId="6181"/>
    <cellStyle name="Percent 2 4 2 4 4 2" xfId="14604"/>
    <cellStyle name="Percent 2 4 2 4 4 3" xfId="20550"/>
    <cellStyle name="Percent 2 4 2 4 5" xfId="6182"/>
    <cellStyle name="Percent 2 4 2 4 5 2" xfId="14605"/>
    <cellStyle name="Percent 2 4 2 4 5 3" xfId="20551"/>
    <cellStyle name="Percent 2 4 2 4 6" xfId="6183"/>
    <cellStyle name="Percent 2 4 2 4 6 2" xfId="14606"/>
    <cellStyle name="Percent 2 4 2 4 6 3" xfId="20552"/>
    <cellStyle name="Percent 2 4 2 4 7" xfId="6184"/>
    <cellStyle name="Percent 2 4 2 4 7 2" xfId="14607"/>
    <cellStyle name="Percent 2 4 2 4 7 3" xfId="20553"/>
    <cellStyle name="Percent 2 4 2 4 8" xfId="6185"/>
    <cellStyle name="Percent 2 4 2 4 8 2" xfId="14608"/>
    <cellStyle name="Percent 2 4 2 4 8 3" xfId="20554"/>
    <cellStyle name="Percent 2 4 2 4 9" xfId="9401"/>
    <cellStyle name="Percent 2 4 2 4_LNG &amp; LPG rework" xfId="7744"/>
    <cellStyle name="Percent 2 4 2 5" xfId="584"/>
    <cellStyle name="Percent 2 4 2 5 2" xfId="6186"/>
    <cellStyle name="Percent 2 4 2 5 2 2" xfId="14609"/>
    <cellStyle name="Percent 2 4 2 5 2 3" xfId="20556"/>
    <cellStyle name="Percent 2 4 2 5 3" xfId="6187"/>
    <cellStyle name="Percent 2 4 2 5 3 2" xfId="14610"/>
    <cellStyle name="Percent 2 4 2 5 3 3" xfId="20557"/>
    <cellStyle name="Percent 2 4 2 5 4" xfId="6188"/>
    <cellStyle name="Percent 2 4 2 5 4 2" xfId="14611"/>
    <cellStyle name="Percent 2 4 2 5 4 3" xfId="20558"/>
    <cellStyle name="Percent 2 4 2 5 5" xfId="6189"/>
    <cellStyle name="Percent 2 4 2 5 5 2" xfId="14612"/>
    <cellStyle name="Percent 2 4 2 5 5 3" xfId="20559"/>
    <cellStyle name="Percent 2 4 2 5 6" xfId="6190"/>
    <cellStyle name="Percent 2 4 2 5 6 2" xfId="14613"/>
    <cellStyle name="Percent 2 4 2 5 6 3" xfId="20560"/>
    <cellStyle name="Percent 2 4 2 5 7" xfId="9403"/>
    <cellStyle name="Percent 2 4 2 5 8" xfId="20555"/>
    <cellStyle name="Percent 2 4 2 5_LNG &amp; LPG rework" xfId="7747"/>
    <cellStyle name="Percent 2 4 2 6" xfId="6191"/>
    <cellStyle name="Percent 2 4 2 6 2" xfId="6192"/>
    <cellStyle name="Percent 2 4 2 6 2 2" xfId="14615"/>
    <cellStyle name="Percent 2 4 2 6 2 3" xfId="20562"/>
    <cellStyle name="Percent 2 4 2 6 3" xfId="6193"/>
    <cellStyle name="Percent 2 4 2 6 3 2" xfId="14616"/>
    <cellStyle name="Percent 2 4 2 6 3 3" xfId="20563"/>
    <cellStyle name="Percent 2 4 2 6 4" xfId="6194"/>
    <cellStyle name="Percent 2 4 2 6 4 2" xfId="14617"/>
    <cellStyle name="Percent 2 4 2 6 4 3" xfId="20564"/>
    <cellStyle name="Percent 2 4 2 6 5" xfId="6195"/>
    <cellStyle name="Percent 2 4 2 6 5 2" xfId="14618"/>
    <cellStyle name="Percent 2 4 2 6 5 3" xfId="20565"/>
    <cellStyle name="Percent 2 4 2 6 6" xfId="14614"/>
    <cellStyle name="Percent 2 4 2 6 7" xfId="20561"/>
    <cellStyle name="Percent 2 4 2 6_LNG &amp; LPG rework" xfId="7748"/>
    <cellStyle name="Percent 2 4 2 7" xfId="6196"/>
    <cellStyle name="Percent 2 4 2 7 2" xfId="6197"/>
    <cellStyle name="Percent 2 4 2 7 2 2" xfId="14620"/>
    <cellStyle name="Percent 2 4 2 7 2 3" xfId="20567"/>
    <cellStyle name="Percent 2 4 2 7 3" xfId="6198"/>
    <cellStyle name="Percent 2 4 2 7 3 2" xfId="14621"/>
    <cellStyle name="Percent 2 4 2 7 3 3" xfId="20568"/>
    <cellStyle name="Percent 2 4 2 7 4" xfId="6199"/>
    <cellStyle name="Percent 2 4 2 7 4 2" xfId="14622"/>
    <cellStyle name="Percent 2 4 2 7 4 3" xfId="20569"/>
    <cellStyle name="Percent 2 4 2 7 5" xfId="6200"/>
    <cellStyle name="Percent 2 4 2 7 5 2" xfId="14623"/>
    <cellStyle name="Percent 2 4 2 7 5 3" xfId="20570"/>
    <cellStyle name="Percent 2 4 2 7 6" xfId="14619"/>
    <cellStyle name="Percent 2 4 2 7 7" xfId="20566"/>
    <cellStyle name="Percent 2 4 2 7_LNG &amp; LPG rework" xfId="7749"/>
    <cellStyle name="Percent 2 4 2 8" xfId="6201"/>
    <cellStyle name="Percent 2 4 2 8 2" xfId="14624"/>
    <cellStyle name="Percent 2 4 2 8 3" xfId="20571"/>
    <cellStyle name="Percent 2 4 2 9" xfId="6202"/>
    <cellStyle name="Percent 2 4 2 9 2" xfId="14625"/>
    <cellStyle name="Percent 2 4 2 9 3" xfId="20572"/>
    <cellStyle name="Percent 2 4 2_LNG &amp; LPG rework" xfId="7722"/>
    <cellStyle name="Percent 2 4 3" xfId="585"/>
    <cellStyle name="Percent 2 4 3 10" xfId="6203"/>
    <cellStyle name="Percent 2 4 3 10 2" xfId="14626"/>
    <cellStyle name="Percent 2 4 3 10 3" xfId="20574"/>
    <cellStyle name="Percent 2 4 3 11" xfId="6204"/>
    <cellStyle name="Percent 2 4 3 11 2" xfId="14627"/>
    <cellStyle name="Percent 2 4 3 11 3" xfId="20575"/>
    <cellStyle name="Percent 2 4 3 12" xfId="9404"/>
    <cellStyle name="Percent 2 4 3 13" xfId="20573"/>
    <cellStyle name="Percent 2 4 3 2" xfId="586"/>
    <cellStyle name="Percent 2 4 3 2 10" xfId="6205"/>
    <cellStyle name="Percent 2 4 3 2 10 2" xfId="14628"/>
    <cellStyle name="Percent 2 4 3 2 10 3" xfId="20577"/>
    <cellStyle name="Percent 2 4 3 2 11" xfId="9405"/>
    <cellStyle name="Percent 2 4 3 2 12" xfId="20576"/>
    <cellStyle name="Percent 2 4 3 2 2" xfId="587"/>
    <cellStyle name="Percent 2 4 3 2 2 10" xfId="20578"/>
    <cellStyle name="Percent 2 4 3 2 2 2" xfId="588"/>
    <cellStyle name="Percent 2 4 3 2 2 2 2" xfId="6206"/>
    <cellStyle name="Percent 2 4 3 2 2 2 2 2" xfId="14629"/>
    <cellStyle name="Percent 2 4 3 2 2 2 2 3" xfId="20580"/>
    <cellStyle name="Percent 2 4 3 2 2 2 3" xfId="6207"/>
    <cellStyle name="Percent 2 4 3 2 2 2 3 2" xfId="14630"/>
    <cellStyle name="Percent 2 4 3 2 2 2 3 3" xfId="20581"/>
    <cellStyle name="Percent 2 4 3 2 2 2 4" xfId="6208"/>
    <cellStyle name="Percent 2 4 3 2 2 2 4 2" xfId="14631"/>
    <cellStyle name="Percent 2 4 3 2 2 2 4 3" xfId="20582"/>
    <cellStyle name="Percent 2 4 3 2 2 2 5" xfId="6209"/>
    <cellStyle name="Percent 2 4 3 2 2 2 5 2" xfId="14632"/>
    <cellStyle name="Percent 2 4 3 2 2 2 5 3" xfId="20583"/>
    <cellStyle name="Percent 2 4 3 2 2 2 6" xfId="6210"/>
    <cellStyle name="Percent 2 4 3 2 2 2 6 2" xfId="14633"/>
    <cellStyle name="Percent 2 4 3 2 2 2 6 3" xfId="20584"/>
    <cellStyle name="Percent 2 4 3 2 2 2 7" xfId="9407"/>
    <cellStyle name="Percent 2 4 3 2 2 2 8" xfId="20579"/>
    <cellStyle name="Percent 2 4 3 2 2 2_LNG &amp; LPG rework" xfId="7753"/>
    <cellStyle name="Percent 2 4 3 2 2 3" xfId="6211"/>
    <cellStyle name="Percent 2 4 3 2 2 3 2" xfId="6212"/>
    <cellStyle name="Percent 2 4 3 2 2 3 2 2" xfId="14635"/>
    <cellStyle name="Percent 2 4 3 2 2 3 2 3" xfId="20586"/>
    <cellStyle name="Percent 2 4 3 2 2 3 3" xfId="6213"/>
    <cellStyle name="Percent 2 4 3 2 2 3 3 2" xfId="14636"/>
    <cellStyle name="Percent 2 4 3 2 2 3 3 3" xfId="20587"/>
    <cellStyle name="Percent 2 4 3 2 2 3 4" xfId="6214"/>
    <cellStyle name="Percent 2 4 3 2 2 3 4 2" xfId="14637"/>
    <cellStyle name="Percent 2 4 3 2 2 3 4 3" xfId="20588"/>
    <cellStyle name="Percent 2 4 3 2 2 3 5" xfId="6215"/>
    <cellStyle name="Percent 2 4 3 2 2 3 5 2" xfId="14638"/>
    <cellStyle name="Percent 2 4 3 2 2 3 5 3" xfId="20589"/>
    <cellStyle name="Percent 2 4 3 2 2 3 6" xfId="14634"/>
    <cellStyle name="Percent 2 4 3 2 2 3 7" xfId="20585"/>
    <cellStyle name="Percent 2 4 3 2 2 3_LNG &amp; LPG rework" xfId="7754"/>
    <cellStyle name="Percent 2 4 3 2 2 4" xfId="6216"/>
    <cellStyle name="Percent 2 4 3 2 2 4 2" xfId="14639"/>
    <cellStyle name="Percent 2 4 3 2 2 4 3" xfId="20590"/>
    <cellStyle name="Percent 2 4 3 2 2 5" xfId="6217"/>
    <cellStyle name="Percent 2 4 3 2 2 5 2" xfId="14640"/>
    <cellStyle name="Percent 2 4 3 2 2 5 3" xfId="20591"/>
    <cellStyle name="Percent 2 4 3 2 2 6" xfId="6218"/>
    <cellStyle name="Percent 2 4 3 2 2 6 2" xfId="14641"/>
    <cellStyle name="Percent 2 4 3 2 2 6 3" xfId="20592"/>
    <cellStyle name="Percent 2 4 3 2 2 7" xfId="6219"/>
    <cellStyle name="Percent 2 4 3 2 2 7 2" xfId="14642"/>
    <cellStyle name="Percent 2 4 3 2 2 7 3" xfId="20593"/>
    <cellStyle name="Percent 2 4 3 2 2 8" xfId="6220"/>
    <cellStyle name="Percent 2 4 3 2 2 8 2" xfId="14643"/>
    <cellStyle name="Percent 2 4 3 2 2 8 3" xfId="20594"/>
    <cellStyle name="Percent 2 4 3 2 2 9" xfId="9406"/>
    <cellStyle name="Percent 2 4 3 2 2_LNG &amp; LPG rework" xfId="7752"/>
    <cellStyle name="Percent 2 4 3 2 3" xfId="589"/>
    <cellStyle name="Percent 2 4 3 2 3 2" xfId="6221"/>
    <cellStyle name="Percent 2 4 3 2 3 2 2" xfId="14644"/>
    <cellStyle name="Percent 2 4 3 2 3 2 3" xfId="20596"/>
    <cellStyle name="Percent 2 4 3 2 3 3" xfId="6222"/>
    <cellStyle name="Percent 2 4 3 2 3 3 2" xfId="14645"/>
    <cellStyle name="Percent 2 4 3 2 3 3 3" xfId="20597"/>
    <cellStyle name="Percent 2 4 3 2 3 4" xfId="6223"/>
    <cellStyle name="Percent 2 4 3 2 3 4 2" xfId="14646"/>
    <cellStyle name="Percent 2 4 3 2 3 4 3" xfId="20598"/>
    <cellStyle name="Percent 2 4 3 2 3 5" xfId="6224"/>
    <cellStyle name="Percent 2 4 3 2 3 5 2" xfId="14647"/>
    <cellStyle name="Percent 2 4 3 2 3 5 3" xfId="20599"/>
    <cellStyle name="Percent 2 4 3 2 3 6" xfId="6225"/>
    <cellStyle name="Percent 2 4 3 2 3 6 2" xfId="14648"/>
    <cellStyle name="Percent 2 4 3 2 3 6 3" xfId="20600"/>
    <cellStyle name="Percent 2 4 3 2 3 7" xfId="9408"/>
    <cellStyle name="Percent 2 4 3 2 3 8" xfId="20595"/>
    <cellStyle name="Percent 2 4 3 2 3_LNG &amp; LPG rework" xfId="7755"/>
    <cellStyle name="Percent 2 4 3 2 4" xfId="6226"/>
    <cellStyle name="Percent 2 4 3 2 4 2" xfId="6227"/>
    <cellStyle name="Percent 2 4 3 2 4 2 2" xfId="14650"/>
    <cellStyle name="Percent 2 4 3 2 4 2 3" xfId="20602"/>
    <cellStyle name="Percent 2 4 3 2 4 3" xfId="6228"/>
    <cellStyle name="Percent 2 4 3 2 4 3 2" xfId="14651"/>
    <cellStyle name="Percent 2 4 3 2 4 3 3" xfId="20603"/>
    <cellStyle name="Percent 2 4 3 2 4 4" xfId="6229"/>
    <cellStyle name="Percent 2 4 3 2 4 4 2" xfId="14652"/>
    <cellStyle name="Percent 2 4 3 2 4 4 3" xfId="20604"/>
    <cellStyle name="Percent 2 4 3 2 4 5" xfId="6230"/>
    <cellStyle name="Percent 2 4 3 2 4 5 2" xfId="14653"/>
    <cellStyle name="Percent 2 4 3 2 4 5 3" xfId="20605"/>
    <cellStyle name="Percent 2 4 3 2 4 6" xfId="14649"/>
    <cellStyle name="Percent 2 4 3 2 4 7" xfId="20601"/>
    <cellStyle name="Percent 2 4 3 2 4_LNG &amp; LPG rework" xfId="7756"/>
    <cellStyle name="Percent 2 4 3 2 5" xfId="6231"/>
    <cellStyle name="Percent 2 4 3 2 5 2" xfId="6232"/>
    <cellStyle name="Percent 2 4 3 2 5 2 2" xfId="14655"/>
    <cellStyle name="Percent 2 4 3 2 5 2 3" xfId="20607"/>
    <cellStyle name="Percent 2 4 3 2 5 3" xfId="6233"/>
    <cellStyle name="Percent 2 4 3 2 5 3 2" xfId="14656"/>
    <cellStyle name="Percent 2 4 3 2 5 3 3" xfId="20608"/>
    <cellStyle name="Percent 2 4 3 2 5 4" xfId="6234"/>
    <cellStyle name="Percent 2 4 3 2 5 4 2" xfId="14657"/>
    <cellStyle name="Percent 2 4 3 2 5 4 3" xfId="20609"/>
    <cellStyle name="Percent 2 4 3 2 5 5" xfId="6235"/>
    <cellStyle name="Percent 2 4 3 2 5 5 2" xfId="14658"/>
    <cellStyle name="Percent 2 4 3 2 5 5 3" xfId="20610"/>
    <cellStyle name="Percent 2 4 3 2 5 6" xfId="14654"/>
    <cellStyle name="Percent 2 4 3 2 5 7" xfId="20606"/>
    <cellStyle name="Percent 2 4 3 2 5_LNG &amp; LPG rework" xfId="7757"/>
    <cellStyle name="Percent 2 4 3 2 6" xfId="6236"/>
    <cellStyle name="Percent 2 4 3 2 6 2" xfId="14659"/>
    <cellStyle name="Percent 2 4 3 2 6 3" xfId="20611"/>
    <cellStyle name="Percent 2 4 3 2 7" xfId="6237"/>
    <cellStyle name="Percent 2 4 3 2 7 2" xfId="14660"/>
    <cellStyle name="Percent 2 4 3 2 7 3" xfId="20612"/>
    <cellStyle name="Percent 2 4 3 2 8" xfId="6238"/>
    <cellStyle name="Percent 2 4 3 2 8 2" xfId="14661"/>
    <cellStyle name="Percent 2 4 3 2 8 3" xfId="20613"/>
    <cellStyle name="Percent 2 4 3 2 9" xfId="6239"/>
    <cellStyle name="Percent 2 4 3 2 9 2" xfId="14662"/>
    <cellStyle name="Percent 2 4 3 2 9 3" xfId="20614"/>
    <cellStyle name="Percent 2 4 3 2_LNG &amp; LPG rework" xfId="7751"/>
    <cellStyle name="Percent 2 4 3 3" xfId="590"/>
    <cellStyle name="Percent 2 4 3 3 10" xfId="20615"/>
    <cellStyle name="Percent 2 4 3 3 2" xfId="591"/>
    <cellStyle name="Percent 2 4 3 3 2 2" xfId="6240"/>
    <cellStyle name="Percent 2 4 3 3 2 2 2" xfId="14663"/>
    <cellStyle name="Percent 2 4 3 3 2 2 3" xfId="20617"/>
    <cellStyle name="Percent 2 4 3 3 2 3" xfId="6241"/>
    <cellStyle name="Percent 2 4 3 3 2 3 2" xfId="14664"/>
    <cellStyle name="Percent 2 4 3 3 2 3 3" xfId="20618"/>
    <cellStyle name="Percent 2 4 3 3 2 4" xfId="6242"/>
    <cellStyle name="Percent 2 4 3 3 2 4 2" xfId="14665"/>
    <cellStyle name="Percent 2 4 3 3 2 4 3" xfId="20619"/>
    <cellStyle name="Percent 2 4 3 3 2 5" xfId="6243"/>
    <cellStyle name="Percent 2 4 3 3 2 5 2" xfId="14666"/>
    <cellStyle name="Percent 2 4 3 3 2 5 3" xfId="20620"/>
    <cellStyle name="Percent 2 4 3 3 2 6" xfId="6244"/>
    <cellStyle name="Percent 2 4 3 3 2 6 2" xfId="14667"/>
    <cellStyle name="Percent 2 4 3 3 2 6 3" xfId="20621"/>
    <cellStyle name="Percent 2 4 3 3 2 7" xfId="9410"/>
    <cellStyle name="Percent 2 4 3 3 2 8" xfId="20616"/>
    <cellStyle name="Percent 2 4 3 3 2_LNG &amp; LPG rework" xfId="7759"/>
    <cellStyle name="Percent 2 4 3 3 3" xfId="6245"/>
    <cellStyle name="Percent 2 4 3 3 3 2" xfId="6246"/>
    <cellStyle name="Percent 2 4 3 3 3 2 2" xfId="14669"/>
    <cellStyle name="Percent 2 4 3 3 3 2 3" xfId="20623"/>
    <cellStyle name="Percent 2 4 3 3 3 3" xfId="6247"/>
    <cellStyle name="Percent 2 4 3 3 3 3 2" xfId="14670"/>
    <cellStyle name="Percent 2 4 3 3 3 3 3" xfId="20624"/>
    <cellStyle name="Percent 2 4 3 3 3 4" xfId="6248"/>
    <cellStyle name="Percent 2 4 3 3 3 4 2" xfId="14671"/>
    <cellStyle name="Percent 2 4 3 3 3 4 3" xfId="20625"/>
    <cellStyle name="Percent 2 4 3 3 3 5" xfId="6249"/>
    <cellStyle name="Percent 2 4 3 3 3 5 2" xfId="14672"/>
    <cellStyle name="Percent 2 4 3 3 3 5 3" xfId="20626"/>
    <cellStyle name="Percent 2 4 3 3 3 6" xfId="14668"/>
    <cellStyle name="Percent 2 4 3 3 3 7" xfId="20622"/>
    <cellStyle name="Percent 2 4 3 3 3_LNG &amp; LPG rework" xfId="7760"/>
    <cellStyle name="Percent 2 4 3 3 4" xfId="6250"/>
    <cellStyle name="Percent 2 4 3 3 4 2" xfId="14673"/>
    <cellStyle name="Percent 2 4 3 3 4 3" xfId="20627"/>
    <cellStyle name="Percent 2 4 3 3 5" xfId="6251"/>
    <cellStyle name="Percent 2 4 3 3 5 2" xfId="14674"/>
    <cellStyle name="Percent 2 4 3 3 5 3" xfId="20628"/>
    <cellStyle name="Percent 2 4 3 3 6" xfId="6252"/>
    <cellStyle name="Percent 2 4 3 3 6 2" xfId="14675"/>
    <cellStyle name="Percent 2 4 3 3 6 3" xfId="20629"/>
    <cellStyle name="Percent 2 4 3 3 7" xfId="6253"/>
    <cellStyle name="Percent 2 4 3 3 7 2" xfId="14676"/>
    <cellStyle name="Percent 2 4 3 3 7 3" xfId="20630"/>
    <cellStyle name="Percent 2 4 3 3 8" xfId="6254"/>
    <cellStyle name="Percent 2 4 3 3 8 2" xfId="14677"/>
    <cellStyle name="Percent 2 4 3 3 8 3" xfId="20631"/>
    <cellStyle name="Percent 2 4 3 3 9" xfId="9409"/>
    <cellStyle name="Percent 2 4 3 3_LNG &amp; LPG rework" xfId="7758"/>
    <cellStyle name="Percent 2 4 3 4" xfId="592"/>
    <cellStyle name="Percent 2 4 3 4 2" xfId="6255"/>
    <cellStyle name="Percent 2 4 3 4 2 2" xfId="14678"/>
    <cellStyle name="Percent 2 4 3 4 2 3" xfId="20633"/>
    <cellStyle name="Percent 2 4 3 4 3" xfId="6256"/>
    <cellStyle name="Percent 2 4 3 4 3 2" xfId="14679"/>
    <cellStyle name="Percent 2 4 3 4 3 3" xfId="20634"/>
    <cellStyle name="Percent 2 4 3 4 4" xfId="6257"/>
    <cellStyle name="Percent 2 4 3 4 4 2" xfId="14680"/>
    <cellStyle name="Percent 2 4 3 4 4 3" xfId="20635"/>
    <cellStyle name="Percent 2 4 3 4 5" xfId="6258"/>
    <cellStyle name="Percent 2 4 3 4 5 2" xfId="14681"/>
    <cellStyle name="Percent 2 4 3 4 5 3" xfId="20636"/>
    <cellStyle name="Percent 2 4 3 4 6" xfId="6259"/>
    <cellStyle name="Percent 2 4 3 4 6 2" xfId="14682"/>
    <cellStyle name="Percent 2 4 3 4 6 3" xfId="20637"/>
    <cellStyle name="Percent 2 4 3 4 7" xfId="9411"/>
    <cellStyle name="Percent 2 4 3 4 8" xfId="20632"/>
    <cellStyle name="Percent 2 4 3 4_LNG &amp; LPG rework" xfId="7761"/>
    <cellStyle name="Percent 2 4 3 5" xfId="6260"/>
    <cellStyle name="Percent 2 4 3 5 2" xfId="6261"/>
    <cellStyle name="Percent 2 4 3 5 2 2" xfId="14684"/>
    <cellStyle name="Percent 2 4 3 5 2 3" xfId="20639"/>
    <cellStyle name="Percent 2 4 3 5 3" xfId="6262"/>
    <cellStyle name="Percent 2 4 3 5 3 2" xfId="14685"/>
    <cellStyle name="Percent 2 4 3 5 3 3" xfId="20640"/>
    <cellStyle name="Percent 2 4 3 5 4" xfId="6263"/>
    <cellStyle name="Percent 2 4 3 5 4 2" xfId="14686"/>
    <cellStyle name="Percent 2 4 3 5 4 3" xfId="20641"/>
    <cellStyle name="Percent 2 4 3 5 5" xfId="6264"/>
    <cellStyle name="Percent 2 4 3 5 5 2" xfId="14687"/>
    <cellStyle name="Percent 2 4 3 5 5 3" xfId="20642"/>
    <cellStyle name="Percent 2 4 3 5 6" xfId="14683"/>
    <cellStyle name="Percent 2 4 3 5 7" xfId="20638"/>
    <cellStyle name="Percent 2 4 3 5_LNG &amp; LPG rework" xfId="7762"/>
    <cellStyle name="Percent 2 4 3 6" xfId="6265"/>
    <cellStyle name="Percent 2 4 3 6 2" xfId="6266"/>
    <cellStyle name="Percent 2 4 3 6 2 2" xfId="14689"/>
    <cellStyle name="Percent 2 4 3 6 2 3" xfId="20644"/>
    <cellStyle name="Percent 2 4 3 6 3" xfId="6267"/>
    <cellStyle name="Percent 2 4 3 6 3 2" xfId="14690"/>
    <cellStyle name="Percent 2 4 3 6 3 3" xfId="20645"/>
    <cellStyle name="Percent 2 4 3 6 4" xfId="6268"/>
    <cellStyle name="Percent 2 4 3 6 4 2" xfId="14691"/>
    <cellStyle name="Percent 2 4 3 6 4 3" xfId="20646"/>
    <cellStyle name="Percent 2 4 3 6 5" xfId="6269"/>
    <cellStyle name="Percent 2 4 3 6 5 2" xfId="14692"/>
    <cellStyle name="Percent 2 4 3 6 5 3" xfId="20647"/>
    <cellStyle name="Percent 2 4 3 6 6" xfId="14688"/>
    <cellStyle name="Percent 2 4 3 6 7" xfId="20643"/>
    <cellStyle name="Percent 2 4 3 6_LNG &amp; LPG rework" xfId="7763"/>
    <cellStyle name="Percent 2 4 3 7" xfId="6270"/>
    <cellStyle name="Percent 2 4 3 7 2" xfId="14693"/>
    <cellStyle name="Percent 2 4 3 7 3" xfId="20648"/>
    <cellStyle name="Percent 2 4 3 8" xfId="6271"/>
    <cellStyle name="Percent 2 4 3 8 2" xfId="14694"/>
    <cellStyle name="Percent 2 4 3 8 3" xfId="20649"/>
    <cellStyle name="Percent 2 4 3 9" xfId="6272"/>
    <cellStyle name="Percent 2 4 3 9 2" xfId="14695"/>
    <cellStyle name="Percent 2 4 3 9 3" xfId="20650"/>
    <cellStyle name="Percent 2 4 3_LNG &amp; LPG rework" xfId="7750"/>
    <cellStyle name="Percent 2 4 4" xfId="593"/>
    <cellStyle name="Percent 2 4 4 10" xfId="6273"/>
    <cellStyle name="Percent 2 4 4 10 2" xfId="14696"/>
    <cellStyle name="Percent 2 4 4 10 3" xfId="20652"/>
    <cellStyle name="Percent 2 4 4 11" xfId="9412"/>
    <cellStyle name="Percent 2 4 4 12" xfId="20651"/>
    <cellStyle name="Percent 2 4 4 2" xfId="594"/>
    <cellStyle name="Percent 2 4 4 2 10" xfId="20653"/>
    <cellStyle name="Percent 2 4 4 2 2" xfId="595"/>
    <cellStyle name="Percent 2 4 4 2 2 2" xfId="6274"/>
    <cellStyle name="Percent 2 4 4 2 2 2 2" xfId="14697"/>
    <cellStyle name="Percent 2 4 4 2 2 2 3" xfId="20655"/>
    <cellStyle name="Percent 2 4 4 2 2 3" xfId="6275"/>
    <cellStyle name="Percent 2 4 4 2 2 3 2" xfId="14698"/>
    <cellStyle name="Percent 2 4 4 2 2 3 3" xfId="20656"/>
    <cellStyle name="Percent 2 4 4 2 2 4" xfId="6276"/>
    <cellStyle name="Percent 2 4 4 2 2 4 2" xfId="14699"/>
    <cellStyle name="Percent 2 4 4 2 2 4 3" xfId="20657"/>
    <cellStyle name="Percent 2 4 4 2 2 5" xfId="6277"/>
    <cellStyle name="Percent 2 4 4 2 2 5 2" xfId="14700"/>
    <cellStyle name="Percent 2 4 4 2 2 5 3" xfId="20658"/>
    <cellStyle name="Percent 2 4 4 2 2 6" xfId="6278"/>
    <cellStyle name="Percent 2 4 4 2 2 6 2" xfId="14701"/>
    <cellStyle name="Percent 2 4 4 2 2 6 3" xfId="20659"/>
    <cellStyle name="Percent 2 4 4 2 2 7" xfId="9414"/>
    <cellStyle name="Percent 2 4 4 2 2 8" xfId="20654"/>
    <cellStyle name="Percent 2 4 4 2 2_LNG &amp; LPG rework" xfId="7766"/>
    <cellStyle name="Percent 2 4 4 2 3" xfId="6279"/>
    <cellStyle name="Percent 2 4 4 2 3 2" xfId="6280"/>
    <cellStyle name="Percent 2 4 4 2 3 2 2" xfId="14703"/>
    <cellStyle name="Percent 2 4 4 2 3 2 3" xfId="20661"/>
    <cellStyle name="Percent 2 4 4 2 3 3" xfId="6281"/>
    <cellStyle name="Percent 2 4 4 2 3 3 2" xfId="14704"/>
    <cellStyle name="Percent 2 4 4 2 3 3 3" xfId="20662"/>
    <cellStyle name="Percent 2 4 4 2 3 4" xfId="6282"/>
    <cellStyle name="Percent 2 4 4 2 3 4 2" xfId="14705"/>
    <cellStyle name="Percent 2 4 4 2 3 4 3" xfId="20663"/>
    <cellStyle name="Percent 2 4 4 2 3 5" xfId="6283"/>
    <cellStyle name="Percent 2 4 4 2 3 5 2" xfId="14706"/>
    <cellStyle name="Percent 2 4 4 2 3 5 3" xfId="20664"/>
    <cellStyle name="Percent 2 4 4 2 3 6" xfId="14702"/>
    <cellStyle name="Percent 2 4 4 2 3 7" xfId="20660"/>
    <cellStyle name="Percent 2 4 4 2 3_LNG &amp; LPG rework" xfId="7767"/>
    <cellStyle name="Percent 2 4 4 2 4" xfId="6284"/>
    <cellStyle name="Percent 2 4 4 2 4 2" xfId="14707"/>
    <cellStyle name="Percent 2 4 4 2 4 3" xfId="20665"/>
    <cellStyle name="Percent 2 4 4 2 5" xfId="6285"/>
    <cellStyle name="Percent 2 4 4 2 5 2" xfId="14708"/>
    <cellStyle name="Percent 2 4 4 2 5 3" xfId="20666"/>
    <cellStyle name="Percent 2 4 4 2 6" xfId="6286"/>
    <cellStyle name="Percent 2 4 4 2 6 2" xfId="14709"/>
    <cellStyle name="Percent 2 4 4 2 6 3" xfId="20667"/>
    <cellStyle name="Percent 2 4 4 2 7" xfId="6287"/>
    <cellStyle name="Percent 2 4 4 2 7 2" xfId="14710"/>
    <cellStyle name="Percent 2 4 4 2 7 3" xfId="20668"/>
    <cellStyle name="Percent 2 4 4 2 8" xfId="6288"/>
    <cellStyle name="Percent 2 4 4 2 8 2" xfId="14711"/>
    <cellStyle name="Percent 2 4 4 2 8 3" xfId="20669"/>
    <cellStyle name="Percent 2 4 4 2 9" xfId="9413"/>
    <cellStyle name="Percent 2 4 4 2_LNG &amp; LPG rework" xfId="7765"/>
    <cellStyle name="Percent 2 4 4 3" xfId="596"/>
    <cellStyle name="Percent 2 4 4 3 2" xfId="6289"/>
    <cellStyle name="Percent 2 4 4 3 2 2" xfId="14712"/>
    <cellStyle name="Percent 2 4 4 3 2 3" xfId="20671"/>
    <cellStyle name="Percent 2 4 4 3 3" xfId="6290"/>
    <cellStyle name="Percent 2 4 4 3 3 2" xfId="14713"/>
    <cellStyle name="Percent 2 4 4 3 3 3" xfId="20672"/>
    <cellStyle name="Percent 2 4 4 3 4" xfId="6291"/>
    <cellStyle name="Percent 2 4 4 3 4 2" xfId="14714"/>
    <cellStyle name="Percent 2 4 4 3 4 3" xfId="20673"/>
    <cellStyle name="Percent 2 4 4 3 5" xfId="6292"/>
    <cellStyle name="Percent 2 4 4 3 5 2" xfId="14715"/>
    <cellStyle name="Percent 2 4 4 3 5 3" xfId="20674"/>
    <cellStyle name="Percent 2 4 4 3 6" xfId="6293"/>
    <cellStyle name="Percent 2 4 4 3 6 2" xfId="14716"/>
    <cellStyle name="Percent 2 4 4 3 6 3" xfId="20675"/>
    <cellStyle name="Percent 2 4 4 3 7" xfId="9415"/>
    <cellStyle name="Percent 2 4 4 3 8" xfId="20670"/>
    <cellStyle name="Percent 2 4 4 3_LNG &amp; LPG rework" xfId="7768"/>
    <cellStyle name="Percent 2 4 4 4" xfId="6294"/>
    <cellStyle name="Percent 2 4 4 4 2" xfId="6295"/>
    <cellStyle name="Percent 2 4 4 4 2 2" xfId="14718"/>
    <cellStyle name="Percent 2 4 4 4 2 3" xfId="20677"/>
    <cellStyle name="Percent 2 4 4 4 3" xfId="6296"/>
    <cellStyle name="Percent 2 4 4 4 3 2" xfId="14719"/>
    <cellStyle name="Percent 2 4 4 4 3 3" xfId="20678"/>
    <cellStyle name="Percent 2 4 4 4 4" xfId="6297"/>
    <cellStyle name="Percent 2 4 4 4 4 2" xfId="14720"/>
    <cellStyle name="Percent 2 4 4 4 4 3" xfId="20679"/>
    <cellStyle name="Percent 2 4 4 4 5" xfId="6298"/>
    <cellStyle name="Percent 2 4 4 4 5 2" xfId="14721"/>
    <cellStyle name="Percent 2 4 4 4 5 3" xfId="20680"/>
    <cellStyle name="Percent 2 4 4 4 6" xfId="14717"/>
    <cellStyle name="Percent 2 4 4 4 7" xfId="20676"/>
    <cellStyle name="Percent 2 4 4 4_LNG &amp; LPG rework" xfId="7769"/>
    <cellStyle name="Percent 2 4 4 5" xfId="6299"/>
    <cellStyle name="Percent 2 4 4 5 2" xfId="6300"/>
    <cellStyle name="Percent 2 4 4 5 2 2" xfId="14723"/>
    <cellStyle name="Percent 2 4 4 5 2 3" xfId="20682"/>
    <cellStyle name="Percent 2 4 4 5 3" xfId="6301"/>
    <cellStyle name="Percent 2 4 4 5 3 2" xfId="14724"/>
    <cellStyle name="Percent 2 4 4 5 3 3" xfId="20683"/>
    <cellStyle name="Percent 2 4 4 5 4" xfId="6302"/>
    <cellStyle name="Percent 2 4 4 5 4 2" xfId="14725"/>
    <cellStyle name="Percent 2 4 4 5 4 3" xfId="20684"/>
    <cellStyle name="Percent 2 4 4 5 5" xfId="6303"/>
    <cellStyle name="Percent 2 4 4 5 5 2" xfId="14726"/>
    <cellStyle name="Percent 2 4 4 5 5 3" xfId="20685"/>
    <cellStyle name="Percent 2 4 4 5 6" xfId="14722"/>
    <cellStyle name="Percent 2 4 4 5 7" xfId="20681"/>
    <cellStyle name="Percent 2 4 4 5_LNG &amp; LPG rework" xfId="7770"/>
    <cellStyle name="Percent 2 4 4 6" xfId="6304"/>
    <cellStyle name="Percent 2 4 4 6 2" xfId="14727"/>
    <cellStyle name="Percent 2 4 4 6 3" xfId="20686"/>
    <cellStyle name="Percent 2 4 4 7" xfId="6305"/>
    <cellStyle name="Percent 2 4 4 7 2" xfId="14728"/>
    <cellStyle name="Percent 2 4 4 7 3" xfId="20687"/>
    <cellStyle name="Percent 2 4 4 8" xfId="6306"/>
    <cellStyle name="Percent 2 4 4 8 2" xfId="14729"/>
    <cellStyle name="Percent 2 4 4 8 3" xfId="20688"/>
    <cellStyle name="Percent 2 4 4 9" xfId="6307"/>
    <cellStyle name="Percent 2 4 4 9 2" xfId="14730"/>
    <cellStyle name="Percent 2 4 4 9 3" xfId="20689"/>
    <cellStyle name="Percent 2 4 4_LNG &amp; LPG rework" xfId="7764"/>
    <cellStyle name="Percent 2 4 5" xfId="597"/>
    <cellStyle name="Percent 2 4 5 10" xfId="20690"/>
    <cellStyle name="Percent 2 4 5 2" xfId="598"/>
    <cellStyle name="Percent 2 4 5 2 2" xfId="6308"/>
    <cellStyle name="Percent 2 4 5 2 2 2" xfId="14731"/>
    <cellStyle name="Percent 2 4 5 2 2 3" xfId="20692"/>
    <cellStyle name="Percent 2 4 5 2 3" xfId="6309"/>
    <cellStyle name="Percent 2 4 5 2 3 2" xfId="14732"/>
    <cellStyle name="Percent 2 4 5 2 3 3" xfId="20693"/>
    <cellStyle name="Percent 2 4 5 2 4" xfId="6310"/>
    <cellStyle name="Percent 2 4 5 2 4 2" xfId="14733"/>
    <cellStyle name="Percent 2 4 5 2 4 3" xfId="20694"/>
    <cellStyle name="Percent 2 4 5 2 5" xfId="6311"/>
    <cellStyle name="Percent 2 4 5 2 5 2" xfId="14734"/>
    <cellStyle name="Percent 2 4 5 2 5 3" xfId="20695"/>
    <cellStyle name="Percent 2 4 5 2 6" xfId="6312"/>
    <cellStyle name="Percent 2 4 5 2 6 2" xfId="14735"/>
    <cellStyle name="Percent 2 4 5 2 6 3" xfId="20696"/>
    <cellStyle name="Percent 2 4 5 2 7" xfId="9417"/>
    <cellStyle name="Percent 2 4 5 2 8" xfId="20691"/>
    <cellStyle name="Percent 2 4 5 2_LNG &amp; LPG rework" xfId="7772"/>
    <cellStyle name="Percent 2 4 5 3" xfId="6313"/>
    <cellStyle name="Percent 2 4 5 3 2" xfId="6314"/>
    <cellStyle name="Percent 2 4 5 3 2 2" xfId="14737"/>
    <cellStyle name="Percent 2 4 5 3 2 3" xfId="20698"/>
    <cellStyle name="Percent 2 4 5 3 3" xfId="6315"/>
    <cellStyle name="Percent 2 4 5 3 3 2" xfId="14738"/>
    <cellStyle name="Percent 2 4 5 3 3 3" xfId="20699"/>
    <cellStyle name="Percent 2 4 5 3 4" xfId="6316"/>
    <cellStyle name="Percent 2 4 5 3 4 2" xfId="14739"/>
    <cellStyle name="Percent 2 4 5 3 4 3" xfId="20700"/>
    <cellStyle name="Percent 2 4 5 3 5" xfId="6317"/>
    <cellStyle name="Percent 2 4 5 3 5 2" xfId="14740"/>
    <cellStyle name="Percent 2 4 5 3 5 3" xfId="20701"/>
    <cellStyle name="Percent 2 4 5 3 6" xfId="14736"/>
    <cellStyle name="Percent 2 4 5 3 7" xfId="20697"/>
    <cellStyle name="Percent 2 4 5 3_LNG &amp; LPG rework" xfId="7773"/>
    <cellStyle name="Percent 2 4 5 4" xfId="6318"/>
    <cellStyle name="Percent 2 4 5 4 2" xfId="14741"/>
    <cellStyle name="Percent 2 4 5 4 3" xfId="20702"/>
    <cellStyle name="Percent 2 4 5 5" xfId="6319"/>
    <cellStyle name="Percent 2 4 5 5 2" xfId="14742"/>
    <cellStyle name="Percent 2 4 5 5 3" xfId="20703"/>
    <cellStyle name="Percent 2 4 5 6" xfId="6320"/>
    <cellStyle name="Percent 2 4 5 6 2" xfId="14743"/>
    <cellStyle name="Percent 2 4 5 6 3" xfId="20704"/>
    <cellStyle name="Percent 2 4 5 7" xfId="6321"/>
    <cellStyle name="Percent 2 4 5 7 2" xfId="14744"/>
    <cellStyle name="Percent 2 4 5 7 3" xfId="20705"/>
    <cellStyle name="Percent 2 4 5 8" xfId="6322"/>
    <cellStyle name="Percent 2 4 5 8 2" xfId="14745"/>
    <cellStyle name="Percent 2 4 5 8 3" xfId="20706"/>
    <cellStyle name="Percent 2 4 5 9" xfId="9416"/>
    <cellStyle name="Percent 2 4 5_LNG &amp; LPG rework" xfId="7771"/>
    <cellStyle name="Percent 2 4 6" xfId="599"/>
    <cellStyle name="Percent 2 4 6 2" xfId="6323"/>
    <cellStyle name="Percent 2 4 6 2 2" xfId="14746"/>
    <cellStyle name="Percent 2 4 6 2 3" xfId="20708"/>
    <cellStyle name="Percent 2 4 6 3" xfId="6324"/>
    <cellStyle name="Percent 2 4 6 3 2" xfId="14747"/>
    <cellStyle name="Percent 2 4 6 3 3" xfId="20709"/>
    <cellStyle name="Percent 2 4 6 4" xfId="6325"/>
    <cellStyle name="Percent 2 4 6 4 2" xfId="14748"/>
    <cellStyle name="Percent 2 4 6 4 3" xfId="20710"/>
    <cellStyle name="Percent 2 4 6 5" xfId="6326"/>
    <cellStyle name="Percent 2 4 6 5 2" xfId="14749"/>
    <cellStyle name="Percent 2 4 6 5 3" xfId="20711"/>
    <cellStyle name="Percent 2 4 6 6" xfId="6327"/>
    <cellStyle name="Percent 2 4 6 6 2" xfId="14750"/>
    <cellStyle name="Percent 2 4 6 6 3" xfId="20712"/>
    <cellStyle name="Percent 2 4 6 7" xfId="9418"/>
    <cellStyle name="Percent 2 4 6 8" xfId="20707"/>
    <cellStyle name="Percent 2 4 6_LNG &amp; LPG rework" xfId="7774"/>
    <cellStyle name="Percent 2 4 7" xfId="6328"/>
    <cellStyle name="Percent 2 4 7 2" xfId="6329"/>
    <cellStyle name="Percent 2 4 7 2 2" xfId="14752"/>
    <cellStyle name="Percent 2 4 7 2 3" xfId="20714"/>
    <cellStyle name="Percent 2 4 7 3" xfId="6330"/>
    <cellStyle name="Percent 2 4 7 3 2" xfId="14753"/>
    <cellStyle name="Percent 2 4 7 3 3" xfId="20715"/>
    <cellStyle name="Percent 2 4 7 4" xfId="6331"/>
    <cellStyle name="Percent 2 4 7 4 2" xfId="14754"/>
    <cellStyle name="Percent 2 4 7 4 3" xfId="20716"/>
    <cellStyle name="Percent 2 4 7 5" xfId="6332"/>
    <cellStyle name="Percent 2 4 7 5 2" xfId="14755"/>
    <cellStyle name="Percent 2 4 7 5 3" xfId="20717"/>
    <cellStyle name="Percent 2 4 7 6" xfId="14751"/>
    <cellStyle name="Percent 2 4 7 7" xfId="20713"/>
    <cellStyle name="Percent 2 4 7_LNG &amp; LPG rework" xfId="7775"/>
    <cellStyle name="Percent 2 4 8" xfId="6333"/>
    <cellStyle name="Percent 2 4 8 2" xfId="6334"/>
    <cellStyle name="Percent 2 4 8 2 2" xfId="14757"/>
    <cellStyle name="Percent 2 4 8 2 3" xfId="20719"/>
    <cellStyle name="Percent 2 4 8 3" xfId="6335"/>
    <cellStyle name="Percent 2 4 8 3 2" xfId="14758"/>
    <cellStyle name="Percent 2 4 8 3 3" xfId="20720"/>
    <cellStyle name="Percent 2 4 8 4" xfId="6336"/>
    <cellStyle name="Percent 2 4 8 4 2" xfId="14759"/>
    <cellStyle name="Percent 2 4 8 4 3" xfId="20721"/>
    <cellStyle name="Percent 2 4 8 5" xfId="6337"/>
    <cellStyle name="Percent 2 4 8 5 2" xfId="14760"/>
    <cellStyle name="Percent 2 4 8 5 3" xfId="20722"/>
    <cellStyle name="Percent 2 4 8 6" xfId="14756"/>
    <cellStyle name="Percent 2 4 8 7" xfId="20718"/>
    <cellStyle name="Percent 2 4 8_LNG &amp; LPG rework" xfId="7776"/>
    <cellStyle name="Percent 2 4 9" xfId="6338"/>
    <cellStyle name="Percent 2 4 9 2" xfId="14761"/>
    <cellStyle name="Percent 2 4 9 3" xfId="20723"/>
    <cellStyle name="Percent 2 4_LNG &amp; LPG rework" xfId="7721"/>
    <cellStyle name="Percent 2 5" xfId="238"/>
    <cellStyle name="Percent 2 5 2" xfId="6339"/>
    <cellStyle name="Percent 2 5 2 2" xfId="14762"/>
    <cellStyle name="Percent 2 5 2 3" xfId="20725"/>
    <cellStyle name="Percent 2 5 3" xfId="6340"/>
    <cellStyle name="Percent 2 5 3 2" xfId="14763"/>
    <cellStyle name="Percent 2 5 3 3" xfId="20726"/>
    <cellStyle name="Percent 2 5 4" xfId="6341"/>
    <cellStyle name="Percent 2 5 4 2" xfId="14764"/>
    <cellStyle name="Percent 2 5 4 3" xfId="20727"/>
    <cellStyle name="Percent 2 5 5" xfId="6342"/>
    <cellStyle name="Percent 2 5 5 2" xfId="14765"/>
    <cellStyle name="Percent 2 5 5 3" xfId="20728"/>
    <cellStyle name="Percent 2 5 6" xfId="9101"/>
    <cellStyle name="Percent 2 5 7" xfId="20724"/>
    <cellStyle name="Percent 2 5_LNG &amp; LPG rework" xfId="7777"/>
    <cellStyle name="Percent 2 6" xfId="6343"/>
    <cellStyle name="Percent 2 6 2" xfId="6344"/>
    <cellStyle name="Percent 2 6 2 2" xfId="14767"/>
    <cellStyle name="Percent 2 6 2 3" xfId="20730"/>
    <cellStyle name="Percent 2 6 3" xfId="6345"/>
    <cellStyle name="Percent 2 6 3 2" xfId="14768"/>
    <cellStyle name="Percent 2 6 3 3" xfId="20731"/>
    <cellStyle name="Percent 2 6 4" xfId="6346"/>
    <cellStyle name="Percent 2 6 4 2" xfId="14769"/>
    <cellStyle name="Percent 2 6 4 3" xfId="20732"/>
    <cellStyle name="Percent 2 6 5" xfId="6347"/>
    <cellStyle name="Percent 2 6 5 2" xfId="14770"/>
    <cellStyle name="Percent 2 6 5 3" xfId="20733"/>
    <cellStyle name="Percent 2 6 6" xfId="14766"/>
    <cellStyle name="Percent 2 6 7" xfId="20729"/>
    <cellStyle name="Percent 2 6_LNG &amp; LPG rework" xfId="7778"/>
    <cellStyle name="Percent 2 7" xfId="6348"/>
    <cellStyle name="Percent 2 7 2" xfId="6349"/>
    <cellStyle name="Percent 2 7 2 2" xfId="14772"/>
    <cellStyle name="Percent 2 7 2 3" xfId="20735"/>
    <cellStyle name="Percent 2 7 3" xfId="6350"/>
    <cellStyle name="Percent 2 7 3 2" xfId="14773"/>
    <cellStyle name="Percent 2 7 3 3" xfId="20736"/>
    <cellStyle name="Percent 2 7 4" xfId="6351"/>
    <cellStyle name="Percent 2 7 4 2" xfId="14774"/>
    <cellStyle name="Percent 2 7 4 3" xfId="20737"/>
    <cellStyle name="Percent 2 7 5" xfId="6352"/>
    <cellStyle name="Percent 2 7 5 2" xfId="14775"/>
    <cellStyle name="Percent 2 7 5 3" xfId="20738"/>
    <cellStyle name="Percent 2 7 6" xfId="14771"/>
    <cellStyle name="Percent 2 7 7" xfId="20734"/>
    <cellStyle name="Percent 2 7_LNG &amp; LPG rework" xfId="7779"/>
    <cellStyle name="Percent 2 8" xfId="6353"/>
    <cellStyle name="Percent 2 9" xfId="6354"/>
    <cellStyle name="Percent 2 9 2" xfId="14776"/>
    <cellStyle name="Percent 2 9 3" xfId="20739"/>
    <cellStyle name="Percent 2_LNG &amp; LPG rework" xfId="7607"/>
    <cellStyle name="Percent 3" xfId="93"/>
    <cellStyle name="Percent 3 2" xfId="6355"/>
    <cellStyle name="Percent 3 3" xfId="8987"/>
    <cellStyle name="Percent 3 4" xfId="14970"/>
    <cellStyle name="Percent 3 5" xfId="7810"/>
    <cellStyle name="Percent 3 5 2" xfId="29520"/>
    <cellStyle name="Percent 3 6" xfId="26206"/>
    <cellStyle name="Percent 3_LNG &amp; LPG rework" xfId="7780"/>
    <cellStyle name="Percent 4" xfId="6356"/>
    <cellStyle name="Percent 4 2" xfId="6357"/>
    <cellStyle name="Percent 4 3" xfId="29521"/>
    <cellStyle name="Percent 4_LNG &amp; LPG rework" xfId="7781"/>
    <cellStyle name="Percent 5" xfId="6358"/>
    <cellStyle name="Percent 5 2" xfId="6359"/>
    <cellStyle name="Percent 5_LNG &amp; LPG rework" xfId="7782"/>
    <cellStyle name="Percent 6" xfId="6360"/>
    <cellStyle name="Percent 7" xfId="6478"/>
    <cellStyle name="Percent 7 2" xfId="14821"/>
    <cellStyle name="Percent 7 3" xfId="20742"/>
    <cellStyle name="Percent 8" xfId="6481"/>
    <cellStyle name="Percent 8 2" xfId="14824"/>
    <cellStyle name="Percent 8 3" xfId="20745"/>
    <cellStyle name="Percent 8 4" xfId="26208"/>
    <cellStyle name="Percent 9" xfId="6535"/>
    <cellStyle name="Percent 9 2" xfId="14852"/>
    <cellStyle name="Percent 9 3" xfId="25100"/>
    <cellStyle name="Percent_LNG &amp; LPG rework" xfId="7606"/>
    <cellStyle name="RowHeading" xfId="29522"/>
    <cellStyle name="SAS FM Column drillable header" xfId="29523"/>
    <cellStyle name="SAS FM Column drillable header Cashflow" xfId="29524"/>
    <cellStyle name="SAS FM Column drillable header_Cashflow - Actual - 2009" xfId="29525"/>
    <cellStyle name="SAS FM Column header" xfId="29526"/>
    <cellStyle name="SAS FM Column header Cashflow" xfId="29527"/>
    <cellStyle name="SAS FM Column header_Cashflow - Actual - 2009" xfId="29528"/>
    <cellStyle name="SAS FM Drill path" xfId="29529"/>
    <cellStyle name="SAS FM Invalid data cell" xfId="29530"/>
    <cellStyle name="SAS FM Read-only data cell (data entry table)" xfId="29531"/>
    <cellStyle name="SAS FM Read-only data cell (read-only table)" xfId="29532"/>
    <cellStyle name="SAS FM Read-only data cell (read-only table) Cashflow" xfId="29533"/>
    <cellStyle name="SAS FM Read-only data cell (read-only table)_Cashflow - Actual - 2009" xfId="29534"/>
    <cellStyle name="SAS FM Row drillable header" xfId="29535"/>
    <cellStyle name="SAS FM Row drillable header Cashflow" xfId="29536"/>
    <cellStyle name="SAS FM Row drillable header_Cashflow - Actual - 2009" xfId="29537"/>
    <cellStyle name="SAS FM Row header" xfId="29538"/>
    <cellStyle name="SAS FM Row header Cashflow" xfId="29539"/>
    <cellStyle name="SAS FM Row header_Cashflow - Actual - 2009" xfId="29540"/>
    <cellStyle name="SAS FM Slicers" xfId="29541"/>
    <cellStyle name="SAS FM Slicers Cashflow" xfId="29542"/>
    <cellStyle name="SAS FM Slicers_Cashflow - Actual - 2009" xfId="29543"/>
    <cellStyle name="SAS FM Writeable data cell" xfId="29544"/>
    <cellStyle name="Satisfaisant" xfId="600"/>
    <cellStyle name="Sortie" xfId="601"/>
    <cellStyle name="Style 1" xfId="29545"/>
    <cellStyle name="Style 1 2" xfId="39187"/>
    <cellStyle name="Style 26" xfId="232"/>
    <cellStyle name="Style 26 2" xfId="602"/>
    <cellStyle name="Style 26 2 2" xfId="6361"/>
    <cellStyle name="Style 26 2_LNG &amp; LPG rework" xfId="7784"/>
    <cellStyle name="Style 26_LNG &amp; LPG rework" xfId="7783"/>
    <cellStyle name="Style 34" xfId="224"/>
    <cellStyle name="Style 34 10" xfId="604"/>
    <cellStyle name="Style 34 11" xfId="605"/>
    <cellStyle name="Style 34 12" xfId="606"/>
    <cellStyle name="Style 34 13" xfId="607"/>
    <cellStyle name="Style 34 14" xfId="608"/>
    <cellStyle name="Style 34 15" xfId="609"/>
    <cellStyle name="Style 34 16" xfId="610"/>
    <cellStyle name="Style 34 17" xfId="611"/>
    <cellStyle name="Style 34 18" xfId="6362"/>
    <cellStyle name="Style 34 2" xfId="612"/>
    <cellStyle name="Style 34 3" xfId="613"/>
    <cellStyle name="Style 34 4" xfId="614"/>
    <cellStyle name="Style 34 5" xfId="615"/>
    <cellStyle name="Style 34 6" xfId="616"/>
    <cellStyle name="Style 34 7" xfId="617"/>
    <cellStyle name="Style 34 8" xfId="618"/>
    <cellStyle name="Style 34 9" xfId="619"/>
    <cellStyle name="Style 34_Gigajoule Data" xfId="603"/>
    <cellStyle name="Style 35" xfId="221"/>
    <cellStyle name="Style 35 10" xfId="621"/>
    <cellStyle name="Style 35 11" xfId="622"/>
    <cellStyle name="Style 35 12" xfId="623"/>
    <cellStyle name="Style 35 13" xfId="624"/>
    <cellStyle name="Style 35 14" xfId="625"/>
    <cellStyle name="Style 35 15" xfId="626"/>
    <cellStyle name="Style 35 16" xfId="627"/>
    <cellStyle name="Style 35 17" xfId="628"/>
    <cellStyle name="Style 35 18" xfId="6363"/>
    <cellStyle name="Style 35 2" xfId="629"/>
    <cellStyle name="Style 35 3" xfId="630"/>
    <cellStyle name="Style 35 4" xfId="631"/>
    <cellStyle name="Style 35 5" xfId="632"/>
    <cellStyle name="Style 35 6" xfId="633"/>
    <cellStyle name="Style 35 7" xfId="634"/>
    <cellStyle name="Style 35 8" xfId="635"/>
    <cellStyle name="Style 35 9" xfId="636"/>
    <cellStyle name="Style 35_Gigajoule Data" xfId="620"/>
    <cellStyle name="SubHeading" xfId="29546"/>
    <cellStyle name="SubsidTitle" xfId="29547"/>
    <cellStyle name="Texte explicatif" xfId="637"/>
    <cellStyle name="Title" xfId="2" builtinId="15" customBuiltin="1"/>
    <cellStyle name="Title 2" xfId="29425"/>
    <cellStyle name="Title 3" xfId="29548"/>
    <cellStyle name="Titre" xfId="638"/>
    <cellStyle name="Titre 1" xfId="639"/>
    <cellStyle name="Titre 2" xfId="640"/>
    <cellStyle name="Titre 3" xfId="641"/>
    <cellStyle name="Titre 4" xfId="642"/>
    <cellStyle name="Titre_LNG &amp; LPG rework" xfId="7785"/>
    <cellStyle name="Total" xfId="17" builtinId="25" customBuiltin="1"/>
    <cellStyle name="Total 2" xfId="643"/>
    <cellStyle name="Totals" xfId="29549"/>
    <cellStyle name="Totals [0]" xfId="29550"/>
    <cellStyle name="Totals [2]" xfId="29551"/>
    <cellStyle name="Vérification" xfId="644"/>
    <cellStyle name="Warning Text" xfId="15" builtinId="11" customBuiltin="1"/>
    <cellStyle name="Year" xfId="29552"/>
  </cellStyles>
  <dxfs count="10">
    <dxf>
      <font>
        <b val="0"/>
        <i/>
        <color theme="5"/>
      </font>
      <fill>
        <patternFill>
          <bgColor theme="8" tint="0.79998168889431442"/>
        </patternFill>
      </fill>
    </dxf>
    <dxf>
      <font>
        <b val="0"/>
        <i/>
        <color theme="5"/>
      </font>
      <fill>
        <patternFill>
          <bgColor theme="4" tint="0.79998168889431442"/>
        </patternFill>
      </fill>
    </dxf>
    <dxf>
      <font>
        <b val="0"/>
        <i/>
        <color theme="5"/>
      </font>
      <fill>
        <patternFill>
          <bgColor theme="5" tint="0.79998168889431442"/>
        </patternFill>
      </fill>
    </dxf>
    <dxf>
      <font>
        <b val="0"/>
        <i/>
        <color theme="5"/>
      </font>
      <fill>
        <patternFill patternType="solid">
          <bgColor rgb="FFFFFF99"/>
        </patternFill>
      </fill>
    </dxf>
    <dxf>
      <font>
        <b val="0"/>
        <i/>
        <color theme="5"/>
      </font>
      <fill>
        <patternFill>
          <bgColor theme="6" tint="0.79998168889431442"/>
        </patternFill>
      </fill>
    </dxf>
    <dxf>
      <font>
        <b val="0"/>
        <i/>
        <color theme="5"/>
      </font>
      <fill>
        <patternFill>
          <bgColor theme="6" tint="0.79998168889431442"/>
        </patternFill>
      </fill>
    </dxf>
    <dxf>
      <font>
        <b val="0"/>
        <i/>
        <color theme="5"/>
      </font>
      <fill>
        <patternFill>
          <bgColor theme="6" tint="0.79998168889431442"/>
        </patternFill>
      </fill>
    </dxf>
    <dxf>
      <font>
        <color rgb="FF9C0006"/>
      </font>
      <fill>
        <patternFill>
          <bgColor rgb="FFFFC7CE"/>
        </patternFill>
      </fill>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9"/>
    </tableStyle>
    <tableStyle name="Table Style 3" pivot="0" count="1">
      <tableStyleElement type="secondRowStripe" dxfId="8"/>
    </tableStyle>
  </tableStyles>
  <colors>
    <mruColors>
      <color rgb="FFE06A0C"/>
      <color rgb="FFE49300"/>
      <color rgb="FFF6F4AA"/>
      <color rgb="FFFF7A00"/>
      <color rgb="FFFFB871"/>
      <color rgb="FFFFE5B9"/>
      <color rgb="FFFF8734"/>
      <color rgb="FFE18734"/>
      <color rgb="FFE48118"/>
      <color rgb="FFEB98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9.xml.rels><?xml version="1.0" encoding="UTF-8" standalone="yes"?>
<Relationships xmlns="http://schemas.openxmlformats.org/package/2006/relationships"><Relationship Id="rId1" Type="http://schemas.openxmlformats.org/officeDocument/2006/relationships/image" Target="../media/image5.png"/></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33.xml.rels><?xml version="1.0" encoding="UTF-8" standalone="yes"?>
<Relationships xmlns="http://schemas.openxmlformats.org/package/2006/relationships"><Relationship Id="rId1" Type="http://schemas.openxmlformats.org/officeDocument/2006/relationships/image" Target="../media/image6.png"/></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1.xml.rels><?xml version="1.0" encoding="UTF-8" standalone="yes"?>
<Relationships xmlns="http://schemas.openxmlformats.org/package/2006/relationships"><Relationship Id="rId1" Type="http://schemas.openxmlformats.org/officeDocument/2006/relationships/image" Target="../media/image7.png"/></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3.xml.rels><?xml version="1.0" encoding="UTF-8" standalone="yes"?>
<Relationships xmlns="http://schemas.openxmlformats.org/package/2006/relationships"><Relationship Id="rId1" Type="http://schemas.openxmlformats.org/officeDocument/2006/relationships/image" Target="../media/image8.png"/></Relationships>
</file>

<file path=xl/charts/_rels/chart56.xml.rels><?xml version="1.0" encoding="UTF-8" standalone="yes"?>
<Relationships xmlns="http://schemas.openxmlformats.org/package/2006/relationships"><Relationship Id="rId1" Type="http://schemas.openxmlformats.org/officeDocument/2006/relationships/image" Target="../media/image9.png"/></Relationships>
</file>

<file path=xl/charts/_rels/chart5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1" Type="http://schemas.openxmlformats.org/officeDocument/2006/relationships/image" Target="../media/image4.png"/></Relationships>
</file>

<file path=xl/charts/_rels/chart64.xml.rels><?xml version="1.0" encoding="UTF-8" standalone="yes"?>
<Relationships xmlns="http://schemas.openxmlformats.org/package/2006/relationships"><Relationship Id="rId1" Type="http://schemas.openxmlformats.org/officeDocument/2006/relationships/image" Target="../media/image10.png"/></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9.xml.rels><?xml version="1.0" encoding="UTF-8" standalone="yes"?>
<Relationships xmlns="http://schemas.openxmlformats.org/package/2006/relationships"><Relationship Id="rId1" Type="http://schemas.openxmlformats.org/officeDocument/2006/relationships/image" Target="../media/image1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xml"/><Relationship Id="rId1" Type="http://schemas.microsoft.com/office/2011/relationships/chartStyle" Target="style7.xml"/></Relationships>
</file>

<file path=xl/charts/_rels/chart93.xml.rels><?xml version="1.0" encoding="UTF-8" standalone="yes"?>
<Relationships xmlns="http://schemas.openxmlformats.org/package/2006/relationships"><Relationship Id="rId1" Type="http://schemas.openxmlformats.org/officeDocument/2006/relationships/image" Target="../media/image6.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'Q&amp;V Summary 2-years'!$AM$2</c:f>
          <c:strCache>
            <c:ptCount val="1"/>
            <c:pt idx="0">
              <c:v>2019-20 Mineral and Petroleum Summary</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ofPieChart>
        <c:ofPieType val="pie"/>
        <c:varyColors val="1"/>
        <c:ser>
          <c:idx val="0"/>
          <c:order val="0"/>
          <c:tx>
            <c:strRef>
              <c:f>'Q&amp;V Summary 2-years'!$O$12:$P$12</c:f>
              <c:strCache>
                <c:ptCount val="1"/>
                <c:pt idx="0">
                  <c:v>2019-20</c:v>
                </c:pt>
              </c:strCache>
            </c:strRef>
          </c:tx>
          <c:dPt>
            <c:idx val="0"/>
            <c:bubble3D val="0"/>
            <c:spPr>
              <a:solidFill>
                <a:schemeClr val="accent5">
                  <a:shade val="41000"/>
                </a:schemeClr>
              </a:solidFill>
              <a:ln w="19050">
                <a:solidFill>
                  <a:schemeClr val="lt1"/>
                </a:solidFill>
              </a:ln>
              <a:effectLst/>
            </c:spPr>
            <c:extLst>
              <c:ext xmlns:c16="http://schemas.microsoft.com/office/drawing/2014/chart" uri="{C3380CC4-5D6E-409C-BE32-E72D297353CC}">
                <c16:uniqueId val="{00000001-C26E-496B-88BD-CBCA094AC877}"/>
              </c:ext>
            </c:extLst>
          </c:dPt>
          <c:dPt>
            <c:idx val="1"/>
            <c:bubble3D val="0"/>
            <c:spPr>
              <a:solidFill>
                <a:schemeClr val="accent5">
                  <a:shade val="53000"/>
                </a:schemeClr>
              </a:solidFill>
              <a:ln w="19050">
                <a:solidFill>
                  <a:schemeClr val="lt1"/>
                </a:solidFill>
              </a:ln>
              <a:effectLst/>
            </c:spPr>
            <c:extLst>
              <c:ext xmlns:c16="http://schemas.microsoft.com/office/drawing/2014/chart" uri="{C3380CC4-5D6E-409C-BE32-E72D297353CC}">
                <c16:uniqueId val="{00000003-C26E-496B-88BD-CBCA094AC877}"/>
              </c:ext>
            </c:extLst>
          </c:dPt>
          <c:dPt>
            <c:idx val="2"/>
            <c:bubble3D val="0"/>
            <c:spPr>
              <a:solidFill>
                <a:schemeClr val="accent5">
                  <a:shade val="65000"/>
                </a:schemeClr>
              </a:solidFill>
              <a:ln w="19050">
                <a:solidFill>
                  <a:schemeClr val="lt1"/>
                </a:solidFill>
              </a:ln>
              <a:effectLst/>
            </c:spPr>
            <c:extLst>
              <c:ext xmlns:c16="http://schemas.microsoft.com/office/drawing/2014/chart" uri="{C3380CC4-5D6E-409C-BE32-E72D297353CC}">
                <c16:uniqueId val="{00000005-C26E-496B-88BD-CBCA094AC877}"/>
              </c:ext>
            </c:extLst>
          </c:dPt>
          <c:dPt>
            <c:idx val="3"/>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7-C26E-496B-88BD-CBCA094AC877}"/>
              </c:ext>
            </c:extLst>
          </c:dPt>
          <c:dPt>
            <c:idx val="4"/>
            <c:bubble3D val="0"/>
            <c:spPr>
              <a:solidFill>
                <a:schemeClr val="accent5">
                  <a:shade val="88000"/>
                </a:schemeClr>
              </a:solidFill>
              <a:ln w="19050">
                <a:solidFill>
                  <a:schemeClr val="lt1"/>
                </a:solidFill>
              </a:ln>
              <a:effectLst/>
            </c:spPr>
            <c:extLst>
              <c:ext xmlns:c16="http://schemas.microsoft.com/office/drawing/2014/chart" uri="{C3380CC4-5D6E-409C-BE32-E72D297353CC}">
                <c16:uniqueId val="{00000009-C26E-496B-88BD-CBCA094AC877}"/>
              </c:ext>
            </c:extLst>
          </c:dPt>
          <c:dPt>
            <c:idx val="5"/>
            <c:bubble3D val="0"/>
            <c:spPr>
              <a:solidFill>
                <a:schemeClr val="accent5"/>
              </a:solidFill>
              <a:ln w="19050">
                <a:solidFill>
                  <a:schemeClr val="lt1"/>
                </a:solidFill>
              </a:ln>
              <a:effectLst/>
            </c:spPr>
            <c:extLst>
              <c:ext xmlns:c16="http://schemas.microsoft.com/office/drawing/2014/chart" uri="{C3380CC4-5D6E-409C-BE32-E72D297353CC}">
                <c16:uniqueId val="{0000000B-C26E-496B-88BD-CBCA094AC877}"/>
              </c:ext>
            </c:extLst>
          </c:dPt>
          <c:dPt>
            <c:idx val="6"/>
            <c:bubble3D val="0"/>
            <c:spPr>
              <a:solidFill>
                <a:schemeClr val="accent5">
                  <a:tint val="89000"/>
                </a:schemeClr>
              </a:solidFill>
              <a:ln w="19050">
                <a:solidFill>
                  <a:schemeClr val="lt1"/>
                </a:solidFill>
              </a:ln>
              <a:effectLst/>
            </c:spPr>
            <c:extLst>
              <c:ext xmlns:c16="http://schemas.microsoft.com/office/drawing/2014/chart" uri="{C3380CC4-5D6E-409C-BE32-E72D297353CC}">
                <c16:uniqueId val="{0000000D-C26E-496B-88BD-CBCA094AC877}"/>
              </c:ext>
            </c:extLst>
          </c:dPt>
          <c:dPt>
            <c:idx val="7"/>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F-C26E-496B-88BD-CBCA094AC877}"/>
              </c:ext>
            </c:extLst>
          </c:dPt>
          <c:dPt>
            <c:idx val="8"/>
            <c:bubble3D val="0"/>
            <c:spPr>
              <a:solidFill>
                <a:schemeClr val="accent5">
                  <a:tint val="65000"/>
                </a:schemeClr>
              </a:solidFill>
              <a:ln w="19050">
                <a:solidFill>
                  <a:schemeClr val="lt1"/>
                </a:solidFill>
              </a:ln>
              <a:effectLst/>
            </c:spPr>
            <c:extLst>
              <c:ext xmlns:c16="http://schemas.microsoft.com/office/drawing/2014/chart" uri="{C3380CC4-5D6E-409C-BE32-E72D297353CC}">
                <c16:uniqueId val="{00000011-C26E-496B-88BD-CBCA094AC877}"/>
              </c:ext>
            </c:extLst>
          </c:dPt>
          <c:dPt>
            <c:idx val="9"/>
            <c:bubble3D val="0"/>
            <c:spPr>
              <a:solidFill>
                <a:schemeClr val="accent5">
                  <a:tint val="54000"/>
                </a:schemeClr>
              </a:solidFill>
              <a:ln w="19050">
                <a:solidFill>
                  <a:schemeClr val="lt1"/>
                </a:solidFill>
              </a:ln>
              <a:effectLst/>
            </c:spPr>
            <c:extLst>
              <c:ext xmlns:c16="http://schemas.microsoft.com/office/drawing/2014/chart" uri="{C3380CC4-5D6E-409C-BE32-E72D297353CC}">
                <c16:uniqueId val="{00000013-C26E-496B-88BD-CBCA094AC877}"/>
              </c:ext>
            </c:extLst>
          </c:dPt>
          <c:dPt>
            <c:idx val="10"/>
            <c:bubble3D val="0"/>
            <c:spPr>
              <a:solidFill>
                <a:schemeClr val="accent5">
                  <a:tint val="42000"/>
                </a:schemeClr>
              </a:solidFill>
              <a:ln w="19050">
                <a:solidFill>
                  <a:schemeClr val="lt1"/>
                </a:solidFill>
              </a:ln>
              <a:effectLst/>
            </c:spPr>
            <c:extLst>
              <c:ext xmlns:c16="http://schemas.microsoft.com/office/drawing/2014/chart" uri="{C3380CC4-5D6E-409C-BE32-E72D297353CC}">
                <c16:uniqueId val="{00000015-C26E-496B-88BD-CBCA094AC877}"/>
              </c:ext>
            </c:extLst>
          </c:dPt>
          <c:dPt>
            <c:idx val="11"/>
            <c:bubble3D val="0"/>
            <c:spPr>
              <a:solidFill>
                <a:schemeClr val="accent5">
                  <a:tint val="30000"/>
                </a:schemeClr>
              </a:solidFill>
              <a:ln w="19050">
                <a:solidFill>
                  <a:schemeClr val="lt1"/>
                </a:solidFill>
              </a:ln>
              <a:effectLst/>
            </c:spPr>
            <c:extLst>
              <c:ext xmlns:c16="http://schemas.microsoft.com/office/drawing/2014/chart" uri="{C3380CC4-5D6E-409C-BE32-E72D297353CC}">
                <c16:uniqueId val="{00000017-C26E-496B-88BD-CBCA094AC877}"/>
              </c:ext>
            </c:extLst>
          </c:dPt>
          <c:dLbls>
            <c:dLbl>
              <c:idx val="0"/>
              <c:layout>
                <c:manualLayout>
                  <c:x val="5.5186294660779796E-2"/>
                  <c:y val="-0.1566251863536466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26E-496B-88BD-CBCA094AC877}"/>
                </c:ext>
              </c:extLst>
            </c:dLbl>
            <c:dLbl>
              <c:idx val="1"/>
              <c:layout>
                <c:manualLayout>
                  <c:x val="4.0614548730608387E-2"/>
                  <c:y val="0.1153944599419228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26E-496B-88BD-CBCA094AC877}"/>
                </c:ext>
              </c:extLst>
            </c:dLbl>
            <c:dLbl>
              <c:idx val="3"/>
              <c:layout>
                <c:manualLayout>
                  <c:x val="2.5306324890376833E-3"/>
                  <c:y val="-2.65506754799986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26E-496B-88BD-CBCA094AC877}"/>
                </c:ext>
              </c:extLst>
            </c:dLbl>
            <c:dLbl>
              <c:idx val="4"/>
              <c:layout>
                <c:manualLayout>
                  <c:x val="-3.0732515261276547E-4"/>
                  <c:y val="-5.409307063594119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26E-496B-88BD-CBCA094AC877}"/>
                </c:ext>
              </c:extLst>
            </c:dLbl>
            <c:dLbl>
              <c:idx val="5"/>
              <c:layout>
                <c:manualLayout>
                  <c:x val="-5.0965064153661088E-2"/>
                  <c:y val="-0.121219570521151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26E-496B-88BD-CBCA094AC877}"/>
                </c:ext>
              </c:extLst>
            </c:dLbl>
            <c:dLbl>
              <c:idx val="10"/>
              <c:layout>
                <c:manualLayout>
                  <c:x val="4.0138077066148485E-3"/>
                  <c:y val="-4.311399978246395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C26E-496B-88BD-CBCA094AC8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'Q&amp;V Summary 2-years'!$N$14:$N$24</c:f>
              <c:strCache>
                <c:ptCount val="11"/>
                <c:pt idx="0">
                  <c:v>Iron ore</c:v>
                </c:pt>
                <c:pt idx="1">
                  <c:v>Gold</c:v>
                </c:pt>
                <c:pt idx="2">
                  <c:v>LNG</c:v>
                </c:pt>
                <c:pt idx="3">
                  <c:v>Crude Oil and Condensate</c:v>
                </c:pt>
                <c:pt idx="4">
                  <c:v>Alumina and Bauxite</c:v>
                </c:pt>
                <c:pt idx="5">
                  <c:v>Nickel</c:v>
                </c:pt>
                <c:pt idx="6">
                  <c:v>Base Metals</c:v>
                </c:pt>
                <c:pt idx="7">
                  <c:v>Natural Gas and LPG</c:v>
                </c:pt>
                <c:pt idx="8">
                  <c:v>Lithium</c:v>
                </c:pt>
                <c:pt idx="9">
                  <c:v>Mineral Sands</c:v>
                </c:pt>
                <c:pt idx="10">
                  <c:v>Other Minerals</c:v>
                </c:pt>
              </c:strCache>
            </c:strRef>
          </c:cat>
          <c:val>
            <c:numRef>
              <c:f>'Q&amp;V Summary 2-years'!$O$14:$O$24</c:f>
              <c:numCache>
                <c:formatCode>#,##0.00</c:formatCode>
                <c:ptCount val="11"/>
                <c:pt idx="0">
                  <c:v>104616.533849</c:v>
                </c:pt>
                <c:pt idx="1">
                  <c:v>15872.150556000001</c:v>
                </c:pt>
                <c:pt idx="2">
                  <c:v>27047.964512300576</c:v>
                </c:pt>
                <c:pt idx="3">
                  <c:v>8082.513349870962</c:v>
                </c:pt>
                <c:pt idx="4">
                  <c:v>6416.3996370000004</c:v>
                </c:pt>
                <c:pt idx="5">
                  <c:v>3167.49278</c:v>
                </c:pt>
                <c:pt idx="6">
                  <c:v>1617.554603</c:v>
                </c:pt>
                <c:pt idx="7">
                  <c:v>1990.3084019534283</c:v>
                </c:pt>
                <c:pt idx="8">
                  <c:v>998.656158</c:v>
                </c:pt>
                <c:pt idx="9">
                  <c:v>775.29770798595712</c:v>
                </c:pt>
                <c:pt idx="10">
                  <c:v>2299.0783271923137</c:v>
                </c:pt>
              </c:numCache>
            </c:numRef>
          </c:val>
          <c:extLst>
            <c:ext xmlns:c16="http://schemas.microsoft.com/office/drawing/2014/chart" uri="{C3380CC4-5D6E-409C-BE32-E72D297353CC}">
              <c16:uniqueId val="{00000016-A57E-4A06-ACAC-7693F0E36640}"/>
            </c:ext>
          </c:extLst>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Western Australia vs Rest of Australia</a:t>
            </a:r>
          </a:p>
          <a:p>
            <a:pPr>
              <a:defRPr/>
            </a:pPr>
            <a:r>
              <a:rPr lang="en-AU" sz="1100"/>
              <a:t>Past 10 Years</a:t>
            </a:r>
          </a:p>
        </c:rich>
      </c:tx>
      <c:overlay val="0"/>
    </c:title>
    <c:autoTitleDeleted val="0"/>
    <c:plotArea>
      <c:layout/>
      <c:lineChart>
        <c:grouping val="standard"/>
        <c:varyColors val="0"/>
        <c:ser>
          <c:idx val="0"/>
          <c:order val="0"/>
          <c:tx>
            <c:strRef>
              <c:f>'Alumina - WA vs Australia'!$T$31</c:f>
              <c:strCache>
                <c:ptCount val="1"/>
                <c:pt idx="0">
                  <c:v>Western Australia (Mt)</c:v>
                </c:pt>
              </c:strCache>
            </c:strRef>
          </c:tx>
          <c:cat>
            <c:numRef>
              <c:f>'Alumina - WA vs Australia'!$S$32:$S$41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'Alumina - WA vs Australia'!$T$32:$T$41</c:f>
              <c:numCache>
                <c:formatCode>0.00</c:formatCode>
                <c:ptCount val="10"/>
                <c:pt idx="0">
                  <c:v>12.291484000000001</c:v>
                </c:pt>
                <c:pt idx="1">
                  <c:v>12.81154939</c:v>
                </c:pt>
                <c:pt idx="2">
                  <c:v>13.625703529999999</c:v>
                </c:pt>
                <c:pt idx="3">
                  <c:v>13.876846260000001</c:v>
                </c:pt>
                <c:pt idx="4">
                  <c:v>13.778493586</c:v>
                </c:pt>
                <c:pt idx="5">
                  <c:v>13.82977389</c:v>
                </c:pt>
                <c:pt idx="6">
                  <c:v>13.84700406</c:v>
                </c:pt>
                <c:pt idx="7">
                  <c:v>13.498431120000001</c:v>
                </c:pt>
                <c:pt idx="8">
                  <c:v>14.014470482999998</c:v>
                </c:pt>
                <c:pt idx="9">
                  <c:v>14.242609690000002</c:v>
                </c:pt>
              </c:numCache>
            </c:numRef>
          </c:val>
          <c:smooth val="0"/>
          <c:extLst>
            <c:ext xmlns:c16="http://schemas.microsoft.com/office/drawing/2014/chart" uri="{C3380CC4-5D6E-409C-BE32-E72D297353CC}">
              <c16:uniqueId val="{00000000-979B-480A-B8DF-593FE033C93E}"/>
            </c:ext>
          </c:extLst>
        </c:ser>
        <c:ser>
          <c:idx val="1"/>
          <c:order val="1"/>
          <c:tx>
            <c:strRef>
              <c:f>'Alumina - WA vs Australia'!$U$31</c:f>
              <c:strCache>
                <c:ptCount val="1"/>
                <c:pt idx="0">
                  <c:v>Rest of Australia (Mt)</c:v>
                </c:pt>
              </c:strCache>
            </c:strRef>
          </c:tx>
          <c:cat>
            <c:numRef>
              <c:f>'Alumina - WA vs Australia'!$S$32:$S$41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'Alumina - WA vs Australia'!$U$32:$U$41</c:f>
              <c:numCache>
                <c:formatCode>0.00</c:formatCode>
                <c:ptCount val="10"/>
                <c:pt idx="0">
                  <c:v>7.1075160000000004</c:v>
                </c:pt>
                <c:pt idx="1">
                  <c:v>8.5454506099999996</c:v>
                </c:pt>
                <c:pt idx="2">
                  <c:v>7.9025564700000004</c:v>
                </c:pt>
                <c:pt idx="3">
                  <c:v>6.5986737399999988</c:v>
                </c:pt>
                <c:pt idx="4">
                  <c:v>6.3186864140000019</c:v>
                </c:pt>
                <c:pt idx="5">
                  <c:v>6.85105611</c:v>
                </c:pt>
                <c:pt idx="6">
                  <c:v>6.638765939999999</c:v>
                </c:pt>
                <c:pt idx="7">
                  <c:v>6.563368879999997</c:v>
                </c:pt>
                <c:pt idx="8">
                  <c:v>6.2247295170000019</c:v>
                </c:pt>
                <c:pt idx="9">
                  <c:v>6.5936903099999959</c:v>
                </c:pt>
              </c:numCache>
            </c:numRef>
          </c:val>
          <c:smooth val="0"/>
          <c:extLst>
            <c:ext xmlns:c16="http://schemas.microsoft.com/office/drawing/2014/chart" uri="{C3380CC4-5D6E-409C-BE32-E72D297353CC}">
              <c16:uniqueId val="{00000001-979B-480A-B8DF-593FE033C93E}"/>
            </c:ext>
          </c:extLst>
        </c:ser>
        <c:dLbls>
          <c:showLegendKey val="0"/>
          <c:showVal val="0"/>
          <c:showCatName val="0"/>
          <c:showSerName val="0"/>
          <c:showPercent val="0"/>
          <c:showBubbleSize val="0"/>
        </c:dLbls>
        <c:marker val="1"/>
        <c:smooth val="0"/>
        <c:axId val="119016448"/>
        <c:axId val="119014912"/>
      </c:lineChart>
      <c:valAx>
        <c:axId val="119014912"/>
        <c:scaling>
          <c:orientation val="minMax"/>
        </c:scaling>
        <c:delete val="0"/>
        <c:axPos val="l"/>
        <c:majorGridlines/>
        <c:title>
          <c:tx>
            <c:rich>
              <a:bodyPr/>
              <a:lstStyle/>
              <a:p>
                <a:pPr>
                  <a:defRPr/>
                </a:pPr>
                <a:r>
                  <a:rPr lang="en-AU"/>
                  <a:t>Million tonnes</a:t>
                </a:r>
              </a:p>
            </c:rich>
          </c:tx>
          <c:overlay val="0"/>
        </c:title>
        <c:numFmt formatCode="0" sourceLinked="0"/>
        <c:majorTickMark val="out"/>
        <c:minorTickMark val="none"/>
        <c:tickLblPos val="nextTo"/>
        <c:crossAx val="119016448"/>
        <c:crosses val="autoZero"/>
        <c:crossBetween val="between"/>
      </c:valAx>
      <c:catAx>
        <c:axId val="119016448"/>
        <c:scaling>
          <c:orientation val="minMax"/>
        </c:scaling>
        <c:delete val="0"/>
        <c:axPos val="b"/>
        <c:title>
          <c:tx>
            <c:rich>
              <a:bodyPr/>
              <a:lstStyle/>
              <a:p>
                <a:pPr>
                  <a:defRPr/>
                </a:pPr>
                <a:r>
                  <a:rPr lang="en-AU" sz="900" b="1" i="0" baseline="0">
                    <a:effectLst/>
                  </a:rPr>
                  <a:t>Source:  DMIRS and OoCE</a:t>
                </a:r>
                <a:endParaRPr lang="en-AU" sz="900">
                  <a:effectLst/>
                </a:endParaRPr>
              </a:p>
            </c:rich>
          </c:tx>
          <c:layout>
            <c:manualLayout>
              <c:xMode val="edge"/>
              <c:yMode val="edge"/>
              <c:x val="5.6935972291324438E-3"/>
              <c:y val="0.95249078169778223"/>
            </c:manualLayout>
          </c:layout>
          <c:overlay val="0"/>
        </c:title>
        <c:numFmt formatCode="General" sourceLinked="1"/>
        <c:majorTickMark val="out"/>
        <c:minorTickMark val="none"/>
        <c:tickLblPos val="nextTo"/>
        <c:txPr>
          <a:bodyPr rot="-2700000"/>
          <a:lstStyle/>
          <a:p>
            <a:pPr>
              <a:defRPr/>
            </a:pPr>
            <a:endParaRPr lang="en-US"/>
          </a:p>
        </c:txPr>
        <c:crossAx val="1190149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Alumina 2020</a:t>
            </a:r>
          </a:p>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1" i="0" baseline="0">
                <a:effectLst/>
              </a:rPr>
              <a:t>Western Australia vs Rest of Australia</a:t>
            </a:r>
            <a:endParaRPr lang="en-AU" sz="1100">
              <a:effectLst/>
            </a:endParaRPr>
          </a:p>
        </c:rich>
      </c:tx>
      <c:layout>
        <c:manualLayout>
          <c:xMode val="edge"/>
          <c:yMode val="edge"/>
          <c:x val="0.22798305117689366"/>
          <c:y val="2.3176552774288116E-2"/>
        </c:manualLayout>
      </c:layout>
      <c:overlay val="0"/>
    </c:title>
    <c:autoTitleDeleted val="0"/>
    <c:plotArea>
      <c:layout/>
      <c:pieChart>
        <c:varyColors val="1"/>
        <c:ser>
          <c:idx val="0"/>
          <c:order val="0"/>
          <c:tx>
            <c:strRef>
              <c:f>'Alumina - WA vs Australia'!$S$29:$U$29</c:f>
              <c:strCache>
                <c:ptCount val="3"/>
                <c:pt idx="0">
                  <c:v>Australia Alumina Production</c:v>
                </c:pt>
              </c:strCache>
            </c:strRef>
          </c:tx>
          <c:dLbls>
            <c:dLbl>
              <c:idx val="0"/>
              <c:layout>
                <c:manualLayout>
                  <c:x val="3.1928634055743123E-2"/>
                  <c:y val="-0.26421270162688448"/>
                </c:manualLayout>
              </c:layout>
              <c:tx>
                <c:rich>
                  <a:bodyPr/>
                  <a:lstStyle/>
                  <a:p>
                    <a:fld id="{D52D9D30-135D-4457-AB44-F9E12D9F462F}" type="CATEGORYNAME">
                      <a:rPr lang="en-US"/>
                      <a:pPr/>
                      <a:t>[CATEGORY NAME]</a:t>
                    </a:fld>
                    <a:r>
                      <a:rPr lang="en-US" baseline="0"/>
                      <a:t>, </a:t>
                    </a:r>
                    <a:fld id="{73874F54-BEB9-4CF0-B58D-6044626BB1A5}" type="VALUE">
                      <a:rPr lang="en-US" baseline="0"/>
                      <a:pPr/>
                      <a:t>[VALUE]</a:t>
                    </a:fld>
                    <a:r>
                      <a:rPr lang="en-US" baseline="0"/>
                      <a:t>,</a:t>
                    </a:r>
                  </a:p>
                  <a:p>
                    <a:r>
                      <a:rPr lang="en-US" baseline="0"/>
                      <a:t> </a:t>
                    </a:r>
                    <a:fld id="{5060DDB3-B4D6-4B51-8813-5E6B8188490A}"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014-4192-8276-E3D46FDAC20C}"/>
                </c:ext>
              </c:extLst>
            </c:dLbl>
            <c:dLbl>
              <c:idx val="1"/>
              <c:layout>
                <c:manualLayout>
                  <c:x val="0"/>
                  <c:y val="7.4164968877721962E-2"/>
                </c:manualLayout>
              </c:layout>
              <c:tx>
                <c:rich>
                  <a:bodyPr/>
                  <a:lstStyle/>
                  <a:p>
                    <a:fld id="{E67FFB37-FBB3-459A-8D63-8430D705870A}" type="CATEGORYNAME">
                      <a:rPr lang="en-US"/>
                      <a:pPr/>
                      <a:t>[CATEGORY NAME]</a:t>
                    </a:fld>
                    <a:r>
                      <a:rPr lang="en-US" baseline="0"/>
                      <a:t>, </a:t>
                    </a:r>
                    <a:fld id="{FEFA9781-09B4-4BCB-98E4-A854405DA940}" type="VALUE">
                      <a:rPr lang="en-US" baseline="0"/>
                      <a:pPr/>
                      <a:t>[VALUE]</a:t>
                    </a:fld>
                    <a:r>
                      <a:rPr lang="en-US" baseline="0"/>
                      <a:t>, </a:t>
                    </a:r>
                  </a:p>
                  <a:p>
                    <a:fld id="{EDC7EA35-204F-42A8-A4FC-46C98EF6451D}" type="PERCENTAGE">
                      <a:rPr lang="en-US" baseline="0"/>
                      <a:pPr/>
                      <a:t>[PERCENTAGE]</a:t>
                    </a:fld>
                    <a:endParaRPr lang="en-AU"/>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82A3-40E0-B3FC-B8524BE78163}"/>
                </c:ext>
              </c:extLst>
            </c:dLbl>
            <c:spPr>
              <a:noFill/>
              <a:ln>
                <a:noFill/>
              </a:ln>
              <a:effectLst/>
            </c:spPr>
            <c:dLblPos val="outEnd"/>
            <c:showLegendKey val="0"/>
            <c:showVal val="1"/>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'Alumina - WA vs Australia'!$T$31:$U$31</c:f>
              <c:strCache>
                <c:ptCount val="2"/>
                <c:pt idx="0">
                  <c:v>Western Australia (Mt)</c:v>
                </c:pt>
                <c:pt idx="1">
                  <c:v>Rest of Australia (Mt)</c:v>
                </c:pt>
              </c:strCache>
            </c:strRef>
          </c:cat>
          <c:val>
            <c:numRef>
              <c:f>'Alumina - WA vs Australia'!$T$41:$U$41</c:f>
              <c:numCache>
                <c:formatCode>0.00</c:formatCode>
                <c:ptCount val="2"/>
                <c:pt idx="0">
                  <c:v>14.242609690000002</c:v>
                </c:pt>
                <c:pt idx="1">
                  <c:v>6.5936903099999959</c:v>
                </c:pt>
              </c:numCache>
            </c:numRef>
          </c:val>
          <c:extLst>
            <c:ext xmlns:c16="http://schemas.microsoft.com/office/drawing/2014/chart" uri="{C3380CC4-5D6E-409C-BE32-E72D297353CC}">
              <c16:uniqueId val="{00000000-CFEB-45B2-8FC5-2F9329A90093}"/>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 Q&amp;V'!$L$10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'Base Metals - Q&amp;V'!$L$11:$L$20</c:f>
              <c:numCache>
                <c:formatCode>#,##0.00</c:formatCode>
                <c:ptCount val="10"/>
                <c:pt idx="0">
                  <c:v>43.993460999999996</c:v>
                </c:pt>
                <c:pt idx="1">
                  <c:v>39.062270999999996</c:v>
                </c:pt>
                <c:pt idx="2">
                  <c:v>44.801301000000002</c:v>
                </c:pt>
                <c:pt idx="3">
                  <c:v>44.257337999999997</c:v>
                </c:pt>
                <c:pt idx="4">
                  <c:v>38.036341</c:v>
                </c:pt>
                <c:pt idx="5">
                  <c:v>44.288210000000007</c:v>
                </c:pt>
                <c:pt idx="6">
                  <c:v>31.628375999999999</c:v>
                </c:pt>
                <c:pt idx="7">
                  <c:v>34.198582000000002</c:v>
                </c:pt>
                <c:pt idx="8">
                  <c:v>37.496062999999999</c:v>
                </c:pt>
                <c:pt idx="9">
                  <c:v>42.529713000000001</c:v>
                </c:pt>
              </c:numCache>
            </c:numRef>
          </c:val>
          <c:extLst>
            <c:ext xmlns:c16="http://schemas.microsoft.com/office/drawing/2014/chart" uri="{C3380CC4-5D6E-409C-BE32-E72D297353CC}">
              <c16:uniqueId val="{00000000-4463-489A-AFB2-3305A6557AB5}"/>
            </c:ext>
          </c:extLst>
        </c:ser>
        <c:dLbls>
          <c:showLegendKey val="0"/>
          <c:showVal val="0"/>
          <c:showCatName val="0"/>
          <c:showSerName val="0"/>
          <c:showPercent val="0"/>
          <c:showBubbleSize val="0"/>
        </c:dLbls>
        <c:gapWidth val="40"/>
        <c:axId val="117859072"/>
        <c:axId val="117848704"/>
      </c:barChart>
      <c:lineChart>
        <c:grouping val="standard"/>
        <c:varyColors val="0"/>
        <c:ser>
          <c:idx val="1"/>
          <c:order val="1"/>
          <c:tx>
            <c:strRef>
              <c:f>'Base Metals - Q&amp;V'!$M$10</c:f>
              <c:strCache>
                <c:ptCount val="1"/>
                <c:pt idx="0">
                  <c:v>Value ($ Million)</c:v>
                </c:pt>
              </c:strCache>
            </c:strRef>
          </c:tx>
          <c:spPr>
            <a:ln w="50800">
              <a:solidFill>
                <a:srgbClr val="F6B4E8"/>
              </a:solidFill>
            </a:ln>
          </c:spPr>
          <c:marker>
            <c:symbol val="none"/>
          </c:marker>
          <c:cat>
            <c:numRef>
              <c:f>'Base Metals - Q&amp;V'!$K$11:$K$20</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'Base Metals - Q&amp;V'!$M$11:$M$20</c:f>
              <c:numCache>
                <c:formatCode>#,##0.00</c:formatCode>
                <c:ptCount val="10"/>
                <c:pt idx="0">
                  <c:v>365.41811200000001</c:v>
                </c:pt>
                <c:pt idx="1">
                  <c:v>319.20206000000002</c:v>
                </c:pt>
                <c:pt idx="2">
                  <c:v>361.19518799999997</c:v>
                </c:pt>
                <c:pt idx="3">
                  <c:v>369.23292700000002</c:v>
                </c:pt>
                <c:pt idx="4">
                  <c:v>286.74106699999999</c:v>
                </c:pt>
                <c:pt idx="5">
                  <c:v>369.59310399999998</c:v>
                </c:pt>
                <c:pt idx="6">
                  <c:v>289.57364000000001</c:v>
                </c:pt>
                <c:pt idx="7">
                  <c:v>365.24592200000001</c:v>
                </c:pt>
                <c:pt idx="8">
                  <c:v>434.23915599999998</c:v>
                </c:pt>
                <c:pt idx="9">
                  <c:v>396.08542199999999</c:v>
                </c:pt>
              </c:numCache>
            </c:numRef>
          </c:val>
          <c:smooth val="0"/>
          <c:extLst>
            <c:ext xmlns:c16="http://schemas.microsoft.com/office/drawing/2014/chart" uri="{C3380CC4-5D6E-409C-BE32-E72D297353CC}">
              <c16:uniqueId val="{00000001-4463-489A-AFB2-3305A6557AB5}"/>
            </c:ext>
          </c:extLst>
        </c:ser>
        <c:dLbls>
          <c:showLegendKey val="0"/>
          <c:showVal val="0"/>
          <c:showCatName val="0"/>
          <c:showSerName val="0"/>
          <c:showPercent val="0"/>
          <c:showBubbleSize val="0"/>
        </c:dLbls>
        <c:marker val="1"/>
        <c:smooth val="0"/>
        <c:axId val="117963392"/>
        <c:axId val="117846784"/>
      </c:lineChart>
      <c:catAx>
        <c:axId val="117963392"/>
        <c:scaling>
          <c:orientation val="minMax"/>
        </c:scaling>
        <c:delete val="0"/>
        <c:axPos val="b"/>
        <c:title>
          <c:tx>
            <c:rich>
              <a:bodyPr/>
              <a:lstStyle/>
              <a:p>
                <a:pPr>
                  <a:defRPr sz="900"/>
                </a:pPr>
                <a:r>
                  <a:rPr lang="en-AU" sz="900"/>
                  <a:t>Source: </a:t>
                </a:r>
                <a:r>
                  <a:rPr lang="en-AU" sz="900" b="1" i="0" u="none" strike="noStrike" baseline="0">
                    <a:effectLst/>
                  </a:rPr>
                  <a:t>DMIRS</a:t>
                </a:r>
                <a:endParaRPr lang="en-AU" sz="900"/>
              </a:p>
            </c:rich>
          </c:tx>
          <c:layout>
            <c:manualLayout>
              <c:xMode val="edge"/>
              <c:yMode val="edge"/>
              <c:x val="1.3584783123356384E-2"/>
              <c:y val="0.94360902433945948"/>
            </c:manualLayout>
          </c:layout>
          <c:overlay val="0"/>
        </c:title>
        <c:numFmt formatCode="mmm\-yy" sourceLinked="1"/>
        <c:majorTickMark val="out"/>
        <c:minorTickMark val="none"/>
        <c:tickLblPos val="nextTo"/>
        <c:crossAx val="117846784"/>
        <c:crosses val="autoZero"/>
        <c:auto val="0"/>
        <c:lblAlgn val="ctr"/>
        <c:lblOffset val="100"/>
        <c:noMultiLvlLbl val="0"/>
      </c:catAx>
      <c:valAx>
        <c:axId val="117846784"/>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963392"/>
        <c:crosses val="autoZero"/>
        <c:crossBetween val="between"/>
      </c:valAx>
      <c:valAx>
        <c:axId val="117848704"/>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7859072"/>
        <c:crosses val="max"/>
        <c:crossBetween val="between"/>
      </c:valAx>
      <c:dateAx>
        <c:axId val="117859072"/>
        <c:scaling>
          <c:orientation val="minMax"/>
        </c:scaling>
        <c:delete val="1"/>
        <c:axPos val="b"/>
        <c:numFmt formatCode="mmm\-yy" sourceLinked="1"/>
        <c:majorTickMark val="out"/>
        <c:minorTickMark val="none"/>
        <c:tickLblPos val="nextTo"/>
        <c:crossAx val="1178487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 Q&amp;V'!$N$10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'Base Metals - Q&amp;V'!$N$11:$N$20</c:f>
              <c:numCache>
                <c:formatCode>#,##0.00</c:formatCode>
                <c:ptCount val="10"/>
                <c:pt idx="0">
                  <c:v>1.516</c:v>
                </c:pt>
                <c:pt idx="1">
                  <c:v>0</c:v>
                </c:pt>
                <c:pt idx="2">
                  <c:v>1.4008</c:v>
                </c:pt>
                <c:pt idx="3">
                  <c:v>0</c:v>
                </c:pt>
                <c:pt idx="4">
                  <c:v>0</c:v>
                </c:pt>
                <c:pt idx="5">
                  <c:v>1.3745150000000002</c:v>
                </c:pt>
                <c:pt idx="6">
                  <c:v>0</c:v>
                </c:pt>
                <c:pt idx="7">
                  <c:v>0</c:v>
                </c:pt>
                <c:pt idx="8">
                  <c:v>0</c:v>
                </c:pt>
                <c:pt idx="9">
                  <c:v>0.85125099999999998</c:v>
                </c:pt>
              </c:numCache>
            </c:numRef>
          </c:val>
          <c:extLst>
            <c:ext xmlns:c16="http://schemas.microsoft.com/office/drawing/2014/chart" uri="{C3380CC4-5D6E-409C-BE32-E72D297353CC}">
              <c16:uniqueId val="{00000000-15BC-429B-9C5B-C01001FE28BD}"/>
            </c:ext>
          </c:extLst>
        </c:ser>
        <c:dLbls>
          <c:showLegendKey val="0"/>
          <c:showVal val="0"/>
          <c:showCatName val="0"/>
          <c:showSerName val="0"/>
          <c:showPercent val="0"/>
          <c:showBubbleSize val="0"/>
        </c:dLbls>
        <c:gapWidth val="40"/>
        <c:axId val="117904896"/>
        <c:axId val="115871104"/>
      </c:barChart>
      <c:lineChart>
        <c:grouping val="standard"/>
        <c:varyColors val="0"/>
        <c:ser>
          <c:idx val="1"/>
          <c:order val="1"/>
          <c:tx>
            <c:strRef>
              <c:f>'Base Metals - Q&amp;V'!$O$10</c:f>
              <c:strCache>
                <c:ptCount val="1"/>
                <c:pt idx="0">
                  <c:v>Value ($ Million)</c:v>
                </c:pt>
              </c:strCache>
            </c:strRef>
          </c:tx>
          <c:spPr>
            <a:ln w="50800">
              <a:solidFill>
                <a:srgbClr val="F6B4E8"/>
              </a:solidFill>
            </a:ln>
          </c:spPr>
          <c:marker>
            <c:symbol val="none"/>
          </c:marker>
          <c:cat>
            <c:numRef>
              <c:f>'Base Metals - Q&amp;V'!$K$11:$K$20</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'Base Metals - Q&amp;V'!$O$11:$O$20</c:f>
              <c:numCache>
                <c:formatCode>#,##0.00</c:formatCode>
                <c:ptCount val="10"/>
                <c:pt idx="0">
                  <c:v>4.2015500000000001</c:v>
                </c:pt>
                <c:pt idx="1">
                  <c:v>0</c:v>
                </c:pt>
                <c:pt idx="2">
                  <c:v>4.1491009999999999</c:v>
                </c:pt>
                <c:pt idx="3">
                  <c:v>0</c:v>
                </c:pt>
                <c:pt idx="4">
                  <c:v>0</c:v>
                </c:pt>
                <c:pt idx="5">
                  <c:v>3.3216389999999998</c:v>
                </c:pt>
                <c:pt idx="6">
                  <c:v>0</c:v>
                </c:pt>
                <c:pt idx="7">
                  <c:v>0</c:v>
                </c:pt>
                <c:pt idx="8">
                  <c:v>0</c:v>
                </c:pt>
                <c:pt idx="9">
                  <c:v>2.18669666</c:v>
                </c:pt>
              </c:numCache>
            </c:numRef>
          </c:val>
          <c:smooth val="0"/>
          <c:extLst>
            <c:ext xmlns:c16="http://schemas.microsoft.com/office/drawing/2014/chart" uri="{C3380CC4-5D6E-409C-BE32-E72D297353CC}">
              <c16:uniqueId val="{00000001-15BC-429B-9C5B-C01001FE28BD}"/>
            </c:ext>
          </c:extLst>
        </c:ser>
        <c:dLbls>
          <c:showLegendKey val="0"/>
          <c:showVal val="0"/>
          <c:showCatName val="0"/>
          <c:showSerName val="0"/>
          <c:showPercent val="0"/>
          <c:showBubbleSize val="0"/>
        </c:dLbls>
        <c:marker val="1"/>
        <c:smooth val="0"/>
        <c:axId val="115502464"/>
        <c:axId val="115869184"/>
      </c:lineChart>
      <c:catAx>
        <c:axId val="115502464"/>
        <c:scaling>
          <c:orientation val="minMax"/>
        </c:scaling>
        <c:delete val="0"/>
        <c:axPos val="b"/>
        <c:title>
          <c:tx>
            <c:rich>
              <a:bodyPr/>
              <a:lstStyle/>
              <a:p>
                <a:pPr>
                  <a:defRPr sz="900"/>
                </a:pPr>
                <a:r>
                  <a:rPr lang="en-AU" sz="900"/>
                  <a:t>Source: DMIRS</a:t>
                </a:r>
              </a:p>
            </c:rich>
          </c:tx>
          <c:layout>
            <c:manualLayout>
              <c:xMode val="edge"/>
              <c:yMode val="edge"/>
              <c:x val="1.3832669335422394E-2"/>
              <c:y val="0.94173703287089106"/>
            </c:manualLayout>
          </c:layout>
          <c:overlay val="0"/>
        </c:title>
        <c:numFmt formatCode="mmm\-yy" sourceLinked="1"/>
        <c:majorTickMark val="out"/>
        <c:minorTickMark val="none"/>
        <c:tickLblPos val="nextTo"/>
        <c:txPr>
          <a:bodyPr rot="-2700000"/>
          <a:lstStyle/>
          <a:p>
            <a:pPr>
              <a:defRPr/>
            </a:pPr>
            <a:endParaRPr lang="en-US"/>
          </a:p>
        </c:txPr>
        <c:crossAx val="115869184"/>
        <c:crosses val="autoZero"/>
        <c:auto val="0"/>
        <c:lblAlgn val="ctr"/>
        <c:lblOffset val="100"/>
        <c:noMultiLvlLbl val="0"/>
      </c:catAx>
      <c:valAx>
        <c:axId val="115869184"/>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5502464"/>
        <c:crosses val="autoZero"/>
        <c:crossBetween val="between"/>
        <c:majorUnit val="1"/>
      </c:valAx>
      <c:valAx>
        <c:axId val="115871104"/>
        <c:scaling>
          <c:orientation val="minMax"/>
          <c:max val="2"/>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7904896"/>
        <c:crosses val="max"/>
        <c:crossBetween val="between"/>
        <c:majorUnit val="1"/>
      </c:valAx>
      <c:dateAx>
        <c:axId val="117904896"/>
        <c:scaling>
          <c:orientation val="minMax"/>
        </c:scaling>
        <c:delete val="1"/>
        <c:axPos val="b"/>
        <c:numFmt formatCode="mmm\-yy" sourceLinked="1"/>
        <c:majorTickMark val="out"/>
        <c:minorTickMark val="none"/>
        <c:tickLblPos val="nextTo"/>
        <c:crossAx val="1158711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a:t>
            </a:r>
            <a:r>
              <a:rPr lang="en-AU" sz="1100" baseline="0"/>
              <a:t> B</a:t>
            </a:r>
            <a:r>
              <a:rPr lang="en-AU" sz="1100"/>
              <a:t>y Quarter</a:t>
            </a:r>
          </a:p>
        </c:rich>
      </c:tx>
      <c:overlay val="0"/>
    </c:title>
    <c:autoTitleDeleted val="0"/>
    <c:plotArea>
      <c:layout/>
      <c:barChart>
        <c:barDir val="col"/>
        <c:grouping val="clustered"/>
        <c:varyColors val="0"/>
        <c:ser>
          <c:idx val="0"/>
          <c:order val="0"/>
          <c:tx>
            <c:strRef>
              <c:f>'Base Metals - Q&amp;V'!$P$10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'Base Metals - Q&amp;V'!$P$11:$P$20</c:f>
              <c:numCache>
                <c:formatCode>#,##0.00</c:formatCode>
                <c:ptCount val="10"/>
                <c:pt idx="0">
                  <c:v>17.548237</c:v>
                </c:pt>
                <c:pt idx="1">
                  <c:v>19.393622000000001</c:v>
                </c:pt>
                <c:pt idx="2">
                  <c:v>12.879391</c:v>
                </c:pt>
                <c:pt idx="3">
                  <c:v>27.99802</c:v>
                </c:pt>
                <c:pt idx="4">
                  <c:v>8.3514820000000007</c:v>
                </c:pt>
                <c:pt idx="5">
                  <c:v>22.541713000000001</c:v>
                </c:pt>
                <c:pt idx="6">
                  <c:v>14.529898999999999</c:v>
                </c:pt>
                <c:pt idx="7">
                  <c:v>20.849048000000003</c:v>
                </c:pt>
                <c:pt idx="8">
                  <c:v>16.339684000000002</c:v>
                </c:pt>
                <c:pt idx="9">
                  <c:v>12.500456</c:v>
                </c:pt>
              </c:numCache>
            </c:numRef>
          </c:val>
          <c:extLst>
            <c:ext xmlns:c16="http://schemas.microsoft.com/office/drawing/2014/chart" uri="{C3380CC4-5D6E-409C-BE32-E72D297353CC}">
              <c16:uniqueId val="{00000000-CCC0-4ED9-A4DF-6A725995A8BD}"/>
            </c:ext>
          </c:extLst>
        </c:ser>
        <c:dLbls>
          <c:showLegendKey val="0"/>
          <c:showVal val="0"/>
          <c:showCatName val="0"/>
          <c:showSerName val="0"/>
          <c:showPercent val="0"/>
          <c:showBubbleSize val="0"/>
        </c:dLbls>
        <c:gapWidth val="40"/>
        <c:axId val="130128128"/>
        <c:axId val="130126208"/>
      </c:barChart>
      <c:lineChart>
        <c:grouping val="standard"/>
        <c:varyColors val="0"/>
        <c:ser>
          <c:idx val="1"/>
          <c:order val="1"/>
          <c:tx>
            <c:strRef>
              <c:f>'Base Metals - Q&amp;V'!$Q$10</c:f>
              <c:strCache>
                <c:ptCount val="1"/>
                <c:pt idx="0">
                  <c:v>Value ($ Million)</c:v>
                </c:pt>
              </c:strCache>
            </c:strRef>
          </c:tx>
          <c:spPr>
            <a:ln w="50800">
              <a:solidFill>
                <a:srgbClr val="F6B4E8"/>
              </a:solidFill>
            </a:ln>
          </c:spPr>
          <c:marker>
            <c:symbol val="none"/>
          </c:marker>
          <c:cat>
            <c:numRef>
              <c:f>'Base Metals - Q&amp;V'!$K$11:$K$20</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'Base Metals - Q&amp;V'!$Q$11:$Q$20</c:f>
              <c:numCache>
                <c:formatCode>#,##0.00</c:formatCode>
                <c:ptCount val="10"/>
                <c:pt idx="0">
                  <c:v>68.160379000000006</c:v>
                </c:pt>
                <c:pt idx="1">
                  <c:v>64.667732999999998</c:v>
                </c:pt>
                <c:pt idx="2">
                  <c:v>44.668489999999998</c:v>
                </c:pt>
                <c:pt idx="3">
                  <c:v>85.059471000000002</c:v>
                </c:pt>
                <c:pt idx="4">
                  <c:v>24.541041</c:v>
                </c:pt>
                <c:pt idx="5">
                  <c:v>69.052575000000004</c:v>
                </c:pt>
                <c:pt idx="6">
                  <c:v>50.971170000000001</c:v>
                </c:pt>
                <c:pt idx="7">
                  <c:v>75.297866999999997</c:v>
                </c:pt>
                <c:pt idx="8">
                  <c:v>57.654603000000002</c:v>
                </c:pt>
                <c:pt idx="9">
                  <c:v>45.266267510000006</c:v>
                </c:pt>
              </c:numCache>
            </c:numRef>
          </c:val>
          <c:smooth val="0"/>
          <c:extLst>
            <c:ext xmlns:c16="http://schemas.microsoft.com/office/drawing/2014/chart" uri="{C3380CC4-5D6E-409C-BE32-E72D297353CC}">
              <c16:uniqueId val="{00000001-CCC0-4ED9-A4DF-6A725995A8BD}"/>
            </c:ext>
          </c:extLst>
        </c:ser>
        <c:dLbls>
          <c:showLegendKey val="0"/>
          <c:showVal val="0"/>
          <c:showCatName val="0"/>
          <c:showSerName val="0"/>
          <c:showPercent val="0"/>
          <c:showBubbleSize val="0"/>
        </c:dLbls>
        <c:marker val="1"/>
        <c:smooth val="0"/>
        <c:axId val="130118016"/>
        <c:axId val="130119936"/>
      </c:lineChart>
      <c:catAx>
        <c:axId val="130118016"/>
        <c:scaling>
          <c:orientation val="minMax"/>
        </c:scaling>
        <c:delete val="0"/>
        <c:axPos val="b"/>
        <c:title>
          <c:tx>
            <c:rich>
              <a:bodyPr/>
              <a:lstStyle/>
              <a:p>
                <a:pPr>
                  <a:defRPr sz="900"/>
                </a:pPr>
                <a:r>
                  <a:rPr lang="en-AU" sz="900"/>
                  <a:t>Source: DMIRS</a:t>
                </a:r>
              </a:p>
            </c:rich>
          </c:tx>
          <c:layout>
            <c:manualLayout>
              <c:xMode val="edge"/>
              <c:yMode val="edge"/>
              <c:x val="1.0375097029371321E-2"/>
              <c:y val="0.93818890285773116"/>
            </c:manualLayout>
          </c:layout>
          <c:overlay val="0"/>
        </c:title>
        <c:numFmt formatCode="mmm\-yy" sourceLinked="1"/>
        <c:majorTickMark val="out"/>
        <c:minorTickMark val="none"/>
        <c:tickLblPos val="nextTo"/>
        <c:crossAx val="130119936"/>
        <c:crosses val="autoZero"/>
        <c:auto val="0"/>
        <c:lblAlgn val="ctr"/>
        <c:lblOffset val="100"/>
        <c:noMultiLvlLbl val="0"/>
      </c:catAx>
      <c:valAx>
        <c:axId val="13011993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118016"/>
        <c:crosses val="autoZero"/>
        <c:crossBetween val="between"/>
      </c:valAx>
      <c:valAx>
        <c:axId val="13012620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28128"/>
        <c:crosses val="max"/>
        <c:crossBetween val="between"/>
        <c:majorUnit val="5"/>
      </c:valAx>
      <c:dateAx>
        <c:axId val="130128128"/>
        <c:scaling>
          <c:orientation val="minMax"/>
        </c:scaling>
        <c:delete val="1"/>
        <c:axPos val="b"/>
        <c:numFmt formatCode="mmm\-yy" sourceLinked="1"/>
        <c:majorTickMark val="out"/>
        <c:minorTickMark val="none"/>
        <c:tickLblPos val="nextTo"/>
        <c:crossAx val="130126208"/>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 Q&amp;V'!$L$26</c:f>
              <c:strCache>
                <c:ptCount val="1"/>
                <c:pt idx="0">
                  <c:v>Quantity (Kt)</c:v>
                </c:pt>
              </c:strCache>
            </c:strRef>
          </c:tx>
          <c:spPr>
            <a:solidFill>
              <a:srgbClr val="FF66CC"/>
            </a:solidFill>
          </c:spPr>
          <c:invertIfNegative val="0"/>
          <c:cat>
            <c:strRef>
              <c:f>'Base Metals - Q&amp;V'!$K$27:$K$47</c:f>
              <c:strCache>
                <c:ptCount val="21"/>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strCache>
            </c:strRef>
          </c:cat>
          <c:val>
            <c:numRef>
              <c:f>'Base Metals - Q&amp;V'!$L$27:$L$47</c:f>
              <c:numCache>
                <c:formatCode>#,##0.00</c:formatCode>
                <c:ptCount val="21"/>
                <c:pt idx="0">
                  <c:v>41.978999999999999</c:v>
                </c:pt>
                <c:pt idx="1">
                  <c:v>57.634999999999998</c:v>
                </c:pt>
                <c:pt idx="2">
                  <c:v>59.424999999999997</c:v>
                </c:pt>
                <c:pt idx="3">
                  <c:v>54.944894000000005</c:v>
                </c:pt>
                <c:pt idx="4">
                  <c:v>60.710827000000002</c:v>
                </c:pt>
                <c:pt idx="5">
                  <c:v>84.673216999999994</c:v>
                </c:pt>
                <c:pt idx="6">
                  <c:v>108.677836</c:v>
                </c:pt>
                <c:pt idx="7">
                  <c:v>123.36158999999999</c:v>
                </c:pt>
                <c:pt idx="8">
                  <c:v>128.23243400000001</c:v>
                </c:pt>
                <c:pt idx="9">
                  <c:v>151.96334899999999</c:v>
                </c:pt>
                <c:pt idx="10">
                  <c:v>150.03032099999999</c:v>
                </c:pt>
                <c:pt idx="11">
                  <c:v>159.171311952</c:v>
                </c:pt>
                <c:pt idx="12">
                  <c:v>209.266334817</c:v>
                </c:pt>
                <c:pt idx="13">
                  <c:v>211.18632200000002</c:v>
                </c:pt>
                <c:pt idx="14">
                  <c:v>184.49489700000004</c:v>
                </c:pt>
                <c:pt idx="15">
                  <c:v>190.274756</c:v>
                </c:pt>
                <c:pt idx="16">
                  <c:v>170.73021500000002</c:v>
                </c:pt>
                <c:pt idx="17">
                  <c:v>174.073623</c:v>
                </c:pt>
                <c:pt idx="18">
                  <c:v>162.483295</c:v>
                </c:pt>
                <c:pt idx="19">
                  <c:v>171.38319000000001</c:v>
                </c:pt>
                <c:pt idx="20">
                  <c:v>145.852734</c:v>
                </c:pt>
              </c:numCache>
            </c:numRef>
          </c:val>
          <c:extLst>
            <c:ext xmlns:c16="http://schemas.microsoft.com/office/drawing/2014/chart" uri="{C3380CC4-5D6E-409C-BE32-E72D297353CC}">
              <c16:uniqueId val="{00000000-F815-4D3A-A47B-7A0F08D71F48}"/>
            </c:ext>
          </c:extLst>
        </c:ser>
        <c:dLbls>
          <c:showLegendKey val="0"/>
          <c:showVal val="0"/>
          <c:showCatName val="0"/>
          <c:showSerName val="0"/>
          <c:showPercent val="0"/>
          <c:showBubbleSize val="0"/>
        </c:dLbls>
        <c:gapWidth val="40"/>
        <c:axId val="130178048"/>
        <c:axId val="130176128"/>
      </c:barChart>
      <c:lineChart>
        <c:grouping val="standard"/>
        <c:varyColors val="0"/>
        <c:ser>
          <c:idx val="1"/>
          <c:order val="1"/>
          <c:tx>
            <c:strRef>
              <c:f>'Base Metals - Q&amp;V'!$M$26</c:f>
              <c:strCache>
                <c:ptCount val="1"/>
                <c:pt idx="0">
                  <c:v>Value ($ Million)</c:v>
                </c:pt>
              </c:strCache>
            </c:strRef>
          </c:tx>
          <c:spPr>
            <a:ln w="50800">
              <a:solidFill>
                <a:srgbClr val="FAD6F2"/>
              </a:solidFill>
            </a:ln>
          </c:spPr>
          <c:marker>
            <c:symbol val="none"/>
          </c:marker>
          <c:cat>
            <c:strRef>
              <c:f>'Base Metals - Q&amp;V'!$K$27:$K$52</c:f>
              <c:strCache>
                <c:ptCount val="21"/>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strCache>
            </c:strRef>
          </c:cat>
          <c:val>
            <c:numRef>
              <c:f>'Base Metals - Q&amp;V'!$M$27:$M$47</c:f>
              <c:numCache>
                <c:formatCode>#,##0.00</c:formatCode>
                <c:ptCount val="21"/>
                <c:pt idx="0">
                  <c:v>109.563985</c:v>
                </c:pt>
                <c:pt idx="1">
                  <c:v>127.050045</c:v>
                </c:pt>
                <c:pt idx="2">
                  <c:v>138.63487599999999</c:v>
                </c:pt>
                <c:pt idx="3">
                  <c:v>166.92249905</c:v>
                </c:pt>
                <c:pt idx="4">
                  <c:v>267.67896638999997</c:v>
                </c:pt>
                <c:pt idx="5">
                  <c:v>611.11370989</c:v>
                </c:pt>
                <c:pt idx="6">
                  <c:v>951.65671581999993</c:v>
                </c:pt>
                <c:pt idx="7">
                  <c:v>1031.13508914</c:v>
                </c:pt>
                <c:pt idx="8">
                  <c:v>656.71831856000006</c:v>
                </c:pt>
                <c:pt idx="9">
                  <c:v>1172.47645076</c:v>
                </c:pt>
                <c:pt idx="10">
                  <c:v>1332.3561502299999</c:v>
                </c:pt>
                <c:pt idx="11">
                  <c:v>1180.77969936</c:v>
                </c:pt>
                <c:pt idx="12">
                  <c:v>1423.0435544100001</c:v>
                </c:pt>
                <c:pt idx="13">
                  <c:v>1559.56560984</c:v>
                </c:pt>
                <c:pt idx="14">
                  <c:v>1283.046797</c:v>
                </c:pt>
                <c:pt idx="15">
                  <c:v>1181.2620870000001</c:v>
                </c:pt>
                <c:pt idx="16">
                  <c:v>1240.528049</c:v>
                </c:pt>
                <c:pt idx="17">
                  <c:v>1347.7983709999999</c:v>
                </c:pt>
                <c:pt idx="18">
                  <c:v>1321.630656</c:v>
                </c:pt>
                <c:pt idx="19">
                  <c:v>1386.7622859999999</c:v>
                </c:pt>
                <c:pt idx="20">
                  <c:v>1485.1441399999999</c:v>
                </c:pt>
              </c:numCache>
            </c:numRef>
          </c:val>
          <c:smooth val="0"/>
          <c:extLst>
            <c:ext xmlns:c16="http://schemas.microsoft.com/office/drawing/2014/chart" uri="{C3380CC4-5D6E-409C-BE32-E72D297353CC}">
              <c16:uniqueId val="{00000001-F815-4D3A-A47B-7A0F08D71F48}"/>
            </c:ext>
          </c:extLst>
        </c:ser>
        <c:dLbls>
          <c:showLegendKey val="0"/>
          <c:showVal val="0"/>
          <c:showCatName val="0"/>
          <c:showSerName val="0"/>
          <c:showPercent val="0"/>
          <c:showBubbleSize val="0"/>
        </c:dLbls>
        <c:marker val="1"/>
        <c:smooth val="0"/>
        <c:axId val="130163840"/>
        <c:axId val="130165760"/>
      </c:lineChart>
      <c:dateAx>
        <c:axId val="130163840"/>
        <c:scaling>
          <c:orientation val="minMax"/>
        </c:scaling>
        <c:delete val="0"/>
        <c:axPos val="b"/>
        <c:title>
          <c:tx>
            <c:rich>
              <a:bodyPr/>
              <a:lstStyle/>
              <a:p>
                <a:pPr>
                  <a:defRPr/>
                </a:pPr>
                <a:r>
                  <a:rPr lang="en-AU" sz="900"/>
                  <a:t>Source: DMIRS</a:t>
                </a:r>
              </a:p>
            </c:rich>
          </c:tx>
          <c:layout>
            <c:manualLayout>
              <c:xMode val="edge"/>
              <c:yMode val="edge"/>
              <c:x val="6.7161628880478344E-3"/>
              <c:y val="0.95320166149312358"/>
            </c:manualLayout>
          </c:layout>
          <c:overlay val="0"/>
        </c:title>
        <c:numFmt formatCode="@@@@@@@@@" sourceLinked="0"/>
        <c:majorTickMark val="out"/>
        <c:minorTickMark val="none"/>
        <c:tickLblPos val="nextTo"/>
        <c:txPr>
          <a:bodyPr rot="-2700000"/>
          <a:lstStyle/>
          <a:p>
            <a:pPr>
              <a:defRPr/>
            </a:pPr>
            <a:endParaRPr lang="en-US"/>
          </a:p>
        </c:txPr>
        <c:crossAx val="130165760"/>
        <c:crosses val="autoZero"/>
        <c:auto val="0"/>
        <c:lblOffset val="100"/>
        <c:baseTimeUnit val="days"/>
        <c:majorUnit val="1"/>
      </c:dateAx>
      <c:valAx>
        <c:axId val="13016576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163840"/>
        <c:crosses val="autoZero"/>
        <c:crossBetween val="between"/>
      </c:valAx>
      <c:valAx>
        <c:axId val="13017612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78048"/>
        <c:crosses val="max"/>
        <c:crossBetween val="between"/>
      </c:valAx>
      <c:catAx>
        <c:axId val="130178048"/>
        <c:scaling>
          <c:orientation val="minMax"/>
        </c:scaling>
        <c:delete val="1"/>
        <c:axPos val="b"/>
        <c:numFmt formatCode="General" sourceLinked="1"/>
        <c:majorTickMark val="out"/>
        <c:minorTickMark val="none"/>
        <c:tickLblPos val="nextTo"/>
        <c:crossAx val="13017612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 Q&amp;V'!$N$26</c:f>
              <c:strCache>
                <c:ptCount val="1"/>
                <c:pt idx="0">
                  <c:v>Quantity (Kt)</c:v>
                </c:pt>
              </c:strCache>
            </c:strRef>
          </c:tx>
          <c:spPr>
            <a:solidFill>
              <a:srgbClr val="FF66CC"/>
            </a:solidFill>
          </c:spPr>
          <c:invertIfNegative val="0"/>
          <c:cat>
            <c:strRef>
              <c:f>'Base Metals - Q&amp;V'!$K$27:$K$47</c:f>
              <c:strCache>
                <c:ptCount val="21"/>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strCache>
            </c:strRef>
          </c:cat>
          <c:val>
            <c:numRef>
              <c:f>'Base Metals - Q&amp;V'!$N$27:$N$47</c:f>
              <c:numCache>
                <c:formatCode>#,##0.00</c:formatCode>
                <c:ptCount val="21"/>
                <c:pt idx="0">
                  <c:v>82.326000000000008</c:v>
                </c:pt>
                <c:pt idx="1">
                  <c:v>75.076000000000008</c:v>
                </c:pt>
                <c:pt idx="2">
                  <c:v>68.230999999999995</c:v>
                </c:pt>
                <c:pt idx="3">
                  <c:v>23.393000000000001</c:v>
                </c:pt>
                <c:pt idx="4">
                  <c:v>2.3243399999999999</c:v>
                </c:pt>
                <c:pt idx="5">
                  <c:v>57.265385999999999</c:v>
                </c:pt>
                <c:pt idx="6">
                  <c:v>59.563003999999999</c:v>
                </c:pt>
                <c:pt idx="7">
                  <c:v>25.851064999999998</c:v>
                </c:pt>
                <c:pt idx="8">
                  <c:v>25.203105000000001</c:v>
                </c:pt>
                <c:pt idx="9">
                  <c:v>26.011457999999998</c:v>
                </c:pt>
                <c:pt idx="10">
                  <c:v>40.763701000000005</c:v>
                </c:pt>
                <c:pt idx="11">
                  <c:v>6.9217059999999995</c:v>
                </c:pt>
                <c:pt idx="12">
                  <c:v>16.640839999999997</c:v>
                </c:pt>
                <c:pt idx="13">
                  <c:v>78.650710000000004</c:v>
                </c:pt>
                <c:pt idx="14">
                  <c:v>59.248420000000003</c:v>
                </c:pt>
                <c:pt idx="15">
                  <c:v>5.9879999999999995</c:v>
                </c:pt>
                <c:pt idx="16">
                  <c:v>3.5074799999999997</c:v>
                </c:pt>
                <c:pt idx="17">
                  <c:v>7.3972800000000003</c:v>
                </c:pt>
                <c:pt idx="18">
                  <c:v>4.8520099999999999</c:v>
                </c:pt>
                <c:pt idx="19">
                  <c:v>2.775315</c:v>
                </c:pt>
                <c:pt idx="20">
                  <c:v>0.85125099999999998</c:v>
                </c:pt>
              </c:numCache>
            </c:numRef>
          </c:val>
          <c:extLst>
            <c:ext xmlns:c16="http://schemas.microsoft.com/office/drawing/2014/chart" uri="{C3380CC4-5D6E-409C-BE32-E72D297353CC}">
              <c16:uniqueId val="{00000000-5455-4875-9638-0C7AF096BDFF}"/>
            </c:ext>
          </c:extLst>
        </c:ser>
        <c:dLbls>
          <c:showLegendKey val="0"/>
          <c:showVal val="0"/>
          <c:showCatName val="0"/>
          <c:showSerName val="0"/>
          <c:showPercent val="0"/>
          <c:showBubbleSize val="0"/>
        </c:dLbls>
        <c:gapWidth val="40"/>
        <c:axId val="130224128"/>
        <c:axId val="130221952"/>
      </c:barChart>
      <c:lineChart>
        <c:grouping val="standard"/>
        <c:varyColors val="0"/>
        <c:ser>
          <c:idx val="1"/>
          <c:order val="1"/>
          <c:tx>
            <c:strRef>
              <c:f>'Base Metals - Q&amp;V'!$O$26</c:f>
              <c:strCache>
                <c:ptCount val="1"/>
                <c:pt idx="0">
                  <c:v>Value ($ Million)</c:v>
                </c:pt>
              </c:strCache>
            </c:strRef>
          </c:tx>
          <c:spPr>
            <a:ln w="50800">
              <a:solidFill>
                <a:srgbClr val="FAD6F2"/>
              </a:solidFill>
            </a:ln>
          </c:spPr>
          <c:marker>
            <c:symbol val="none"/>
          </c:marker>
          <c:cat>
            <c:strRef>
              <c:f>'Base Metals - Q&amp;V'!$K$27:$K$47</c:f>
              <c:strCache>
                <c:ptCount val="21"/>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strCache>
            </c:strRef>
          </c:cat>
          <c:val>
            <c:numRef>
              <c:f>'Base Metals - Q&amp;V'!$O$27:$O$47</c:f>
              <c:numCache>
                <c:formatCode>#,##0.00</c:formatCode>
                <c:ptCount val="21"/>
                <c:pt idx="0">
                  <c:v>37.308779000000001</c:v>
                </c:pt>
                <c:pt idx="1">
                  <c:v>36.723118999999997</c:v>
                </c:pt>
                <c:pt idx="2">
                  <c:v>33.467175000000005</c:v>
                </c:pt>
                <c:pt idx="3">
                  <c:v>11.971687920000001</c:v>
                </c:pt>
                <c:pt idx="4">
                  <c:v>3.00636722</c:v>
                </c:pt>
                <c:pt idx="5">
                  <c:v>84.970520390000004</c:v>
                </c:pt>
                <c:pt idx="6">
                  <c:v>127.75976598</c:v>
                </c:pt>
                <c:pt idx="7">
                  <c:v>63.313165580000003</c:v>
                </c:pt>
                <c:pt idx="8">
                  <c:v>42.115327649999998</c:v>
                </c:pt>
                <c:pt idx="9">
                  <c:v>61.554965920000001</c:v>
                </c:pt>
                <c:pt idx="10">
                  <c:v>100.06846913</c:v>
                </c:pt>
                <c:pt idx="11">
                  <c:v>13.83983063</c:v>
                </c:pt>
                <c:pt idx="12">
                  <c:v>35.049524680000005</c:v>
                </c:pt>
                <c:pt idx="13">
                  <c:v>178.76405846</c:v>
                </c:pt>
                <c:pt idx="14">
                  <c:v>136.94966200000002</c:v>
                </c:pt>
                <c:pt idx="15">
                  <c:v>14.810594999999999</c:v>
                </c:pt>
                <c:pt idx="16">
                  <c:v>10.146717000000001</c:v>
                </c:pt>
                <c:pt idx="17">
                  <c:v>22.799222999999998</c:v>
                </c:pt>
                <c:pt idx="18">
                  <c:v>13.344177000000002</c:v>
                </c:pt>
                <c:pt idx="19">
                  <c:v>7.4707399999999993</c:v>
                </c:pt>
                <c:pt idx="20">
                  <c:v>2.18669666</c:v>
                </c:pt>
              </c:numCache>
            </c:numRef>
          </c:val>
          <c:smooth val="0"/>
          <c:extLst>
            <c:ext xmlns:c16="http://schemas.microsoft.com/office/drawing/2014/chart" uri="{C3380CC4-5D6E-409C-BE32-E72D297353CC}">
              <c16:uniqueId val="{00000001-5455-4875-9638-0C7AF096BDFF}"/>
            </c:ext>
          </c:extLst>
        </c:ser>
        <c:dLbls>
          <c:showLegendKey val="0"/>
          <c:showVal val="0"/>
          <c:showCatName val="0"/>
          <c:showSerName val="0"/>
          <c:showPercent val="0"/>
          <c:showBubbleSize val="0"/>
        </c:dLbls>
        <c:marker val="1"/>
        <c:smooth val="0"/>
        <c:axId val="130209664"/>
        <c:axId val="130220032"/>
      </c:lineChart>
      <c:dateAx>
        <c:axId val="130209664"/>
        <c:scaling>
          <c:orientation val="minMax"/>
        </c:scaling>
        <c:delete val="0"/>
        <c:axPos val="b"/>
        <c:title>
          <c:tx>
            <c:rich>
              <a:bodyPr/>
              <a:lstStyle/>
              <a:p>
                <a:pPr>
                  <a:defRPr/>
                </a:pPr>
                <a:r>
                  <a:rPr lang="en-AU" sz="900"/>
                  <a:t>Source: DMIRS</a:t>
                </a:r>
              </a:p>
            </c:rich>
          </c:tx>
          <c:layout>
            <c:manualLayout>
              <c:xMode val="edge"/>
              <c:yMode val="edge"/>
              <c:x val="6.7992013818785483E-3"/>
              <c:y val="0.94751233846965299"/>
            </c:manualLayout>
          </c:layout>
          <c:overlay val="0"/>
        </c:title>
        <c:numFmt formatCode="@@@@@@@@@" sourceLinked="0"/>
        <c:majorTickMark val="out"/>
        <c:minorTickMark val="none"/>
        <c:tickLblPos val="nextTo"/>
        <c:txPr>
          <a:bodyPr rot="-2700000"/>
          <a:lstStyle/>
          <a:p>
            <a:pPr>
              <a:defRPr/>
            </a:pPr>
            <a:endParaRPr lang="en-US"/>
          </a:p>
        </c:txPr>
        <c:crossAx val="130220032"/>
        <c:crosses val="autoZero"/>
        <c:auto val="0"/>
        <c:lblOffset val="100"/>
        <c:baseTimeUnit val="days"/>
        <c:majorUnit val="1"/>
      </c:dateAx>
      <c:valAx>
        <c:axId val="130220032"/>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209664"/>
        <c:crosses val="autoZero"/>
        <c:crossBetween val="between"/>
      </c:valAx>
      <c:valAx>
        <c:axId val="13022195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224128"/>
        <c:crosses val="max"/>
        <c:crossBetween val="between"/>
      </c:valAx>
      <c:catAx>
        <c:axId val="130224128"/>
        <c:scaling>
          <c:orientation val="minMax"/>
        </c:scaling>
        <c:delete val="1"/>
        <c:axPos val="b"/>
        <c:numFmt formatCode="General" sourceLinked="1"/>
        <c:majorTickMark val="out"/>
        <c:minorTickMark val="none"/>
        <c:tickLblPos val="nextTo"/>
        <c:crossAx val="130221952"/>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 Q&amp;V'!$P$26</c:f>
              <c:strCache>
                <c:ptCount val="1"/>
                <c:pt idx="0">
                  <c:v>Quantity (Kt)</c:v>
                </c:pt>
              </c:strCache>
            </c:strRef>
          </c:tx>
          <c:spPr>
            <a:solidFill>
              <a:srgbClr val="FF66CC"/>
            </a:solidFill>
          </c:spPr>
          <c:invertIfNegative val="0"/>
          <c:cat>
            <c:strRef>
              <c:f>'Base Metals - Q&amp;V'!$K$27:$K$47</c:f>
              <c:strCache>
                <c:ptCount val="21"/>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strCache>
            </c:strRef>
          </c:cat>
          <c:val>
            <c:numRef>
              <c:f>'Base Metals - Q&amp;V'!$P$27:$P$47</c:f>
              <c:numCache>
                <c:formatCode>#,##0.00</c:formatCode>
                <c:ptCount val="21"/>
                <c:pt idx="0">
                  <c:v>236.089</c:v>
                </c:pt>
                <c:pt idx="1">
                  <c:v>223.66900000000004</c:v>
                </c:pt>
                <c:pt idx="2">
                  <c:v>182.21300000000002</c:v>
                </c:pt>
                <c:pt idx="3">
                  <c:v>106.47663</c:v>
                </c:pt>
                <c:pt idx="4">
                  <c:v>48.400889999999997</c:v>
                </c:pt>
                <c:pt idx="5">
                  <c:v>80.007272999999998</c:v>
                </c:pt>
                <c:pt idx="6">
                  <c:v>122.96492499999999</c:v>
                </c:pt>
                <c:pt idx="7">
                  <c:v>216.01826</c:v>
                </c:pt>
                <c:pt idx="8">
                  <c:v>142.61024599999999</c:v>
                </c:pt>
                <c:pt idx="9">
                  <c:v>87.558924000000005</c:v>
                </c:pt>
                <c:pt idx="10">
                  <c:v>70.53654499999999</c:v>
                </c:pt>
                <c:pt idx="11">
                  <c:v>63.503200999999997</c:v>
                </c:pt>
                <c:pt idx="12">
                  <c:v>55.847680000000004</c:v>
                </c:pt>
                <c:pt idx="13">
                  <c:v>54.060290000000002</c:v>
                </c:pt>
                <c:pt idx="14">
                  <c:v>77.830909999999989</c:v>
                </c:pt>
                <c:pt idx="15">
                  <c:v>82.675939999999997</c:v>
                </c:pt>
                <c:pt idx="16">
                  <c:v>82.942660000000004</c:v>
                </c:pt>
                <c:pt idx="17">
                  <c:v>93.373287000000005</c:v>
                </c:pt>
                <c:pt idx="18">
                  <c:v>71.404652999999996</c:v>
                </c:pt>
                <c:pt idx="19">
                  <c:v>71.770606000000001</c:v>
                </c:pt>
                <c:pt idx="20">
                  <c:v>64.219087000000002</c:v>
                </c:pt>
              </c:numCache>
            </c:numRef>
          </c:val>
          <c:extLst>
            <c:ext xmlns:c16="http://schemas.microsoft.com/office/drawing/2014/chart" uri="{C3380CC4-5D6E-409C-BE32-E72D297353CC}">
              <c16:uniqueId val="{00000000-F903-4AB3-BEBE-063F99617296}"/>
            </c:ext>
          </c:extLst>
        </c:ser>
        <c:dLbls>
          <c:showLegendKey val="0"/>
          <c:showVal val="0"/>
          <c:showCatName val="0"/>
          <c:showSerName val="0"/>
          <c:showPercent val="0"/>
          <c:showBubbleSize val="0"/>
        </c:dLbls>
        <c:gapWidth val="40"/>
        <c:axId val="130274048"/>
        <c:axId val="130271872"/>
      </c:barChart>
      <c:lineChart>
        <c:grouping val="standard"/>
        <c:varyColors val="0"/>
        <c:ser>
          <c:idx val="1"/>
          <c:order val="1"/>
          <c:tx>
            <c:strRef>
              <c:f>'Base Metals - Q&amp;V'!$Q$26</c:f>
              <c:strCache>
                <c:ptCount val="1"/>
                <c:pt idx="0">
                  <c:v>Value ($ Million)</c:v>
                </c:pt>
              </c:strCache>
            </c:strRef>
          </c:tx>
          <c:spPr>
            <a:ln w="50800">
              <a:solidFill>
                <a:srgbClr val="FAD6F2"/>
              </a:solidFill>
            </a:ln>
          </c:spPr>
          <c:marker>
            <c:symbol val="none"/>
          </c:marker>
          <c:cat>
            <c:strRef>
              <c:f>'Base Metals - Q&amp;V'!$K$27:$K$47</c:f>
              <c:strCache>
                <c:ptCount val="21"/>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strCache>
            </c:strRef>
          </c:cat>
          <c:val>
            <c:numRef>
              <c:f>'Base Metals - Q&amp;V'!$Q$27:$Q$47</c:f>
              <c:numCache>
                <c:formatCode>#,##0.00</c:formatCode>
                <c:ptCount val="21"/>
                <c:pt idx="0">
                  <c:v>280.23965799999996</c:v>
                </c:pt>
                <c:pt idx="1">
                  <c:v>173.81592700000002</c:v>
                </c:pt>
                <c:pt idx="2">
                  <c:v>160.273427</c:v>
                </c:pt>
                <c:pt idx="3">
                  <c:v>102.82263267</c:v>
                </c:pt>
                <c:pt idx="4">
                  <c:v>72.516304789999992</c:v>
                </c:pt>
                <c:pt idx="5">
                  <c:v>274.24483553000005</c:v>
                </c:pt>
                <c:pt idx="6">
                  <c:v>539.95478370000001</c:v>
                </c:pt>
                <c:pt idx="7">
                  <c:v>415.93240148999996</c:v>
                </c:pt>
                <c:pt idx="8">
                  <c:v>232.60352829000001</c:v>
                </c:pt>
                <c:pt idx="9">
                  <c:v>210.11873643000001</c:v>
                </c:pt>
                <c:pt idx="10">
                  <c:v>162.10826453999999</c:v>
                </c:pt>
                <c:pt idx="11">
                  <c:v>121.98420999999999</c:v>
                </c:pt>
                <c:pt idx="12">
                  <c:v>103.86791280999999</c:v>
                </c:pt>
                <c:pt idx="13">
                  <c:v>118.26157629999999</c:v>
                </c:pt>
                <c:pt idx="14">
                  <c:v>197.04040600000002</c:v>
                </c:pt>
                <c:pt idx="15">
                  <c:v>195.49445300000002</c:v>
                </c:pt>
                <c:pt idx="16">
                  <c:v>204.16125900000003</c:v>
                </c:pt>
                <c:pt idx="17">
                  <c:v>323.50439800000004</c:v>
                </c:pt>
                <c:pt idx="18">
                  <c:v>263.16270299999996</c:v>
                </c:pt>
                <c:pt idx="19">
                  <c:v>223.32157699999999</c:v>
                </c:pt>
                <c:pt idx="20">
                  <c:v>229.18990751000001</c:v>
                </c:pt>
              </c:numCache>
            </c:numRef>
          </c:val>
          <c:smooth val="0"/>
          <c:extLst>
            <c:ext xmlns:c16="http://schemas.microsoft.com/office/drawing/2014/chart" uri="{C3380CC4-5D6E-409C-BE32-E72D297353CC}">
              <c16:uniqueId val="{00000001-F903-4AB3-BEBE-063F99617296}"/>
            </c:ext>
          </c:extLst>
        </c:ser>
        <c:dLbls>
          <c:showLegendKey val="0"/>
          <c:showVal val="0"/>
          <c:showCatName val="0"/>
          <c:showSerName val="0"/>
          <c:showPercent val="0"/>
          <c:showBubbleSize val="0"/>
        </c:dLbls>
        <c:marker val="1"/>
        <c:smooth val="0"/>
        <c:axId val="130263680"/>
        <c:axId val="130269952"/>
      </c:lineChart>
      <c:dateAx>
        <c:axId val="130263680"/>
        <c:scaling>
          <c:orientation val="minMax"/>
        </c:scaling>
        <c:delete val="0"/>
        <c:axPos val="b"/>
        <c:title>
          <c:tx>
            <c:rich>
              <a:bodyPr/>
              <a:lstStyle/>
              <a:p>
                <a:pPr>
                  <a:defRPr/>
                </a:pPr>
                <a:r>
                  <a:rPr lang="en-AU" sz="900"/>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0269952"/>
        <c:crosses val="autoZero"/>
        <c:auto val="0"/>
        <c:lblOffset val="100"/>
        <c:baseTimeUnit val="days"/>
        <c:majorUnit val="1"/>
      </c:dateAx>
      <c:valAx>
        <c:axId val="130269952"/>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263680"/>
        <c:crosses val="autoZero"/>
        <c:crossBetween val="between"/>
      </c:valAx>
      <c:valAx>
        <c:axId val="13027187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274048"/>
        <c:crosses val="max"/>
        <c:crossBetween val="between"/>
      </c:valAx>
      <c:catAx>
        <c:axId val="130274048"/>
        <c:scaling>
          <c:orientation val="minMax"/>
        </c:scaling>
        <c:delete val="1"/>
        <c:axPos val="b"/>
        <c:numFmt formatCode="General" sourceLinked="1"/>
        <c:majorTickMark val="out"/>
        <c:minorTickMark val="none"/>
        <c:tickLblPos val="nextTo"/>
        <c:crossAx val="130271872"/>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800" b="1"/>
              <a:t>Base metals</a:t>
            </a:r>
          </a:p>
          <a:p>
            <a:pPr>
              <a:defRPr b="1"/>
            </a:pPr>
            <a:r>
              <a:rPr lang="en-US" sz="1100" b="1"/>
              <a:t>Historic average annual prices</a:t>
            </a:r>
            <a:endParaRPr lang="en-AU" sz="1100"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'Base Metals - Prices'!$I$7</c:f>
              <c:strCache>
                <c:ptCount val="1"/>
                <c:pt idx="0">
                  <c:v>Copper</c:v>
                </c:pt>
              </c:strCache>
            </c:strRef>
          </c:tx>
          <c:spPr>
            <a:ln w="28575" cap="rnd">
              <a:solidFill>
                <a:srgbClr val="CC00CC"/>
              </a:solidFill>
              <a:round/>
            </a:ln>
            <a:effectLst/>
          </c:spPr>
          <c:marker>
            <c:symbol val="none"/>
          </c:marker>
          <c:cat>
            <c:strRef>
              <c:f>'Base Metals - Prices'!$H$9:$H$43</c:f>
              <c:strCache>
                <c:ptCount val="35"/>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strCache>
            </c:strRef>
          </c:cat>
          <c:val>
            <c:numRef>
              <c:f>'Base Metals - Prices'!$I$9:$I$43</c:f>
              <c:numCache>
                <c:formatCode>#,##0.00</c:formatCode>
                <c:ptCount val="35"/>
                <c:pt idx="0">
                  <c:v>2098.4100000000003</c:v>
                </c:pt>
                <c:pt idx="1">
                  <c:v>3093.1</c:v>
                </c:pt>
                <c:pt idx="2">
                  <c:v>3558.0791666666664</c:v>
                </c:pt>
                <c:pt idx="3">
                  <c:v>3373.2724999999996</c:v>
                </c:pt>
                <c:pt idx="4">
                  <c:v>3277.8591666666666</c:v>
                </c:pt>
                <c:pt idx="5">
                  <c:v>2925.0533333333333</c:v>
                </c:pt>
                <c:pt idx="6">
                  <c:v>3159.936666666667</c:v>
                </c:pt>
                <c:pt idx="7">
                  <c:v>2731.8033333333333</c:v>
                </c:pt>
                <c:pt idx="8">
                  <c:v>3738.0425</c:v>
                </c:pt>
                <c:pt idx="9">
                  <c:v>3601.1216666666664</c:v>
                </c:pt>
                <c:pt idx="10">
                  <c:v>2854.5266666666666</c:v>
                </c:pt>
                <c:pt idx="11">
                  <c:v>2810.8533333333339</c:v>
                </c:pt>
                <c:pt idx="12">
                  <c:v>2420.6691666666666</c:v>
                </c:pt>
                <c:pt idx="13">
                  <c:v>2769.6666666666665</c:v>
                </c:pt>
                <c:pt idx="14">
                  <c:v>3320.1166666666668</c:v>
                </c:pt>
                <c:pt idx="15">
                  <c:v>2894.9324999999994</c:v>
                </c:pt>
                <c:pt idx="16">
                  <c:v>2729.9175</c:v>
                </c:pt>
                <c:pt idx="17">
                  <c:v>3249.4241666666671</c:v>
                </c:pt>
                <c:pt idx="18">
                  <c:v>4189.875</c:v>
                </c:pt>
                <c:pt idx="19">
                  <c:v>6765.291666666667</c:v>
                </c:pt>
                <c:pt idx="20">
                  <c:v>9013.5233333333326</c:v>
                </c:pt>
                <c:pt idx="21">
                  <c:v>8680.5666666666675</c:v>
                </c:pt>
                <c:pt idx="22">
                  <c:v>6434.4241666666667</c:v>
                </c:pt>
                <c:pt idx="23">
                  <c:v>7567.9258333333337</c:v>
                </c:pt>
                <c:pt idx="24">
                  <c:v>8752.8225000000002</c:v>
                </c:pt>
                <c:pt idx="25">
                  <c:v>7900.5566666666673</c:v>
                </c:pt>
                <c:pt idx="26">
                  <c:v>7480.2641666666668</c:v>
                </c:pt>
                <c:pt idx="27">
                  <c:v>7647.3025000000007</c:v>
                </c:pt>
                <c:pt idx="28">
                  <c:v>7620.9058333333332</c:v>
                </c:pt>
                <c:pt idx="29">
                  <c:v>6706.3666666666677</c:v>
                </c:pt>
                <c:pt idx="30">
                  <c:v>7146.4259281305121</c:v>
                </c:pt>
                <c:pt idx="31">
                  <c:v>8706.908882582984</c:v>
                </c:pt>
                <c:pt idx="32">
                  <c:v>8603.0308029586304</c:v>
                </c:pt>
                <c:pt idx="33">
                  <c:v>8431.1699511992356</c:v>
                </c:pt>
                <c:pt idx="34">
                  <c:v>10620.642451822423</c:v>
                </c:pt>
              </c:numCache>
            </c:numRef>
          </c:val>
          <c:smooth val="0"/>
          <c:extLst>
            <c:ext xmlns:c16="http://schemas.microsoft.com/office/drawing/2014/chart" uri="{C3380CC4-5D6E-409C-BE32-E72D297353CC}">
              <c16:uniqueId val="{00000000-ECF6-4626-B336-A032D403EE63}"/>
            </c:ext>
          </c:extLst>
        </c:ser>
        <c:ser>
          <c:idx val="1"/>
          <c:order val="1"/>
          <c:tx>
            <c:strRef>
              <c:f>'Base Metals - Prices'!$J$7</c:f>
              <c:strCache>
                <c:ptCount val="1"/>
                <c:pt idx="0">
                  <c:v>Lead</c:v>
                </c:pt>
              </c:strCache>
            </c:strRef>
          </c:tx>
          <c:spPr>
            <a:ln w="28575" cap="rnd">
              <a:solidFill>
                <a:srgbClr val="FF66FF"/>
              </a:solidFill>
              <a:round/>
            </a:ln>
            <a:effectLst/>
          </c:spPr>
          <c:marker>
            <c:symbol val="none"/>
          </c:marker>
          <c:cat>
            <c:strRef>
              <c:f>'Base Metals - Prices'!$H$9:$H$43</c:f>
              <c:strCache>
                <c:ptCount val="35"/>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strCache>
            </c:strRef>
          </c:cat>
          <c:val>
            <c:numRef>
              <c:f>'Base Metals - Prices'!$J$9:$J$43</c:f>
              <c:numCache>
                <c:formatCode>#,##0.00</c:formatCode>
                <c:ptCount val="35"/>
                <c:pt idx="0">
                  <c:v>734.63038583970717</c:v>
                </c:pt>
                <c:pt idx="1">
                  <c:v>890.89775845354472</c:v>
                </c:pt>
                <c:pt idx="2">
                  <c:v>791.94769018105308</c:v>
                </c:pt>
                <c:pt idx="3">
                  <c:v>1009.5389070088927</c:v>
                </c:pt>
                <c:pt idx="4">
                  <c:v>866.0578893296896</c:v>
                </c:pt>
                <c:pt idx="5">
                  <c:v>684.86606136320222</c:v>
                </c:pt>
                <c:pt idx="6">
                  <c:v>701.02235529724078</c:v>
                </c:pt>
                <c:pt idx="7">
                  <c:v>632.25839968034154</c:v>
                </c:pt>
                <c:pt idx="8">
                  <c:v>827.95069241330464</c:v>
                </c:pt>
                <c:pt idx="9">
                  <c:v>948.38663795516652</c:v>
                </c:pt>
                <c:pt idx="10">
                  <c:v>903.67757369012099</c:v>
                </c:pt>
                <c:pt idx="11">
                  <c:v>837.68075997102017</c:v>
                </c:pt>
                <c:pt idx="12">
                  <c:v>819.82455898297314</c:v>
                </c:pt>
                <c:pt idx="13">
                  <c:v>738.57393658698959</c:v>
                </c:pt>
                <c:pt idx="14">
                  <c:v>885.02838264918728</c:v>
                </c:pt>
                <c:pt idx="15">
                  <c:v>905.95723009450069</c:v>
                </c:pt>
                <c:pt idx="16">
                  <c:v>762.68061301323462</c:v>
                </c:pt>
                <c:pt idx="17">
                  <c:v>974.48649185907527</c:v>
                </c:pt>
                <c:pt idx="18">
                  <c:v>1284.3000468375685</c:v>
                </c:pt>
                <c:pt idx="19">
                  <c:v>1433.9423451846858</c:v>
                </c:pt>
                <c:pt idx="20">
                  <c:v>2149.8650651429484</c:v>
                </c:pt>
                <c:pt idx="21">
                  <c:v>3241.1750100811419</c:v>
                </c:pt>
                <c:pt idx="22">
                  <c:v>1932.0355708465897</c:v>
                </c:pt>
                <c:pt idx="23">
                  <c:v>2371.291108506332</c:v>
                </c:pt>
                <c:pt idx="24">
                  <c:v>2419.3909783127997</c:v>
                </c:pt>
                <c:pt idx="25">
                  <c:v>2058.8074612523487</c:v>
                </c:pt>
                <c:pt idx="26">
                  <c:v>2081.3354512782839</c:v>
                </c:pt>
                <c:pt idx="27">
                  <c:v>2293.5594831169187</c:v>
                </c:pt>
                <c:pt idx="28">
                  <c:v>2374.4630051197269</c:v>
                </c:pt>
                <c:pt idx="29">
                  <c:v>2352.5099558624611</c:v>
                </c:pt>
                <c:pt idx="30">
                  <c:v>2806.834462081129</c:v>
                </c:pt>
                <c:pt idx="31">
                  <c:v>3140.6137263955789</c:v>
                </c:pt>
                <c:pt idx="32">
                  <c:v>2791.4681269859807</c:v>
                </c:pt>
                <c:pt idx="33">
                  <c:v>2821.0362119293568</c:v>
                </c:pt>
                <c:pt idx="34">
                  <c:v>2649.8354041586449</c:v>
                </c:pt>
              </c:numCache>
            </c:numRef>
          </c:val>
          <c:smooth val="0"/>
          <c:extLst>
            <c:ext xmlns:c16="http://schemas.microsoft.com/office/drawing/2014/chart" uri="{C3380CC4-5D6E-409C-BE32-E72D297353CC}">
              <c16:uniqueId val="{00000001-ECF6-4626-B336-A032D403EE63}"/>
            </c:ext>
          </c:extLst>
        </c:ser>
        <c:ser>
          <c:idx val="2"/>
          <c:order val="2"/>
          <c:tx>
            <c:strRef>
              <c:f>'Base Metals - Prices'!$K$7</c:f>
              <c:strCache>
                <c:ptCount val="1"/>
                <c:pt idx="0">
                  <c:v>Zinc</c:v>
                </c:pt>
              </c:strCache>
            </c:strRef>
          </c:tx>
          <c:spPr>
            <a:ln w="28575" cap="rnd">
              <a:solidFill>
                <a:srgbClr val="FFCCFF"/>
              </a:solidFill>
              <a:round/>
            </a:ln>
            <a:effectLst/>
          </c:spPr>
          <c:marker>
            <c:symbol val="none"/>
          </c:marker>
          <c:cat>
            <c:strRef>
              <c:f>'Base Metals - Prices'!$H$9:$H$43</c:f>
              <c:strCache>
                <c:ptCount val="35"/>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strCache>
            </c:strRef>
          </c:cat>
          <c:val>
            <c:numRef>
              <c:f>'Base Metals - Prices'!$K$9:$K$43</c:f>
              <c:numCache>
                <c:formatCode>#,##0.00</c:formatCode>
                <c:ptCount val="35"/>
                <c:pt idx="0">
                  <c:v>1223.1027656720946</c:v>
                </c:pt>
                <c:pt idx="1">
                  <c:v>1286.4465668009154</c:v>
                </c:pt>
                <c:pt idx="2">
                  <c:v>1990.6952349438488</c:v>
                </c:pt>
                <c:pt idx="3">
                  <c:v>2083.1229081035444</c:v>
                </c:pt>
                <c:pt idx="4">
                  <c:v>1662.4683064632829</c:v>
                </c:pt>
                <c:pt idx="5">
                  <c:v>1514.2492900257009</c:v>
                </c:pt>
                <c:pt idx="6">
                  <c:v>1604.4551429414589</c:v>
                </c:pt>
                <c:pt idx="7">
                  <c:v>1355.4671257836906</c:v>
                </c:pt>
                <c:pt idx="8">
                  <c:v>1411.6127692247683</c:v>
                </c:pt>
                <c:pt idx="9">
                  <c:v>1341.0567194865105</c:v>
                </c:pt>
                <c:pt idx="10">
                  <c:v>1446.5577506695543</c:v>
                </c:pt>
                <c:pt idx="11">
                  <c:v>1798.3167198581029</c:v>
                </c:pt>
                <c:pt idx="12">
                  <c:v>1592.9354116537554</c:v>
                </c:pt>
                <c:pt idx="13">
                  <c:v>1814.5016197014183</c:v>
                </c:pt>
                <c:pt idx="14">
                  <c:v>1954.1053574329351</c:v>
                </c:pt>
                <c:pt idx="15">
                  <c:v>1512.9334727119378</c:v>
                </c:pt>
                <c:pt idx="16">
                  <c:v>1329.298286335988</c:v>
                </c:pt>
                <c:pt idx="17">
                  <c:v>1344.4737042174802</c:v>
                </c:pt>
                <c:pt idx="18">
                  <c:v>1554.1907662608482</c:v>
                </c:pt>
                <c:pt idx="19">
                  <c:v>2838.6504114544191</c:v>
                </c:pt>
                <c:pt idx="20">
                  <c:v>4674.4917202778797</c:v>
                </c:pt>
                <c:pt idx="21">
                  <c:v>2901.3080587814716</c:v>
                </c:pt>
                <c:pt idx="22">
                  <c:v>1863.4608374066622</c:v>
                </c:pt>
                <c:pt idx="23">
                  <c:v>2340.1491774304127</c:v>
                </c:pt>
                <c:pt idx="24">
                  <c:v>2271.3336175498753</c:v>
                </c:pt>
                <c:pt idx="25">
                  <c:v>1954.1294943265148</c:v>
                </c:pt>
                <c:pt idx="26">
                  <c:v>1880.1307645726674</c:v>
                </c:pt>
                <c:pt idx="27">
                  <c:v>2144.889066165259</c:v>
                </c:pt>
                <c:pt idx="28">
                  <c:v>2645.1730727556346</c:v>
                </c:pt>
                <c:pt idx="29">
                  <c:v>2415.5867562904928</c:v>
                </c:pt>
                <c:pt idx="30">
                  <c:v>3365.8605158730165</c:v>
                </c:pt>
                <c:pt idx="31">
                  <c:v>4106.3012366119356</c:v>
                </c:pt>
                <c:pt idx="32">
                  <c:v>3718.9358658651854</c:v>
                </c:pt>
                <c:pt idx="33">
                  <c:v>3277.0905656121063</c:v>
                </c:pt>
                <c:pt idx="34">
                  <c:v>3548.2070516116378</c:v>
                </c:pt>
              </c:numCache>
            </c:numRef>
          </c:val>
          <c:smooth val="0"/>
          <c:extLst>
            <c:ext xmlns:c16="http://schemas.microsoft.com/office/drawing/2014/chart" uri="{C3380CC4-5D6E-409C-BE32-E72D297353CC}">
              <c16:uniqueId val="{00000002-ECF6-4626-B336-A032D403EE63}"/>
            </c:ext>
          </c:extLst>
        </c:ser>
        <c:dLbls>
          <c:showLegendKey val="0"/>
          <c:showVal val="0"/>
          <c:showCatName val="0"/>
          <c:showSerName val="0"/>
          <c:showPercent val="0"/>
          <c:showBubbleSize val="0"/>
        </c:dLbls>
        <c:smooth val="0"/>
        <c:axId val="130082304"/>
        <c:axId val="130084224"/>
      </c:lineChart>
      <c:catAx>
        <c:axId val="1300823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sz="900" b="1"/>
                  <a:t>Source: LME</a:t>
                </a:r>
              </a:p>
            </c:rich>
          </c:tx>
          <c:layout>
            <c:manualLayout>
              <c:xMode val="edge"/>
              <c:yMode val="edge"/>
              <c:x val="5.1828597251533572E-3"/>
              <c:y val="0.9559050733573624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30084224"/>
        <c:crosses val="autoZero"/>
        <c:auto val="0"/>
        <c:lblAlgn val="ctr"/>
        <c:lblOffset val="100"/>
        <c:tickLblSkip val="1"/>
        <c:noMultiLvlLbl val="1"/>
      </c:catAx>
      <c:valAx>
        <c:axId val="130084224"/>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A$</a:t>
                </a:r>
                <a:r>
                  <a:rPr lang="en-AU" b="1" baseline="0"/>
                  <a:t> per </a:t>
                </a:r>
                <a:r>
                  <a:rPr lang="en-AU" b="1"/>
                  <a:t>tonne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prstClr val="black"/>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082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Base metals</a:t>
            </a:r>
          </a:p>
          <a:p>
            <a:pPr>
              <a:defRPr/>
            </a:pPr>
            <a:r>
              <a:rPr lang="en-AU" sz="1100"/>
              <a:t>Monthly</a:t>
            </a:r>
            <a:r>
              <a:rPr lang="en-AU" sz="1100" baseline="0"/>
              <a:t> prices, P</a:t>
            </a:r>
            <a:r>
              <a:rPr lang="en-AU" sz="1100"/>
              <a:t>ast 5 Years</a:t>
            </a:r>
          </a:p>
        </c:rich>
      </c:tx>
      <c:overlay val="0"/>
    </c:title>
    <c:autoTitleDeleted val="0"/>
    <c:plotArea>
      <c:layout/>
      <c:lineChart>
        <c:grouping val="standard"/>
        <c:varyColors val="0"/>
        <c:ser>
          <c:idx val="0"/>
          <c:order val="0"/>
          <c:tx>
            <c:v>Copper</c:v>
          </c:tx>
          <c:spPr>
            <a:ln>
              <a:solidFill>
                <a:srgbClr val="CC0099"/>
              </a:solidFill>
            </a:ln>
          </c:spPr>
          <c:marker>
            <c:symbol val="none"/>
          </c:marker>
          <c:cat>
            <c:numRef>
              <c:f>'Commodity Prices'!$AX$9:$AX$68</c:f>
              <c:numCache>
                <c:formatCode>General</c:formatCode>
                <c:ptCount val="60"/>
                <c:pt idx="2" formatCode="mmm\-yy">
                  <c:v>42614</c:v>
                </c:pt>
                <c:pt idx="5" formatCode="mmm\-yy">
                  <c:v>42705</c:v>
                </c:pt>
                <c:pt idx="8" formatCode="mmm\-yy">
                  <c:v>42795</c:v>
                </c:pt>
                <c:pt idx="11" formatCode="mmm\-yy">
                  <c:v>42887</c:v>
                </c:pt>
                <c:pt idx="14" formatCode="mmm\-yy">
                  <c:v>42979</c:v>
                </c:pt>
                <c:pt idx="17" formatCode="mmm\-yy">
                  <c:v>43070</c:v>
                </c:pt>
                <c:pt idx="20" formatCode="mmm\-yy">
                  <c:v>43160</c:v>
                </c:pt>
                <c:pt idx="23" formatCode="mmm\-yy">
                  <c:v>43252</c:v>
                </c:pt>
                <c:pt idx="26" formatCode="mmm\-yy">
                  <c:v>43344</c:v>
                </c:pt>
                <c:pt idx="29" formatCode="mmm\-yy">
                  <c:v>43435</c:v>
                </c:pt>
                <c:pt idx="32" formatCode="mmm\-yy">
                  <c:v>43525</c:v>
                </c:pt>
                <c:pt idx="35" formatCode="mmm\-yy">
                  <c:v>43617</c:v>
                </c:pt>
                <c:pt idx="38" formatCode="mmm\-yy">
                  <c:v>43709</c:v>
                </c:pt>
                <c:pt idx="41" formatCode="mmm\-yy">
                  <c:v>43800</c:v>
                </c:pt>
                <c:pt idx="44" formatCode="mmm\-yy">
                  <c:v>43891</c:v>
                </c:pt>
                <c:pt idx="47" formatCode="mmm\-yy">
                  <c:v>43983</c:v>
                </c:pt>
                <c:pt idx="50" formatCode="mmm\-yy">
                  <c:v>44075</c:v>
                </c:pt>
                <c:pt idx="53" formatCode="mmm\-yy">
                  <c:v>44166</c:v>
                </c:pt>
                <c:pt idx="56" formatCode="mmm\-yy">
                  <c:v>44256</c:v>
                </c:pt>
                <c:pt idx="59" formatCode="mmm\-yy">
                  <c:v>44348</c:v>
                </c:pt>
              </c:numCache>
            </c:numRef>
          </c:cat>
          <c:val>
            <c:numRef>
              <c:f>'Base Metals - Prices'!$B$9:$B$68</c:f>
              <c:numCache>
                <c:formatCode>#,##0.00</c:formatCode>
                <c:ptCount val="60"/>
                <c:pt idx="0">
                  <c:v>6448.59</c:v>
                </c:pt>
                <c:pt idx="1">
                  <c:v>6241.91</c:v>
                </c:pt>
                <c:pt idx="2">
                  <c:v>6200.19</c:v>
                </c:pt>
                <c:pt idx="3">
                  <c:v>6213.42</c:v>
                </c:pt>
                <c:pt idx="4">
                  <c:v>7229.71</c:v>
                </c:pt>
                <c:pt idx="5">
                  <c:v>7724.95</c:v>
                </c:pt>
                <c:pt idx="6">
                  <c:v>7691.95</c:v>
                </c:pt>
                <c:pt idx="7">
                  <c:v>7750.52</c:v>
                </c:pt>
                <c:pt idx="8">
                  <c:v>7635.78</c:v>
                </c:pt>
                <c:pt idx="9">
                  <c:v>7561.6</c:v>
                </c:pt>
                <c:pt idx="10">
                  <c:v>7519.5</c:v>
                </c:pt>
                <c:pt idx="11">
                  <c:v>7538.9911375661368</c:v>
                </c:pt>
                <c:pt idx="12">
                  <c:v>7659.955156950673</c:v>
                </c:pt>
                <c:pt idx="13">
                  <c:v>8183.6556571271076</c:v>
                </c:pt>
                <c:pt idx="14">
                  <c:v>8263.0739299610905</c:v>
                </c:pt>
                <c:pt idx="15">
                  <c:v>8729.1465262617185</c:v>
                </c:pt>
                <c:pt idx="16">
                  <c:v>8953.9134199134205</c:v>
                </c:pt>
                <c:pt idx="17">
                  <c:v>8890.4024836601311</c:v>
                </c:pt>
                <c:pt idx="18">
                  <c:v>8898.1978132461991</c:v>
                </c:pt>
                <c:pt idx="19">
                  <c:v>8899.0849008642599</c:v>
                </c:pt>
                <c:pt idx="20">
                  <c:v>8758.5513597113022</c:v>
                </c:pt>
                <c:pt idx="21">
                  <c:v>8900.8850709358321</c:v>
                </c:pt>
                <c:pt idx="22">
                  <c:v>9061.8516269419561</c:v>
                </c:pt>
                <c:pt idx="23">
                  <c:v>9284.1886454221258</c:v>
                </c:pt>
                <c:pt idx="24">
                  <c:v>8437.7877355595101</c:v>
                </c:pt>
                <c:pt idx="25">
                  <c:v>8244.2669942669945</c:v>
                </c:pt>
                <c:pt idx="26">
                  <c:v>8356.5033314825087</c:v>
                </c:pt>
                <c:pt idx="27">
                  <c:v>8752.3092086736124</c:v>
                </c:pt>
                <c:pt idx="28">
                  <c:v>8543.2473444613042</c:v>
                </c:pt>
                <c:pt idx="29">
                  <c:v>8513.8460463816718</c:v>
                </c:pt>
                <c:pt idx="30">
                  <c:v>8295.3712767445122</c:v>
                </c:pt>
                <c:pt idx="31">
                  <c:v>8795.460913421126</c:v>
                </c:pt>
                <c:pt idx="32">
                  <c:v>9107.7509529860235</c:v>
                </c:pt>
                <c:pt idx="33">
                  <c:v>9062.2890888638922</c:v>
                </c:pt>
                <c:pt idx="34">
                  <c:v>8681.3220046082952</c:v>
                </c:pt>
                <c:pt idx="35">
                  <c:v>8446.2147380541173</c:v>
                </c:pt>
                <c:pt idx="36">
                  <c:v>8511.0330992978943</c:v>
                </c:pt>
                <c:pt idx="37">
                  <c:v>8435.0229052756022</c:v>
                </c:pt>
                <c:pt idx="38">
                  <c:v>8365.5794991263829</c:v>
                </c:pt>
                <c:pt idx="39">
                  <c:v>8447.9111503383356</c:v>
                </c:pt>
                <c:pt idx="40">
                  <c:v>8584.3685906826831</c:v>
                </c:pt>
                <c:pt idx="41">
                  <c:v>8800.1596748439551</c:v>
                </c:pt>
                <c:pt idx="42">
                  <c:v>8816.7905553126366</c:v>
                </c:pt>
                <c:pt idx="43">
                  <c:v>8531.8079519879975</c:v>
                </c:pt>
                <c:pt idx="44">
                  <c:v>8332.5502815768305</c:v>
                </c:pt>
                <c:pt idx="45">
                  <c:v>7999.128505783553</c:v>
                </c:pt>
                <c:pt idx="46">
                  <c:v>8029.7944154648658</c:v>
                </c:pt>
                <c:pt idx="47">
                  <c:v>8319.8927847000868</c:v>
                </c:pt>
                <c:pt idx="48">
                  <c:v>9031.6417910447763</c:v>
                </c:pt>
                <c:pt idx="49">
                  <c:v>9021.9413970281912</c:v>
                </c:pt>
                <c:pt idx="50">
                  <c:v>9287.9618098796182</c:v>
                </c:pt>
                <c:pt idx="51">
                  <c:v>9408.7170129140941</c:v>
                </c:pt>
                <c:pt idx="52">
                  <c:v>9699.8489425981879</c:v>
                </c:pt>
                <c:pt idx="53">
                  <c:v>10288.193154682938</c:v>
                </c:pt>
                <c:pt idx="54">
                  <c:v>10320.471319435454</c:v>
                </c:pt>
                <c:pt idx="55">
                  <c:v>10909.413281753708</c:v>
                </c:pt>
                <c:pt idx="56">
                  <c:v>11685.673501167921</c:v>
                </c:pt>
                <c:pt idx="57">
                  <c:v>12120.94261230849</c:v>
                </c:pt>
                <c:pt idx="58">
                  <c:v>13121.981703388738</c:v>
                </c:pt>
                <c:pt idx="59">
                  <c:v>12550.92289566697</c:v>
                </c:pt>
              </c:numCache>
            </c:numRef>
          </c:val>
          <c:smooth val="0"/>
          <c:extLst>
            <c:ext xmlns:c16="http://schemas.microsoft.com/office/drawing/2014/chart" uri="{C3380CC4-5D6E-409C-BE32-E72D297353CC}">
              <c16:uniqueId val="{00000000-E1EF-446E-A42D-D6B31BCDF914}"/>
            </c:ext>
          </c:extLst>
        </c:ser>
        <c:ser>
          <c:idx val="1"/>
          <c:order val="1"/>
          <c:tx>
            <c:v>Lead</c:v>
          </c:tx>
          <c:spPr>
            <a:ln>
              <a:solidFill>
                <a:srgbClr val="FF66CC"/>
              </a:solidFill>
            </a:ln>
          </c:spPr>
          <c:marker>
            <c:symbol val="none"/>
          </c:marker>
          <c:cat>
            <c:numRef>
              <c:f>'Commodity Prices'!$AX$9:$AX$68</c:f>
              <c:numCache>
                <c:formatCode>General</c:formatCode>
                <c:ptCount val="60"/>
                <c:pt idx="2" formatCode="mmm\-yy">
                  <c:v>42614</c:v>
                </c:pt>
                <c:pt idx="5" formatCode="mmm\-yy">
                  <c:v>42705</c:v>
                </c:pt>
                <c:pt idx="8" formatCode="mmm\-yy">
                  <c:v>42795</c:v>
                </c:pt>
                <c:pt idx="11" formatCode="mmm\-yy">
                  <c:v>42887</c:v>
                </c:pt>
                <c:pt idx="14" formatCode="mmm\-yy">
                  <c:v>42979</c:v>
                </c:pt>
                <c:pt idx="17" formatCode="mmm\-yy">
                  <c:v>43070</c:v>
                </c:pt>
                <c:pt idx="20" formatCode="mmm\-yy">
                  <c:v>43160</c:v>
                </c:pt>
                <c:pt idx="23" formatCode="mmm\-yy">
                  <c:v>43252</c:v>
                </c:pt>
                <c:pt idx="26" formatCode="mmm\-yy">
                  <c:v>43344</c:v>
                </c:pt>
                <c:pt idx="29" formatCode="mmm\-yy">
                  <c:v>43435</c:v>
                </c:pt>
                <c:pt idx="32" formatCode="mmm\-yy">
                  <c:v>43525</c:v>
                </c:pt>
                <c:pt idx="35" formatCode="mmm\-yy">
                  <c:v>43617</c:v>
                </c:pt>
                <c:pt idx="38" formatCode="mmm\-yy">
                  <c:v>43709</c:v>
                </c:pt>
                <c:pt idx="41" formatCode="mmm\-yy">
                  <c:v>43800</c:v>
                </c:pt>
                <c:pt idx="44" formatCode="mmm\-yy">
                  <c:v>43891</c:v>
                </c:pt>
                <c:pt idx="47" formatCode="mmm\-yy">
                  <c:v>43983</c:v>
                </c:pt>
                <c:pt idx="50" formatCode="mmm\-yy">
                  <c:v>44075</c:v>
                </c:pt>
                <c:pt idx="53" formatCode="mmm\-yy">
                  <c:v>44166</c:v>
                </c:pt>
                <c:pt idx="56" formatCode="mmm\-yy">
                  <c:v>44256</c:v>
                </c:pt>
                <c:pt idx="59" formatCode="mmm\-yy">
                  <c:v>44348</c:v>
                </c:pt>
              </c:numCache>
            </c:numRef>
          </c:cat>
          <c:val>
            <c:numRef>
              <c:f>'Base Metals - Prices'!$C$9:$C$68</c:f>
              <c:numCache>
                <c:formatCode>#,##0.00</c:formatCode>
                <c:ptCount val="60"/>
                <c:pt idx="0">
                  <c:v>2436.7600000000002</c:v>
                </c:pt>
                <c:pt idx="1">
                  <c:v>2412.29</c:v>
                </c:pt>
                <c:pt idx="2">
                  <c:v>2557.9899999999998</c:v>
                </c:pt>
                <c:pt idx="3">
                  <c:v>2678.48</c:v>
                </c:pt>
                <c:pt idx="4">
                  <c:v>2893.93</c:v>
                </c:pt>
                <c:pt idx="5">
                  <c:v>3041.34</c:v>
                </c:pt>
                <c:pt idx="6">
                  <c:v>2998.65</c:v>
                </c:pt>
                <c:pt idx="7">
                  <c:v>3028.6</c:v>
                </c:pt>
                <c:pt idx="8">
                  <c:v>2987.02</c:v>
                </c:pt>
                <c:pt idx="9">
                  <c:v>2961.25</c:v>
                </c:pt>
                <c:pt idx="10">
                  <c:v>2866.68</c:v>
                </c:pt>
                <c:pt idx="11">
                  <c:v>2819.0235449735446</c:v>
                </c:pt>
                <c:pt idx="12">
                  <c:v>2903.7860345932099</c:v>
                </c:pt>
                <c:pt idx="13">
                  <c:v>2977.9158436308517</c:v>
                </c:pt>
                <c:pt idx="14">
                  <c:v>2983.9161541358103</c:v>
                </c:pt>
                <c:pt idx="15">
                  <c:v>3218.5636316938489</c:v>
                </c:pt>
                <c:pt idx="16">
                  <c:v>3232.8598976780795</c:v>
                </c:pt>
                <c:pt idx="17">
                  <c:v>3279.4977777777776</c:v>
                </c:pt>
                <c:pt idx="18">
                  <c:v>3254.7103179590299</c:v>
                </c:pt>
                <c:pt idx="19">
                  <c:v>3280.1537874936448</c:v>
                </c:pt>
                <c:pt idx="20">
                  <c:v>3089.3156334579198</c:v>
                </c:pt>
                <c:pt idx="21">
                  <c:v>3068.3001431732396</c:v>
                </c:pt>
                <c:pt idx="22">
                  <c:v>3140.1181620363341</c:v>
                </c:pt>
                <c:pt idx="23">
                  <c:v>3258.2273331172014</c:v>
                </c:pt>
                <c:pt idx="24">
                  <c:v>2988.3985022405009</c:v>
                </c:pt>
                <c:pt idx="25">
                  <c:v>2818.5416821780459</c:v>
                </c:pt>
                <c:pt idx="26">
                  <c:v>2815.415047196002</c:v>
                </c:pt>
                <c:pt idx="27">
                  <c:v>2795.1985356237678</c:v>
                </c:pt>
                <c:pt idx="28">
                  <c:v>2676.4506703118927</c:v>
                </c:pt>
                <c:pt idx="29">
                  <c:v>2745.84197261805</c:v>
                </c:pt>
                <c:pt idx="30">
                  <c:v>2788.6449447629707</c:v>
                </c:pt>
                <c:pt idx="31">
                  <c:v>2888.8764359764641</c:v>
                </c:pt>
                <c:pt idx="32">
                  <c:v>2900.7059155724978</c:v>
                </c:pt>
                <c:pt idx="33">
                  <c:v>2740.2277840269962</c:v>
                </c:pt>
                <c:pt idx="34">
                  <c:v>2616.9498847926266</c:v>
                </c:pt>
                <c:pt idx="35">
                  <c:v>2722.3661485319517</c:v>
                </c:pt>
                <c:pt idx="36">
                  <c:v>2828.5141137698811</c:v>
                </c:pt>
                <c:pt idx="37">
                  <c:v>3019.3438746859761</c:v>
                </c:pt>
                <c:pt idx="38">
                  <c:v>3015.2300524170068</c:v>
                </c:pt>
                <c:pt idx="39">
                  <c:v>3213.1509267431602</c:v>
                </c:pt>
                <c:pt idx="40">
                  <c:v>2976.7067096396136</c:v>
                </c:pt>
                <c:pt idx="41">
                  <c:v>2756.9313398170998</c:v>
                </c:pt>
                <c:pt idx="42">
                  <c:v>2805.9466550065586</c:v>
                </c:pt>
                <c:pt idx="43">
                  <c:v>2809.1522880720181</c:v>
                </c:pt>
                <c:pt idx="44">
                  <c:v>2807.1440064360418</c:v>
                </c:pt>
                <c:pt idx="45">
                  <c:v>2616.906987799081</c:v>
                </c:pt>
                <c:pt idx="46">
                  <c:v>2482.6020251610921</c:v>
                </c:pt>
                <c:pt idx="47">
                  <c:v>2520.805563604752</c:v>
                </c:pt>
                <c:pt idx="48">
                  <c:v>2575.9061833688702</c:v>
                </c:pt>
                <c:pt idx="49">
                  <c:v>2687.4045271490072</c:v>
                </c:pt>
                <c:pt idx="50">
                  <c:v>2603.2378580323784</c:v>
                </c:pt>
                <c:pt idx="51">
                  <c:v>2494.4834362717575</c:v>
                </c:pt>
                <c:pt idx="52">
                  <c:v>2629.0579511123319</c:v>
                </c:pt>
                <c:pt idx="53">
                  <c:v>2677.8986468559297</c:v>
                </c:pt>
                <c:pt idx="54">
                  <c:v>2608.9990936164704</c:v>
                </c:pt>
                <c:pt idx="55">
                  <c:v>2689.5551257253387</c:v>
                </c:pt>
                <c:pt idx="56">
                  <c:v>2544.4588632234622</c:v>
                </c:pt>
                <c:pt idx="57">
                  <c:v>2604.9467670734875</c:v>
                </c:pt>
                <c:pt idx="58">
                  <c:v>2816.5442597603401</c:v>
                </c:pt>
                <c:pt idx="59">
                  <c:v>2865.5321377143605</c:v>
                </c:pt>
              </c:numCache>
            </c:numRef>
          </c:val>
          <c:smooth val="0"/>
          <c:extLst>
            <c:ext xmlns:c16="http://schemas.microsoft.com/office/drawing/2014/chart" uri="{C3380CC4-5D6E-409C-BE32-E72D297353CC}">
              <c16:uniqueId val="{00000001-E1EF-446E-A42D-D6B31BCDF914}"/>
            </c:ext>
          </c:extLst>
        </c:ser>
        <c:ser>
          <c:idx val="2"/>
          <c:order val="2"/>
          <c:tx>
            <c:v>Zinc</c:v>
          </c:tx>
          <c:spPr>
            <a:ln>
              <a:solidFill>
                <a:srgbClr val="F6B4E8"/>
              </a:solidFill>
            </a:ln>
          </c:spPr>
          <c:marker>
            <c:symbol val="none"/>
          </c:marker>
          <c:cat>
            <c:numRef>
              <c:f>'Commodity Prices'!$AX$9:$AX$68</c:f>
              <c:numCache>
                <c:formatCode>General</c:formatCode>
                <c:ptCount val="60"/>
                <c:pt idx="2" formatCode="mmm\-yy">
                  <c:v>42614</c:v>
                </c:pt>
                <c:pt idx="5" formatCode="mmm\-yy">
                  <c:v>42705</c:v>
                </c:pt>
                <c:pt idx="8" formatCode="mmm\-yy">
                  <c:v>42795</c:v>
                </c:pt>
                <c:pt idx="11" formatCode="mmm\-yy">
                  <c:v>42887</c:v>
                </c:pt>
                <c:pt idx="14" formatCode="mmm\-yy">
                  <c:v>42979</c:v>
                </c:pt>
                <c:pt idx="17" formatCode="mmm\-yy">
                  <c:v>43070</c:v>
                </c:pt>
                <c:pt idx="20" formatCode="mmm\-yy">
                  <c:v>43160</c:v>
                </c:pt>
                <c:pt idx="23" formatCode="mmm\-yy">
                  <c:v>43252</c:v>
                </c:pt>
                <c:pt idx="26" formatCode="mmm\-yy">
                  <c:v>43344</c:v>
                </c:pt>
                <c:pt idx="29" formatCode="mmm\-yy">
                  <c:v>43435</c:v>
                </c:pt>
                <c:pt idx="32" formatCode="mmm\-yy">
                  <c:v>43525</c:v>
                </c:pt>
                <c:pt idx="35" formatCode="mmm\-yy">
                  <c:v>43617</c:v>
                </c:pt>
                <c:pt idx="38" formatCode="mmm\-yy">
                  <c:v>43709</c:v>
                </c:pt>
                <c:pt idx="41" formatCode="mmm\-yy">
                  <c:v>43800</c:v>
                </c:pt>
                <c:pt idx="44" formatCode="mmm\-yy">
                  <c:v>43891</c:v>
                </c:pt>
                <c:pt idx="47" formatCode="mmm\-yy">
                  <c:v>43983</c:v>
                </c:pt>
                <c:pt idx="50" formatCode="mmm\-yy">
                  <c:v>44075</c:v>
                </c:pt>
                <c:pt idx="53" formatCode="mmm\-yy">
                  <c:v>44166</c:v>
                </c:pt>
                <c:pt idx="56" formatCode="mmm\-yy">
                  <c:v>44256</c:v>
                </c:pt>
                <c:pt idx="59" formatCode="mmm\-yy">
                  <c:v>44348</c:v>
                </c:pt>
              </c:numCache>
            </c:numRef>
          </c:cat>
          <c:val>
            <c:numRef>
              <c:f>'Base Metals - Prices'!$D$9:$D$68</c:f>
              <c:numCache>
                <c:formatCode>#,##0.00</c:formatCode>
                <c:ptCount val="60"/>
                <c:pt idx="0">
                  <c:v>2901.51</c:v>
                </c:pt>
                <c:pt idx="1">
                  <c:v>2994.59</c:v>
                </c:pt>
                <c:pt idx="2">
                  <c:v>3020.02</c:v>
                </c:pt>
                <c:pt idx="3">
                  <c:v>3038.53</c:v>
                </c:pt>
                <c:pt idx="4">
                  <c:v>3411.93</c:v>
                </c:pt>
                <c:pt idx="5">
                  <c:v>3642.4</c:v>
                </c:pt>
                <c:pt idx="6">
                  <c:v>3637.22</c:v>
                </c:pt>
                <c:pt idx="7">
                  <c:v>3715.66</c:v>
                </c:pt>
                <c:pt idx="8">
                  <c:v>3648.66</c:v>
                </c:pt>
                <c:pt idx="9">
                  <c:v>3494.4</c:v>
                </c:pt>
                <c:pt idx="10">
                  <c:v>3483.38</c:v>
                </c:pt>
                <c:pt idx="11">
                  <c:v>3402.0261904761901</c:v>
                </c:pt>
                <c:pt idx="12">
                  <c:v>3568.3472133247915</c:v>
                </c:pt>
                <c:pt idx="13">
                  <c:v>3766.8530938490512</c:v>
                </c:pt>
                <c:pt idx="14">
                  <c:v>3915.8855278021842</c:v>
                </c:pt>
                <c:pt idx="15">
                  <c:v>4204.3848722229359</c:v>
                </c:pt>
                <c:pt idx="16">
                  <c:v>4245.2565918929558</c:v>
                </c:pt>
                <c:pt idx="17">
                  <c:v>4173.1682352941179</c:v>
                </c:pt>
                <c:pt idx="18">
                  <c:v>4332.2923212265932</c:v>
                </c:pt>
                <c:pt idx="19">
                  <c:v>4498.9514489069643</c:v>
                </c:pt>
                <c:pt idx="20">
                  <c:v>4227.9675215878333</c:v>
                </c:pt>
                <c:pt idx="21">
                  <c:v>4153.2279057659771</c:v>
                </c:pt>
                <c:pt idx="22">
                  <c:v>4061.9781387581597</c:v>
                </c:pt>
                <c:pt idx="23">
                  <c:v>4127.3019687116603</c:v>
                </c:pt>
                <c:pt idx="24">
                  <c:v>3590.4487140138722</c:v>
                </c:pt>
                <c:pt idx="25">
                  <c:v>3426.8669495942227</c:v>
                </c:pt>
                <c:pt idx="26">
                  <c:v>3377.5680177679064</c:v>
                </c:pt>
                <c:pt idx="27">
                  <c:v>3762.1374260771609</c:v>
                </c:pt>
                <c:pt idx="28">
                  <c:v>3576.8569959492847</c:v>
                </c:pt>
                <c:pt idx="29">
                  <c:v>3668.0706901369099</c:v>
                </c:pt>
                <c:pt idx="30">
                  <c:v>3578.7721996923506</c:v>
                </c:pt>
                <c:pt idx="31">
                  <c:v>3786.5648641075932</c:v>
                </c:pt>
                <c:pt idx="32">
                  <c:v>4025.6953268389098</c:v>
                </c:pt>
                <c:pt idx="33">
                  <c:v>4132.100674915635</c:v>
                </c:pt>
                <c:pt idx="34">
                  <c:v>3956.998847926267</c:v>
                </c:pt>
                <c:pt idx="35">
                  <c:v>3745.149683362119</c:v>
                </c:pt>
                <c:pt idx="36">
                  <c:v>3498.3235420547358</c:v>
                </c:pt>
                <c:pt idx="37">
                  <c:v>3362.1102408748338</c:v>
                </c:pt>
                <c:pt idx="38">
                  <c:v>3377.460687245195</c:v>
                </c:pt>
                <c:pt idx="39">
                  <c:v>3597.513974698441</c:v>
                </c:pt>
                <c:pt idx="40">
                  <c:v>3564.2396718429532</c:v>
                </c:pt>
                <c:pt idx="41">
                  <c:v>3300.9580490637254</c:v>
                </c:pt>
                <c:pt idx="42">
                  <c:v>3435.7528057134527</c:v>
                </c:pt>
                <c:pt idx="43">
                  <c:v>3181.5153788447114</c:v>
                </c:pt>
                <c:pt idx="44">
                  <c:v>3066.1464199517291</c:v>
                </c:pt>
                <c:pt idx="45">
                  <c:v>3001.2359372524165</c:v>
                </c:pt>
                <c:pt idx="46">
                  <c:v>3012.2583614605705</c:v>
                </c:pt>
                <c:pt idx="47">
                  <c:v>2927.571718342509</c:v>
                </c:pt>
                <c:pt idx="48">
                  <c:v>3073.5465529495377</c:v>
                </c:pt>
                <c:pt idx="49">
                  <c:v>3342.3552284404946</c:v>
                </c:pt>
                <c:pt idx="50">
                  <c:v>3390.7568839075689</c:v>
                </c:pt>
                <c:pt idx="51">
                  <c:v>3427.2178551375632</c:v>
                </c:pt>
                <c:pt idx="52">
                  <c:v>3666.1494095028843</c:v>
                </c:pt>
                <c:pt idx="53">
                  <c:v>3691.1117007163703</c:v>
                </c:pt>
                <c:pt idx="54">
                  <c:v>3506.0209763045445</c:v>
                </c:pt>
                <c:pt idx="55">
                  <c:v>3498.6460348162477</c:v>
                </c:pt>
                <c:pt idx="56">
                  <c:v>3622.6966000519078</c:v>
                </c:pt>
                <c:pt idx="57">
                  <c:v>3670.9296286678782</c:v>
                </c:pt>
                <c:pt idx="58">
                  <c:v>3827.2001030795</c:v>
                </c:pt>
                <c:pt idx="59">
                  <c:v>3861.8536457651526</c:v>
                </c:pt>
              </c:numCache>
            </c:numRef>
          </c:val>
          <c:smooth val="0"/>
          <c:extLst>
            <c:ext xmlns:c16="http://schemas.microsoft.com/office/drawing/2014/chart" uri="{C3380CC4-5D6E-409C-BE32-E72D297353CC}">
              <c16:uniqueId val="{00000002-E1EF-446E-A42D-D6B31BCDF914}"/>
            </c:ext>
          </c:extLst>
        </c:ser>
        <c:dLbls>
          <c:showLegendKey val="0"/>
          <c:showVal val="0"/>
          <c:showCatName val="0"/>
          <c:showSerName val="0"/>
          <c:showPercent val="0"/>
          <c:showBubbleSize val="0"/>
        </c:dLbls>
        <c:smooth val="0"/>
        <c:axId val="130587648"/>
        <c:axId val="130586112"/>
      </c:lineChart>
      <c:valAx>
        <c:axId val="130586112"/>
        <c:scaling>
          <c:orientation val="minMax"/>
        </c:scaling>
        <c:delete val="0"/>
        <c:axPos val="l"/>
        <c:majorGridlines/>
        <c:title>
          <c:tx>
            <c:rich>
              <a:bodyPr/>
              <a:lstStyle/>
              <a:p>
                <a:pPr>
                  <a:defRPr/>
                </a:pPr>
                <a:r>
                  <a:rPr lang="en-AU"/>
                  <a:t>A$</a:t>
                </a:r>
                <a:r>
                  <a:rPr lang="en-AU" baseline="0"/>
                  <a:t> per </a:t>
                </a:r>
                <a:r>
                  <a:rPr lang="en-AU"/>
                  <a:t>tonne</a:t>
                </a:r>
              </a:p>
            </c:rich>
          </c:tx>
          <c:overlay val="0"/>
        </c:title>
        <c:numFmt formatCode="#,##0" sourceLinked="0"/>
        <c:majorTickMark val="out"/>
        <c:minorTickMark val="none"/>
        <c:tickLblPos val="nextTo"/>
        <c:crossAx val="130587648"/>
        <c:crosses val="autoZero"/>
        <c:crossBetween val="between"/>
      </c:valAx>
      <c:catAx>
        <c:axId val="130587648"/>
        <c:scaling>
          <c:orientation val="minMax"/>
        </c:scaling>
        <c:delete val="0"/>
        <c:axPos val="b"/>
        <c:title>
          <c:tx>
            <c:rich>
              <a:bodyPr/>
              <a:lstStyle/>
              <a:p>
                <a:pPr>
                  <a:defRPr sz="900"/>
                </a:pPr>
                <a:r>
                  <a:rPr lang="en-AU" sz="900" b="1" i="0" baseline="0">
                    <a:effectLst/>
                    <a:latin typeface="+mn-lt"/>
                  </a:rPr>
                  <a:t>Source: LME</a:t>
                </a:r>
                <a:endParaRPr lang="en-AU" sz="900" b="1">
                  <a:effectLst/>
                  <a:latin typeface="+mn-lt"/>
                </a:endParaRPr>
              </a:p>
            </c:rich>
          </c:tx>
          <c:layout>
            <c:manualLayout>
              <c:xMode val="edge"/>
              <c:yMode val="edge"/>
              <c:x val="0"/>
              <c:y val="0.95241450584702547"/>
            </c:manualLayout>
          </c:layout>
          <c:overlay val="0"/>
        </c:title>
        <c:numFmt formatCode="General" sourceLinked="1"/>
        <c:majorTickMark val="out"/>
        <c:minorTickMark val="none"/>
        <c:tickLblPos val="nextTo"/>
        <c:crossAx val="130586112"/>
        <c:crosses val="autoZero"/>
        <c:auto val="0"/>
        <c:lblAlgn val="ctr"/>
        <c:lblOffset val="100"/>
        <c:tickMarkSkip val="3"/>
        <c:noMultiLvlLbl val="1"/>
      </c:cat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'Q&amp;V Summary 2-years'!$AM$1</c:f>
          <c:strCache>
            <c:ptCount val="1"/>
            <c:pt idx="0">
              <c:v>2020-21 Mineral and Petroleum Summary</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ofPieChart>
        <c:ofPieType val="pie"/>
        <c:varyColors val="1"/>
        <c:ser>
          <c:idx val="0"/>
          <c:order val="0"/>
          <c:tx>
            <c:strRef>
              <c:f>'Q&amp;V Summary 2-years'!$Q$12:$R$12</c:f>
              <c:strCache>
                <c:ptCount val="1"/>
                <c:pt idx="0">
                  <c:v>2020-21</c:v>
                </c:pt>
              </c:strCache>
            </c:strRef>
          </c:tx>
          <c:dPt>
            <c:idx val="0"/>
            <c:bubble3D val="0"/>
            <c:spPr>
              <a:solidFill>
                <a:schemeClr val="accent5">
                  <a:shade val="41000"/>
                </a:schemeClr>
              </a:solidFill>
              <a:ln w="19050">
                <a:solidFill>
                  <a:schemeClr val="lt1"/>
                </a:solidFill>
              </a:ln>
              <a:effectLst/>
            </c:spPr>
            <c:extLst>
              <c:ext xmlns:c16="http://schemas.microsoft.com/office/drawing/2014/chart" uri="{C3380CC4-5D6E-409C-BE32-E72D297353CC}">
                <c16:uniqueId val="{00000001-0177-4D46-8B93-86944A70D4BC}"/>
              </c:ext>
            </c:extLst>
          </c:dPt>
          <c:dPt>
            <c:idx val="1"/>
            <c:bubble3D val="0"/>
            <c:spPr>
              <a:solidFill>
                <a:schemeClr val="accent5">
                  <a:shade val="53000"/>
                </a:schemeClr>
              </a:solidFill>
              <a:ln w="19050">
                <a:solidFill>
                  <a:schemeClr val="lt1"/>
                </a:solidFill>
              </a:ln>
              <a:effectLst/>
            </c:spPr>
            <c:extLst>
              <c:ext xmlns:c16="http://schemas.microsoft.com/office/drawing/2014/chart" uri="{C3380CC4-5D6E-409C-BE32-E72D297353CC}">
                <c16:uniqueId val="{00000003-0177-4D46-8B93-86944A70D4BC}"/>
              </c:ext>
            </c:extLst>
          </c:dPt>
          <c:dPt>
            <c:idx val="2"/>
            <c:bubble3D val="0"/>
            <c:spPr>
              <a:solidFill>
                <a:schemeClr val="accent5">
                  <a:shade val="65000"/>
                </a:schemeClr>
              </a:solidFill>
              <a:ln w="19050">
                <a:solidFill>
                  <a:schemeClr val="lt1"/>
                </a:solidFill>
              </a:ln>
              <a:effectLst/>
            </c:spPr>
            <c:extLst>
              <c:ext xmlns:c16="http://schemas.microsoft.com/office/drawing/2014/chart" uri="{C3380CC4-5D6E-409C-BE32-E72D297353CC}">
                <c16:uniqueId val="{00000005-0177-4D46-8B93-86944A70D4BC}"/>
              </c:ext>
            </c:extLst>
          </c:dPt>
          <c:dPt>
            <c:idx val="3"/>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7-0177-4D46-8B93-86944A70D4BC}"/>
              </c:ext>
            </c:extLst>
          </c:dPt>
          <c:dPt>
            <c:idx val="4"/>
            <c:bubble3D val="0"/>
            <c:spPr>
              <a:solidFill>
                <a:schemeClr val="accent5">
                  <a:shade val="88000"/>
                </a:schemeClr>
              </a:solidFill>
              <a:ln w="19050">
                <a:solidFill>
                  <a:schemeClr val="lt1"/>
                </a:solidFill>
              </a:ln>
              <a:effectLst/>
            </c:spPr>
            <c:extLst>
              <c:ext xmlns:c16="http://schemas.microsoft.com/office/drawing/2014/chart" uri="{C3380CC4-5D6E-409C-BE32-E72D297353CC}">
                <c16:uniqueId val="{00000009-0177-4D46-8B93-86944A70D4BC}"/>
              </c:ext>
            </c:extLst>
          </c:dPt>
          <c:dPt>
            <c:idx val="5"/>
            <c:bubble3D val="0"/>
            <c:spPr>
              <a:solidFill>
                <a:schemeClr val="accent5"/>
              </a:solidFill>
              <a:ln w="19050">
                <a:solidFill>
                  <a:schemeClr val="lt1"/>
                </a:solidFill>
              </a:ln>
              <a:effectLst/>
            </c:spPr>
            <c:extLst>
              <c:ext xmlns:c16="http://schemas.microsoft.com/office/drawing/2014/chart" uri="{C3380CC4-5D6E-409C-BE32-E72D297353CC}">
                <c16:uniqueId val="{0000000B-0177-4D46-8B93-86944A70D4BC}"/>
              </c:ext>
            </c:extLst>
          </c:dPt>
          <c:dPt>
            <c:idx val="6"/>
            <c:bubble3D val="0"/>
            <c:spPr>
              <a:solidFill>
                <a:schemeClr val="accent5">
                  <a:tint val="89000"/>
                </a:schemeClr>
              </a:solidFill>
              <a:ln w="19050">
                <a:solidFill>
                  <a:schemeClr val="lt1"/>
                </a:solidFill>
              </a:ln>
              <a:effectLst/>
            </c:spPr>
            <c:extLst>
              <c:ext xmlns:c16="http://schemas.microsoft.com/office/drawing/2014/chart" uri="{C3380CC4-5D6E-409C-BE32-E72D297353CC}">
                <c16:uniqueId val="{0000000D-0177-4D46-8B93-86944A70D4BC}"/>
              </c:ext>
            </c:extLst>
          </c:dPt>
          <c:dPt>
            <c:idx val="7"/>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F-0177-4D46-8B93-86944A70D4BC}"/>
              </c:ext>
            </c:extLst>
          </c:dPt>
          <c:dPt>
            <c:idx val="8"/>
            <c:bubble3D val="0"/>
            <c:spPr>
              <a:solidFill>
                <a:schemeClr val="accent5">
                  <a:tint val="65000"/>
                </a:schemeClr>
              </a:solidFill>
              <a:ln w="19050">
                <a:solidFill>
                  <a:schemeClr val="lt1"/>
                </a:solidFill>
              </a:ln>
              <a:effectLst/>
            </c:spPr>
            <c:extLst>
              <c:ext xmlns:c16="http://schemas.microsoft.com/office/drawing/2014/chart" uri="{C3380CC4-5D6E-409C-BE32-E72D297353CC}">
                <c16:uniqueId val="{00000011-0177-4D46-8B93-86944A70D4BC}"/>
              </c:ext>
            </c:extLst>
          </c:dPt>
          <c:dPt>
            <c:idx val="9"/>
            <c:bubble3D val="0"/>
            <c:spPr>
              <a:solidFill>
                <a:schemeClr val="accent5">
                  <a:tint val="54000"/>
                </a:schemeClr>
              </a:solidFill>
              <a:ln w="19050">
                <a:solidFill>
                  <a:schemeClr val="lt1"/>
                </a:solidFill>
              </a:ln>
              <a:effectLst/>
            </c:spPr>
            <c:extLst>
              <c:ext xmlns:c16="http://schemas.microsoft.com/office/drawing/2014/chart" uri="{C3380CC4-5D6E-409C-BE32-E72D297353CC}">
                <c16:uniqueId val="{00000013-0177-4D46-8B93-86944A70D4BC}"/>
              </c:ext>
            </c:extLst>
          </c:dPt>
          <c:dPt>
            <c:idx val="10"/>
            <c:bubble3D val="0"/>
            <c:spPr>
              <a:solidFill>
                <a:schemeClr val="accent5">
                  <a:tint val="42000"/>
                </a:schemeClr>
              </a:solidFill>
              <a:ln w="19050">
                <a:solidFill>
                  <a:schemeClr val="lt1"/>
                </a:solidFill>
              </a:ln>
              <a:effectLst/>
            </c:spPr>
            <c:extLst>
              <c:ext xmlns:c16="http://schemas.microsoft.com/office/drawing/2014/chart" uri="{C3380CC4-5D6E-409C-BE32-E72D297353CC}">
                <c16:uniqueId val="{00000015-0177-4D46-8B93-86944A70D4BC}"/>
              </c:ext>
            </c:extLst>
          </c:dPt>
          <c:dPt>
            <c:idx val="11"/>
            <c:bubble3D val="0"/>
            <c:spPr>
              <a:solidFill>
                <a:schemeClr val="accent5">
                  <a:tint val="30000"/>
                </a:schemeClr>
              </a:solidFill>
              <a:ln w="19050">
                <a:solidFill>
                  <a:schemeClr val="lt1"/>
                </a:solidFill>
              </a:ln>
              <a:effectLst/>
            </c:spPr>
            <c:extLst>
              <c:ext xmlns:c16="http://schemas.microsoft.com/office/drawing/2014/chart" uri="{C3380CC4-5D6E-409C-BE32-E72D297353CC}">
                <c16:uniqueId val="{00000017-0177-4D46-8B93-86944A70D4BC}"/>
              </c:ext>
            </c:extLst>
          </c:dPt>
          <c:dLbls>
            <c:dLbl>
              <c:idx val="0"/>
              <c:layout>
                <c:manualLayout>
                  <c:x val="0.1318102727191037"/>
                  <c:y val="-0.1129461592666101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77-4D46-8B93-86944A70D4BC}"/>
                </c:ext>
              </c:extLst>
            </c:dLbl>
            <c:dLbl>
              <c:idx val="3"/>
              <c:layout>
                <c:manualLayout>
                  <c:x val="5.092890450189823E-3"/>
                  <c:y val="-7.851277616291203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77-4D46-8B93-86944A70D4BC}"/>
                </c:ext>
              </c:extLst>
            </c:dLbl>
            <c:dLbl>
              <c:idx val="4"/>
              <c:layout>
                <c:manualLayout>
                  <c:x val="1.6820512465062016E-2"/>
                  <c:y val="-7.5406740550252663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3461905496291635"/>
                      <c:h val="4.9055605009852551E-2"/>
                    </c:manualLayout>
                  </c15:layout>
                </c:ext>
                <c:ext xmlns:c16="http://schemas.microsoft.com/office/drawing/2014/chart" uri="{C3380CC4-5D6E-409C-BE32-E72D297353CC}">
                  <c16:uniqueId val="{00000009-0177-4D46-8B93-86944A70D4BC}"/>
                </c:ext>
              </c:extLst>
            </c:dLbl>
            <c:dLbl>
              <c:idx val="10"/>
              <c:layout>
                <c:manualLayout>
                  <c:x val="1.8273546402894646E-2"/>
                  <c:y val="-5.4761366612382102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1391689529615305"/>
                      <c:h val="4.9055605009852551E-2"/>
                    </c:manualLayout>
                  </c15:layout>
                </c:ext>
                <c:ext xmlns:c16="http://schemas.microsoft.com/office/drawing/2014/chart" uri="{C3380CC4-5D6E-409C-BE32-E72D297353CC}">
                  <c16:uniqueId val="{00000015-0177-4D46-8B93-86944A70D4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'Q&amp;V Summary 2-years'!$N$14:$N$24</c:f>
              <c:strCache>
                <c:ptCount val="11"/>
                <c:pt idx="0">
                  <c:v>Iron ore</c:v>
                </c:pt>
                <c:pt idx="1">
                  <c:v>Gold</c:v>
                </c:pt>
                <c:pt idx="2">
                  <c:v>LNG</c:v>
                </c:pt>
                <c:pt idx="3">
                  <c:v>Crude Oil and Condensate</c:v>
                </c:pt>
                <c:pt idx="4">
                  <c:v>Alumina and Bauxite</c:v>
                </c:pt>
                <c:pt idx="5">
                  <c:v>Nickel</c:v>
                </c:pt>
                <c:pt idx="6">
                  <c:v>Base Metals</c:v>
                </c:pt>
                <c:pt idx="7">
                  <c:v>Natural Gas and LPG</c:v>
                </c:pt>
                <c:pt idx="8">
                  <c:v>Lithium</c:v>
                </c:pt>
                <c:pt idx="9">
                  <c:v>Mineral Sands</c:v>
                </c:pt>
                <c:pt idx="10">
                  <c:v>Other Minerals</c:v>
                </c:pt>
              </c:strCache>
            </c:strRef>
          </c:cat>
          <c:val>
            <c:numRef>
              <c:f>'Q&amp;V Summary 2-years'!$R$14:$R$24</c:f>
              <c:numCache>
                <c:formatCode>0.0%</c:formatCode>
                <c:ptCount val="11"/>
                <c:pt idx="0">
                  <c:v>0.7380720769446496</c:v>
                </c:pt>
                <c:pt idx="1">
                  <c:v>7.9056404725678889E-2</c:v>
                </c:pt>
                <c:pt idx="2">
                  <c:v>7.5272548378918919E-2</c:v>
                </c:pt>
                <c:pt idx="3">
                  <c:v>2.8593141975000499E-2</c:v>
                </c:pt>
                <c:pt idx="4">
                  <c:v>2.6545002317824438E-2</c:v>
                </c:pt>
                <c:pt idx="5">
                  <c:v>1.6602382041373067E-2</c:v>
                </c:pt>
                <c:pt idx="6">
                  <c:v>8.1877590143894733E-3</c:v>
                </c:pt>
                <c:pt idx="7">
                  <c:v>8.1035445795669906E-3</c:v>
                </c:pt>
                <c:pt idx="8">
                  <c:v>4.4756904109500137E-3</c:v>
                </c:pt>
                <c:pt idx="9">
                  <c:v>3.9325888889171299E-3</c:v>
                </c:pt>
                <c:pt idx="10">
                  <c:v>1.1158860722730942E-2</c:v>
                </c:pt>
              </c:numCache>
            </c:numRef>
          </c:val>
          <c:extLst>
            <c:ext xmlns:c16="http://schemas.microsoft.com/office/drawing/2014/chart" uri="{C3380CC4-5D6E-409C-BE32-E72D297353CC}">
              <c16:uniqueId val="{00000016-C909-48E2-8181-3BB431DDDAE8}"/>
            </c:ext>
          </c:extLst>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'Base Metals - Exports'!$W$2</c:f>
          <c:strCache>
            <c:ptCount val="1"/>
            <c:pt idx="0">
              <c:v>Base Metals Exports 2019-20
Total Value: $2,065,283,601</c:v>
            </c:pt>
          </c:strCache>
        </c:strRef>
      </c:tx>
      <c:overlay val="0"/>
      <c:txPr>
        <a:bodyPr/>
        <a:lstStyle/>
        <a:p>
          <a:pPr>
            <a:defRPr/>
          </a:pPr>
          <a:endParaRPr lang="en-US"/>
        </a:p>
      </c:txPr>
    </c:title>
    <c:autoTitleDeleted val="0"/>
    <c:plotArea>
      <c:layout/>
      <c:pieChart>
        <c:varyColors val="1"/>
        <c:ser>
          <c:idx val="0"/>
          <c:order val="0"/>
          <c:dPt>
            <c:idx val="0"/>
            <c:bubble3D val="0"/>
            <c:spPr>
              <a:solidFill>
                <a:srgbClr val="B21698"/>
              </a:solidFill>
            </c:spPr>
            <c:extLst>
              <c:ext xmlns:c16="http://schemas.microsoft.com/office/drawing/2014/chart" uri="{C3380CC4-5D6E-409C-BE32-E72D297353CC}">
                <c16:uniqueId val="{00000001-3303-47B1-9F3B-AF6288FAD45F}"/>
              </c:ext>
            </c:extLst>
          </c:dPt>
          <c:dPt>
            <c:idx val="1"/>
            <c:bubble3D val="0"/>
            <c:spPr>
              <a:solidFill>
                <a:srgbClr val="CD23B1"/>
              </a:solidFill>
            </c:spPr>
            <c:extLst>
              <c:ext xmlns:c16="http://schemas.microsoft.com/office/drawing/2014/chart" uri="{C3380CC4-5D6E-409C-BE32-E72D297353CC}">
                <c16:uniqueId val="{00000003-3303-47B1-9F3B-AF6288FAD45F}"/>
              </c:ext>
            </c:extLst>
          </c:dPt>
          <c:dPt>
            <c:idx val="2"/>
            <c:bubble3D val="0"/>
            <c:spPr>
              <a:solidFill>
                <a:srgbClr val="D444BC"/>
              </a:solidFill>
            </c:spPr>
            <c:extLst>
              <c:ext xmlns:c16="http://schemas.microsoft.com/office/drawing/2014/chart" uri="{C3380CC4-5D6E-409C-BE32-E72D297353CC}">
                <c16:uniqueId val="{00000005-3303-47B1-9F3B-AF6288FAD45F}"/>
              </c:ext>
            </c:extLst>
          </c:dPt>
          <c:dPt>
            <c:idx val="3"/>
            <c:bubble3D val="0"/>
            <c:spPr>
              <a:solidFill>
                <a:srgbClr val="D46CC3"/>
              </a:solidFill>
            </c:spPr>
            <c:extLst>
              <c:ext xmlns:c16="http://schemas.microsoft.com/office/drawing/2014/chart" uri="{C3380CC4-5D6E-409C-BE32-E72D297353CC}">
                <c16:uniqueId val="{00000007-3303-47B1-9F3B-AF6288FAD45F}"/>
              </c:ext>
            </c:extLst>
          </c:dPt>
          <c:dPt>
            <c:idx val="4"/>
            <c:bubble3D val="0"/>
            <c:spPr>
              <a:solidFill>
                <a:srgbClr val="D791CB"/>
              </a:solidFill>
            </c:spPr>
            <c:extLst>
              <c:ext xmlns:c16="http://schemas.microsoft.com/office/drawing/2014/chart" uri="{C3380CC4-5D6E-409C-BE32-E72D297353CC}">
                <c16:uniqueId val="{00000009-3303-47B1-9F3B-AF6288FAD45F}"/>
              </c:ext>
            </c:extLst>
          </c:dPt>
          <c:dPt>
            <c:idx val="5"/>
            <c:bubble3D val="0"/>
            <c:spPr>
              <a:solidFill>
                <a:srgbClr val="DEB2D7"/>
              </a:solidFill>
            </c:spPr>
            <c:extLst>
              <c:ext xmlns:c16="http://schemas.microsoft.com/office/drawing/2014/chart" uri="{C3380CC4-5D6E-409C-BE32-E72D297353CC}">
                <c16:uniqueId val="{0000000B-3303-47B1-9F3B-AF6288FAD45F}"/>
              </c:ext>
            </c:extLst>
          </c:dPt>
          <c:dPt>
            <c:idx val="6"/>
            <c:bubble3D val="0"/>
            <c:spPr>
              <a:solidFill>
                <a:srgbClr val="EACEE5"/>
              </a:solidFill>
            </c:spPr>
            <c:extLst>
              <c:ext xmlns:c16="http://schemas.microsoft.com/office/drawing/2014/chart" uri="{C3380CC4-5D6E-409C-BE32-E72D297353CC}">
                <c16:uniqueId val="{0000000D-3303-47B1-9F3B-AF6288FAD45F}"/>
              </c:ext>
            </c:extLst>
          </c:dPt>
          <c:dPt>
            <c:idx val="7"/>
            <c:bubble3D val="0"/>
            <c:spPr>
              <a:solidFill>
                <a:srgbClr val="EFDDEC"/>
              </a:solidFill>
            </c:spPr>
            <c:extLst>
              <c:ext xmlns:c16="http://schemas.microsoft.com/office/drawing/2014/chart" uri="{C3380CC4-5D6E-409C-BE32-E72D297353CC}">
                <c16:uniqueId val="{0000000F-3303-47B1-9F3B-AF6288FAD45F}"/>
              </c:ext>
            </c:extLst>
          </c:dPt>
          <c:dPt>
            <c:idx val="8"/>
            <c:bubble3D val="0"/>
            <c:spPr>
              <a:solidFill>
                <a:srgbClr val="F1E5EF"/>
              </a:solidFill>
            </c:spPr>
            <c:extLst>
              <c:ext xmlns:c16="http://schemas.microsoft.com/office/drawing/2014/chart" uri="{C3380CC4-5D6E-409C-BE32-E72D297353CC}">
                <c16:uniqueId val="{00000011-3303-47B1-9F3B-AF6288FAD45F}"/>
              </c:ext>
            </c:extLst>
          </c:dPt>
          <c:dPt>
            <c:idx val="9"/>
            <c:bubble3D val="0"/>
            <c:spPr>
              <a:solidFill>
                <a:srgbClr val="F4ECF3"/>
              </a:solidFill>
            </c:spPr>
            <c:extLst>
              <c:ext xmlns:c16="http://schemas.microsoft.com/office/drawing/2014/chart" uri="{C3380CC4-5D6E-409C-BE32-E72D297353CC}">
                <c16:uniqueId val="{00000013-3303-47B1-9F3B-AF6288FAD45F}"/>
              </c:ext>
            </c:extLst>
          </c:dPt>
          <c:dPt>
            <c:idx val="10"/>
            <c:bubble3D val="0"/>
            <c:spPr>
              <a:solidFill>
                <a:srgbClr val="F8F2F7"/>
              </a:solidFill>
            </c:spPr>
            <c:extLst>
              <c:ext xmlns:c16="http://schemas.microsoft.com/office/drawing/2014/chart" uri="{C3380CC4-5D6E-409C-BE32-E72D297353CC}">
                <c16:uniqueId val="{00000015-3303-47B1-9F3B-AF6288FAD45F}"/>
              </c:ext>
            </c:extLst>
          </c:dPt>
          <c:dLbls>
            <c:dLbl>
              <c:idx val="0"/>
              <c:layout>
                <c:manualLayout>
                  <c:x val="-0.1853084715121511"/>
                  <c:y val="0.1734698969350262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3-47B1-9F3B-AF6288FAD45F}"/>
                </c:ext>
              </c:extLst>
            </c:dLbl>
            <c:dLbl>
              <c:idx val="5"/>
              <c:layout>
                <c:manualLayout>
                  <c:x val="-5.3173282249671376E-2"/>
                  <c:y val="6.65517822320742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303-47B1-9F3B-AF6288FAD45F}"/>
                </c:ext>
              </c:extLst>
            </c:dLbl>
            <c:dLbl>
              <c:idx val="6"/>
              <c:layout>
                <c:manualLayout>
                  <c:x val="-3.9492978069684395E-2"/>
                  <c:y val="-3.480573480173300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303-47B1-9F3B-AF6288FAD45F}"/>
                </c:ext>
              </c:extLst>
            </c:dLbl>
            <c:dLbl>
              <c:idx val="7"/>
              <c:layout>
                <c:manualLayout>
                  <c:x val="-1.5128642095093564E-2"/>
                  <c:y val="-5.275291072799696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303-47B1-9F3B-AF6288FAD45F}"/>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'Base Metals - Exports'!$A$11:$A$17</c:f>
              <c:strCache>
                <c:ptCount val="7"/>
                <c:pt idx="0">
                  <c:v>China</c:v>
                </c:pt>
                <c:pt idx="1">
                  <c:v>Taiwan, Province Of China</c:v>
                </c:pt>
                <c:pt idx="2">
                  <c:v>Philippines</c:v>
                </c:pt>
                <c:pt idx="3">
                  <c:v>South Korea</c:v>
                </c:pt>
                <c:pt idx="4">
                  <c:v>Japan</c:v>
                </c:pt>
                <c:pt idx="5">
                  <c:v>Malaysia</c:v>
                </c:pt>
                <c:pt idx="6">
                  <c:v>India</c:v>
                </c:pt>
              </c:strCache>
            </c:strRef>
          </c:cat>
          <c:val>
            <c:numRef>
              <c:f>'Base Metals - Exports'!$D$11:$D$17</c:f>
              <c:numCache>
                <c:formatCode>0.0%</c:formatCode>
                <c:ptCount val="7"/>
                <c:pt idx="0">
                  <c:v>0</c:v>
                </c:pt>
                <c:pt idx="1">
                  <c:v>0.11491572483560335</c:v>
                </c:pt>
                <c:pt idx="2">
                  <c:v>0.10751393943789901</c:v>
                </c:pt>
                <c:pt idx="3">
                  <c:v>8.8848103917133658E-2</c:v>
                </c:pt>
                <c:pt idx="4">
                  <c:v>8.5732489191444466E-2</c:v>
                </c:pt>
                <c:pt idx="5">
                  <c:v>4.101118362581721E-2</c:v>
                </c:pt>
                <c:pt idx="6">
                  <c:v>3.9403188482490643E-2</c:v>
                </c:pt>
              </c:numCache>
            </c:numRef>
          </c:val>
          <c:extLst>
            <c:ext xmlns:c16="http://schemas.microsoft.com/office/drawing/2014/chart" uri="{C3380CC4-5D6E-409C-BE32-E72D297353CC}">
              <c16:uniqueId val="{00000016-3303-47B1-9F3B-AF6288FAD45F}"/>
            </c:ext>
          </c:extLst>
        </c:ser>
        <c:dLbls>
          <c:showLegendKey val="0"/>
          <c:showVal val="1"/>
          <c:showCatName val="1"/>
          <c:showSerName val="0"/>
          <c:showPercent val="0"/>
          <c:showBubbleSize val="0"/>
          <c:showLeaderLines val="1"/>
        </c:dLbls>
        <c:firstSliceAng val="289"/>
      </c:pieChart>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br>
              <a:rPr lang="en-AU"/>
            </a:br>
            <a:r>
              <a:rPr lang="en-AU" sz="1100"/>
              <a:t>Western</a:t>
            </a:r>
            <a:r>
              <a:rPr lang="en-AU" sz="1100" baseline="0"/>
              <a:t> Australia vs Rest of Australia</a:t>
            </a:r>
            <a:endParaRPr lang="en-AU"/>
          </a:p>
        </c:rich>
      </c:tx>
      <c:layout>
        <c:manualLayout>
          <c:xMode val="edge"/>
          <c:yMode val="edge"/>
          <c:x val="0.31532190457220927"/>
          <c:y val="3.7221014743628371E-2"/>
        </c:manualLayout>
      </c:layout>
      <c:overlay val="0"/>
    </c:title>
    <c:autoTitleDeleted val="0"/>
    <c:plotArea>
      <c:layout>
        <c:manualLayout>
          <c:layoutTarget val="inner"/>
          <c:xMode val="edge"/>
          <c:yMode val="edge"/>
          <c:x val="0.12594806716739121"/>
          <c:y val="0.28785520328354247"/>
          <c:w val="0.83421537657681499"/>
          <c:h val="0.52473206560524444"/>
        </c:manualLayout>
      </c:layout>
      <c:barChart>
        <c:barDir val="col"/>
        <c:grouping val="stacked"/>
        <c:varyColors val="0"/>
        <c:ser>
          <c:idx val="0"/>
          <c:order val="0"/>
          <c:tx>
            <c:strRef>
              <c:f>'Base Metals - WA vs Australia'!$B$7</c:f>
              <c:strCache>
                <c:ptCount val="1"/>
                <c:pt idx="0">
                  <c:v>Western Australia (Kt)</c:v>
                </c:pt>
              </c:strCache>
            </c:strRef>
          </c:tx>
          <c:spPr>
            <a:solidFill>
              <a:srgbClr val="FF66CC"/>
            </a:solidFill>
            <a:ln>
              <a:noFill/>
            </a:ln>
          </c:spPr>
          <c:invertIfNegative val="0"/>
          <c:cat>
            <c:numRef>
              <c:f>'Base Metals - WA vs Australia'!$A$8:$A$48</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'Base Metals - WA vs Australia'!$B$8:$B$48</c:f>
              <c:numCache>
                <c:formatCode>#,##0.00</c:formatCode>
                <c:ptCount val="41"/>
                <c:pt idx="0">
                  <c:v>3.1320000000000001</c:v>
                </c:pt>
                <c:pt idx="1">
                  <c:v>4.4240000000000004</c:v>
                </c:pt>
                <c:pt idx="2">
                  <c:v>17.603999999999999</c:v>
                </c:pt>
                <c:pt idx="3">
                  <c:v>11.449</c:v>
                </c:pt>
                <c:pt idx="4">
                  <c:v>12.005000000000001</c:v>
                </c:pt>
                <c:pt idx="5">
                  <c:v>10.403</c:v>
                </c:pt>
                <c:pt idx="6">
                  <c:v>7.774</c:v>
                </c:pt>
                <c:pt idx="7">
                  <c:v>2.91</c:v>
                </c:pt>
                <c:pt idx="8">
                  <c:v>7.4260000000000002</c:v>
                </c:pt>
                <c:pt idx="9">
                  <c:v>19.038</c:v>
                </c:pt>
                <c:pt idx="10">
                  <c:v>14.959</c:v>
                </c:pt>
                <c:pt idx="11">
                  <c:v>11.792999999999999</c:v>
                </c:pt>
                <c:pt idx="12">
                  <c:v>12.09362</c:v>
                </c:pt>
                <c:pt idx="13">
                  <c:v>28.98</c:v>
                </c:pt>
                <c:pt idx="14">
                  <c:v>35.109000000000002</c:v>
                </c:pt>
                <c:pt idx="15">
                  <c:v>24.312000000000001</c:v>
                </c:pt>
                <c:pt idx="16">
                  <c:v>23.071999999999999</c:v>
                </c:pt>
                <c:pt idx="17">
                  <c:v>28.318000000000001</c:v>
                </c:pt>
                <c:pt idx="18">
                  <c:v>28.24</c:v>
                </c:pt>
                <c:pt idx="19">
                  <c:v>26.228000000000002</c:v>
                </c:pt>
                <c:pt idx="20">
                  <c:v>34.037999999999997</c:v>
                </c:pt>
                <c:pt idx="21">
                  <c:v>50.237000000000002</c:v>
                </c:pt>
                <c:pt idx="22">
                  <c:v>64.286999999999992</c:v>
                </c:pt>
                <c:pt idx="23">
                  <c:v>60.176090000000002</c:v>
                </c:pt>
                <c:pt idx="24">
                  <c:v>42.260094000000002</c:v>
                </c:pt>
                <c:pt idx="25">
                  <c:v>85.220481000000007</c:v>
                </c:pt>
                <c:pt idx="26">
                  <c:v>99.242470999999995</c:v>
                </c:pt>
                <c:pt idx="27">
                  <c:v>105.40498599999999</c:v>
                </c:pt>
                <c:pt idx="28">
                  <c:v>119.055948</c:v>
                </c:pt>
                <c:pt idx="29">
                  <c:v>151.49643399999999</c:v>
                </c:pt>
                <c:pt idx="30">
                  <c:v>155.65068099999999</c:v>
                </c:pt>
                <c:pt idx="31">
                  <c:v>144.95804783199998</c:v>
                </c:pt>
                <c:pt idx="32">
                  <c:v>185.75001993699999</c:v>
                </c:pt>
                <c:pt idx="33">
                  <c:v>216.05661499999999</c:v>
                </c:pt>
                <c:pt idx="34">
                  <c:v>197.08071799999999</c:v>
                </c:pt>
                <c:pt idx="35">
                  <c:v>189.20602099999999</c:v>
                </c:pt>
                <c:pt idx="36">
                  <c:v>181.53603300000003</c:v>
                </c:pt>
                <c:pt idx="37">
                  <c:v>165.70184799999998</c:v>
                </c:pt>
                <c:pt idx="38">
                  <c:v>168.58500300000003</c:v>
                </c:pt>
                <c:pt idx="39">
                  <c:v>172.11437100000001</c:v>
                </c:pt>
                <c:pt idx="40">
                  <c:v>148.15150900000003</c:v>
                </c:pt>
              </c:numCache>
            </c:numRef>
          </c:val>
          <c:extLst>
            <c:ext xmlns:c16="http://schemas.microsoft.com/office/drawing/2014/chart" uri="{C3380CC4-5D6E-409C-BE32-E72D297353CC}">
              <c16:uniqueId val="{00000000-528E-4483-8ABE-207F14A9165D}"/>
            </c:ext>
          </c:extLst>
        </c:ser>
        <c:ser>
          <c:idx val="1"/>
          <c:order val="1"/>
          <c:tx>
            <c:strRef>
              <c:f>'Base Metals - WA vs Australia'!$C$7</c:f>
              <c:strCache>
                <c:ptCount val="1"/>
                <c:pt idx="0">
                  <c:v>Rest of Australia (Kt)</c:v>
                </c:pt>
              </c:strCache>
            </c:strRef>
          </c:tx>
          <c:spPr>
            <a:solidFill>
              <a:srgbClr val="DEB2D7"/>
            </a:solidFill>
            <a:ln>
              <a:noFill/>
            </a:ln>
          </c:spPr>
          <c:invertIfNegative val="0"/>
          <c:cat>
            <c:numRef>
              <c:f>'Base Metals - WA vs Australia'!$A$8:$A$48</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'Base Metals - WA vs Australia'!$C$8:$C$48</c:f>
              <c:numCache>
                <c:formatCode>#,##0.00</c:formatCode>
                <c:ptCount val="41"/>
                <c:pt idx="0">
                  <c:v>242</c:v>
                </c:pt>
                <c:pt idx="1">
                  <c:v>231</c:v>
                </c:pt>
                <c:pt idx="2">
                  <c:v>245</c:v>
                </c:pt>
                <c:pt idx="3">
                  <c:v>262</c:v>
                </c:pt>
                <c:pt idx="4">
                  <c:v>236</c:v>
                </c:pt>
                <c:pt idx="5">
                  <c:v>260</c:v>
                </c:pt>
                <c:pt idx="6">
                  <c:v>248</c:v>
                </c:pt>
                <c:pt idx="7">
                  <c:v>233</c:v>
                </c:pt>
                <c:pt idx="8">
                  <c:v>238</c:v>
                </c:pt>
                <c:pt idx="9">
                  <c:v>296</c:v>
                </c:pt>
                <c:pt idx="10">
                  <c:v>314.11700000000002</c:v>
                </c:pt>
                <c:pt idx="11">
                  <c:v>315.83949999999999</c:v>
                </c:pt>
                <c:pt idx="12">
                  <c:v>369.25614999999999</c:v>
                </c:pt>
                <c:pt idx="13">
                  <c:v>392.97141999999997</c:v>
                </c:pt>
                <c:pt idx="14">
                  <c:v>383.27244780000001</c:v>
                </c:pt>
                <c:pt idx="15">
                  <c:v>326.44694399999997</c:v>
                </c:pt>
                <c:pt idx="16">
                  <c:v>509.58433325999999</c:v>
                </c:pt>
                <c:pt idx="17">
                  <c:v>520.75490000000002</c:v>
                </c:pt>
                <c:pt idx="18">
                  <c:v>589.6879899999999</c:v>
                </c:pt>
                <c:pt idx="19">
                  <c:v>711.61930000000007</c:v>
                </c:pt>
                <c:pt idx="20">
                  <c:v>804.81131599999992</c:v>
                </c:pt>
                <c:pt idx="21">
                  <c:v>848.10496999999998</c:v>
                </c:pt>
                <c:pt idx="22">
                  <c:v>807.99442999999997</c:v>
                </c:pt>
                <c:pt idx="23">
                  <c:v>770.21165999999994</c:v>
                </c:pt>
                <c:pt idx="24">
                  <c:v>833.115906</c:v>
                </c:pt>
                <c:pt idx="25">
                  <c:v>842.99651900000003</c:v>
                </c:pt>
                <c:pt idx="26">
                  <c:v>779.63111179999987</c:v>
                </c:pt>
                <c:pt idx="27">
                  <c:v>757.12953350999999</c:v>
                </c:pt>
                <c:pt idx="28">
                  <c:v>759.88395200000014</c:v>
                </c:pt>
                <c:pt idx="29">
                  <c:v>710</c:v>
                </c:pt>
                <c:pt idx="30">
                  <c:v>703</c:v>
                </c:pt>
                <c:pt idx="31">
                  <c:v>820</c:v>
                </c:pt>
                <c:pt idx="32">
                  <c:v>729</c:v>
                </c:pt>
                <c:pt idx="33">
                  <c:v>792</c:v>
                </c:pt>
                <c:pt idx="34">
                  <c:v>787</c:v>
                </c:pt>
                <c:pt idx="35">
                  <c:v>800</c:v>
                </c:pt>
                <c:pt idx="36">
                  <c:v>769</c:v>
                </c:pt>
                <c:pt idx="37">
                  <c:v>672</c:v>
                </c:pt>
                <c:pt idx="38">
                  <c:v>727.3</c:v>
                </c:pt>
                <c:pt idx="39">
                  <c:v>753.99</c:v>
                </c:pt>
                <c:pt idx="40">
                  <c:v>724.46</c:v>
                </c:pt>
              </c:numCache>
            </c:numRef>
          </c:val>
          <c:extLst>
            <c:ext xmlns:c16="http://schemas.microsoft.com/office/drawing/2014/chart" uri="{C3380CC4-5D6E-409C-BE32-E72D297353CC}">
              <c16:uniqueId val="{00000001-528E-4483-8ABE-207F14A9165D}"/>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5758208"/>
        <c:crosses val="autoZero"/>
        <c:auto val="0"/>
        <c:lblOffset val="100"/>
        <c:baseTimeUnit val="days"/>
        <c:majorUnit val="2"/>
        <c:majorTimeUnit val="days"/>
        <c:minorUnit val="5"/>
      </c:dateAx>
      <c:valAx>
        <c:axId val="115758208"/>
        <c:scaling>
          <c:orientation val="minMax"/>
        </c:scaling>
        <c:delete val="0"/>
        <c:axPos val="l"/>
        <c:majorGridlines/>
        <c:title>
          <c:tx>
            <c:rich>
              <a:bodyPr rot="-5400000" vert="horz"/>
              <a:lstStyle/>
              <a:p>
                <a:pPr>
                  <a:defRPr/>
                </a:pPr>
                <a:r>
                  <a:rPr lang="en-AU"/>
                  <a:t>Thousand Tonnes</a:t>
                </a:r>
              </a:p>
            </c:rich>
          </c:tx>
          <c:layout>
            <c:manualLayout>
              <c:xMode val="edge"/>
              <c:yMode val="edge"/>
              <c:x val="2.3593136194934684E-2"/>
              <c:y val="0.43021228342944701"/>
            </c:manualLayout>
          </c:layout>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Western Australia vs Rest of Australia</a:t>
            </a:r>
          </a:p>
          <a:p>
            <a:pPr>
              <a:defRPr/>
            </a:pPr>
            <a:r>
              <a:rPr lang="en-AU" sz="1100"/>
              <a:t>Past 10 Years</a:t>
            </a:r>
          </a:p>
        </c:rich>
      </c:tx>
      <c:overlay val="0"/>
    </c:title>
    <c:autoTitleDeleted val="0"/>
    <c:plotArea>
      <c:layout>
        <c:manualLayout>
          <c:layoutTarget val="inner"/>
          <c:xMode val="edge"/>
          <c:yMode val="edge"/>
          <c:x val="0.12530661116447425"/>
          <c:y val="0.32084381822535973"/>
          <c:w val="0.84012360738391478"/>
          <c:h val="0.48154014398750467"/>
        </c:manualLayout>
      </c:layout>
      <c:lineChart>
        <c:grouping val="standard"/>
        <c:varyColors val="0"/>
        <c:ser>
          <c:idx val="0"/>
          <c:order val="0"/>
          <c:tx>
            <c:strRef>
              <c:f>'Base Metals - WA vs Australia'!$T$58</c:f>
              <c:strCache>
                <c:ptCount val="1"/>
                <c:pt idx="0">
                  <c:v>Western Australia (Kt)</c:v>
                </c:pt>
              </c:strCache>
            </c:strRef>
          </c:tx>
          <c:spPr>
            <a:ln>
              <a:solidFill>
                <a:srgbClr val="FF66CC"/>
              </a:solidFill>
            </a:ln>
          </c:spPr>
          <c:marker>
            <c:symbol val="diamond"/>
            <c:size val="5"/>
            <c:spPr>
              <a:solidFill>
                <a:srgbClr val="FF00FF"/>
              </a:solidFill>
              <a:ln>
                <a:noFill/>
              </a:ln>
            </c:spPr>
          </c:marker>
          <c:cat>
            <c:numRef>
              <c:f>'Base Metals - WA vs Australia'!$S$59:$S$68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'Base Metals - WA vs Australia'!$T$59:$T$68</c:f>
              <c:numCache>
                <c:formatCode>#,##0.00</c:formatCode>
                <c:ptCount val="10"/>
                <c:pt idx="0">
                  <c:v>144.95804783199998</c:v>
                </c:pt>
                <c:pt idx="1">
                  <c:v>185.75001993699999</c:v>
                </c:pt>
                <c:pt idx="2">
                  <c:v>216.05661499999999</c:v>
                </c:pt>
                <c:pt idx="3">
                  <c:v>197.08071799999999</c:v>
                </c:pt>
                <c:pt idx="4">
                  <c:v>189.20602099999999</c:v>
                </c:pt>
                <c:pt idx="5">
                  <c:v>181.53603300000003</c:v>
                </c:pt>
                <c:pt idx="6">
                  <c:v>165.70184799999998</c:v>
                </c:pt>
                <c:pt idx="7">
                  <c:v>168.58500300000003</c:v>
                </c:pt>
                <c:pt idx="8">
                  <c:v>172.11437100000001</c:v>
                </c:pt>
                <c:pt idx="9">
                  <c:v>148.15150900000003</c:v>
                </c:pt>
              </c:numCache>
            </c:numRef>
          </c:val>
          <c:smooth val="0"/>
          <c:extLst>
            <c:ext xmlns:c16="http://schemas.microsoft.com/office/drawing/2014/chart" uri="{C3380CC4-5D6E-409C-BE32-E72D297353CC}">
              <c16:uniqueId val="{00000000-1FB5-470E-8A06-DBA7FF6E09DB}"/>
            </c:ext>
          </c:extLst>
        </c:ser>
        <c:ser>
          <c:idx val="1"/>
          <c:order val="1"/>
          <c:tx>
            <c:strRef>
              <c:f>'Base Metals - WA vs Australia'!$U$58</c:f>
              <c:strCache>
                <c:ptCount val="1"/>
                <c:pt idx="0">
                  <c:v>Rest of Australia (Kt)</c:v>
                </c:pt>
              </c:strCache>
            </c:strRef>
          </c:tx>
          <c:spPr>
            <a:ln>
              <a:solidFill>
                <a:srgbClr val="FAD6F2"/>
              </a:solidFill>
            </a:ln>
          </c:spPr>
          <c:marker>
            <c:symbol val="square"/>
            <c:size val="5"/>
            <c:spPr>
              <a:solidFill>
                <a:srgbClr val="FFCCFF"/>
              </a:solidFill>
              <a:ln>
                <a:noFill/>
              </a:ln>
            </c:spPr>
          </c:marker>
          <c:cat>
            <c:numRef>
              <c:f>'Base Metals - WA vs Australia'!$S$59:$S$68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'Base Metals - WA vs Australia'!$U$59:$U$68</c:f>
              <c:numCache>
                <c:formatCode>#,##0.00</c:formatCode>
                <c:ptCount val="10"/>
                <c:pt idx="0">
                  <c:v>820</c:v>
                </c:pt>
                <c:pt idx="1">
                  <c:v>729</c:v>
                </c:pt>
                <c:pt idx="2">
                  <c:v>792</c:v>
                </c:pt>
                <c:pt idx="3">
                  <c:v>787</c:v>
                </c:pt>
                <c:pt idx="4">
                  <c:v>800</c:v>
                </c:pt>
                <c:pt idx="5">
                  <c:v>769</c:v>
                </c:pt>
                <c:pt idx="6">
                  <c:v>672</c:v>
                </c:pt>
                <c:pt idx="7">
                  <c:v>727.3</c:v>
                </c:pt>
                <c:pt idx="8">
                  <c:v>753.99</c:v>
                </c:pt>
                <c:pt idx="9">
                  <c:v>724.46</c:v>
                </c:pt>
              </c:numCache>
            </c:numRef>
          </c:val>
          <c:smooth val="0"/>
          <c:extLst>
            <c:ext xmlns:c16="http://schemas.microsoft.com/office/drawing/2014/chart" uri="{C3380CC4-5D6E-409C-BE32-E72D297353CC}">
              <c16:uniqueId val="{00000001-1FB5-470E-8A06-DBA7FF6E09DB}"/>
            </c:ext>
          </c:extLst>
        </c:ser>
        <c:dLbls>
          <c:showLegendKey val="0"/>
          <c:showVal val="0"/>
          <c:showCatName val="0"/>
          <c:showSerName val="0"/>
          <c:showPercent val="0"/>
          <c:showBubbleSize val="0"/>
        </c:dLbls>
        <c:marker val="1"/>
        <c:smooth val="0"/>
        <c:axId val="130634880"/>
        <c:axId val="115776512"/>
      </c:lineChart>
      <c:valAx>
        <c:axId val="115776512"/>
        <c:scaling>
          <c:orientation val="minMax"/>
        </c:scaling>
        <c:delete val="0"/>
        <c:axPos val="l"/>
        <c:majorGridlines/>
        <c:title>
          <c:tx>
            <c:rich>
              <a:bodyPr/>
              <a:lstStyle/>
              <a:p>
                <a:pPr>
                  <a:defRPr sz="1000"/>
                </a:pPr>
                <a:r>
                  <a:rPr lang="en-AU" sz="1000" b="1" i="0" baseline="0">
                    <a:effectLst/>
                  </a:rPr>
                  <a:t>Thousand Tonnes</a:t>
                </a:r>
                <a:endParaRPr lang="en-AU" sz="1000">
                  <a:effectLst/>
                </a:endParaRPr>
              </a:p>
            </c:rich>
          </c:tx>
          <c:layout>
            <c:manualLayout>
              <c:xMode val="edge"/>
              <c:yMode val="edge"/>
              <c:x val="1.743613351965629E-2"/>
              <c:y val="0.43675819715194408"/>
            </c:manualLayout>
          </c:layout>
          <c:overlay val="0"/>
        </c:title>
        <c:numFmt formatCode="0" sourceLinked="0"/>
        <c:majorTickMark val="out"/>
        <c:minorTickMark val="none"/>
        <c:tickLblPos val="nextTo"/>
        <c:crossAx val="130634880"/>
        <c:crosses val="autoZero"/>
        <c:crossBetween val="between"/>
      </c:valAx>
      <c:catAx>
        <c:axId val="130634880"/>
        <c:scaling>
          <c:orientation val="minMax"/>
        </c:scaling>
        <c:delete val="0"/>
        <c:axPos val="b"/>
        <c:title>
          <c:tx>
            <c:rich>
              <a:bodyPr/>
              <a:lstStyle/>
              <a:p>
                <a:pPr>
                  <a:defRPr sz="900"/>
                </a:pPr>
                <a:r>
                  <a:rPr lang="en-AU" sz="900" b="1" i="0" baseline="0">
                    <a:effectLst/>
                  </a:rPr>
                  <a:t>Source:  DM</a:t>
                </a:r>
                <a:r>
                  <a:rPr lang="en-AU" sz="900" b="1" i="0" u="none" strike="noStrike" baseline="0">
                    <a:effectLst/>
                  </a:rPr>
                  <a:t>IRS</a:t>
                </a:r>
                <a:r>
                  <a:rPr lang="en-AU" sz="900" b="1" i="0" baseline="0">
                    <a:effectLst/>
                  </a:rPr>
                  <a:t> and OoCE</a:t>
                </a:r>
                <a:endParaRPr lang="en-AU" sz="900">
                  <a:effectLst/>
                </a:endParaRPr>
              </a:p>
            </c:rich>
          </c:tx>
          <c:layout>
            <c:manualLayout>
              <c:xMode val="edge"/>
              <c:yMode val="edge"/>
              <c:x val="1.1167128220884573E-2"/>
              <c:y val="0.93921690848479655"/>
            </c:manualLayout>
          </c:layout>
          <c:overlay val="0"/>
        </c:title>
        <c:numFmt formatCode="General" sourceLinked="1"/>
        <c:majorTickMark val="out"/>
        <c:minorTickMark val="none"/>
        <c:tickLblPos val="nextTo"/>
        <c:txPr>
          <a:bodyPr rot="-2700000"/>
          <a:lstStyle/>
          <a:p>
            <a:pPr>
              <a:defRPr/>
            </a:pPr>
            <a:endParaRPr lang="en-US"/>
          </a:p>
        </c:txPr>
        <c:crossAx val="1157765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sz="1800" b="1" i="0" baseline="0">
                <a:effectLst/>
              </a:rPr>
              <a:t>Copper 2020</a:t>
            </a:r>
            <a:endParaRPr lang="en-AU">
              <a:effectLst/>
            </a:endParaRPr>
          </a:p>
          <a:p>
            <a:pPr>
              <a:defRPr/>
            </a:pPr>
            <a:r>
              <a:rPr lang="en-AU" sz="1100" b="1" i="0" baseline="0">
                <a:effectLst/>
              </a:rPr>
              <a:t>Western Australia vs Rest of Australia</a:t>
            </a:r>
            <a:endParaRPr lang="en-AU" sz="1100">
              <a:effectLst/>
            </a:endParaRPr>
          </a:p>
        </c:rich>
      </c:tx>
      <c:layout>
        <c:manualLayout>
          <c:xMode val="edge"/>
          <c:yMode val="edge"/>
          <c:x val="0.22421026455851722"/>
          <c:y val="5.1948051948051951E-2"/>
        </c:manualLayout>
      </c:layout>
      <c:overlay val="0"/>
    </c:title>
    <c:autoTitleDeleted val="0"/>
    <c:plotArea>
      <c:layout/>
      <c:pieChart>
        <c:varyColors val="1"/>
        <c:ser>
          <c:idx val="0"/>
          <c:order val="0"/>
          <c:tx>
            <c:v>Australian and Western Australian Copper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E91B-4A8D-BCC6-36F1F236AF77}"/>
              </c:ext>
            </c:extLst>
          </c:dPt>
          <c:dLbls>
            <c:dLbl>
              <c:idx val="0"/>
              <c:layout>
                <c:manualLayout>
                  <c:x val="4.9079127894276119E-2"/>
                  <c:y val="7.897612257927214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2493398019903641"/>
                      <c:h val="0.19037854862736753"/>
                    </c:manualLayout>
                  </c15:layout>
                </c:ext>
                <c:ext xmlns:c16="http://schemas.microsoft.com/office/drawing/2014/chart" uri="{C3380CC4-5D6E-409C-BE32-E72D297353CC}">
                  <c16:uniqueId val="{00000002-E91B-4A8D-BCC6-36F1F236AF77}"/>
                </c:ext>
              </c:extLst>
            </c:dLbl>
            <c:dLbl>
              <c:idx val="1"/>
              <c:layout>
                <c:manualLayout>
                  <c:x val="0.23112588054777183"/>
                  <c:y val="-0.15586771653543308"/>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4637945368450995"/>
                      <c:h val="0.22408648648648649"/>
                    </c:manualLayout>
                  </c15:layout>
                </c:ext>
                <c:ext xmlns:c16="http://schemas.microsoft.com/office/drawing/2014/chart" uri="{C3380CC4-5D6E-409C-BE32-E72D297353CC}">
                  <c16:uniqueId val="{00000001-E91B-4A8D-BCC6-36F1F236AF77}"/>
                </c:ext>
              </c:extLst>
            </c:dLbl>
            <c:spPr>
              <a:noFill/>
              <a:ln>
                <a:noFill/>
              </a:ln>
              <a:effectLst/>
            </c:spPr>
            <c:dLblPos val="outEnd"/>
            <c:showLegendKey val="0"/>
            <c:showVal val="1"/>
            <c:showCatName val="1"/>
            <c:showSerName val="0"/>
            <c:showPercent val="1"/>
            <c:showBubbleSize val="0"/>
            <c:showLeaderLines val="1"/>
            <c:leaderLines>
              <c:spPr>
                <a:ln>
                  <a:solidFill>
                    <a:sysClr val="windowText" lastClr="000000"/>
                  </a:solidFill>
                </a:ln>
              </c:spPr>
            </c:leaderLines>
            <c:extLst>
              <c:ext xmlns:c15="http://schemas.microsoft.com/office/drawing/2012/chart" uri="{CE6537A1-D6FC-4f65-9D91-7224C49458BB}"/>
            </c:extLst>
          </c:dLbls>
          <c:cat>
            <c:strRef>
              <c:f>'Base Metals - WA vs Australia'!$T$58:$U$58</c:f>
              <c:strCache>
                <c:ptCount val="2"/>
                <c:pt idx="0">
                  <c:v>Western Australia (Kt)</c:v>
                </c:pt>
                <c:pt idx="1">
                  <c:v>Rest of Australia (Kt)</c:v>
                </c:pt>
              </c:strCache>
            </c:strRef>
          </c:cat>
          <c:val>
            <c:numRef>
              <c:f>'Base Metals - WA vs Australia'!$T$68:$U$68</c:f>
              <c:numCache>
                <c:formatCode>#,##0.00</c:formatCode>
                <c:ptCount val="2"/>
                <c:pt idx="0">
                  <c:v>148.15150900000003</c:v>
                </c:pt>
                <c:pt idx="1">
                  <c:v>724.46</c:v>
                </c:pt>
              </c:numCache>
            </c:numRef>
          </c:val>
          <c:extLst>
            <c:ext xmlns:c16="http://schemas.microsoft.com/office/drawing/2014/chart" uri="{C3380CC4-5D6E-409C-BE32-E72D297353CC}">
              <c16:uniqueId val="{00000003-E91B-4A8D-BCC6-36F1F236AF77}"/>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sz="1800" b="1" i="0" baseline="0">
                <a:effectLst/>
              </a:rPr>
              <a:t>Lead 2020</a:t>
            </a:r>
            <a:endParaRPr lang="en-AU">
              <a:effectLst/>
            </a:endParaRPr>
          </a:p>
          <a:p>
            <a:pPr>
              <a:defRPr/>
            </a:pPr>
            <a:r>
              <a:rPr lang="en-AU" sz="1100" b="1" i="0" baseline="0">
                <a:effectLst/>
              </a:rPr>
              <a:t>Western Australia vs Rest of Australia</a:t>
            </a:r>
            <a:endParaRPr lang="en-AU" sz="1100">
              <a:effectLst/>
            </a:endParaRPr>
          </a:p>
        </c:rich>
      </c:tx>
      <c:overlay val="0"/>
    </c:title>
    <c:autoTitleDeleted val="0"/>
    <c:plotArea>
      <c:layout/>
      <c:pieChart>
        <c:varyColors val="1"/>
        <c:ser>
          <c:idx val="0"/>
          <c:order val="0"/>
          <c:tx>
            <c:v>Australian and Western Australian Lead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B7D9-4C6B-810D-36263EEE97BA}"/>
              </c:ext>
            </c:extLst>
          </c:dPt>
          <c:dLbls>
            <c:dLbl>
              <c:idx val="0"/>
              <c:layout>
                <c:manualLayout>
                  <c:x val="-0.28087196510030155"/>
                  <c:y val="3.202853186752383E-2"/>
                </c:manualLayout>
              </c:layout>
              <c:numFmt formatCode="0.00%" sourceLinked="0"/>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37000866419800499"/>
                      <c:h val="0.12355826827759551"/>
                    </c:manualLayout>
                  </c15:layout>
                </c:ext>
                <c:ext xmlns:c16="http://schemas.microsoft.com/office/drawing/2014/chart" uri="{C3380CC4-5D6E-409C-BE32-E72D297353CC}">
                  <c16:uniqueId val="{00000002-B7D9-4C6B-810D-36263EEE97BA}"/>
                </c:ext>
              </c:extLst>
            </c:dLbl>
            <c:dLbl>
              <c:idx val="1"/>
              <c:layout>
                <c:manualLayout>
                  <c:x val="8.8989111745415052E-3"/>
                  <c:y val="-0.18231266949075126"/>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7351479361624803"/>
                      <c:h val="0.21471460302297113"/>
                    </c:manualLayout>
                  </c15:layout>
                </c:ext>
                <c:ext xmlns:c16="http://schemas.microsoft.com/office/drawing/2014/chart" uri="{C3380CC4-5D6E-409C-BE32-E72D297353CC}">
                  <c16:uniqueId val="{00000001-B7D9-4C6B-810D-36263EEE97BA}"/>
                </c:ext>
              </c:extLst>
            </c:dLbl>
            <c:numFmt formatCode="0.00%" sourceLinked="0"/>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Australia'!$V$58:$W$58</c:f>
              <c:strCache>
                <c:ptCount val="2"/>
                <c:pt idx="0">
                  <c:v>Western Australia (Kt)</c:v>
                </c:pt>
                <c:pt idx="1">
                  <c:v>Rest of Australia (Kt)</c:v>
                </c:pt>
              </c:strCache>
            </c:strRef>
          </c:cat>
          <c:val>
            <c:numRef>
              <c:f>'Base Metals - WA vs Australia'!$V$68:$W$68</c:f>
              <c:numCache>
                <c:formatCode>#,##0.00</c:formatCode>
                <c:ptCount val="2"/>
                <c:pt idx="0">
                  <c:v>1.3745150000000002</c:v>
                </c:pt>
                <c:pt idx="1">
                  <c:v>488.89</c:v>
                </c:pt>
              </c:numCache>
            </c:numRef>
          </c:val>
          <c:extLst>
            <c:ext xmlns:c16="http://schemas.microsoft.com/office/drawing/2014/chart" uri="{C3380CC4-5D6E-409C-BE32-E72D297353CC}">
              <c16:uniqueId val="{00000003-B7D9-4C6B-810D-36263EEE97BA}"/>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sz="1800" b="1" i="0" baseline="0">
                <a:effectLst/>
              </a:rPr>
              <a:t>Zinc 2020</a:t>
            </a:r>
            <a:endParaRPr lang="en-AU">
              <a:effectLst/>
            </a:endParaRPr>
          </a:p>
          <a:p>
            <a:pPr>
              <a:defRPr/>
            </a:pPr>
            <a:r>
              <a:rPr lang="en-AU" sz="1100" b="1" i="0" baseline="0">
                <a:effectLst/>
              </a:rPr>
              <a:t>Western Australia vs Rest of Australia</a:t>
            </a:r>
            <a:endParaRPr lang="en-AU" sz="1100">
              <a:effectLst/>
            </a:endParaRPr>
          </a:p>
        </c:rich>
      </c:tx>
      <c:overlay val="0"/>
    </c:title>
    <c:autoTitleDeleted val="0"/>
    <c:plotArea>
      <c:layout/>
      <c:pieChart>
        <c:varyColors val="1"/>
        <c:ser>
          <c:idx val="0"/>
          <c:order val="0"/>
          <c:tx>
            <c:v>Australian and Western Australian Zinc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6F80-4E00-8EFF-F39FF6F40342}"/>
              </c:ext>
            </c:extLst>
          </c:dPt>
          <c:dLbls>
            <c:dLbl>
              <c:idx val="0"/>
              <c:layout>
                <c:manualLayout>
                  <c:x val="0.24093981378766083"/>
                  <c:y val="0.14043600624343611"/>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F80-4E00-8EFF-F39FF6F40342}"/>
                </c:ext>
              </c:extLst>
            </c:dLbl>
            <c:dLbl>
              <c:idx val="1"/>
              <c:layout>
                <c:manualLayout>
                  <c:x val="0.11620895119520007"/>
                  <c:y val="-0.16107765292961132"/>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5688114098196202"/>
                      <c:h val="0.21397579110996809"/>
                    </c:manualLayout>
                  </c15:layout>
                </c:ext>
                <c:ext xmlns:c16="http://schemas.microsoft.com/office/drawing/2014/chart" uri="{C3380CC4-5D6E-409C-BE32-E72D297353CC}">
                  <c16:uniqueId val="{00000001-6F80-4E00-8EFF-F39FF6F40342}"/>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Australia'!$X$58:$Y$58</c:f>
              <c:strCache>
                <c:ptCount val="2"/>
                <c:pt idx="0">
                  <c:v>Western Australia (Kt)</c:v>
                </c:pt>
                <c:pt idx="1">
                  <c:v>Rest of Australia (Kt)</c:v>
                </c:pt>
              </c:strCache>
            </c:strRef>
          </c:cat>
          <c:val>
            <c:numRef>
              <c:f>'Base Metals - WA vs Australia'!$X$68:$Y$68</c:f>
              <c:numCache>
                <c:formatCode>#,##0.00</c:formatCode>
                <c:ptCount val="2"/>
                <c:pt idx="0">
                  <c:v>66.272142000000002</c:v>
                </c:pt>
                <c:pt idx="1">
                  <c:v>1232.1500000000001</c:v>
                </c:pt>
              </c:numCache>
            </c:numRef>
          </c:val>
          <c:extLst>
            <c:ext xmlns:c16="http://schemas.microsoft.com/office/drawing/2014/chart" uri="{C3380CC4-5D6E-409C-BE32-E72D297353CC}">
              <c16:uniqueId val="{00000003-6F80-4E00-8EFF-F39FF6F40342}"/>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br>
              <a:rPr lang="en-AU"/>
            </a:br>
            <a:r>
              <a:rPr lang="en-AU" sz="1100"/>
              <a:t>Western</a:t>
            </a:r>
            <a:r>
              <a:rPr lang="en-AU" sz="1100" baseline="0"/>
              <a:t> Australia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0.11723502005953151"/>
          <c:y val="0.28080177095816755"/>
          <c:w val="0.83640311144108492"/>
          <c:h val="0.5358432496713107"/>
        </c:manualLayout>
      </c:layout>
      <c:barChart>
        <c:barDir val="col"/>
        <c:grouping val="stacked"/>
        <c:varyColors val="0"/>
        <c:ser>
          <c:idx val="0"/>
          <c:order val="0"/>
          <c:tx>
            <c:strRef>
              <c:f>'Base Metals - WA vs Australia'!$D$7</c:f>
              <c:strCache>
                <c:ptCount val="1"/>
                <c:pt idx="0">
                  <c:v>Western Australia (Kt)</c:v>
                </c:pt>
              </c:strCache>
            </c:strRef>
          </c:tx>
          <c:spPr>
            <a:solidFill>
              <a:srgbClr val="FF66CC"/>
            </a:solidFill>
            <a:ln>
              <a:noFill/>
            </a:ln>
          </c:spPr>
          <c:invertIfNegative val="0"/>
          <c:cat>
            <c:numRef>
              <c:f>'Base Metals - WA vs Australia'!$A$8:$A$48</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'Base Metals - WA vs Australia'!$D$8:$D$48</c:f>
              <c:numCache>
                <c:formatCode>#,##0.00</c:formatCode>
                <c:ptCount val="41"/>
                <c:pt idx="0">
                  <c:v>0</c:v>
                </c:pt>
                <c:pt idx="1">
                  <c:v>0</c:v>
                </c:pt>
                <c:pt idx="2">
                  <c:v>0</c:v>
                </c:pt>
                <c:pt idx="3">
                  <c:v>0</c:v>
                </c:pt>
                <c:pt idx="4">
                  <c:v>0</c:v>
                </c:pt>
                <c:pt idx="5">
                  <c:v>0</c:v>
                </c:pt>
                <c:pt idx="6">
                  <c:v>0</c:v>
                </c:pt>
                <c:pt idx="7">
                  <c:v>0</c:v>
                </c:pt>
                <c:pt idx="8">
                  <c:v>0</c:v>
                </c:pt>
                <c:pt idx="9">
                  <c:v>7.8460000000000001</c:v>
                </c:pt>
                <c:pt idx="10">
                  <c:v>13.606</c:v>
                </c:pt>
                <c:pt idx="11">
                  <c:v>10.698</c:v>
                </c:pt>
                <c:pt idx="12">
                  <c:v>20.963999999999999</c:v>
                </c:pt>
                <c:pt idx="13">
                  <c:v>32.276000000000003</c:v>
                </c:pt>
                <c:pt idx="14">
                  <c:v>20.286999999999999</c:v>
                </c:pt>
                <c:pt idx="15">
                  <c:v>15.641999999999999</c:v>
                </c:pt>
                <c:pt idx="16">
                  <c:v>17.080275999999998</c:v>
                </c:pt>
                <c:pt idx="17">
                  <c:v>23.201461999999999</c:v>
                </c:pt>
                <c:pt idx="18">
                  <c:v>39.518000000000001</c:v>
                </c:pt>
                <c:pt idx="19">
                  <c:v>55.280813999999999</c:v>
                </c:pt>
                <c:pt idx="20">
                  <c:v>73.081000000000003</c:v>
                </c:pt>
                <c:pt idx="21">
                  <c:v>91.38300000000001</c:v>
                </c:pt>
                <c:pt idx="22">
                  <c:v>70.397000000000006</c:v>
                </c:pt>
                <c:pt idx="23">
                  <c:v>49.823</c:v>
                </c:pt>
                <c:pt idx="24">
                  <c:v>1.1747399999999999</c:v>
                </c:pt>
                <c:pt idx="25">
                  <c:v>28.595314999999999</c:v>
                </c:pt>
                <c:pt idx="26">
                  <c:v>70.95348899999999</c:v>
                </c:pt>
                <c:pt idx="27">
                  <c:v>37.091524999999997</c:v>
                </c:pt>
                <c:pt idx="28">
                  <c:v>18.538827999999999</c:v>
                </c:pt>
                <c:pt idx="29">
                  <c:v>22.755433000000004</c:v>
                </c:pt>
                <c:pt idx="30">
                  <c:v>52.922928999999996</c:v>
                </c:pt>
                <c:pt idx="31">
                  <c:v>8.3429219999999997</c:v>
                </c:pt>
                <c:pt idx="32">
                  <c:v>8.135294</c:v>
                </c:pt>
                <c:pt idx="33">
                  <c:v>52.261510000000001</c:v>
                </c:pt>
                <c:pt idx="34">
                  <c:v>80.888499999999993</c:v>
                </c:pt>
                <c:pt idx="35">
                  <c:v>20.259029999999999</c:v>
                </c:pt>
                <c:pt idx="36">
                  <c:v>4.76091</c:v>
                </c:pt>
                <c:pt idx="37">
                  <c:v>5.9010800000000003</c:v>
                </c:pt>
                <c:pt idx="38">
                  <c:v>6.0910000000000011</c:v>
                </c:pt>
                <c:pt idx="39">
                  <c:v>2.9168000000000003</c:v>
                </c:pt>
                <c:pt idx="40">
                  <c:v>1.3745150000000002</c:v>
                </c:pt>
              </c:numCache>
            </c:numRef>
          </c:val>
          <c:extLst>
            <c:ext xmlns:c16="http://schemas.microsoft.com/office/drawing/2014/chart" uri="{C3380CC4-5D6E-409C-BE32-E72D297353CC}">
              <c16:uniqueId val="{00000000-8618-436C-8D6A-4DF04DC472E5}"/>
            </c:ext>
          </c:extLst>
        </c:ser>
        <c:ser>
          <c:idx val="1"/>
          <c:order val="1"/>
          <c:tx>
            <c:strRef>
              <c:f>'Base Metals - WA vs Australia'!$E$7</c:f>
              <c:strCache>
                <c:ptCount val="1"/>
                <c:pt idx="0">
                  <c:v>Rest of Australia (Kt)</c:v>
                </c:pt>
              </c:strCache>
            </c:strRef>
          </c:tx>
          <c:spPr>
            <a:solidFill>
              <a:srgbClr val="DEB2D7"/>
            </a:solidFill>
            <a:ln>
              <a:noFill/>
            </a:ln>
          </c:spPr>
          <c:invertIfNegative val="0"/>
          <c:cat>
            <c:numRef>
              <c:f>'Base Metals - WA vs Australia'!$A$8:$A$48</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'Base Metals - WA vs Australia'!$E$8:$E$48</c:f>
              <c:numCache>
                <c:formatCode>#,##0.00</c:formatCode>
                <c:ptCount val="41"/>
                <c:pt idx="0">
                  <c:v>398</c:v>
                </c:pt>
                <c:pt idx="1">
                  <c:v>388</c:v>
                </c:pt>
                <c:pt idx="2">
                  <c:v>455</c:v>
                </c:pt>
                <c:pt idx="3">
                  <c:v>481</c:v>
                </c:pt>
                <c:pt idx="4">
                  <c:v>441</c:v>
                </c:pt>
                <c:pt idx="5">
                  <c:v>498</c:v>
                </c:pt>
                <c:pt idx="6">
                  <c:v>445</c:v>
                </c:pt>
                <c:pt idx="7">
                  <c:v>489</c:v>
                </c:pt>
                <c:pt idx="8">
                  <c:v>462</c:v>
                </c:pt>
                <c:pt idx="9">
                  <c:v>495</c:v>
                </c:pt>
                <c:pt idx="10">
                  <c:v>564.69900000000007</c:v>
                </c:pt>
                <c:pt idx="11">
                  <c:v>565.72300000000007</c:v>
                </c:pt>
                <c:pt idx="12">
                  <c:v>565.00263450000011</c:v>
                </c:pt>
                <c:pt idx="13">
                  <c:v>508.07449600000001</c:v>
                </c:pt>
                <c:pt idx="14">
                  <c:v>491.67572100000001</c:v>
                </c:pt>
                <c:pt idx="15">
                  <c:v>449.36164880000001</c:v>
                </c:pt>
                <c:pt idx="16">
                  <c:v>509.97193960000004</c:v>
                </c:pt>
                <c:pt idx="17">
                  <c:v>506.69124799999997</c:v>
                </c:pt>
                <c:pt idx="18">
                  <c:v>580.16828559999999</c:v>
                </c:pt>
                <c:pt idx="19">
                  <c:v>621.56818600000008</c:v>
                </c:pt>
                <c:pt idx="20">
                  <c:v>626.2713</c:v>
                </c:pt>
                <c:pt idx="21">
                  <c:v>667.72134999999992</c:v>
                </c:pt>
                <c:pt idx="22">
                  <c:v>623.45499999999993</c:v>
                </c:pt>
                <c:pt idx="23">
                  <c:v>637.91300000000001</c:v>
                </c:pt>
                <c:pt idx="24">
                  <c:v>672.41225999999995</c:v>
                </c:pt>
                <c:pt idx="25">
                  <c:v>737.619685</c:v>
                </c:pt>
                <c:pt idx="26">
                  <c:v>597.06951099999992</c:v>
                </c:pt>
                <c:pt idx="27">
                  <c:v>603.55647499999986</c:v>
                </c:pt>
                <c:pt idx="28">
                  <c:v>631.2851720000001</c:v>
                </c:pt>
                <c:pt idx="29">
                  <c:v>561</c:v>
                </c:pt>
                <c:pt idx="30">
                  <c:v>616</c:v>
                </c:pt>
                <c:pt idx="31">
                  <c:v>604</c:v>
                </c:pt>
                <c:pt idx="32">
                  <c:v>613</c:v>
                </c:pt>
                <c:pt idx="33">
                  <c:v>664</c:v>
                </c:pt>
                <c:pt idx="34">
                  <c:v>642</c:v>
                </c:pt>
                <c:pt idx="35">
                  <c:v>634</c:v>
                </c:pt>
                <c:pt idx="36">
                  <c:v>436</c:v>
                </c:pt>
                <c:pt idx="37">
                  <c:v>387</c:v>
                </c:pt>
                <c:pt idx="38">
                  <c:v>438</c:v>
                </c:pt>
                <c:pt idx="39">
                  <c:v>493.83</c:v>
                </c:pt>
                <c:pt idx="40">
                  <c:v>488.89</c:v>
                </c:pt>
              </c:numCache>
            </c:numRef>
          </c:val>
          <c:extLst>
            <c:ext xmlns:c16="http://schemas.microsoft.com/office/drawing/2014/chart" uri="{C3380CC4-5D6E-409C-BE32-E72D297353CC}">
              <c16:uniqueId val="{00000001-8618-436C-8D6A-4DF04DC472E5}"/>
            </c:ext>
          </c:extLst>
        </c:ser>
        <c:dLbls>
          <c:showLegendKey val="0"/>
          <c:showVal val="0"/>
          <c:showCatName val="0"/>
          <c:showSerName val="0"/>
          <c:showPercent val="0"/>
          <c:showBubbleSize val="0"/>
        </c:dLbls>
        <c:gapWidth val="60"/>
        <c:overlap val="100"/>
        <c:axId val="118886784"/>
        <c:axId val="118888320"/>
      </c:barChart>
      <c:dateAx>
        <c:axId val="11888678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8888320"/>
        <c:crosses val="autoZero"/>
        <c:auto val="0"/>
        <c:lblOffset val="100"/>
        <c:baseTimeUnit val="days"/>
        <c:majorUnit val="2"/>
        <c:majorTimeUnit val="days"/>
      </c:dateAx>
      <c:valAx>
        <c:axId val="118888320"/>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18886784"/>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Western Australia vs Rest of Australia</a:t>
            </a:r>
          </a:p>
          <a:p>
            <a:pPr>
              <a:defRPr/>
            </a:pPr>
            <a:r>
              <a:rPr lang="en-AU" sz="1100"/>
              <a:t>Past 10 Years</a:t>
            </a:r>
          </a:p>
        </c:rich>
      </c:tx>
      <c:layout>
        <c:manualLayout>
          <c:xMode val="edge"/>
          <c:yMode val="edge"/>
          <c:x val="0.32240163840586161"/>
          <c:y val="2.0628877558948641E-2"/>
        </c:manualLayout>
      </c:layout>
      <c:overlay val="0"/>
    </c:title>
    <c:autoTitleDeleted val="0"/>
    <c:plotArea>
      <c:layout/>
      <c:lineChart>
        <c:grouping val="standard"/>
        <c:varyColors val="0"/>
        <c:ser>
          <c:idx val="0"/>
          <c:order val="0"/>
          <c:tx>
            <c:strRef>
              <c:f>'Base Metals - WA vs Australia'!$V$58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'Base Metals - WA vs Australia'!$V$59:$V$68</c:f>
              <c:numCache>
                <c:formatCode>#,##0.00</c:formatCode>
                <c:ptCount val="10"/>
                <c:pt idx="0">
                  <c:v>8.3429219999999997</c:v>
                </c:pt>
                <c:pt idx="1">
                  <c:v>8.135294</c:v>
                </c:pt>
                <c:pt idx="2">
                  <c:v>52.261510000000001</c:v>
                </c:pt>
                <c:pt idx="3">
                  <c:v>80.888499999999993</c:v>
                </c:pt>
                <c:pt idx="4">
                  <c:v>20.259029999999999</c:v>
                </c:pt>
                <c:pt idx="5">
                  <c:v>4.76091</c:v>
                </c:pt>
                <c:pt idx="6">
                  <c:v>5.9010800000000003</c:v>
                </c:pt>
                <c:pt idx="7">
                  <c:v>6.0910000000000011</c:v>
                </c:pt>
                <c:pt idx="8">
                  <c:v>2.9168000000000003</c:v>
                </c:pt>
                <c:pt idx="9">
                  <c:v>1.3745150000000002</c:v>
                </c:pt>
              </c:numCache>
            </c:numRef>
          </c:val>
          <c:smooth val="0"/>
          <c:extLst>
            <c:ext xmlns:c16="http://schemas.microsoft.com/office/drawing/2014/chart" uri="{C3380CC4-5D6E-409C-BE32-E72D297353CC}">
              <c16:uniqueId val="{00000000-2B7F-41E7-B800-C499B72DC950}"/>
            </c:ext>
          </c:extLst>
        </c:ser>
        <c:ser>
          <c:idx val="1"/>
          <c:order val="1"/>
          <c:tx>
            <c:strRef>
              <c:f>'Base Metals - WA vs Australia'!$W$58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'Base Metals - WA vs Australia'!$W$59:$W$68</c:f>
              <c:numCache>
                <c:formatCode>#,##0.00</c:formatCode>
                <c:ptCount val="10"/>
                <c:pt idx="0">
                  <c:v>604</c:v>
                </c:pt>
                <c:pt idx="1">
                  <c:v>613</c:v>
                </c:pt>
                <c:pt idx="2">
                  <c:v>664</c:v>
                </c:pt>
                <c:pt idx="3">
                  <c:v>642</c:v>
                </c:pt>
                <c:pt idx="4">
                  <c:v>634</c:v>
                </c:pt>
                <c:pt idx="5">
                  <c:v>436</c:v>
                </c:pt>
                <c:pt idx="6">
                  <c:v>387</c:v>
                </c:pt>
                <c:pt idx="7">
                  <c:v>438</c:v>
                </c:pt>
                <c:pt idx="8">
                  <c:v>493.83</c:v>
                </c:pt>
                <c:pt idx="9">
                  <c:v>488.89</c:v>
                </c:pt>
              </c:numCache>
            </c:numRef>
          </c:val>
          <c:smooth val="0"/>
          <c:extLst>
            <c:ext xmlns:c16="http://schemas.microsoft.com/office/drawing/2014/chart" uri="{C3380CC4-5D6E-409C-BE32-E72D297353CC}">
              <c16:uniqueId val="{00000001-2B7F-41E7-B800-C499B72DC950}"/>
            </c:ext>
          </c:extLst>
        </c:ser>
        <c:dLbls>
          <c:showLegendKey val="0"/>
          <c:showVal val="0"/>
          <c:showCatName val="0"/>
          <c:showSerName val="0"/>
          <c:showPercent val="0"/>
          <c:showBubbleSize val="0"/>
        </c:dLbls>
        <c:marker val="1"/>
        <c:smooth val="0"/>
        <c:axId val="130488192"/>
        <c:axId val="130486272"/>
      </c:lineChart>
      <c:valAx>
        <c:axId val="130486272"/>
        <c:scaling>
          <c:orientation val="minMax"/>
        </c:scaling>
        <c:delete val="0"/>
        <c:axPos val="l"/>
        <c:majorGridlines/>
        <c:title>
          <c:tx>
            <c:rich>
              <a:bodyPr/>
              <a:lstStyle/>
              <a:p>
                <a:pPr>
                  <a:defRPr/>
                </a:pPr>
                <a:r>
                  <a:rPr lang="en-AU"/>
                  <a:t>Thousand Tonnes</a:t>
                </a:r>
              </a:p>
            </c:rich>
          </c:tx>
          <c:overlay val="0"/>
        </c:title>
        <c:numFmt formatCode="0" sourceLinked="0"/>
        <c:majorTickMark val="out"/>
        <c:minorTickMark val="none"/>
        <c:tickLblPos val="nextTo"/>
        <c:crossAx val="130488192"/>
        <c:crosses val="autoZero"/>
        <c:crossBetween val="between"/>
      </c:valAx>
      <c:catAx>
        <c:axId val="130488192"/>
        <c:scaling>
          <c:orientation val="minMax"/>
        </c:scaling>
        <c:delete val="0"/>
        <c:axPos val="b"/>
        <c:title>
          <c:tx>
            <c:rich>
              <a:bodyPr/>
              <a:lstStyle/>
              <a:p>
                <a:pPr>
                  <a:defRPr/>
                </a:pPr>
                <a:r>
                  <a:rPr lang="en-AU" sz="900" b="1" i="0" baseline="0">
                    <a:effectLst/>
                  </a:rPr>
                  <a:t>Source:  DMIRS and OoCE</a:t>
                </a:r>
                <a:endParaRPr lang="en-AU" sz="900">
                  <a:effectLst/>
                </a:endParaRPr>
              </a:p>
            </c:rich>
          </c:tx>
          <c:layout>
            <c:manualLayout>
              <c:xMode val="edge"/>
              <c:yMode val="edge"/>
              <c:x val="6.9910404979668331E-3"/>
              <c:y val="0.94555844293665325"/>
            </c:manualLayout>
          </c:layout>
          <c:overlay val="0"/>
        </c:title>
        <c:numFmt formatCode="General" sourceLinked="1"/>
        <c:majorTickMark val="out"/>
        <c:minorTickMark val="none"/>
        <c:tickLblPos val="nextTo"/>
        <c:txPr>
          <a:bodyPr rot="-2700000"/>
          <a:lstStyle/>
          <a:p>
            <a:pPr>
              <a:defRPr/>
            </a:pPr>
            <a:endParaRPr lang="en-US"/>
          </a:p>
        </c:txPr>
        <c:crossAx val="13048627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br>
              <a:rPr lang="en-AU"/>
            </a:br>
            <a:r>
              <a:rPr lang="en-AU" sz="1100"/>
              <a:t>Western</a:t>
            </a:r>
            <a:r>
              <a:rPr lang="en-AU" sz="1100" baseline="0"/>
              <a:t> Australia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0.12159632471160682"/>
          <c:y val="0.26124669888827301"/>
          <c:w val="0.81257822251182332"/>
          <c:h val="0.53389075756208038"/>
        </c:manualLayout>
      </c:layout>
      <c:barChart>
        <c:barDir val="col"/>
        <c:grouping val="stacked"/>
        <c:varyColors val="0"/>
        <c:ser>
          <c:idx val="0"/>
          <c:order val="0"/>
          <c:tx>
            <c:strRef>
              <c:f>'Base Metals - WA vs Australia'!$F$7</c:f>
              <c:strCache>
                <c:ptCount val="1"/>
                <c:pt idx="0">
                  <c:v>Western Australia (Kt)</c:v>
                </c:pt>
              </c:strCache>
            </c:strRef>
          </c:tx>
          <c:spPr>
            <a:solidFill>
              <a:srgbClr val="FF66CC"/>
            </a:solidFill>
            <a:ln>
              <a:noFill/>
            </a:ln>
          </c:spPr>
          <c:invertIfNegative val="0"/>
          <c:cat>
            <c:numRef>
              <c:f>'Base Metals - WA vs Australia'!$A$8:$A$48</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'Base Metals - WA vs Australia'!$F$8:$F$48</c:f>
              <c:numCache>
                <c:formatCode>#,##0.00</c:formatCode>
                <c:ptCount val="41"/>
                <c:pt idx="0">
                  <c:v>0</c:v>
                </c:pt>
                <c:pt idx="1">
                  <c:v>3.613</c:v>
                </c:pt>
                <c:pt idx="2">
                  <c:v>48.018000000000001</c:v>
                </c:pt>
                <c:pt idx="3">
                  <c:v>13.157999999999999</c:v>
                </c:pt>
                <c:pt idx="4">
                  <c:v>35.64</c:v>
                </c:pt>
                <c:pt idx="5">
                  <c:v>51.976999999999997</c:v>
                </c:pt>
                <c:pt idx="6">
                  <c:v>23.969000000000001</c:v>
                </c:pt>
                <c:pt idx="7">
                  <c:v>0</c:v>
                </c:pt>
                <c:pt idx="8">
                  <c:v>20.25</c:v>
                </c:pt>
                <c:pt idx="9">
                  <c:v>38.064</c:v>
                </c:pt>
                <c:pt idx="10">
                  <c:v>51.704000000000001</c:v>
                </c:pt>
                <c:pt idx="11">
                  <c:v>112.015</c:v>
                </c:pt>
                <c:pt idx="12">
                  <c:v>141.38499999999999</c:v>
                </c:pt>
                <c:pt idx="13">
                  <c:v>141.096</c:v>
                </c:pt>
                <c:pt idx="14">
                  <c:v>123.621</c:v>
                </c:pt>
                <c:pt idx="15">
                  <c:v>126.336</c:v>
                </c:pt>
                <c:pt idx="16">
                  <c:v>106.85529852100001</c:v>
                </c:pt>
                <c:pt idx="17">
                  <c:v>117.198171</c:v>
                </c:pt>
                <c:pt idx="18">
                  <c:v>149.33000000000001</c:v>
                </c:pt>
                <c:pt idx="19">
                  <c:v>222.53985500000002</c:v>
                </c:pt>
                <c:pt idx="20">
                  <c:v>257.71199999999999</c:v>
                </c:pt>
                <c:pt idx="21">
                  <c:v>210.83700000000002</c:v>
                </c:pt>
                <c:pt idx="22">
                  <c:v>218.803</c:v>
                </c:pt>
                <c:pt idx="23">
                  <c:v>148.83994000000001</c:v>
                </c:pt>
                <c:pt idx="24">
                  <c:v>51.78387</c:v>
                </c:pt>
                <c:pt idx="25">
                  <c:v>59.104380000000006</c:v>
                </c:pt>
                <c:pt idx="26">
                  <c:v>109.06339100000001</c:v>
                </c:pt>
                <c:pt idx="27">
                  <c:v>173.33780000000002</c:v>
                </c:pt>
                <c:pt idx="28">
                  <c:v>189.81195299999999</c:v>
                </c:pt>
                <c:pt idx="29">
                  <c:v>99.811695999999984</c:v>
                </c:pt>
                <c:pt idx="30">
                  <c:v>81.515219999999999</c:v>
                </c:pt>
                <c:pt idx="31">
                  <c:v>74.400736999999992</c:v>
                </c:pt>
                <c:pt idx="32">
                  <c:v>57.112677000000005</c:v>
                </c:pt>
                <c:pt idx="33">
                  <c:v>47.985599999999998</c:v>
                </c:pt>
                <c:pt idx="34">
                  <c:v>72.763530000000003</c:v>
                </c:pt>
                <c:pt idx="35">
                  <c:v>77.178319999999999</c:v>
                </c:pt>
                <c:pt idx="36">
                  <c:v>94.963539999999995</c:v>
                </c:pt>
                <c:pt idx="37">
                  <c:v>84.653807999999998</c:v>
                </c:pt>
                <c:pt idx="38">
                  <c:v>68.823993000000002</c:v>
                </c:pt>
                <c:pt idx="39">
                  <c:v>77.819270000000003</c:v>
                </c:pt>
                <c:pt idx="40">
                  <c:v>66.272142000000002</c:v>
                </c:pt>
              </c:numCache>
            </c:numRef>
          </c:val>
          <c:extLst>
            <c:ext xmlns:c16="http://schemas.microsoft.com/office/drawing/2014/chart" uri="{C3380CC4-5D6E-409C-BE32-E72D297353CC}">
              <c16:uniqueId val="{00000000-B061-4293-A8EE-659EC05F201D}"/>
            </c:ext>
          </c:extLst>
        </c:ser>
        <c:ser>
          <c:idx val="1"/>
          <c:order val="1"/>
          <c:tx>
            <c:strRef>
              <c:f>'Base Metals - WA vs Australia'!$G$7</c:f>
              <c:strCache>
                <c:ptCount val="1"/>
                <c:pt idx="0">
                  <c:v>Rest of Australia (Kt)</c:v>
                </c:pt>
              </c:strCache>
            </c:strRef>
          </c:tx>
          <c:spPr>
            <a:solidFill>
              <a:srgbClr val="DEB2D7"/>
            </a:solidFill>
            <a:ln>
              <a:noFill/>
            </a:ln>
          </c:spPr>
          <c:invertIfNegative val="0"/>
          <c:cat>
            <c:numRef>
              <c:f>'Base Metals - WA vs Australia'!$A$8:$A$48</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'Base Metals - WA vs Australia'!$G$8:$G$48</c:f>
              <c:numCache>
                <c:formatCode>#,##0.00</c:formatCode>
                <c:ptCount val="41"/>
                <c:pt idx="0">
                  <c:v>495</c:v>
                </c:pt>
                <c:pt idx="1">
                  <c:v>518</c:v>
                </c:pt>
                <c:pt idx="2">
                  <c:v>665</c:v>
                </c:pt>
                <c:pt idx="3">
                  <c:v>699</c:v>
                </c:pt>
                <c:pt idx="4">
                  <c:v>677</c:v>
                </c:pt>
                <c:pt idx="5">
                  <c:v>759</c:v>
                </c:pt>
                <c:pt idx="6">
                  <c:v>712</c:v>
                </c:pt>
                <c:pt idx="7">
                  <c:v>778</c:v>
                </c:pt>
                <c:pt idx="8">
                  <c:v>760</c:v>
                </c:pt>
                <c:pt idx="9">
                  <c:v>803</c:v>
                </c:pt>
                <c:pt idx="10">
                  <c:v>882.57560000000012</c:v>
                </c:pt>
                <c:pt idx="11">
                  <c:v>900.30520000000001</c:v>
                </c:pt>
                <c:pt idx="12">
                  <c:v>923.9254406</c:v>
                </c:pt>
                <c:pt idx="13">
                  <c:v>880.42057299999999</c:v>
                </c:pt>
                <c:pt idx="14">
                  <c:v>845.69662699999992</c:v>
                </c:pt>
                <c:pt idx="15">
                  <c:v>817.34446200000002</c:v>
                </c:pt>
                <c:pt idx="16">
                  <c:v>907.12170147899997</c:v>
                </c:pt>
                <c:pt idx="17">
                  <c:v>840.23782899999992</c:v>
                </c:pt>
                <c:pt idx="18">
                  <c:v>870.02799999999991</c:v>
                </c:pt>
                <c:pt idx="19">
                  <c:v>897.12634500000013</c:v>
                </c:pt>
                <c:pt idx="20">
                  <c:v>1121.9626999999998</c:v>
                </c:pt>
                <c:pt idx="21">
                  <c:v>1265.751859</c:v>
                </c:pt>
                <c:pt idx="22">
                  <c:v>1221.1280000000002</c:v>
                </c:pt>
                <c:pt idx="23">
                  <c:v>1293.2950599999999</c:v>
                </c:pt>
                <c:pt idx="24">
                  <c:v>1245.47513</c:v>
                </c:pt>
                <c:pt idx="25">
                  <c:v>1269.63562</c:v>
                </c:pt>
                <c:pt idx="26">
                  <c:v>1217.611609</c:v>
                </c:pt>
                <c:pt idx="27">
                  <c:v>1307.9872</c:v>
                </c:pt>
                <c:pt idx="28">
                  <c:v>1292.7660470000001</c:v>
                </c:pt>
                <c:pt idx="29">
                  <c:v>1166</c:v>
                </c:pt>
                <c:pt idx="30">
                  <c:v>1346</c:v>
                </c:pt>
                <c:pt idx="31">
                  <c:v>1387</c:v>
                </c:pt>
                <c:pt idx="32">
                  <c:v>1428</c:v>
                </c:pt>
                <c:pt idx="33">
                  <c:v>1419</c:v>
                </c:pt>
                <c:pt idx="34">
                  <c:v>1421</c:v>
                </c:pt>
                <c:pt idx="35">
                  <c:v>1508</c:v>
                </c:pt>
                <c:pt idx="36">
                  <c:v>806</c:v>
                </c:pt>
                <c:pt idx="37">
                  <c:v>767</c:v>
                </c:pt>
                <c:pt idx="38">
                  <c:v>1056</c:v>
                </c:pt>
                <c:pt idx="39">
                  <c:v>1248.6500000000001</c:v>
                </c:pt>
                <c:pt idx="40">
                  <c:v>1232.1500000000001</c:v>
                </c:pt>
              </c:numCache>
            </c:numRef>
          </c:val>
          <c:extLst>
            <c:ext xmlns:c16="http://schemas.microsoft.com/office/drawing/2014/chart" uri="{C3380CC4-5D6E-409C-BE32-E72D297353CC}">
              <c16:uniqueId val="{00000001-B061-4293-A8EE-659EC05F201D}"/>
            </c:ext>
          </c:extLst>
        </c:ser>
        <c:dLbls>
          <c:showLegendKey val="0"/>
          <c:showVal val="0"/>
          <c:showCatName val="0"/>
          <c:showSerName val="0"/>
          <c:showPercent val="0"/>
          <c:showBubbleSize val="0"/>
        </c:dLbls>
        <c:gapWidth val="60"/>
        <c:overlap val="100"/>
        <c:axId val="130510848"/>
        <c:axId val="130512384"/>
      </c:barChart>
      <c:dateAx>
        <c:axId val="130510848"/>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512384"/>
        <c:crosses val="autoZero"/>
        <c:auto val="0"/>
        <c:lblOffset val="100"/>
        <c:baseTimeUnit val="days"/>
        <c:majorUnit val="2"/>
        <c:majorTimeUnit val="days"/>
      </c:dateAx>
      <c:valAx>
        <c:axId val="130512384"/>
        <c:scaling>
          <c:orientation val="minMax"/>
        </c:scaling>
        <c:delete val="0"/>
        <c:axPos val="l"/>
        <c:majorGridlines/>
        <c:title>
          <c:tx>
            <c:rich>
              <a:bodyPr rot="-5400000" vert="horz"/>
              <a:lstStyle/>
              <a:p>
                <a:pPr>
                  <a:defRPr/>
                </a:pPr>
                <a:r>
                  <a:rPr lang="en-AU"/>
                  <a:t>Thousand Tonnes</a:t>
                </a:r>
              </a:p>
            </c:rich>
          </c:tx>
          <c:layout>
            <c:manualLayout>
              <c:xMode val="edge"/>
              <c:yMode val="edge"/>
              <c:x val="1.2800581959295915E-2"/>
              <c:y val="0.34292459407770776"/>
            </c:manualLayout>
          </c:layout>
          <c:overlay val="0"/>
        </c:title>
        <c:numFmt formatCode="0" sourceLinked="0"/>
        <c:majorTickMark val="out"/>
        <c:minorTickMark val="none"/>
        <c:tickLblPos val="nextTo"/>
        <c:txPr>
          <a:bodyPr rot="0" vert="horz"/>
          <a:lstStyle/>
          <a:p>
            <a:pPr>
              <a:defRPr/>
            </a:pPr>
            <a:endParaRPr lang="en-US"/>
          </a:p>
        </c:txPr>
        <c:crossAx val="130510848"/>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Western Australia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Australia'!$X$58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'Base Metals - WA vs Australia'!$X$59:$X$68</c:f>
              <c:numCache>
                <c:formatCode>#,##0.00</c:formatCode>
                <c:ptCount val="10"/>
                <c:pt idx="0">
                  <c:v>74.400736999999992</c:v>
                </c:pt>
                <c:pt idx="1">
                  <c:v>57.112677000000005</c:v>
                </c:pt>
                <c:pt idx="2">
                  <c:v>47.985599999999998</c:v>
                </c:pt>
                <c:pt idx="3">
                  <c:v>72.763530000000003</c:v>
                </c:pt>
                <c:pt idx="4">
                  <c:v>77.178319999999999</c:v>
                </c:pt>
                <c:pt idx="5">
                  <c:v>94.963539999999995</c:v>
                </c:pt>
                <c:pt idx="6">
                  <c:v>84.653807999999998</c:v>
                </c:pt>
                <c:pt idx="7">
                  <c:v>68.823993000000002</c:v>
                </c:pt>
                <c:pt idx="8">
                  <c:v>77.819270000000003</c:v>
                </c:pt>
                <c:pt idx="9">
                  <c:v>66.272142000000002</c:v>
                </c:pt>
              </c:numCache>
            </c:numRef>
          </c:val>
          <c:smooth val="0"/>
          <c:extLst>
            <c:ext xmlns:c16="http://schemas.microsoft.com/office/drawing/2014/chart" uri="{C3380CC4-5D6E-409C-BE32-E72D297353CC}">
              <c16:uniqueId val="{00000000-671C-45F4-904A-7460F2410EC0}"/>
            </c:ext>
          </c:extLst>
        </c:ser>
        <c:ser>
          <c:idx val="1"/>
          <c:order val="1"/>
          <c:tx>
            <c:strRef>
              <c:f>'Base Metals - WA vs Australia'!$Y$58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'Base Metals - WA vs Australia'!$Y$59:$Y$68</c:f>
              <c:numCache>
                <c:formatCode>#,##0.00</c:formatCode>
                <c:ptCount val="10"/>
                <c:pt idx="0">
                  <c:v>1387</c:v>
                </c:pt>
                <c:pt idx="1">
                  <c:v>1428</c:v>
                </c:pt>
                <c:pt idx="2">
                  <c:v>1419</c:v>
                </c:pt>
                <c:pt idx="3">
                  <c:v>1421</c:v>
                </c:pt>
                <c:pt idx="4">
                  <c:v>1508</c:v>
                </c:pt>
                <c:pt idx="5">
                  <c:v>806</c:v>
                </c:pt>
                <c:pt idx="6">
                  <c:v>767</c:v>
                </c:pt>
                <c:pt idx="7">
                  <c:v>1056</c:v>
                </c:pt>
                <c:pt idx="8">
                  <c:v>1248.6500000000001</c:v>
                </c:pt>
                <c:pt idx="9">
                  <c:v>1232.1500000000001</c:v>
                </c:pt>
              </c:numCache>
            </c:numRef>
          </c:val>
          <c:smooth val="0"/>
          <c:extLst>
            <c:ext xmlns:c16="http://schemas.microsoft.com/office/drawing/2014/chart" uri="{C3380CC4-5D6E-409C-BE32-E72D297353CC}">
              <c16:uniqueId val="{00000001-671C-45F4-904A-7460F2410EC0}"/>
            </c:ext>
          </c:extLst>
        </c:ser>
        <c:dLbls>
          <c:showLegendKey val="0"/>
          <c:showVal val="0"/>
          <c:showCatName val="0"/>
          <c:showSerName val="0"/>
          <c:showPercent val="0"/>
          <c:showBubbleSize val="0"/>
        </c:dLbls>
        <c:marker val="1"/>
        <c:smooth val="0"/>
        <c:axId val="131274240"/>
        <c:axId val="130547072"/>
      </c:lineChart>
      <c:valAx>
        <c:axId val="130547072"/>
        <c:scaling>
          <c:orientation val="minMax"/>
        </c:scaling>
        <c:delete val="0"/>
        <c:axPos val="l"/>
        <c:majorGridlines/>
        <c:title>
          <c:tx>
            <c:rich>
              <a:bodyPr/>
              <a:lstStyle/>
              <a:p>
                <a:pPr>
                  <a:defRPr/>
                </a:pPr>
                <a:r>
                  <a:rPr lang="en-AU"/>
                  <a:t>Thousand Tonnes</a:t>
                </a:r>
              </a:p>
            </c:rich>
          </c:tx>
          <c:overlay val="0"/>
        </c:title>
        <c:numFmt formatCode="0" sourceLinked="0"/>
        <c:majorTickMark val="out"/>
        <c:minorTickMark val="none"/>
        <c:tickLblPos val="nextTo"/>
        <c:crossAx val="131274240"/>
        <c:crosses val="autoZero"/>
        <c:crossBetween val="between"/>
      </c:valAx>
      <c:catAx>
        <c:axId val="131274240"/>
        <c:scaling>
          <c:orientation val="minMax"/>
        </c:scaling>
        <c:delete val="0"/>
        <c:axPos val="b"/>
        <c:title>
          <c:tx>
            <c:rich>
              <a:bodyPr/>
              <a:lstStyle/>
              <a:p>
                <a:pPr>
                  <a:defRPr/>
                </a:pPr>
                <a:r>
                  <a:rPr lang="en-AU" sz="900" b="1" i="0" baseline="0">
                    <a:effectLst/>
                  </a:rPr>
                  <a:t>Source:  DMIRS and OoCE</a:t>
                </a:r>
                <a:endParaRPr lang="en-AU" sz="900">
                  <a:effectLst/>
                </a:endParaRPr>
              </a:p>
            </c:rich>
          </c:tx>
          <c:layout>
            <c:manualLayout>
              <c:xMode val="edge"/>
              <c:yMode val="edge"/>
              <c:x val="6.7933445082519238E-3"/>
              <c:y val="0.95147395944337287"/>
            </c:manualLayout>
          </c:layout>
          <c:overlay val="0"/>
        </c:title>
        <c:numFmt formatCode="General" sourceLinked="1"/>
        <c:majorTickMark val="out"/>
        <c:minorTickMark val="none"/>
        <c:tickLblPos val="nextTo"/>
        <c:txPr>
          <a:bodyPr rot="-2700000"/>
          <a:lstStyle/>
          <a:p>
            <a:pPr>
              <a:defRPr/>
            </a:pPr>
            <a:endParaRPr lang="en-US"/>
          </a:p>
        </c:txPr>
        <c:crossAx val="13054707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a:t>Major Commodities by Value (Last 2 years)</a:t>
            </a:r>
          </a:p>
        </c:rich>
      </c:tx>
      <c:layout>
        <c:manualLayout>
          <c:xMode val="edge"/>
          <c:yMode val="edge"/>
          <c:x val="0.30998384817282454"/>
          <c:y val="4.7781505030231292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9705584678447841"/>
          <c:y val="0.19278460086589028"/>
          <c:w val="0.76444078493978662"/>
          <c:h val="0.67917111722608048"/>
        </c:manualLayout>
      </c:layout>
      <c:barChart>
        <c:barDir val="bar"/>
        <c:grouping val="clustered"/>
        <c:varyColors val="0"/>
        <c:ser>
          <c:idx val="0"/>
          <c:order val="0"/>
          <c:tx>
            <c:strRef>
              <c:f>'Q&amp;V Summary 2-years'!$Q$12:$R$12</c:f>
              <c:strCache>
                <c:ptCount val="1"/>
                <c:pt idx="0">
                  <c:v>2020-21</c:v>
                </c:pt>
              </c:strCache>
            </c:strRef>
          </c:tx>
          <c:spPr>
            <a:solidFill>
              <a:schemeClr val="accent5">
                <a:shade val="76000"/>
              </a:schemeClr>
            </a:solidFill>
            <a:ln>
              <a:noFill/>
            </a:ln>
            <a:effectLst/>
          </c:spPr>
          <c:invertIfNegative val="0"/>
          <c:cat>
            <c:strRef>
              <c:f>'Q&amp;V Summary 2-years'!$N$14:$N$24</c:f>
              <c:strCache>
                <c:ptCount val="11"/>
                <c:pt idx="0">
                  <c:v>Iron ore</c:v>
                </c:pt>
                <c:pt idx="1">
                  <c:v>Gold</c:v>
                </c:pt>
                <c:pt idx="2">
                  <c:v>LNG</c:v>
                </c:pt>
                <c:pt idx="3">
                  <c:v>Crude Oil and Condensate</c:v>
                </c:pt>
                <c:pt idx="4">
                  <c:v>Alumina and Bauxite</c:v>
                </c:pt>
                <c:pt idx="5">
                  <c:v>Nickel</c:v>
                </c:pt>
                <c:pt idx="6">
                  <c:v>Base Metals</c:v>
                </c:pt>
                <c:pt idx="7">
                  <c:v>Natural Gas and LPG</c:v>
                </c:pt>
                <c:pt idx="8">
                  <c:v>Lithium</c:v>
                </c:pt>
                <c:pt idx="9">
                  <c:v>Mineral Sands</c:v>
                </c:pt>
                <c:pt idx="10">
                  <c:v>Other Minerals</c:v>
                </c:pt>
              </c:strCache>
            </c:strRef>
          </c:cat>
          <c:val>
            <c:numRef>
              <c:f>'Q&amp;V Summary 2-years'!$Q$14:$Q$24</c:f>
              <c:numCache>
                <c:formatCode>#,##0.00</c:formatCode>
                <c:ptCount val="11"/>
                <c:pt idx="0">
                  <c:v>154732.94078899999</c:v>
                </c:pt>
                <c:pt idx="1">
                  <c:v>16573.7607118919</c:v>
                </c:pt>
                <c:pt idx="2">
                  <c:v>15780.495069759772</c:v>
                </c:pt>
                <c:pt idx="3">
                  <c:v>5994.4022845359787</c:v>
                </c:pt>
                <c:pt idx="4">
                  <c:v>5565.0205450000003</c:v>
                </c:pt>
                <c:pt idx="5">
                  <c:v>3480.602339</c:v>
                </c:pt>
                <c:pt idx="6">
                  <c:v>1716.5207441699999</c:v>
                </c:pt>
                <c:pt idx="7">
                  <c:v>1698.8656294948737</c:v>
                </c:pt>
                <c:pt idx="8">
                  <c:v>938.305026</c:v>
                </c:pt>
                <c:pt idx="9">
                  <c:v>824.44663970389831</c:v>
                </c:pt>
                <c:pt idx="10">
                  <c:v>2339.396638104372</c:v>
                </c:pt>
              </c:numCache>
            </c:numRef>
          </c:val>
          <c:extLst>
            <c:ext xmlns:c16="http://schemas.microsoft.com/office/drawing/2014/chart" uri="{C3380CC4-5D6E-409C-BE32-E72D297353CC}">
              <c16:uniqueId val="{00000006-0552-4461-93C9-B7D43BC96067}"/>
            </c:ext>
          </c:extLst>
        </c:ser>
        <c:ser>
          <c:idx val="1"/>
          <c:order val="1"/>
          <c:tx>
            <c:strRef>
              <c:f>'Q&amp;V Summary 2-years'!$O$12:$P$12</c:f>
              <c:strCache>
                <c:ptCount val="1"/>
                <c:pt idx="0">
                  <c:v>2019-20</c:v>
                </c:pt>
              </c:strCache>
            </c:strRef>
          </c:tx>
          <c:spPr>
            <a:solidFill>
              <a:schemeClr val="accent5">
                <a:tint val="77000"/>
              </a:schemeClr>
            </a:solidFill>
            <a:ln>
              <a:noFill/>
            </a:ln>
            <a:effectLst/>
          </c:spPr>
          <c:invertIfNegative val="0"/>
          <c:cat>
            <c:strRef>
              <c:f>'Q&amp;V Summary 2-years'!$N$14:$N$24</c:f>
              <c:strCache>
                <c:ptCount val="11"/>
                <c:pt idx="0">
                  <c:v>Iron ore</c:v>
                </c:pt>
                <c:pt idx="1">
                  <c:v>Gold</c:v>
                </c:pt>
                <c:pt idx="2">
                  <c:v>LNG</c:v>
                </c:pt>
                <c:pt idx="3">
                  <c:v>Crude Oil and Condensate</c:v>
                </c:pt>
                <c:pt idx="4">
                  <c:v>Alumina and Bauxite</c:v>
                </c:pt>
                <c:pt idx="5">
                  <c:v>Nickel</c:v>
                </c:pt>
                <c:pt idx="6">
                  <c:v>Base Metals</c:v>
                </c:pt>
                <c:pt idx="7">
                  <c:v>Natural Gas and LPG</c:v>
                </c:pt>
                <c:pt idx="8">
                  <c:v>Lithium</c:v>
                </c:pt>
                <c:pt idx="9">
                  <c:v>Mineral Sands</c:v>
                </c:pt>
                <c:pt idx="10">
                  <c:v>Other Minerals</c:v>
                </c:pt>
              </c:strCache>
            </c:strRef>
          </c:cat>
          <c:val>
            <c:numRef>
              <c:f>'Q&amp;V Summary 2-years'!$O$14:$O$24</c:f>
              <c:numCache>
                <c:formatCode>#,##0.00</c:formatCode>
                <c:ptCount val="11"/>
                <c:pt idx="0">
                  <c:v>104616.533849</c:v>
                </c:pt>
                <c:pt idx="1">
                  <c:v>15872.150556000001</c:v>
                </c:pt>
                <c:pt idx="2">
                  <c:v>27047.964512300576</c:v>
                </c:pt>
                <c:pt idx="3">
                  <c:v>8082.513349870962</c:v>
                </c:pt>
                <c:pt idx="4">
                  <c:v>6416.3996370000004</c:v>
                </c:pt>
                <c:pt idx="5">
                  <c:v>3167.49278</c:v>
                </c:pt>
                <c:pt idx="6">
                  <c:v>1617.554603</c:v>
                </c:pt>
                <c:pt idx="7">
                  <c:v>1990.3084019534283</c:v>
                </c:pt>
                <c:pt idx="8">
                  <c:v>998.656158</c:v>
                </c:pt>
                <c:pt idx="9">
                  <c:v>775.29770798595712</c:v>
                </c:pt>
                <c:pt idx="10">
                  <c:v>2299.0783271923137</c:v>
                </c:pt>
              </c:numCache>
            </c:numRef>
          </c:val>
          <c:extLst>
            <c:ext xmlns:c16="http://schemas.microsoft.com/office/drawing/2014/chart" uri="{C3380CC4-5D6E-409C-BE32-E72D297353CC}">
              <c16:uniqueId val="{00000007-0552-4461-93C9-B7D43BC96067}"/>
            </c:ext>
          </c:extLst>
        </c:ser>
        <c:dLbls>
          <c:showLegendKey val="0"/>
          <c:showVal val="0"/>
          <c:showCatName val="0"/>
          <c:showSerName val="0"/>
          <c:showPercent val="0"/>
          <c:showBubbleSize val="0"/>
        </c:dLbls>
        <c:gapWidth val="150"/>
        <c:axId val="116648960"/>
        <c:axId val="116470528"/>
      </c:barChart>
      <c:catAx>
        <c:axId val="11664896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16470528"/>
        <c:crossesAt val="0"/>
        <c:auto val="1"/>
        <c:lblAlgn val="ctr"/>
        <c:lblOffset val="100"/>
        <c:tickLblSkip val="1"/>
        <c:tickMarkSkip val="1"/>
        <c:noMultiLvlLbl val="0"/>
      </c:catAx>
      <c:valAx>
        <c:axId val="116470528"/>
        <c:scaling>
          <c:orientation val="minMax"/>
          <c:min val="0"/>
        </c:scaling>
        <c:delete val="0"/>
        <c:axPos val="b"/>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layout>
            <c:manualLayout>
              <c:xMode val="edge"/>
              <c:yMode val="edge"/>
              <c:x val="6.4518652777274893E-2"/>
              <c:y val="0.8850580324004010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_ ;\-#,##0\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16648960"/>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prstDash val="solid"/>
      <a:round/>
    </a:ln>
    <a:effectLst/>
  </c:spPr>
  <c:txPr>
    <a:bodyPr/>
    <a:lstStyle/>
    <a:p>
      <a:pPr>
        <a:defRPr/>
      </a:pPr>
      <a:endParaRPr lang="en-US"/>
    </a:p>
  </c:txPr>
  <c:printSettings>
    <c:headerFooter alignWithMargins="0"/>
    <c:pageMargins b="1" l="0.75000000000000178" r="0.75000000000000178" t="1" header="0.5" footer="0.5"/>
    <c:pageSetup paperSize="9" orientation="landscape"/>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Quarter</a:t>
            </a:r>
          </a:p>
        </c:rich>
      </c:tx>
      <c:overlay val="0"/>
    </c:title>
    <c:autoTitleDeleted val="0"/>
    <c:plotArea>
      <c:layout/>
      <c:barChart>
        <c:barDir val="col"/>
        <c:grouping val="clustered"/>
        <c:varyColors val="0"/>
        <c:ser>
          <c:idx val="0"/>
          <c:order val="0"/>
          <c:tx>
            <c:strRef>
              <c:f>'Gold - Q&amp;V'!$R$9</c:f>
              <c:strCache>
                <c:ptCount val="1"/>
                <c:pt idx="0">
                  <c:v>Quantity (t)</c:v>
                </c:pt>
              </c:strCache>
            </c:strRef>
          </c:tx>
          <c:spPr>
            <a:solidFill>
              <a:srgbClr val="FFC000"/>
            </a:solidFill>
          </c:spPr>
          <c:invertIfNegative val="0"/>
          <c:cat>
            <c:numRef>
              <c:extLst>
                <c:ext xmlns:c15="http://schemas.microsoft.com/office/drawing/2012/chart" uri="{02D57815-91ED-43cb-92C2-25804820EDAC}">
                  <c15:fullRef>
                    <c15:sqref>'Gold - Q&amp;V'!$Q$10:$Q$19</c15:sqref>
                  </c15:fullRef>
                </c:ext>
              </c:extLst>
              <c:f>'Gold - Q&amp;V'!$Q$11:$Q$19</c:f>
              <c:numCache>
                <c:formatCode>mmm\-yy</c:formatCode>
                <c:ptCount val="9"/>
                <c:pt idx="0">
                  <c:v>43617</c:v>
                </c:pt>
                <c:pt idx="1">
                  <c:v>43709</c:v>
                </c:pt>
                <c:pt idx="2">
                  <c:v>43800</c:v>
                </c:pt>
                <c:pt idx="3">
                  <c:v>43891</c:v>
                </c:pt>
                <c:pt idx="4">
                  <c:v>43983</c:v>
                </c:pt>
                <c:pt idx="5">
                  <c:v>44075</c:v>
                </c:pt>
                <c:pt idx="6">
                  <c:v>44166</c:v>
                </c:pt>
                <c:pt idx="7">
                  <c:v>44256</c:v>
                </c:pt>
                <c:pt idx="8">
                  <c:v>44348</c:v>
                </c:pt>
              </c:numCache>
            </c:numRef>
          </c:cat>
          <c:val>
            <c:numRef>
              <c:extLst>
                <c:ext xmlns:c15="http://schemas.microsoft.com/office/drawing/2012/chart" uri="{02D57815-91ED-43cb-92C2-25804820EDAC}">
                  <c15:fullRef>
                    <c15:sqref>'Gold - Q&amp;V'!$R$10:$R$19</c15:sqref>
                  </c15:fullRef>
                </c:ext>
              </c:extLst>
              <c:f>'Gold - Q&amp;V'!$R$11:$R$19</c:f>
              <c:numCache>
                <c:formatCode>0.00</c:formatCode>
                <c:ptCount val="9"/>
                <c:pt idx="0">
                  <c:v>51.899823580824034</c:v>
                </c:pt>
                <c:pt idx="1">
                  <c:v>52.210174276143292</c:v>
                </c:pt>
                <c:pt idx="2">
                  <c:v>57.674996376439715</c:v>
                </c:pt>
                <c:pt idx="3">
                  <c:v>51.529829988149572</c:v>
                </c:pt>
                <c:pt idx="4">
                  <c:v>50.727258100134669</c:v>
                </c:pt>
                <c:pt idx="5">
                  <c:v>52.726174857779156</c:v>
                </c:pt>
                <c:pt idx="6">
                  <c:v>54.593408075096335</c:v>
                </c:pt>
                <c:pt idx="7">
                  <c:v>48.969916984700198</c:v>
                </c:pt>
                <c:pt idx="8">
                  <c:v>51.27744372595307</c:v>
                </c:pt>
              </c:numCache>
            </c:numRef>
          </c:val>
          <c:extLst>
            <c:ext xmlns:c16="http://schemas.microsoft.com/office/drawing/2014/chart" uri="{C3380CC4-5D6E-409C-BE32-E72D297353CC}">
              <c16:uniqueId val="{00000000-BD88-40A5-9134-89B96FB2A28D}"/>
            </c:ext>
          </c:extLst>
        </c:ser>
        <c:dLbls>
          <c:showLegendKey val="0"/>
          <c:showVal val="0"/>
          <c:showCatName val="0"/>
          <c:showSerName val="0"/>
          <c:showPercent val="0"/>
          <c:showBubbleSize val="0"/>
        </c:dLbls>
        <c:gapWidth val="40"/>
        <c:axId val="118701440"/>
        <c:axId val="118699520"/>
      </c:barChart>
      <c:lineChart>
        <c:grouping val="standard"/>
        <c:varyColors val="0"/>
        <c:ser>
          <c:idx val="1"/>
          <c:order val="1"/>
          <c:tx>
            <c:strRef>
              <c:f>'Gold - Q&amp;V'!$S$9</c:f>
              <c:strCache>
                <c:ptCount val="1"/>
                <c:pt idx="0">
                  <c:v>Value ($ Million)</c:v>
                </c:pt>
              </c:strCache>
            </c:strRef>
          </c:tx>
          <c:spPr>
            <a:ln>
              <a:solidFill>
                <a:srgbClr val="C89600"/>
              </a:solidFill>
            </a:ln>
          </c:spPr>
          <c:marker>
            <c:symbol val="none"/>
          </c:marker>
          <c:cat>
            <c:numRef>
              <c:extLst>
                <c:ext xmlns:c15="http://schemas.microsoft.com/office/drawing/2012/chart" uri="{02D57815-91ED-43cb-92C2-25804820EDAC}">
                  <c15:fullRef>
                    <c15:sqref>'Nickel - Q&amp;V'!$R$10:$R$19</c15:sqref>
                  </c15:fullRef>
                </c:ext>
              </c:extLst>
              <c:f>'Nickel - Q&amp;V'!$R$11:$R$19</c:f>
              <c:numCache>
                <c:formatCode>mmm\-yy</c:formatCode>
                <c:ptCount val="9"/>
                <c:pt idx="0">
                  <c:v>43617</c:v>
                </c:pt>
                <c:pt idx="1">
                  <c:v>43709</c:v>
                </c:pt>
                <c:pt idx="2">
                  <c:v>43800</c:v>
                </c:pt>
                <c:pt idx="3">
                  <c:v>43891</c:v>
                </c:pt>
                <c:pt idx="4">
                  <c:v>43983</c:v>
                </c:pt>
                <c:pt idx="5">
                  <c:v>44075</c:v>
                </c:pt>
                <c:pt idx="6">
                  <c:v>44166</c:v>
                </c:pt>
                <c:pt idx="7">
                  <c:v>44256</c:v>
                </c:pt>
                <c:pt idx="8">
                  <c:v>44348</c:v>
                </c:pt>
              </c:numCache>
            </c:numRef>
          </c:cat>
          <c:val>
            <c:numRef>
              <c:extLst>
                <c:ext xmlns:c15="http://schemas.microsoft.com/office/drawing/2012/chart" uri="{02D57815-91ED-43cb-92C2-25804820EDAC}">
                  <c15:fullRef>
                    <c15:sqref>'Gold - Q&amp;V'!$S$10:$S$19</c15:sqref>
                  </c15:fullRef>
                </c:ext>
              </c:extLst>
              <c:f>'Gold - Q&amp;V'!$S$11:$S$19</c:f>
              <c:numCache>
                <c:formatCode>0.00</c:formatCode>
                <c:ptCount val="9"/>
                <c:pt idx="0">
                  <c:v>3124.5002690000001</c:v>
                </c:pt>
                <c:pt idx="1">
                  <c:v>3600.7712550000001</c:v>
                </c:pt>
                <c:pt idx="2">
                  <c:v>4017.6244700000002</c:v>
                </c:pt>
                <c:pt idx="3">
                  <c:v>4004.6996949999998</c:v>
                </c:pt>
                <c:pt idx="4">
                  <c:v>4249.0551359999999</c:v>
                </c:pt>
                <c:pt idx="5">
                  <c:v>4519.2405829999998</c:v>
                </c:pt>
                <c:pt idx="6">
                  <c:v>4496.7462869999999</c:v>
                </c:pt>
                <c:pt idx="7">
                  <c:v>3668.9775679999998</c:v>
                </c:pt>
                <c:pt idx="8">
                  <c:v>3888.7962738919</c:v>
                </c:pt>
              </c:numCache>
            </c:numRef>
          </c:val>
          <c:smooth val="0"/>
          <c:extLst>
            <c:ext xmlns:c16="http://schemas.microsoft.com/office/drawing/2014/chart" uri="{C3380CC4-5D6E-409C-BE32-E72D297353CC}">
              <c16:uniqueId val="{00000001-BD88-40A5-9134-89B96FB2A28D}"/>
            </c:ext>
          </c:extLst>
        </c:ser>
        <c:dLbls>
          <c:showLegendKey val="0"/>
          <c:showVal val="0"/>
          <c:showCatName val="0"/>
          <c:showSerName val="0"/>
          <c:showPercent val="0"/>
          <c:showBubbleSize val="0"/>
        </c:dLbls>
        <c:marker val="1"/>
        <c:smooth val="0"/>
        <c:axId val="118695424"/>
        <c:axId val="118697344"/>
      </c:lineChart>
      <c:catAx>
        <c:axId val="118695424"/>
        <c:scaling>
          <c:orientation val="minMax"/>
        </c:scaling>
        <c:delete val="0"/>
        <c:axPos val="b"/>
        <c:title>
          <c:tx>
            <c:rich>
              <a:bodyPr/>
              <a:lstStyle/>
              <a:p>
                <a:pPr>
                  <a:defRPr sz="900"/>
                </a:pPr>
                <a:r>
                  <a:rPr lang="en-AU" sz="900"/>
                  <a:t>Source: DM</a:t>
                </a:r>
                <a:r>
                  <a:rPr lang="en-AU" sz="900" b="1" i="0" u="none" strike="noStrike" baseline="0">
                    <a:effectLst/>
                  </a:rPr>
                  <a:t>IRS</a:t>
                </a:r>
                <a:endParaRPr lang="en-AU" sz="900"/>
              </a:p>
            </c:rich>
          </c:tx>
          <c:layout>
            <c:manualLayout>
              <c:xMode val="edge"/>
              <c:yMode val="edge"/>
              <c:x val="6.828030912650258E-3"/>
              <c:y val="0.94429725109716078"/>
            </c:manualLayout>
          </c:layout>
          <c:overlay val="0"/>
        </c:title>
        <c:numFmt formatCode="mmm\-yy" sourceLinked="1"/>
        <c:majorTickMark val="out"/>
        <c:minorTickMark val="none"/>
        <c:tickLblPos val="nextTo"/>
        <c:txPr>
          <a:bodyPr rot="-2700000" vert="horz"/>
          <a:lstStyle/>
          <a:p>
            <a:pPr>
              <a:defRPr/>
            </a:pPr>
            <a:endParaRPr lang="en-US"/>
          </a:p>
        </c:txPr>
        <c:crossAx val="118697344"/>
        <c:crosses val="autoZero"/>
        <c:auto val="0"/>
        <c:lblAlgn val="ctr"/>
        <c:lblOffset val="100"/>
        <c:tickLblSkip val="1"/>
        <c:noMultiLvlLbl val="1"/>
      </c:catAx>
      <c:valAx>
        <c:axId val="118697344"/>
        <c:scaling>
          <c:orientation val="minMax"/>
          <c:min val="0"/>
        </c:scaling>
        <c:delete val="0"/>
        <c:axPos val="l"/>
        <c:majorGridlines/>
        <c:title>
          <c:tx>
            <c:rich>
              <a:bodyPr rot="-5400000" vert="horz"/>
              <a:lstStyle/>
              <a:p>
                <a:pPr>
                  <a:defRPr/>
                </a:pPr>
                <a:r>
                  <a:rPr lang="en-AU"/>
                  <a:t>$Million</a:t>
                </a:r>
              </a:p>
            </c:rich>
          </c:tx>
          <c:layout>
            <c:manualLayout>
              <c:xMode val="edge"/>
              <c:yMode val="edge"/>
              <c:x val="1.9667392643814421E-2"/>
              <c:y val="0.46485182229212479"/>
            </c:manualLayout>
          </c:layout>
          <c:overlay val="0"/>
        </c:title>
        <c:numFmt formatCode="#,##0" sourceLinked="0"/>
        <c:majorTickMark val="out"/>
        <c:minorTickMark val="none"/>
        <c:tickLblPos val="nextTo"/>
        <c:crossAx val="118695424"/>
        <c:crosses val="autoZero"/>
        <c:crossBetween val="between"/>
      </c:valAx>
      <c:valAx>
        <c:axId val="118699520"/>
        <c:scaling>
          <c:orientation val="minMax"/>
          <c:min val="0"/>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701440"/>
        <c:crosses val="max"/>
        <c:crossBetween val="between"/>
        <c:majorUnit val="10"/>
      </c:valAx>
      <c:catAx>
        <c:axId val="118701440"/>
        <c:scaling>
          <c:orientation val="minMax"/>
        </c:scaling>
        <c:delete val="1"/>
        <c:axPos val="b"/>
        <c:numFmt formatCode="mmm\-yy" sourceLinked="1"/>
        <c:majorTickMark val="out"/>
        <c:minorTickMark val="none"/>
        <c:tickLblPos val="nextTo"/>
        <c:crossAx val="118699520"/>
        <c:crosses val="autoZero"/>
        <c:auto val="0"/>
        <c:lblAlgn val="ctr"/>
        <c:lblOffset val="100"/>
        <c:noMultiLvlLbl val="1"/>
      </c:catAx>
    </c:plotArea>
    <c:legend>
      <c:legendPos val="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Year</a:t>
            </a:r>
          </a:p>
        </c:rich>
      </c:tx>
      <c:overlay val="0"/>
    </c:title>
    <c:autoTitleDeleted val="0"/>
    <c:plotArea>
      <c:layout/>
      <c:barChart>
        <c:barDir val="col"/>
        <c:grouping val="clustered"/>
        <c:varyColors val="0"/>
        <c:ser>
          <c:idx val="0"/>
          <c:order val="0"/>
          <c:tx>
            <c:strRef>
              <c:f>'Gold - Q&amp;V'!$R$35</c:f>
              <c:strCache>
                <c:ptCount val="1"/>
                <c:pt idx="0">
                  <c:v>Quantity (t)</c:v>
                </c:pt>
              </c:strCache>
            </c:strRef>
          </c:tx>
          <c:spPr>
            <a:solidFill>
              <a:srgbClr val="FFC000"/>
            </a:solidFill>
            <a:ln>
              <a:noFill/>
            </a:ln>
          </c:spPr>
          <c:invertIfNegative val="0"/>
          <c:cat>
            <c:strRef>
              <c:f>'Gold - Q&amp;V'!$Q$36:$Q$61</c:f>
              <c:strCache>
                <c:ptCount val="22"/>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strCache>
            </c:strRef>
          </c:cat>
          <c:val>
            <c:numRef>
              <c:f>'Gold - Q&amp;V'!$R$37:$R$57</c:f>
              <c:numCache>
                <c:formatCode>#,##0.00</c:formatCode>
                <c:ptCount val="21"/>
                <c:pt idx="0">
                  <c:v>201.20999999999998</c:v>
                </c:pt>
                <c:pt idx="1">
                  <c:v>184.99</c:v>
                </c:pt>
                <c:pt idx="2">
                  <c:v>187.37</c:v>
                </c:pt>
                <c:pt idx="3">
                  <c:v>176.73</c:v>
                </c:pt>
                <c:pt idx="4">
                  <c:v>166.58705940999999</c:v>
                </c:pt>
                <c:pt idx="5">
                  <c:v>163.34026466</c:v>
                </c:pt>
                <c:pt idx="6">
                  <c:v>159.57494859999997</c:v>
                </c:pt>
                <c:pt idx="7">
                  <c:v>141.11380409</c:v>
                </c:pt>
                <c:pt idx="8">
                  <c:v>136.99685979</c:v>
                </c:pt>
                <c:pt idx="9">
                  <c:v>164.03914952000002</c:v>
                </c:pt>
                <c:pt idx="10">
                  <c:v>183.75074137999999</c:v>
                </c:pt>
                <c:pt idx="11">
                  <c:v>180.77123628000001</c:v>
                </c:pt>
                <c:pt idx="12">
                  <c:v>179.84901528999998</c:v>
                </c:pt>
                <c:pt idx="13">
                  <c:v>196.07356325673001</c:v>
                </c:pt>
                <c:pt idx="14">
                  <c:v>193.16236458304175</c:v>
                </c:pt>
                <c:pt idx="15">
                  <c:v>195.96832781245823</c:v>
                </c:pt>
                <c:pt idx="16">
                  <c:v>203.00287275238176</c:v>
                </c:pt>
                <c:pt idx="17">
                  <c:v>212.05957158009002</c:v>
                </c:pt>
                <c:pt idx="18">
                  <c:v>211.53352393399211</c:v>
                </c:pt>
                <c:pt idx="19">
                  <c:v>212.14225874086725</c:v>
                </c:pt>
                <c:pt idx="20">
                  <c:v>207.56694364352876</c:v>
                </c:pt>
              </c:numCache>
            </c:numRef>
          </c:val>
          <c:extLst>
            <c:ext xmlns:c16="http://schemas.microsoft.com/office/drawing/2014/chart" uri="{C3380CC4-5D6E-409C-BE32-E72D297353CC}">
              <c16:uniqueId val="{00000000-E3E0-4460-B96C-FB116939821E}"/>
            </c:ext>
          </c:extLst>
        </c:ser>
        <c:dLbls>
          <c:showLegendKey val="0"/>
          <c:showVal val="0"/>
          <c:showCatName val="0"/>
          <c:showSerName val="0"/>
          <c:showPercent val="0"/>
          <c:showBubbleSize val="0"/>
        </c:dLbls>
        <c:gapWidth val="40"/>
        <c:axId val="118829440"/>
        <c:axId val="118749440"/>
      </c:barChart>
      <c:lineChart>
        <c:grouping val="standard"/>
        <c:varyColors val="0"/>
        <c:ser>
          <c:idx val="1"/>
          <c:order val="1"/>
          <c:tx>
            <c:strRef>
              <c:f>'Gold - Q&amp;V'!$S$35</c:f>
              <c:strCache>
                <c:ptCount val="1"/>
                <c:pt idx="0">
                  <c:v>Value ($ Million)</c:v>
                </c:pt>
              </c:strCache>
            </c:strRef>
          </c:tx>
          <c:spPr>
            <a:ln>
              <a:solidFill>
                <a:srgbClr val="C89600"/>
              </a:solidFill>
            </a:ln>
          </c:spPr>
          <c:marker>
            <c:symbol val="none"/>
          </c:marker>
          <c:cat>
            <c:strRef>
              <c:f>'Gold - Q&amp;V'!$Q$37:$Q$57</c:f>
              <c:strCache>
                <c:ptCount val="21"/>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strCache>
            </c:strRef>
          </c:cat>
          <c:val>
            <c:numRef>
              <c:f>'Gold - Q&amp;V'!$S$37:$S$57</c:f>
              <c:numCache>
                <c:formatCode>#,##0.00</c:formatCode>
                <c:ptCount val="21"/>
                <c:pt idx="0">
                  <c:v>3245.0699999999997</c:v>
                </c:pt>
                <c:pt idx="1">
                  <c:v>3279.5</c:v>
                </c:pt>
                <c:pt idx="2">
                  <c:v>3442.11</c:v>
                </c:pt>
                <c:pt idx="3">
                  <c:v>3104.17</c:v>
                </c:pt>
                <c:pt idx="4">
                  <c:v>3006.500215</c:v>
                </c:pt>
                <c:pt idx="5">
                  <c:v>3696.3363250000002</c:v>
                </c:pt>
                <c:pt idx="6">
                  <c:v>4166.1064859999997</c:v>
                </c:pt>
                <c:pt idx="7">
                  <c:v>4126.5985309999996</c:v>
                </c:pt>
                <c:pt idx="8">
                  <c:v>5248.1043260000006</c:v>
                </c:pt>
                <c:pt idx="9">
                  <c:v>6558.2560599999997</c:v>
                </c:pt>
                <c:pt idx="10">
                  <c:v>8184.1874559999997</c:v>
                </c:pt>
                <c:pt idx="11">
                  <c:v>9421.4833270000017</c:v>
                </c:pt>
                <c:pt idx="12">
                  <c:v>9022.5220179999997</c:v>
                </c:pt>
                <c:pt idx="13">
                  <c:v>8890.995046</c:v>
                </c:pt>
                <c:pt idx="14">
                  <c:v>9107.167942</c:v>
                </c:pt>
                <c:pt idx="15">
                  <c:v>10104.514299</c:v>
                </c:pt>
                <c:pt idx="16">
                  <c:v>10859.574220999999</c:v>
                </c:pt>
                <c:pt idx="17">
                  <c:v>11420.664493</c:v>
                </c:pt>
                <c:pt idx="18">
                  <c:v>11958.926074000001</c:v>
                </c:pt>
                <c:pt idx="19">
                  <c:v>15872.150556000001</c:v>
                </c:pt>
                <c:pt idx="20">
                  <c:v>16573.7607118919</c:v>
                </c:pt>
              </c:numCache>
            </c:numRef>
          </c:val>
          <c:smooth val="0"/>
          <c:extLst>
            <c:ext xmlns:c16="http://schemas.microsoft.com/office/drawing/2014/chart" uri="{C3380CC4-5D6E-409C-BE32-E72D297353CC}">
              <c16:uniqueId val="{00000001-E3E0-4460-B96C-FB116939821E}"/>
            </c:ext>
          </c:extLst>
        </c:ser>
        <c:dLbls>
          <c:showLegendKey val="0"/>
          <c:showVal val="0"/>
          <c:showCatName val="0"/>
          <c:showSerName val="0"/>
          <c:showPercent val="0"/>
          <c:showBubbleSize val="0"/>
        </c:dLbls>
        <c:marker val="1"/>
        <c:smooth val="0"/>
        <c:axId val="118745344"/>
        <c:axId val="118747520"/>
      </c:lineChart>
      <c:catAx>
        <c:axId val="118745344"/>
        <c:scaling>
          <c:orientation val="minMax"/>
        </c:scaling>
        <c:delete val="0"/>
        <c:axPos val="b"/>
        <c:title>
          <c:tx>
            <c:rich>
              <a:bodyPr/>
              <a:lstStyle/>
              <a:p>
                <a:pPr>
                  <a:defRPr/>
                </a:pPr>
                <a:r>
                  <a:rPr lang="en-AU" sz="900"/>
                  <a:t>Source</a:t>
                </a:r>
                <a:r>
                  <a:rPr lang="en-AU"/>
                  <a:t>: DM</a:t>
                </a:r>
                <a:r>
                  <a:rPr lang="en-AU" sz="1000" b="1" i="0" u="none" strike="noStrike" baseline="0">
                    <a:effectLst/>
                  </a:rPr>
                  <a:t>IRS</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sz="900"/>
            </a:pPr>
            <a:endParaRPr lang="en-US"/>
          </a:p>
        </c:txPr>
        <c:crossAx val="118747520"/>
        <c:crosses val="autoZero"/>
        <c:auto val="0"/>
        <c:lblAlgn val="ctr"/>
        <c:lblOffset val="100"/>
        <c:tickLblSkip val="1"/>
        <c:noMultiLvlLbl val="0"/>
      </c:catAx>
      <c:valAx>
        <c:axId val="11874752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8745344"/>
        <c:crosses val="autoZero"/>
        <c:crossBetween val="between"/>
      </c:valAx>
      <c:valAx>
        <c:axId val="118749440"/>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829440"/>
        <c:crosses val="max"/>
        <c:crossBetween val="between"/>
      </c:valAx>
      <c:catAx>
        <c:axId val="118829440"/>
        <c:scaling>
          <c:orientation val="minMax"/>
        </c:scaling>
        <c:delete val="1"/>
        <c:axPos val="b"/>
        <c:numFmt formatCode="General" sourceLinked="1"/>
        <c:majorTickMark val="out"/>
        <c:minorTickMark val="none"/>
        <c:tickLblPos val="nextTo"/>
        <c:crossAx val="11874944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Gold</a:t>
            </a:r>
          </a:p>
          <a:p>
            <a:pPr>
              <a:defRPr/>
            </a:pPr>
            <a:r>
              <a:rPr lang="en-US" sz="1100"/>
              <a:t>Historic Average Annual Price</a:t>
            </a:r>
            <a:endParaRPr lang="en-AU" sz="1100"/>
          </a:p>
        </c:rich>
      </c:tx>
      <c:overlay val="0"/>
    </c:title>
    <c:autoTitleDeleted val="0"/>
    <c:plotArea>
      <c:layout>
        <c:manualLayout>
          <c:layoutTarget val="inner"/>
          <c:xMode val="edge"/>
          <c:yMode val="edge"/>
          <c:x val="9.7556572820006349E-2"/>
          <c:y val="0.21594454486890244"/>
          <c:w val="0.88859506976667646"/>
          <c:h val="0.61106575482014525"/>
        </c:manualLayout>
      </c:layout>
      <c:lineChart>
        <c:grouping val="standard"/>
        <c:varyColors val="0"/>
        <c:ser>
          <c:idx val="0"/>
          <c:order val="0"/>
          <c:tx>
            <c:strRef>
              <c:f>'Gold - Prices'!$H$7</c:f>
              <c:strCache>
                <c:ptCount val="1"/>
                <c:pt idx="0">
                  <c:v>US$ per oz</c:v>
                </c:pt>
              </c:strCache>
            </c:strRef>
          </c:tx>
          <c:spPr>
            <a:ln>
              <a:solidFill>
                <a:srgbClr val="C89600"/>
              </a:solidFill>
            </a:ln>
          </c:spPr>
          <c:marker>
            <c:symbol val="none"/>
          </c:marker>
          <c:cat>
            <c:strRef>
              <c:f>'Gold - Prices'!$G$8:$G$57</c:f>
              <c:strCache>
                <c:ptCount val="50"/>
                <c:pt idx="0">
                  <c:v>1971-72</c:v>
                </c:pt>
                <c:pt idx="1">
                  <c:v>1972-73</c:v>
                </c:pt>
                <c:pt idx="2">
                  <c:v>1973-74</c:v>
                </c:pt>
                <c:pt idx="3">
                  <c:v>1974-75</c:v>
                </c:pt>
                <c:pt idx="4">
                  <c:v>1975-76</c:v>
                </c:pt>
                <c:pt idx="5">
                  <c:v>1976-77</c:v>
                </c:pt>
                <c:pt idx="6">
                  <c:v>1977-78</c:v>
                </c:pt>
                <c:pt idx="7">
                  <c:v>1978-79</c:v>
                </c:pt>
                <c:pt idx="8">
                  <c:v>1979-80</c:v>
                </c:pt>
                <c:pt idx="9">
                  <c:v>1980-81</c:v>
                </c:pt>
                <c:pt idx="10">
                  <c:v>1981-82</c:v>
                </c:pt>
                <c:pt idx="11">
                  <c:v>1982-83</c:v>
                </c:pt>
                <c:pt idx="12">
                  <c:v>1983-84</c:v>
                </c:pt>
                <c:pt idx="13">
                  <c:v>1984-85</c:v>
                </c:pt>
                <c:pt idx="14">
                  <c:v>1985-86</c:v>
                </c:pt>
                <c:pt idx="15">
                  <c:v>1986-87</c:v>
                </c:pt>
                <c:pt idx="16">
                  <c:v>1987-88</c:v>
                </c:pt>
                <c:pt idx="17">
                  <c:v>1988-89</c:v>
                </c:pt>
                <c:pt idx="18">
                  <c:v>1989-90</c:v>
                </c:pt>
                <c:pt idx="19">
                  <c:v>1990-91</c:v>
                </c:pt>
                <c:pt idx="20">
                  <c:v>1991-92</c:v>
                </c:pt>
                <c:pt idx="21">
                  <c:v>1992-93</c:v>
                </c:pt>
                <c:pt idx="22">
                  <c:v>1993-94</c:v>
                </c:pt>
                <c:pt idx="23">
                  <c:v>1994-95</c:v>
                </c:pt>
                <c:pt idx="24">
                  <c:v>1995-96</c:v>
                </c:pt>
                <c:pt idx="25">
                  <c:v>1996-97</c:v>
                </c:pt>
                <c:pt idx="26">
                  <c:v>1997-98</c:v>
                </c:pt>
                <c:pt idx="27">
                  <c:v>1998-99</c:v>
                </c:pt>
                <c:pt idx="28">
                  <c:v>1999-00</c:v>
                </c:pt>
                <c:pt idx="29">
                  <c:v>2000-01</c:v>
                </c:pt>
                <c:pt idx="30">
                  <c:v>2001-02</c:v>
                </c:pt>
                <c:pt idx="31">
                  <c:v>2002-03</c:v>
                </c:pt>
                <c:pt idx="32">
                  <c:v>2003-04</c:v>
                </c:pt>
                <c:pt idx="33">
                  <c:v>2004-05</c:v>
                </c:pt>
                <c:pt idx="34">
                  <c:v>2005-06</c:v>
                </c:pt>
                <c:pt idx="35">
                  <c:v>2006-07</c:v>
                </c:pt>
                <c:pt idx="36">
                  <c:v>2007-08</c:v>
                </c:pt>
                <c:pt idx="37">
                  <c:v>2008-09</c:v>
                </c:pt>
                <c:pt idx="38">
                  <c:v>2009-10</c:v>
                </c:pt>
                <c:pt idx="39">
                  <c:v>2010-11</c:v>
                </c:pt>
                <c:pt idx="40">
                  <c:v>2011-12</c:v>
                </c:pt>
                <c:pt idx="41">
                  <c:v>2012-13</c:v>
                </c:pt>
                <c:pt idx="42">
                  <c:v>2013-14</c:v>
                </c:pt>
                <c:pt idx="43">
                  <c:v>2014-15</c:v>
                </c:pt>
                <c:pt idx="44">
                  <c:v>2015-16</c:v>
                </c:pt>
                <c:pt idx="45">
                  <c:v>2016-17</c:v>
                </c:pt>
                <c:pt idx="46">
                  <c:v>2017-18</c:v>
                </c:pt>
                <c:pt idx="47">
                  <c:v>2018-19</c:v>
                </c:pt>
                <c:pt idx="48">
                  <c:v>2019-20</c:v>
                </c:pt>
                <c:pt idx="49">
                  <c:v>2020-21</c:v>
                </c:pt>
              </c:strCache>
            </c:strRef>
          </c:cat>
          <c:val>
            <c:numRef>
              <c:f>'Gold - Prices'!$H$8:$H$57</c:f>
              <c:numCache>
                <c:formatCode>#,##0.00</c:formatCode>
                <c:ptCount val="50"/>
                <c:pt idx="0">
                  <c:v>39.864775658333336</c:v>
                </c:pt>
                <c:pt idx="1">
                  <c:v>58.992837693458711</c:v>
                </c:pt>
                <c:pt idx="2">
                  <c:v>88.512401521265872</c:v>
                </c:pt>
                <c:pt idx="3">
                  <c:v>123.71216383124874</c:v>
                </c:pt>
                <c:pt idx="4">
                  <c:v>110.65158637856634</c:v>
                </c:pt>
                <c:pt idx="5">
                  <c:v>116.40698637885976</c:v>
                </c:pt>
                <c:pt idx="6">
                  <c:v>146.66546550418241</c:v>
                </c:pt>
                <c:pt idx="7">
                  <c:v>201.17971761391141</c:v>
                </c:pt>
                <c:pt idx="8">
                  <c:v>427.82403583776903</c:v>
                </c:pt>
                <c:pt idx="9">
                  <c:v>488.400335780788</c:v>
                </c:pt>
                <c:pt idx="10">
                  <c:v>348.35130858957814</c:v>
                </c:pt>
                <c:pt idx="11">
                  <c:v>456.6300374819063</c:v>
                </c:pt>
                <c:pt idx="12">
                  <c:v>392.04583333333329</c:v>
                </c:pt>
                <c:pt idx="13">
                  <c:v>325.22499999999997</c:v>
                </c:pt>
                <c:pt idx="14">
                  <c:v>333.13333333333338</c:v>
                </c:pt>
                <c:pt idx="15">
                  <c:v>410.02749999999997</c:v>
                </c:pt>
                <c:pt idx="16">
                  <c:v>459.5141666666666</c:v>
                </c:pt>
                <c:pt idx="17">
                  <c:v>403.16249999999997</c:v>
                </c:pt>
                <c:pt idx="18">
                  <c:v>382.71249999999992</c:v>
                </c:pt>
                <c:pt idx="19">
                  <c:v>373.57916666666665</c:v>
                </c:pt>
                <c:pt idx="20">
                  <c:v>352.09416666666669</c:v>
                </c:pt>
                <c:pt idx="21">
                  <c:v>343.69583333333338</c:v>
                </c:pt>
                <c:pt idx="22">
                  <c:v>378.87333333333328</c:v>
                </c:pt>
                <c:pt idx="23">
                  <c:v>384.45499999999998</c:v>
                </c:pt>
                <c:pt idx="24">
                  <c:v>389.88916666666665</c:v>
                </c:pt>
                <c:pt idx="25">
                  <c:v>363.89249999999998</c:v>
                </c:pt>
                <c:pt idx="26">
                  <c:v>306.07499999999999</c:v>
                </c:pt>
                <c:pt idx="27">
                  <c:v>285.87740740740736</c:v>
                </c:pt>
                <c:pt idx="28">
                  <c:v>281.71867784992781</c:v>
                </c:pt>
                <c:pt idx="29">
                  <c:v>268.97916666666669</c:v>
                </c:pt>
                <c:pt idx="30">
                  <c:v>288.72416666666669</c:v>
                </c:pt>
                <c:pt idx="31">
                  <c:v>333.97166666666669</c:v>
                </c:pt>
                <c:pt idx="32">
                  <c:v>389.19833333333332</c:v>
                </c:pt>
                <c:pt idx="33">
                  <c:v>422.55833333333334</c:v>
                </c:pt>
                <c:pt idx="34">
                  <c:v>526.60416666666663</c:v>
                </c:pt>
                <c:pt idx="35">
                  <c:v>638.36750000000006</c:v>
                </c:pt>
                <c:pt idx="36">
                  <c:v>822.90083333333348</c:v>
                </c:pt>
                <c:pt idx="37">
                  <c:v>873.93583333333333</c:v>
                </c:pt>
                <c:pt idx="38">
                  <c:v>1091.3475000000001</c:v>
                </c:pt>
                <c:pt idx="39">
                  <c:v>1370.7841666666666</c:v>
                </c:pt>
                <c:pt idx="40">
                  <c:v>1671.7866666666666</c:v>
                </c:pt>
                <c:pt idx="41">
                  <c:v>1603.3033333333333</c:v>
                </c:pt>
                <c:pt idx="42">
                  <c:v>1295.6258333333333</c:v>
                </c:pt>
                <c:pt idx="43">
                  <c:v>1223.5824999999998</c:v>
                </c:pt>
                <c:pt idx="44">
                  <c:v>1167.2758333333334</c:v>
                </c:pt>
                <c:pt idx="45">
                  <c:v>1257.2816666666668</c:v>
                </c:pt>
                <c:pt idx="46">
                  <c:v>1297.1414186507939</c:v>
                </c:pt>
                <c:pt idx="47">
                  <c:v>1263.7217499999999</c:v>
                </c:pt>
                <c:pt idx="48">
                  <c:v>1562.0422689166669</c:v>
                </c:pt>
                <c:pt idx="49">
                  <c:v>1849.6521687926067</c:v>
                </c:pt>
              </c:numCache>
            </c:numRef>
          </c:val>
          <c:smooth val="0"/>
          <c:extLst>
            <c:ext xmlns:c16="http://schemas.microsoft.com/office/drawing/2014/chart" uri="{C3380CC4-5D6E-409C-BE32-E72D297353CC}">
              <c16:uniqueId val="{00000000-376A-432B-8AB2-6469BA6F3769}"/>
            </c:ext>
          </c:extLst>
        </c:ser>
        <c:ser>
          <c:idx val="1"/>
          <c:order val="1"/>
          <c:tx>
            <c:strRef>
              <c:f>'Gold - Prices'!$I$7</c:f>
              <c:strCache>
                <c:ptCount val="1"/>
                <c:pt idx="0">
                  <c:v>A$ per oz</c:v>
                </c:pt>
              </c:strCache>
            </c:strRef>
          </c:tx>
          <c:spPr>
            <a:ln>
              <a:solidFill>
                <a:srgbClr val="FFC000"/>
              </a:solidFill>
            </a:ln>
          </c:spPr>
          <c:marker>
            <c:symbol val="none"/>
          </c:marker>
          <c:cat>
            <c:strRef>
              <c:f>'Gold - Prices'!$G$8:$G$57</c:f>
              <c:strCache>
                <c:ptCount val="50"/>
                <c:pt idx="0">
                  <c:v>1971-72</c:v>
                </c:pt>
                <c:pt idx="1">
                  <c:v>1972-73</c:v>
                </c:pt>
                <c:pt idx="2">
                  <c:v>1973-74</c:v>
                </c:pt>
                <c:pt idx="3">
                  <c:v>1974-75</c:v>
                </c:pt>
                <c:pt idx="4">
                  <c:v>1975-76</c:v>
                </c:pt>
                <c:pt idx="5">
                  <c:v>1976-77</c:v>
                </c:pt>
                <c:pt idx="6">
                  <c:v>1977-78</c:v>
                </c:pt>
                <c:pt idx="7">
                  <c:v>1978-79</c:v>
                </c:pt>
                <c:pt idx="8">
                  <c:v>1979-80</c:v>
                </c:pt>
                <c:pt idx="9">
                  <c:v>1980-81</c:v>
                </c:pt>
                <c:pt idx="10">
                  <c:v>1981-82</c:v>
                </c:pt>
                <c:pt idx="11">
                  <c:v>1982-83</c:v>
                </c:pt>
                <c:pt idx="12">
                  <c:v>1983-84</c:v>
                </c:pt>
                <c:pt idx="13">
                  <c:v>1984-85</c:v>
                </c:pt>
                <c:pt idx="14">
                  <c:v>1985-86</c:v>
                </c:pt>
                <c:pt idx="15">
                  <c:v>1986-87</c:v>
                </c:pt>
                <c:pt idx="16">
                  <c:v>1987-88</c:v>
                </c:pt>
                <c:pt idx="17">
                  <c:v>1988-89</c:v>
                </c:pt>
                <c:pt idx="18">
                  <c:v>1989-90</c:v>
                </c:pt>
                <c:pt idx="19">
                  <c:v>1990-91</c:v>
                </c:pt>
                <c:pt idx="20">
                  <c:v>1991-92</c:v>
                </c:pt>
                <c:pt idx="21">
                  <c:v>1992-93</c:v>
                </c:pt>
                <c:pt idx="22">
                  <c:v>1993-94</c:v>
                </c:pt>
                <c:pt idx="23">
                  <c:v>1994-95</c:v>
                </c:pt>
                <c:pt idx="24">
                  <c:v>1995-96</c:v>
                </c:pt>
                <c:pt idx="25">
                  <c:v>1996-97</c:v>
                </c:pt>
                <c:pt idx="26">
                  <c:v>1997-98</c:v>
                </c:pt>
                <c:pt idx="27">
                  <c:v>1998-99</c:v>
                </c:pt>
                <c:pt idx="28">
                  <c:v>1999-00</c:v>
                </c:pt>
                <c:pt idx="29">
                  <c:v>2000-01</c:v>
                </c:pt>
                <c:pt idx="30">
                  <c:v>2001-02</c:v>
                </c:pt>
                <c:pt idx="31">
                  <c:v>2002-03</c:v>
                </c:pt>
                <c:pt idx="32">
                  <c:v>2003-04</c:v>
                </c:pt>
                <c:pt idx="33">
                  <c:v>2004-05</c:v>
                </c:pt>
                <c:pt idx="34">
                  <c:v>2005-06</c:v>
                </c:pt>
                <c:pt idx="35">
                  <c:v>2006-07</c:v>
                </c:pt>
                <c:pt idx="36">
                  <c:v>2007-08</c:v>
                </c:pt>
                <c:pt idx="37">
                  <c:v>2008-09</c:v>
                </c:pt>
                <c:pt idx="38">
                  <c:v>2009-10</c:v>
                </c:pt>
                <c:pt idx="39">
                  <c:v>2010-11</c:v>
                </c:pt>
                <c:pt idx="40">
                  <c:v>2011-12</c:v>
                </c:pt>
                <c:pt idx="41">
                  <c:v>2012-13</c:v>
                </c:pt>
                <c:pt idx="42">
                  <c:v>2013-14</c:v>
                </c:pt>
                <c:pt idx="43">
                  <c:v>2014-15</c:v>
                </c:pt>
                <c:pt idx="44">
                  <c:v>2015-16</c:v>
                </c:pt>
                <c:pt idx="45">
                  <c:v>2016-17</c:v>
                </c:pt>
                <c:pt idx="46">
                  <c:v>2017-18</c:v>
                </c:pt>
                <c:pt idx="47">
                  <c:v>2018-19</c:v>
                </c:pt>
                <c:pt idx="48">
                  <c:v>2019-20</c:v>
                </c:pt>
                <c:pt idx="49">
                  <c:v>2020-21</c:v>
                </c:pt>
              </c:strCache>
            </c:strRef>
          </c:cat>
          <c:val>
            <c:numRef>
              <c:f>'Gold - Prices'!$I$8:$I$57</c:f>
              <c:numCache>
                <c:formatCode>#,##0.00</c:formatCode>
                <c:ptCount val="50"/>
                <c:pt idx="0">
                  <c:v>46.884166666666665</c:v>
                </c:pt>
                <c:pt idx="1">
                  <c:v>77.241341136933329</c:v>
                </c:pt>
                <c:pt idx="2">
                  <c:v>130.78281971773333</c:v>
                </c:pt>
                <c:pt idx="3">
                  <c:v>167.54958855541668</c:v>
                </c:pt>
                <c:pt idx="4">
                  <c:v>139.28272538951668</c:v>
                </c:pt>
                <c:pt idx="5">
                  <c:v>131.32729602333333</c:v>
                </c:pt>
                <c:pt idx="6">
                  <c:v>165.83439099643331</c:v>
                </c:pt>
                <c:pt idx="7">
                  <c:v>228.39681198735002</c:v>
                </c:pt>
                <c:pt idx="8">
                  <c:v>476.85298639128331</c:v>
                </c:pt>
                <c:pt idx="9">
                  <c:v>567.63558650239167</c:v>
                </c:pt>
                <c:pt idx="10">
                  <c:v>384.16900610717499</c:v>
                </c:pt>
                <c:pt idx="11">
                  <c:v>424.98477623727496</c:v>
                </c:pt>
                <c:pt idx="12">
                  <c:v>433.32499999999999</c:v>
                </c:pt>
                <c:pt idx="13">
                  <c:v>421.97916666666669</c:v>
                </c:pt>
                <c:pt idx="14">
                  <c:v>476.53749999999997</c:v>
                </c:pt>
                <c:pt idx="15">
                  <c:v>620.36916666666673</c:v>
                </c:pt>
                <c:pt idx="16">
                  <c:v>634.09833333333336</c:v>
                </c:pt>
                <c:pt idx="17">
                  <c:v>496.0558333333334</c:v>
                </c:pt>
                <c:pt idx="18">
                  <c:v>498.92416666666668</c:v>
                </c:pt>
                <c:pt idx="19">
                  <c:v>477.64499999999998</c:v>
                </c:pt>
                <c:pt idx="20">
                  <c:v>459.53249999999997</c:v>
                </c:pt>
                <c:pt idx="21">
                  <c:v>490.3125</c:v>
                </c:pt>
                <c:pt idx="22">
                  <c:v>547.57703170766706</c:v>
                </c:pt>
                <c:pt idx="23">
                  <c:v>494.10457999520287</c:v>
                </c:pt>
                <c:pt idx="24">
                  <c:v>512.21980252176661</c:v>
                </c:pt>
                <c:pt idx="25">
                  <c:v>464.21000000000004</c:v>
                </c:pt>
                <c:pt idx="26">
                  <c:v>454.21166666666664</c:v>
                </c:pt>
                <c:pt idx="27">
                  <c:v>456.36583333333328</c:v>
                </c:pt>
                <c:pt idx="28">
                  <c:v>449.42333333333335</c:v>
                </c:pt>
                <c:pt idx="29">
                  <c:v>501.09666666666664</c:v>
                </c:pt>
                <c:pt idx="30">
                  <c:v>553.15500000000009</c:v>
                </c:pt>
                <c:pt idx="31">
                  <c:v>573.39166666666677</c:v>
                </c:pt>
                <c:pt idx="32">
                  <c:v>547.60916666666662</c:v>
                </c:pt>
                <c:pt idx="33">
                  <c:v>562.47416666666675</c:v>
                </c:pt>
                <c:pt idx="34">
                  <c:v>705.23833333333334</c:v>
                </c:pt>
                <c:pt idx="35">
                  <c:v>813.43166666666673</c:v>
                </c:pt>
                <c:pt idx="36">
                  <c:v>915.245</c:v>
                </c:pt>
                <c:pt idx="37">
                  <c:v>1181.1433333333332</c:v>
                </c:pt>
                <c:pt idx="38">
                  <c:v>1235.4066666666665</c:v>
                </c:pt>
                <c:pt idx="39">
                  <c:v>1395.0583333333334</c:v>
                </c:pt>
                <c:pt idx="40">
                  <c:v>1634.5474999999999</c:v>
                </c:pt>
                <c:pt idx="41">
                  <c:v>1570.3675000000003</c:v>
                </c:pt>
                <c:pt idx="42">
                  <c:v>1422.0191666666669</c:v>
                </c:pt>
                <c:pt idx="43">
                  <c:v>1479.22</c:v>
                </c:pt>
                <c:pt idx="44">
                  <c:v>1613.3033333333333</c:v>
                </c:pt>
                <c:pt idx="45">
                  <c:v>1674.9158333333332</c:v>
                </c:pt>
                <c:pt idx="46">
                  <c:v>1677.8941666666667</c:v>
                </c:pt>
                <c:pt idx="47">
                  <c:v>1772.1166666666668</c:v>
                </c:pt>
                <c:pt idx="48">
                  <c:v>2339.0500000000006</c:v>
                </c:pt>
                <c:pt idx="49">
                  <c:v>2484.2999999999997</c:v>
                </c:pt>
              </c:numCache>
            </c:numRef>
          </c:val>
          <c:smooth val="0"/>
          <c:extLst>
            <c:ext xmlns:c16="http://schemas.microsoft.com/office/drawing/2014/chart" uri="{C3380CC4-5D6E-409C-BE32-E72D297353CC}">
              <c16:uniqueId val="{00000001-376A-432B-8AB2-6469BA6F3769}"/>
            </c:ext>
          </c:extLst>
        </c:ser>
        <c:dLbls>
          <c:showLegendKey val="0"/>
          <c:showVal val="0"/>
          <c:showCatName val="0"/>
          <c:showSerName val="0"/>
          <c:showPercent val="0"/>
          <c:showBubbleSize val="0"/>
        </c:dLbls>
        <c:smooth val="0"/>
        <c:axId val="132144512"/>
        <c:axId val="132150784"/>
      </c:lineChart>
      <c:dateAx>
        <c:axId val="132144512"/>
        <c:scaling>
          <c:orientation val="minMax"/>
        </c:scaling>
        <c:delete val="0"/>
        <c:axPos val="b"/>
        <c:title>
          <c:tx>
            <c:rich>
              <a:bodyPr/>
              <a:lstStyle/>
              <a:p>
                <a:pPr>
                  <a:defRPr/>
                </a:pPr>
                <a:r>
                  <a:rPr lang="en-AU"/>
                  <a:t>Source: Perth Mint and Kitco</a:t>
                </a:r>
              </a:p>
            </c:rich>
          </c:tx>
          <c:layout>
            <c:manualLayout>
              <c:xMode val="edge"/>
              <c:yMode val="edge"/>
              <c:x val="0"/>
              <c:y val="0.9369522893360468"/>
            </c:manualLayout>
          </c:layout>
          <c:overlay val="0"/>
        </c:title>
        <c:numFmt formatCode="General" sourceLinked="1"/>
        <c:majorTickMark val="out"/>
        <c:minorTickMark val="none"/>
        <c:tickLblPos val="nextTo"/>
        <c:spPr>
          <a:ln/>
        </c:spPr>
        <c:txPr>
          <a:bodyPr rot="-2700000"/>
          <a:lstStyle/>
          <a:p>
            <a:pPr>
              <a:defRPr/>
            </a:pPr>
            <a:endParaRPr lang="en-US"/>
          </a:p>
        </c:txPr>
        <c:crossAx val="132150784"/>
        <c:crosses val="autoZero"/>
        <c:auto val="0"/>
        <c:lblOffset val="100"/>
        <c:baseTimeUnit val="days"/>
        <c:majorUnit val="1"/>
      </c:dateAx>
      <c:valAx>
        <c:axId val="132150784"/>
        <c:scaling>
          <c:orientation val="minMax"/>
        </c:scaling>
        <c:delete val="0"/>
        <c:axPos val="l"/>
        <c:majorGridlines/>
        <c:title>
          <c:tx>
            <c:rich>
              <a:bodyPr rot="-5400000" vert="horz"/>
              <a:lstStyle/>
              <a:p>
                <a:pPr>
                  <a:defRPr/>
                </a:pPr>
                <a:r>
                  <a:rPr lang="en-AU"/>
                  <a:t>$</a:t>
                </a:r>
                <a:r>
                  <a:rPr lang="en-AU" baseline="0"/>
                  <a:t> per </a:t>
                </a:r>
                <a:r>
                  <a:rPr lang="en-AU"/>
                  <a:t>oz</a:t>
                </a:r>
              </a:p>
            </c:rich>
          </c:tx>
          <c:layout>
            <c:manualLayout>
              <c:xMode val="edge"/>
              <c:yMode val="edge"/>
              <c:x val="1.5645369135377327E-2"/>
              <c:y val="0.48332098172364102"/>
            </c:manualLayout>
          </c:layout>
          <c:overlay val="0"/>
        </c:title>
        <c:numFmt formatCode="#,##0" sourceLinked="0"/>
        <c:majorTickMark val="out"/>
        <c:minorTickMark val="none"/>
        <c:tickLblPos val="nextTo"/>
        <c:spPr>
          <a:ln/>
        </c:spPr>
        <c:crossAx val="13214451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Monthly Price, Past 5 Years</a:t>
            </a:r>
          </a:p>
        </c:rich>
      </c:tx>
      <c:overlay val="0"/>
    </c:title>
    <c:autoTitleDeleted val="0"/>
    <c:plotArea>
      <c:layout/>
      <c:lineChart>
        <c:grouping val="standard"/>
        <c:varyColors val="0"/>
        <c:ser>
          <c:idx val="0"/>
          <c:order val="0"/>
          <c:tx>
            <c:strRef>
              <c:f>'Gold - Prices'!$B$7</c:f>
              <c:strCache>
                <c:ptCount val="1"/>
                <c:pt idx="0">
                  <c:v>US$ per oz</c:v>
                </c:pt>
              </c:strCache>
            </c:strRef>
          </c:tx>
          <c:spPr>
            <a:ln>
              <a:solidFill>
                <a:srgbClr val="C89600"/>
              </a:solidFill>
            </a:ln>
          </c:spPr>
          <c:marker>
            <c:symbol val="none"/>
          </c:marker>
          <c:cat>
            <c:numRef>
              <c:f>'Commodity Prices'!$AX$9:$AX$68</c:f>
              <c:numCache>
                <c:formatCode>General</c:formatCode>
                <c:ptCount val="60"/>
                <c:pt idx="2" formatCode="mmm\-yy">
                  <c:v>42614</c:v>
                </c:pt>
                <c:pt idx="5" formatCode="mmm\-yy">
                  <c:v>42705</c:v>
                </c:pt>
                <c:pt idx="8" formatCode="mmm\-yy">
                  <c:v>42795</c:v>
                </c:pt>
                <c:pt idx="11" formatCode="mmm\-yy">
                  <c:v>42887</c:v>
                </c:pt>
                <c:pt idx="14" formatCode="mmm\-yy">
                  <c:v>42979</c:v>
                </c:pt>
                <c:pt idx="17" formatCode="mmm\-yy">
                  <c:v>43070</c:v>
                </c:pt>
                <c:pt idx="20" formatCode="mmm\-yy">
                  <c:v>43160</c:v>
                </c:pt>
                <c:pt idx="23" formatCode="mmm\-yy">
                  <c:v>43252</c:v>
                </c:pt>
                <c:pt idx="26" formatCode="mmm\-yy">
                  <c:v>43344</c:v>
                </c:pt>
                <c:pt idx="29" formatCode="mmm\-yy">
                  <c:v>43435</c:v>
                </c:pt>
                <c:pt idx="32" formatCode="mmm\-yy">
                  <c:v>43525</c:v>
                </c:pt>
                <c:pt idx="35" formatCode="mmm\-yy">
                  <c:v>43617</c:v>
                </c:pt>
                <c:pt idx="38" formatCode="mmm\-yy">
                  <c:v>43709</c:v>
                </c:pt>
                <c:pt idx="41" formatCode="mmm\-yy">
                  <c:v>43800</c:v>
                </c:pt>
                <c:pt idx="44" formatCode="mmm\-yy">
                  <c:v>43891</c:v>
                </c:pt>
                <c:pt idx="47" formatCode="mmm\-yy">
                  <c:v>43983</c:v>
                </c:pt>
                <c:pt idx="50" formatCode="mmm\-yy">
                  <c:v>44075</c:v>
                </c:pt>
                <c:pt idx="53" formatCode="mmm\-yy">
                  <c:v>44166</c:v>
                </c:pt>
                <c:pt idx="56" formatCode="mmm\-yy">
                  <c:v>44256</c:v>
                </c:pt>
                <c:pt idx="59" formatCode="mmm\-yy">
                  <c:v>44348</c:v>
                </c:pt>
              </c:numCache>
            </c:numRef>
          </c:cat>
          <c:val>
            <c:numRef>
              <c:f>'Gold - Prices'!$B$8:$B$68</c:f>
              <c:numCache>
                <c:formatCode>#,##0.00</c:formatCode>
                <c:ptCount val="61"/>
                <c:pt idx="0">
                  <c:v>1337.33</c:v>
                </c:pt>
                <c:pt idx="1">
                  <c:v>1341.09</c:v>
                </c:pt>
                <c:pt idx="2">
                  <c:v>1326.03</c:v>
                </c:pt>
                <c:pt idx="3">
                  <c:v>1266.5899999999999</c:v>
                </c:pt>
                <c:pt idx="4">
                  <c:v>1235.98</c:v>
                </c:pt>
                <c:pt idx="5">
                  <c:v>1151.4000000000001</c:v>
                </c:pt>
                <c:pt idx="6">
                  <c:v>1192.6199999999999</c:v>
                </c:pt>
                <c:pt idx="7">
                  <c:v>1234.3599999999999</c:v>
                </c:pt>
                <c:pt idx="8">
                  <c:v>1231.0899999999999</c:v>
                </c:pt>
                <c:pt idx="9">
                  <c:v>1265.6300000000001</c:v>
                </c:pt>
                <c:pt idx="10">
                  <c:v>1245</c:v>
                </c:pt>
                <c:pt idx="11">
                  <c:v>1260.26</c:v>
                </c:pt>
                <c:pt idx="12">
                  <c:v>1236.22</c:v>
                </c:pt>
                <c:pt idx="13">
                  <c:v>1282.32</c:v>
                </c:pt>
                <c:pt idx="14">
                  <c:v>1314.98</c:v>
                </c:pt>
                <c:pt idx="15">
                  <c:v>1279.51</c:v>
                </c:pt>
                <c:pt idx="16">
                  <c:v>1282.28</c:v>
                </c:pt>
                <c:pt idx="17">
                  <c:v>1261.05</c:v>
                </c:pt>
                <c:pt idx="18">
                  <c:v>1332.2375000000002</c:v>
                </c:pt>
                <c:pt idx="19">
                  <c:v>1332.65</c:v>
                </c:pt>
                <c:pt idx="20">
                  <c:v>1325.109523809524</c:v>
                </c:pt>
                <c:pt idx="21">
                  <c:v>1334.74</c:v>
                </c:pt>
                <c:pt idx="22">
                  <c:v>1303.03</c:v>
                </c:pt>
                <c:pt idx="23">
                  <c:v>1281.57</c:v>
                </c:pt>
                <c:pt idx="24">
                  <c:v>1238.53</c:v>
                </c:pt>
                <c:pt idx="25">
                  <c:v>1201.25</c:v>
                </c:pt>
                <c:pt idx="26">
                  <c:v>1198.47</c:v>
                </c:pt>
                <c:pt idx="27">
                  <c:v>1215.3900000000001</c:v>
                </c:pt>
                <c:pt idx="28">
                  <c:v>1220.95</c:v>
                </c:pt>
                <c:pt idx="29">
                  <c:v>1247.92</c:v>
                </c:pt>
                <c:pt idx="30">
                  <c:v>1291.75</c:v>
                </c:pt>
                <c:pt idx="31">
                  <c:v>1320.07</c:v>
                </c:pt>
                <c:pt idx="32">
                  <c:v>1300.9000000000001</c:v>
                </c:pt>
                <c:pt idx="33">
                  <c:v>1286.44</c:v>
                </c:pt>
                <c:pt idx="34">
                  <c:v>1283.95</c:v>
                </c:pt>
                <c:pt idx="35">
                  <c:v>1359.0409999999999</c:v>
                </c:pt>
                <c:pt idx="36">
                  <c:v>1412.98</c:v>
                </c:pt>
                <c:pt idx="37">
                  <c:v>1498.798</c:v>
                </c:pt>
                <c:pt idx="38">
                  <c:v>1511.3140000000001</c:v>
                </c:pt>
                <c:pt idx="39">
                  <c:v>1494.8</c:v>
                </c:pt>
                <c:pt idx="40">
                  <c:v>1470.0165999999999</c:v>
                </c:pt>
                <c:pt idx="41">
                  <c:v>1476.0440000000001</c:v>
                </c:pt>
                <c:pt idx="42">
                  <c:v>1560.676727</c:v>
                </c:pt>
                <c:pt idx="43">
                  <c:v>1597.1025</c:v>
                </c:pt>
                <c:pt idx="44">
                  <c:v>1591.93</c:v>
                </c:pt>
                <c:pt idx="45">
                  <c:v>1682.93</c:v>
                </c:pt>
                <c:pt idx="46">
                  <c:v>1715.6973</c:v>
                </c:pt>
                <c:pt idx="47">
                  <c:v>1732.2181</c:v>
                </c:pt>
                <c:pt idx="48">
                  <c:v>1843.3130430000001</c:v>
                </c:pt>
                <c:pt idx="49">
                  <c:v>1968.5650000000001</c:v>
                </c:pt>
                <c:pt idx="50">
                  <c:v>1920.572917</c:v>
                </c:pt>
                <c:pt idx="51">
                  <c:v>1900.2750000000001</c:v>
                </c:pt>
                <c:pt idx="52">
                  <c:v>1863.4928571428575</c:v>
                </c:pt>
                <c:pt idx="53">
                  <c:v>1856.655263157895</c:v>
                </c:pt>
                <c:pt idx="54">
                  <c:v>1866.9849999999999</c:v>
                </c:pt>
                <c:pt idx="55">
                  <c:v>1808.175</c:v>
                </c:pt>
                <c:pt idx="56">
                  <c:v>1718.228261</c:v>
                </c:pt>
                <c:pt idx="57">
                  <c:v>1761.77</c:v>
                </c:pt>
                <c:pt idx="58">
                  <c:v>1853.2236842105262</c:v>
                </c:pt>
                <c:pt idx="59">
                  <c:v>1834.57</c:v>
                </c:pt>
              </c:numCache>
            </c:numRef>
          </c:val>
          <c:smooth val="0"/>
          <c:extLst>
            <c:ext xmlns:c16="http://schemas.microsoft.com/office/drawing/2014/chart" uri="{C3380CC4-5D6E-409C-BE32-E72D297353CC}">
              <c16:uniqueId val="{00000000-E307-4EF4-A21C-A0FCAF78F29E}"/>
            </c:ext>
          </c:extLst>
        </c:ser>
        <c:ser>
          <c:idx val="1"/>
          <c:order val="1"/>
          <c:tx>
            <c:strRef>
              <c:f>'Gold - Prices'!$C$7</c:f>
              <c:strCache>
                <c:ptCount val="1"/>
                <c:pt idx="0">
                  <c:v>A$ per oz</c:v>
                </c:pt>
              </c:strCache>
            </c:strRef>
          </c:tx>
          <c:spPr>
            <a:ln>
              <a:solidFill>
                <a:srgbClr val="FFC000"/>
              </a:solidFill>
            </a:ln>
          </c:spPr>
          <c:marker>
            <c:symbol val="none"/>
          </c:marker>
          <c:cat>
            <c:numRef>
              <c:f>'Commodity Prices'!$AX$9:$AX$68</c:f>
              <c:numCache>
                <c:formatCode>General</c:formatCode>
                <c:ptCount val="60"/>
                <c:pt idx="2" formatCode="mmm\-yy">
                  <c:v>42614</c:v>
                </c:pt>
                <c:pt idx="5" formatCode="mmm\-yy">
                  <c:v>42705</c:v>
                </c:pt>
                <c:pt idx="8" formatCode="mmm\-yy">
                  <c:v>42795</c:v>
                </c:pt>
                <c:pt idx="11" formatCode="mmm\-yy">
                  <c:v>42887</c:v>
                </c:pt>
                <c:pt idx="14" formatCode="mmm\-yy">
                  <c:v>42979</c:v>
                </c:pt>
                <c:pt idx="17" formatCode="mmm\-yy">
                  <c:v>43070</c:v>
                </c:pt>
                <c:pt idx="20" formatCode="mmm\-yy">
                  <c:v>43160</c:v>
                </c:pt>
                <c:pt idx="23" formatCode="mmm\-yy">
                  <c:v>43252</c:v>
                </c:pt>
                <c:pt idx="26" formatCode="mmm\-yy">
                  <c:v>43344</c:v>
                </c:pt>
                <c:pt idx="29" formatCode="mmm\-yy">
                  <c:v>43435</c:v>
                </c:pt>
                <c:pt idx="32" formatCode="mmm\-yy">
                  <c:v>43525</c:v>
                </c:pt>
                <c:pt idx="35" formatCode="mmm\-yy">
                  <c:v>43617</c:v>
                </c:pt>
                <c:pt idx="38" formatCode="mmm\-yy">
                  <c:v>43709</c:v>
                </c:pt>
                <c:pt idx="41" formatCode="mmm\-yy">
                  <c:v>43800</c:v>
                </c:pt>
                <c:pt idx="44" formatCode="mmm\-yy">
                  <c:v>43891</c:v>
                </c:pt>
                <c:pt idx="47" formatCode="mmm\-yy">
                  <c:v>43983</c:v>
                </c:pt>
                <c:pt idx="50" formatCode="mmm\-yy">
                  <c:v>44075</c:v>
                </c:pt>
                <c:pt idx="53" formatCode="mmm\-yy">
                  <c:v>44166</c:v>
                </c:pt>
                <c:pt idx="56" formatCode="mmm\-yy">
                  <c:v>44256</c:v>
                </c:pt>
                <c:pt idx="59" formatCode="mmm\-yy">
                  <c:v>44348</c:v>
                </c:pt>
              </c:numCache>
            </c:numRef>
          </c:cat>
          <c:val>
            <c:numRef>
              <c:f>'Gold - Prices'!$C$8:$C$68</c:f>
              <c:numCache>
                <c:formatCode>#,##0.00</c:formatCode>
                <c:ptCount val="61"/>
                <c:pt idx="0">
                  <c:v>1789.93</c:v>
                </c:pt>
                <c:pt idx="1">
                  <c:v>1770.59</c:v>
                </c:pt>
                <c:pt idx="2">
                  <c:v>1758.83</c:v>
                </c:pt>
                <c:pt idx="3">
                  <c:v>1675.91</c:v>
                </c:pt>
                <c:pt idx="4">
                  <c:v>1653.24</c:v>
                </c:pt>
                <c:pt idx="5">
                  <c:v>1570.76</c:v>
                </c:pt>
                <c:pt idx="6">
                  <c:v>1602.86</c:v>
                </c:pt>
                <c:pt idx="7">
                  <c:v>1614.24</c:v>
                </c:pt>
                <c:pt idx="8">
                  <c:v>1618.35</c:v>
                </c:pt>
                <c:pt idx="9">
                  <c:v>1687.57</c:v>
                </c:pt>
                <c:pt idx="10">
                  <c:v>1679.56</c:v>
                </c:pt>
                <c:pt idx="11">
                  <c:v>1677.15</c:v>
                </c:pt>
                <c:pt idx="12">
                  <c:v>1592.74</c:v>
                </c:pt>
                <c:pt idx="13">
                  <c:v>1623.19</c:v>
                </c:pt>
                <c:pt idx="14">
                  <c:v>1657.81</c:v>
                </c:pt>
                <c:pt idx="15">
                  <c:v>1647.23</c:v>
                </c:pt>
                <c:pt idx="16">
                  <c:v>1686.71</c:v>
                </c:pt>
                <c:pt idx="17">
                  <c:v>1662.39</c:v>
                </c:pt>
                <c:pt idx="18">
                  <c:v>1679.27</c:v>
                </c:pt>
                <c:pt idx="19">
                  <c:v>1695.77</c:v>
                </c:pt>
                <c:pt idx="20">
                  <c:v>1712.39</c:v>
                </c:pt>
                <c:pt idx="21">
                  <c:v>1741.12</c:v>
                </c:pt>
                <c:pt idx="22">
                  <c:v>1721.78</c:v>
                </c:pt>
                <c:pt idx="23">
                  <c:v>1714.33</c:v>
                </c:pt>
                <c:pt idx="24">
                  <c:v>1677.03</c:v>
                </c:pt>
                <c:pt idx="25">
                  <c:v>1642.36</c:v>
                </c:pt>
                <c:pt idx="26">
                  <c:v>1669.31</c:v>
                </c:pt>
                <c:pt idx="27">
                  <c:v>1714.3</c:v>
                </c:pt>
                <c:pt idx="28">
                  <c:v>1691.04</c:v>
                </c:pt>
                <c:pt idx="29">
                  <c:v>1748.32</c:v>
                </c:pt>
                <c:pt idx="30">
                  <c:v>1811.23</c:v>
                </c:pt>
                <c:pt idx="31">
                  <c:v>1849.13</c:v>
                </c:pt>
                <c:pt idx="32">
                  <c:v>1841.84</c:v>
                </c:pt>
                <c:pt idx="33">
                  <c:v>1812.21</c:v>
                </c:pt>
                <c:pt idx="34">
                  <c:v>1850.4</c:v>
                </c:pt>
                <c:pt idx="35">
                  <c:v>1958.23</c:v>
                </c:pt>
                <c:pt idx="36">
                  <c:v>2029.59</c:v>
                </c:pt>
                <c:pt idx="37">
                  <c:v>2218.41</c:v>
                </c:pt>
                <c:pt idx="38">
                  <c:v>2221.84</c:v>
                </c:pt>
                <c:pt idx="39">
                  <c:v>2203.9299999999998</c:v>
                </c:pt>
                <c:pt idx="40">
                  <c:v>2160.4899999999998</c:v>
                </c:pt>
                <c:pt idx="41">
                  <c:v>2156.37</c:v>
                </c:pt>
                <c:pt idx="42">
                  <c:v>2268.7600000000002</c:v>
                </c:pt>
                <c:pt idx="43">
                  <c:v>2397.5300000000002</c:v>
                </c:pt>
                <c:pt idx="44">
                  <c:v>2565.17</c:v>
                </c:pt>
                <c:pt idx="45">
                  <c:v>2679.81</c:v>
                </c:pt>
                <c:pt idx="46">
                  <c:v>2646.51</c:v>
                </c:pt>
                <c:pt idx="47">
                  <c:v>2520.19</c:v>
                </c:pt>
                <c:pt idx="48">
                  <c:v>2616.4699999999998</c:v>
                </c:pt>
                <c:pt idx="49">
                  <c:v>2706.23</c:v>
                </c:pt>
                <c:pt idx="50">
                  <c:v>2668.63</c:v>
                </c:pt>
                <c:pt idx="51">
                  <c:v>2673.54</c:v>
                </c:pt>
                <c:pt idx="52">
                  <c:v>2586.6999999999998</c:v>
                </c:pt>
                <c:pt idx="53">
                  <c:v>2472.54</c:v>
                </c:pt>
                <c:pt idx="54">
                  <c:v>2420.9499999999998</c:v>
                </c:pt>
                <c:pt idx="55">
                  <c:v>2340.19</c:v>
                </c:pt>
                <c:pt idx="56">
                  <c:v>2241.92</c:v>
                </c:pt>
                <c:pt idx="57">
                  <c:v>2289.79</c:v>
                </c:pt>
                <c:pt idx="58">
                  <c:v>2385.63</c:v>
                </c:pt>
                <c:pt idx="59">
                  <c:v>2409.0100000000002</c:v>
                </c:pt>
              </c:numCache>
            </c:numRef>
          </c:val>
          <c:smooth val="0"/>
          <c:extLst>
            <c:ext xmlns:c16="http://schemas.microsoft.com/office/drawing/2014/chart" uri="{C3380CC4-5D6E-409C-BE32-E72D297353CC}">
              <c16:uniqueId val="{00000001-E307-4EF4-A21C-A0FCAF78F29E}"/>
            </c:ext>
          </c:extLst>
        </c:ser>
        <c:dLbls>
          <c:showLegendKey val="0"/>
          <c:showVal val="0"/>
          <c:showCatName val="0"/>
          <c:showSerName val="0"/>
          <c:showPercent val="0"/>
          <c:showBubbleSize val="0"/>
        </c:dLbls>
        <c:smooth val="0"/>
        <c:axId val="132174976"/>
        <c:axId val="132173184"/>
      </c:lineChart>
      <c:valAx>
        <c:axId val="132173184"/>
        <c:scaling>
          <c:orientation val="minMax"/>
          <c:min val="800"/>
        </c:scaling>
        <c:delete val="0"/>
        <c:axPos val="l"/>
        <c:majorGridlines/>
        <c:title>
          <c:tx>
            <c:rich>
              <a:bodyPr/>
              <a:lstStyle/>
              <a:p>
                <a:pPr>
                  <a:defRPr/>
                </a:pPr>
                <a:r>
                  <a:rPr lang="en-AU"/>
                  <a:t>$</a:t>
                </a:r>
                <a:r>
                  <a:rPr lang="en-AU" baseline="0"/>
                  <a:t> per </a:t>
                </a:r>
                <a:r>
                  <a:rPr lang="en-AU"/>
                  <a:t>oz</a:t>
                </a:r>
              </a:p>
            </c:rich>
          </c:tx>
          <c:layout>
            <c:manualLayout>
              <c:xMode val="edge"/>
              <c:yMode val="edge"/>
              <c:x val="1.4023586125956727E-2"/>
              <c:y val="0.4867510879617582"/>
            </c:manualLayout>
          </c:layout>
          <c:overlay val="0"/>
        </c:title>
        <c:numFmt formatCode="#,##0" sourceLinked="0"/>
        <c:majorTickMark val="out"/>
        <c:minorTickMark val="none"/>
        <c:tickLblPos val="nextTo"/>
        <c:crossAx val="132174976"/>
        <c:crosses val="autoZero"/>
        <c:crossBetween val="between"/>
      </c:valAx>
      <c:catAx>
        <c:axId val="132174976"/>
        <c:scaling>
          <c:orientation val="minMax"/>
        </c:scaling>
        <c:delete val="0"/>
        <c:axPos val="b"/>
        <c:title>
          <c:tx>
            <c:rich>
              <a:bodyPr/>
              <a:lstStyle/>
              <a:p>
                <a:pPr>
                  <a:defRPr sz="900"/>
                </a:pPr>
                <a:r>
                  <a:rPr lang="en-AU" sz="900"/>
                  <a:t>Source: Perth</a:t>
                </a:r>
                <a:r>
                  <a:rPr lang="en-AU" sz="900" baseline="0"/>
                  <a:t> Mint </a:t>
                </a:r>
                <a:r>
                  <a:rPr lang="en-AU" sz="900"/>
                  <a:t>and Kitco</a:t>
                </a:r>
              </a:p>
            </c:rich>
          </c:tx>
          <c:layout>
            <c:manualLayout>
              <c:xMode val="edge"/>
              <c:yMode val="edge"/>
              <c:x val="0"/>
              <c:y val="0.94531619284781088"/>
            </c:manualLayout>
          </c:layout>
          <c:overlay val="0"/>
        </c:title>
        <c:numFmt formatCode="General" sourceLinked="1"/>
        <c:majorTickMark val="out"/>
        <c:minorTickMark val="none"/>
        <c:tickLblPos val="nextTo"/>
        <c:crossAx val="13217318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'Gold - Exports'!$W$1</c:f>
          <c:strCache>
            <c:ptCount val="1"/>
            <c:pt idx="0">
              <c:v>Gold Exports 2020-21
Total Value: $22,015,603,000</c:v>
            </c:pt>
          </c:strCache>
        </c:strRef>
      </c:tx>
      <c:overlay val="0"/>
      <c:txPr>
        <a:bodyPr/>
        <a:lstStyle/>
        <a:p>
          <a:pPr>
            <a:defRPr/>
          </a:pPr>
          <a:endParaRPr lang="en-US"/>
        </a:p>
      </c:txPr>
    </c:title>
    <c:autoTitleDeleted val="0"/>
    <c:plotArea>
      <c:layout>
        <c:manualLayout>
          <c:layoutTarget val="inner"/>
          <c:xMode val="edge"/>
          <c:yMode val="edge"/>
          <c:x val="0.30992292895025642"/>
          <c:y val="0.31560212366141038"/>
          <c:w val="0.38015397518871347"/>
          <c:h val="0.63358995864785583"/>
        </c:manualLayout>
      </c:layout>
      <c:pieChart>
        <c:varyColors val="0"/>
        <c:ser>
          <c:idx val="0"/>
          <c:order val="0"/>
          <c:spPr>
            <a:solidFill>
              <a:srgbClr val="FFC059"/>
            </a:solidFill>
          </c:spPr>
          <c:explosion val="1"/>
          <c:dPt>
            <c:idx val="0"/>
            <c:bubble3D val="0"/>
            <c:spPr>
              <a:solidFill>
                <a:srgbClr val="C89600"/>
              </a:solidFill>
            </c:spPr>
            <c:extLst>
              <c:ext xmlns:c16="http://schemas.microsoft.com/office/drawing/2014/chart" uri="{C3380CC4-5D6E-409C-BE32-E72D297353CC}">
                <c16:uniqueId val="{00000001-5793-4BE9-9FAB-E40A3A339E56}"/>
              </c:ext>
            </c:extLst>
          </c:dPt>
          <c:dPt>
            <c:idx val="1"/>
            <c:bubble3D val="0"/>
            <c:spPr>
              <a:solidFill>
                <a:srgbClr val="E79B00"/>
              </a:solidFill>
            </c:spPr>
            <c:extLst>
              <c:ext xmlns:c16="http://schemas.microsoft.com/office/drawing/2014/chart" uri="{C3380CC4-5D6E-409C-BE32-E72D297353CC}">
                <c16:uniqueId val="{00000003-5793-4BE9-9FAB-E40A3A339E56}"/>
              </c:ext>
            </c:extLst>
          </c:dPt>
          <c:dPt>
            <c:idx val="2"/>
            <c:bubble3D val="0"/>
            <c:spPr>
              <a:solidFill>
                <a:srgbClr val="FEB93A"/>
              </a:solidFill>
            </c:spPr>
            <c:extLst>
              <c:ext xmlns:c16="http://schemas.microsoft.com/office/drawing/2014/chart" uri="{C3380CC4-5D6E-409C-BE32-E72D297353CC}">
                <c16:uniqueId val="{00000005-5793-4BE9-9FAB-E40A3A339E56}"/>
              </c:ext>
            </c:extLst>
          </c:dPt>
          <c:dPt>
            <c:idx val="3"/>
            <c:bubble3D val="0"/>
            <c:spPr>
              <a:solidFill>
                <a:srgbClr val="FFCB00"/>
              </a:solidFill>
            </c:spPr>
            <c:extLst>
              <c:ext xmlns:c16="http://schemas.microsoft.com/office/drawing/2014/chart" uri="{C3380CC4-5D6E-409C-BE32-E72D297353CC}">
                <c16:uniqueId val="{00000007-5793-4BE9-9FAB-E40A3A339E56}"/>
              </c:ext>
            </c:extLst>
          </c:dPt>
          <c:dPt>
            <c:idx val="4"/>
            <c:bubble3D val="0"/>
            <c:spPr>
              <a:solidFill>
                <a:srgbClr val="FFE100"/>
              </a:solidFill>
            </c:spPr>
            <c:extLst>
              <c:ext xmlns:c16="http://schemas.microsoft.com/office/drawing/2014/chart" uri="{C3380CC4-5D6E-409C-BE32-E72D297353CC}">
                <c16:uniqueId val="{00000009-5793-4BE9-9FAB-E40A3A339E56}"/>
              </c:ext>
            </c:extLst>
          </c:dPt>
          <c:dPt>
            <c:idx val="5"/>
            <c:bubble3D val="0"/>
            <c:spPr>
              <a:solidFill>
                <a:srgbClr val="FFF600"/>
              </a:solidFill>
            </c:spPr>
            <c:extLst>
              <c:ext xmlns:c16="http://schemas.microsoft.com/office/drawing/2014/chart" uri="{C3380CC4-5D6E-409C-BE32-E72D297353CC}">
                <c16:uniqueId val="{0000000B-5793-4BE9-9FAB-E40A3A339E56}"/>
              </c:ext>
            </c:extLst>
          </c:dPt>
          <c:dPt>
            <c:idx val="6"/>
            <c:bubble3D val="0"/>
            <c:spPr>
              <a:solidFill>
                <a:srgbClr val="FFFF00"/>
              </a:solidFill>
            </c:spPr>
            <c:extLst>
              <c:ext xmlns:c16="http://schemas.microsoft.com/office/drawing/2014/chart" uri="{C3380CC4-5D6E-409C-BE32-E72D297353CC}">
                <c16:uniqueId val="{0000000D-5793-4BE9-9FAB-E40A3A339E56}"/>
              </c:ext>
            </c:extLst>
          </c:dPt>
          <c:dPt>
            <c:idx val="7"/>
            <c:bubble3D val="0"/>
            <c:spPr>
              <a:solidFill>
                <a:srgbClr val="FFFF66"/>
              </a:solidFill>
            </c:spPr>
            <c:extLst>
              <c:ext xmlns:c16="http://schemas.microsoft.com/office/drawing/2014/chart" uri="{C3380CC4-5D6E-409C-BE32-E72D297353CC}">
                <c16:uniqueId val="{0000000F-5793-4BE9-9FAB-E40A3A339E56}"/>
              </c:ext>
            </c:extLst>
          </c:dPt>
          <c:dPt>
            <c:idx val="8"/>
            <c:bubble3D val="0"/>
            <c:spPr>
              <a:solidFill>
                <a:srgbClr val="FFFF99"/>
              </a:solidFill>
            </c:spPr>
            <c:extLst>
              <c:ext xmlns:c16="http://schemas.microsoft.com/office/drawing/2014/chart" uri="{C3380CC4-5D6E-409C-BE32-E72D297353CC}">
                <c16:uniqueId val="{00000011-5793-4BE9-9FAB-E40A3A339E56}"/>
              </c:ext>
            </c:extLst>
          </c:dPt>
          <c:dPt>
            <c:idx val="9"/>
            <c:bubble3D val="0"/>
            <c:spPr>
              <a:solidFill>
                <a:srgbClr val="FFFFCC"/>
              </a:solidFill>
            </c:spPr>
            <c:extLst>
              <c:ext xmlns:c16="http://schemas.microsoft.com/office/drawing/2014/chart" uri="{C3380CC4-5D6E-409C-BE32-E72D297353CC}">
                <c16:uniqueId val="{00000013-5793-4BE9-9FAB-E40A3A339E56}"/>
              </c:ext>
            </c:extLst>
          </c:dPt>
          <c:dPt>
            <c:idx val="10"/>
            <c:bubble3D val="0"/>
            <c:spPr>
              <a:solidFill>
                <a:schemeClr val="bg1"/>
              </a:solidFill>
            </c:spPr>
            <c:extLst>
              <c:ext xmlns:c16="http://schemas.microsoft.com/office/drawing/2014/chart" uri="{C3380CC4-5D6E-409C-BE32-E72D297353CC}">
                <c16:uniqueId val="{00000015-5793-4BE9-9FAB-E40A3A339E56}"/>
              </c:ext>
            </c:extLst>
          </c:dPt>
          <c:dLbls>
            <c:dLbl>
              <c:idx val="0"/>
              <c:layout>
                <c:manualLayout>
                  <c:x val="-6.3431805601057392E-2"/>
                  <c:y val="-0.1386726659167604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7104727045417745"/>
                      <c:h val="0.1766379202599675"/>
                    </c:manualLayout>
                  </c15:layout>
                </c:ext>
                <c:ext xmlns:c16="http://schemas.microsoft.com/office/drawing/2014/chart" uri="{C3380CC4-5D6E-409C-BE32-E72D297353CC}">
                  <c16:uniqueId val="{00000001-5793-4BE9-9FAB-E40A3A339E56}"/>
                </c:ext>
              </c:extLst>
            </c:dLbl>
            <c:dLbl>
              <c:idx val="1"/>
              <c:layout>
                <c:manualLayout>
                  <c:x val="-5.5209577340193369E-2"/>
                  <c:y val="-5.574653168353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93-4BE9-9FAB-E40A3A339E56}"/>
                </c:ext>
              </c:extLst>
            </c:dLbl>
            <c:dLbl>
              <c:idx val="2"/>
              <c:layout>
                <c:manualLayout>
                  <c:x val="-1.374017630866443E-3"/>
                  <c:y val="-9.491292936209061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93-4BE9-9FAB-E40A3A339E56}"/>
                </c:ext>
              </c:extLst>
            </c:dLbl>
            <c:dLbl>
              <c:idx val="3"/>
              <c:layout>
                <c:manualLayout>
                  <c:x val="9.249765587049108E-2"/>
                  <c:y val="-0.1156409994205269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93-4BE9-9FAB-E40A3A339E56}"/>
                </c:ext>
              </c:extLst>
            </c:dLbl>
            <c:dLbl>
              <c:idx val="4"/>
              <c:layout>
                <c:manualLayout>
                  <c:x val="6.8263762582044599E-2"/>
                  <c:y val="-0.1381268250559588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93-4BE9-9FAB-E40A3A339E56}"/>
                </c:ext>
              </c:extLst>
            </c:dLbl>
            <c:dLbl>
              <c:idx val="5"/>
              <c:layout>
                <c:manualLayout>
                  <c:x val="0.13305361937361834"/>
                  <c:y val="-0.1336687459522105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793-4BE9-9FAB-E40A3A339E56}"/>
                </c:ext>
              </c:extLst>
            </c:dLbl>
            <c:dLbl>
              <c:idx val="6"/>
              <c:layout>
                <c:manualLayout>
                  <c:x val="9.9265844997495828E-2"/>
                  <c:y val="-9.26084674198333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793-4BE9-9FAB-E40A3A339E56}"/>
                </c:ext>
              </c:extLst>
            </c:dLbl>
            <c:dLbl>
              <c:idx val="7"/>
              <c:layout>
                <c:manualLayout>
                  <c:x val="0.10291093814134052"/>
                  <c:y val="-1.534839666780782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793-4BE9-9FAB-E40A3A339E56}"/>
                </c:ext>
              </c:extLst>
            </c:dLbl>
            <c:dLbl>
              <c:idx val="8"/>
              <c:layout>
                <c:manualLayout>
                  <c:x val="0.10085834679560321"/>
                  <c:y val="4.60070752025562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793-4BE9-9FAB-E40A3A339E56}"/>
                </c:ext>
              </c:extLst>
            </c:dLbl>
            <c:dLbl>
              <c:idx val="9"/>
              <c:layout>
                <c:manualLayout>
                  <c:x val="0.10762804219056549"/>
                  <c:y val="9.96603902773022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793-4BE9-9FAB-E40A3A339E56}"/>
                </c:ext>
              </c:extLst>
            </c:dLbl>
            <c:dLbl>
              <c:idx val="10"/>
              <c:layout>
                <c:manualLayout>
                  <c:x val="8.2355049951611137E-2"/>
                  <c:y val="0.1679525276731712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793-4BE9-9FAB-E40A3A339E56}"/>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'Gold - Exports'!$A$10:$A$20</c:f>
              <c:strCache>
                <c:ptCount val="11"/>
                <c:pt idx="0">
                  <c:v>United Kingdom</c:v>
                </c:pt>
                <c:pt idx="1">
                  <c:v>United States of America</c:v>
                </c:pt>
                <c:pt idx="2">
                  <c:v>Singapore</c:v>
                </c:pt>
                <c:pt idx="3">
                  <c:v>China</c:v>
                </c:pt>
                <c:pt idx="4">
                  <c:v>India</c:v>
                </c:pt>
                <c:pt idx="5">
                  <c:v>Hong Kong (SAR of China)</c:v>
                </c:pt>
                <c:pt idx="6">
                  <c:v>France</c:v>
                </c:pt>
                <c:pt idx="7">
                  <c:v>Thailand</c:v>
                </c:pt>
                <c:pt idx="8">
                  <c:v>Korea, Republic of</c:v>
                </c:pt>
                <c:pt idx="9">
                  <c:v>Switzerland</c:v>
                </c:pt>
                <c:pt idx="10">
                  <c:v>Other</c:v>
                </c:pt>
              </c:strCache>
            </c:strRef>
          </c:cat>
          <c:val>
            <c:numRef>
              <c:f>'Gold - Exports'!$D$10:$D$20</c:f>
              <c:numCache>
                <c:formatCode>0.0%</c:formatCode>
                <c:ptCount val="11"/>
                <c:pt idx="0">
                  <c:v>0.39814085492003104</c:v>
                </c:pt>
                <c:pt idx="1">
                  <c:v>0.16436856169690198</c:v>
                </c:pt>
                <c:pt idx="2">
                  <c:v>9.8312501365508814E-2</c:v>
                </c:pt>
                <c:pt idx="3">
                  <c:v>9.2123072895164401E-2</c:v>
                </c:pt>
                <c:pt idx="4">
                  <c:v>6.3393130771843956E-2</c:v>
                </c:pt>
                <c:pt idx="5">
                  <c:v>6.3262359881762043E-2</c:v>
                </c:pt>
                <c:pt idx="6">
                  <c:v>3.6645237470897346E-2</c:v>
                </c:pt>
                <c:pt idx="7">
                  <c:v>2.8904318450873229E-2</c:v>
                </c:pt>
                <c:pt idx="8">
                  <c:v>2.562855080553551E-2</c:v>
                </c:pt>
                <c:pt idx="9">
                  <c:v>1.8284622955819108E-2</c:v>
                </c:pt>
                <c:pt idx="10">
                  <c:v>1.0936788785662606E-2</c:v>
                </c:pt>
              </c:numCache>
            </c:numRef>
          </c:val>
          <c:extLst>
            <c:ext xmlns:c16="http://schemas.microsoft.com/office/drawing/2014/chart" uri="{C3380CC4-5D6E-409C-BE32-E72D297353CC}">
              <c16:uniqueId val="{00000016-5793-4BE9-9FAB-E40A3A339E56}"/>
            </c:ext>
          </c:extLst>
        </c:ser>
        <c:dLbls>
          <c:showLegendKey val="0"/>
          <c:showVal val="1"/>
          <c:showCatName val="1"/>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br>
              <a:rPr lang="en-AU"/>
            </a:br>
            <a:r>
              <a:rPr lang="en-AU" sz="1100"/>
              <a:t>Western Australia vs Rest of Australia</a:t>
            </a:r>
          </a:p>
        </c:rich>
      </c:tx>
      <c:layout>
        <c:manualLayout>
          <c:xMode val="edge"/>
          <c:yMode val="edge"/>
          <c:x val="0.29717709499360584"/>
          <c:y val="3.7220828955003456E-2"/>
        </c:manualLayout>
      </c:layout>
      <c:overlay val="0"/>
    </c:title>
    <c:autoTitleDeleted val="0"/>
    <c:plotArea>
      <c:layout>
        <c:manualLayout>
          <c:layoutTarget val="inner"/>
          <c:xMode val="edge"/>
          <c:yMode val="edge"/>
          <c:x val="0.13242720559261792"/>
          <c:y val="0.23384037935530555"/>
          <c:w val="0.79759776331876764"/>
          <c:h val="0.6236357157049498"/>
        </c:manualLayout>
      </c:layout>
      <c:barChart>
        <c:barDir val="col"/>
        <c:grouping val="stacked"/>
        <c:varyColors val="0"/>
        <c:ser>
          <c:idx val="0"/>
          <c:order val="0"/>
          <c:tx>
            <c:strRef>
              <c:f>'Gold - WA vs Australia'!$B$6</c:f>
              <c:strCache>
                <c:ptCount val="1"/>
                <c:pt idx="0">
                  <c:v>Western Australia (t)</c:v>
                </c:pt>
              </c:strCache>
            </c:strRef>
          </c:tx>
          <c:spPr>
            <a:solidFill>
              <a:srgbClr val="C89600"/>
            </a:solidFill>
          </c:spPr>
          <c:invertIfNegative val="0"/>
          <c:cat>
            <c:numRef>
              <c:f>'Gold - WA vs Australia'!$A$7:$A$137</c:f>
              <c:numCache>
                <c:formatCode>General</c:formatCode>
                <c:ptCount val="131"/>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pt idx="128">
                  <c:v>2018</c:v>
                </c:pt>
                <c:pt idx="129">
                  <c:v>2019</c:v>
                </c:pt>
                <c:pt idx="130">
                  <c:v>2020</c:v>
                </c:pt>
              </c:numCache>
            </c:numRef>
          </c:cat>
          <c:val>
            <c:numRef>
              <c:f>'Gold - WA vs Australia'!$B$7:$B$137</c:f>
              <c:numCache>
                <c:formatCode>#,##0.00</c:formatCode>
                <c:ptCount val="131"/>
                <c:pt idx="0">
                  <c:v>0.6345731</c:v>
                </c:pt>
                <c:pt idx="1">
                  <c:v>0.84340189999999993</c:v>
                </c:pt>
                <c:pt idx="2">
                  <c:v>1.6569130000000001</c:v>
                </c:pt>
                <c:pt idx="3">
                  <c:v>3.0855579999999998</c:v>
                </c:pt>
                <c:pt idx="4">
                  <c:v>5.7633179999999999</c:v>
                </c:pt>
                <c:pt idx="5">
                  <c:v>6.441872</c:v>
                </c:pt>
                <c:pt idx="6">
                  <c:v>7.8261940000000001</c:v>
                </c:pt>
                <c:pt idx="7">
                  <c:v>18.2789</c:v>
                </c:pt>
                <c:pt idx="8">
                  <c:v>29.50365</c:v>
                </c:pt>
                <c:pt idx="9">
                  <c:v>44.892300000000006</c:v>
                </c:pt>
                <c:pt idx="10">
                  <c:v>41.324719999999999</c:v>
                </c:pt>
                <c:pt idx="11">
                  <c:v>49.205489999999998</c:v>
                </c:pt>
                <c:pt idx="12">
                  <c:v>55.71705</c:v>
                </c:pt>
                <c:pt idx="13">
                  <c:v>61.036239999999999</c:v>
                </c:pt>
                <c:pt idx="14">
                  <c:v>59.52693</c:v>
                </c:pt>
                <c:pt idx="15">
                  <c:v>57.250809999999994</c:v>
                </c:pt>
                <c:pt idx="16">
                  <c:v>54.004820000000002</c:v>
                </c:pt>
                <c:pt idx="17">
                  <c:v>52.00479</c:v>
                </c:pt>
                <c:pt idx="18">
                  <c:v>49.031699999999994</c:v>
                </c:pt>
                <c:pt idx="19">
                  <c:v>49.031699999999994</c:v>
                </c:pt>
                <c:pt idx="20">
                  <c:v>44.236339999999998</c:v>
                </c:pt>
                <c:pt idx="21">
                  <c:v>41.647150000000003</c:v>
                </c:pt>
                <c:pt idx="22">
                  <c:v>39.434379999999997</c:v>
                </c:pt>
                <c:pt idx="23">
                  <c:v>40.406179999999999</c:v>
                </c:pt>
                <c:pt idx="24">
                  <c:v>37.767060000000001</c:v>
                </c:pt>
                <c:pt idx="25">
                  <c:v>37.184160000000006</c:v>
                </c:pt>
                <c:pt idx="26">
                  <c:v>32.090290000000003</c:v>
                </c:pt>
                <c:pt idx="27">
                  <c:v>29.77908</c:v>
                </c:pt>
                <c:pt idx="28">
                  <c:v>26.625990000000002</c:v>
                </c:pt>
                <c:pt idx="29">
                  <c:v>21.40588</c:v>
                </c:pt>
                <c:pt idx="30">
                  <c:v>19.491289999999999</c:v>
                </c:pt>
                <c:pt idx="31">
                  <c:v>16.346629999999998</c:v>
                </c:pt>
                <c:pt idx="32">
                  <c:v>16.68824</c:v>
                </c:pt>
                <c:pt idx="33">
                  <c:v>15.41714</c:v>
                </c:pt>
                <c:pt idx="34">
                  <c:v>14.251860000000001</c:v>
                </c:pt>
                <c:pt idx="35">
                  <c:v>13.51549</c:v>
                </c:pt>
                <c:pt idx="36">
                  <c:v>13.322559999999999</c:v>
                </c:pt>
                <c:pt idx="37">
                  <c:v>12.64264</c:v>
                </c:pt>
                <c:pt idx="38">
                  <c:v>12.19501</c:v>
                </c:pt>
                <c:pt idx="39">
                  <c:v>11.57249</c:v>
                </c:pt>
                <c:pt idx="40">
                  <c:v>13.05622</c:v>
                </c:pt>
                <c:pt idx="41">
                  <c:v>16.113</c:v>
                </c:pt>
                <c:pt idx="42">
                  <c:v>18.644069999999999</c:v>
                </c:pt>
                <c:pt idx="43">
                  <c:v>19.810680000000001</c:v>
                </c:pt>
                <c:pt idx="44">
                  <c:v>19.90222</c:v>
                </c:pt>
                <c:pt idx="45">
                  <c:v>20.09751</c:v>
                </c:pt>
                <c:pt idx="46">
                  <c:v>26.513279999999998</c:v>
                </c:pt>
                <c:pt idx="47">
                  <c:v>31.330179999999999</c:v>
                </c:pt>
                <c:pt idx="48">
                  <c:v>36.482810000000001</c:v>
                </c:pt>
                <c:pt idx="49">
                  <c:v>36.959809999999997</c:v>
                </c:pt>
                <c:pt idx="50">
                  <c:v>35.919629999999998</c:v>
                </c:pt>
                <c:pt idx="51">
                  <c:v>34.384169999999997</c:v>
                </c:pt>
                <c:pt idx="52">
                  <c:v>26.306450000000002</c:v>
                </c:pt>
                <c:pt idx="53">
                  <c:v>16.539189999999998</c:v>
                </c:pt>
                <c:pt idx="54">
                  <c:v>14.69914</c:v>
                </c:pt>
                <c:pt idx="55">
                  <c:v>14.61572</c:v>
                </c:pt>
                <c:pt idx="56">
                  <c:v>19.240839999999999</c:v>
                </c:pt>
                <c:pt idx="57">
                  <c:v>21.82694</c:v>
                </c:pt>
                <c:pt idx="58">
                  <c:v>20.61354</c:v>
                </c:pt>
                <c:pt idx="59">
                  <c:v>20.203949999999999</c:v>
                </c:pt>
                <c:pt idx="60">
                  <c:v>18.930610000000001</c:v>
                </c:pt>
                <c:pt idx="61">
                  <c:v>20.162669999999999</c:v>
                </c:pt>
                <c:pt idx="62">
                  <c:v>22.62678</c:v>
                </c:pt>
                <c:pt idx="63">
                  <c:v>25.608460000000001</c:v>
                </c:pt>
                <c:pt idx="64">
                  <c:v>26.810950000000002</c:v>
                </c:pt>
                <c:pt idx="65">
                  <c:v>25.950430000000001</c:v>
                </c:pt>
                <c:pt idx="66">
                  <c:v>25.306330000000003</c:v>
                </c:pt>
                <c:pt idx="67">
                  <c:v>26.42989</c:v>
                </c:pt>
                <c:pt idx="68">
                  <c:v>27.209910000000001</c:v>
                </c:pt>
                <c:pt idx="69">
                  <c:v>26.779130000000002</c:v>
                </c:pt>
                <c:pt idx="70">
                  <c:v>27.058979999999998</c:v>
                </c:pt>
                <c:pt idx="71">
                  <c:v>27.080490000000001</c:v>
                </c:pt>
                <c:pt idx="72">
                  <c:v>26.750209999999999</c:v>
                </c:pt>
                <c:pt idx="73">
                  <c:v>24.971730000000001</c:v>
                </c:pt>
                <c:pt idx="74">
                  <c:v>22.25395</c:v>
                </c:pt>
                <c:pt idx="75">
                  <c:v>20.414930000000002</c:v>
                </c:pt>
                <c:pt idx="76">
                  <c:v>19.503490000000003</c:v>
                </c:pt>
                <c:pt idx="77">
                  <c:v>17.845759999999999</c:v>
                </c:pt>
                <c:pt idx="78">
                  <c:v>16.047840000000001</c:v>
                </c:pt>
                <c:pt idx="79">
                  <c:v>13.68755</c:v>
                </c:pt>
                <c:pt idx="80">
                  <c:v>10.89833</c:v>
                </c:pt>
                <c:pt idx="81">
                  <c:v>10.73376</c:v>
                </c:pt>
                <c:pt idx="82">
                  <c:v>10.47786</c:v>
                </c:pt>
                <c:pt idx="83">
                  <c:v>8.5868889999999993</c:v>
                </c:pt>
                <c:pt idx="84">
                  <c:v>6.5834330000000003</c:v>
                </c:pt>
                <c:pt idx="85">
                  <c:v>7.1049750000000005</c:v>
                </c:pt>
                <c:pt idx="86">
                  <c:v>7.0914160000000006</c:v>
                </c:pt>
                <c:pt idx="87">
                  <c:v>10.74737</c:v>
                </c:pt>
                <c:pt idx="88">
                  <c:v>13.332420000000001</c:v>
                </c:pt>
                <c:pt idx="89">
                  <c:v>11.581989999999999</c:v>
                </c:pt>
                <c:pt idx="90">
                  <c:v>11.232940000000001</c:v>
                </c:pt>
                <c:pt idx="91">
                  <c:v>12.046629999999999</c:v>
                </c:pt>
                <c:pt idx="92">
                  <c:v>20.75675</c:v>
                </c:pt>
                <c:pt idx="93">
                  <c:v>23.88092</c:v>
                </c:pt>
                <c:pt idx="94">
                  <c:v>32.110979999999998</c:v>
                </c:pt>
                <c:pt idx="95">
                  <c:v>41.195999999999998</c:v>
                </c:pt>
                <c:pt idx="96">
                  <c:v>53.639470000000003</c:v>
                </c:pt>
                <c:pt idx="97">
                  <c:v>79.164000000000001</c:v>
                </c:pt>
                <c:pt idx="98">
                  <c:v>108.133</c:v>
                </c:pt>
                <c:pt idx="99">
                  <c:v>150.459</c:v>
                </c:pt>
                <c:pt idx="100">
                  <c:v>187.744</c:v>
                </c:pt>
                <c:pt idx="101">
                  <c:v>184.41</c:v>
                </c:pt>
                <c:pt idx="102">
                  <c:v>182.45</c:v>
                </c:pt>
                <c:pt idx="103">
                  <c:v>182.154</c:v>
                </c:pt>
                <c:pt idx="104">
                  <c:v>192.953</c:v>
                </c:pt>
                <c:pt idx="105">
                  <c:v>196.791</c:v>
                </c:pt>
                <c:pt idx="106">
                  <c:v>228.005</c:v>
                </c:pt>
                <c:pt idx="107">
                  <c:v>238.33535699999999</c:v>
                </c:pt>
                <c:pt idx="108">
                  <c:v>231.375</c:v>
                </c:pt>
                <c:pt idx="109">
                  <c:v>211.70000000000002</c:v>
                </c:pt>
                <c:pt idx="110">
                  <c:v>199.62</c:v>
                </c:pt>
                <c:pt idx="111">
                  <c:v>192.20000000000002</c:v>
                </c:pt>
                <c:pt idx="112">
                  <c:v>188.75</c:v>
                </c:pt>
                <c:pt idx="113">
                  <c:v>187.59</c:v>
                </c:pt>
                <c:pt idx="114">
                  <c:v>163.88</c:v>
                </c:pt>
                <c:pt idx="115">
                  <c:v>167.28532349</c:v>
                </c:pt>
                <c:pt idx="116">
                  <c:v>162.96909348999998</c:v>
                </c:pt>
                <c:pt idx="117">
                  <c:v>151.44883905999998</c:v>
                </c:pt>
                <c:pt idx="118">
                  <c:v>132.07425353000002</c:v>
                </c:pt>
                <c:pt idx="119">
                  <c:v>146.42791006000002</c:v>
                </c:pt>
                <c:pt idx="120">
                  <c:v>182.89955302999999</c:v>
                </c:pt>
                <c:pt idx="121">
                  <c:v>179.60817457000002</c:v>
                </c:pt>
                <c:pt idx="122">
                  <c:v>181.28663516</c:v>
                </c:pt>
                <c:pt idx="123">
                  <c:v>187.45436469999999</c:v>
                </c:pt>
                <c:pt idx="124">
                  <c:v>194.73649055852593</c:v>
                </c:pt>
                <c:pt idx="125">
                  <c:v>194.46998849169691</c:v>
                </c:pt>
                <c:pt idx="126">
                  <c:v>197.02509114887081</c:v>
                </c:pt>
                <c:pt idx="127">
                  <c:v>210.8632633815127</c:v>
                </c:pt>
                <c:pt idx="128">
                  <c:v>212.11582052473506</c:v>
                </c:pt>
                <c:pt idx="129">
                  <c:v>213.89367239593537</c:v>
                </c:pt>
                <c:pt idx="130">
                  <c:v>209.57667102115974</c:v>
                </c:pt>
              </c:numCache>
            </c:numRef>
          </c:val>
          <c:extLst>
            <c:ext xmlns:c16="http://schemas.microsoft.com/office/drawing/2014/chart" uri="{C3380CC4-5D6E-409C-BE32-E72D297353CC}">
              <c16:uniqueId val="{00000000-8E2A-472E-B9EC-499BBBB08CD1}"/>
            </c:ext>
          </c:extLst>
        </c:ser>
        <c:ser>
          <c:idx val="1"/>
          <c:order val="1"/>
          <c:tx>
            <c:strRef>
              <c:f>'Gold - WA vs Australia'!$C$6</c:f>
              <c:strCache>
                <c:ptCount val="1"/>
                <c:pt idx="0">
                  <c:v>Rest of Australia (t)</c:v>
                </c:pt>
              </c:strCache>
            </c:strRef>
          </c:tx>
          <c:spPr>
            <a:solidFill>
              <a:srgbClr val="FFC000"/>
            </a:solidFill>
          </c:spPr>
          <c:invertIfNegative val="0"/>
          <c:cat>
            <c:numRef>
              <c:f>'Gold - WA vs Australia'!$A$7:$A$137</c:f>
              <c:numCache>
                <c:formatCode>General</c:formatCode>
                <c:ptCount val="131"/>
                <c:pt idx="0">
                  <c:v>1890</c:v>
                </c:pt>
                <c:pt idx="1">
                  <c:v>1891</c:v>
                </c:pt>
                <c:pt idx="2">
                  <c:v>1892</c:v>
                </c:pt>
                <c:pt idx="3">
                  <c:v>1893</c:v>
                </c:pt>
                <c:pt idx="4">
                  <c:v>1894</c:v>
                </c:pt>
                <c:pt idx="5">
                  <c:v>1895</c:v>
                </c:pt>
                <c:pt idx="6">
                  <c:v>1896</c:v>
                </c:pt>
                <c:pt idx="7">
                  <c:v>1897</c:v>
                </c:pt>
                <c:pt idx="8">
                  <c:v>1898</c:v>
                </c:pt>
                <c:pt idx="9">
                  <c:v>1899</c:v>
                </c:pt>
                <c:pt idx="10">
                  <c:v>1900</c:v>
                </c:pt>
                <c:pt idx="11">
                  <c:v>1901</c:v>
                </c:pt>
                <c:pt idx="12">
                  <c:v>1902</c:v>
                </c:pt>
                <c:pt idx="13">
                  <c:v>1903</c:v>
                </c:pt>
                <c:pt idx="14">
                  <c:v>1904</c:v>
                </c:pt>
                <c:pt idx="15">
                  <c:v>1905</c:v>
                </c:pt>
                <c:pt idx="16">
                  <c:v>1906</c:v>
                </c:pt>
                <c:pt idx="17">
                  <c:v>1907</c:v>
                </c:pt>
                <c:pt idx="18">
                  <c:v>1908</c:v>
                </c:pt>
                <c:pt idx="19">
                  <c:v>1909</c:v>
                </c:pt>
                <c:pt idx="20">
                  <c:v>1910</c:v>
                </c:pt>
                <c:pt idx="21">
                  <c:v>1911</c:v>
                </c:pt>
                <c:pt idx="22">
                  <c:v>1912</c:v>
                </c:pt>
                <c:pt idx="23">
                  <c:v>1913</c:v>
                </c:pt>
                <c:pt idx="24">
                  <c:v>1914</c:v>
                </c:pt>
                <c:pt idx="25">
                  <c:v>1915</c:v>
                </c:pt>
                <c:pt idx="26">
                  <c:v>1916</c:v>
                </c:pt>
                <c:pt idx="27">
                  <c:v>1917</c:v>
                </c:pt>
                <c:pt idx="28">
                  <c:v>1918</c:v>
                </c:pt>
                <c:pt idx="29">
                  <c:v>1919</c:v>
                </c:pt>
                <c:pt idx="30">
                  <c:v>1920</c:v>
                </c:pt>
                <c:pt idx="31">
                  <c:v>1921</c:v>
                </c:pt>
                <c:pt idx="32">
                  <c:v>1922</c:v>
                </c:pt>
                <c:pt idx="33">
                  <c:v>1923</c:v>
                </c:pt>
                <c:pt idx="34">
                  <c:v>1924</c:v>
                </c:pt>
                <c:pt idx="35">
                  <c:v>1925</c:v>
                </c:pt>
                <c:pt idx="36">
                  <c:v>1926</c:v>
                </c:pt>
                <c:pt idx="37">
                  <c:v>1927</c:v>
                </c:pt>
                <c:pt idx="38">
                  <c:v>1928</c:v>
                </c:pt>
                <c:pt idx="39">
                  <c:v>1929</c:v>
                </c:pt>
                <c:pt idx="40">
                  <c:v>1930</c:v>
                </c:pt>
                <c:pt idx="41">
                  <c:v>1931</c:v>
                </c:pt>
                <c:pt idx="42">
                  <c:v>1932</c:v>
                </c:pt>
                <c:pt idx="43">
                  <c:v>1933</c:v>
                </c:pt>
                <c:pt idx="44">
                  <c:v>1934</c:v>
                </c:pt>
                <c:pt idx="45">
                  <c:v>1935</c:v>
                </c:pt>
                <c:pt idx="46">
                  <c:v>1936</c:v>
                </c:pt>
                <c:pt idx="47">
                  <c:v>1937</c:v>
                </c:pt>
                <c:pt idx="48">
                  <c:v>1938</c:v>
                </c:pt>
                <c:pt idx="49">
                  <c:v>1939</c:v>
                </c:pt>
                <c:pt idx="50">
                  <c:v>1940</c:v>
                </c:pt>
                <c:pt idx="51">
                  <c:v>1941</c:v>
                </c:pt>
                <c:pt idx="52">
                  <c:v>1942</c:v>
                </c:pt>
                <c:pt idx="53">
                  <c:v>1943</c:v>
                </c:pt>
                <c:pt idx="54">
                  <c:v>1944</c:v>
                </c:pt>
                <c:pt idx="55">
                  <c:v>1945</c:v>
                </c:pt>
                <c:pt idx="56">
                  <c:v>1946</c:v>
                </c:pt>
                <c:pt idx="57">
                  <c:v>1947</c:v>
                </c:pt>
                <c:pt idx="58">
                  <c:v>1948</c:v>
                </c:pt>
                <c:pt idx="59">
                  <c:v>1949</c:v>
                </c:pt>
                <c:pt idx="60">
                  <c:v>1950</c:v>
                </c:pt>
                <c:pt idx="61">
                  <c:v>1951</c:v>
                </c:pt>
                <c:pt idx="62">
                  <c:v>1952</c:v>
                </c:pt>
                <c:pt idx="63">
                  <c:v>1953</c:v>
                </c:pt>
                <c:pt idx="64">
                  <c:v>1954</c:v>
                </c:pt>
                <c:pt idx="65">
                  <c:v>1955</c:v>
                </c:pt>
                <c:pt idx="66">
                  <c:v>1956</c:v>
                </c:pt>
                <c:pt idx="67">
                  <c:v>1957</c:v>
                </c:pt>
                <c:pt idx="68">
                  <c:v>1958</c:v>
                </c:pt>
                <c:pt idx="69">
                  <c:v>1959</c:v>
                </c:pt>
                <c:pt idx="70">
                  <c:v>1960</c:v>
                </c:pt>
                <c:pt idx="71">
                  <c:v>1961</c:v>
                </c:pt>
                <c:pt idx="72">
                  <c:v>1962</c:v>
                </c:pt>
                <c:pt idx="73">
                  <c:v>1963</c:v>
                </c:pt>
                <c:pt idx="74">
                  <c:v>1964</c:v>
                </c:pt>
                <c:pt idx="75">
                  <c:v>1965</c:v>
                </c:pt>
                <c:pt idx="76">
                  <c:v>1966</c:v>
                </c:pt>
                <c:pt idx="77">
                  <c:v>1967</c:v>
                </c:pt>
                <c:pt idx="78">
                  <c:v>1968</c:v>
                </c:pt>
                <c:pt idx="79">
                  <c:v>1969</c:v>
                </c:pt>
                <c:pt idx="80">
                  <c:v>1970</c:v>
                </c:pt>
                <c:pt idx="81">
                  <c:v>1971</c:v>
                </c:pt>
                <c:pt idx="82">
                  <c:v>1972</c:v>
                </c:pt>
                <c:pt idx="83">
                  <c:v>1973</c:v>
                </c:pt>
                <c:pt idx="84">
                  <c:v>1974</c:v>
                </c:pt>
                <c:pt idx="85">
                  <c:v>1975</c:v>
                </c:pt>
                <c:pt idx="86">
                  <c:v>1976</c:v>
                </c:pt>
                <c:pt idx="87">
                  <c:v>1977</c:v>
                </c:pt>
                <c:pt idx="88">
                  <c:v>1978</c:v>
                </c:pt>
                <c:pt idx="89">
                  <c:v>1979</c:v>
                </c:pt>
                <c:pt idx="90">
                  <c:v>1980</c:v>
                </c:pt>
                <c:pt idx="91">
                  <c:v>1981</c:v>
                </c:pt>
                <c:pt idx="92">
                  <c:v>1982</c:v>
                </c:pt>
                <c:pt idx="93">
                  <c:v>1983</c:v>
                </c:pt>
                <c:pt idx="94">
                  <c:v>1984</c:v>
                </c:pt>
                <c:pt idx="95">
                  <c:v>1985</c:v>
                </c:pt>
                <c:pt idx="96">
                  <c:v>1986</c:v>
                </c:pt>
                <c:pt idx="97">
                  <c:v>1987</c:v>
                </c:pt>
                <c:pt idx="98">
                  <c:v>1988</c:v>
                </c:pt>
                <c:pt idx="99">
                  <c:v>1989</c:v>
                </c:pt>
                <c:pt idx="100">
                  <c:v>1990</c:v>
                </c:pt>
                <c:pt idx="101">
                  <c:v>1991</c:v>
                </c:pt>
                <c:pt idx="102">
                  <c:v>1992</c:v>
                </c:pt>
                <c:pt idx="103">
                  <c:v>1993</c:v>
                </c:pt>
                <c:pt idx="104">
                  <c:v>1994</c:v>
                </c:pt>
                <c:pt idx="105">
                  <c:v>1995</c:v>
                </c:pt>
                <c:pt idx="106">
                  <c:v>1996</c:v>
                </c:pt>
                <c:pt idx="107">
                  <c:v>1997</c:v>
                </c:pt>
                <c:pt idx="108">
                  <c:v>1998</c:v>
                </c:pt>
                <c:pt idx="109">
                  <c:v>1999</c:v>
                </c:pt>
                <c:pt idx="110">
                  <c:v>2000</c:v>
                </c:pt>
                <c:pt idx="111">
                  <c:v>2001</c:v>
                </c:pt>
                <c:pt idx="112">
                  <c:v>2002</c:v>
                </c:pt>
                <c:pt idx="113">
                  <c:v>2003</c:v>
                </c:pt>
                <c:pt idx="114">
                  <c:v>2004</c:v>
                </c:pt>
                <c:pt idx="115">
                  <c:v>2005</c:v>
                </c:pt>
                <c:pt idx="116">
                  <c:v>2006</c:v>
                </c:pt>
                <c:pt idx="117">
                  <c:v>2007</c:v>
                </c:pt>
                <c:pt idx="118">
                  <c:v>2008</c:v>
                </c:pt>
                <c:pt idx="119">
                  <c:v>2009</c:v>
                </c:pt>
                <c:pt idx="120">
                  <c:v>2010</c:v>
                </c:pt>
                <c:pt idx="121">
                  <c:v>2011</c:v>
                </c:pt>
                <c:pt idx="122">
                  <c:v>2012</c:v>
                </c:pt>
                <c:pt idx="123">
                  <c:v>2013</c:v>
                </c:pt>
                <c:pt idx="124">
                  <c:v>2014</c:v>
                </c:pt>
                <c:pt idx="125">
                  <c:v>2015</c:v>
                </c:pt>
                <c:pt idx="126">
                  <c:v>2016</c:v>
                </c:pt>
                <c:pt idx="127">
                  <c:v>2017</c:v>
                </c:pt>
                <c:pt idx="128">
                  <c:v>2018</c:v>
                </c:pt>
                <c:pt idx="129">
                  <c:v>2019</c:v>
                </c:pt>
                <c:pt idx="130">
                  <c:v>2020</c:v>
                </c:pt>
              </c:numCache>
            </c:numRef>
          </c:cat>
          <c:val>
            <c:numRef>
              <c:f>'Gold - WA vs Australia'!$C$7:$C$137</c:f>
              <c:numCache>
                <c:formatCode>#,##0.00</c:formatCode>
                <c:ptCount val="131"/>
                <c:pt idx="0">
                  <c:v>37.890096900000003</c:v>
                </c:pt>
                <c:pt idx="1">
                  <c:v>37.832368099999997</c:v>
                </c:pt>
                <c:pt idx="2">
                  <c:v>41.384076999999998</c:v>
                </c:pt>
                <c:pt idx="3">
                  <c:v>42.217962</c:v>
                </c:pt>
                <c:pt idx="4">
                  <c:v>49.169462000000003</c:v>
                </c:pt>
                <c:pt idx="5">
                  <c:v>49.512628000000007</c:v>
                </c:pt>
                <c:pt idx="6">
                  <c:v>49.497975999999994</c:v>
                </c:pt>
                <c:pt idx="7">
                  <c:v>54.138829999999992</c:v>
                </c:pt>
                <c:pt idx="8">
                  <c:v>56.012799999999991</c:v>
                </c:pt>
                <c:pt idx="9">
                  <c:v>61.525300000000001</c:v>
                </c:pt>
                <c:pt idx="10">
                  <c:v>58.101740000000007</c:v>
                </c:pt>
                <c:pt idx="11">
                  <c:v>53.436310000000006</c:v>
                </c:pt>
                <c:pt idx="12">
                  <c:v>52.741749999999996</c:v>
                </c:pt>
                <c:pt idx="13">
                  <c:v>58.338259999999998</c:v>
                </c:pt>
                <c:pt idx="14">
                  <c:v>57.158269999999995</c:v>
                </c:pt>
                <c:pt idx="15">
                  <c:v>56.770389999999999</c:v>
                </c:pt>
                <c:pt idx="16">
                  <c:v>53.096979999999995</c:v>
                </c:pt>
                <c:pt idx="17">
                  <c:v>46.95617</c:v>
                </c:pt>
                <c:pt idx="18">
                  <c:v>46.601350000000004</c:v>
                </c:pt>
                <c:pt idx="19">
                  <c:v>43.31427</c:v>
                </c:pt>
                <c:pt idx="20">
                  <c:v>40.393820000000005</c:v>
                </c:pt>
                <c:pt idx="21">
                  <c:v>35.615839999999999</c:v>
                </c:pt>
                <c:pt idx="22">
                  <c:v>32.910220000000002</c:v>
                </c:pt>
                <c:pt idx="23">
                  <c:v>28.25262</c:v>
                </c:pt>
                <c:pt idx="24">
                  <c:v>26.1569</c:v>
                </c:pt>
                <c:pt idx="25">
                  <c:v>23.371409999999997</c:v>
                </c:pt>
                <c:pt idx="26">
                  <c:v>19.722379999999994</c:v>
                </c:pt>
                <c:pt idx="27">
                  <c:v>15.512810000000002</c:v>
                </c:pt>
                <c:pt idx="28">
                  <c:v>12.974579999999996</c:v>
                </c:pt>
                <c:pt idx="29">
                  <c:v>11.815799999999999</c:v>
                </c:pt>
                <c:pt idx="30">
                  <c:v>9.8596299999999992</c:v>
                </c:pt>
                <c:pt idx="31">
                  <c:v>7.2299600000000019</c:v>
                </c:pt>
                <c:pt idx="32">
                  <c:v>6.8094999999999999</c:v>
                </c:pt>
                <c:pt idx="33">
                  <c:v>6.7370599999999996</c:v>
                </c:pt>
                <c:pt idx="34">
                  <c:v>6.7721300000000006</c:v>
                </c:pt>
                <c:pt idx="35">
                  <c:v>3.8771999999999984</c:v>
                </c:pt>
                <c:pt idx="36">
                  <c:v>2.8921799999999998</c:v>
                </c:pt>
                <c:pt idx="37">
                  <c:v>3.1669800000000006</c:v>
                </c:pt>
                <c:pt idx="38">
                  <c:v>2.0400900000000011</c:v>
                </c:pt>
                <c:pt idx="39">
                  <c:v>1.7136700000000005</c:v>
                </c:pt>
                <c:pt idx="40">
                  <c:v>1.4921799999999994</c:v>
                </c:pt>
                <c:pt idx="41">
                  <c:v>2.3973900000000015</c:v>
                </c:pt>
                <c:pt idx="42">
                  <c:v>3.568010000000001</c:v>
                </c:pt>
                <c:pt idx="43">
                  <c:v>6.0135099999999966</c:v>
                </c:pt>
                <c:pt idx="44">
                  <c:v>7.6743999999999986</c:v>
                </c:pt>
                <c:pt idx="45">
                  <c:v>8.2219499999999996</c:v>
                </c:pt>
                <c:pt idx="46">
                  <c:v>10.181080000000005</c:v>
                </c:pt>
                <c:pt idx="47">
                  <c:v>11.759949999999996</c:v>
                </c:pt>
                <c:pt idx="48">
                  <c:v>13.034979999999997</c:v>
                </c:pt>
                <c:pt idx="49">
                  <c:v>14.227080000000001</c:v>
                </c:pt>
                <c:pt idx="50">
                  <c:v>15.214450000000006</c:v>
                </c:pt>
                <c:pt idx="51">
                  <c:v>12.168340000000008</c:v>
                </c:pt>
                <c:pt idx="52">
                  <c:v>9.5803399999999961</c:v>
                </c:pt>
                <c:pt idx="53">
                  <c:v>6.8282000000000025</c:v>
                </c:pt>
                <c:pt idx="54">
                  <c:v>5.7317099999999996</c:v>
                </c:pt>
                <c:pt idx="55">
                  <c:v>5.8258900000000011</c:v>
                </c:pt>
                <c:pt idx="56">
                  <c:v>6.4033499999999997</c:v>
                </c:pt>
                <c:pt idx="57">
                  <c:v>7.3373600000000003</c:v>
                </c:pt>
                <c:pt idx="58">
                  <c:v>6.9288099999999986</c:v>
                </c:pt>
                <c:pt idx="59">
                  <c:v>7.4488400000000006</c:v>
                </c:pt>
                <c:pt idx="60">
                  <c:v>8.1150099999999981</c:v>
                </c:pt>
                <c:pt idx="61">
                  <c:v>7.6920800000000007</c:v>
                </c:pt>
                <c:pt idx="62">
                  <c:v>7.8681599999999996</c:v>
                </c:pt>
                <c:pt idx="63">
                  <c:v>7.8334100000000007</c:v>
                </c:pt>
                <c:pt idx="64">
                  <c:v>7.9547100000000022</c:v>
                </c:pt>
                <c:pt idx="65">
                  <c:v>6.678329999999999</c:v>
                </c:pt>
                <c:pt idx="66">
                  <c:v>6.7246799999999922</c:v>
                </c:pt>
                <c:pt idx="67">
                  <c:v>7.2844400000000036</c:v>
                </c:pt>
                <c:pt idx="68">
                  <c:v>7.1276999999999973</c:v>
                </c:pt>
                <c:pt idx="69">
                  <c:v>6.9713700000000003</c:v>
                </c:pt>
                <c:pt idx="70">
                  <c:v>6.7414500000000004</c:v>
                </c:pt>
                <c:pt idx="71">
                  <c:v>6.3959299999999963</c:v>
                </c:pt>
                <c:pt idx="72">
                  <c:v>6.4943300000000015</c:v>
                </c:pt>
                <c:pt idx="73">
                  <c:v>6.8772999999999982</c:v>
                </c:pt>
                <c:pt idx="74">
                  <c:v>7.7246400000000008</c:v>
                </c:pt>
                <c:pt idx="75">
                  <c:v>6.8828199999999988</c:v>
                </c:pt>
                <c:pt idx="76">
                  <c:v>9.0179299999999962</c:v>
                </c:pt>
                <c:pt idx="77">
                  <c:v>7.2029899999999998</c:v>
                </c:pt>
                <c:pt idx="78">
                  <c:v>8.2683</c:v>
                </c:pt>
                <c:pt idx="79">
                  <c:v>8.1438199999999998</c:v>
                </c:pt>
                <c:pt idx="80">
                  <c:v>8.3834</c:v>
                </c:pt>
                <c:pt idx="81">
                  <c:v>10.184239999999999</c:v>
                </c:pt>
                <c:pt idx="82">
                  <c:v>12.883140000000001</c:v>
                </c:pt>
                <c:pt idx="83">
                  <c:v>8.5871110000000002</c:v>
                </c:pt>
                <c:pt idx="84">
                  <c:v>9.3605669999999996</c:v>
                </c:pt>
                <c:pt idx="85">
                  <c:v>9.2810249999999996</c:v>
                </c:pt>
                <c:pt idx="86">
                  <c:v>8.5455839999999998</c:v>
                </c:pt>
                <c:pt idx="87">
                  <c:v>8.6696300000000015</c:v>
                </c:pt>
                <c:pt idx="88">
                  <c:v>6.8095799999999986</c:v>
                </c:pt>
                <c:pt idx="89">
                  <c:v>8.9840099999999996</c:v>
                </c:pt>
                <c:pt idx="90">
                  <c:v>5.8020599999999991</c:v>
                </c:pt>
                <c:pt idx="91">
                  <c:v>6.3273700000000002</c:v>
                </c:pt>
                <c:pt idx="92">
                  <c:v>6.2042499999999983</c:v>
                </c:pt>
                <c:pt idx="93">
                  <c:v>6.7100800000000014</c:v>
                </c:pt>
                <c:pt idx="94">
                  <c:v>8.1980199999999996</c:v>
                </c:pt>
                <c:pt idx="95">
                  <c:v>17.258720000000004</c:v>
                </c:pt>
                <c:pt idx="96">
                  <c:v>21.439529999999991</c:v>
                </c:pt>
                <c:pt idx="97">
                  <c:v>32.257660000000001</c:v>
                </c:pt>
                <c:pt idx="98">
                  <c:v>46.432700000000011</c:v>
                </c:pt>
                <c:pt idx="99">
                  <c:v>56.530500000000018</c:v>
                </c:pt>
                <c:pt idx="100">
                  <c:v>65.951999999999998</c:v>
                </c:pt>
                <c:pt idx="101">
                  <c:v>55.257999999999981</c:v>
                </c:pt>
                <c:pt idx="102">
                  <c:v>58.68</c:v>
                </c:pt>
                <c:pt idx="103">
                  <c:v>63.709000000000003</c:v>
                </c:pt>
                <c:pt idx="104">
                  <c:v>62.046999999999997</c:v>
                </c:pt>
                <c:pt idx="105">
                  <c:v>56.308999999999997</c:v>
                </c:pt>
                <c:pt idx="106">
                  <c:v>60.875</c:v>
                </c:pt>
                <c:pt idx="107">
                  <c:v>75.114643000000001</c:v>
                </c:pt>
                <c:pt idx="108">
                  <c:v>78.225000000000023</c:v>
                </c:pt>
                <c:pt idx="109">
                  <c:v>87.765999999999991</c:v>
                </c:pt>
                <c:pt idx="110">
                  <c:v>96.00800000000001</c:v>
                </c:pt>
                <c:pt idx="111">
                  <c:v>92.826310999999976</c:v>
                </c:pt>
                <c:pt idx="112">
                  <c:v>77.281331999999992</c:v>
                </c:pt>
                <c:pt idx="113">
                  <c:v>96.716024000000004</c:v>
                </c:pt>
                <c:pt idx="114">
                  <c:v>94.578000000000003</c:v>
                </c:pt>
                <c:pt idx="115">
                  <c:v>92.165999999999997</c:v>
                </c:pt>
                <c:pt idx="116">
                  <c:v>80.349999999999994</c:v>
                </c:pt>
                <c:pt idx="117">
                  <c:v>92.31</c:v>
                </c:pt>
                <c:pt idx="118">
                  <c:v>83.175999999999988</c:v>
                </c:pt>
                <c:pt idx="119">
                  <c:v>71.5</c:v>
                </c:pt>
                <c:pt idx="120">
                  <c:v>77.5</c:v>
                </c:pt>
                <c:pt idx="121">
                  <c:v>78.400000000000006</c:v>
                </c:pt>
                <c:pt idx="122">
                  <c:v>69.5</c:v>
                </c:pt>
                <c:pt idx="123">
                  <c:v>81.7</c:v>
                </c:pt>
                <c:pt idx="124">
                  <c:v>85.5</c:v>
                </c:pt>
                <c:pt idx="125">
                  <c:v>89.7</c:v>
                </c:pt>
                <c:pt idx="126">
                  <c:v>94.1</c:v>
                </c:pt>
                <c:pt idx="127">
                  <c:v>87.5</c:v>
                </c:pt>
                <c:pt idx="128">
                  <c:v>96.2</c:v>
                </c:pt>
                <c:pt idx="129">
                  <c:v>106.3</c:v>
                </c:pt>
                <c:pt idx="130">
                  <c:v>107.93</c:v>
                </c:pt>
              </c:numCache>
            </c:numRef>
          </c:val>
          <c:extLst>
            <c:ext xmlns:c16="http://schemas.microsoft.com/office/drawing/2014/chart" uri="{C3380CC4-5D6E-409C-BE32-E72D297353CC}">
              <c16:uniqueId val="{00000001-8E2A-472E-B9EC-499BBBB08CD1}"/>
            </c:ext>
          </c:extLst>
        </c:ser>
        <c:dLbls>
          <c:showLegendKey val="0"/>
          <c:showVal val="0"/>
          <c:showCatName val="0"/>
          <c:showSerName val="0"/>
          <c:showPercent val="0"/>
          <c:showBubbleSize val="0"/>
        </c:dLbls>
        <c:gapWidth val="60"/>
        <c:overlap val="100"/>
        <c:axId val="116122752"/>
        <c:axId val="116124288"/>
      </c:barChart>
      <c:dateAx>
        <c:axId val="11612275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6124288"/>
        <c:crosses val="autoZero"/>
        <c:auto val="0"/>
        <c:lblOffset val="100"/>
        <c:baseTimeUnit val="days"/>
        <c:majorUnit val="5"/>
        <c:majorTimeUnit val="days"/>
      </c:dateAx>
      <c:valAx>
        <c:axId val="116124288"/>
        <c:scaling>
          <c:orientation val="minMax"/>
        </c:scaling>
        <c:delete val="0"/>
        <c:axPos val="l"/>
        <c:majorGridlines/>
        <c:title>
          <c:tx>
            <c:rich>
              <a:bodyPr rot="-5400000" vert="horz"/>
              <a:lstStyle/>
              <a:p>
                <a:pPr>
                  <a:defRPr/>
                </a:pPr>
                <a:r>
                  <a:rPr lang="en-AU"/>
                  <a:t>Tonnes</a:t>
                </a:r>
              </a:p>
            </c:rich>
          </c:tx>
          <c:layout>
            <c:manualLayout>
              <c:xMode val="edge"/>
              <c:yMode val="edge"/>
              <c:x val="1.5845064670199301E-2"/>
              <c:y val="0.5032092375428896"/>
            </c:manualLayout>
          </c:layout>
          <c:overlay val="0"/>
        </c:title>
        <c:numFmt formatCode="#,##0" sourceLinked="0"/>
        <c:majorTickMark val="out"/>
        <c:minorTickMark val="none"/>
        <c:tickLblPos val="nextTo"/>
        <c:txPr>
          <a:bodyPr rot="0" vert="horz"/>
          <a:lstStyle/>
          <a:p>
            <a:pPr>
              <a:defRPr/>
            </a:pPr>
            <a:endParaRPr lang="en-US"/>
          </a:p>
        </c:txPr>
        <c:crossAx val="116122752"/>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Western Australia vs Rest of Australia</a:t>
            </a:r>
          </a:p>
          <a:p>
            <a:pPr>
              <a:defRPr/>
            </a:pPr>
            <a:r>
              <a:rPr lang="en-AU" sz="1100"/>
              <a:t>Past 10 Years</a:t>
            </a:r>
          </a:p>
        </c:rich>
      </c:tx>
      <c:overlay val="0"/>
    </c:title>
    <c:autoTitleDeleted val="0"/>
    <c:plotArea>
      <c:layout>
        <c:manualLayout>
          <c:layoutTarget val="inner"/>
          <c:xMode val="edge"/>
          <c:yMode val="edge"/>
          <c:x val="0.13237463663652563"/>
          <c:y val="0.28259493425390797"/>
          <c:w val="0.83230932076895714"/>
          <c:h val="0.5548036667830315"/>
        </c:manualLayout>
      </c:layout>
      <c:barChart>
        <c:barDir val="col"/>
        <c:grouping val="stacked"/>
        <c:varyColors val="0"/>
        <c:ser>
          <c:idx val="0"/>
          <c:order val="0"/>
          <c:tx>
            <c:strRef>
              <c:f>'Gold - WA vs Australia'!$Q$7</c:f>
              <c:strCache>
                <c:ptCount val="1"/>
                <c:pt idx="0">
                  <c:v>Western Australia (t)</c:v>
                </c:pt>
              </c:strCache>
            </c:strRef>
          </c:tx>
          <c:spPr>
            <a:solidFill>
              <a:srgbClr val="C89600"/>
            </a:solidFill>
            <a:ln>
              <a:solidFill>
                <a:srgbClr val="C89600"/>
              </a:solidFill>
            </a:ln>
          </c:spPr>
          <c:invertIfNegative val="0"/>
          <c:cat>
            <c:numRef>
              <c:f>'Gold - WA vs Australia'!$P$8:$P$17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'Gold - WA vs Australia'!$Q$8:$Q$17</c:f>
              <c:numCache>
                <c:formatCode>#,##0.00</c:formatCode>
                <c:ptCount val="10"/>
                <c:pt idx="0">
                  <c:v>179.60817457000002</c:v>
                </c:pt>
                <c:pt idx="1">
                  <c:v>181.28663516</c:v>
                </c:pt>
                <c:pt idx="2">
                  <c:v>187.45436469999999</c:v>
                </c:pt>
                <c:pt idx="3">
                  <c:v>194.73649055852593</c:v>
                </c:pt>
                <c:pt idx="4">
                  <c:v>194.46998849169691</c:v>
                </c:pt>
                <c:pt idx="5">
                  <c:v>197.02509114887081</c:v>
                </c:pt>
                <c:pt idx="6">
                  <c:v>210.8632633815127</c:v>
                </c:pt>
                <c:pt idx="7">
                  <c:v>212.11582052473506</c:v>
                </c:pt>
                <c:pt idx="8">
                  <c:v>213.89367239593537</c:v>
                </c:pt>
                <c:pt idx="9">
                  <c:v>209.57667102115974</c:v>
                </c:pt>
              </c:numCache>
            </c:numRef>
          </c:val>
          <c:extLst>
            <c:ext xmlns:c16="http://schemas.microsoft.com/office/drawing/2014/chart" uri="{C3380CC4-5D6E-409C-BE32-E72D297353CC}">
              <c16:uniqueId val="{00000000-B811-4E33-84A2-3F1B1950E0FE}"/>
            </c:ext>
          </c:extLst>
        </c:ser>
        <c:ser>
          <c:idx val="1"/>
          <c:order val="1"/>
          <c:tx>
            <c:strRef>
              <c:f>'Gold - WA vs Australia'!$R$7</c:f>
              <c:strCache>
                <c:ptCount val="1"/>
                <c:pt idx="0">
                  <c:v>Rest of Australia (t)</c:v>
                </c:pt>
              </c:strCache>
            </c:strRef>
          </c:tx>
          <c:spPr>
            <a:solidFill>
              <a:srgbClr val="FFC000"/>
            </a:solidFill>
            <a:ln>
              <a:solidFill>
                <a:srgbClr val="FFC000"/>
              </a:solidFill>
            </a:ln>
          </c:spPr>
          <c:invertIfNegative val="0"/>
          <c:cat>
            <c:numRef>
              <c:f>'Gold - WA vs Australia'!$P$8:$P$17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'Gold - WA vs Australia'!$R$8:$R$17</c:f>
              <c:numCache>
                <c:formatCode>#,##0.00</c:formatCode>
                <c:ptCount val="10"/>
                <c:pt idx="0">
                  <c:v>78.400000000000006</c:v>
                </c:pt>
                <c:pt idx="1">
                  <c:v>69.5</c:v>
                </c:pt>
                <c:pt idx="2">
                  <c:v>81.7</c:v>
                </c:pt>
                <c:pt idx="3">
                  <c:v>85.5</c:v>
                </c:pt>
                <c:pt idx="4">
                  <c:v>89.7</c:v>
                </c:pt>
                <c:pt idx="5">
                  <c:v>94.1</c:v>
                </c:pt>
                <c:pt idx="6">
                  <c:v>87.5</c:v>
                </c:pt>
                <c:pt idx="7">
                  <c:v>96.2</c:v>
                </c:pt>
                <c:pt idx="8">
                  <c:v>106.3</c:v>
                </c:pt>
                <c:pt idx="9">
                  <c:v>107.93</c:v>
                </c:pt>
              </c:numCache>
            </c:numRef>
          </c:val>
          <c:extLst>
            <c:ext xmlns:c16="http://schemas.microsoft.com/office/drawing/2014/chart" uri="{C3380CC4-5D6E-409C-BE32-E72D297353CC}">
              <c16:uniqueId val="{00000001-B811-4E33-84A2-3F1B1950E0FE}"/>
            </c:ext>
          </c:extLst>
        </c:ser>
        <c:dLbls>
          <c:showLegendKey val="0"/>
          <c:showVal val="0"/>
          <c:showCatName val="0"/>
          <c:showSerName val="0"/>
          <c:showPercent val="0"/>
          <c:showBubbleSize val="0"/>
        </c:dLbls>
        <c:gapWidth val="150"/>
        <c:overlap val="100"/>
        <c:axId val="118454912"/>
        <c:axId val="118453376"/>
      </c:barChart>
      <c:valAx>
        <c:axId val="118453376"/>
        <c:scaling>
          <c:orientation val="minMax"/>
        </c:scaling>
        <c:delete val="0"/>
        <c:axPos val="l"/>
        <c:majorGridlines/>
        <c:title>
          <c:tx>
            <c:rich>
              <a:bodyPr/>
              <a:lstStyle/>
              <a:p>
                <a:pPr>
                  <a:defRPr/>
                </a:pPr>
                <a:r>
                  <a:rPr lang="en-AU"/>
                  <a:t>Tonnes</a:t>
                </a:r>
              </a:p>
            </c:rich>
          </c:tx>
          <c:layout>
            <c:manualLayout>
              <c:xMode val="edge"/>
              <c:yMode val="edge"/>
              <c:x val="1.8416195717942105E-2"/>
              <c:y val="0.51968415777041566"/>
            </c:manualLayout>
          </c:layout>
          <c:overlay val="0"/>
        </c:title>
        <c:numFmt formatCode="0" sourceLinked="0"/>
        <c:majorTickMark val="out"/>
        <c:minorTickMark val="none"/>
        <c:tickLblPos val="nextTo"/>
        <c:crossAx val="118454912"/>
        <c:crosses val="autoZero"/>
        <c:crossBetween val="between"/>
      </c:valAx>
      <c:catAx>
        <c:axId val="118454912"/>
        <c:scaling>
          <c:orientation val="minMax"/>
        </c:scaling>
        <c:delete val="0"/>
        <c:axPos val="b"/>
        <c:title>
          <c:tx>
            <c:rich>
              <a:bodyPr/>
              <a:lstStyle/>
              <a:p>
                <a:pPr>
                  <a:defRPr/>
                </a:pPr>
                <a:r>
                  <a:rPr lang="en-AU"/>
                  <a:t>Source:  DMIRS and OoCE</a:t>
                </a:r>
              </a:p>
            </c:rich>
          </c:tx>
          <c:layout>
            <c:manualLayout>
              <c:xMode val="edge"/>
              <c:yMode val="edge"/>
              <c:x val="6.5988164627392874E-3"/>
              <c:y val="0.94184575244415314"/>
            </c:manualLayout>
          </c:layout>
          <c:overlay val="0"/>
        </c:title>
        <c:numFmt formatCode="General" sourceLinked="1"/>
        <c:majorTickMark val="out"/>
        <c:minorTickMark val="none"/>
        <c:tickLblPos val="nextTo"/>
        <c:txPr>
          <a:bodyPr rot="-2700000"/>
          <a:lstStyle/>
          <a:p>
            <a:pPr>
              <a:defRPr/>
            </a:pPr>
            <a:endParaRPr lang="en-US"/>
          </a:p>
        </c:txPr>
        <c:crossAx val="118453376"/>
        <c:crosses val="autoZero"/>
        <c:auto val="0"/>
        <c:lblAlgn val="ctr"/>
        <c:lblOffset val="100"/>
        <c:noMultiLvlLbl val="0"/>
      </c:catAx>
    </c:plotArea>
    <c:legend>
      <c:legendPos val="t"/>
      <c:layout>
        <c:manualLayout>
          <c:xMode val="edge"/>
          <c:yMode val="edge"/>
          <c:x val="0.20638865411199622"/>
          <c:y val="0.20472777109757831"/>
          <c:w val="0.59137752031653901"/>
          <c:h val="6.0930509350117547E-2"/>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Gold 2020</a:t>
            </a:r>
          </a:p>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1" i="0" baseline="0">
                <a:effectLst/>
              </a:rPr>
              <a:t>Western Australia vs Rest of Australia</a:t>
            </a:r>
            <a:endParaRPr lang="en-AU" sz="1100">
              <a:effectLst/>
            </a:endParaRPr>
          </a:p>
        </c:rich>
      </c:tx>
      <c:layout>
        <c:manualLayout>
          <c:xMode val="edge"/>
          <c:yMode val="edge"/>
          <c:x val="0.22798305117689366"/>
          <c:y val="2.3176552774288116E-2"/>
        </c:manualLayout>
      </c:layout>
      <c:overlay val="0"/>
    </c:title>
    <c:autoTitleDeleted val="0"/>
    <c:plotArea>
      <c:layout/>
      <c:pieChart>
        <c:varyColors val="1"/>
        <c:ser>
          <c:idx val="0"/>
          <c:order val="0"/>
          <c:tx>
            <c:strRef>
              <c:f>'Gold - WA vs Australia'!$Q$5:$R$5</c:f>
              <c:strCache>
                <c:ptCount val="2"/>
              </c:strCache>
            </c:strRef>
          </c:tx>
          <c:spPr>
            <a:solidFill>
              <a:srgbClr val="FFFF00"/>
            </a:solidFill>
          </c:spPr>
          <c:dPt>
            <c:idx val="0"/>
            <c:bubble3D val="0"/>
            <c:spPr>
              <a:solidFill>
                <a:srgbClr val="C89600"/>
              </a:solidFill>
            </c:spPr>
            <c:extLst>
              <c:ext xmlns:c16="http://schemas.microsoft.com/office/drawing/2014/chart" uri="{C3380CC4-5D6E-409C-BE32-E72D297353CC}">
                <c16:uniqueId val="{00000000-6104-4163-8822-A098636A284C}"/>
              </c:ext>
            </c:extLst>
          </c:dPt>
          <c:dPt>
            <c:idx val="1"/>
            <c:bubble3D val="0"/>
            <c:spPr>
              <a:solidFill>
                <a:srgbClr val="FFC000"/>
              </a:solidFill>
            </c:spPr>
            <c:extLst>
              <c:ext xmlns:c16="http://schemas.microsoft.com/office/drawing/2014/chart" uri="{C3380CC4-5D6E-409C-BE32-E72D297353CC}">
                <c16:uniqueId val="{00000004-6104-4163-8822-A098636A284C}"/>
              </c:ext>
            </c:extLst>
          </c:dPt>
          <c:dLbls>
            <c:dLbl>
              <c:idx val="0"/>
              <c:tx>
                <c:rich>
                  <a:bodyPr/>
                  <a:lstStyle/>
                  <a:p>
                    <a:fld id="{CE1C0EB6-2BBA-42F9-817E-701CC1F2751B}" type="CATEGORYNAME">
                      <a:rPr lang="en-US"/>
                      <a:pPr/>
                      <a:t>[CATEGORY NAME]</a:t>
                    </a:fld>
                    <a:r>
                      <a:rPr lang="en-US" baseline="0"/>
                      <a:t>, </a:t>
                    </a:r>
                    <a:fld id="{0E55F0B9-E0AB-46C4-9BD0-E74A874EC886}" type="VALUE">
                      <a:rPr lang="en-US" baseline="0"/>
                      <a:pPr/>
                      <a:t>[VALUE]</a:t>
                    </a:fld>
                    <a:r>
                      <a:rPr lang="en-US" baseline="0"/>
                      <a:t>,</a:t>
                    </a:r>
                  </a:p>
                  <a:p>
                    <a:r>
                      <a:rPr lang="en-US" baseline="0"/>
                      <a:t> </a:t>
                    </a:r>
                    <a:fld id="{25515F9F-F518-4812-BDF8-87CA31CB14B6}"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104-4163-8822-A098636A284C}"/>
                </c:ext>
              </c:extLst>
            </c:dLbl>
            <c:dLbl>
              <c:idx val="1"/>
              <c:tx>
                <c:rich>
                  <a:bodyPr wrap="square" lIns="38100" tIns="19050" rIns="38100" bIns="19050" anchor="ctr">
                    <a:noAutofit/>
                  </a:bodyPr>
                  <a:lstStyle/>
                  <a:p>
                    <a:pPr>
                      <a:defRPr/>
                    </a:pPr>
                    <a:fld id="{DB00B409-9EB0-48B7-B50B-1D2D9F5683CD}" type="CATEGORYNAME">
                      <a:rPr lang="en-US"/>
                      <a:pPr>
                        <a:defRPr/>
                      </a:pPr>
                      <a:t>[CATEGORY NAME]</a:t>
                    </a:fld>
                    <a:r>
                      <a:rPr lang="en-US" baseline="0"/>
                      <a:t>, </a:t>
                    </a:r>
                    <a:fld id="{171CF5AE-D65A-4AB6-8F4A-30993E09D512}" type="VALUE">
                      <a:rPr lang="en-US" baseline="0"/>
                      <a:pPr>
                        <a:defRPr/>
                      </a:pPr>
                      <a:t>[VALUE]</a:t>
                    </a:fld>
                    <a:r>
                      <a:rPr lang="en-US" baseline="0"/>
                      <a:t>, </a:t>
                    </a:r>
                  </a:p>
                  <a:p>
                    <a:pPr>
                      <a:defRPr/>
                    </a:pPr>
                    <a:fld id="{DED5345A-EA07-4FBA-BE6D-4E6BBE7F3ADA}" type="PERCENTAGE">
                      <a:rPr lang="en-US" baseline="0"/>
                      <a:pPr>
                        <a:defRPr/>
                      </a:pPr>
                      <a:t>[PERCENTAGE]</a:t>
                    </a:fld>
                    <a:endParaRPr lang="en-AU"/>
                  </a:p>
                </c:rich>
              </c:tx>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4-6104-4163-8822-A098636A284C}"/>
                </c:ext>
              </c:extLst>
            </c:dLbl>
            <c:spPr>
              <a:noFill/>
              <a:ln>
                <a:noFill/>
              </a:ln>
              <a:effectLst/>
            </c:spPr>
            <c:dLblPos val="bestFit"/>
            <c:showLegendKey val="0"/>
            <c:showVal val="1"/>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'Gold - WA vs Australia'!$Q$7:$R$7</c:f>
              <c:strCache>
                <c:ptCount val="2"/>
                <c:pt idx="0">
                  <c:v>Western Australia (t)</c:v>
                </c:pt>
                <c:pt idx="1">
                  <c:v>Rest of Australia (t)</c:v>
                </c:pt>
              </c:strCache>
            </c:strRef>
          </c:cat>
          <c:val>
            <c:numRef>
              <c:f>'Gold - WA vs Australia'!$Q$17:$R$17</c:f>
              <c:numCache>
                <c:formatCode>#,##0.00</c:formatCode>
                <c:ptCount val="2"/>
                <c:pt idx="0">
                  <c:v>209.57667102115974</c:v>
                </c:pt>
                <c:pt idx="1">
                  <c:v>107.93</c:v>
                </c:pt>
              </c:numCache>
            </c:numRef>
          </c:val>
          <c:extLst>
            <c:ext xmlns:c16="http://schemas.microsoft.com/office/drawing/2014/chart" uri="{C3380CC4-5D6E-409C-BE32-E72D297353CC}">
              <c16:uniqueId val="{00000001-6104-4163-8822-A098636A284C}"/>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Quarter</a:t>
            </a:r>
          </a:p>
        </c:rich>
      </c:tx>
      <c:overlay val="0"/>
    </c:title>
    <c:autoTitleDeleted val="0"/>
    <c:plotArea>
      <c:layout/>
      <c:barChart>
        <c:barDir val="col"/>
        <c:grouping val="clustered"/>
        <c:varyColors val="0"/>
        <c:ser>
          <c:idx val="0"/>
          <c:order val="0"/>
          <c:tx>
            <c:strRef>
              <c:f>'Iron Ore - Q&amp;V'!$T$9</c:f>
              <c:strCache>
                <c:ptCount val="1"/>
                <c:pt idx="0">
                  <c:v>Quantity (Mt)</c:v>
                </c:pt>
              </c:strCache>
            </c:strRef>
          </c:tx>
          <c:invertIfNegative val="0"/>
          <c:cat>
            <c:numRef>
              <c:f>'Iron Ore - Q&amp;V'!$S$10:$S$19</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'Iron Ore - Q&amp;V'!$T$10:$T$19</c:f>
              <c:numCache>
                <c:formatCode>#,##0.00</c:formatCode>
                <c:ptCount val="10"/>
                <c:pt idx="0">
                  <c:v>182.08418482200003</c:v>
                </c:pt>
                <c:pt idx="1">
                  <c:v>207.08261403099996</c:v>
                </c:pt>
                <c:pt idx="2">
                  <c:v>206.07415327799995</c:v>
                </c:pt>
                <c:pt idx="3">
                  <c:v>212.12527796400002</c:v>
                </c:pt>
                <c:pt idx="4">
                  <c:v>192.44260940599997</c:v>
                </c:pt>
                <c:pt idx="5">
                  <c:v>226.11576968099996</c:v>
                </c:pt>
                <c:pt idx="6">
                  <c:v>212.45361586800001</c:v>
                </c:pt>
                <c:pt idx="7">
                  <c:v>216.19986670899999</c:v>
                </c:pt>
                <c:pt idx="8">
                  <c:v>196.62284968700004</c:v>
                </c:pt>
                <c:pt idx="9">
                  <c:v>213.41079110700002</c:v>
                </c:pt>
              </c:numCache>
            </c:numRef>
          </c:val>
          <c:extLst>
            <c:ext xmlns:c16="http://schemas.microsoft.com/office/drawing/2014/chart" uri="{C3380CC4-5D6E-409C-BE32-E72D297353CC}">
              <c16:uniqueId val="{00000000-7AE0-4FB8-B5C4-7B76040156BC}"/>
            </c:ext>
          </c:extLst>
        </c:ser>
        <c:dLbls>
          <c:showLegendKey val="0"/>
          <c:showVal val="0"/>
          <c:showCatName val="0"/>
          <c:showSerName val="0"/>
          <c:showPercent val="0"/>
          <c:showBubbleSize val="0"/>
        </c:dLbls>
        <c:gapWidth val="40"/>
        <c:axId val="133384832"/>
        <c:axId val="133382912"/>
      </c:barChart>
      <c:lineChart>
        <c:grouping val="standard"/>
        <c:varyColors val="0"/>
        <c:ser>
          <c:idx val="1"/>
          <c:order val="1"/>
          <c:tx>
            <c:strRef>
              <c:f>'Iron Ore - Q&amp;V'!$U$9</c:f>
              <c:strCache>
                <c:ptCount val="1"/>
                <c:pt idx="0">
                  <c:v>Value ($ Million)</c:v>
                </c:pt>
              </c:strCache>
            </c:strRef>
          </c:tx>
          <c:marker>
            <c:symbol val="none"/>
          </c:marker>
          <c:cat>
            <c:numRef>
              <c:f>'Alumina - Q&amp;V'!$S$11:$S$20</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'Iron Ore - Q&amp;V'!$U$10:$U$19</c:f>
              <c:numCache>
                <c:formatCode>#,##0.00</c:formatCode>
                <c:ptCount val="10"/>
                <c:pt idx="0">
                  <c:v>19464.329635999999</c:v>
                </c:pt>
                <c:pt idx="1">
                  <c:v>27798.822549</c:v>
                </c:pt>
                <c:pt idx="2">
                  <c:v>27854.058090999999</c:v>
                </c:pt>
                <c:pt idx="3">
                  <c:v>24577.288883000001</c:v>
                </c:pt>
                <c:pt idx="4">
                  <c:v>23748.656423</c:v>
                </c:pt>
                <c:pt idx="5">
                  <c:v>28436.530451999999</c:v>
                </c:pt>
                <c:pt idx="6">
                  <c:v>31157.463564000001</c:v>
                </c:pt>
                <c:pt idx="7">
                  <c:v>35102.117855999997</c:v>
                </c:pt>
                <c:pt idx="8">
                  <c:v>39626.641809000001</c:v>
                </c:pt>
                <c:pt idx="9">
                  <c:v>48846.717559999997</c:v>
                </c:pt>
              </c:numCache>
            </c:numRef>
          </c:val>
          <c:smooth val="0"/>
          <c:extLst>
            <c:ext xmlns:c16="http://schemas.microsoft.com/office/drawing/2014/chart" uri="{C3380CC4-5D6E-409C-BE32-E72D297353CC}">
              <c16:uniqueId val="{00000001-7AE0-4FB8-B5C4-7B76040156BC}"/>
            </c:ext>
          </c:extLst>
        </c:ser>
        <c:dLbls>
          <c:showLegendKey val="0"/>
          <c:showVal val="0"/>
          <c:showCatName val="0"/>
          <c:showSerName val="0"/>
          <c:showPercent val="0"/>
          <c:showBubbleSize val="0"/>
        </c:dLbls>
        <c:marker val="1"/>
        <c:smooth val="0"/>
        <c:axId val="133374720"/>
        <c:axId val="133376640"/>
      </c:lineChart>
      <c:catAx>
        <c:axId val="133374720"/>
        <c:scaling>
          <c:orientation val="minMax"/>
        </c:scaling>
        <c:delete val="0"/>
        <c:axPos val="b"/>
        <c:title>
          <c:tx>
            <c:rich>
              <a:bodyPr/>
              <a:lstStyle/>
              <a:p>
                <a:pPr>
                  <a:defRPr/>
                </a:pPr>
                <a:r>
                  <a:rPr lang="en-AU"/>
                  <a:t>Source: DMIRS</a:t>
                </a:r>
              </a:p>
            </c:rich>
          </c:tx>
          <c:layout>
            <c:manualLayout>
              <c:xMode val="edge"/>
              <c:yMode val="edge"/>
              <c:x val="7.9457071860773165E-3"/>
              <c:y val="0.94411571923668369"/>
            </c:manualLayout>
          </c:layout>
          <c:overlay val="0"/>
        </c:title>
        <c:numFmt formatCode="mmm\-yy" sourceLinked="1"/>
        <c:majorTickMark val="out"/>
        <c:minorTickMark val="none"/>
        <c:tickLblPos val="nextTo"/>
        <c:txPr>
          <a:bodyPr rot="-2700000"/>
          <a:lstStyle/>
          <a:p>
            <a:pPr>
              <a:defRPr/>
            </a:pPr>
            <a:endParaRPr lang="en-US"/>
          </a:p>
        </c:txPr>
        <c:crossAx val="133376640"/>
        <c:crosses val="autoZero"/>
        <c:auto val="0"/>
        <c:lblAlgn val="ctr"/>
        <c:lblOffset val="100"/>
        <c:noMultiLvlLbl val="0"/>
      </c:catAx>
      <c:valAx>
        <c:axId val="133376640"/>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3374720"/>
        <c:crosses val="autoZero"/>
        <c:crossBetween val="between"/>
      </c:valAx>
      <c:valAx>
        <c:axId val="133382912"/>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384832"/>
        <c:crosses val="max"/>
        <c:crossBetween val="between"/>
      </c:valAx>
      <c:dateAx>
        <c:axId val="133384832"/>
        <c:scaling>
          <c:orientation val="minMax"/>
        </c:scaling>
        <c:delete val="1"/>
        <c:axPos val="b"/>
        <c:numFmt formatCode="mmm\-yy" sourceLinked="1"/>
        <c:majorTickMark val="out"/>
        <c:minorTickMark val="none"/>
        <c:tickLblPos val="nextTo"/>
        <c:crossAx val="13338291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Year</a:t>
            </a:r>
          </a:p>
        </c:rich>
      </c:tx>
      <c:overlay val="0"/>
    </c:title>
    <c:autoTitleDeleted val="0"/>
    <c:plotArea>
      <c:layout/>
      <c:barChart>
        <c:barDir val="col"/>
        <c:grouping val="clustered"/>
        <c:varyColors val="0"/>
        <c:ser>
          <c:idx val="0"/>
          <c:order val="0"/>
          <c:tx>
            <c:strRef>
              <c:f>'Iron Ore - Q&amp;V'!$T$35</c:f>
              <c:strCache>
                <c:ptCount val="1"/>
                <c:pt idx="0">
                  <c:v>Quantity (Mt)</c:v>
                </c:pt>
              </c:strCache>
            </c:strRef>
          </c:tx>
          <c:invertIfNegative val="0"/>
          <c:cat>
            <c:strRef>
              <c:f>'Iron Ore - Q&amp;V'!$S$37:$S$57</c:f>
              <c:strCache>
                <c:ptCount val="21"/>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strCache>
            </c:strRef>
          </c:cat>
          <c:val>
            <c:numRef>
              <c:f>'Iron Ore - Q&amp;V'!$T$37:$T$57</c:f>
              <c:numCache>
                <c:formatCode>#,##0.00</c:formatCode>
                <c:ptCount val="21"/>
                <c:pt idx="0">
                  <c:v>161.77000000000001</c:v>
                </c:pt>
                <c:pt idx="1">
                  <c:v>164.63400000000001</c:v>
                </c:pt>
                <c:pt idx="2">
                  <c:v>188.333</c:v>
                </c:pt>
                <c:pt idx="3">
                  <c:v>200.93668313000001</c:v>
                </c:pt>
                <c:pt idx="4">
                  <c:v>230.11464862</c:v>
                </c:pt>
                <c:pt idx="5">
                  <c:v>240.56839138800001</c:v>
                </c:pt>
                <c:pt idx="6">
                  <c:v>258.99692159300002</c:v>
                </c:pt>
                <c:pt idx="7">
                  <c:v>291.16611531199999</c:v>
                </c:pt>
                <c:pt idx="8">
                  <c:v>316.54593279799997</c:v>
                </c:pt>
                <c:pt idx="9">
                  <c:v>384.96486780599997</c:v>
                </c:pt>
                <c:pt idx="10">
                  <c:v>397.60421346800001</c:v>
                </c:pt>
                <c:pt idx="11">
                  <c:v>454.38506356699997</c:v>
                </c:pt>
                <c:pt idx="12">
                  <c:v>511.76041648500001</c:v>
                </c:pt>
                <c:pt idx="13">
                  <c:v>623.50731477399995</c:v>
                </c:pt>
                <c:pt idx="14">
                  <c:v>718.80640794700003</c:v>
                </c:pt>
                <c:pt idx="15">
                  <c:v>748.10042095899996</c:v>
                </c:pt>
                <c:pt idx="16">
                  <c:v>792.98456287600004</c:v>
                </c:pt>
                <c:pt idx="17">
                  <c:v>839.424190125</c:v>
                </c:pt>
                <c:pt idx="18">
                  <c:v>790.54731977699998</c:v>
                </c:pt>
                <c:pt idx="19">
                  <c:v>836.75781032899988</c:v>
                </c:pt>
                <c:pt idx="20">
                  <c:v>838.6871233710001</c:v>
                </c:pt>
              </c:numCache>
            </c:numRef>
          </c:val>
          <c:extLst>
            <c:ext xmlns:c16="http://schemas.microsoft.com/office/drawing/2014/chart" uri="{C3380CC4-5D6E-409C-BE32-E72D297353CC}">
              <c16:uniqueId val="{00000000-2B8A-4C31-A15E-A4074B3D37DD}"/>
            </c:ext>
          </c:extLst>
        </c:ser>
        <c:dLbls>
          <c:showLegendKey val="0"/>
          <c:showVal val="0"/>
          <c:showCatName val="0"/>
          <c:showSerName val="0"/>
          <c:showPercent val="0"/>
          <c:showBubbleSize val="0"/>
        </c:dLbls>
        <c:gapWidth val="40"/>
        <c:axId val="133430656"/>
        <c:axId val="133428736"/>
      </c:barChart>
      <c:lineChart>
        <c:grouping val="standard"/>
        <c:varyColors val="0"/>
        <c:ser>
          <c:idx val="1"/>
          <c:order val="1"/>
          <c:tx>
            <c:strRef>
              <c:f>'Iron Ore - Q&amp;V'!$U$35</c:f>
              <c:strCache>
                <c:ptCount val="1"/>
                <c:pt idx="0">
                  <c:v>Value ($ Million)</c:v>
                </c:pt>
              </c:strCache>
            </c:strRef>
          </c:tx>
          <c:marker>
            <c:symbol val="none"/>
          </c:marker>
          <c:cat>
            <c:strRef>
              <c:f>'Iron Ore - Q&amp;V'!$S$37:$S$57</c:f>
              <c:strCache>
                <c:ptCount val="21"/>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strCache>
            </c:strRef>
          </c:cat>
          <c:val>
            <c:numRef>
              <c:f>'Iron Ore - Q&amp;V'!$U$37:$U$57</c:f>
              <c:numCache>
                <c:formatCode>#,##0.00</c:formatCode>
                <c:ptCount val="21"/>
                <c:pt idx="0">
                  <c:v>4912.7000000000007</c:v>
                </c:pt>
                <c:pt idx="1">
                  <c:v>5207.62</c:v>
                </c:pt>
                <c:pt idx="2">
                  <c:v>5198.17</c:v>
                </c:pt>
                <c:pt idx="3">
                  <c:v>5360.4599761600002</c:v>
                </c:pt>
                <c:pt idx="4">
                  <c:v>8287.1801431499989</c:v>
                </c:pt>
                <c:pt idx="5">
                  <c:v>13040.826036820001</c:v>
                </c:pt>
                <c:pt idx="6">
                  <c:v>15779.19145036</c:v>
                </c:pt>
                <c:pt idx="7">
                  <c:v>21960.406709939998</c:v>
                </c:pt>
                <c:pt idx="8">
                  <c:v>33621.87729669</c:v>
                </c:pt>
                <c:pt idx="9">
                  <c:v>35214.420583350002</c:v>
                </c:pt>
                <c:pt idx="10">
                  <c:v>57533.101328700002</c:v>
                </c:pt>
                <c:pt idx="11">
                  <c:v>60972.72699137</c:v>
                </c:pt>
                <c:pt idx="12">
                  <c:v>56204.322877489998</c:v>
                </c:pt>
                <c:pt idx="13">
                  <c:v>75165.715685289993</c:v>
                </c:pt>
                <c:pt idx="14">
                  <c:v>54375.667289999998</c:v>
                </c:pt>
                <c:pt idx="15">
                  <c:v>48767.746597999998</c:v>
                </c:pt>
                <c:pt idx="16">
                  <c:v>64319.249452000004</c:v>
                </c:pt>
                <c:pt idx="17">
                  <c:v>62074.172938000003</c:v>
                </c:pt>
                <c:pt idx="18">
                  <c:v>81782.025072000004</c:v>
                </c:pt>
                <c:pt idx="19">
                  <c:v>104616.533849</c:v>
                </c:pt>
                <c:pt idx="20">
                  <c:v>154732.94078899999</c:v>
                </c:pt>
              </c:numCache>
            </c:numRef>
          </c:val>
          <c:smooth val="0"/>
          <c:extLst>
            <c:ext xmlns:c16="http://schemas.microsoft.com/office/drawing/2014/chart" uri="{C3380CC4-5D6E-409C-BE32-E72D297353CC}">
              <c16:uniqueId val="{00000001-2B8A-4C31-A15E-A4074B3D37DD}"/>
            </c:ext>
          </c:extLst>
        </c:ser>
        <c:dLbls>
          <c:showLegendKey val="0"/>
          <c:showVal val="0"/>
          <c:showCatName val="0"/>
          <c:showSerName val="0"/>
          <c:showPercent val="0"/>
          <c:showBubbleSize val="0"/>
        </c:dLbls>
        <c:marker val="1"/>
        <c:smooth val="0"/>
        <c:axId val="133424640"/>
        <c:axId val="133426560"/>
      </c:lineChart>
      <c:dateAx>
        <c:axId val="13342464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3426560"/>
        <c:crosses val="autoZero"/>
        <c:auto val="0"/>
        <c:lblOffset val="100"/>
        <c:baseTimeUnit val="days"/>
        <c:majorUnit val="1"/>
        <c:majorTimeUnit val="days"/>
      </c:dateAx>
      <c:valAx>
        <c:axId val="133426560"/>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3424640"/>
        <c:crosses val="autoZero"/>
        <c:crossBetween val="between"/>
      </c:valAx>
      <c:valAx>
        <c:axId val="133428736"/>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430656"/>
        <c:crosses val="max"/>
        <c:crossBetween val="between"/>
      </c:valAx>
      <c:catAx>
        <c:axId val="133430656"/>
        <c:scaling>
          <c:orientation val="minMax"/>
        </c:scaling>
        <c:delete val="1"/>
        <c:axPos val="b"/>
        <c:numFmt formatCode="General" sourceLinked="1"/>
        <c:majorTickMark val="out"/>
        <c:minorTickMark val="none"/>
        <c:tickLblPos val="nextTo"/>
        <c:crossAx val="13342873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Quarter</a:t>
            </a:r>
          </a:p>
        </c:rich>
      </c:tx>
      <c:overlay val="0"/>
    </c:title>
    <c:autoTitleDeleted val="0"/>
    <c:plotArea>
      <c:layout/>
      <c:barChart>
        <c:barDir val="col"/>
        <c:grouping val="clustered"/>
        <c:varyColors val="0"/>
        <c:ser>
          <c:idx val="0"/>
          <c:order val="0"/>
          <c:tx>
            <c:strRef>
              <c:f>'Alumina - Q&amp;V'!$U$10</c:f>
              <c:strCache>
                <c:ptCount val="1"/>
                <c:pt idx="0">
                  <c:v>Quantity (Mt)</c:v>
                </c:pt>
              </c:strCache>
            </c:strRef>
          </c:tx>
          <c:invertIfNegative val="0"/>
          <c:cat>
            <c:numRef>
              <c:f>'Alumina - Q&amp;V'!$S$11:$S$20</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'Alumina - Q&amp;V'!$U$11:$U$20</c:f>
              <c:numCache>
                <c:formatCode>#,##0.00</c:formatCode>
                <c:ptCount val="10"/>
                <c:pt idx="0">
                  <c:v>3.7422924799999997</c:v>
                </c:pt>
                <c:pt idx="1">
                  <c:v>4.0186735799999997</c:v>
                </c:pt>
                <c:pt idx="2">
                  <c:v>3.9426898889999999</c:v>
                </c:pt>
                <c:pt idx="3">
                  <c:v>4.176980564</c:v>
                </c:pt>
                <c:pt idx="4">
                  <c:v>3.8419108500000001</c:v>
                </c:pt>
                <c:pt idx="5">
                  <c:v>3.8424271399999999</c:v>
                </c:pt>
                <c:pt idx="6">
                  <c:v>4.2997635299999999</c:v>
                </c:pt>
                <c:pt idx="7">
                  <c:v>4.2143694700000003</c:v>
                </c:pt>
                <c:pt idx="8">
                  <c:v>3.78502501</c:v>
                </c:pt>
                <c:pt idx="9">
                  <c:v>3.9059542599999997</c:v>
                </c:pt>
              </c:numCache>
            </c:numRef>
          </c:val>
          <c:extLst>
            <c:ext xmlns:c16="http://schemas.microsoft.com/office/drawing/2014/chart" uri="{C3380CC4-5D6E-409C-BE32-E72D297353CC}">
              <c16:uniqueId val="{00000000-242F-4D7D-AB60-DAF45BC8E835}"/>
            </c:ext>
          </c:extLst>
        </c:ser>
        <c:dLbls>
          <c:showLegendKey val="0"/>
          <c:showVal val="0"/>
          <c:showCatName val="0"/>
          <c:showSerName val="0"/>
          <c:showPercent val="0"/>
          <c:showBubbleSize val="0"/>
        </c:dLbls>
        <c:gapWidth val="40"/>
        <c:axId val="117297536"/>
        <c:axId val="117283072"/>
      </c:barChart>
      <c:lineChart>
        <c:grouping val="standard"/>
        <c:varyColors val="0"/>
        <c:ser>
          <c:idx val="1"/>
          <c:order val="1"/>
          <c:tx>
            <c:strRef>
              <c:f>'Alumina - Q&amp;V'!$V$10</c:f>
              <c:strCache>
                <c:ptCount val="1"/>
                <c:pt idx="0">
                  <c:v>Value ($ Million)</c:v>
                </c:pt>
              </c:strCache>
            </c:strRef>
          </c:tx>
          <c:spPr>
            <a:ln w="50800"/>
          </c:spPr>
          <c:marker>
            <c:symbol val="none"/>
          </c:marker>
          <c:cat>
            <c:numRef>
              <c:f>'Alumina - Q&amp;V'!$S$11:$S$20</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'Alumina - Q&amp;V'!$V$11:$V$20</c:f>
              <c:numCache>
                <c:formatCode>#,##0.00</c:formatCode>
                <c:ptCount val="10"/>
                <c:pt idx="0">
                  <c:v>1923.275007</c:v>
                </c:pt>
                <c:pt idx="1">
                  <c:v>1989.7029249999998</c:v>
                </c:pt>
                <c:pt idx="2">
                  <c:v>1757.021943</c:v>
                </c:pt>
                <c:pt idx="3">
                  <c:v>1689.0102509999999</c:v>
                </c:pt>
                <c:pt idx="4">
                  <c:v>1529.2994430000001</c:v>
                </c:pt>
                <c:pt idx="5">
                  <c:v>1441.068</c:v>
                </c:pt>
                <c:pt idx="6">
                  <c:v>1466.2717329999998</c:v>
                </c:pt>
                <c:pt idx="7">
                  <c:v>1419.101146</c:v>
                </c:pt>
                <c:pt idx="8">
                  <c:v>1338.498587</c:v>
                </c:pt>
                <c:pt idx="9">
                  <c:v>1341.149079</c:v>
                </c:pt>
              </c:numCache>
            </c:numRef>
          </c:val>
          <c:smooth val="0"/>
          <c:extLst>
            <c:ext xmlns:c16="http://schemas.microsoft.com/office/drawing/2014/chart" uri="{C3380CC4-5D6E-409C-BE32-E72D297353CC}">
              <c16:uniqueId val="{00000001-242F-4D7D-AB60-DAF45BC8E835}"/>
            </c:ext>
          </c:extLst>
        </c:ser>
        <c:dLbls>
          <c:showLegendKey val="0"/>
          <c:showVal val="0"/>
          <c:showCatName val="0"/>
          <c:showSerName val="0"/>
          <c:showPercent val="0"/>
          <c:showBubbleSize val="0"/>
        </c:dLbls>
        <c:marker val="1"/>
        <c:smooth val="0"/>
        <c:axId val="116906240"/>
        <c:axId val="117281152"/>
      </c:lineChart>
      <c:catAx>
        <c:axId val="116906240"/>
        <c:scaling>
          <c:orientation val="minMax"/>
        </c:scaling>
        <c:delete val="0"/>
        <c:axPos val="b"/>
        <c:title>
          <c:tx>
            <c:rich>
              <a:bodyPr/>
              <a:lstStyle/>
              <a:p>
                <a:pPr>
                  <a:defRPr/>
                </a:pPr>
                <a:r>
                  <a:rPr lang="en-AU" sz="900"/>
                  <a:t>Source: DMIRS</a:t>
                </a:r>
              </a:p>
            </c:rich>
          </c:tx>
          <c:layout>
            <c:manualLayout>
              <c:xMode val="edge"/>
              <c:yMode val="edge"/>
              <c:x val="1.2497141312288814E-2"/>
              <c:y val="0.94716822365917297"/>
            </c:manualLayout>
          </c:layout>
          <c:overlay val="0"/>
        </c:title>
        <c:numFmt formatCode="mmm\-yy" sourceLinked="1"/>
        <c:majorTickMark val="out"/>
        <c:minorTickMark val="none"/>
        <c:tickLblPos val="nextTo"/>
        <c:crossAx val="117281152"/>
        <c:crosses val="autoZero"/>
        <c:auto val="0"/>
        <c:lblAlgn val="ctr"/>
        <c:lblOffset val="100"/>
        <c:noMultiLvlLbl val="0"/>
      </c:catAx>
      <c:valAx>
        <c:axId val="117281152"/>
        <c:scaling>
          <c:orientation val="minMax"/>
          <c:min val="0"/>
        </c:scaling>
        <c:delete val="0"/>
        <c:axPos val="l"/>
        <c:majorGridlines/>
        <c:title>
          <c:tx>
            <c:rich>
              <a:bodyPr rot="-5400000" vert="horz"/>
              <a:lstStyle/>
              <a:p>
                <a:pPr>
                  <a:defRPr/>
                </a:pPr>
                <a:r>
                  <a:rPr lang="en-AU"/>
                  <a:t>$</a:t>
                </a:r>
                <a:r>
                  <a:rPr lang="en-AU" baseline="0"/>
                  <a:t> M</a:t>
                </a:r>
                <a:r>
                  <a:rPr lang="en-AU"/>
                  <a:t>illion</a:t>
                </a:r>
              </a:p>
            </c:rich>
          </c:tx>
          <c:overlay val="0"/>
        </c:title>
        <c:numFmt formatCode="#,##0" sourceLinked="0"/>
        <c:majorTickMark val="out"/>
        <c:minorTickMark val="none"/>
        <c:tickLblPos val="nextTo"/>
        <c:crossAx val="116906240"/>
        <c:crosses val="autoZero"/>
        <c:crossBetween val="between"/>
      </c:valAx>
      <c:valAx>
        <c:axId val="117283072"/>
        <c:scaling>
          <c:orientation val="minMax"/>
          <c:min val="0"/>
        </c:scaling>
        <c:delete val="0"/>
        <c:axPos val="r"/>
        <c:title>
          <c:tx>
            <c:rich>
              <a:bodyPr rot="-5400000" vert="horz"/>
              <a:lstStyle/>
              <a:p>
                <a:pPr>
                  <a:defRPr/>
                </a:pPr>
                <a:r>
                  <a:rPr lang="en-AU"/>
                  <a:t>Million tonnes</a:t>
                </a:r>
              </a:p>
            </c:rich>
          </c:tx>
          <c:overlay val="0"/>
        </c:title>
        <c:numFmt formatCode="0.0" sourceLinked="0"/>
        <c:majorTickMark val="out"/>
        <c:minorTickMark val="none"/>
        <c:tickLblPos val="nextTo"/>
        <c:crossAx val="117297536"/>
        <c:crosses val="max"/>
        <c:crossBetween val="between"/>
      </c:valAx>
      <c:dateAx>
        <c:axId val="117297536"/>
        <c:scaling>
          <c:orientation val="minMax"/>
        </c:scaling>
        <c:delete val="1"/>
        <c:axPos val="b"/>
        <c:numFmt formatCode="mmm\-yy" sourceLinked="1"/>
        <c:majorTickMark val="out"/>
        <c:minorTickMark val="none"/>
        <c:tickLblPos val="nextTo"/>
        <c:crossAx val="117283072"/>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Iron Ore</a:t>
            </a:r>
          </a:p>
          <a:p>
            <a:pPr>
              <a:defRPr/>
            </a:pPr>
            <a:r>
              <a:rPr lang="en-US" sz="1100"/>
              <a:t>Historic Average Annual Price</a:t>
            </a:r>
            <a:endParaRPr lang="en-AU" sz="1100"/>
          </a:p>
        </c:rich>
      </c:tx>
      <c:overlay val="0"/>
    </c:title>
    <c:autoTitleDeleted val="0"/>
    <c:plotArea>
      <c:layout/>
      <c:barChart>
        <c:barDir val="col"/>
        <c:grouping val="clustered"/>
        <c:varyColors val="0"/>
        <c:ser>
          <c:idx val="0"/>
          <c:order val="0"/>
          <c:tx>
            <c:strRef>
              <c:f>'Iron Ore - Prices'!$J$8</c:f>
              <c:strCache>
                <c:ptCount val="1"/>
                <c:pt idx="0">
                  <c:v>Price (A$ per tonne)</c:v>
                </c:pt>
              </c:strCache>
            </c:strRef>
          </c:tx>
          <c:invertIfNegative val="0"/>
          <c:cat>
            <c:strRef>
              <c:f>'Iron Ore - Prices'!$I$9:$I$30</c:f>
              <c:strCache>
                <c:ptCount val="22"/>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pt idx="18">
                  <c:v>2017-18</c:v>
                </c:pt>
                <c:pt idx="19">
                  <c:v>2018-19</c:v>
                </c:pt>
                <c:pt idx="20">
                  <c:v>2019-20</c:v>
                </c:pt>
                <c:pt idx="21">
                  <c:v>2020-21</c:v>
                </c:pt>
              </c:strCache>
            </c:strRef>
          </c:cat>
          <c:val>
            <c:numRef>
              <c:f>'Iron Ore - Prices'!$J$9:$J$30</c:f>
              <c:numCache>
                <c:formatCode>#,##0.00</c:formatCode>
                <c:ptCount val="22"/>
                <c:pt idx="0">
                  <c:v>24.623277476035167</c:v>
                </c:pt>
                <c:pt idx="1">
                  <c:v>30.368424306113621</c:v>
                </c:pt>
                <c:pt idx="2">
                  <c:v>31.631497746516512</c:v>
                </c:pt>
                <c:pt idx="3">
                  <c:v>27.60095150610886</c:v>
                </c:pt>
                <c:pt idx="4">
                  <c:v>26.677358721463236</c:v>
                </c:pt>
                <c:pt idx="5">
                  <c:v>36.013266399372256</c:v>
                </c:pt>
                <c:pt idx="6">
                  <c:v>54.208393553196039</c:v>
                </c:pt>
                <c:pt idx="7">
                  <c:v>60.924243243153931</c:v>
                </c:pt>
                <c:pt idx="8">
                  <c:v>75.422260885021785</c:v>
                </c:pt>
                <c:pt idx="9">
                  <c:v>106.21484534487891</c:v>
                </c:pt>
                <c:pt idx="10">
                  <c:v>91.474374750207161</c:v>
                </c:pt>
                <c:pt idx="11">
                  <c:v>144.69942565970916</c:v>
                </c:pt>
                <c:pt idx="12">
                  <c:v>144.48246275190232</c:v>
                </c:pt>
                <c:pt idx="13">
                  <c:v>123.34821690074573</c:v>
                </c:pt>
                <c:pt idx="14">
                  <c:v>133.64998236387473</c:v>
                </c:pt>
                <c:pt idx="15">
                  <c:v>83.414401601815328</c:v>
                </c:pt>
                <c:pt idx="16">
                  <c:v>69.123105914875339</c:v>
                </c:pt>
                <c:pt idx="17">
                  <c:v>92.123588292049817</c:v>
                </c:pt>
                <c:pt idx="18">
                  <c:v>89.226263157397099</c:v>
                </c:pt>
                <c:pt idx="19">
                  <c:v>112.62549445974389</c:v>
                </c:pt>
                <c:pt idx="20">
                  <c:v>137.91870655370482</c:v>
                </c:pt>
                <c:pt idx="21">
                  <c:v>205.63005547709872</c:v>
                </c:pt>
              </c:numCache>
            </c:numRef>
          </c:val>
          <c:extLst>
            <c:ext xmlns:c16="http://schemas.microsoft.com/office/drawing/2014/chart" uri="{C3380CC4-5D6E-409C-BE32-E72D297353CC}">
              <c16:uniqueId val="{00000000-4DF9-411D-B7DB-FD2721FC6A0C}"/>
            </c:ext>
          </c:extLst>
        </c:ser>
        <c:dLbls>
          <c:showLegendKey val="0"/>
          <c:showVal val="0"/>
          <c:showCatName val="0"/>
          <c:showSerName val="0"/>
          <c:showPercent val="0"/>
          <c:showBubbleSize val="0"/>
        </c:dLbls>
        <c:gapWidth val="75"/>
        <c:overlap val="-25"/>
        <c:axId val="132711168"/>
        <c:axId val="132713088"/>
      </c:barChart>
      <c:catAx>
        <c:axId val="132711168"/>
        <c:scaling>
          <c:orientation val="minMax"/>
        </c:scaling>
        <c:delete val="0"/>
        <c:axPos val="b"/>
        <c:title>
          <c:tx>
            <c:rich>
              <a:bodyPr/>
              <a:lstStyle/>
              <a:p>
                <a:pPr>
                  <a:defRPr/>
                </a:pPr>
                <a:r>
                  <a:rPr lang="en-AU"/>
                  <a:t>Source: DMIRS and Argus Metals</a:t>
                </a:r>
              </a:p>
            </c:rich>
          </c:tx>
          <c:layout>
            <c:manualLayout>
              <c:xMode val="edge"/>
              <c:yMode val="edge"/>
              <c:x val="6.687098883763478E-3"/>
              <c:y val="0.93218607003636755"/>
            </c:manualLayout>
          </c:layout>
          <c:overlay val="0"/>
        </c:title>
        <c:numFmt formatCode="General" sourceLinked="1"/>
        <c:majorTickMark val="out"/>
        <c:minorTickMark val="none"/>
        <c:tickLblPos val="nextTo"/>
        <c:spPr>
          <a:ln/>
        </c:spPr>
        <c:txPr>
          <a:bodyPr rot="-2700000"/>
          <a:lstStyle/>
          <a:p>
            <a:pPr>
              <a:defRPr/>
            </a:pPr>
            <a:endParaRPr lang="en-US"/>
          </a:p>
        </c:txPr>
        <c:crossAx val="132713088"/>
        <c:crosses val="autoZero"/>
        <c:auto val="0"/>
        <c:lblAlgn val="ctr"/>
        <c:lblOffset val="100"/>
        <c:noMultiLvlLbl val="0"/>
      </c:catAx>
      <c:valAx>
        <c:axId val="132713088"/>
        <c:scaling>
          <c:orientation val="minMax"/>
        </c:scaling>
        <c:delete val="0"/>
        <c:axPos val="l"/>
        <c:majorGridlines/>
        <c:title>
          <c:tx>
            <c:rich>
              <a:bodyPr rot="-5400000" vert="horz"/>
              <a:lstStyle/>
              <a:p>
                <a:pPr>
                  <a:defRPr/>
                </a:pPr>
                <a:r>
                  <a:rPr lang="en-AU"/>
                  <a:t>A$</a:t>
                </a:r>
                <a:r>
                  <a:rPr lang="en-AU" baseline="0"/>
                  <a:t> per </a:t>
                </a:r>
                <a:r>
                  <a:rPr lang="en-AU"/>
                  <a:t>tonne</a:t>
                </a:r>
              </a:p>
            </c:rich>
          </c:tx>
          <c:layout>
            <c:manualLayout>
              <c:xMode val="edge"/>
              <c:yMode val="edge"/>
              <c:x val="1.7832263690035943E-2"/>
              <c:y val="0.4111179575832104"/>
            </c:manualLayout>
          </c:layout>
          <c:overlay val="0"/>
        </c:title>
        <c:numFmt formatCode="#,##0" sourceLinked="0"/>
        <c:majorTickMark val="out"/>
        <c:minorTickMark val="none"/>
        <c:tickLblPos val="nextTo"/>
        <c:spPr>
          <a:ln/>
        </c:spPr>
        <c:crossAx val="132711168"/>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Monthly Price, Past 5 Years</a:t>
            </a:r>
          </a:p>
        </c:rich>
      </c:tx>
      <c:overlay val="0"/>
    </c:title>
    <c:autoTitleDeleted val="0"/>
    <c:plotArea>
      <c:layout>
        <c:manualLayout>
          <c:layoutTarget val="inner"/>
          <c:xMode val="edge"/>
          <c:yMode val="edge"/>
          <c:x val="8.5343062949245208E-2"/>
          <c:y val="0.25001563920758818"/>
          <c:w val="0.8884584796625089"/>
          <c:h val="0.58750805392862149"/>
        </c:manualLayout>
      </c:layout>
      <c:lineChart>
        <c:grouping val="standard"/>
        <c:varyColors val="0"/>
        <c:ser>
          <c:idx val="0"/>
          <c:order val="0"/>
          <c:tx>
            <c:v>62% Fines CFR China US$/t</c:v>
          </c:tx>
          <c:spPr>
            <a:ln>
              <a:solidFill>
                <a:srgbClr val="C00000"/>
              </a:solidFill>
            </a:ln>
          </c:spPr>
          <c:marker>
            <c:symbol val="none"/>
          </c:marker>
          <c:cat>
            <c:numRef>
              <c:f>'Commodity Prices'!$AX$9:$AX$68</c:f>
              <c:numCache>
                <c:formatCode>General</c:formatCode>
                <c:ptCount val="60"/>
                <c:pt idx="2" formatCode="mmm\-yy">
                  <c:v>42614</c:v>
                </c:pt>
                <c:pt idx="5" formatCode="mmm\-yy">
                  <c:v>42705</c:v>
                </c:pt>
                <c:pt idx="8" formatCode="mmm\-yy">
                  <c:v>42795</c:v>
                </c:pt>
                <c:pt idx="11" formatCode="mmm\-yy">
                  <c:v>42887</c:v>
                </c:pt>
                <c:pt idx="14" formatCode="mmm\-yy">
                  <c:v>42979</c:v>
                </c:pt>
                <c:pt idx="17" formatCode="mmm\-yy">
                  <c:v>43070</c:v>
                </c:pt>
                <c:pt idx="20" formatCode="mmm\-yy">
                  <c:v>43160</c:v>
                </c:pt>
                <c:pt idx="23" formatCode="mmm\-yy">
                  <c:v>43252</c:v>
                </c:pt>
                <c:pt idx="26" formatCode="mmm\-yy">
                  <c:v>43344</c:v>
                </c:pt>
                <c:pt idx="29" formatCode="mmm\-yy">
                  <c:v>43435</c:v>
                </c:pt>
                <c:pt idx="32" formatCode="mmm\-yy">
                  <c:v>43525</c:v>
                </c:pt>
                <c:pt idx="35" formatCode="mmm\-yy">
                  <c:v>43617</c:v>
                </c:pt>
                <c:pt idx="38" formatCode="mmm\-yy">
                  <c:v>43709</c:v>
                </c:pt>
                <c:pt idx="41" formatCode="mmm\-yy">
                  <c:v>43800</c:v>
                </c:pt>
                <c:pt idx="44" formatCode="mmm\-yy">
                  <c:v>43891</c:v>
                </c:pt>
                <c:pt idx="47" formatCode="mmm\-yy">
                  <c:v>43983</c:v>
                </c:pt>
                <c:pt idx="50" formatCode="mmm\-yy">
                  <c:v>44075</c:v>
                </c:pt>
                <c:pt idx="53" formatCode="mmm\-yy">
                  <c:v>44166</c:v>
                </c:pt>
                <c:pt idx="56" formatCode="mmm\-yy">
                  <c:v>44256</c:v>
                </c:pt>
                <c:pt idx="59" formatCode="mmm\-yy">
                  <c:v>44348</c:v>
                </c:pt>
              </c:numCache>
            </c:numRef>
          </c:cat>
          <c:val>
            <c:numRef>
              <c:f>'Iron Ore - Prices'!$B$10:$B$69</c:f>
              <c:numCache>
                <c:formatCode>#,##0.00</c:formatCode>
                <c:ptCount val="60"/>
                <c:pt idx="0">
                  <c:v>56.83</c:v>
                </c:pt>
                <c:pt idx="1">
                  <c:v>60.63</c:v>
                </c:pt>
                <c:pt idx="2">
                  <c:v>57.11</c:v>
                </c:pt>
                <c:pt idx="3">
                  <c:v>58.54</c:v>
                </c:pt>
                <c:pt idx="4">
                  <c:v>73.67</c:v>
                </c:pt>
                <c:pt idx="5">
                  <c:v>80</c:v>
                </c:pt>
                <c:pt idx="6">
                  <c:v>81</c:v>
                </c:pt>
                <c:pt idx="7">
                  <c:v>89</c:v>
                </c:pt>
                <c:pt idx="8">
                  <c:v>88</c:v>
                </c:pt>
                <c:pt idx="9">
                  <c:v>71</c:v>
                </c:pt>
                <c:pt idx="10">
                  <c:v>61.68</c:v>
                </c:pt>
                <c:pt idx="11">
                  <c:v>57.15</c:v>
                </c:pt>
                <c:pt idx="12">
                  <c:v>67.209999999999994</c:v>
                </c:pt>
                <c:pt idx="13">
                  <c:v>75.849999999999994</c:v>
                </c:pt>
                <c:pt idx="14">
                  <c:v>70.599999999999994</c:v>
                </c:pt>
                <c:pt idx="15">
                  <c:v>61.96</c:v>
                </c:pt>
                <c:pt idx="16">
                  <c:v>64.17</c:v>
                </c:pt>
                <c:pt idx="17">
                  <c:v>71.61</c:v>
                </c:pt>
                <c:pt idx="18">
                  <c:v>75.78</c:v>
                </c:pt>
                <c:pt idx="19">
                  <c:v>77.48</c:v>
                </c:pt>
                <c:pt idx="20">
                  <c:v>70.010000000000005</c:v>
                </c:pt>
                <c:pt idx="21">
                  <c:v>65.430000000000007</c:v>
                </c:pt>
                <c:pt idx="22">
                  <c:v>66</c:v>
                </c:pt>
                <c:pt idx="23">
                  <c:v>64.45</c:v>
                </c:pt>
                <c:pt idx="24">
                  <c:v>64.09</c:v>
                </c:pt>
                <c:pt idx="25">
                  <c:v>66.81</c:v>
                </c:pt>
                <c:pt idx="26">
                  <c:v>68.34</c:v>
                </c:pt>
                <c:pt idx="27">
                  <c:v>72.56</c:v>
                </c:pt>
                <c:pt idx="28">
                  <c:v>72.290000000000006</c:v>
                </c:pt>
                <c:pt idx="29">
                  <c:v>69.319999999999993</c:v>
                </c:pt>
                <c:pt idx="30">
                  <c:v>76.11</c:v>
                </c:pt>
                <c:pt idx="31">
                  <c:v>87.12</c:v>
                </c:pt>
                <c:pt idx="32">
                  <c:v>85.75</c:v>
                </c:pt>
                <c:pt idx="33">
                  <c:v>93.54</c:v>
                </c:pt>
                <c:pt idx="34">
                  <c:v>99.06</c:v>
                </c:pt>
                <c:pt idx="35">
                  <c:v>108.69</c:v>
                </c:pt>
                <c:pt idx="36">
                  <c:v>119.96</c:v>
                </c:pt>
                <c:pt idx="37">
                  <c:v>91.19</c:v>
                </c:pt>
                <c:pt idx="38">
                  <c:v>93.3</c:v>
                </c:pt>
                <c:pt idx="39">
                  <c:v>89.61</c:v>
                </c:pt>
                <c:pt idx="40">
                  <c:v>84.25</c:v>
                </c:pt>
                <c:pt idx="41">
                  <c:v>91.4</c:v>
                </c:pt>
                <c:pt idx="42">
                  <c:v>92.8</c:v>
                </c:pt>
                <c:pt idx="43">
                  <c:v>86.03</c:v>
                </c:pt>
                <c:pt idx="44">
                  <c:v>87.55</c:v>
                </c:pt>
                <c:pt idx="45">
                  <c:v>83.51</c:v>
                </c:pt>
                <c:pt idx="46">
                  <c:v>92.29</c:v>
                </c:pt>
                <c:pt idx="47">
                  <c:v>100.42</c:v>
                </c:pt>
                <c:pt idx="48">
                  <c:v>107.32</c:v>
                </c:pt>
                <c:pt idx="49">
                  <c:v>122.43</c:v>
                </c:pt>
                <c:pt idx="50">
                  <c:v>123.96</c:v>
                </c:pt>
                <c:pt idx="51">
                  <c:v>120</c:v>
                </c:pt>
                <c:pt idx="52">
                  <c:v>125</c:v>
                </c:pt>
                <c:pt idx="53">
                  <c:v>156</c:v>
                </c:pt>
                <c:pt idx="54">
                  <c:v>168</c:v>
                </c:pt>
                <c:pt idx="55">
                  <c:v>165.36</c:v>
                </c:pt>
                <c:pt idx="56">
                  <c:v>166.9</c:v>
                </c:pt>
                <c:pt idx="57">
                  <c:v>179.85</c:v>
                </c:pt>
                <c:pt idx="58">
                  <c:v>205.37</c:v>
                </c:pt>
                <c:pt idx="59">
                  <c:v>214.61</c:v>
                </c:pt>
              </c:numCache>
            </c:numRef>
          </c:val>
          <c:smooth val="0"/>
          <c:extLst>
            <c:ext xmlns:c16="http://schemas.microsoft.com/office/drawing/2014/chart" uri="{C3380CC4-5D6E-409C-BE32-E72D297353CC}">
              <c16:uniqueId val="{00000000-5602-4F8B-8ABB-96E33CFE038E}"/>
            </c:ext>
          </c:extLst>
        </c:ser>
        <c:ser>
          <c:idx val="1"/>
          <c:order val="1"/>
          <c:tx>
            <c:v>62% Fines CFR China A$/t</c:v>
          </c:tx>
          <c:spPr>
            <a:ln>
              <a:solidFill>
                <a:srgbClr val="0070C0"/>
              </a:solidFill>
            </a:ln>
          </c:spPr>
          <c:marker>
            <c:symbol val="none"/>
          </c:marker>
          <c:cat>
            <c:numRef>
              <c:f>'Commodity Prices'!$AX$9:$AX$68</c:f>
              <c:numCache>
                <c:formatCode>General</c:formatCode>
                <c:ptCount val="60"/>
                <c:pt idx="2" formatCode="mmm\-yy">
                  <c:v>42614</c:v>
                </c:pt>
                <c:pt idx="5" formatCode="mmm\-yy">
                  <c:v>42705</c:v>
                </c:pt>
                <c:pt idx="8" formatCode="mmm\-yy">
                  <c:v>42795</c:v>
                </c:pt>
                <c:pt idx="11" formatCode="mmm\-yy">
                  <c:v>42887</c:v>
                </c:pt>
                <c:pt idx="14" formatCode="mmm\-yy">
                  <c:v>42979</c:v>
                </c:pt>
                <c:pt idx="17" formatCode="mmm\-yy">
                  <c:v>43070</c:v>
                </c:pt>
                <c:pt idx="20" formatCode="mmm\-yy">
                  <c:v>43160</c:v>
                </c:pt>
                <c:pt idx="23" formatCode="mmm\-yy">
                  <c:v>43252</c:v>
                </c:pt>
                <c:pt idx="26" formatCode="mmm\-yy">
                  <c:v>43344</c:v>
                </c:pt>
                <c:pt idx="29" formatCode="mmm\-yy">
                  <c:v>43435</c:v>
                </c:pt>
                <c:pt idx="32" formatCode="mmm\-yy">
                  <c:v>43525</c:v>
                </c:pt>
                <c:pt idx="35" formatCode="mmm\-yy">
                  <c:v>43617</c:v>
                </c:pt>
                <c:pt idx="38" formatCode="mmm\-yy">
                  <c:v>43709</c:v>
                </c:pt>
                <c:pt idx="41" formatCode="mmm\-yy">
                  <c:v>43800</c:v>
                </c:pt>
                <c:pt idx="44" formatCode="mmm\-yy">
                  <c:v>43891</c:v>
                </c:pt>
                <c:pt idx="47" formatCode="mmm\-yy">
                  <c:v>43983</c:v>
                </c:pt>
                <c:pt idx="50" formatCode="mmm\-yy">
                  <c:v>44075</c:v>
                </c:pt>
                <c:pt idx="53" formatCode="mmm\-yy">
                  <c:v>44166</c:v>
                </c:pt>
                <c:pt idx="56" formatCode="mmm\-yy">
                  <c:v>44256</c:v>
                </c:pt>
                <c:pt idx="59" formatCode="mmm\-yy">
                  <c:v>44348</c:v>
                </c:pt>
              </c:numCache>
            </c:numRef>
          </c:cat>
          <c:val>
            <c:numRef>
              <c:f>'Iron Ore - Prices'!$C$10:$C$69</c:f>
              <c:numCache>
                <c:formatCode>#,##0.00</c:formatCode>
                <c:ptCount val="60"/>
                <c:pt idx="0">
                  <c:v>75.47</c:v>
                </c:pt>
                <c:pt idx="1">
                  <c:v>79.540000000000006</c:v>
                </c:pt>
                <c:pt idx="2">
                  <c:v>75.22</c:v>
                </c:pt>
                <c:pt idx="3">
                  <c:v>76.86</c:v>
                </c:pt>
                <c:pt idx="4">
                  <c:v>97.85</c:v>
                </c:pt>
                <c:pt idx="5">
                  <c:v>109</c:v>
                </c:pt>
                <c:pt idx="6">
                  <c:v>108</c:v>
                </c:pt>
                <c:pt idx="7">
                  <c:v>116</c:v>
                </c:pt>
                <c:pt idx="8">
                  <c:v>115</c:v>
                </c:pt>
                <c:pt idx="9">
                  <c:v>94</c:v>
                </c:pt>
                <c:pt idx="10">
                  <c:v>82.947821409359861</c:v>
                </c:pt>
                <c:pt idx="11">
                  <c:v>75.595238095238088</c:v>
                </c:pt>
                <c:pt idx="12">
                  <c:v>86.111467008327992</c:v>
                </c:pt>
                <c:pt idx="13">
                  <c:v>95.818595250126322</c:v>
                </c:pt>
                <c:pt idx="14">
                  <c:v>88.615539098782477</c:v>
                </c:pt>
                <c:pt idx="15">
                  <c:v>79.568511621933993</c:v>
                </c:pt>
                <c:pt idx="16">
                  <c:v>84.179456906729641</c:v>
                </c:pt>
                <c:pt idx="17">
                  <c:v>93.607843137254903</c:v>
                </c:pt>
                <c:pt idx="18">
                  <c:v>95.236898328515778</c:v>
                </c:pt>
                <c:pt idx="19">
                  <c:v>98.474834773767157</c:v>
                </c:pt>
                <c:pt idx="20">
                  <c:v>90.230699832452643</c:v>
                </c:pt>
                <c:pt idx="21">
                  <c:v>85.162046075751675</c:v>
                </c:pt>
                <c:pt idx="22">
                  <c:v>87.672688629117957</c:v>
                </c:pt>
                <c:pt idx="23">
                  <c:v>86.036577226004539</c:v>
                </c:pt>
                <c:pt idx="24">
                  <c:v>86.549628629304522</c:v>
                </c:pt>
                <c:pt idx="25">
                  <c:v>91.195741195741192</c:v>
                </c:pt>
                <c:pt idx="26">
                  <c:v>94.863964464186566</c:v>
                </c:pt>
                <c:pt idx="27">
                  <c:v>102.16840326668543</c:v>
                </c:pt>
                <c:pt idx="28">
                  <c:v>99.724099875844956</c:v>
                </c:pt>
                <c:pt idx="29">
                  <c:v>96.842693489801619</c:v>
                </c:pt>
                <c:pt idx="30">
                  <c:v>106.43266675989372</c:v>
                </c:pt>
                <c:pt idx="31">
                  <c:v>122.05099467637994</c:v>
                </c:pt>
                <c:pt idx="32">
                  <c:v>121.06452068332626</c:v>
                </c:pt>
                <c:pt idx="33">
                  <c:v>131.52418447694038</c:v>
                </c:pt>
                <c:pt idx="34">
                  <c:v>142.65552995391704</c:v>
                </c:pt>
                <c:pt idx="35">
                  <c:v>156.43350604490502</c:v>
                </c:pt>
                <c:pt idx="36">
                  <c:v>171.88708984095143</c:v>
                </c:pt>
                <c:pt idx="37">
                  <c:v>134.75690852667356</c:v>
                </c:pt>
                <c:pt idx="38">
                  <c:v>135.84740827023879</c:v>
                </c:pt>
                <c:pt idx="39">
                  <c:v>131.81818181818181</c:v>
                </c:pt>
                <c:pt idx="40">
                  <c:v>123.42513917374744</c:v>
                </c:pt>
                <c:pt idx="41">
                  <c:v>132.67527943097693</c:v>
                </c:pt>
                <c:pt idx="42">
                  <c:v>135.25725112957295</c:v>
                </c:pt>
                <c:pt idx="43">
                  <c:v>129.07726931732932</c:v>
                </c:pt>
                <c:pt idx="44">
                  <c:v>140.86886564762671</c:v>
                </c:pt>
                <c:pt idx="45">
                  <c:v>132.32451275550628</c:v>
                </c:pt>
                <c:pt idx="46">
                  <c:v>141.59251304081008</c:v>
                </c:pt>
                <c:pt idx="47">
                  <c:v>145.49405969284265</c:v>
                </c:pt>
                <c:pt idx="48">
                  <c:v>152.55152807391613</c:v>
                </c:pt>
                <c:pt idx="49">
                  <c:v>170.01805304818777</c:v>
                </c:pt>
                <c:pt idx="50">
                  <c:v>171.52345371523452</c:v>
                </c:pt>
                <c:pt idx="51">
                  <c:v>168.44469399213924</c:v>
                </c:pt>
                <c:pt idx="52">
                  <c:v>171.65613842351004</c:v>
                </c:pt>
                <c:pt idx="53">
                  <c:v>206.95144600689838</c:v>
                </c:pt>
                <c:pt idx="54">
                  <c:v>217.53204713194356</c:v>
                </c:pt>
                <c:pt idx="55">
                  <c:v>213.23017408123795</c:v>
                </c:pt>
                <c:pt idx="56">
                  <c:v>216.58447962626528</c:v>
                </c:pt>
                <c:pt idx="57">
                  <c:v>233.51077642170864</c:v>
                </c:pt>
                <c:pt idx="58">
                  <c:v>264.61796160288623</c:v>
                </c:pt>
                <c:pt idx="59">
                  <c:v>280.93991360125671</c:v>
                </c:pt>
              </c:numCache>
            </c:numRef>
          </c:val>
          <c:smooth val="0"/>
          <c:extLst>
            <c:ext xmlns:c16="http://schemas.microsoft.com/office/drawing/2014/chart" uri="{C3380CC4-5D6E-409C-BE32-E72D297353CC}">
              <c16:uniqueId val="{00000001-5602-4F8B-8ABB-96E33CFE038E}"/>
            </c:ext>
          </c:extLst>
        </c:ser>
        <c:ser>
          <c:idx val="2"/>
          <c:order val="2"/>
          <c:tx>
            <c:v>58% Fines CFR China US$/t</c:v>
          </c:tx>
          <c:spPr>
            <a:ln>
              <a:solidFill>
                <a:schemeClr val="accent2">
                  <a:lumMod val="75000"/>
                </a:schemeClr>
              </a:solidFill>
            </a:ln>
          </c:spPr>
          <c:marker>
            <c:symbol val="none"/>
          </c:marker>
          <c:cat>
            <c:numRef>
              <c:f>'Commodity Prices'!$AX$9:$AX$68</c:f>
              <c:numCache>
                <c:formatCode>General</c:formatCode>
                <c:ptCount val="60"/>
                <c:pt idx="2" formatCode="mmm\-yy">
                  <c:v>42614</c:v>
                </c:pt>
                <c:pt idx="5" formatCode="mmm\-yy">
                  <c:v>42705</c:v>
                </c:pt>
                <c:pt idx="8" formatCode="mmm\-yy">
                  <c:v>42795</c:v>
                </c:pt>
                <c:pt idx="11" formatCode="mmm\-yy">
                  <c:v>42887</c:v>
                </c:pt>
                <c:pt idx="14" formatCode="mmm\-yy">
                  <c:v>42979</c:v>
                </c:pt>
                <c:pt idx="17" formatCode="mmm\-yy">
                  <c:v>43070</c:v>
                </c:pt>
                <c:pt idx="20" formatCode="mmm\-yy">
                  <c:v>43160</c:v>
                </c:pt>
                <c:pt idx="23" formatCode="mmm\-yy">
                  <c:v>43252</c:v>
                </c:pt>
                <c:pt idx="26" formatCode="mmm\-yy">
                  <c:v>43344</c:v>
                </c:pt>
                <c:pt idx="29" formatCode="mmm\-yy">
                  <c:v>43435</c:v>
                </c:pt>
                <c:pt idx="32" formatCode="mmm\-yy">
                  <c:v>43525</c:v>
                </c:pt>
                <c:pt idx="35" formatCode="mmm\-yy">
                  <c:v>43617</c:v>
                </c:pt>
                <c:pt idx="38" formatCode="mmm\-yy">
                  <c:v>43709</c:v>
                </c:pt>
                <c:pt idx="41" formatCode="mmm\-yy">
                  <c:v>43800</c:v>
                </c:pt>
                <c:pt idx="44" formatCode="mmm\-yy">
                  <c:v>43891</c:v>
                </c:pt>
                <c:pt idx="47" formatCode="mmm\-yy">
                  <c:v>43983</c:v>
                </c:pt>
                <c:pt idx="50" formatCode="mmm\-yy">
                  <c:v>44075</c:v>
                </c:pt>
                <c:pt idx="53" formatCode="mmm\-yy">
                  <c:v>44166</c:v>
                </c:pt>
                <c:pt idx="56" formatCode="mmm\-yy">
                  <c:v>44256</c:v>
                </c:pt>
                <c:pt idx="59" formatCode="mmm\-yy">
                  <c:v>44348</c:v>
                </c:pt>
              </c:numCache>
            </c:numRef>
          </c:cat>
          <c:val>
            <c:numRef>
              <c:f>'Iron Ore - Prices'!$D$10:$D$69</c:f>
              <c:numCache>
                <c:formatCode>#,##0.00</c:formatCode>
                <c:ptCount val="60"/>
                <c:pt idx="0">
                  <c:v>47.176190476190477</c:v>
                </c:pt>
                <c:pt idx="1">
                  <c:v>50.5</c:v>
                </c:pt>
                <c:pt idx="2">
                  <c:v>47.861363636363627</c:v>
                </c:pt>
                <c:pt idx="3">
                  <c:v>50.38095238095238</c:v>
                </c:pt>
                <c:pt idx="4">
                  <c:v>61.536363636363632</c:v>
                </c:pt>
                <c:pt idx="5">
                  <c:v>68.63333333333334</c:v>
                </c:pt>
                <c:pt idx="6">
                  <c:v>69.307142857142878</c:v>
                </c:pt>
                <c:pt idx="7">
                  <c:v>75.545000000000016</c:v>
                </c:pt>
                <c:pt idx="8">
                  <c:v>74.952173913043495</c:v>
                </c:pt>
                <c:pt idx="9">
                  <c:v>58.965789473684204</c:v>
                </c:pt>
                <c:pt idx="10">
                  <c:v>50.225000000000001</c:v>
                </c:pt>
                <c:pt idx="11">
                  <c:v>45.293181818181822</c:v>
                </c:pt>
                <c:pt idx="12">
                  <c:v>52.666666666666664</c:v>
                </c:pt>
                <c:pt idx="13">
                  <c:v>60.260869565217398</c:v>
                </c:pt>
                <c:pt idx="14">
                  <c:v>56</c:v>
                </c:pt>
                <c:pt idx="15">
                  <c:v>47.377272727272732</c:v>
                </c:pt>
                <c:pt idx="16">
                  <c:v>50.06363636363637</c:v>
                </c:pt>
                <c:pt idx="17">
                  <c:v>56.327499999999986</c:v>
                </c:pt>
                <c:pt idx="18">
                  <c:v>60.745454545454542</c:v>
                </c:pt>
                <c:pt idx="19">
                  <c:v>63.022500000000015</c:v>
                </c:pt>
                <c:pt idx="20">
                  <c:v>57.180952380952377</c:v>
                </c:pt>
                <c:pt idx="21">
                  <c:v>52.554761904761897</c:v>
                </c:pt>
                <c:pt idx="22">
                  <c:v>53.952380952380949</c:v>
                </c:pt>
                <c:pt idx="23">
                  <c:v>53.440000000000012</c:v>
                </c:pt>
                <c:pt idx="24">
                  <c:v>53.854545454545452</c:v>
                </c:pt>
                <c:pt idx="25">
                  <c:v>55.31136363636363</c:v>
                </c:pt>
                <c:pt idx="26">
                  <c:v>55.739999999999988</c:v>
                </c:pt>
                <c:pt idx="27">
                  <c:v>59.869565217391312</c:v>
                </c:pt>
                <c:pt idx="28">
                  <c:v>63.24285714285714</c:v>
                </c:pt>
                <c:pt idx="29">
                  <c:v>61.082499999999996</c:v>
                </c:pt>
                <c:pt idx="30">
                  <c:v>66.879545454545465</c:v>
                </c:pt>
                <c:pt idx="31">
                  <c:v>77.888888888888914</c:v>
                </c:pt>
                <c:pt idx="32">
                  <c:v>76.754761904761907</c:v>
                </c:pt>
                <c:pt idx="33">
                  <c:v>84.511904761904773</c:v>
                </c:pt>
                <c:pt idx="34">
                  <c:v>91.092857142857142</c:v>
                </c:pt>
                <c:pt idx="35">
                  <c:v>101.44473684210527</c:v>
                </c:pt>
                <c:pt idx="36">
                  <c:v>110.76521739130432</c:v>
                </c:pt>
                <c:pt idx="37">
                  <c:v>80.765000000000015</c:v>
                </c:pt>
                <c:pt idx="38">
                  <c:v>80.635714285714286</c:v>
                </c:pt>
                <c:pt idx="39">
                  <c:v>78.600000000000009</c:v>
                </c:pt>
                <c:pt idx="40">
                  <c:v>74.190909090909102</c:v>
                </c:pt>
                <c:pt idx="41">
                  <c:v>79.739999999999995</c:v>
                </c:pt>
                <c:pt idx="42">
                  <c:v>79.595238095238102</c:v>
                </c:pt>
                <c:pt idx="43">
                  <c:v>74.595238095238102</c:v>
                </c:pt>
                <c:pt idx="44">
                  <c:v>77.736363636363649</c:v>
                </c:pt>
                <c:pt idx="45">
                  <c:v>73.719047619047601</c:v>
                </c:pt>
                <c:pt idx="46">
                  <c:v>80.594999999999999</c:v>
                </c:pt>
                <c:pt idx="47">
                  <c:v>90.297727272727272</c:v>
                </c:pt>
                <c:pt idx="48">
                  <c:v>95.263636363636365</c:v>
                </c:pt>
                <c:pt idx="49">
                  <c:v>108.63499999999999</c:v>
                </c:pt>
                <c:pt idx="50">
                  <c:v>112.57045454545454</c:v>
                </c:pt>
                <c:pt idx="51">
                  <c:v>109.5086956521739</c:v>
                </c:pt>
                <c:pt idx="52">
                  <c:v>113.83809523809499</c:v>
                </c:pt>
                <c:pt idx="53">
                  <c:v>142.4</c:v>
                </c:pt>
                <c:pt idx="54">
                  <c:v>155.02380952380952</c:v>
                </c:pt>
                <c:pt idx="55">
                  <c:v>152.72499999999999</c:v>
                </c:pt>
                <c:pt idx="56">
                  <c:v>152.57173913043479</c:v>
                </c:pt>
                <c:pt idx="57">
                  <c:v>158.73809523809521</c:v>
                </c:pt>
                <c:pt idx="58">
                  <c:v>178.91250000000002</c:v>
                </c:pt>
                <c:pt idx="59">
                  <c:v>184.411363636364</c:v>
                </c:pt>
              </c:numCache>
            </c:numRef>
          </c:val>
          <c:smooth val="0"/>
          <c:extLst>
            <c:ext xmlns:c16="http://schemas.microsoft.com/office/drawing/2014/chart" uri="{C3380CC4-5D6E-409C-BE32-E72D297353CC}">
              <c16:uniqueId val="{00000002-5602-4F8B-8ABB-96E33CFE038E}"/>
            </c:ext>
          </c:extLst>
        </c:ser>
        <c:ser>
          <c:idx val="3"/>
          <c:order val="3"/>
          <c:tx>
            <c:v>58% Fines CFR China A$/t</c:v>
          </c:tx>
          <c:spPr>
            <a:ln>
              <a:solidFill>
                <a:schemeClr val="accent3">
                  <a:lumMod val="75000"/>
                </a:schemeClr>
              </a:solidFill>
            </a:ln>
          </c:spPr>
          <c:marker>
            <c:symbol val="none"/>
          </c:marker>
          <c:cat>
            <c:numRef>
              <c:f>'Commodity Prices'!$AX$9:$AX$68</c:f>
              <c:numCache>
                <c:formatCode>General</c:formatCode>
                <c:ptCount val="60"/>
                <c:pt idx="2" formatCode="mmm\-yy">
                  <c:v>42614</c:v>
                </c:pt>
                <c:pt idx="5" formatCode="mmm\-yy">
                  <c:v>42705</c:v>
                </c:pt>
                <c:pt idx="8" formatCode="mmm\-yy">
                  <c:v>42795</c:v>
                </c:pt>
                <c:pt idx="11" formatCode="mmm\-yy">
                  <c:v>42887</c:v>
                </c:pt>
                <c:pt idx="14" formatCode="mmm\-yy">
                  <c:v>42979</c:v>
                </c:pt>
                <c:pt idx="17" formatCode="mmm\-yy">
                  <c:v>43070</c:v>
                </c:pt>
                <c:pt idx="20" formatCode="mmm\-yy">
                  <c:v>43160</c:v>
                </c:pt>
                <c:pt idx="23" formatCode="mmm\-yy">
                  <c:v>43252</c:v>
                </c:pt>
                <c:pt idx="26" formatCode="mmm\-yy">
                  <c:v>43344</c:v>
                </c:pt>
                <c:pt idx="29" formatCode="mmm\-yy">
                  <c:v>43435</c:v>
                </c:pt>
                <c:pt idx="32" formatCode="mmm\-yy">
                  <c:v>43525</c:v>
                </c:pt>
                <c:pt idx="35" formatCode="mmm\-yy">
                  <c:v>43617</c:v>
                </c:pt>
                <c:pt idx="38" formatCode="mmm\-yy">
                  <c:v>43709</c:v>
                </c:pt>
                <c:pt idx="41" formatCode="mmm\-yy">
                  <c:v>43800</c:v>
                </c:pt>
                <c:pt idx="44" formatCode="mmm\-yy">
                  <c:v>43891</c:v>
                </c:pt>
                <c:pt idx="47" formatCode="mmm\-yy">
                  <c:v>43983</c:v>
                </c:pt>
                <c:pt idx="50" formatCode="mmm\-yy">
                  <c:v>44075</c:v>
                </c:pt>
                <c:pt idx="53" formatCode="mmm\-yy">
                  <c:v>44166</c:v>
                </c:pt>
                <c:pt idx="56" formatCode="mmm\-yy">
                  <c:v>44256</c:v>
                </c:pt>
                <c:pt idx="59" formatCode="mmm\-yy">
                  <c:v>44348</c:v>
                </c:pt>
              </c:numCache>
            </c:numRef>
          </c:cat>
          <c:val>
            <c:numRef>
              <c:f>'Iron Ore - Prices'!$E$10:$E$69</c:f>
              <c:numCache>
                <c:formatCode>#,##0.00</c:formatCode>
                <c:ptCount val="60"/>
                <c:pt idx="0">
                  <c:v>62.71</c:v>
                </c:pt>
                <c:pt idx="1">
                  <c:v>66.209999999999994</c:v>
                </c:pt>
                <c:pt idx="2">
                  <c:v>62.97</c:v>
                </c:pt>
                <c:pt idx="3">
                  <c:v>66.150000000000006</c:v>
                </c:pt>
                <c:pt idx="4">
                  <c:v>82.56</c:v>
                </c:pt>
                <c:pt idx="5">
                  <c:v>94</c:v>
                </c:pt>
                <c:pt idx="6">
                  <c:v>93</c:v>
                </c:pt>
                <c:pt idx="7">
                  <c:v>99</c:v>
                </c:pt>
                <c:pt idx="8">
                  <c:v>98</c:v>
                </c:pt>
                <c:pt idx="9">
                  <c:v>78</c:v>
                </c:pt>
                <c:pt idx="10">
                  <c:v>67.630446476600312</c:v>
                </c:pt>
                <c:pt idx="11">
                  <c:v>59.960317460317455</c:v>
                </c:pt>
                <c:pt idx="12">
                  <c:v>67.482383087764262</c:v>
                </c:pt>
                <c:pt idx="13">
                  <c:v>76.200101061141993</c:v>
                </c:pt>
                <c:pt idx="14">
                  <c:v>69.925944521149745</c:v>
                </c:pt>
                <c:pt idx="15">
                  <c:v>60.793630409657126</c:v>
                </c:pt>
                <c:pt idx="16">
                  <c:v>65.669683851502043</c:v>
                </c:pt>
                <c:pt idx="17">
                  <c:v>73.633986928104576</c:v>
                </c:pt>
                <c:pt idx="18">
                  <c:v>76.347869800175943</c:v>
                </c:pt>
                <c:pt idx="19">
                  <c:v>80.045754956786979</c:v>
                </c:pt>
                <c:pt idx="20">
                  <c:v>73.695063796881044</c:v>
                </c:pt>
                <c:pt idx="21">
                  <c:v>68.397761291162311</c:v>
                </c:pt>
                <c:pt idx="22">
                  <c:v>71.665781083953249</c:v>
                </c:pt>
                <c:pt idx="23">
                  <c:v>71.338940061407015</c:v>
                </c:pt>
                <c:pt idx="24">
                  <c:v>72.721134368669809</c:v>
                </c:pt>
                <c:pt idx="25">
                  <c:v>75.416325416325407</c:v>
                </c:pt>
                <c:pt idx="26">
                  <c:v>77.373681288173231</c:v>
                </c:pt>
                <c:pt idx="27">
                  <c:v>84.300197127569689</c:v>
                </c:pt>
                <c:pt idx="28">
                  <c:v>87.239619257828664</c:v>
                </c:pt>
                <c:pt idx="29">
                  <c:v>85.191394244202286</c:v>
                </c:pt>
                <c:pt idx="30">
                  <c:v>93.525381065585236</c:v>
                </c:pt>
                <c:pt idx="31">
                  <c:v>109.12020173718129</c:v>
                </c:pt>
                <c:pt idx="32">
                  <c:v>108.35804037837075</c:v>
                </c:pt>
                <c:pt idx="33">
                  <c:v>118.82733408323959</c:v>
                </c:pt>
                <c:pt idx="34">
                  <c:v>131.17799539170508</c:v>
                </c:pt>
                <c:pt idx="35">
                  <c:v>145.99884858952217</c:v>
                </c:pt>
                <c:pt idx="36">
                  <c:v>158.71901418541339</c:v>
                </c:pt>
                <c:pt idx="37">
                  <c:v>119.35865228313877</c:v>
                </c:pt>
                <c:pt idx="38">
                  <c:v>117.41409435061153</c:v>
                </c:pt>
                <c:pt idx="39">
                  <c:v>116.99029126213593</c:v>
                </c:pt>
                <c:pt idx="40">
                  <c:v>110.67975388221505</c:v>
                </c:pt>
                <c:pt idx="41">
                  <c:v>117.07069240818699</c:v>
                </c:pt>
                <c:pt idx="42">
                  <c:v>116.01113262678632</c:v>
                </c:pt>
                <c:pt idx="43">
                  <c:v>111.92083735219521</c:v>
                </c:pt>
                <c:pt idx="44">
                  <c:v>125.07862210195276</c:v>
                </c:pt>
                <c:pt idx="45">
                  <c:v>116.81040662184694</c:v>
                </c:pt>
                <c:pt idx="46">
                  <c:v>123.64989260509358</c:v>
                </c:pt>
                <c:pt idx="47">
                  <c:v>130.82835014883696</c:v>
                </c:pt>
                <c:pt idx="48">
                  <c:v>135.41383989145183</c:v>
                </c:pt>
                <c:pt idx="49">
                  <c:v>150.86099152895432</c:v>
                </c:pt>
                <c:pt idx="50">
                  <c:v>155.76373951218284</c:v>
                </c:pt>
                <c:pt idx="51">
                  <c:v>153.71798940507284</c:v>
                </c:pt>
                <c:pt idx="52">
                  <c:v>156.32806267247321</c:v>
                </c:pt>
                <c:pt idx="53">
                  <c:v>188.90952507296365</c:v>
                </c:pt>
                <c:pt idx="54">
                  <c:v>200.73003952325459</c:v>
                </c:pt>
                <c:pt idx="55">
                  <c:v>196.93745970341715</c:v>
                </c:pt>
                <c:pt idx="56">
                  <c:v>197.99083717938595</c:v>
                </c:pt>
                <c:pt idx="57">
                  <c:v>206.0998380136266</c:v>
                </c:pt>
                <c:pt idx="58">
                  <c:v>230.5276381909548</c:v>
                </c:pt>
                <c:pt idx="59">
                  <c:v>241.40772828428328</c:v>
                </c:pt>
              </c:numCache>
            </c:numRef>
          </c:val>
          <c:smooth val="0"/>
          <c:extLst>
            <c:ext xmlns:c16="http://schemas.microsoft.com/office/drawing/2014/chart" uri="{C3380CC4-5D6E-409C-BE32-E72D297353CC}">
              <c16:uniqueId val="{00000003-5602-4F8B-8ABB-96E33CFE038E}"/>
            </c:ext>
          </c:extLst>
        </c:ser>
        <c:dLbls>
          <c:showLegendKey val="0"/>
          <c:showVal val="0"/>
          <c:showCatName val="0"/>
          <c:showSerName val="0"/>
          <c:showPercent val="0"/>
          <c:showBubbleSize val="0"/>
        </c:dLbls>
        <c:smooth val="0"/>
        <c:axId val="131174784"/>
        <c:axId val="131164800"/>
      </c:lineChart>
      <c:valAx>
        <c:axId val="131164800"/>
        <c:scaling>
          <c:orientation val="minMax"/>
        </c:scaling>
        <c:delete val="0"/>
        <c:axPos val="l"/>
        <c:majorGridlines/>
        <c:title>
          <c:tx>
            <c:rich>
              <a:bodyPr/>
              <a:lstStyle/>
              <a:p>
                <a:pPr>
                  <a:defRPr/>
                </a:pPr>
                <a:r>
                  <a:rPr lang="en-AU"/>
                  <a:t>$</a:t>
                </a:r>
                <a:r>
                  <a:rPr lang="en-AU" baseline="0"/>
                  <a:t> per </a:t>
                </a:r>
                <a:r>
                  <a:rPr lang="en-AU"/>
                  <a:t>tonne</a:t>
                </a:r>
              </a:p>
            </c:rich>
          </c:tx>
          <c:overlay val="0"/>
        </c:title>
        <c:numFmt formatCode="#,##0" sourceLinked="0"/>
        <c:majorTickMark val="out"/>
        <c:minorTickMark val="none"/>
        <c:tickLblPos val="nextTo"/>
        <c:crossAx val="131174784"/>
        <c:crosses val="autoZero"/>
        <c:crossBetween val="between"/>
      </c:valAx>
      <c:catAx>
        <c:axId val="131174784"/>
        <c:scaling>
          <c:orientation val="minMax"/>
        </c:scaling>
        <c:delete val="0"/>
        <c:axPos val="b"/>
        <c:title>
          <c:tx>
            <c:rich>
              <a:bodyPr/>
              <a:lstStyle/>
              <a:p>
                <a:pPr>
                  <a:defRPr/>
                </a:pPr>
                <a:r>
                  <a:rPr lang="en-AU"/>
                  <a:t>Source:</a:t>
                </a:r>
                <a:r>
                  <a:rPr lang="en-AU" baseline="0"/>
                  <a:t> Argus Metals and TSI</a:t>
                </a:r>
                <a:endParaRPr lang="en-AU"/>
              </a:p>
            </c:rich>
          </c:tx>
          <c:layout>
            <c:manualLayout>
              <c:xMode val="edge"/>
              <c:yMode val="edge"/>
              <c:x val="1.058748730884026E-2"/>
              <c:y val="0.95356965921428494"/>
            </c:manualLayout>
          </c:layout>
          <c:overlay val="0"/>
        </c:title>
        <c:numFmt formatCode="General" sourceLinked="1"/>
        <c:majorTickMark val="out"/>
        <c:minorTickMark val="none"/>
        <c:tickLblPos val="nextTo"/>
        <c:crossAx val="131164800"/>
        <c:crosses val="autoZero"/>
        <c:auto val="0"/>
        <c:lblAlgn val="ctr"/>
        <c:lblOffset val="100"/>
        <c:tickLblSkip val="2"/>
        <c:tickMarkSkip val="3"/>
        <c:noMultiLvlLbl val="1"/>
      </c:cat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strRef>
          <c:f>'Iron Ore - Exports'!$W$1</c:f>
          <c:strCache>
            <c:ptCount val="1"/>
            <c:pt idx="0">
              <c:v>Iron Ore Exports 2020-21
Total Value: $150,156,019,000</c:v>
            </c:pt>
          </c:strCache>
        </c:strRef>
      </c:tx>
      <c:layout>
        <c:manualLayout>
          <c:xMode val="edge"/>
          <c:yMode val="edge"/>
          <c:x val="0.27136186673009277"/>
          <c:y val="2.1960784313725491E-2"/>
        </c:manualLayout>
      </c:layout>
      <c:overlay val="0"/>
    </c:title>
    <c:autoTitleDeleted val="0"/>
    <c:plotArea>
      <c:layout>
        <c:manualLayout>
          <c:layoutTarget val="inner"/>
          <c:xMode val="edge"/>
          <c:yMode val="edge"/>
          <c:x val="0.27751052581066477"/>
          <c:y val="0.21545783192195317"/>
          <c:w val="0.44497894837867047"/>
          <c:h val="0.66012207200515027"/>
        </c:manualLayout>
      </c:layout>
      <c:pieChart>
        <c:varyColors val="1"/>
        <c:ser>
          <c:idx val="0"/>
          <c:order val="0"/>
          <c:tx>
            <c:v>Exports</c:v>
          </c:tx>
          <c:dPt>
            <c:idx val="0"/>
            <c:bubble3D val="0"/>
            <c:extLst>
              <c:ext xmlns:c16="http://schemas.microsoft.com/office/drawing/2014/chart" uri="{C3380CC4-5D6E-409C-BE32-E72D297353CC}">
                <c16:uniqueId val="{00000000-0A70-4ACE-9B88-BBE6D33169FE}"/>
              </c:ext>
            </c:extLst>
          </c:dPt>
          <c:dPt>
            <c:idx val="1"/>
            <c:bubble3D val="0"/>
            <c:extLst>
              <c:ext xmlns:c16="http://schemas.microsoft.com/office/drawing/2014/chart" uri="{C3380CC4-5D6E-409C-BE32-E72D297353CC}">
                <c16:uniqueId val="{00000001-0A70-4ACE-9B88-BBE6D33169FE}"/>
              </c:ext>
            </c:extLst>
          </c:dPt>
          <c:dPt>
            <c:idx val="2"/>
            <c:bubble3D val="0"/>
            <c:extLst>
              <c:ext xmlns:c16="http://schemas.microsoft.com/office/drawing/2014/chart" uri="{C3380CC4-5D6E-409C-BE32-E72D297353CC}">
                <c16:uniqueId val="{00000002-0A70-4ACE-9B88-BBE6D33169FE}"/>
              </c:ext>
            </c:extLst>
          </c:dPt>
          <c:dPt>
            <c:idx val="3"/>
            <c:bubble3D val="0"/>
            <c:extLst>
              <c:ext xmlns:c16="http://schemas.microsoft.com/office/drawing/2014/chart" uri="{C3380CC4-5D6E-409C-BE32-E72D297353CC}">
                <c16:uniqueId val="{00000003-0A70-4ACE-9B88-BBE6D33169FE}"/>
              </c:ext>
            </c:extLst>
          </c:dPt>
          <c:dPt>
            <c:idx val="4"/>
            <c:bubble3D val="0"/>
            <c:extLst>
              <c:ext xmlns:c16="http://schemas.microsoft.com/office/drawing/2014/chart" uri="{C3380CC4-5D6E-409C-BE32-E72D297353CC}">
                <c16:uniqueId val="{00000004-0A70-4ACE-9B88-BBE6D33169FE}"/>
              </c:ext>
            </c:extLst>
          </c:dPt>
          <c:dPt>
            <c:idx val="5"/>
            <c:bubble3D val="0"/>
            <c:extLst>
              <c:ext xmlns:c16="http://schemas.microsoft.com/office/drawing/2014/chart" uri="{C3380CC4-5D6E-409C-BE32-E72D297353CC}">
                <c16:uniqueId val="{00000005-0A70-4ACE-9B88-BBE6D33169FE}"/>
              </c:ext>
            </c:extLst>
          </c:dPt>
          <c:dPt>
            <c:idx val="6"/>
            <c:bubble3D val="0"/>
            <c:extLst>
              <c:ext xmlns:c16="http://schemas.microsoft.com/office/drawing/2014/chart" uri="{C3380CC4-5D6E-409C-BE32-E72D297353CC}">
                <c16:uniqueId val="{00000006-0A70-4ACE-9B88-BBE6D33169FE}"/>
              </c:ext>
            </c:extLst>
          </c:dPt>
          <c:dPt>
            <c:idx val="7"/>
            <c:bubble3D val="0"/>
            <c:extLst>
              <c:ext xmlns:c16="http://schemas.microsoft.com/office/drawing/2014/chart" uri="{C3380CC4-5D6E-409C-BE32-E72D297353CC}">
                <c16:uniqueId val="{00000007-0A70-4ACE-9B88-BBE6D33169FE}"/>
              </c:ext>
            </c:extLst>
          </c:dPt>
          <c:dPt>
            <c:idx val="8"/>
            <c:bubble3D val="0"/>
            <c:extLst>
              <c:ext xmlns:c16="http://schemas.microsoft.com/office/drawing/2014/chart" uri="{C3380CC4-5D6E-409C-BE32-E72D297353CC}">
                <c16:uniqueId val="{00000008-0A70-4ACE-9B88-BBE6D33169FE}"/>
              </c:ext>
            </c:extLst>
          </c:dPt>
          <c:dPt>
            <c:idx val="9"/>
            <c:bubble3D val="0"/>
            <c:extLst>
              <c:ext xmlns:c16="http://schemas.microsoft.com/office/drawing/2014/chart" uri="{C3380CC4-5D6E-409C-BE32-E72D297353CC}">
                <c16:uniqueId val="{00000009-0A70-4ACE-9B88-BBE6D33169FE}"/>
              </c:ext>
            </c:extLst>
          </c:dPt>
          <c:dPt>
            <c:idx val="10"/>
            <c:bubble3D val="0"/>
            <c:extLst>
              <c:ext xmlns:c16="http://schemas.microsoft.com/office/drawing/2014/chart" uri="{C3380CC4-5D6E-409C-BE32-E72D297353CC}">
                <c16:uniqueId val="{0000000A-0A70-4ACE-9B88-BBE6D33169FE}"/>
              </c:ext>
            </c:extLst>
          </c:dPt>
          <c:dLbls>
            <c:dLbl>
              <c:idx val="0"/>
              <c:layout>
                <c:manualLayout>
                  <c:x val="-4.2493646958677085E-2"/>
                  <c:y val="-8.26878126083296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70-4ACE-9B88-BBE6D33169FE}"/>
                </c:ext>
              </c:extLst>
            </c:dLbl>
            <c:dLbl>
              <c:idx val="1"/>
              <c:layout>
                <c:manualLayout>
                  <c:x val="8.7484112180730988E-2"/>
                  <c:y val="-2.91338582677165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70-4ACE-9B88-BBE6D33169FE}"/>
                </c:ext>
              </c:extLst>
            </c:dLbl>
            <c:dLbl>
              <c:idx val="2"/>
              <c:layout>
                <c:manualLayout>
                  <c:x val="6.2585197518036789E-2"/>
                  <c:y val="-8.864210369930174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70-4ACE-9B88-BBE6D33169FE}"/>
                </c:ext>
              </c:extLst>
            </c:dLbl>
            <c:dLbl>
              <c:idx val="3"/>
              <c:layout>
                <c:manualLayout>
                  <c:x val="0.12380272815659568"/>
                  <c:y val="6.9875699499826675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70-4ACE-9B88-BBE6D33169FE}"/>
                </c:ext>
              </c:extLst>
            </c:dLbl>
            <c:dLbl>
              <c:idx val="4"/>
              <c:layout>
                <c:manualLayout>
                  <c:x val="9.8638425363761162E-2"/>
                  <c:y val="3.5528199820092914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016428192898781"/>
                      <c:h val="0.16716744913928014"/>
                    </c:manualLayout>
                  </c15:layout>
                </c:ext>
                <c:ext xmlns:c16="http://schemas.microsoft.com/office/drawing/2014/chart" uri="{C3380CC4-5D6E-409C-BE32-E72D297353CC}">
                  <c16:uniqueId val="{00000004-0A70-4ACE-9B88-BBE6D33169FE}"/>
                </c:ext>
              </c:extLst>
            </c:dLbl>
            <c:dLbl>
              <c:idx val="5"/>
              <c:layout>
                <c:manualLayout>
                  <c:x val="3.6244674503126714E-3"/>
                  <c:y val="0.1058807437802668"/>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70-4ACE-9B88-BBE6D33169F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'Iron Ore - Exports'!$A$10:$A$15</c:f>
              <c:strCache>
                <c:ptCount val="6"/>
                <c:pt idx="0">
                  <c:v>China</c:v>
                </c:pt>
                <c:pt idx="1">
                  <c:v>Japan</c:v>
                </c:pt>
                <c:pt idx="2">
                  <c:v>Korea, Republic of</c:v>
                </c:pt>
                <c:pt idx="3">
                  <c:v>Singapore</c:v>
                </c:pt>
                <c:pt idx="4">
                  <c:v>Hong Kong (SAR of China)</c:v>
                </c:pt>
                <c:pt idx="5">
                  <c:v>Other</c:v>
                </c:pt>
              </c:strCache>
            </c:strRef>
          </c:cat>
          <c:val>
            <c:numRef>
              <c:f>'Iron Ore - Exports'!$D$10:$D$15</c:f>
              <c:numCache>
                <c:formatCode>0.0%</c:formatCode>
                <c:ptCount val="6"/>
                <c:pt idx="0">
                  <c:v>0.81685193718408322</c:v>
                </c:pt>
                <c:pt idx="1">
                  <c:v>5.9305528072104791E-2</c:v>
                </c:pt>
                <c:pt idx="2">
                  <c:v>5.7421774081530493E-2</c:v>
                </c:pt>
                <c:pt idx="3">
                  <c:v>3.4158291050590518E-2</c:v>
                </c:pt>
                <c:pt idx="4">
                  <c:v>2.5437368581275453E-2</c:v>
                </c:pt>
                <c:pt idx="5">
                  <c:v>6.8251010304155703E-3</c:v>
                </c:pt>
              </c:numCache>
            </c:numRef>
          </c:val>
          <c:extLst>
            <c:ext xmlns:c16="http://schemas.microsoft.com/office/drawing/2014/chart" uri="{C3380CC4-5D6E-409C-BE32-E72D297353CC}">
              <c16:uniqueId val="{0000000B-0A70-4ACE-9B88-BBE6D33169FE}"/>
            </c:ext>
          </c:extLst>
        </c:ser>
        <c:dLbls>
          <c:showLegendKey val="0"/>
          <c:showVal val="1"/>
          <c:showCatName val="1"/>
          <c:showSerName val="0"/>
          <c:showPercent val="0"/>
          <c:showBubbleSize val="0"/>
          <c:showLeaderLines val="1"/>
        </c:dLbls>
        <c:firstSliceAng val="135"/>
      </c:pieChart>
    </c:plotArea>
    <c:plotVisOnly val="1"/>
    <c:dispBlanksAs val="gap"/>
    <c:showDLblsOverMax val="0"/>
  </c:chart>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br>
              <a:rPr lang="en-AU"/>
            </a:br>
            <a:r>
              <a:rPr lang="en-AU" sz="1100"/>
              <a:t>Western Australia vs Rest of Australia</a:t>
            </a:r>
          </a:p>
        </c:rich>
      </c:tx>
      <c:layout>
        <c:manualLayout>
          <c:xMode val="edge"/>
          <c:yMode val="edge"/>
          <c:x val="0.35468054820784511"/>
          <c:y val="3.7221056945985806E-2"/>
        </c:manualLayout>
      </c:layout>
      <c:overlay val="0"/>
    </c:title>
    <c:autoTitleDeleted val="0"/>
    <c:plotArea>
      <c:layout>
        <c:manualLayout>
          <c:layoutTarget val="inner"/>
          <c:xMode val="edge"/>
          <c:yMode val="edge"/>
          <c:x val="9.4604368327705232E-2"/>
          <c:y val="0.25900505993451844"/>
          <c:w val="0.85154134417309546"/>
          <c:h val="0.57949828045542451"/>
        </c:manualLayout>
      </c:layout>
      <c:barChart>
        <c:barDir val="col"/>
        <c:grouping val="stacked"/>
        <c:varyColors val="0"/>
        <c:ser>
          <c:idx val="0"/>
          <c:order val="0"/>
          <c:tx>
            <c:strRef>
              <c:f>'Iron Ore - WA vs Australia'!$B$6</c:f>
              <c:strCache>
                <c:ptCount val="1"/>
                <c:pt idx="0">
                  <c:v>Western Australia (Mt)</c:v>
                </c:pt>
              </c:strCache>
            </c:strRef>
          </c:tx>
          <c:invertIfNegative val="0"/>
          <c:cat>
            <c:numRef>
              <c:f>'Iron Ore - WA vs Australia'!$A$7:$A$77</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'Iron Ore - WA vs Australia'!$B$7:$B$77</c:f>
              <c:numCache>
                <c:formatCode>#,##0.00</c:formatCode>
                <c:ptCount val="71"/>
                <c:pt idx="0">
                  <c:v>1.513401E-2</c:v>
                </c:pt>
                <c:pt idx="1">
                  <c:v>3.6224089999999994E-2</c:v>
                </c:pt>
                <c:pt idx="2">
                  <c:v>0.227379</c:v>
                </c:pt>
                <c:pt idx="3">
                  <c:v>0.71873390000000004</c:v>
                </c:pt>
                <c:pt idx="4">
                  <c:v>0.66220210000000002</c:v>
                </c:pt>
                <c:pt idx="5">
                  <c:v>0.53711259999999994</c:v>
                </c:pt>
                <c:pt idx="6">
                  <c:v>0.34229590000000004</c:v>
                </c:pt>
                <c:pt idx="7">
                  <c:v>0.42291509999999999</c:v>
                </c:pt>
                <c:pt idx="8">
                  <c:v>0.58212140000000001</c:v>
                </c:pt>
                <c:pt idx="9">
                  <c:v>0.73875109999999999</c:v>
                </c:pt>
                <c:pt idx="10">
                  <c:v>0.94336149999999996</c:v>
                </c:pt>
                <c:pt idx="11">
                  <c:v>1.381364</c:v>
                </c:pt>
                <c:pt idx="12">
                  <c:v>1.4537100000000001</c:v>
                </c:pt>
                <c:pt idx="13">
                  <c:v>1.35453</c:v>
                </c:pt>
                <c:pt idx="14">
                  <c:v>1.3795010000000001</c:v>
                </c:pt>
                <c:pt idx="15">
                  <c:v>2.2768980000000001</c:v>
                </c:pt>
                <c:pt idx="16">
                  <c:v>4.2331849999999998</c:v>
                </c:pt>
                <c:pt idx="17">
                  <c:v>10.13655</c:v>
                </c:pt>
                <c:pt idx="18">
                  <c:v>23.25123</c:v>
                </c:pt>
                <c:pt idx="19">
                  <c:v>25.077760000000001</c:v>
                </c:pt>
                <c:pt idx="20">
                  <c:v>43.188070000000003</c:v>
                </c:pt>
                <c:pt idx="21">
                  <c:v>52.025660000000002</c:v>
                </c:pt>
                <c:pt idx="22">
                  <c:v>56.121499999999997</c:v>
                </c:pt>
                <c:pt idx="23">
                  <c:v>75.896479999999997</c:v>
                </c:pt>
                <c:pt idx="24">
                  <c:v>87.000810000000001</c:v>
                </c:pt>
                <c:pt idx="25">
                  <c:v>85.190029999999993</c:v>
                </c:pt>
                <c:pt idx="26">
                  <c:v>85.572789999999998</c:v>
                </c:pt>
                <c:pt idx="27">
                  <c:v>83.517189999999999</c:v>
                </c:pt>
                <c:pt idx="28">
                  <c:v>82.498580000000004</c:v>
                </c:pt>
                <c:pt idx="29">
                  <c:v>85.171980000000005</c:v>
                </c:pt>
                <c:pt idx="30">
                  <c:v>84.971620000000001</c:v>
                </c:pt>
                <c:pt idx="31">
                  <c:v>75.302639999999997</c:v>
                </c:pt>
                <c:pt idx="32">
                  <c:v>78.182389999999998</c:v>
                </c:pt>
                <c:pt idx="33">
                  <c:v>74.983540000000005</c:v>
                </c:pt>
                <c:pt idx="34">
                  <c:v>90.907129999999995</c:v>
                </c:pt>
                <c:pt idx="35">
                  <c:v>88.768079999999998</c:v>
                </c:pt>
                <c:pt idx="36">
                  <c:v>81.290940000000006</c:v>
                </c:pt>
                <c:pt idx="37">
                  <c:v>89.122739999999993</c:v>
                </c:pt>
                <c:pt idx="38">
                  <c:v>98.319090000000003</c:v>
                </c:pt>
                <c:pt idx="39">
                  <c:v>106</c:v>
                </c:pt>
                <c:pt idx="40">
                  <c:v>105</c:v>
                </c:pt>
                <c:pt idx="41">
                  <c:v>113.687</c:v>
                </c:pt>
                <c:pt idx="42">
                  <c:v>108</c:v>
                </c:pt>
                <c:pt idx="43">
                  <c:v>116</c:v>
                </c:pt>
                <c:pt idx="44">
                  <c:v>124.172</c:v>
                </c:pt>
                <c:pt idx="45">
                  <c:v>135.9659</c:v>
                </c:pt>
                <c:pt idx="46">
                  <c:v>133.651298</c:v>
                </c:pt>
                <c:pt idx="47">
                  <c:v>151.718593</c:v>
                </c:pt>
                <c:pt idx="48">
                  <c:v>143.75200000000001</c:v>
                </c:pt>
                <c:pt idx="49">
                  <c:v>143.006</c:v>
                </c:pt>
                <c:pt idx="50">
                  <c:v>158.86599999999999</c:v>
                </c:pt>
                <c:pt idx="51">
                  <c:v>166.01499999999999</c:v>
                </c:pt>
                <c:pt idx="52">
                  <c:v>171.767</c:v>
                </c:pt>
                <c:pt idx="53">
                  <c:v>194.59400316</c:v>
                </c:pt>
                <c:pt idx="54">
                  <c:v>213.53162907000001</c:v>
                </c:pt>
                <c:pt idx="55">
                  <c:v>240.50167369000002</c:v>
                </c:pt>
                <c:pt idx="56">
                  <c:v>250.325766362</c:v>
                </c:pt>
                <c:pt idx="57">
                  <c:v>264.44915205099994</c:v>
                </c:pt>
                <c:pt idx="58">
                  <c:v>305.88447268200002</c:v>
                </c:pt>
                <c:pt idx="59">
                  <c:v>356.06964630899995</c:v>
                </c:pt>
                <c:pt idx="60">
                  <c:v>393.85115706600004</c:v>
                </c:pt>
                <c:pt idx="61">
                  <c:v>426.67287969500001</c:v>
                </c:pt>
                <c:pt idx="62">
                  <c:v>478.32621689000001</c:v>
                </c:pt>
                <c:pt idx="63">
                  <c:v>554.93783338100002</c:v>
                </c:pt>
                <c:pt idx="64">
                  <c:v>686.23425861200008</c:v>
                </c:pt>
                <c:pt idx="65">
                  <c:v>742.39410678800004</c:v>
                </c:pt>
                <c:pt idx="66">
                  <c:v>769.27752114500004</c:v>
                </c:pt>
                <c:pt idx="67">
                  <c:v>814.119534714</c:v>
                </c:pt>
                <c:pt idx="68">
                  <c:v>813.57782015700002</c:v>
                </c:pt>
                <c:pt idx="69">
                  <c:v>807.36623009499999</c:v>
                </c:pt>
                <c:pt idx="70">
                  <c:v>847.21186166400003</c:v>
                </c:pt>
              </c:numCache>
            </c:numRef>
          </c:val>
          <c:extLst>
            <c:ext xmlns:c16="http://schemas.microsoft.com/office/drawing/2014/chart" uri="{C3380CC4-5D6E-409C-BE32-E72D297353CC}">
              <c16:uniqueId val="{00000000-E376-493C-8972-340C0178EA88}"/>
            </c:ext>
          </c:extLst>
        </c:ser>
        <c:ser>
          <c:idx val="1"/>
          <c:order val="1"/>
          <c:tx>
            <c:strRef>
              <c:f>'Iron Ore - WA vs Australia'!$C$6</c:f>
              <c:strCache>
                <c:ptCount val="1"/>
                <c:pt idx="0">
                  <c:v>Rest of Australia (Mt)</c:v>
                </c:pt>
              </c:strCache>
            </c:strRef>
          </c:tx>
          <c:invertIfNegative val="0"/>
          <c:cat>
            <c:numRef>
              <c:f>'Iron Ore - WA vs Australia'!$A$7:$A$77</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'Iron Ore - WA vs Australia'!$C$7:$C$77</c:f>
              <c:numCache>
                <c:formatCode>#,##0.00</c:formatCode>
                <c:ptCount val="71"/>
                <c:pt idx="0">
                  <c:v>2.403181</c:v>
                </c:pt>
                <c:pt idx="1">
                  <c:v>2.4560900000000001</c:v>
                </c:pt>
                <c:pt idx="2">
                  <c:v>2.7460460000000002</c:v>
                </c:pt>
                <c:pt idx="3">
                  <c:v>2.644549</c:v>
                </c:pt>
                <c:pt idx="4">
                  <c:v>2.9250180000000001</c:v>
                </c:pt>
                <c:pt idx="5">
                  <c:v>3.1059420000000002</c:v>
                </c:pt>
                <c:pt idx="6">
                  <c:v>3.6605099999999999</c:v>
                </c:pt>
                <c:pt idx="7">
                  <c:v>3.458961</c:v>
                </c:pt>
                <c:pt idx="8">
                  <c:v>3.4155190000000002</c:v>
                </c:pt>
                <c:pt idx="9">
                  <c:v>3.492232</c:v>
                </c:pt>
                <c:pt idx="10">
                  <c:v>3.5111849999999998</c:v>
                </c:pt>
                <c:pt idx="11">
                  <c:v>4.0803659999999997</c:v>
                </c:pt>
                <c:pt idx="12">
                  <c:v>3.593019</c:v>
                </c:pt>
                <c:pt idx="13">
                  <c:v>4.3329839999999997</c:v>
                </c:pt>
                <c:pt idx="14">
                  <c:v>4.4646119999999998</c:v>
                </c:pt>
                <c:pt idx="15">
                  <c:v>4.5258060000000002</c:v>
                </c:pt>
                <c:pt idx="16">
                  <c:v>6.8346090000000004</c:v>
                </c:pt>
                <c:pt idx="17">
                  <c:v>7.0214290000000004</c:v>
                </c:pt>
                <c:pt idx="18">
                  <c:v>3.3736510000000002</c:v>
                </c:pt>
                <c:pt idx="19">
                  <c:v>13.497769999999999</c:v>
                </c:pt>
                <c:pt idx="20">
                  <c:v>8.0000599999999995</c:v>
                </c:pt>
                <c:pt idx="21">
                  <c:v>10.037330000000001</c:v>
                </c:pt>
                <c:pt idx="22">
                  <c:v>8.2794930000000004</c:v>
                </c:pt>
                <c:pt idx="23">
                  <c:v>8.9315189999999998</c:v>
                </c:pt>
                <c:pt idx="24">
                  <c:v>9.9491879999999995</c:v>
                </c:pt>
                <c:pt idx="25">
                  <c:v>12.46097</c:v>
                </c:pt>
                <c:pt idx="26">
                  <c:v>7.682334</c:v>
                </c:pt>
                <c:pt idx="27">
                  <c:v>12.406219999999999</c:v>
                </c:pt>
                <c:pt idx="28">
                  <c:v>10.635450000000001</c:v>
                </c:pt>
                <c:pt idx="29">
                  <c:v>6.5450290000000004</c:v>
                </c:pt>
                <c:pt idx="30">
                  <c:v>10.562340000000001</c:v>
                </c:pt>
                <c:pt idx="31">
                  <c:v>9.358727</c:v>
                </c:pt>
                <c:pt idx="32">
                  <c:v>9.5113850000000006</c:v>
                </c:pt>
                <c:pt idx="33">
                  <c:v>6.0537559999999999</c:v>
                </c:pt>
                <c:pt idx="34">
                  <c:v>4.13896</c:v>
                </c:pt>
                <c:pt idx="35">
                  <c:v>8.7090270000000007</c:v>
                </c:pt>
                <c:pt idx="36">
                  <c:v>1.2723880000000001</c:v>
                </c:pt>
                <c:pt idx="37">
                  <c:v>1.25919</c:v>
                </c:pt>
                <c:pt idx="38">
                  <c:v>1.6129899999999999</c:v>
                </c:pt>
                <c:pt idx="39">
                  <c:v>4.5</c:v>
                </c:pt>
                <c:pt idx="40">
                  <c:v>6.3490000000000002</c:v>
                </c:pt>
                <c:pt idx="41">
                  <c:v>3.4470000000000001</c:v>
                </c:pt>
                <c:pt idx="42">
                  <c:v>3.9369999999999998</c:v>
                </c:pt>
                <c:pt idx="43">
                  <c:v>4.1459999999999999</c:v>
                </c:pt>
                <c:pt idx="44">
                  <c:v>4.2309999999999999</c:v>
                </c:pt>
                <c:pt idx="45">
                  <c:v>6.9700949999999997</c:v>
                </c:pt>
                <c:pt idx="46">
                  <c:v>4.2309999999999901</c:v>
                </c:pt>
                <c:pt idx="47">
                  <c:v>6.05</c:v>
                </c:pt>
                <c:pt idx="48">
                  <c:v>9.49</c:v>
                </c:pt>
                <c:pt idx="49">
                  <c:v>8.5527019999999823</c:v>
                </c:pt>
                <c:pt idx="50">
                  <c:v>4.9779999999999998</c:v>
                </c:pt>
                <c:pt idx="51">
                  <c:v>5.202</c:v>
                </c:pt>
                <c:pt idx="52">
                  <c:v>5.202</c:v>
                </c:pt>
                <c:pt idx="53">
                  <c:v>5.7729999999999997</c:v>
                </c:pt>
                <c:pt idx="54">
                  <c:v>5.6210000000000004</c:v>
                </c:pt>
                <c:pt idx="55">
                  <c:v>5.508</c:v>
                </c:pt>
                <c:pt idx="56">
                  <c:v>5.5949999999999998</c:v>
                </c:pt>
                <c:pt idx="57">
                  <c:v>9.2279999999999998</c:v>
                </c:pt>
                <c:pt idx="58">
                  <c:v>11.244000000000002</c:v>
                </c:pt>
                <c:pt idx="59">
                  <c:v>12.558</c:v>
                </c:pt>
                <c:pt idx="60">
                  <c:v>13.754</c:v>
                </c:pt>
                <c:pt idx="61">
                  <c:v>14.381</c:v>
                </c:pt>
                <c:pt idx="62">
                  <c:v>14.849</c:v>
                </c:pt>
                <c:pt idx="63">
                  <c:v>16.393000000000001</c:v>
                </c:pt>
                <c:pt idx="64">
                  <c:v>15.496</c:v>
                </c:pt>
                <c:pt idx="65">
                  <c:v>12.045</c:v>
                </c:pt>
                <c:pt idx="66">
                  <c:v>11.536</c:v>
                </c:pt>
                <c:pt idx="67">
                  <c:v>8.06</c:v>
                </c:pt>
                <c:pt idx="68">
                  <c:v>7.3959999999999999</c:v>
                </c:pt>
                <c:pt idx="69">
                  <c:v>8.0009999999999994</c:v>
                </c:pt>
                <c:pt idx="70">
                  <c:v>8.3030000000000008</c:v>
                </c:pt>
              </c:numCache>
            </c:numRef>
          </c:val>
          <c:extLst>
            <c:ext xmlns:c16="http://schemas.microsoft.com/office/drawing/2014/chart" uri="{C3380CC4-5D6E-409C-BE32-E72D297353CC}">
              <c16:uniqueId val="{00000001-E376-493C-8972-340C0178EA88}"/>
            </c:ext>
          </c:extLst>
        </c:ser>
        <c:dLbls>
          <c:showLegendKey val="0"/>
          <c:showVal val="0"/>
          <c:showCatName val="0"/>
          <c:showSerName val="0"/>
          <c:showPercent val="0"/>
          <c:showBubbleSize val="0"/>
        </c:dLbls>
        <c:gapWidth val="60"/>
        <c:overlap val="100"/>
        <c:axId val="130864640"/>
        <c:axId val="130866176"/>
      </c:barChart>
      <c:dateAx>
        <c:axId val="13086464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866176"/>
        <c:crosses val="autoZero"/>
        <c:auto val="0"/>
        <c:lblOffset val="100"/>
        <c:baseTimeUnit val="days"/>
        <c:majorUnit val="2"/>
        <c:majorTimeUnit val="days"/>
      </c:dateAx>
      <c:valAx>
        <c:axId val="130866176"/>
        <c:scaling>
          <c:orientation val="minMax"/>
        </c:scaling>
        <c:delete val="0"/>
        <c:axPos val="l"/>
        <c:majorGridlines/>
        <c:title>
          <c:tx>
            <c:rich>
              <a:bodyPr rot="-5400000" vert="horz"/>
              <a:lstStyle/>
              <a:p>
                <a:pPr>
                  <a:defRPr/>
                </a:pPr>
                <a:r>
                  <a:rPr lang="en-AU"/>
                  <a:t>Million tonnes</a:t>
                </a:r>
              </a:p>
            </c:rich>
          </c:tx>
          <c:layout>
            <c:manualLayout>
              <c:xMode val="edge"/>
              <c:yMode val="edge"/>
              <c:x val="7.8266278894163262E-3"/>
              <c:y val="0.44912393375357934"/>
            </c:manualLayout>
          </c:layout>
          <c:overlay val="0"/>
        </c:title>
        <c:numFmt formatCode="0" sourceLinked="0"/>
        <c:majorTickMark val="out"/>
        <c:minorTickMark val="none"/>
        <c:tickLblPos val="nextTo"/>
        <c:txPr>
          <a:bodyPr rot="0" vert="horz"/>
          <a:lstStyle/>
          <a:p>
            <a:pPr>
              <a:defRPr/>
            </a:pPr>
            <a:endParaRPr lang="en-US"/>
          </a:p>
        </c:txPr>
        <c:crossAx val="130864640"/>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Western Australia vs Rest of Australia</a:t>
            </a:r>
          </a:p>
          <a:p>
            <a:pPr>
              <a:defRPr/>
            </a:pPr>
            <a:r>
              <a:rPr lang="en-AU" sz="1100"/>
              <a:t>Past 10 Years</a:t>
            </a:r>
          </a:p>
        </c:rich>
      </c:tx>
      <c:layout>
        <c:manualLayout>
          <c:xMode val="edge"/>
          <c:yMode val="edge"/>
          <c:x val="0.35734434490875011"/>
          <c:y val="2.5012390438394004E-2"/>
        </c:manualLayout>
      </c:layout>
      <c:overlay val="0"/>
    </c:title>
    <c:autoTitleDeleted val="0"/>
    <c:plotArea>
      <c:layout>
        <c:manualLayout>
          <c:layoutTarget val="inner"/>
          <c:xMode val="edge"/>
          <c:yMode val="edge"/>
          <c:x val="0.11131812925752956"/>
          <c:y val="0.36321509432105931"/>
          <c:w val="0.86980156351108306"/>
          <c:h val="0.49130947564156646"/>
        </c:manualLayout>
      </c:layout>
      <c:lineChart>
        <c:grouping val="standard"/>
        <c:varyColors val="0"/>
        <c:ser>
          <c:idx val="0"/>
          <c:order val="0"/>
          <c:tx>
            <c:strRef>
              <c:f>'Iron Ore - WA vs Australia'!$F$47</c:f>
              <c:strCache>
                <c:ptCount val="1"/>
                <c:pt idx="0">
                  <c:v>Western Australia (Mt)</c:v>
                </c:pt>
              </c:strCache>
            </c:strRef>
          </c:tx>
          <c:cat>
            <c:numRef>
              <c:f>'Iron Ore - WA vs Australia'!$E$48:$E$57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'Iron Ore - WA vs Australia'!$F$48:$F$57</c:f>
              <c:numCache>
                <c:formatCode>0.00</c:formatCode>
                <c:ptCount val="10"/>
                <c:pt idx="0">
                  <c:v>426.67287969500001</c:v>
                </c:pt>
                <c:pt idx="1">
                  <c:v>478.32621689000001</c:v>
                </c:pt>
                <c:pt idx="2">
                  <c:v>554.93783338100002</c:v>
                </c:pt>
                <c:pt idx="3">
                  <c:v>686.23425861200008</c:v>
                </c:pt>
                <c:pt idx="4">
                  <c:v>742.39410678800004</c:v>
                </c:pt>
                <c:pt idx="5">
                  <c:v>769.27752114500004</c:v>
                </c:pt>
                <c:pt idx="6">
                  <c:v>814.119534714</c:v>
                </c:pt>
                <c:pt idx="7">
                  <c:v>813.57782015700002</c:v>
                </c:pt>
                <c:pt idx="8">
                  <c:v>807.36623009499999</c:v>
                </c:pt>
                <c:pt idx="9">
                  <c:v>847.21186166400003</c:v>
                </c:pt>
              </c:numCache>
            </c:numRef>
          </c:val>
          <c:smooth val="0"/>
          <c:extLst>
            <c:ext xmlns:c16="http://schemas.microsoft.com/office/drawing/2014/chart" uri="{C3380CC4-5D6E-409C-BE32-E72D297353CC}">
              <c16:uniqueId val="{00000000-61F0-469A-B468-30EBFCC42890}"/>
            </c:ext>
          </c:extLst>
        </c:ser>
        <c:ser>
          <c:idx val="1"/>
          <c:order val="1"/>
          <c:tx>
            <c:strRef>
              <c:f>'Iron Ore - WA vs Australia'!$G$47</c:f>
              <c:strCache>
                <c:ptCount val="1"/>
                <c:pt idx="0">
                  <c:v>Rest of Australia (Mt)</c:v>
                </c:pt>
              </c:strCache>
            </c:strRef>
          </c:tx>
          <c:cat>
            <c:numRef>
              <c:f>'Iron Ore - WA vs Australia'!$E$48:$E$57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'Iron Ore - WA vs Australia'!$G$48:$G$57</c:f>
              <c:numCache>
                <c:formatCode>0.00</c:formatCode>
                <c:ptCount val="10"/>
                <c:pt idx="0">
                  <c:v>14.381</c:v>
                </c:pt>
                <c:pt idx="1">
                  <c:v>14.849</c:v>
                </c:pt>
                <c:pt idx="2">
                  <c:v>16.393000000000001</c:v>
                </c:pt>
                <c:pt idx="3">
                  <c:v>15.496</c:v>
                </c:pt>
                <c:pt idx="4">
                  <c:v>12.045</c:v>
                </c:pt>
                <c:pt idx="5">
                  <c:v>11.536</c:v>
                </c:pt>
                <c:pt idx="6">
                  <c:v>8.06</c:v>
                </c:pt>
                <c:pt idx="7">
                  <c:v>7.3959999999999999</c:v>
                </c:pt>
                <c:pt idx="8">
                  <c:v>8.0009999999999994</c:v>
                </c:pt>
                <c:pt idx="9">
                  <c:v>8.3030000000000008</c:v>
                </c:pt>
              </c:numCache>
            </c:numRef>
          </c:val>
          <c:smooth val="0"/>
          <c:extLst>
            <c:ext xmlns:c16="http://schemas.microsoft.com/office/drawing/2014/chart" uri="{C3380CC4-5D6E-409C-BE32-E72D297353CC}">
              <c16:uniqueId val="{00000001-61F0-469A-B468-30EBFCC42890}"/>
            </c:ext>
          </c:extLst>
        </c:ser>
        <c:dLbls>
          <c:showLegendKey val="0"/>
          <c:showVal val="0"/>
          <c:showCatName val="0"/>
          <c:showSerName val="0"/>
          <c:showPercent val="0"/>
          <c:showBubbleSize val="0"/>
        </c:dLbls>
        <c:marker val="1"/>
        <c:smooth val="0"/>
        <c:axId val="130907136"/>
        <c:axId val="130905600"/>
      </c:lineChart>
      <c:valAx>
        <c:axId val="130905600"/>
        <c:scaling>
          <c:orientation val="minMax"/>
        </c:scaling>
        <c:delete val="0"/>
        <c:axPos val="l"/>
        <c:majorGridlines/>
        <c:title>
          <c:tx>
            <c:rich>
              <a:bodyPr/>
              <a:lstStyle/>
              <a:p>
                <a:pPr>
                  <a:defRPr/>
                </a:pPr>
                <a:r>
                  <a:rPr lang="en-AU"/>
                  <a:t>Million tonnes</a:t>
                </a:r>
              </a:p>
            </c:rich>
          </c:tx>
          <c:layout>
            <c:manualLayout>
              <c:xMode val="edge"/>
              <c:yMode val="edge"/>
              <c:x val="2.6887341463533304E-2"/>
              <c:y val="0.4797125787238648"/>
            </c:manualLayout>
          </c:layout>
          <c:overlay val="0"/>
        </c:title>
        <c:numFmt formatCode="0" sourceLinked="0"/>
        <c:majorTickMark val="out"/>
        <c:minorTickMark val="none"/>
        <c:tickLblPos val="nextTo"/>
        <c:crossAx val="130907136"/>
        <c:crosses val="autoZero"/>
        <c:crossBetween val="between"/>
      </c:valAx>
      <c:catAx>
        <c:axId val="130907136"/>
        <c:scaling>
          <c:orientation val="minMax"/>
        </c:scaling>
        <c:delete val="0"/>
        <c:axPos val="b"/>
        <c:title>
          <c:tx>
            <c:rich>
              <a:bodyPr/>
              <a:lstStyle/>
              <a:p>
                <a:pPr>
                  <a:defRPr/>
                </a:pPr>
                <a:r>
                  <a:rPr lang="en-AU"/>
                  <a:t>Source:  DMIRS and OoCE</a:t>
                </a:r>
              </a:p>
            </c:rich>
          </c:tx>
          <c:layout>
            <c:manualLayout>
              <c:xMode val="edge"/>
              <c:yMode val="edge"/>
              <c:x val="2.8875922999701052E-3"/>
              <c:y val="0.94008193062092393"/>
            </c:manualLayout>
          </c:layout>
          <c:overlay val="0"/>
        </c:title>
        <c:numFmt formatCode="General" sourceLinked="1"/>
        <c:majorTickMark val="out"/>
        <c:minorTickMark val="none"/>
        <c:tickLblPos val="nextTo"/>
        <c:crossAx val="130905600"/>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Iron Ore 2020</a:t>
            </a:r>
          </a:p>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1" i="0" baseline="0">
                <a:effectLst/>
              </a:rPr>
              <a:t>Western Australia vs Rest of Australia</a:t>
            </a:r>
            <a:endParaRPr lang="en-AU" sz="1100">
              <a:effectLst/>
            </a:endParaRPr>
          </a:p>
        </c:rich>
      </c:tx>
      <c:layout>
        <c:manualLayout>
          <c:xMode val="edge"/>
          <c:yMode val="edge"/>
          <c:x val="0.22798305117689366"/>
          <c:y val="2.3176552774288116E-2"/>
        </c:manualLayout>
      </c:layout>
      <c:overlay val="0"/>
    </c:title>
    <c:autoTitleDeleted val="0"/>
    <c:plotArea>
      <c:layout/>
      <c:pieChart>
        <c:varyColors val="1"/>
        <c:ser>
          <c:idx val="0"/>
          <c:order val="0"/>
          <c:tx>
            <c:strRef>
              <c:f>'Iron Ore - WA vs Australia'!$F$45:$G$45</c:f>
              <c:strCache>
                <c:ptCount val="2"/>
              </c:strCache>
            </c:strRef>
          </c:tx>
          <c:spPr>
            <a:solidFill>
              <a:schemeClr val="accent2">
                <a:lumMod val="40000"/>
                <a:lumOff val="60000"/>
              </a:schemeClr>
            </a:solidFill>
            <a:ln>
              <a:noFill/>
            </a:ln>
            <a:effectLst>
              <a:outerShdw blurRad="50800" dist="50800" dir="5400000" algn="ctr" rotWithShape="0">
                <a:schemeClr val="bg1"/>
              </a:outerShdw>
            </a:effectLst>
          </c:spPr>
          <c:dPt>
            <c:idx val="0"/>
            <c:bubble3D val="0"/>
            <c:extLst>
              <c:ext xmlns:c16="http://schemas.microsoft.com/office/drawing/2014/chart" uri="{C3380CC4-5D6E-409C-BE32-E72D297353CC}">
                <c16:uniqueId val="{00000001-19F0-4504-ACF8-58361BB286FF}"/>
              </c:ext>
            </c:extLst>
          </c:dPt>
          <c:dPt>
            <c:idx val="1"/>
            <c:bubble3D val="0"/>
            <c:spPr>
              <a:solidFill>
                <a:schemeClr val="accent2"/>
              </a:solidFill>
              <a:ln>
                <a:noFill/>
              </a:ln>
              <a:effectLst>
                <a:outerShdw blurRad="50800" dist="50800" dir="5400000" algn="ctr" rotWithShape="0">
                  <a:schemeClr val="bg1"/>
                </a:outerShdw>
              </a:effectLst>
            </c:spPr>
            <c:extLst>
              <c:ext xmlns:c16="http://schemas.microsoft.com/office/drawing/2014/chart" uri="{C3380CC4-5D6E-409C-BE32-E72D297353CC}">
                <c16:uniqueId val="{00000002-19F0-4504-ACF8-58361BB286FF}"/>
              </c:ext>
            </c:extLst>
          </c:dPt>
          <c:dLbls>
            <c:dLbl>
              <c:idx val="0"/>
              <c:layout>
                <c:manualLayout>
                  <c:x val="-2.4684639157223659E-2"/>
                  <c:y val="-0.14677838616735733"/>
                </c:manualLayout>
              </c:layout>
              <c:tx>
                <c:rich>
                  <a:bodyPr wrap="square" lIns="38100" tIns="19050" rIns="38100" bIns="19050" anchor="ctr">
                    <a:spAutoFit/>
                  </a:bodyPr>
                  <a:lstStyle/>
                  <a:p>
                    <a:pPr>
                      <a:defRPr>
                        <a:ln>
                          <a:noFill/>
                        </a:ln>
                      </a:defRPr>
                    </a:pPr>
                    <a:fld id="{CE1C0EB6-2BBA-42F9-817E-701CC1F2751B}" type="CATEGORYNAME">
                      <a:rPr lang="en-US"/>
                      <a:pPr>
                        <a:defRPr>
                          <a:ln>
                            <a:noFill/>
                          </a:ln>
                        </a:defRPr>
                      </a:pPr>
                      <a:t>[CATEGORY NAME]</a:t>
                    </a:fld>
                    <a:r>
                      <a:rPr lang="en-US" baseline="0"/>
                      <a:t>, </a:t>
                    </a:r>
                    <a:fld id="{0E55F0B9-E0AB-46C4-9BD0-E74A874EC886}" type="VALUE">
                      <a:rPr lang="en-US" baseline="0"/>
                      <a:pPr>
                        <a:defRPr>
                          <a:ln>
                            <a:noFill/>
                          </a:ln>
                        </a:defRPr>
                      </a:pPr>
                      <a:t>[VALUE]</a:t>
                    </a:fld>
                    <a:r>
                      <a:rPr lang="en-US" baseline="0"/>
                      <a:t>,</a:t>
                    </a:r>
                  </a:p>
                  <a:p>
                    <a:pPr>
                      <a:defRPr>
                        <a:ln>
                          <a:noFill/>
                        </a:ln>
                      </a:defRPr>
                    </a:pPr>
                    <a:r>
                      <a:rPr lang="en-US" baseline="0"/>
                      <a:t> </a:t>
                    </a:r>
                    <a:fld id="{25515F9F-F518-4812-BDF8-87CA31CB14B6}" type="PERCENTAGE">
                      <a:rPr lang="en-US" baseline="0"/>
                      <a:pPr>
                        <a:defRPr>
                          <a:ln>
                            <a:noFill/>
                          </a:ln>
                        </a:defRPr>
                      </a:pPr>
                      <a:t>[PERCENTAGE]</a:t>
                    </a:fld>
                    <a:endParaRPr lang="en-US" baseline="0"/>
                  </a:p>
                </c:rich>
              </c:tx>
              <c:spPr>
                <a:noFill/>
                <a:ln>
                  <a:noFill/>
                </a:ln>
                <a:effectLst>
                  <a:glow rad="127000">
                    <a:schemeClr val="accent1">
                      <a:alpha val="95000"/>
                    </a:schemeClr>
                  </a:glow>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9211184862679546"/>
                      <c:h val="0.24020179295272201"/>
                    </c:manualLayout>
                  </c15:layout>
                  <c15:dlblFieldTable/>
                  <c15:showDataLabelsRange val="0"/>
                </c:ext>
                <c:ext xmlns:c16="http://schemas.microsoft.com/office/drawing/2014/chart" uri="{C3380CC4-5D6E-409C-BE32-E72D297353CC}">
                  <c16:uniqueId val="{00000001-19F0-4504-ACF8-58361BB286FF}"/>
                </c:ext>
              </c:extLst>
            </c:dLbl>
            <c:dLbl>
              <c:idx val="1"/>
              <c:layout>
                <c:manualLayout>
                  <c:x val="-0.20304524869288032"/>
                  <c:y val="0.12283572970372698"/>
                </c:manualLayout>
              </c:layout>
              <c:tx>
                <c:rich>
                  <a:bodyPr wrap="square" lIns="38100" tIns="19050" rIns="38100" bIns="19050" anchor="ctr">
                    <a:noAutofit/>
                  </a:bodyPr>
                  <a:lstStyle/>
                  <a:p>
                    <a:pPr>
                      <a:defRPr>
                        <a:ln>
                          <a:noFill/>
                        </a:ln>
                      </a:defRPr>
                    </a:pPr>
                    <a:fld id="{DB00B409-9EB0-48B7-B50B-1D2D9F5683CD}" type="CATEGORYNAME">
                      <a:rPr lang="en-US">
                        <a:ln>
                          <a:noFill/>
                        </a:ln>
                      </a:rPr>
                      <a:pPr>
                        <a:defRPr>
                          <a:ln>
                            <a:noFill/>
                          </a:ln>
                        </a:defRPr>
                      </a:pPr>
                      <a:t>[CATEGORY NAME]</a:t>
                    </a:fld>
                    <a:r>
                      <a:rPr lang="en-US" baseline="0">
                        <a:ln>
                          <a:noFill/>
                        </a:ln>
                      </a:rPr>
                      <a:t>, </a:t>
                    </a:r>
                    <a:fld id="{171CF5AE-D65A-4AB6-8F4A-30993E09D512}" type="VALUE">
                      <a:rPr lang="en-US" baseline="0">
                        <a:ln>
                          <a:noFill/>
                        </a:ln>
                      </a:rPr>
                      <a:pPr>
                        <a:defRPr>
                          <a:ln>
                            <a:noFill/>
                          </a:ln>
                        </a:defRPr>
                      </a:pPr>
                      <a:t>[VALUE]</a:t>
                    </a:fld>
                    <a:r>
                      <a:rPr lang="en-US" baseline="0">
                        <a:ln>
                          <a:noFill/>
                        </a:ln>
                      </a:rPr>
                      <a:t>, </a:t>
                    </a:r>
                  </a:p>
                  <a:p>
                    <a:pPr>
                      <a:defRPr>
                        <a:ln>
                          <a:noFill/>
                        </a:ln>
                      </a:defRPr>
                    </a:pPr>
                    <a:fld id="{DED5345A-EA07-4FBA-BE6D-4E6BBE7F3ADA}" type="PERCENTAGE">
                      <a:rPr lang="en-US" baseline="0">
                        <a:ln>
                          <a:noFill/>
                        </a:ln>
                      </a:rPr>
                      <a:pPr>
                        <a:defRPr>
                          <a:ln>
                            <a:noFill/>
                          </a:ln>
                        </a:defRPr>
                      </a:pPr>
                      <a:t>[PERCENTAGE]</a:t>
                    </a:fld>
                    <a:endParaRPr lang="en-AU"/>
                  </a:p>
                </c:rich>
              </c:tx>
              <c:spPr>
                <a:noFill/>
                <a:ln>
                  <a:noFill/>
                </a:ln>
                <a:effectLst>
                  <a:glow rad="127000">
                    <a:schemeClr val="accent1">
                      <a:alpha val="95000"/>
                    </a:schemeClr>
                  </a:glow>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41812936111489052"/>
                      <c:h val="0.22998111567180249"/>
                    </c:manualLayout>
                  </c15:layout>
                  <c15:dlblFieldTable/>
                  <c15:showDataLabelsRange val="0"/>
                </c:ext>
                <c:ext xmlns:c16="http://schemas.microsoft.com/office/drawing/2014/chart" uri="{C3380CC4-5D6E-409C-BE32-E72D297353CC}">
                  <c16:uniqueId val="{00000002-19F0-4504-ACF8-58361BB286FF}"/>
                </c:ext>
              </c:extLst>
            </c:dLbl>
            <c:spPr>
              <a:noFill/>
              <a:ln>
                <a:noFill/>
              </a:ln>
              <a:effectLst>
                <a:glow rad="127000">
                  <a:schemeClr val="accent1">
                    <a:alpha val="95000"/>
                  </a:schemeClr>
                </a:glow>
                <a:outerShdw blurRad="50800" dist="50800" dir="5400000" algn="ctr" rotWithShape="0">
                  <a:schemeClr val="bg1"/>
                </a:outerShdw>
              </a:effectLst>
            </c:spPr>
            <c:txPr>
              <a:bodyPr wrap="square" lIns="38100" tIns="19050" rIns="38100" bIns="19050" anchor="ctr">
                <a:spAutoFit/>
              </a:bodyPr>
              <a:lstStyle/>
              <a:p>
                <a:pPr>
                  <a:defRPr>
                    <a:ln>
                      <a:noFill/>
                    </a:ln>
                  </a:defRPr>
                </a:pPr>
                <a:endParaRPr lang="en-US"/>
              </a:p>
            </c:tx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'Iron Ore - WA vs Australia'!$F$47:$G$47</c:f>
              <c:strCache>
                <c:ptCount val="2"/>
                <c:pt idx="0">
                  <c:v>Western Australia (Mt)</c:v>
                </c:pt>
                <c:pt idx="1">
                  <c:v>Rest of Australia (Mt)</c:v>
                </c:pt>
              </c:strCache>
            </c:strRef>
          </c:cat>
          <c:val>
            <c:numRef>
              <c:f>'Iron Ore - WA vs Australia'!$F$57:$G$57</c:f>
              <c:numCache>
                <c:formatCode>0.00</c:formatCode>
                <c:ptCount val="2"/>
                <c:pt idx="0">
                  <c:v>847.21186166400003</c:v>
                </c:pt>
                <c:pt idx="1">
                  <c:v>8.3030000000000008</c:v>
                </c:pt>
              </c:numCache>
            </c:numRef>
          </c:val>
          <c:extLst>
            <c:ext xmlns:c16="http://schemas.microsoft.com/office/drawing/2014/chart" uri="{C3380CC4-5D6E-409C-BE32-E72D297353CC}">
              <c16:uniqueId val="{00000003-19F0-4504-ACF8-58361BB286FF}"/>
            </c:ext>
          </c:extLst>
        </c:ser>
        <c:dLbls>
          <c:showLegendKey val="0"/>
          <c:showVal val="0"/>
          <c:showCatName val="0"/>
          <c:showSerName val="0"/>
          <c:showPercent val="0"/>
          <c:showBubbleSize val="0"/>
          <c:showLeaderLines val="1"/>
        </c:dLbls>
        <c:firstSliceAng val="0"/>
      </c:pieChart>
      <c:spPr>
        <a:noFill/>
      </c:spPr>
    </c:plotArea>
    <c:plotVisOnly val="1"/>
    <c:dispBlanksAs val="gap"/>
    <c:showDLblsOverMax val="0"/>
  </c:chart>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barChart>
        <c:barDir val="col"/>
        <c:grouping val="clustered"/>
        <c:varyColors val="0"/>
        <c:ser>
          <c:idx val="0"/>
          <c:order val="0"/>
          <c:tx>
            <c:strRef>
              <c:f>'China Steel Prod &amp; Iron Ore CY'!$B$6</c:f>
              <c:strCache>
                <c:ptCount val="1"/>
                <c:pt idx="0">
                  <c:v>Crude Steel Production, 000s t</c:v>
                </c:pt>
              </c:strCache>
            </c:strRef>
          </c:tx>
          <c:invertIfNegative val="0"/>
          <c:cat>
            <c:numRef>
              <c:extLst>
                <c:ext xmlns:c15="http://schemas.microsoft.com/office/drawing/2012/chart" uri="{02D57815-91ED-43cb-92C2-25804820EDAC}">
                  <c15:fullRef>
                    <c15:sqref>'China Steel Prod &amp; Iron Ore CY'!$A$7:$A$47</c15:sqref>
                  </c15:fullRef>
                </c:ext>
              </c:extLst>
              <c:f>'China Steel Prod &amp; Iron Ore CY'!$A$11:$A$47</c:f>
              <c:numCache>
                <c:formatCode>General</c:formatCode>
                <c:ptCount val="37"/>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numCache>
            </c:numRef>
          </c:cat>
          <c:val>
            <c:numRef>
              <c:extLst>
                <c:ext xmlns:c15="http://schemas.microsoft.com/office/drawing/2012/chart" uri="{02D57815-91ED-43cb-92C2-25804820EDAC}">
                  <c15:fullRef>
                    <c15:sqref>'China Steel Prod &amp; Iron Ore CY'!$B$7:$B$47</c15:sqref>
                  </c15:fullRef>
                </c:ext>
              </c:extLst>
              <c:f>'China Steel Prod &amp; Iron Ore CY'!$B$11:$B$47</c:f>
              <c:numCache>
                <c:formatCode>#,##0</c:formatCode>
                <c:ptCount val="37"/>
                <c:pt idx="0">
                  <c:v>43475</c:v>
                </c:pt>
                <c:pt idx="1">
                  <c:v>46794</c:v>
                </c:pt>
                <c:pt idx="2">
                  <c:v>52208</c:v>
                </c:pt>
                <c:pt idx="3">
                  <c:v>56280</c:v>
                </c:pt>
                <c:pt idx="4">
                  <c:v>59430</c:v>
                </c:pt>
                <c:pt idx="5">
                  <c:v>61587</c:v>
                </c:pt>
                <c:pt idx="6">
                  <c:v>66350</c:v>
                </c:pt>
                <c:pt idx="7">
                  <c:v>71000</c:v>
                </c:pt>
                <c:pt idx="8">
                  <c:v>80940</c:v>
                </c:pt>
                <c:pt idx="9">
                  <c:v>89560</c:v>
                </c:pt>
                <c:pt idx="10">
                  <c:v>92610</c:v>
                </c:pt>
                <c:pt idx="11">
                  <c:v>95360</c:v>
                </c:pt>
                <c:pt idx="12">
                  <c:v>101237</c:v>
                </c:pt>
                <c:pt idx="13">
                  <c:v>108911</c:v>
                </c:pt>
                <c:pt idx="14">
                  <c:v>114588</c:v>
                </c:pt>
                <c:pt idx="15">
                  <c:v>123954</c:v>
                </c:pt>
                <c:pt idx="16">
                  <c:v>128500</c:v>
                </c:pt>
                <c:pt idx="17">
                  <c:v>151634</c:v>
                </c:pt>
                <c:pt idx="18">
                  <c:v>182249</c:v>
                </c:pt>
                <c:pt idx="19">
                  <c:v>222336</c:v>
                </c:pt>
                <c:pt idx="20">
                  <c:v>272798</c:v>
                </c:pt>
                <c:pt idx="21">
                  <c:v>355790</c:v>
                </c:pt>
                <c:pt idx="22">
                  <c:v>421024</c:v>
                </c:pt>
                <c:pt idx="23">
                  <c:v>489712</c:v>
                </c:pt>
                <c:pt idx="24">
                  <c:v>512339</c:v>
                </c:pt>
                <c:pt idx="25">
                  <c:v>577070</c:v>
                </c:pt>
                <c:pt idx="26">
                  <c:v>638743</c:v>
                </c:pt>
                <c:pt idx="27">
                  <c:v>701968</c:v>
                </c:pt>
                <c:pt idx="28">
                  <c:v>731040</c:v>
                </c:pt>
                <c:pt idx="29">
                  <c:v>822000</c:v>
                </c:pt>
                <c:pt idx="30">
                  <c:v>822698</c:v>
                </c:pt>
                <c:pt idx="31">
                  <c:v>803800</c:v>
                </c:pt>
                <c:pt idx="32">
                  <c:v>808370</c:v>
                </c:pt>
                <c:pt idx="33">
                  <c:v>831852</c:v>
                </c:pt>
                <c:pt idx="34">
                  <c:v>920027</c:v>
                </c:pt>
                <c:pt idx="35">
                  <c:v>996342</c:v>
                </c:pt>
                <c:pt idx="36">
                  <c:v>1053000</c:v>
                </c:pt>
              </c:numCache>
            </c:numRef>
          </c:val>
          <c:extLst>
            <c:ext xmlns:c16="http://schemas.microsoft.com/office/drawing/2014/chart" uri="{C3380CC4-5D6E-409C-BE32-E72D297353CC}">
              <c16:uniqueId val="{00000000-CC32-422C-A07A-B645FAEAECF9}"/>
            </c:ext>
          </c:extLst>
        </c:ser>
        <c:ser>
          <c:idx val="1"/>
          <c:order val="1"/>
          <c:tx>
            <c:strRef>
              <c:f>'China Steel Prod &amp; Iron Ore CY'!$C$6</c:f>
              <c:strCache>
                <c:ptCount val="1"/>
                <c:pt idx="0">
                  <c:v>Iron Ore Imports, 000s t</c:v>
                </c:pt>
              </c:strCache>
            </c:strRef>
          </c:tx>
          <c:invertIfNegative val="0"/>
          <c:cat>
            <c:numRef>
              <c:extLst>
                <c:ext xmlns:c15="http://schemas.microsoft.com/office/drawing/2012/chart" uri="{02D57815-91ED-43cb-92C2-25804820EDAC}">
                  <c15:fullRef>
                    <c15:sqref>'China Steel Prod &amp; Iron Ore CY'!$A$7:$A$47</c15:sqref>
                  </c15:fullRef>
                </c:ext>
              </c:extLst>
              <c:f>'China Steel Prod &amp; Iron Ore CY'!$A$11:$A$47</c:f>
              <c:numCache>
                <c:formatCode>General</c:formatCode>
                <c:ptCount val="37"/>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numCache>
            </c:numRef>
          </c:cat>
          <c:val>
            <c:numRef>
              <c:extLst>
                <c:ext xmlns:c15="http://schemas.microsoft.com/office/drawing/2012/chart" uri="{02D57815-91ED-43cb-92C2-25804820EDAC}">
                  <c15:fullRef>
                    <c15:sqref>'China Steel Prod &amp; Iron Ore CY'!$C$7:$C$47</c15:sqref>
                  </c15:fullRef>
                </c:ext>
              </c:extLst>
              <c:f>'China Steel Prod &amp; Iron Ore CY'!$C$11:$C$47</c:f>
              <c:numCache>
                <c:formatCode>#,##0</c:formatCode>
                <c:ptCount val="37"/>
                <c:pt idx="0">
                  <c:v>5970</c:v>
                </c:pt>
                <c:pt idx="1">
                  <c:v>10114</c:v>
                </c:pt>
                <c:pt idx="2">
                  <c:v>12005</c:v>
                </c:pt>
                <c:pt idx="3">
                  <c:v>12098</c:v>
                </c:pt>
                <c:pt idx="4">
                  <c:v>10756</c:v>
                </c:pt>
                <c:pt idx="5">
                  <c:v>12414</c:v>
                </c:pt>
                <c:pt idx="6">
                  <c:v>14191</c:v>
                </c:pt>
                <c:pt idx="7">
                  <c:v>19035</c:v>
                </c:pt>
                <c:pt idx="8">
                  <c:v>25172</c:v>
                </c:pt>
                <c:pt idx="9">
                  <c:v>33020</c:v>
                </c:pt>
                <c:pt idx="10">
                  <c:v>37343</c:v>
                </c:pt>
                <c:pt idx="11">
                  <c:v>41150</c:v>
                </c:pt>
                <c:pt idx="12">
                  <c:v>43874</c:v>
                </c:pt>
                <c:pt idx="13">
                  <c:v>55106</c:v>
                </c:pt>
                <c:pt idx="14">
                  <c:v>52030</c:v>
                </c:pt>
                <c:pt idx="15">
                  <c:v>55390</c:v>
                </c:pt>
                <c:pt idx="16">
                  <c:v>69990</c:v>
                </c:pt>
                <c:pt idx="17">
                  <c:v>92480</c:v>
                </c:pt>
                <c:pt idx="18">
                  <c:v>114599</c:v>
                </c:pt>
                <c:pt idx="19">
                  <c:v>148196</c:v>
                </c:pt>
                <c:pt idx="20">
                  <c:v>208089</c:v>
                </c:pt>
                <c:pt idx="21">
                  <c:v>275260</c:v>
                </c:pt>
                <c:pt idx="22">
                  <c:v>327311.821</c:v>
                </c:pt>
                <c:pt idx="23">
                  <c:v>383672</c:v>
                </c:pt>
                <c:pt idx="24">
                  <c:v>444134</c:v>
                </c:pt>
                <c:pt idx="25">
                  <c:v>628190</c:v>
                </c:pt>
                <c:pt idx="26">
                  <c:v>616354</c:v>
                </c:pt>
                <c:pt idx="27">
                  <c:v>686700</c:v>
                </c:pt>
                <c:pt idx="28">
                  <c:v>745493.19700000004</c:v>
                </c:pt>
                <c:pt idx="29">
                  <c:v>820115</c:v>
                </c:pt>
                <c:pt idx="30">
                  <c:v>933097</c:v>
                </c:pt>
                <c:pt idx="31">
                  <c:v>953320</c:v>
                </c:pt>
                <c:pt idx="32">
                  <c:v>1024722</c:v>
                </c:pt>
                <c:pt idx="33">
                  <c:v>1074689.9701640001</c:v>
                </c:pt>
                <c:pt idx="34">
                  <c:v>1063004.6196299999</c:v>
                </c:pt>
                <c:pt idx="35">
                  <c:v>1068949</c:v>
                </c:pt>
                <c:pt idx="36">
                  <c:v>1170370</c:v>
                </c:pt>
              </c:numCache>
            </c:numRef>
          </c:val>
          <c:extLst>
            <c:ext xmlns:c16="http://schemas.microsoft.com/office/drawing/2014/chart" uri="{C3380CC4-5D6E-409C-BE32-E72D297353CC}">
              <c16:uniqueId val="{00000001-CC32-422C-A07A-B645FAEAECF9}"/>
            </c:ext>
          </c:extLst>
        </c:ser>
        <c:dLbls>
          <c:showLegendKey val="0"/>
          <c:showVal val="0"/>
          <c:showCatName val="0"/>
          <c:showSerName val="0"/>
          <c:showPercent val="0"/>
          <c:showBubbleSize val="0"/>
        </c:dLbls>
        <c:gapWidth val="150"/>
        <c:axId val="131028864"/>
        <c:axId val="131031040"/>
      </c:barChart>
      <c:catAx>
        <c:axId val="131028864"/>
        <c:scaling>
          <c:orientation val="minMax"/>
        </c:scaling>
        <c:delete val="0"/>
        <c:axPos val="b"/>
        <c:title>
          <c:tx>
            <c:rich>
              <a:bodyPr/>
              <a:lstStyle/>
              <a:p>
                <a:pPr>
                  <a:defRPr/>
                </a:pPr>
                <a:r>
                  <a:rPr lang="en-AU"/>
                  <a:t>Source: World Steel Association and China Customs</a:t>
                </a:r>
              </a:p>
            </c:rich>
          </c:tx>
          <c:layout>
            <c:manualLayout>
              <c:xMode val="edge"/>
              <c:yMode val="edge"/>
              <c:x val="4.6619739607250349E-3"/>
              <c:y val="0.94898058597806489"/>
            </c:manualLayout>
          </c:layout>
          <c:overlay val="0"/>
        </c:title>
        <c:numFmt formatCode="General" sourceLinked="1"/>
        <c:majorTickMark val="none"/>
        <c:minorTickMark val="none"/>
        <c:tickLblPos val="nextTo"/>
        <c:txPr>
          <a:bodyPr rot="-2700000"/>
          <a:lstStyle/>
          <a:p>
            <a:pPr>
              <a:defRPr/>
            </a:pPr>
            <a:endParaRPr lang="en-US"/>
          </a:p>
        </c:txPr>
        <c:crossAx val="131031040"/>
        <c:crosses val="autoZero"/>
        <c:auto val="1"/>
        <c:lblAlgn val="ctr"/>
        <c:lblOffset val="100"/>
        <c:noMultiLvlLbl val="0"/>
      </c:catAx>
      <c:valAx>
        <c:axId val="131031040"/>
        <c:scaling>
          <c:orientation val="minMax"/>
          <c:max val="1400000"/>
        </c:scaling>
        <c:delete val="0"/>
        <c:axPos val="l"/>
        <c:majorGridlines/>
        <c:title>
          <c:tx>
            <c:rich>
              <a:bodyPr rot="-5400000" vert="horz"/>
              <a:lstStyle/>
              <a:p>
                <a:pPr>
                  <a:defRPr/>
                </a:pPr>
                <a:r>
                  <a:rPr lang="en-AU"/>
                  <a:t>'000 Tonnes</a:t>
                </a:r>
              </a:p>
            </c:rich>
          </c:tx>
          <c:overlay val="0"/>
        </c:title>
        <c:numFmt formatCode="#,##0" sourceLinked="1"/>
        <c:majorTickMark val="out"/>
        <c:minorTickMark val="none"/>
        <c:tickLblPos val="nextTo"/>
        <c:spPr>
          <a:ln/>
        </c:spPr>
        <c:crossAx val="13102886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 2020</a:t>
            </a:r>
          </a:p>
        </c:rich>
      </c:tx>
      <c:layout>
        <c:manualLayout>
          <c:xMode val="edge"/>
          <c:yMode val="edge"/>
          <c:x val="0.3019350862892406"/>
          <c:y val="1.9145297083755612E-2"/>
        </c:manualLayout>
      </c:layout>
      <c:overlay val="0"/>
    </c:title>
    <c:autoTitleDeleted val="0"/>
    <c:plotArea>
      <c:layout>
        <c:manualLayout>
          <c:layoutTarget val="inner"/>
          <c:xMode val="edge"/>
          <c:yMode val="edge"/>
          <c:x val="0.29724305806491369"/>
          <c:y val="0.10683161915804627"/>
          <c:w val="0.41042025563240025"/>
          <c:h val="0.78884869357575138"/>
        </c:manualLayout>
      </c:layout>
      <c:pieChart>
        <c:varyColors val="1"/>
        <c:ser>
          <c:idx val="0"/>
          <c:order val="0"/>
          <c:tx>
            <c:strRef>
              <c:f>'China Steel Prod &amp; Iron Ore CY'!$I$54</c:f>
              <c:strCache>
                <c:ptCount val="1"/>
                <c:pt idx="0">
                  <c:v>% Of Total by Volume</c:v>
                </c:pt>
              </c:strCache>
            </c:strRef>
          </c:tx>
          <c:dLbls>
            <c:dLbl>
              <c:idx val="0"/>
              <c:layout>
                <c:manualLayout>
                  <c:x val="0.17057010548840623"/>
                  <c:y val="-0.138958033471622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9C-474A-A573-05CD193537A8}"/>
                </c:ext>
              </c:extLst>
            </c:dLbl>
            <c:dLbl>
              <c:idx val="1"/>
              <c:layout>
                <c:manualLayout>
                  <c:x val="-0.1015231606687462"/>
                  <c:y val="0.1421558767447740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9C-474A-A573-05CD193537A8}"/>
                </c:ext>
              </c:extLst>
            </c:dLbl>
            <c:dLbl>
              <c:idx val="2"/>
              <c:layout>
                <c:manualLayout>
                  <c:x val="2.3753581757694302E-2"/>
                  <c:y val="-3.559893102692188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9C-474A-A573-05CD193537A8}"/>
                </c:ext>
              </c:extLst>
            </c:dLbl>
            <c:dLbl>
              <c:idx val="3"/>
              <c:layout>
                <c:manualLayout>
                  <c:x val="6.4680141097012561E-2"/>
                  <c:y val="-5.302271459243772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9C-474A-A573-05CD193537A8}"/>
                </c:ext>
              </c:extLst>
            </c:dLbl>
            <c:dLbl>
              <c:idx val="4"/>
              <c:layout>
                <c:manualLayout>
                  <c:x val="9.6510356587592036E-2"/>
                  <c:y val="-4.417242509698694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9C-474A-A573-05CD193537A8}"/>
                </c:ext>
              </c:extLst>
            </c:dLbl>
            <c:dLbl>
              <c:idx val="5"/>
              <c:layout>
                <c:manualLayout>
                  <c:x val="0.10553441329387966"/>
                  <c:y val="-2.29384168170045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9C-474A-A573-05CD193537A8}"/>
                </c:ext>
              </c:extLst>
            </c:dLbl>
            <c:dLbl>
              <c:idx val="6"/>
              <c:layout>
                <c:manualLayout>
                  <c:x val="0.10660347392881622"/>
                  <c:y val="-2.6303163717438546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9C-474A-A573-05CD193537A8}"/>
                </c:ext>
              </c:extLst>
            </c:dLbl>
            <c:dLbl>
              <c:idx val="7"/>
              <c:layout>
                <c:manualLayout>
                  <c:x val="8.5089656786532131E-2"/>
                  <c:y val="3.427791129086521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9C-474A-A573-05CD193537A8}"/>
                </c:ext>
              </c:extLst>
            </c:dLbl>
            <c:dLbl>
              <c:idx val="8"/>
              <c:layout>
                <c:manualLayout>
                  <c:x val="4.1099754250463791E-2"/>
                  <c:y val="7.371746025543332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9C-474A-A573-05CD193537A8}"/>
                </c:ext>
              </c:extLst>
            </c:dLbl>
            <c:dLbl>
              <c:idx val="9"/>
              <c:layout>
                <c:manualLayout>
                  <c:x val="3.7512412859220623E-3"/>
                  <c:y val="0.1110685605986596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9C-474A-A573-05CD193537A8}"/>
                </c:ext>
              </c:extLst>
            </c:dLbl>
            <c:dLbl>
              <c:idx val="10"/>
              <c:layout>
                <c:manualLayout>
                  <c:x val="-0.1206475751040674"/>
                  <c:y val="0.1045900279834747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9C-474A-A573-05CD193537A8}"/>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'China Steel Prod &amp; Iron Ore CY'!$F$55:$F$65</c:f>
              <c:strCache>
                <c:ptCount val="11"/>
                <c:pt idx="0">
                  <c:v>Australia</c:v>
                </c:pt>
                <c:pt idx="1">
                  <c:v>Brazil</c:v>
                </c:pt>
                <c:pt idx="2">
                  <c:v>South Africa</c:v>
                </c:pt>
                <c:pt idx="3">
                  <c:v>India</c:v>
                </c:pt>
                <c:pt idx="4">
                  <c:v>Ukraine</c:v>
                </c:pt>
                <c:pt idx="5">
                  <c:v>Canada</c:v>
                </c:pt>
                <c:pt idx="6">
                  <c:v>Chile</c:v>
                </c:pt>
                <c:pt idx="7">
                  <c:v>Peru</c:v>
                </c:pt>
                <c:pt idx="8">
                  <c:v>Russian Federation</c:v>
                </c:pt>
                <c:pt idx="9">
                  <c:v>Mauritania</c:v>
                </c:pt>
                <c:pt idx="10">
                  <c:v>All Others</c:v>
                </c:pt>
              </c:strCache>
            </c:strRef>
          </c:cat>
          <c:val>
            <c:numRef>
              <c:f>'China Steel Prod &amp; Iron Ore CY'!$I$55:$I$65</c:f>
              <c:numCache>
                <c:formatCode>0.0%</c:formatCode>
                <c:ptCount val="11"/>
                <c:pt idx="0">
                  <c:v>0.59575496775700176</c:v>
                </c:pt>
                <c:pt idx="1">
                  <c:v>0.21631043061657149</c:v>
                </c:pt>
                <c:pt idx="2">
                  <c:v>4.0864842372548546E-2</c:v>
                </c:pt>
                <c:pt idx="3">
                  <c:v>3.3749827371208033E-2</c:v>
                </c:pt>
                <c:pt idx="4">
                  <c:v>2.5093179435260744E-2</c:v>
                </c:pt>
                <c:pt idx="5">
                  <c:v>1.7102959046081334E-2</c:v>
                </c:pt>
                <c:pt idx="6">
                  <c:v>1.2863527368397106E-2</c:v>
                </c:pt>
                <c:pt idx="7">
                  <c:v>1.266693518606591E-2</c:v>
                </c:pt>
                <c:pt idx="8">
                  <c:v>1.1408337450132356E-2</c:v>
                </c:pt>
                <c:pt idx="9">
                  <c:v>7.2124100646149721E-3</c:v>
                </c:pt>
                <c:pt idx="10">
                  <c:v>2.6972583332117481E-2</c:v>
                </c:pt>
              </c:numCache>
            </c:numRef>
          </c:val>
          <c:extLst>
            <c:ext xmlns:c16="http://schemas.microsoft.com/office/drawing/2014/chart" uri="{C3380CC4-5D6E-409C-BE32-E72D297353CC}">
              <c16:uniqueId val="{00000000-DF19-46EB-8FD2-3E7DAF11D8A8}"/>
            </c:ext>
          </c:extLst>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manualLayout>
          <c:layoutTarget val="inner"/>
          <c:xMode val="edge"/>
          <c:yMode val="edge"/>
          <c:x val="0.12458533988262241"/>
          <c:y val="0.19859131640668673"/>
          <c:w val="0.85289757410692135"/>
          <c:h val="0.59249617671710575"/>
        </c:manualLayout>
      </c:layout>
      <c:barChart>
        <c:barDir val="col"/>
        <c:grouping val="clustered"/>
        <c:varyColors val="0"/>
        <c:ser>
          <c:idx val="0"/>
          <c:order val="0"/>
          <c:tx>
            <c:strRef>
              <c:f>'China Steel Prod &amp; Iron Ore FY'!$B$6</c:f>
              <c:strCache>
                <c:ptCount val="1"/>
                <c:pt idx="0">
                  <c:v>Crude Steel Production, 000s t</c:v>
                </c:pt>
              </c:strCache>
            </c:strRef>
          </c:tx>
          <c:invertIfNegative val="0"/>
          <c:cat>
            <c:strRef>
              <c:f>'China Steel Prod &amp; Iron Ore FY'!$A$7:$A$37</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pt idx="28">
                  <c:v>2018-19</c:v>
                </c:pt>
                <c:pt idx="29">
                  <c:v>2019-20</c:v>
                </c:pt>
                <c:pt idx="30">
                  <c:v>2020-21</c:v>
                </c:pt>
              </c:strCache>
            </c:strRef>
          </c:cat>
          <c:val>
            <c:numRef>
              <c:f>'China Steel Prod &amp; Iron Ore FY'!$B$7:$B$37</c:f>
              <c:numCache>
                <c:formatCode>#,##0</c:formatCode>
                <c:ptCount val="31"/>
                <c:pt idx="0">
                  <c:v>68599</c:v>
                </c:pt>
                <c:pt idx="1">
                  <c:v>75768</c:v>
                </c:pt>
                <c:pt idx="2">
                  <c:v>85059</c:v>
                </c:pt>
                <c:pt idx="3">
                  <c:v>92194</c:v>
                </c:pt>
                <c:pt idx="4">
                  <c:v>93482</c:v>
                </c:pt>
                <c:pt idx="5">
                  <c:v>95740</c:v>
                </c:pt>
                <c:pt idx="6">
                  <c:v>103514</c:v>
                </c:pt>
                <c:pt idx="7">
                  <c:v>110778</c:v>
                </c:pt>
                <c:pt idx="8">
                  <c:v>118218</c:v>
                </c:pt>
                <c:pt idx="9">
                  <c:v>125495</c:v>
                </c:pt>
                <c:pt idx="10">
                  <c:v>133533</c:v>
                </c:pt>
                <c:pt idx="11">
                  <c:v>162240</c:v>
                </c:pt>
                <c:pt idx="12">
                  <c:v>197475</c:v>
                </c:pt>
                <c:pt idx="13">
                  <c:v>245395</c:v>
                </c:pt>
                <c:pt idx="14">
                  <c:v>317055</c:v>
                </c:pt>
                <c:pt idx="15">
                  <c:v>386601</c:v>
                </c:pt>
                <c:pt idx="16">
                  <c:v>464094</c:v>
                </c:pt>
                <c:pt idx="17">
                  <c:v>515959</c:v>
                </c:pt>
                <c:pt idx="18">
                  <c:v>502098</c:v>
                </c:pt>
                <c:pt idx="19">
                  <c:v>622958</c:v>
                </c:pt>
                <c:pt idx="20">
                  <c:v>656143</c:v>
                </c:pt>
                <c:pt idx="21">
                  <c:v>687691</c:v>
                </c:pt>
                <c:pt idx="22">
                  <c:v>752285</c:v>
                </c:pt>
                <c:pt idx="23">
                  <c:v>814148</c:v>
                </c:pt>
                <c:pt idx="24">
                  <c:v>814817</c:v>
                </c:pt>
                <c:pt idx="25">
                  <c:v>793820</c:v>
                </c:pt>
                <c:pt idx="26">
                  <c:v>824621.35867446393</c:v>
                </c:pt>
                <c:pt idx="27">
                  <c:v>872113.3</c:v>
                </c:pt>
                <c:pt idx="28">
                  <c:v>968251.5</c:v>
                </c:pt>
                <c:pt idx="29">
                  <c:v>1003875</c:v>
                </c:pt>
                <c:pt idx="30">
                  <c:v>1112073.2000000002</c:v>
                </c:pt>
              </c:numCache>
            </c:numRef>
          </c:val>
          <c:extLst>
            <c:ext xmlns:c16="http://schemas.microsoft.com/office/drawing/2014/chart" uri="{C3380CC4-5D6E-409C-BE32-E72D297353CC}">
              <c16:uniqueId val="{00000000-16DD-4CD9-AB89-D523BEB7F3E4}"/>
            </c:ext>
          </c:extLst>
        </c:ser>
        <c:ser>
          <c:idx val="1"/>
          <c:order val="1"/>
          <c:tx>
            <c:strRef>
              <c:f>'China Steel Prod &amp; Iron Ore FY'!$C$6</c:f>
              <c:strCache>
                <c:ptCount val="1"/>
                <c:pt idx="0">
                  <c:v>Iron Ore Imports, 000s t</c:v>
                </c:pt>
              </c:strCache>
            </c:strRef>
          </c:tx>
          <c:invertIfNegative val="0"/>
          <c:cat>
            <c:strRef>
              <c:f>'China Steel Prod &amp; Iron Ore FY'!$A$7:$A$37</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pt idx="28">
                  <c:v>2018-19</c:v>
                </c:pt>
                <c:pt idx="29">
                  <c:v>2019-20</c:v>
                </c:pt>
                <c:pt idx="30">
                  <c:v>2020-21</c:v>
                </c:pt>
              </c:strCache>
            </c:strRef>
          </c:cat>
          <c:val>
            <c:numRef>
              <c:f>'China Steel Prod &amp; Iron Ore FY'!$C$7:$C$37</c:f>
              <c:numCache>
                <c:formatCode>#,##0</c:formatCode>
                <c:ptCount val="31"/>
                <c:pt idx="7">
                  <c:v>57166</c:v>
                </c:pt>
                <c:pt idx="8">
                  <c:v>51360</c:v>
                </c:pt>
                <c:pt idx="9">
                  <c:v>65820</c:v>
                </c:pt>
                <c:pt idx="10">
                  <c:v>77830</c:v>
                </c:pt>
                <c:pt idx="11">
                  <c:v>101486</c:v>
                </c:pt>
                <c:pt idx="12">
                  <c:v>136012</c:v>
                </c:pt>
                <c:pt idx="13">
                  <c:v>173468.54</c:v>
                </c:pt>
                <c:pt idx="14">
                  <c:v>241353.51899999997</c:v>
                </c:pt>
                <c:pt idx="15">
                  <c:v>305706.255</c:v>
                </c:pt>
                <c:pt idx="16">
                  <c:v>353941.50699999998</c:v>
                </c:pt>
                <c:pt idx="17">
                  <c:v>425804</c:v>
                </c:pt>
                <c:pt idx="18">
                  <c:v>511080</c:v>
                </c:pt>
                <c:pt idx="19">
                  <c:v>640420</c:v>
                </c:pt>
                <c:pt idx="20">
                  <c:v>641204</c:v>
                </c:pt>
                <c:pt idx="21">
                  <c:v>719450</c:v>
                </c:pt>
                <c:pt idx="22">
                  <c:v>762985.19699999993</c:v>
                </c:pt>
                <c:pt idx="23">
                  <c:v>892986</c:v>
                </c:pt>
                <c:pt idx="24">
                  <c:v>928784</c:v>
                </c:pt>
                <c:pt idx="25">
                  <c:v>994144</c:v>
                </c:pt>
                <c:pt idx="26">
                  <c:v>1069907.3536100001</c:v>
                </c:pt>
                <c:pt idx="27">
                  <c:v>1064958.34779</c:v>
                </c:pt>
                <c:pt idx="28">
                  <c:v>1032526.294388</c:v>
                </c:pt>
                <c:pt idx="29">
                  <c:v>1117260</c:v>
                </c:pt>
                <c:pt idx="30">
                  <c:v>1184590</c:v>
                </c:pt>
              </c:numCache>
            </c:numRef>
          </c:val>
          <c:extLst>
            <c:ext xmlns:c16="http://schemas.microsoft.com/office/drawing/2014/chart" uri="{C3380CC4-5D6E-409C-BE32-E72D297353CC}">
              <c16:uniqueId val="{00000001-16DD-4CD9-AB89-D523BEB7F3E4}"/>
            </c:ext>
          </c:extLst>
        </c:ser>
        <c:dLbls>
          <c:showLegendKey val="0"/>
          <c:showVal val="0"/>
          <c:showCatName val="0"/>
          <c:showSerName val="0"/>
          <c:showPercent val="0"/>
          <c:showBubbleSize val="0"/>
        </c:dLbls>
        <c:gapWidth val="150"/>
        <c:axId val="134513024"/>
        <c:axId val="134514944"/>
      </c:barChart>
      <c:catAx>
        <c:axId val="134513024"/>
        <c:scaling>
          <c:orientation val="minMax"/>
        </c:scaling>
        <c:delete val="0"/>
        <c:axPos val="b"/>
        <c:title>
          <c:tx>
            <c:rich>
              <a:bodyPr/>
              <a:lstStyle/>
              <a:p>
                <a:pPr>
                  <a:defRPr/>
                </a:pPr>
                <a:r>
                  <a:rPr lang="en-AU"/>
                  <a:t>Source: World Steel Association and China Customs</a:t>
                </a:r>
              </a:p>
            </c:rich>
          </c:tx>
          <c:layout>
            <c:manualLayout>
              <c:xMode val="edge"/>
              <c:yMode val="edge"/>
              <c:x val="4.6619739607250349E-3"/>
              <c:y val="0.94268385162811474"/>
            </c:manualLayout>
          </c:layout>
          <c:overlay val="0"/>
        </c:title>
        <c:numFmt formatCode="General" sourceLinked="1"/>
        <c:majorTickMark val="none"/>
        <c:minorTickMark val="none"/>
        <c:tickLblPos val="nextTo"/>
        <c:crossAx val="134514944"/>
        <c:crosses val="autoZero"/>
        <c:auto val="1"/>
        <c:lblAlgn val="ctr"/>
        <c:lblOffset val="100"/>
        <c:noMultiLvlLbl val="0"/>
      </c:catAx>
      <c:valAx>
        <c:axId val="134514944"/>
        <c:scaling>
          <c:orientation val="minMax"/>
        </c:scaling>
        <c:delete val="0"/>
        <c:axPos val="l"/>
        <c:majorGridlines/>
        <c:title>
          <c:tx>
            <c:rich>
              <a:bodyPr rot="-5400000" vert="horz"/>
              <a:lstStyle/>
              <a:p>
                <a:pPr>
                  <a:defRPr/>
                </a:pPr>
                <a:r>
                  <a:rPr lang="en-AU"/>
                  <a:t>'000 Tonnes</a:t>
                </a:r>
              </a:p>
            </c:rich>
          </c:tx>
          <c:overlay val="0"/>
        </c:title>
        <c:numFmt formatCode="#,##0" sourceLinked="1"/>
        <c:majorTickMark val="none"/>
        <c:minorTickMark val="none"/>
        <c:tickLblPos val="nextTo"/>
        <c:crossAx val="13451302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 2020-21</a:t>
            </a:r>
          </a:p>
        </c:rich>
      </c:tx>
      <c:overlay val="0"/>
    </c:title>
    <c:autoTitleDeleted val="0"/>
    <c:plotArea>
      <c:layout>
        <c:manualLayout>
          <c:layoutTarget val="inner"/>
          <c:xMode val="edge"/>
          <c:yMode val="edge"/>
          <c:x val="0.30342352376900794"/>
          <c:y val="9.6953903354232915E-2"/>
          <c:w val="0.44551251793278313"/>
          <c:h val="0.7796026685724925"/>
        </c:manualLayout>
      </c:layout>
      <c:pieChart>
        <c:varyColors val="1"/>
        <c:ser>
          <c:idx val="0"/>
          <c:order val="0"/>
          <c:tx>
            <c:strRef>
              <c:f>'China Steel Prod &amp; Iron Ore FY'!$I$56</c:f>
              <c:strCache>
                <c:ptCount val="1"/>
                <c:pt idx="0">
                  <c:v>% Of Total by Value</c:v>
                </c:pt>
              </c:strCache>
            </c:strRef>
          </c:tx>
          <c:dLbls>
            <c:dLbl>
              <c:idx val="0"/>
              <c:layout>
                <c:manualLayout>
                  <c:x val="0.17145256673325746"/>
                  <c:y val="-0.1110310081632186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DC-454D-AEB6-898BF198D1D3}"/>
                </c:ext>
              </c:extLst>
            </c:dLbl>
            <c:dLbl>
              <c:idx val="1"/>
              <c:layout>
                <c:manualLayout>
                  <c:x val="-0.11880283081749236"/>
                  <c:y val="0.1587317934841973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DC-454D-AEB6-898BF198D1D3}"/>
                </c:ext>
              </c:extLst>
            </c:dLbl>
            <c:dLbl>
              <c:idx val="4"/>
              <c:layout>
                <c:manualLayout>
                  <c:x val="2.0867303468229396E-2"/>
                  <c:y val="-2.839086138855359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DE-4C76-89AD-8D3E52FB8014}"/>
                </c:ext>
              </c:extLst>
            </c:dLbl>
            <c:dLbl>
              <c:idx val="5"/>
              <c:layout>
                <c:manualLayout>
                  <c:x val="4.2070077500061233E-2"/>
                  <c:y val="-2.83402025104288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DE-4C76-89AD-8D3E52FB8014}"/>
                </c:ext>
              </c:extLst>
            </c:dLbl>
            <c:dLbl>
              <c:idx val="6"/>
              <c:layout>
                <c:manualLayout>
                  <c:x val="4.6865945178058005E-2"/>
                  <c:y val="-2.333164470406250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DE-4C76-89AD-8D3E52FB8014}"/>
                </c:ext>
              </c:extLst>
            </c:dLbl>
            <c:dLbl>
              <c:idx val="7"/>
              <c:layout>
                <c:manualLayout>
                  <c:x val="6.1172757055582651E-2"/>
                  <c:y val="-1.550099128792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DE-4C76-89AD-8D3E52FB8014}"/>
                </c:ext>
              </c:extLst>
            </c:dLbl>
            <c:dLbl>
              <c:idx val="8"/>
              <c:layout>
                <c:manualLayout>
                  <c:x val="3.3285837565902164E-2"/>
                  <c:y val="2.6244634432610143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DE-4C76-89AD-8D3E52FB8014}"/>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'China Steel Prod &amp; Iron Ore FY'!$F$57:$F$67</c:f>
              <c:strCache>
                <c:ptCount val="11"/>
                <c:pt idx="0">
                  <c:v>Australia</c:v>
                </c:pt>
                <c:pt idx="1">
                  <c:v>Brazil</c:v>
                </c:pt>
                <c:pt idx="2">
                  <c:v>South Africa</c:v>
                </c:pt>
                <c:pt idx="3">
                  <c:v>India</c:v>
                </c:pt>
                <c:pt idx="4">
                  <c:v>Ukraine</c:v>
                </c:pt>
                <c:pt idx="5">
                  <c:v>Canada</c:v>
                </c:pt>
                <c:pt idx="6">
                  <c:v>Peru</c:v>
                </c:pt>
                <c:pt idx="7">
                  <c:v>Chile</c:v>
                </c:pt>
                <c:pt idx="8">
                  <c:v>Russian Federation</c:v>
                </c:pt>
                <c:pt idx="9">
                  <c:v>Mauritania</c:v>
                </c:pt>
                <c:pt idx="10">
                  <c:v>All Others</c:v>
                </c:pt>
              </c:strCache>
            </c:strRef>
          </c:cat>
          <c:val>
            <c:numRef>
              <c:f>'China Steel Prod &amp; Iron Ore FY'!$I$57:$I$67</c:f>
              <c:numCache>
                <c:formatCode>0.0%</c:formatCode>
                <c:ptCount val="11"/>
                <c:pt idx="0">
                  <c:v>0.59826157323730644</c:v>
                </c:pt>
                <c:pt idx="1">
                  <c:v>0.21677571946873525</c:v>
                </c:pt>
                <c:pt idx="2">
                  <c:v>3.7127265071598615E-2</c:v>
                </c:pt>
                <c:pt idx="3">
                  <c:v>3.5589750322682343E-2</c:v>
                </c:pt>
                <c:pt idx="4">
                  <c:v>2.2484360436200505E-2</c:v>
                </c:pt>
                <c:pt idx="5">
                  <c:v>1.843891283265266E-2</c:v>
                </c:pt>
                <c:pt idx="6">
                  <c:v>1.4680184242884625E-2</c:v>
                </c:pt>
                <c:pt idx="7">
                  <c:v>1.2817512091817099E-2</c:v>
                </c:pt>
                <c:pt idx="8">
                  <c:v>9.3825694378246987E-3</c:v>
                </c:pt>
                <c:pt idx="9">
                  <c:v>6.7943094446852913E-3</c:v>
                </c:pt>
                <c:pt idx="10">
                  <c:v>2.7647843413612594E-2</c:v>
                </c:pt>
              </c:numCache>
            </c:numRef>
          </c:val>
          <c:extLst>
            <c:ext xmlns:c16="http://schemas.microsoft.com/office/drawing/2014/chart" uri="{C3380CC4-5D6E-409C-BE32-E72D297353CC}">
              <c16:uniqueId val="{00000000-03BE-4BB2-9C5C-7DE633EC5694}"/>
            </c:ext>
          </c:extLst>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Year</a:t>
            </a:r>
          </a:p>
        </c:rich>
      </c:tx>
      <c:overlay val="0"/>
    </c:title>
    <c:autoTitleDeleted val="0"/>
    <c:plotArea>
      <c:layout/>
      <c:barChart>
        <c:barDir val="col"/>
        <c:grouping val="clustered"/>
        <c:varyColors val="0"/>
        <c:ser>
          <c:idx val="0"/>
          <c:order val="0"/>
          <c:tx>
            <c:strRef>
              <c:f>'Alumina - Q&amp;V'!$U$35</c:f>
              <c:strCache>
                <c:ptCount val="1"/>
                <c:pt idx="0">
                  <c:v>Quantity (Mt)</c:v>
                </c:pt>
              </c:strCache>
            </c:strRef>
          </c:tx>
          <c:invertIfNegative val="0"/>
          <c:cat>
            <c:strRef>
              <c:f>'Alumina - Q&amp;V'!$S$36:$S$58</c:f>
              <c:strCache>
                <c:ptCount val="2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strCache>
            </c:strRef>
          </c:cat>
          <c:val>
            <c:numRef>
              <c:f>'Alumina - Q&amp;V'!$U$36:$U$58</c:f>
              <c:numCache>
                <c:formatCode>0.00</c:formatCode>
                <c:ptCount val="23"/>
                <c:pt idx="0">
                  <c:v>9.0250000000000004</c:v>
                </c:pt>
                <c:pt idx="1">
                  <c:v>9.3539999999999992</c:v>
                </c:pt>
                <c:pt idx="2">
                  <c:v>10.489000000000001</c:v>
                </c:pt>
                <c:pt idx="3">
                  <c:v>10.856999999999999</c:v>
                </c:pt>
                <c:pt idx="4">
                  <c:v>11.131</c:v>
                </c:pt>
                <c:pt idx="5">
                  <c:v>11.165835</c:v>
                </c:pt>
                <c:pt idx="6">
                  <c:v>11.140179</c:v>
                </c:pt>
                <c:pt idx="7">
                  <c:v>11.453193750000001</c:v>
                </c:pt>
                <c:pt idx="8">
                  <c:v>11.991247063000001</c:v>
                </c:pt>
                <c:pt idx="9">
                  <c:v>12.321277792</c:v>
                </c:pt>
                <c:pt idx="10">
                  <c:v>12.271552999999999</c:v>
                </c:pt>
                <c:pt idx="11">
                  <c:v>12.643178000000001</c:v>
                </c:pt>
                <c:pt idx="12">
                  <c:v>12.280629000000001</c:v>
                </c:pt>
                <c:pt idx="13">
                  <c:v>12.424860330000001</c:v>
                </c:pt>
                <c:pt idx="14">
                  <c:v>13.53075217</c:v>
                </c:pt>
                <c:pt idx="15">
                  <c:v>13.717951679999999</c:v>
                </c:pt>
                <c:pt idx="16">
                  <c:v>13.771412276</c:v>
                </c:pt>
                <c:pt idx="17">
                  <c:v>13.941242519999999</c:v>
                </c:pt>
                <c:pt idx="18">
                  <c:v>14.165722300000001</c:v>
                </c:pt>
                <c:pt idx="19">
                  <c:v>14.78678964</c:v>
                </c:pt>
                <c:pt idx="20">
                  <c:v>15.427533049999999</c:v>
                </c:pt>
                <c:pt idx="21">
                  <c:v>15.804008442999999</c:v>
                </c:pt>
                <c:pt idx="22">
                  <c:v>16.205112270000001</c:v>
                </c:pt>
              </c:numCache>
            </c:numRef>
          </c:val>
          <c:extLst>
            <c:ext xmlns:c16="http://schemas.microsoft.com/office/drawing/2014/chart" uri="{C3380CC4-5D6E-409C-BE32-E72D297353CC}">
              <c16:uniqueId val="{00000000-3B8D-47A5-AAF8-DB731F6958CC}"/>
            </c:ext>
          </c:extLst>
        </c:ser>
        <c:dLbls>
          <c:showLegendKey val="0"/>
          <c:showVal val="0"/>
          <c:showCatName val="0"/>
          <c:showSerName val="0"/>
          <c:showPercent val="0"/>
          <c:showBubbleSize val="0"/>
        </c:dLbls>
        <c:gapWidth val="40"/>
        <c:axId val="117335168"/>
        <c:axId val="117316608"/>
      </c:barChart>
      <c:lineChart>
        <c:grouping val="standard"/>
        <c:varyColors val="0"/>
        <c:ser>
          <c:idx val="1"/>
          <c:order val="1"/>
          <c:tx>
            <c:strRef>
              <c:f>'Alumina - Q&amp;V'!$V$35</c:f>
              <c:strCache>
                <c:ptCount val="1"/>
                <c:pt idx="0">
                  <c:v>Value ($ Million)</c:v>
                </c:pt>
              </c:strCache>
            </c:strRef>
          </c:tx>
          <c:spPr>
            <a:ln w="50800"/>
          </c:spPr>
          <c:marker>
            <c:symbol val="none"/>
          </c:marker>
          <c:cat>
            <c:strRef>
              <c:f>'Alumina - Q&amp;V'!$S$36:$T$58</c:f>
              <c:strCache>
                <c:ptCount val="23"/>
                <c:pt idx="0">
                  <c:v>1998-1999</c:v>
                </c:pt>
                <c:pt idx="1">
                  <c:v>1999-2000</c:v>
                </c:pt>
                <c:pt idx="2">
                  <c:v>2000-2001</c:v>
                </c:pt>
                <c:pt idx="3">
                  <c:v>2001-2002</c:v>
                </c:pt>
                <c:pt idx="4">
                  <c:v>2002-2003</c:v>
                </c:pt>
                <c:pt idx="5">
                  <c:v>2003-2004</c:v>
                </c:pt>
                <c:pt idx="6">
                  <c:v>2004-2005</c:v>
                </c:pt>
                <c:pt idx="7">
                  <c:v>2005-2006</c:v>
                </c:pt>
                <c:pt idx="8">
                  <c:v>2006-2007</c:v>
                </c:pt>
                <c:pt idx="9">
                  <c:v>2007-2008</c:v>
                </c:pt>
                <c:pt idx="10">
                  <c:v>2008-2009</c:v>
                </c:pt>
                <c:pt idx="11">
                  <c:v>2009-2010</c:v>
                </c:pt>
                <c:pt idx="12">
                  <c:v>2010-2011</c:v>
                </c:pt>
                <c:pt idx="13">
                  <c:v>2011-2012</c:v>
                </c:pt>
                <c:pt idx="14">
                  <c:v>2012-2013</c:v>
                </c:pt>
                <c:pt idx="15">
                  <c:v>2013-2014</c:v>
                </c:pt>
                <c:pt idx="16">
                  <c:v>2014-2015</c:v>
                </c:pt>
                <c:pt idx="17">
                  <c:v>2015-2016</c:v>
                </c:pt>
                <c:pt idx="18">
                  <c:v>2016-2017</c:v>
                </c:pt>
                <c:pt idx="19">
                  <c:v>2017-2018</c:v>
                </c:pt>
                <c:pt idx="20">
                  <c:v>2018-2019</c:v>
                </c:pt>
                <c:pt idx="21">
                  <c:v>2019-2020</c:v>
                </c:pt>
                <c:pt idx="22">
                  <c:v>2020-2021</c:v>
                </c:pt>
              </c:strCache>
            </c:strRef>
          </c:cat>
          <c:val>
            <c:numRef>
              <c:f>'Alumina - Q&amp;V'!$V$36:$V$58</c:f>
              <c:numCache>
                <c:formatCode>"$"#,##0.00</c:formatCode>
                <c:ptCount val="23"/>
                <c:pt idx="0">
                  <c:v>2367.0300000000002</c:v>
                </c:pt>
                <c:pt idx="1">
                  <c:v>2657.8900000000003</c:v>
                </c:pt>
                <c:pt idx="2">
                  <c:v>3600.67</c:v>
                </c:pt>
                <c:pt idx="3">
                  <c:v>3584.38</c:v>
                </c:pt>
                <c:pt idx="4">
                  <c:v>3204.66</c:v>
                </c:pt>
                <c:pt idx="5">
                  <c:v>3085.1100247499999</c:v>
                </c:pt>
                <c:pt idx="6">
                  <c:v>3430.6900945099997</c:v>
                </c:pt>
                <c:pt idx="7">
                  <c:v>4152.9436305500003</c:v>
                </c:pt>
                <c:pt idx="8">
                  <c:v>5151.2889824599997</c:v>
                </c:pt>
                <c:pt idx="9">
                  <c:v>4838.4174535100001</c:v>
                </c:pt>
                <c:pt idx="10">
                  <c:v>4352.6439503800002</c:v>
                </c:pt>
                <c:pt idx="11">
                  <c:v>3871.1918016600002</c:v>
                </c:pt>
                <c:pt idx="12">
                  <c:v>3990.3763751500001</c:v>
                </c:pt>
                <c:pt idx="13">
                  <c:v>4010.2193815799992</c:v>
                </c:pt>
                <c:pt idx="14">
                  <c:v>4027.8102172099998</c:v>
                </c:pt>
                <c:pt idx="15">
                  <c:v>4295.34869901</c:v>
                </c:pt>
                <c:pt idx="16">
                  <c:v>5022.7212179999997</c:v>
                </c:pt>
                <c:pt idx="17">
                  <c:v>4939.2324700000008</c:v>
                </c:pt>
                <c:pt idx="18">
                  <c:v>5088.5593659999995</c:v>
                </c:pt>
                <c:pt idx="19">
                  <c:v>6643.5232760000008</c:v>
                </c:pt>
                <c:pt idx="20">
                  <c:v>8279.4404290000002</c:v>
                </c:pt>
                <c:pt idx="21">
                  <c:v>6416.3996370000004</c:v>
                </c:pt>
                <c:pt idx="22">
                  <c:v>5565.0205449999994</c:v>
                </c:pt>
              </c:numCache>
            </c:numRef>
          </c:val>
          <c:smooth val="0"/>
          <c:extLst>
            <c:ext xmlns:c16="http://schemas.microsoft.com/office/drawing/2014/chart" uri="{C3380CC4-5D6E-409C-BE32-E72D297353CC}">
              <c16:uniqueId val="{00000001-3B8D-47A5-AAF8-DB731F6958CC}"/>
            </c:ext>
          </c:extLst>
        </c:ser>
        <c:dLbls>
          <c:showLegendKey val="0"/>
          <c:showVal val="0"/>
          <c:showCatName val="0"/>
          <c:showSerName val="0"/>
          <c:showPercent val="0"/>
          <c:showBubbleSize val="0"/>
        </c:dLbls>
        <c:marker val="1"/>
        <c:smooth val="0"/>
        <c:axId val="117312512"/>
        <c:axId val="117314688"/>
      </c:lineChart>
      <c:catAx>
        <c:axId val="117312512"/>
        <c:scaling>
          <c:orientation val="minMax"/>
        </c:scaling>
        <c:delete val="0"/>
        <c:axPos val="b"/>
        <c:title>
          <c:tx>
            <c:rich>
              <a:bodyPr/>
              <a:lstStyle/>
              <a:p>
                <a:pPr>
                  <a:defRPr sz="900"/>
                </a:pPr>
                <a:r>
                  <a:rPr lang="en-AU" sz="900"/>
                  <a:t>Source: DM</a:t>
                </a:r>
                <a:r>
                  <a:rPr lang="en-AU" sz="900" b="1" i="0" u="none" strike="noStrike" baseline="0">
                    <a:effectLst/>
                  </a:rPr>
                  <a:t>IRS</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17314688"/>
        <c:crosses val="autoZero"/>
        <c:auto val="1"/>
        <c:lblAlgn val="ctr"/>
        <c:lblOffset val="100"/>
        <c:tickLblSkip val="1"/>
        <c:noMultiLvlLbl val="1"/>
      </c:catAx>
      <c:valAx>
        <c:axId val="117314688"/>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312512"/>
        <c:crosses val="autoZero"/>
        <c:crossBetween val="between"/>
      </c:valAx>
      <c:valAx>
        <c:axId val="117316608"/>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17335168"/>
        <c:crosses val="max"/>
        <c:crossBetween val="between"/>
      </c:valAx>
      <c:catAx>
        <c:axId val="117335168"/>
        <c:scaling>
          <c:orientation val="minMax"/>
        </c:scaling>
        <c:delete val="1"/>
        <c:axPos val="b"/>
        <c:numFmt formatCode="General" sourceLinked="1"/>
        <c:majorTickMark val="out"/>
        <c:minorTickMark val="none"/>
        <c:tickLblPos val="nextTo"/>
        <c:crossAx val="11731660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Spodumene Concentrate </a:t>
            </a:r>
          </a:p>
          <a:p>
            <a:pPr>
              <a:defRPr/>
            </a:pPr>
            <a:r>
              <a:rPr lang="en-US" sz="1100"/>
              <a:t>Quantity And Value By Quarter</a:t>
            </a:r>
          </a:p>
        </c:rich>
      </c:tx>
      <c:overlay val="0"/>
    </c:title>
    <c:autoTitleDeleted val="0"/>
    <c:plotArea>
      <c:layout/>
      <c:barChart>
        <c:barDir val="col"/>
        <c:grouping val="clustered"/>
        <c:varyColors val="0"/>
        <c:ser>
          <c:idx val="0"/>
          <c:order val="0"/>
          <c:tx>
            <c:strRef>
              <c:f>'Lithium - Q&amp;V'!$Q$9</c:f>
              <c:strCache>
                <c:ptCount val="1"/>
                <c:pt idx="0">
                  <c:v>Quantity (Kt)</c:v>
                </c:pt>
              </c:strCache>
            </c:strRef>
          </c:tx>
          <c:spPr>
            <a:solidFill>
              <a:srgbClr val="F69240"/>
            </a:solidFill>
          </c:spPr>
          <c:invertIfNegative val="0"/>
          <c:cat>
            <c:numRef>
              <c:f>'Iron Ore - Q&amp;V'!$S$10:$S$19</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'Lithium - Q&amp;V'!$Q$10:$Q$19</c:f>
              <c:numCache>
                <c:formatCode>#,##0.00</c:formatCode>
                <c:ptCount val="10"/>
                <c:pt idx="0">
                  <c:v>405.89135299999998</c:v>
                </c:pt>
                <c:pt idx="1">
                  <c:v>398.65754000000004</c:v>
                </c:pt>
                <c:pt idx="2">
                  <c:v>407.50171049999994</c:v>
                </c:pt>
                <c:pt idx="3">
                  <c:v>376.21242000000001</c:v>
                </c:pt>
                <c:pt idx="4">
                  <c:v>363.39028000000002</c:v>
                </c:pt>
                <c:pt idx="5">
                  <c:v>312.69251000000003</c:v>
                </c:pt>
                <c:pt idx="6">
                  <c:v>360.40602199999995</c:v>
                </c:pt>
                <c:pt idx="7">
                  <c:v>443.38334499999996</c:v>
                </c:pt>
                <c:pt idx="8">
                  <c:v>353.38284000000004</c:v>
                </c:pt>
                <c:pt idx="9">
                  <c:v>470.59901000000002</c:v>
                </c:pt>
              </c:numCache>
            </c:numRef>
          </c:val>
          <c:extLst>
            <c:ext xmlns:c16="http://schemas.microsoft.com/office/drawing/2014/chart" uri="{C3380CC4-5D6E-409C-BE32-E72D297353CC}">
              <c16:uniqueId val="{00000000-0ABF-41DC-8AC6-6ADAA2A53DFC}"/>
            </c:ext>
          </c:extLst>
        </c:ser>
        <c:dLbls>
          <c:showLegendKey val="0"/>
          <c:showVal val="0"/>
          <c:showCatName val="0"/>
          <c:showSerName val="0"/>
          <c:showPercent val="0"/>
          <c:showBubbleSize val="0"/>
        </c:dLbls>
        <c:gapWidth val="40"/>
        <c:axId val="135059328"/>
        <c:axId val="135057408"/>
      </c:barChart>
      <c:lineChart>
        <c:grouping val="standard"/>
        <c:varyColors val="0"/>
        <c:ser>
          <c:idx val="1"/>
          <c:order val="1"/>
          <c:tx>
            <c:strRef>
              <c:f>'Lithium - Q&amp;V'!$R$9</c:f>
              <c:strCache>
                <c:ptCount val="1"/>
                <c:pt idx="0">
                  <c:v>Value ($ Million)</c:v>
                </c:pt>
              </c:strCache>
            </c:strRef>
          </c:tx>
          <c:spPr>
            <a:ln>
              <a:solidFill>
                <a:srgbClr val="F6BEA2"/>
              </a:solidFill>
            </a:ln>
          </c:spPr>
          <c:marker>
            <c:symbol val="none"/>
          </c:marker>
          <c:cat>
            <c:numRef>
              <c:f>'Lithium - Q&amp;V'!$P$10:$P$19</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'Lithium - Q&amp;V'!$R$10:$R$19</c:f>
              <c:numCache>
                <c:formatCode>#,##0.00</c:formatCode>
                <c:ptCount val="10"/>
                <c:pt idx="0">
                  <c:v>391.29296499999998</c:v>
                </c:pt>
                <c:pt idx="1">
                  <c:v>351.14332300000001</c:v>
                </c:pt>
                <c:pt idx="2">
                  <c:v>326.05080600000002</c:v>
                </c:pt>
                <c:pt idx="3">
                  <c:v>248.86644699999999</c:v>
                </c:pt>
                <c:pt idx="4">
                  <c:v>234.55637300000001</c:v>
                </c:pt>
                <c:pt idx="5">
                  <c:v>189.18253200000001</c:v>
                </c:pt>
                <c:pt idx="6">
                  <c:v>176.94475600000001</c:v>
                </c:pt>
                <c:pt idx="7">
                  <c:v>222.063152</c:v>
                </c:pt>
                <c:pt idx="8">
                  <c:v>231.33901499999999</c:v>
                </c:pt>
                <c:pt idx="9">
                  <c:v>307.95810299999999</c:v>
                </c:pt>
              </c:numCache>
            </c:numRef>
          </c:val>
          <c:smooth val="0"/>
          <c:extLst>
            <c:ext xmlns:c16="http://schemas.microsoft.com/office/drawing/2014/chart" uri="{C3380CC4-5D6E-409C-BE32-E72D297353CC}">
              <c16:uniqueId val="{00000001-0ABF-41DC-8AC6-6ADAA2A53DFC}"/>
            </c:ext>
          </c:extLst>
        </c:ser>
        <c:dLbls>
          <c:showLegendKey val="0"/>
          <c:showVal val="0"/>
          <c:showCatName val="0"/>
          <c:showSerName val="0"/>
          <c:showPercent val="0"/>
          <c:showBubbleSize val="0"/>
        </c:dLbls>
        <c:marker val="1"/>
        <c:smooth val="0"/>
        <c:axId val="135036928"/>
        <c:axId val="135038848"/>
      </c:lineChart>
      <c:catAx>
        <c:axId val="135036928"/>
        <c:scaling>
          <c:orientation val="minMax"/>
        </c:scaling>
        <c:delete val="0"/>
        <c:axPos val="b"/>
        <c:title>
          <c:tx>
            <c:rich>
              <a:bodyPr/>
              <a:lstStyle/>
              <a:p>
                <a:pPr>
                  <a:defRPr sz="900"/>
                </a:pPr>
                <a:r>
                  <a:rPr lang="en-AU" sz="900"/>
                  <a:t>Source: DMIRS</a:t>
                </a:r>
              </a:p>
            </c:rich>
          </c:tx>
          <c:layout>
            <c:manualLayout>
              <c:xMode val="edge"/>
              <c:yMode val="edge"/>
              <c:x val="0"/>
              <c:y val="0.94405902037274514"/>
            </c:manualLayout>
          </c:layout>
          <c:overlay val="0"/>
        </c:title>
        <c:numFmt formatCode="mmm\-yy" sourceLinked="1"/>
        <c:majorTickMark val="out"/>
        <c:minorTickMark val="none"/>
        <c:tickLblPos val="nextTo"/>
        <c:txPr>
          <a:bodyPr rot="-2700000"/>
          <a:lstStyle/>
          <a:p>
            <a:pPr>
              <a:defRPr/>
            </a:pPr>
            <a:endParaRPr lang="en-US"/>
          </a:p>
        </c:txPr>
        <c:crossAx val="135038848"/>
        <c:crosses val="autoZero"/>
        <c:auto val="0"/>
        <c:lblAlgn val="ctr"/>
        <c:lblOffset val="100"/>
        <c:noMultiLvlLbl val="0"/>
      </c:catAx>
      <c:valAx>
        <c:axId val="135038848"/>
        <c:scaling>
          <c:orientation val="minMax"/>
        </c:scaling>
        <c:delete val="0"/>
        <c:axPos val="l"/>
        <c:majorGridlines/>
        <c:title>
          <c:tx>
            <c:rich>
              <a:bodyPr rot="-5400000" vert="horz"/>
              <a:lstStyle/>
              <a:p>
                <a:pPr>
                  <a:defRPr/>
                </a:pPr>
                <a:r>
                  <a:rPr lang="en-AU"/>
                  <a:t>$ Million</a:t>
                </a:r>
              </a:p>
            </c:rich>
          </c:tx>
          <c:layout>
            <c:manualLayout>
              <c:xMode val="edge"/>
              <c:yMode val="edge"/>
              <c:x val="1.5211761754722063E-2"/>
              <c:y val="0.50071893574318538"/>
            </c:manualLayout>
          </c:layout>
          <c:overlay val="0"/>
        </c:title>
        <c:numFmt formatCode="#,##0" sourceLinked="0"/>
        <c:majorTickMark val="out"/>
        <c:minorTickMark val="none"/>
        <c:tickLblPos val="nextTo"/>
        <c:crossAx val="135036928"/>
        <c:crosses val="autoZero"/>
        <c:crossBetween val="between"/>
      </c:valAx>
      <c:valAx>
        <c:axId val="135057408"/>
        <c:scaling>
          <c:orientation val="minMax"/>
        </c:scaling>
        <c:delete val="0"/>
        <c:axPos val="r"/>
        <c:title>
          <c:tx>
            <c:rich>
              <a:bodyPr rot="-5400000" vert="horz"/>
              <a:lstStyle/>
              <a:p>
                <a:pPr>
                  <a:defRPr/>
                </a:pPr>
                <a:r>
                  <a:rPr lang="en-AU"/>
                  <a:t>Thousand tonnes</a:t>
                </a:r>
              </a:p>
            </c:rich>
          </c:tx>
          <c:layout>
            <c:manualLayout>
              <c:xMode val="edge"/>
              <c:yMode val="edge"/>
              <c:x val="0.94957292422763095"/>
              <c:y val="0.44712802564204152"/>
            </c:manualLayout>
          </c:layout>
          <c:overlay val="0"/>
        </c:title>
        <c:numFmt formatCode="#,##0" sourceLinked="0"/>
        <c:majorTickMark val="out"/>
        <c:minorTickMark val="none"/>
        <c:tickLblPos val="nextTo"/>
        <c:crossAx val="135059328"/>
        <c:crosses val="max"/>
        <c:crossBetween val="between"/>
      </c:valAx>
      <c:dateAx>
        <c:axId val="135059328"/>
        <c:scaling>
          <c:orientation val="minMax"/>
        </c:scaling>
        <c:delete val="1"/>
        <c:axPos val="b"/>
        <c:numFmt formatCode="mmm\-yy" sourceLinked="1"/>
        <c:majorTickMark val="out"/>
        <c:minorTickMark val="none"/>
        <c:tickLblPos val="nextTo"/>
        <c:crossAx val="13505740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Spodumene Concentrate 
</a:t>
            </a:r>
            <a:r>
              <a:rPr lang="en-US" sz="1100"/>
              <a:t>Quantity And Value By Year</a:t>
            </a:r>
          </a:p>
        </c:rich>
      </c:tx>
      <c:layout>
        <c:manualLayout>
          <c:xMode val="edge"/>
          <c:yMode val="edge"/>
          <c:x val="0.3201034866444088"/>
          <c:y val="1.5326561969755263E-2"/>
        </c:manualLayout>
      </c:layout>
      <c:overlay val="0"/>
    </c:title>
    <c:autoTitleDeleted val="0"/>
    <c:plotArea>
      <c:layout/>
      <c:barChart>
        <c:barDir val="col"/>
        <c:grouping val="clustered"/>
        <c:varyColors val="0"/>
        <c:ser>
          <c:idx val="0"/>
          <c:order val="0"/>
          <c:tx>
            <c:strRef>
              <c:f>'Lithium - Q&amp;V'!$Q$26</c:f>
              <c:strCache>
                <c:ptCount val="1"/>
                <c:pt idx="0">
                  <c:v>Quantity (Kt)</c:v>
                </c:pt>
              </c:strCache>
            </c:strRef>
          </c:tx>
          <c:spPr>
            <a:solidFill>
              <a:srgbClr val="F69240"/>
            </a:solidFill>
          </c:spPr>
          <c:invertIfNegative val="0"/>
          <c:cat>
            <c:strRef>
              <c:f>'Lithium - Q&amp;V'!$P$27:$P$44</c:f>
              <c:strCache>
                <c:ptCount val="18"/>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pt idx="14">
                  <c:v>2017-2018</c:v>
                </c:pt>
                <c:pt idx="15">
                  <c:v>2018-2019</c:v>
                </c:pt>
                <c:pt idx="16">
                  <c:v>2019-2020</c:v>
                </c:pt>
                <c:pt idx="17">
                  <c:v>2020-2021</c:v>
                </c:pt>
              </c:strCache>
            </c:strRef>
          </c:cat>
          <c:val>
            <c:numRef>
              <c:f>'Lithium - Q&amp;V'!$Q$27:$Q$44</c:f>
              <c:numCache>
                <c:formatCode>#,##0.00</c:formatCode>
                <c:ptCount val="18"/>
                <c:pt idx="0">
                  <c:v>106.37299999999999</c:v>
                </c:pt>
                <c:pt idx="1">
                  <c:v>108.804</c:v>
                </c:pt>
                <c:pt idx="2">
                  <c:v>193.22899999999998</c:v>
                </c:pt>
                <c:pt idx="3">
                  <c:v>290.43200000000002</c:v>
                </c:pt>
                <c:pt idx="4">
                  <c:v>246.01499999999999</c:v>
                </c:pt>
                <c:pt idx="5">
                  <c:v>223.75614999999999</c:v>
                </c:pt>
                <c:pt idx="6">
                  <c:v>247.42200000000003</c:v>
                </c:pt>
                <c:pt idx="7">
                  <c:v>352.41769999999997</c:v>
                </c:pt>
                <c:pt idx="8">
                  <c:v>461.12081000000001</c:v>
                </c:pt>
                <c:pt idx="9">
                  <c:v>485.87888999999996</c:v>
                </c:pt>
                <c:pt idx="10">
                  <c:v>342.065</c:v>
                </c:pt>
                <c:pt idx="11">
                  <c:v>489.07399999999996</c:v>
                </c:pt>
                <c:pt idx="12">
                  <c:v>465.81700000000001</c:v>
                </c:pt>
                <c:pt idx="13">
                  <c:v>914.05627500000003</c:v>
                </c:pt>
                <c:pt idx="14">
                  <c:v>2138.2260175000001</c:v>
                </c:pt>
                <c:pt idx="15">
                  <c:v>1696.9076605</c:v>
                </c:pt>
                <c:pt idx="16">
                  <c:v>1459.7969205000002</c:v>
                </c:pt>
                <c:pt idx="17">
                  <c:v>1627.771217</c:v>
                </c:pt>
              </c:numCache>
            </c:numRef>
          </c:val>
          <c:extLst>
            <c:ext xmlns:c16="http://schemas.microsoft.com/office/drawing/2014/chart" uri="{C3380CC4-5D6E-409C-BE32-E72D297353CC}">
              <c16:uniqueId val="{00000000-CA73-4EFC-8B98-B24A26028273}"/>
            </c:ext>
          </c:extLst>
        </c:ser>
        <c:dLbls>
          <c:showLegendKey val="0"/>
          <c:showVal val="0"/>
          <c:showCatName val="0"/>
          <c:showSerName val="0"/>
          <c:showPercent val="0"/>
          <c:showBubbleSize val="0"/>
        </c:dLbls>
        <c:gapWidth val="40"/>
        <c:axId val="135764608"/>
        <c:axId val="135762688"/>
      </c:barChart>
      <c:lineChart>
        <c:grouping val="standard"/>
        <c:varyColors val="0"/>
        <c:ser>
          <c:idx val="1"/>
          <c:order val="1"/>
          <c:tx>
            <c:strRef>
              <c:f>'Lithium - Q&amp;V'!$R$26</c:f>
              <c:strCache>
                <c:ptCount val="1"/>
                <c:pt idx="0">
                  <c:v>Value ($ Million)</c:v>
                </c:pt>
              </c:strCache>
            </c:strRef>
          </c:tx>
          <c:spPr>
            <a:ln>
              <a:solidFill>
                <a:srgbClr val="F6BEA2"/>
              </a:solidFill>
            </a:ln>
          </c:spPr>
          <c:marker>
            <c:symbol val="none"/>
          </c:marker>
          <c:cat>
            <c:strRef>
              <c:f>'Lithium - Q&amp;V'!$P$27:$P$44</c:f>
              <c:strCache>
                <c:ptCount val="18"/>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pt idx="14">
                  <c:v>2017-2018</c:v>
                </c:pt>
                <c:pt idx="15">
                  <c:v>2018-2019</c:v>
                </c:pt>
                <c:pt idx="16">
                  <c:v>2019-2020</c:v>
                </c:pt>
                <c:pt idx="17">
                  <c:v>2020-2021</c:v>
                </c:pt>
              </c:strCache>
            </c:strRef>
          </c:cat>
          <c:val>
            <c:numRef>
              <c:f>'Lithium - Q&amp;V'!$R$27:$R$44</c:f>
              <c:numCache>
                <c:formatCode>#,##0.00</c:formatCode>
                <c:ptCount val="18"/>
                <c:pt idx="0">
                  <c:v>21.381602999999998</c:v>
                </c:pt>
                <c:pt idx="1">
                  <c:v>23.466170999999999</c:v>
                </c:pt>
                <c:pt idx="2">
                  <c:v>36.636462000000002</c:v>
                </c:pt>
                <c:pt idx="3">
                  <c:v>72.200943999999993</c:v>
                </c:pt>
                <c:pt idx="4">
                  <c:v>69.975835000000004</c:v>
                </c:pt>
                <c:pt idx="5">
                  <c:v>80.063204330000005</c:v>
                </c:pt>
                <c:pt idx="6">
                  <c:v>73.436811000000006</c:v>
                </c:pt>
                <c:pt idx="7">
                  <c:v>103.31767997</c:v>
                </c:pt>
                <c:pt idx="8">
                  <c:v>138.41382105999998</c:v>
                </c:pt>
                <c:pt idx="9">
                  <c:v>178.78668435</c:v>
                </c:pt>
                <c:pt idx="10">
                  <c:v>150.56437763999998</c:v>
                </c:pt>
                <c:pt idx="11">
                  <c:v>245.87438700000001</c:v>
                </c:pt>
                <c:pt idx="12">
                  <c:v>260.72154</c:v>
                </c:pt>
                <c:pt idx="13">
                  <c:v>595.47209499999997</c:v>
                </c:pt>
                <c:pt idx="14">
                  <c:v>1698.4669669999998</c:v>
                </c:pt>
                <c:pt idx="15">
                  <c:v>1661.1034990000001</c:v>
                </c:pt>
                <c:pt idx="16">
                  <c:v>998.65615800000012</c:v>
                </c:pt>
                <c:pt idx="17">
                  <c:v>938.305026</c:v>
                </c:pt>
              </c:numCache>
            </c:numRef>
          </c:val>
          <c:smooth val="0"/>
          <c:extLst>
            <c:ext xmlns:c16="http://schemas.microsoft.com/office/drawing/2014/chart" uri="{C3380CC4-5D6E-409C-BE32-E72D297353CC}">
              <c16:uniqueId val="{00000001-CA73-4EFC-8B98-B24A26028273}"/>
            </c:ext>
          </c:extLst>
        </c:ser>
        <c:dLbls>
          <c:showLegendKey val="0"/>
          <c:showVal val="0"/>
          <c:showCatName val="0"/>
          <c:showSerName val="0"/>
          <c:showPercent val="0"/>
          <c:showBubbleSize val="0"/>
        </c:dLbls>
        <c:marker val="1"/>
        <c:smooth val="0"/>
        <c:axId val="135750400"/>
        <c:axId val="135752320"/>
      </c:lineChart>
      <c:dateAx>
        <c:axId val="135750400"/>
        <c:scaling>
          <c:orientation val="minMax"/>
        </c:scaling>
        <c:delete val="0"/>
        <c:axPos val="b"/>
        <c:title>
          <c:tx>
            <c:rich>
              <a:bodyPr/>
              <a:lstStyle/>
              <a:p>
                <a:pPr>
                  <a:defRPr sz="900"/>
                </a:pPr>
                <a:r>
                  <a:rPr lang="en-AU" sz="900"/>
                  <a:t>Source: DMIRS</a:t>
                </a:r>
              </a:p>
            </c:rich>
          </c:tx>
          <c:layout>
            <c:manualLayout>
              <c:xMode val="edge"/>
              <c:yMode val="edge"/>
              <c:x val="9.3738967744948706E-3"/>
              <c:y val="0.95020412084185546"/>
            </c:manualLayout>
          </c:layout>
          <c:overlay val="0"/>
        </c:title>
        <c:numFmt formatCode="@@@@@@@@@" sourceLinked="0"/>
        <c:majorTickMark val="out"/>
        <c:minorTickMark val="none"/>
        <c:tickLblPos val="nextTo"/>
        <c:txPr>
          <a:bodyPr rot="-2700000"/>
          <a:lstStyle/>
          <a:p>
            <a:pPr>
              <a:defRPr/>
            </a:pPr>
            <a:endParaRPr lang="en-US"/>
          </a:p>
        </c:txPr>
        <c:crossAx val="135752320"/>
        <c:crosses val="autoZero"/>
        <c:auto val="0"/>
        <c:lblOffset val="100"/>
        <c:baseTimeUnit val="days"/>
        <c:majorUnit val="1"/>
        <c:majorTimeUnit val="days"/>
      </c:dateAx>
      <c:valAx>
        <c:axId val="135752320"/>
        <c:scaling>
          <c:orientation val="minMax"/>
        </c:scaling>
        <c:delete val="0"/>
        <c:axPos val="l"/>
        <c:majorGridlines/>
        <c:title>
          <c:tx>
            <c:rich>
              <a:bodyPr rot="-5400000" vert="horz"/>
              <a:lstStyle/>
              <a:p>
                <a:pPr>
                  <a:defRPr/>
                </a:pPr>
                <a:r>
                  <a:rPr lang="en-AU"/>
                  <a:t>$ Million</a:t>
                </a:r>
              </a:p>
            </c:rich>
          </c:tx>
          <c:layout>
            <c:manualLayout>
              <c:xMode val="edge"/>
              <c:yMode val="edge"/>
              <c:x val="1.7445558182310205E-2"/>
              <c:y val="0.45892408983151406"/>
            </c:manualLayout>
          </c:layout>
          <c:overlay val="0"/>
        </c:title>
        <c:numFmt formatCode="#,##0" sourceLinked="0"/>
        <c:majorTickMark val="out"/>
        <c:minorTickMark val="none"/>
        <c:tickLblPos val="nextTo"/>
        <c:crossAx val="135750400"/>
        <c:crosses val="autoZero"/>
        <c:crossBetween val="between"/>
      </c:valAx>
      <c:valAx>
        <c:axId val="13576268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5764608"/>
        <c:crosses val="max"/>
        <c:crossBetween val="between"/>
      </c:valAx>
      <c:catAx>
        <c:axId val="135764608"/>
        <c:scaling>
          <c:orientation val="minMax"/>
        </c:scaling>
        <c:delete val="1"/>
        <c:axPos val="b"/>
        <c:numFmt formatCode="General" sourceLinked="1"/>
        <c:majorTickMark val="out"/>
        <c:minorTickMark val="none"/>
        <c:tickLblPos val="nextTo"/>
        <c:crossAx val="13576268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Lithium 
</a:t>
            </a:r>
            <a:r>
              <a:rPr lang="en-US" sz="1100"/>
              <a:t>Historic Average Annual Prices</a:t>
            </a:r>
          </a:p>
        </c:rich>
      </c:tx>
      <c:layout>
        <c:manualLayout>
          <c:xMode val="edge"/>
          <c:yMode val="edge"/>
          <c:x val="0.38151501284756245"/>
          <c:y val="2.282716711485952E-2"/>
        </c:manualLayout>
      </c:layout>
      <c:overlay val="0"/>
    </c:title>
    <c:autoTitleDeleted val="0"/>
    <c:plotArea>
      <c:layout/>
      <c:lineChart>
        <c:grouping val="standard"/>
        <c:varyColors val="0"/>
        <c:ser>
          <c:idx val="2"/>
          <c:order val="0"/>
          <c:tx>
            <c:v>Lithium Hydroxide (LHS)</c:v>
          </c:tx>
          <c:spPr>
            <a:ln>
              <a:solidFill>
                <a:srgbClr val="F69240"/>
              </a:solidFill>
            </a:ln>
          </c:spPr>
          <c:marker>
            <c:symbol val="none"/>
          </c:marker>
          <c:cat>
            <c:strRef>
              <c:f>'Lithium - Prices'!$G$10:$G$19</c:f>
              <c:strCache>
                <c:ptCount val="10"/>
                <c:pt idx="0">
                  <c:v>2012-13</c:v>
                </c:pt>
                <c:pt idx="1">
                  <c:v>2013-14</c:v>
                </c:pt>
                <c:pt idx="2">
                  <c:v>2014-15</c:v>
                </c:pt>
                <c:pt idx="3">
                  <c:v>2015-16</c:v>
                </c:pt>
                <c:pt idx="4">
                  <c:v>2016-17</c:v>
                </c:pt>
                <c:pt idx="5">
                  <c:v>2017-18</c:v>
                </c:pt>
                <c:pt idx="6">
                  <c:v>2018-19</c:v>
                </c:pt>
                <c:pt idx="7">
                  <c:v>2019-20</c:v>
                </c:pt>
                <c:pt idx="8">
                  <c:v>2020-21</c:v>
                </c:pt>
                <c:pt idx="9">
                  <c:v>2020-21</c:v>
                </c:pt>
              </c:strCache>
            </c:strRef>
          </c:cat>
          <c:val>
            <c:numRef>
              <c:f>'Lithium - Prices'!$H$10:$H$18</c:f>
              <c:numCache>
                <c:formatCode>#,##0.00</c:formatCode>
                <c:ptCount val="9"/>
                <c:pt idx="0">
                  <c:v>6684.4612017716236</c:v>
                </c:pt>
                <c:pt idx="1">
                  <c:v>7339.6579158074246</c:v>
                </c:pt>
                <c:pt idx="2">
                  <c:v>8308.5057034873953</c:v>
                </c:pt>
                <c:pt idx="3">
                  <c:v>21919.628411655431</c:v>
                </c:pt>
                <c:pt idx="4">
                  <c:v>28951.808033693265</c:v>
                </c:pt>
                <c:pt idx="5">
                  <c:v>27707.464578312512</c:v>
                </c:pt>
                <c:pt idx="6">
                  <c:v>19929.085133016622</c:v>
                </c:pt>
                <c:pt idx="7">
                  <c:v>11568.90885216256</c:v>
                </c:pt>
                <c:pt idx="8">
                  <c:v>11169.031607872821</c:v>
                </c:pt>
              </c:numCache>
            </c:numRef>
          </c:val>
          <c:smooth val="0"/>
          <c:extLst>
            <c:ext xmlns:c16="http://schemas.microsoft.com/office/drawing/2014/chart" uri="{C3380CC4-5D6E-409C-BE32-E72D297353CC}">
              <c16:uniqueId val="{00000001-F35B-4763-8709-6C63FDDDF978}"/>
            </c:ext>
          </c:extLst>
        </c:ser>
        <c:dLbls>
          <c:showLegendKey val="0"/>
          <c:showVal val="0"/>
          <c:showCatName val="0"/>
          <c:showSerName val="0"/>
          <c:showPercent val="0"/>
          <c:showBubbleSize val="0"/>
        </c:dLbls>
        <c:marker val="1"/>
        <c:smooth val="0"/>
        <c:axId val="135248128"/>
        <c:axId val="135254400"/>
      </c:lineChart>
      <c:lineChart>
        <c:grouping val="standard"/>
        <c:varyColors val="0"/>
        <c:ser>
          <c:idx val="1"/>
          <c:order val="1"/>
          <c:tx>
            <c:v>Spodumene Concentrate (RHS)</c:v>
          </c:tx>
          <c:spPr>
            <a:ln>
              <a:solidFill>
                <a:srgbClr val="F6BEA2"/>
              </a:solidFill>
            </a:ln>
          </c:spPr>
          <c:marker>
            <c:symbol val="none"/>
          </c:marker>
          <c:cat>
            <c:strRef>
              <c:f>'Lithium - Prices'!$G$10:$G$18</c:f>
              <c:strCache>
                <c:ptCount val="9"/>
                <c:pt idx="0">
                  <c:v>2012-13</c:v>
                </c:pt>
                <c:pt idx="1">
                  <c:v>2013-14</c:v>
                </c:pt>
                <c:pt idx="2">
                  <c:v>2014-15</c:v>
                </c:pt>
                <c:pt idx="3">
                  <c:v>2015-16</c:v>
                </c:pt>
                <c:pt idx="4">
                  <c:v>2016-17</c:v>
                </c:pt>
                <c:pt idx="5">
                  <c:v>2017-18</c:v>
                </c:pt>
                <c:pt idx="6">
                  <c:v>2018-19</c:v>
                </c:pt>
                <c:pt idx="7">
                  <c:v>2019-20</c:v>
                </c:pt>
                <c:pt idx="8">
                  <c:v>2020-21</c:v>
                </c:pt>
              </c:strCache>
            </c:strRef>
          </c:cat>
          <c:val>
            <c:numRef>
              <c:f>'Lithium - Prices'!$I$10:$I$18</c:f>
              <c:numCache>
                <c:formatCode>#,##0.00</c:formatCode>
                <c:ptCount val="9"/>
                <c:pt idx="6">
                  <c:v>1018.3725172605829</c:v>
                </c:pt>
                <c:pt idx="7">
                  <c:v>761.53626079314165</c:v>
                </c:pt>
                <c:pt idx="8">
                  <c:v>639.5956321561988</c:v>
                </c:pt>
              </c:numCache>
            </c:numRef>
          </c:val>
          <c:smooth val="0"/>
          <c:extLst>
            <c:ext xmlns:c16="http://schemas.microsoft.com/office/drawing/2014/chart" uri="{C3380CC4-5D6E-409C-BE32-E72D297353CC}">
              <c16:uniqueId val="{00000000-0F54-4B3B-9DA5-92398638C323}"/>
            </c:ext>
          </c:extLst>
        </c:ser>
        <c:dLbls>
          <c:showLegendKey val="0"/>
          <c:showVal val="0"/>
          <c:showCatName val="0"/>
          <c:showSerName val="0"/>
          <c:showPercent val="0"/>
          <c:showBubbleSize val="0"/>
        </c:dLbls>
        <c:marker val="1"/>
        <c:smooth val="0"/>
        <c:axId val="1398461832"/>
        <c:axId val="1398464456"/>
      </c:lineChart>
      <c:catAx>
        <c:axId val="135248128"/>
        <c:scaling>
          <c:orientation val="minMax"/>
        </c:scaling>
        <c:delete val="0"/>
        <c:axPos val="b"/>
        <c:title>
          <c:tx>
            <c:rich>
              <a:bodyPr/>
              <a:lstStyle/>
              <a:p>
                <a:pPr>
                  <a:defRPr sz="900"/>
                </a:pPr>
                <a:r>
                  <a:rPr lang="en-AU" sz="900"/>
                  <a:t>Source: </a:t>
                </a:r>
                <a:r>
                  <a:rPr lang="en-AU" sz="900" baseline="0"/>
                  <a:t>Asian Metal</a:t>
                </a:r>
                <a:endParaRPr lang="en-AU" sz="900"/>
              </a:p>
            </c:rich>
          </c:tx>
          <c:layout>
            <c:manualLayout>
              <c:xMode val="edge"/>
              <c:yMode val="edge"/>
              <c:x val="0"/>
              <c:y val="0.94853749173154456"/>
            </c:manualLayout>
          </c:layout>
          <c:overlay val="0"/>
        </c:title>
        <c:numFmt formatCode="General" sourceLinked="1"/>
        <c:majorTickMark val="out"/>
        <c:minorTickMark val="none"/>
        <c:tickLblPos val="nextTo"/>
        <c:spPr>
          <a:ln/>
        </c:spPr>
        <c:txPr>
          <a:bodyPr rot="-2700000"/>
          <a:lstStyle/>
          <a:p>
            <a:pPr>
              <a:defRPr/>
            </a:pPr>
            <a:endParaRPr lang="en-US"/>
          </a:p>
        </c:txPr>
        <c:crossAx val="135254400"/>
        <c:crosses val="autoZero"/>
        <c:auto val="0"/>
        <c:lblAlgn val="ctr"/>
        <c:lblOffset val="100"/>
        <c:tickLblSkip val="1"/>
        <c:noMultiLvlLbl val="1"/>
      </c:catAx>
      <c:valAx>
        <c:axId val="135254400"/>
        <c:scaling>
          <c:orientation val="minMax"/>
        </c:scaling>
        <c:delete val="0"/>
        <c:axPos val="l"/>
        <c:majorGridlines/>
        <c:title>
          <c:tx>
            <c:rich>
              <a:bodyPr rot="-5400000" vert="horz"/>
              <a:lstStyle/>
              <a:p>
                <a:pPr>
                  <a:defRPr/>
                </a:pPr>
                <a:r>
                  <a:rPr lang="en-AU"/>
                  <a:t>A$/tonne</a:t>
                </a:r>
              </a:p>
            </c:rich>
          </c:tx>
          <c:layout>
            <c:manualLayout>
              <c:xMode val="edge"/>
              <c:yMode val="edge"/>
              <c:x val="1.3820959267075618E-2"/>
              <c:y val="0.43328951222985174"/>
            </c:manualLayout>
          </c:layout>
          <c:overlay val="0"/>
        </c:title>
        <c:numFmt formatCode="#,##0" sourceLinked="0"/>
        <c:majorTickMark val="out"/>
        <c:minorTickMark val="none"/>
        <c:tickLblPos val="nextTo"/>
        <c:spPr>
          <a:ln/>
        </c:spPr>
        <c:crossAx val="135248128"/>
        <c:crosses val="autoZero"/>
        <c:crossBetween val="between"/>
      </c:valAx>
      <c:valAx>
        <c:axId val="1398464456"/>
        <c:scaling>
          <c:orientation val="minMax"/>
        </c:scaling>
        <c:delete val="0"/>
        <c:axPos val="r"/>
        <c:title>
          <c:tx>
            <c:rich>
              <a:bodyPr/>
              <a:lstStyle/>
              <a:p>
                <a:pPr>
                  <a:defRPr/>
                </a:pPr>
                <a:r>
                  <a:rPr lang="en-AU"/>
                  <a:t>A$/tonne</a:t>
                </a:r>
              </a:p>
            </c:rich>
          </c:tx>
          <c:overlay val="0"/>
        </c:title>
        <c:numFmt formatCode="#,##0" sourceLinked="0"/>
        <c:majorTickMark val="out"/>
        <c:minorTickMark val="none"/>
        <c:tickLblPos val="nextTo"/>
        <c:crossAx val="1398461832"/>
        <c:crosses val="max"/>
        <c:crossBetween val="between"/>
      </c:valAx>
      <c:catAx>
        <c:axId val="1398461832"/>
        <c:scaling>
          <c:orientation val="minMax"/>
        </c:scaling>
        <c:delete val="1"/>
        <c:axPos val="b"/>
        <c:numFmt formatCode="General" sourceLinked="1"/>
        <c:majorTickMark val="out"/>
        <c:minorTickMark val="none"/>
        <c:tickLblPos val="nextTo"/>
        <c:crossAx val="1398464456"/>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Lithium</a:t>
            </a:r>
          </a:p>
          <a:p>
            <a:pPr>
              <a:defRPr/>
            </a:pPr>
            <a:r>
              <a:rPr lang="en-AU" sz="1100"/>
              <a:t>Monthly</a:t>
            </a:r>
            <a:r>
              <a:rPr lang="en-AU" sz="1100" baseline="0"/>
              <a:t> Prices, P</a:t>
            </a:r>
            <a:r>
              <a:rPr lang="en-AU" sz="1100"/>
              <a:t>ast 5 Years</a:t>
            </a:r>
          </a:p>
        </c:rich>
      </c:tx>
      <c:overlay val="0"/>
    </c:title>
    <c:autoTitleDeleted val="0"/>
    <c:plotArea>
      <c:layout>
        <c:manualLayout>
          <c:layoutTarget val="inner"/>
          <c:xMode val="edge"/>
          <c:yMode val="edge"/>
          <c:x val="0.10929442393276532"/>
          <c:y val="0.22143143358003156"/>
          <c:w val="0.79592158613476638"/>
          <c:h val="0.5567030776847548"/>
        </c:manualLayout>
      </c:layout>
      <c:lineChart>
        <c:grouping val="standard"/>
        <c:varyColors val="0"/>
        <c:ser>
          <c:idx val="2"/>
          <c:order val="0"/>
          <c:tx>
            <c:v>Lithium Hydroxide (LHS)</c:v>
          </c:tx>
          <c:spPr>
            <a:ln>
              <a:solidFill>
                <a:srgbClr val="F69240"/>
              </a:solidFill>
            </a:ln>
          </c:spPr>
          <c:marker>
            <c:symbol val="none"/>
          </c:marker>
          <c:cat>
            <c:numRef>
              <c:f>'Commodity Prices'!$AX$9:$AX$68</c:f>
              <c:numCache>
                <c:formatCode>General</c:formatCode>
                <c:ptCount val="60"/>
                <c:pt idx="2" formatCode="mmm\-yy">
                  <c:v>42614</c:v>
                </c:pt>
                <c:pt idx="5" formatCode="mmm\-yy">
                  <c:v>42705</c:v>
                </c:pt>
                <c:pt idx="8" formatCode="mmm\-yy">
                  <c:v>42795</c:v>
                </c:pt>
                <c:pt idx="11" formatCode="mmm\-yy">
                  <c:v>42887</c:v>
                </c:pt>
                <c:pt idx="14" formatCode="mmm\-yy">
                  <c:v>42979</c:v>
                </c:pt>
                <c:pt idx="17" formatCode="mmm\-yy">
                  <c:v>43070</c:v>
                </c:pt>
                <c:pt idx="20" formatCode="mmm\-yy">
                  <c:v>43160</c:v>
                </c:pt>
                <c:pt idx="23" formatCode="mmm\-yy">
                  <c:v>43252</c:v>
                </c:pt>
                <c:pt idx="26" formatCode="mmm\-yy">
                  <c:v>43344</c:v>
                </c:pt>
                <c:pt idx="29" formatCode="mmm\-yy">
                  <c:v>43435</c:v>
                </c:pt>
                <c:pt idx="32" formatCode="mmm\-yy">
                  <c:v>43525</c:v>
                </c:pt>
                <c:pt idx="35" formatCode="mmm\-yy">
                  <c:v>43617</c:v>
                </c:pt>
                <c:pt idx="38" formatCode="mmm\-yy">
                  <c:v>43709</c:v>
                </c:pt>
                <c:pt idx="41" formatCode="mmm\-yy">
                  <c:v>43800</c:v>
                </c:pt>
                <c:pt idx="44" formatCode="mmm\-yy">
                  <c:v>43891</c:v>
                </c:pt>
                <c:pt idx="47" formatCode="mmm\-yy">
                  <c:v>43983</c:v>
                </c:pt>
                <c:pt idx="50" formatCode="mmm\-yy">
                  <c:v>44075</c:v>
                </c:pt>
                <c:pt idx="53" formatCode="mmm\-yy">
                  <c:v>44166</c:v>
                </c:pt>
                <c:pt idx="56" formatCode="mmm\-yy">
                  <c:v>44256</c:v>
                </c:pt>
                <c:pt idx="59" formatCode="mmm\-yy">
                  <c:v>44348</c:v>
                </c:pt>
              </c:numCache>
            </c:numRef>
          </c:cat>
          <c:val>
            <c:numRef>
              <c:f>'Lithium - Prices'!$B$10:$B$69</c:f>
              <c:numCache>
                <c:formatCode>#,##0.00</c:formatCode>
                <c:ptCount val="60"/>
                <c:pt idx="0">
                  <c:v>31772.784374804603</c:v>
                </c:pt>
                <c:pt idx="1">
                  <c:v>31236.982724255471</c:v>
                </c:pt>
                <c:pt idx="2">
                  <c:v>31107.406002190342</c:v>
                </c:pt>
                <c:pt idx="3">
                  <c:v>30635.27369370688</c:v>
                </c:pt>
                <c:pt idx="4">
                  <c:v>29782.53545770916</c:v>
                </c:pt>
                <c:pt idx="5">
                  <c:v>30155.384594243897</c:v>
                </c:pt>
                <c:pt idx="6">
                  <c:v>27899.47047746514</c:v>
                </c:pt>
                <c:pt idx="7">
                  <c:v>26466.294367801813</c:v>
                </c:pt>
                <c:pt idx="8">
                  <c:v>26555.367219024934</c:v>
                </c:pt>
                <c:pt idx="9">
                  <c:v>27066.351940765649</c:v>
                </c:pt>
                <c:pt idx="10">
                  <c:v>27443.713423597947</c:v>
                </c:pt>
                <c:pt idx="11">
                  <c:v>27300.132128753361</c:v>
                </c:pt>
                <c:pt idx="12">
                  <c:v>26062.485179978667</c:v>
                </c:pt>
                <c:pt idx="13">
                  <c:v>25606.338943652878</c:v>
                </c:pt>
                <c:pt idx="14">
                  <c:v>25933.760090656757</c:v>
                </c:pt>
                <c:pt idx="15">
                  <c:v>27463.954277295663</c:v>
                </c:pt>
                <c:pt idx="16">
                  <c:v>28421.623120454744</c:v>
                </c:pt>
                <c:pt idx="17">
                  <c:v>28479.538394366144</c:v>
                </c:pt>
                <c:pt idx="18">
                  <c:v>27702.474712042906</c:v>
                </c:pt>
                <c:pt idx="19">
                  <c:v>27812.026844128144</c:v>
                </c:pt>
                <c:pt idx="20">
                  <c:v>28394.32199082875</c:v>
                </c:pt>
                <c:pt idx="21">
                  <c:v>29606.263301915478</c:v>
                </c:pt>
                <c:pt idx="22">
                  <c:v>28935.019304984304</c:v>
                </c:pt>
                <c:pt idx="23">
                  <c:v>28071.768779445687</c:v>
                </c:pt>
                <c:pt idx="24">
                  <c:v>26068.921037309086</c:v>
                </c:pt>
                <c:pt idx="25">
                  <c:v>22659.945202005336</c:v>
                </c:pt>
                <c:pt idx="26">
                  <c:v>22784.394816094496</c:v>
                </c:pt>
                <c:pt idx="27">
                  <c:v>22679.112287955384</c:v>
                </c:pt>
                <c:pt idx="28">
                  <c:v>20695.663671067283</c:v>
                </c:pt>
                <c:pt idx="29">
                  <c:v>18939.730514559233</c:v>
                </c:pt>
                <c:pt idx="30">
                  <c:v>18656.295186666022</c:v>
                </c:pt>
                <c:pt idx="31">
                  <c:v>18524.309259695921</c:v>
                </c:pt>
                <c:pt idx="32">
                  <c:v>17581.147038310763</c:v>
                </c:pt>
                <c:pt idx="33">
                  <c:v>17407.996343169332</c:v>
                </c:pt>
                <c:pt idx="34">
                  <c:v>16905.788691794187</c:v>
                </c:pt>
                <c:pt idx="35">
                  <c:v>16245.717547572425</c:v>
                </c:pt>
                <c:pt idx="36">
                  <c:v>15191.188206064531</c:v>
                </c:pt>
                <c:pt idx="37">
                  <c:v>14305.463591486414</c:v>
                </c:pt>
                <c:pt idx="38">
                  <c:v>12876.336263444689</c:v>
                </c:pt>
                <c:pt idx="39">
                  <c:v>12374.576592392568</c:v>
                </c:pt>
                <c:pt idx="40">
                  <c:v>11560.590007240267</c:v>
                </c:pt>
                <c:pt idx="41">
                  <c:v>10365.987243195748</c:v>
                </c:pt>
                <c:pt idx="42">
                  <c:v>10197.522557700855</c:v>
                </c:pt>
                <c:pt idx="43">
                  <c:v>10384.071476668489</c:v>
                </c:pt>
                <c:pt idx="44">
                  <c:v>11196.346404779892</c:v>
                </c:pt>
                <c:pt idx="45">
                  <c:v>10851.659138894684</c:v>
                </c:pt>
                <c:pt idx="46">
                  <c:v>10303.793338467303</c:v>
                </c:pt>
                <c:pt idx="47">
                  <c:v>9219.3714056152839</c:v>
                </c:pt>
                <c:pt idx="48">
                  <c:v>8596.4169463020626</c:v>
                </c:pt>
                <c:pt idx="49">
                  <c:v>8395.4904659604563</c:v>
                </c:pt>
                <c:pt idx="50">
                  <c:v>8365.7824288147985</c:v>
                </c:pt>
                <c:pt idx="51">
                  <c:v>8543.370468777015</c:v>
                </c:pt>
                <c:pt idx="52">
                  <c:v>8494.1506246414247</c:v>
                </c:pt>
                <c:pt idx="53">
                  <c:v>8329.9899054519283</c:v>
                </c:pt>
                <c:pt idx="54">
                  <c:v>9688.6919015456424</c:v>
                </c:pt>
                <c:pt idx="55">
                  <c:v>11330.398410749405</c:v>
                </c:pt>
                <c:pt idx="56">
                  <c:v>12968.340269131497</c:v>
                </c:pt>
                <c:pt idx="57">
                  <c:v>14746.858258150602</c:v>
                </c:pt>
                <c:pt idx="58">
                  <c:v>16624.71169246942</c:v>
                </c:pt>
                <c:pt idx="59">
                  <c:v>17944.177922479594</c:v>
                </c:pt>
              </c:numCache>
            </c:numRef>
          </c:val>
          <c:smooth val="0"/>
          <c:extLst>
            <c:ext xmlns:c16="http://schemas.microsoft.com/office/drawing/2014/chart" uri="{C3380CC4-5D6E-409C-BE32-E72D297353CC}">
              <c16:uniqueId val="{00000001-6784-4963-9DC9-D520D2C38029}"/>
            </c:ext>
          </c:extLst>
        </c:ser>
        <c:dLbls>
          <c:showLegendKey val="0"/>
          <c:showVal val="0"/>
          <c:showCatName val="0"/>
          <c:showSerName val="0"/>
          <c:showPercent val="0"/>
          <c:showBubbleSize val="0"/>
        </c:dLbls>
        <c:marker val="1"/>
        <c:smooth val="0"/>
        <c:axId val="135298048"/>
        <c:axId val="135296512"/>
      </c:lineChart>
      <c:lineChart>
        <c:grouping val="standard"/>
        <c:varyColors val="0"/>
        <c:ser>
          <c:idx val="1"/>
          <c:order val="1"/>
          <c:tx>
            <c:v>Spodumene Concentrate (RHS)</c:v>
          </c:tx>
          <c:spPr>
            <a:ln>
              <a:solidFill>
                <a:srgbClr val="F6BEA2"/>
              </a:solidFill>
            </a:ln>
          </c:spPr>
          <c:marker>
            <c:symbol val="none"/>
          </c:marker>
          <c:val>
            <c:numRef>
              <c:f>'Lithium - Prices'!$C$10:$C$69</c:f>
              <c:numCache>
                <c:formatCode>#,##0.00</c:formatCode>
                <c:ptCount val="60"/>
                <c:pt idx="36">
                  <c:v>878.85083822897275</c:v>
                </c:pt>
                <c:pt idx="37">
                  <c:v>882.29643859908379</c:v>
                </c:pt>
                <c:pt idx="38">
                  <c:v>836.44437973209097</c:v>
                </c:pt>
                <c:pt idx="39">
                  <c:v>789.70285378052381</c:v>
                </c:pt>
                <c:pt idx="40">
                  <c:v>773.30794022853797</c:v>
                </c:pt>
                <c:pt idx="41">
                  <c:v>731.73174626215712</c:v>
                </c:pt>
                <c:pt idx="42">
                  <c:v>720.01166010785596</c:v>
                </c:pt>
                <c:pt idx="43">
                  <c:v>735.18379594898727</c:v>
                </c:pt>
                <c:pt idx="44">
                  <c:v>777.15205148833456</c:v>
                </c:pt>
                <c:pt idx="45">
                  <c:v>730.47060687688167</c:v>
                </c:pt>
                <c:pt idx="46">
                  <c:v>670.61982203129787</c:v>
                </c:pt>
                <c:pt idx="47">
                  <c:v>612.66299623297596</c:v>
                </c:pt>
                <c:pt idx="48">
                  <c:v>575.38734896943856</c:v>
                </c:pt>
                <c:pt idx="49">
                  <c:v>541.92473267601724</c:v>
                </c:pt>
                <c:pt idx="50">
                  <c:v>539.9750933997509</c:v>
                </c:pt>
                <c:pt idx="51">
                  <c:v>548.00673778775968</c:v>
                </c:pt>
                <c:pt idx="52">
                  <c:v>538.3136500961275</c:v>
                </c:pt>
                <c:pt idx="53">
                  <c:v>526.31997877421065</c:v>
                </c:pt>
                <c:pt idx="54">
                  <c:v>540.9167421986275</c:v>
                </c:pt>
                <c:pt idx="55">
                  <c:v>559.63894261766609</c:v>
                </c:pt>
                <c:pt idx="56">
                  <c:v>626.61562418894368</c:v>
                </c:pt>
                <c:pt idx="57">
                  <c:v>990.5868605556999</c:v>
                </c:pt>
                <c:pt idx="58">
                  <c:v>817.85852338616155</c:v>
                </c:pt>
                <c:pt idx="59">
                  <c:v>869.60335122398214</c:v>
                </c:pt>
              </c:numCache>
            </c:numRef>
          </c:val>
          <c:smooth val="0"/>
          <c:extLst>
            <c:ext xmlns:c16="http://schemas.microsoft.com/office/drawing/2014/chart" uri="{C3380CC4-5D6E-409C-BE32-E72D297353CC}">
              <c16:uniqueId val="{00000001-3A32-40A6-9BA1-2DD48B994A1B}"/>
            </c:ext>
          </c:extLst>
        </c:ser>
        <c:dLbls>
          <c:showLegendKey val="0"/>
          <c:showVal val="0"/>
          <c:showCatName val="0"/>
          <c:showSerName val="0"/>
          <c:showPercent val="0"/>
          <c:showBubbleSize val="0"/>
        </c:dLbls>
        <c:marker val="1"/>
        <c:smooth val="0"/>
        <c:axId val="1127020864"/>
        <c:axId val="1127019224"/>
      </c:lineChart>
      <c:valAx>
        <c:axId val="135296512"/>
        <c:scaling>
          <c:orientation val="minMax"/>
        </c:scaling>
        <c:delete val="0"/>
        <c:axPos val="l"/>
        <c:majorGridlines/>
        <c:title>
          <c:tx>
            <c:rich>
              <a:bodyPr/>
              <a:lstStyle/>
              <a:p>
                <a:pPr>
                  <a:defRPr sz="1000"/>
                </a:pPr>
                <a:r>
                  <a:rPr lang="en-AU" sz="1000" b="1" i="0" baseline="0">
                    <a:effectLst/>
                  </a:rPr>
                  <a:t>A$ per tonne</a:t>
                </a:r>
                <a:endParaRPr lang="en-AU" sz="1000">
                  <a:effectLst/>
                </a:endParaRPr>
              </a:p>
            </c:rich>
          </c:tx>
          <c:layout>
            <c:manualLayout>
              <c:xMode val="edge"/>
              <c:yMode val="edge"/>
              <c:x val="1.0723062421771481E-2"/>
              <c:y val="0.42767797055504153"/>
            </c:manualLayout>
          </c:layout>
          <c:overlay val="0"/>
        </c:title>
        <c:numFmt formatCode="#,##0" sourceLinked="0"/>
        <c:majorTickMark val="out"/>
        <c:minorTickMark val="none"/>
        <c:tickLblPos val="nextTo"/>
        <c:crossAx val="135298048"/>
        <c:crosses val="autoZero"/>
        <c:crossBetween val="between"/>
      </c:valAx>
      <c:catAx>
        <c:axId val="135298048"/>
        <c:scaling>
          <c:orientation val="minMax"/>
        </c:scaling>
        <c:delete val="0"/>
        <c:axPos val="b"/>
        <c:title>
          <c:tx>
            <c:rich>
              <a:bodyPr/>
              <a:lstStyle/>
              <a:p>
                <a:pPr>
                  <a:defRPr sz="900"/>
                </a:pPr>
                <a:r>
                  <a:rPr lang="en-AU" sz="900" b="1" i="0" baseline="0">
                    <a:effectLst/>
                    <a:latin typeface="+mn-lt"/>
                  </a:rPr>
                  <a:t>Source: Asian Metal</a:t>
                </a:r>
                <a:endParaRPr lang="en-AU" sz="900" b="1">
                  <a:effectLst/>
                  <a:latin typeface="+mn-lt"/>
                </a:endParaRPr>
              </a:p>
            </c:rich>
          </c:tx>
          <c:layout>
            <c:manualLayout>
              <c:xMode val="edge"/>
              <c:yMode val="edge"/>
              <c:x val="0"/>
              <c:y val="0.95241457644793559"/>
            </c:manualLayout>
          </c:layout>
          <c:overlay val="0"/>
        </c:title>
        <c:numFmt formatCode="General" sourceLinked="1"/>
        <c:majorTickMark val="out"/>
        <c:minorTickMark val="none"/>
        <c:tickLblPos val="nextTo"/>
        <c:crossAx val="135296512"/>
        <c:crosses val="autoZero"/>
        <c:auto val="0"/>
        <c:lblAlgn val="ctr"/>
        <c:lblOffset val="100"/>
        <c:tickMarkSkip val="3"/>
        <c:noMultiLvlLbl val="1"/>
      </c:catAx>
      <c:valAx>
        <c:axId val="1127019224"/>
        <c:scaling>
          <c:orientation val="minMax"/>
        </c:scaling>
        <c:delete val="0"/>
        <c:axPos val="r"/>
        <c:title>
          <c:tx>
            <c:rich>
              <a:bodyPr/>
              <a:lstStyle/>
              <a:p>
                <a:pPr>
                  <a:defRPr/>
                </a:pPr>
                <a:r>
                  <a:rPr lang="en-AU"/>
                  <a:t>A$</a:t>
                </a:r>
                <a:r>
                  <a:rPr lang="en-AU" baseline="0"/>
                  <a:t> per </a:t>
                </a:r>
                <a:r>
                  <a:rPr lang="en-AU"/>
                  <a:t>tonne</a:t>
                </a:r>
              </a:p>
            </c:rich>
          </c:tx>
          <c:overlay val="0"/>
        </c:title>
        <c:numFmt formatCode="#,##0" sourceLinked="0"/>
        <c:majorTickMark val="out"/>
        <c:minorTickMark val="none"/>
        <c:tickLblPos val="nextTo"/>
        <c:crossAx val="1127020864"/>
        <c:crosses val="max"/>
        <c:crossBetween val="between"/>
      </c:valAx>
      <c:catAx>
        <c:axId val="1127020864"/>
        <c:scaling>
          <c:orientation val="minMax"/>
        </c:scaling>
        <c:delete val="1"/>
        <c:axPos val="b"/>
        <c:majorTickMark val="out"/>
        <c:minorTickMark val="none"/>
        <c:tickLblPos val="nextTo"/>
        <c:crossAx val="1127019224"/>
        <c:crosses val="autoZero"/>
        <c:auto val="0"/>
        <c:lblAlgn val="ctr"/>
        <c:lblOffset val="100"/>
        <c:noMultiLvlLbl val="0"/>
      </c:cat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Quarter</a:t>
            </a:r>
          </a:p>
        </c:rich>
      </c:tx>
      <c:overlay val="0"/>
    </c:title>
    <c:autoTitleDeleted val="0"/>
    <c:plotArea>
      <c:layout/>
      <c:barChart>
        <c:barDir val="col"/>
        <c:grouping val="clustered"/>
        <c:varyColors val="0"/>
        <c:ser>
          <c:idx val="0"/>
          <c:order val="0"/>
          <c:tx>
            <c:strRef>
              <c:f>'Mineral Sands - Q&amp;V'!$R$9</c:f>
              <c:strCache>
                <c:ptCount val="1"/>
                <c:pt idx="0">
                  <c:v>Quantity (Kt)</c:v>
                </c:pt>
              </c:strCache>
            </c:strRef>
          </c:tx>
          <c:invertIfNegative val="0"/>
          <c:cat>
            <c:numRef>
              <c:f>'Mineral Sands - Q&amp;V'!$Q$10:$Q$19</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'Mineral Sands - Q&amp;V'!$R$10:$R$19</c:f>
              <c:numCache>
                <c:formatCode>#,##0.00</c:formatCode>
                <c:ptCount val="10"/>
                <c:pt idx="0">
                  <c:v>230.07744727272726</c:v>
                </c:pt>
                <c:pt idx="1">
                  <c:v>282.13175180606061</c:v>
                </c:pt>
                <c:pt idx="2">
                  <c:v>266.20872970121206</c:v>
                </c:pt>
                <c:pt idx="3">
                  <c:v>284.86224576060607</c:v>
                </c:pt>
                <c:pt idx="4">
                  <c:v>280.45567884848481</c:v>
                </c:pt>
                <c:pt idx="5">
                  <c:v>286.05264612121215</c:v>
                </c:pt>
                <c:pt idx="6">
                  <c:v>295.96322115151514</c:v>
                </c:pt>
                <c:pt idx="7">
                  <c:v>374.59849848484851</c:v>
                </c:pt>
                <c:pt idx="8">
                  <c:v>257.09602363636367</c:v>
                </c:pt>
                <c:pt idx="9">
                  <c:v>270.43576460606062</c:v>
                </c:pt>
              </c:numCache>
            </c:numRef>
          </c:val>
          <c:extLst>
            <c:ext xmlns:c16="http://schemas.microsoft.com/office/drawing/2014/chart" uri="{C3380CC4-5D6E-409C-BE32-E72D297353CC}">
              <c16:uniqueId val="{00000000-B60D-4A64-AF4C-E996F40E5292}"/>
            </c:ext>
          </c:extLst>
        </c:ser>
        <c:dLbls>
          <c:showLegendKey val="0"/>
          <c:showVal val="0"/>
          <c:showCatName val="0"/>
          <c:showSerName val="0"/>
          <c:showPercent val="0"/>
          <c:showBubbleSize val="0"/>
        </c:dLbls>
        <c:gapWidth val="40"/>
        <c:axId val="131834624"/>
        <c:axId val="131832448"/>
      </c:barChart>
      <c:lineChart>
        <c:grouping val="standard"/>
        <c:varyColors val="0"/>
        <c:ser>
          <c:idx val="1"/>
          <c:order val="1"/>
          <c:tx>
            <c:strRef>
              <c:f>'Mineral Sands - Q&amp;V'!$S$9</c:f>
              <c:strCache>
                <c:ptCount val="1"/>
                <c:pt idx="0">
                  <c:v>Value ($ Million)</c:v>
                </c:pt>
              </c:strCache>
            </c:strRef>
          </c:tx>
          <c:marker>
            <c:symbol val="none"/>
          </c:marker>
          <c:cat>
            <c:numRef>
              <c:f>'Nickel - Q&amp;V'!$R$10:$R$19</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'Mineral Sands - Q&amp;V'!$S$10:$S$19</c:f>
              <c:numCache>
                <c:formatCode>#,##0.00</c:formatCode>
                <c:ptCount val="10"/>
                <c:pt idx="0">
                  <c:v>164.42243355541385</c:v>
                </c:pt>
                <c:pt idx="1">
                  <c:v>187.92049914552902</c:v>
                </c:pt>
                <c:pt idx="2">
                  <c:v>163.96965803899189</c:v>
                </c:pt>
                <c:pt idx="3">
                  <c:v>213.5988059211069</c:v>
                </c:pt>
                <c:pt idx="4">
                  <c:v>176.87793696419902</c:v>
                </c:pt>
                <c:pt idx="5">
                  <c:v>220.85130706165938</c:v>
                </c:pt>
                <c:pt idx="6">
                  <c:v>204.03094745904173</c:v>
                </c:pt>
                <c:pt idx="7">
                  <c:v>256.61730948303119</c:v>
                </c:pt>
                <c:pt idx="8">
                  <c:v>176.99544584044929</c:v>
                </c:pt>
                <c:pt idx="9">
                  <c:v>186.80293692137607</c:v>
                </c:pt>
              </c:numCache>
            </c:numRef>
          </c:val>
          <c:smooth val="0"/>
          <c:extLst>
            <c:ext xmlns:c16="http://schemas.microsoft.com/office/drawing/2014/chart" uri="{C3380CC4-5D6E-409C-BE32-E72D297353CC}">
              <c16:uniqueId val="{00000001-B60D-4A64-AF4C-E996F40E5292}"/>
            </c:ext>
          </c:extLst>
        </c:ser>
        <c:dLbls>
          <c:showLegendKey val="0"/>
          <c:showVal val="0"/>
          <c:showCatName val="0"/>
          <c:showSerName val="0"/>
          <c:showPercent val="0"/>
          <c:showBubbleSize val="0"/>
        </c:dLbls>
        <c:marker val="1"/>
        <c:smooth val="0"/>
        <c:axId val="131811968"/>
        <c:axId val="131830528"/>
      </c:lineChart>
      <c:catAx>
        <c:axId val="131811968"/>
        <c:scaling>
          <c:orientation val="minMax"/>
        </c:scaling>
        <c:delete val="0"/>
        <c:axPos val="b"/>
        <c:title>
          <c:tx>
            <c:rich>
              <a:bodyPr/>
              <a:lstStyle/>
              <a:p>
                <a:pPr>
                  <a:defRPr sz="900"/>
                </a:pPr>
                <a:r>
                  <a:rPr lang="en-AU" sz="900"/>
                  <a:t>Source: DMIRS</a:t>
                </a:r>
              </a:p>
            </c:rich>
          </c:tx>
          <c:layout>
            <c:manualLayout>
              <c:xMode val="edge"/>
              <c:yMode val="edge"/>
              <c:x val="4.8885135708118636E-3"/>
              <c:y val="0.94752515670405135"/>
            </c:manualLayout>
          </c:layout>
          <c:overlay val="0"/>
        </c:title>
        <c:numFmt formatCode="mmm\-yy" sourceLinked="1"/>
        <c:majorTickMark val="out"/>
        <c:minorTickMark val="none"/>
        <c:tickLblPos val="nextTo"/>
        <c:crossAx val="131830528"/>
        <c:crosses val="autoZero"/>
        <c:auto val="0"/>
        <c:lblAlgn val="ctr"/>
        <c:lblOffset val="100"/>
        <c:noMultiLvlLbl val="0"/>
      </c:catAx>
      <c:valAx>
        <c:axId val="131830528"/>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11968"/>
        <c:crosses val="autoZero"/>
        <c:crossBetween val="between"/>
      </c:valAx>
      <c:valAx>
        <c:axId val="131832448"/>
        <c:scaling>
          <c:orientation val="minMax"/>
          <c:min val="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1834624"/>
        <c:crosses val="max"/>
        <c:crossBetween val="between"/>
      </c:valAx>
      <c:dateAx>
        <c:axId val="131834624"/>
        <c:scaling>
          <c:orientation val="minMax"/>
        </c:scaling>
        <c:delete val="1"/>
        <c:axPos val="b"/>
        <c:numFmt formatCode="mmm\-yy" sourceLinked="1"/>
        <c:majorTickMark val="out"/>
        <c:minorTickMark val="none"/>
        <c:tickLblPos val="nextTo"/>
        <c:crossAx val="13183244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Year</a:t>
            </a:r>
          </a:p>
        </c:rich>
      </c:tx>
      <c:overlay val="0"/>
    </c:title>
    <c:autoTitleDeleted val="0"/>
    <c:plotArea>
      <c:layout/>
      <c:barChart>
        <c:barDir val="col"/>
        <c:grouping val="clustered"/>
        <c:varyColors val="0"/>
        <c:ser>
          <c:idx val="0"/>
          <c:order val="0"/>
          <c:tx>
            <c:strRef>
              <c:f>'Mineral Sands - Q&amp;V'!$R$35</c:f>
              <c:strCache>
                <c:ptCount val="1"/>
                <c:pt idx="0">
                  <c:v>Quantity (Kt)</c:v>
                </c:pt>
              </c:strCache>
            </c:strRef>
          </c:tx>
          <c:invertIfNegative val="0"/>
          <c:cat>
            <c:strRef>
              <c:f>'Mineral Sands - Q&amp;V'!$Q$37:$Q$57</c:f>
              <c:strCache>
                <c:ptCount val="21"/>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strCache>
            </c:strRef>
          </c:cat>
          <c:val>
            <c:numRef>
              <c:f>'Mineral Sands - Q&amp;V'!$R$37:$R$57</c:f>
              <c:numCache>
                <c:formatCode>#,##0.00</c:formatCode>
                <c:ptCount val="21"/>
                <c:pt idx="0">
                  <c:v>2353.8220593939395</c:v>
                </c:pt>
                <c:pt idx="1">
                  <c:v>1965.7923333333335</c:v>
                </c:pt>
                <c:pt idx="2">
                  <c:v>2141.8729393939398</c:v>
                </c:pt>
                <c:pt idx="3">
                  <c:v>2536.6303699999999</c:v>
                </c:pt>
                <c:pt idx="4">
                  <c:v>2600.19884</c:v>
                </c:pt>
                <c:pt idx="5">
                  <c:v>2447.8471490000002</c:v>
                </c:pt>
                <c:pt idx="6">
                  <c:v>2744.5026390000003</c:v>
                </c:pt>
                <c:pt idx="7">
                  <c:v>2492.9801179999999</c:v>
                </c:pt>
                <c:pt idx="8">
                  <c:v>1989.43614</c:v>
                </c:pt>
                <c:pt idx="9">
                  <c:v>1899.58538</c:v>
                </c:pt>
                <c:pt idx="10">
                  <c:v>1416.7950290000001</c:v>
                </c:pt>
                <c:pt idx="11">
                  <c:v>1415.5614430000001</c:v>
                </c:pt>
                <c:pt idx="12">
                  <c:v>1355.3569259999999</c:v>
                </c:pt>
                <c:pt idx="13">
                  <c:v>1017.1688641515152</c:v>
                </c:pt>
                <c:pt idx="14">
                  <c:v>853.848618466483</c:v>
                </c:pt>
                <c:pt idx="15">
                  <c:v>958.10269050097577</c:v>
                </c:pt>
                <c:pt idx="16">
                  <c:v>1238.9820773333333</c:v>
                </c:pt>
                <c:pt idx="17">
                  <c:v>894.46903266666675</c:v>
                </c:pt>
                <c:pt idx="18">
                  <c:v>1022.9388255030303</c:v>
                </c:pt>
                <c:pt idx="19">
                  <c:v>1117.5793004315151</c:v>
                </c:pt>
                <c:pt idx="20">
                  <c:v>1198.0935078787879</c:v>
                </c:pt>
              </c:numCache>
            </c:numRef>
          </c:val>
          <c:extLst>
            <c:ext xmlns:c16="http://schemas.microsoft.com/office/drawing/2014/chart" uri="{C3380CC4-5D6E-409C-BE32-E72D297353CC}">
              <c16:uniqueId val="{00000000-DB53-438E-9210-D1FFBCE5D63F}"/>
            </c:ext>
          </c:extLst>
        </c:ser>
        <c:dLbls>
          <c:showLegendKey val="0"/>
          <c:showVal val="0"/>
          <c:showCatName val="0"/>
          <c:showSerName val="0"/>
          <c:showPercent val="0"/>
          <c:showBubbleSize val="0"/>
        </c:dLbls>
        <c:gapWidth val="40"/>
        <c:axId val="132982272"/>
        <c:axId val="132976000"/>
      </c:barChart>
      <c:lineChart>
        <c:grouping val="standard"/>
        <c:varyColors val="0"/>
        <c:ser>
          <c:idx val="1"/>
          <c:order val="1"/>
          <c:tx>
            <c:strRef>
              <c:f>'Mineral Sands - Q&amp;V'!$S$35</c:f>
              <c:strCache>
                <c:ptCount val="1"/>
                <c:pt idx="0">
                  <c:v>Value ($ Million)</c:v>
                </c:pt>
              </c:strCache>
            </c:strRef>
          </c:tx>
          <c:marker>
            <c:symbol val="none"/>
          </c:marker>
          <c:cat>
            <c:strRef>
              <c:f>'Mineral Sands - Q&amp;V'!$Q$37:$Q$57</c:f>
              <c:strCache>
                <c:ptCount val="21"/>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strCache>
            </c:strRef>
          </c:cat>
          <c:val>
            <c:numRef>
              <c:f>'Mineral Sands - Q&amp;V'!$S$37:$S$57</c:f>
              <c:numCache>
                <c:formatCode>#,##0.00</c:formatCode>
                <c:ptCount val="21"/>
                <c:pt idx="0">
                  <c:v>917.00599999999997</c:v>
                </c:pt>
                <c:pt idx="1">
                  <c:v>850.20299999999997</c:v>
                </c:pt>
                <c:pt idx="2">
                  <c:v>858.745</c:v>
                </c:pt>
                <c:pt idx="3">
                  <c:v>777.53789361151519</c:v>
                </c:pt>
                <c:pt idx="4">
                  <c:v>808.44691768030305</c:v>
                </c:pt>
                <c:pt idx="5">
                  <c:v>835.6312492851273</c:v>
                </c:pt>
                <c:pt idx="6">
                  <c:v>845.52700892400003</c:v>
                </c:pt>
                <c:pt idx="7">
                  <c:v>677.25430563102907</c:v>
                </c:pt>
                <c:pt idx="8">
                  <c:v>704.60226726061012</c:v>
                </c:pt>
                <c:pt idx="9">
                  <c:v>664.48502962650196</c:v>
                </c:pt>
                <c:pt idx="10">
                  <c:v>476.18254696690906</c:v>
                </c:pt>
                <c:pt idx="11">
                  <c:v>864.11256307318536</c:v>
                </c:pt>
                <c:pt idx="12">
                  <c:v>810.67967457436362</c:v>
                </c:pt>
                <c:pt idx="13">
                  <c:v>471.03130640545459</c:v>
                </c:pt>
                <c:pt idx="14">
                  <c:v>470.6305509320938</c:v>
                </c:pt>
                <c:pt idx="15">
                  <c:v>571.54806013582822</c:v>
                </c:pt>
                <c:pt idx="16">
                  <c:v>583.44693704640042</c:v>
                </c:pt>
                <c:pt idx="17">
                  <c:v>550.39225787739633</c:v>
                </c:pt>
                <c:pt idx="18">
                  <c:v>714.99888109164658</c:v>
                </c:pt>
                <c:pt idx="19">
                  <c:v>775.29770798595723</c:v>
                </c:pt>
                <c:pt idx="20">
                  <c:v>824.44663970389831</c:v>
                </c:pt>
              </c:numCache>
            </c:numRef>
          </c:val>
          <c:smooth val="0"/>
          <c:extLst>
            <c:ext xmlns:c16="http://schemas.microsoft.com/office/drawing/2014/chart" uri="{C3380CC4-5D6E-409C-BE32-E72D297353CC}">
              <c16:uniqueId val="{00000001-DB53-438E-9210-D1FFBCE5D63F}"/>
            </c:ext>
          </c:extLst>
        </c:ser>
        <c:dLbls>
          <c:showLegendKey val="0"/>
          <c:showVal val="0"/>
          <c:showCatName val="0"/>
          <c:showSerName val="0"/>
          <c:showPercent val="0"/>
          <c:showBubbleSize val="0"/>
        </c:dLbls>
        <c:marker val="1"/>
        <c:smooth val="0"/>
        <c:axId val="131857792"/>
        <c:axId val="132974080"/>
      </c:lineChart>
      <c:catAx>
        <c:axId val="131857792"/>
        <c:scaling>
          <c:orientation val="minMax"/>
        </c:scaling>
        <c:delete val="0"/>
        <c:axPos val="b"/>
        <c:title>
          <c:tx>
            <c:rich>
              <a:bodyPr/>
              <a:lstStyle/>
              <a:p>
                <a:pPr>
                  <a:defRPr sz="900"/>
                </a:pPr>
                <a:r>
                  <a:rPr lang="en-AU" sz="900"/>
                  <a:t>Source: DMIRS</a:t>
                </a:r>
              </a:p>
            </c:rich>
          </c:tx>
          <c:layout>
            <c:manualLayout>
              <c:xMode val="edge"/>
              <c:yMode val="edge"/>
              <c:x val="0"/>
              <c:y val="0.93794308231796231"/>
            </c:manualLayout>
          </c:layout>
          <c:overlay val="0"/>
        </c:title>
        <c:numFmt formatCode="@@@@@@@@@" sourceLinked="0"/>
        <c:majorTickMark val="out"/>
        <c:minorTickMark val="none"/>
        <c:tickLblPos val="nextTo"/>
        <c:txPr>
          <a:bodyPr rot="-2700000"/>
          <a:lstStyle/>
          <a:p>
            <a:pPr>
              <a:defRPr/>
            </a:pPr>
            <a:endParaRPr lang="en-US"/>
          </a:p>
        </c:txPr>
        <c:crossAx val="132974080"/>
        <c:crosses val="autoZero"/>
        <c:auto val="0"/>
        <c:lblAlgn val="ctr"/>
        <c:lblOffset val="100"/>
        <c:tickLblSkip val="1"/>
        <c:noMultiLvlLbl val="1"/>
      </c:catAx>
      <c:valAx>
        <c:axId val="13297408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57792"/>
        <c:crosses val="autoZero"/>
        <c:crossBetween val="between"/>
      </c:valAx>
      <c:valAx>
        <c:axId val="132976000"/>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2982272"/>
        <c:crosses val="max"/>
        <c:crossBetween val="between"/>
      </c:valAx>
      <c:catAx>
        <c:axId val="132982272"/>
        <c:scaling>
          <c:orientation val="minMax"/>
        </c:scaling>
        <c:delete val="1"/>
        <c:axPos val="b"/>
        <c:numFmt formatCode="General" sourceLinked="1"/>
        <c:majorTickMark val="out"/>
        <c:minorTickMark val="none"/>
        <c:tickLblPos val="nextTo"/>
        <c:crossAx val="13297600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Monthly Prices, Past 5 Years</a:t>
            </a:r>
          </a:p>
        </c:rich>
      </c:tx>
      <c:overlay val="0"/>
    </c:title>
    <c:autoTitleDeleted val="0"/>
    <c:plotArea>
      <c:layout/>
      <c:lineChart>
        <c:grouping val="standard"/>
        <c:varyColors val="0"/>
        <c:ser>
          <c:idx val="0"/>
          <c:order val="0"/>
          <c:tx>
            <c:strRef>
              <c:f>'Mineral Sands - Prices'!$B$7</c:f>
              <c:strCache>
                <c:ptCount val="1"/>
                <c:pt idx="0">
                  <c:v>Rutile</c:v>
                </c:pt>
              </c:strCache>
            </c:strRef>
          </c:tx>
          <c:marker>
            <c:symbol val="none"/>
          </c:marker>
          <c:cat>
            <c:numRef>
              <c:f>'Commodity Prices'!$AX$9:$AX$68</c:f>
              <c:numCache>
                <c:formatCode>General</c:formatCode>
                <c:ptCount val="60"/>
                <c:pt idx="2" formatCode="mmm\-yy">
                  <c:v>42614</c:v>
                </c:pt>
                <c:pt idx="5" formatCode="mmm\-yy">
                  <c:v>42705</c:v>
                </c:pt>
                <c:pt idx="8" formatCode="mmm\-yy">
                  <c:v>42795</c:v>
                </c:pt>
                <c:pt idx="11" formatCode="mmm\-yy">
                  <c:v>42887</c:v>
                </c:pt>
                <c:pt idx="14" formatCode="mmm\-yy">
                  <c:v>42979</c:v>
                </c:pt>
                <c:pt idx="17" formatCode="mmm\-yy">
                  <c:v>43070</c:v>
                </c:pt>
                <c:pt idx="20" formatCode="mmm\-yy">
                  <c:v>43160</c:v>
                </c:pt>
                <c:pt idx="23" formatCode="mmm\-yy">
                  <c:v>43252</c:v>
                </c:pt>
                <c:pt idx="26" formatCode="mmm\-yy">
                  <c:v>43344</c:v>
                </c:pt>
                <c:pt idx="29" formatCode="mmm\-yy">
                  <c:v>43435</c:v>
                </c:pt>
                <c:pt idx="32" formatCode="mmm\-yy">
                  <c:v>43525</c:v>
                </c:pt>
                <c:pt idx="35" formatCode="mmm\-yy">
                  <c:v>43617</c:v>
                </c:pt>
                <c:pt idx="38" formatCode="mmm\-yy">
                  <c:v>43709</c:v>
                </c:pt>
                <c:pt idx="41" formatCode="mmm\-yy">
                  <c:v>43800</c:v>
                </c:pt>
                <c:pt idx="44" formatCode="mmm\-yy">
                  <c:v>43891</c:v>
                </c:pt>
                <c:pt idx="47" formatCode="mmm\-yy">
                  <c:v>43983</c:v>
                </c:pt>
                <c:pt idx="50" formatCode="mmm\-yy">
                  <c:v>44075</c:v>
                </c:pt>
                <c:pt idx="53" formatCode="mmm\-yy">
                  <c:v>44166</c:v>
                </c:pt>
                <c:pt idx="56" formatCode="mmm\-yy">
                  <c:v>44256</c:v>
                </c:pt>
                <c:pt idx="59" formatCode="mmm\-yy">
                  <c:v>44348</c:v>
                </c:pt>
              </c:numCache>
            </c:numRef>
          </c:cat>
          <c:val>
            <c:numRef>
              <c:f>'Mineral Sands - Prices'!$B$9:$B$68</c:f>
              <c:numCache>
                <c:formatCode>#,##0.00</c:formatCode>
                <c:ptCount val="60"/>
                <c:pt idx="0">
                  <c:v>1103.5824732229796</c:v>
                </c:pt>
                <c:pt idx="1">
                  <c:v>1053.5592643775913</c:v>
                </c:pt>
                <c:pt idx="2">
                  <c:v>1153.4440303302918</c:v>
                </c:pt>
                <c:pt idx="3">
                  <c:v>1140.2731515598134</c:v>
                </c:pt>
                <c:pt idx="4">
                  <c:v>1147.314632000782</c:v>
                </c:pt>
                <c:pt idx="5">
                  <c:v>1197.9728260869565</c:v>
                </c:pt>
                <c:pt idx="6">
                  <c:v>1123.7136586895183</c:v>
                </c:pt>
                <c:pt idx="7">
                  <c:v>1082.0640740740741</c:v>
                </c:pt>
                <c:pt idx="8">
                  <c:v>1142.3251568739304</c:v>
                </c:pt>
                <c:pt idx="9">
                  <c:v>1182.8298176617805</c:v>
                </c:pt>
                <c:pt idx="10">
                  <c:v>1208.9384993849937</c:v>
                </c:pt>
                <c:pt idx="11">
                  <c:v>1184.3826378539493</c:v>
                </c:pt>
                <c:pt idx="12">
                  <c:v>1157.2112326043737</c:v>
                </c:pt>
                <c:pt idx="13">
                  <c:v>1081.4808238636363</c:v>
                </c:pt>
                <c:pt idx="14">
                  <c:v>1133.4576188143067</c:v>
                </c:pt>
                <c:pt idx="15">
                  <c:v>1232.1185062965569</c:v>
                </c:pt>
                <c:pt idx="16">
                  <c:v>1253.5497441728255</c:v>
                </c:pt>
                <c:pt idx="17">
                  <c:v>1210.3602569986233</c:v>
                </c:pt>
                <c:pt idx="18">
                  <c:v>1206.4742616033755</c:v>
                </c:pt>
                <c:pt idx="19">
                  <c:v>1294.9728155339806</c:v>
                </c:pt>
                <c:pt idx="20">
                  <c:v>1293.3423787528868</c:v>
                </c:pt>
                <c:pt idx="21">
                  <c:v>1245.1258426966292</c:v>
                </c:pt>
                <c:pt idx="22">
                  <c:v>1341.9234072314189</c:v>
                </c:pt>
                <c:pt idx="23">
                  <c:v>1373.1087239583333</c:v>
                </c:pt>
                <c:pt idx="24">
                  <c:v>1361.773428232503</c:v>
                </c:pt>
                <c:pt idx="25">
                  <c:v>1436.7537037037036</c:v>
                </c:pt>
                <c:pt idx="26">
                  <c:v>1494.2061579651941</c:v>
                </c:pt>
                <c:pt idx="27">
                  <c:v>1496.0272045028144</c:v>
                </c:pt>
                <c:pt idx="28">
                  <c:v>1481.1102003642986</c:v>
                </c:pt>
                <c:pt idx="29">
                  <c:v>1484.9178668742702</c:v>
                </c:pt>
                <c:pt idx="30">
                  <c:v>1536.8104115371086</c:v>
                </c:pt>
                <c:pt idx="31">
                  <c:v>1583.0428802588997</c:v>
                </c:pt>
                <c:pt idx="32">
                  <c:v>1563.9150239744272</c:v>
                </c:pt>
                <c:pt idx="33">
                  <c:v>1540.1657940663176</c:v>
                </c:pt>
                <c:pt idx="34">
                  <c:v>1629.5495928941525</c:v>
                </c:pt>
                <c:pt idx="35">
                  <c:v>1624.5305669939817</c:v>
                </c:pt>
                <c:pt idx="36">
                  <c:v>1645.3816956367507</c:v>
                </c:pt>
                <c:pt idx="37">
                  <c:v>1820.0979942693409</c:v>
                </c:pt>
                <c:pt idx="38">
                  <c:v>1744.8484162895927</c:v>
                </c:pt>
                <c:pt idx="39">
                  <c:v>1576.3932253313696</c:v>
                </c:pt>
                <c:pt idx="40">
                  <c:v>1850.9246621621621</c:v>
                </c:pt>
                <c:pt idx="41">
                  <c:v>1911.6204481792718</c:v>
                </c:pt>
                <c:pt idx="42">
                  <c:v>1911.0655129789864</c:v>
                </c:pt>
                <c:pt idx="43">
                  <c:v>2010.9413881748071</c:v>
                </c:pt>
                <c:pt idx="44">
                  <c:v>2152.9199745031001</c:v>
                </c:pt>
                <c:pt idx="45">
                  <c:v>2150.4681933842239</c:v>
                </c:pt>
                <c:pt idx="46">
                  <c:v>2150.4681933842239</c:v>
                </c:pt>
                <c:pt idx="47">
                  <c:v>2150.4681933842239</c:v>
                </c:pt>
                <c:pt idx="48">
                  <c:v>2150.4681933842239</c:v>
                </c:pt>
                <c:pt idx="49">
                  <c:v>2150.4681933842239</c:v>
                </c:pt>
                <c:pt idx="50">
                  <c:v>2150.4681933842239</c:v>
                </c:pt>
                <c:pt idx="51">
                  <c:v>1000</c:v>
                </c:pt>
                <c:pt idx="52">
                  <c:v>1700.88</c:v>
                </c:pt>
                <c:pt idx="53">
                  <c:v>1700.88</c:v>
                </c:pt>
                <c:pt idx="54">
                  <c:v>1700.88</c:v>
                </c:pt>
                <c:pt idx="55">
                  <c:v>1618</c:v>
                </c:pt>
                <c:pt idx="56">
                  <c:v>1618</c:v>
                </c:pt>
                <c:pt idx="57">
                  <c:v>1618</c:v>
                </c:pt>
                <c:pt idx="58">
                  <c:v>1421.8132530120481</c:v>
                </c:pt>
                <c:pt idx="59">
                  <c:v>1421.8132530120481</c:v>
                </c:pt>
              </c:numCache>
            </c:numRef>
          </c:val>
          <c:smooth val="0"/>
          <c:extLst>
            <c:ext xmlns:c16="http://schemas.microsoft.com/office/drawing/2014/chart" uri="{C3380CC4-5D6E-409C-BE32-E72D297353CC}">
              <c16:uniqueId val="{00000000-368C-44FC-9139-77910D5CD6A4}"/>
            </c:ext>
          </c:extLst>
        </c:ser>
        <c:ser>
          <c:idx val="1"/>
          <c:order val="1"/>
          <c:tx>
            <c:strRef>
              <c:f>'Mineral Sands - Prices'!$C$7</c:f>
              <c:strCache>
                <c:ptCount val="1"/>
                <c:pt idx="0">
                  <c:v>Zircon</c:v>
                </c:pt>
              </c:strCache>
            </c:strRef>
          </c:tx>
          <c:marker>
            <c:symbol val="none"/>
          </c:marker>
          <c:cat>
            <c:numRef>
              <c:f>'Commodity Prices'!$AX$9:$AX$68</c:f>
              <c:numCache>
                <c:formatCode>General</c:formatCode>
                <c:ptCount val="60"/>
                <c:pt idx="2" formatCode="mmm\-yy">
                  <c:v>42614</c:v>
                </c:pt>
                <c:pt idx="5" formatCode="mmm\-yy">
                  <c:v>42705</c:v>
                </c:pt>
                <c:pt idx="8" formatCode="mmm\-yy">
                  <c:v>42795</c:v>
                </c:pt>
                <c:pt idx="11" formatCode="mmm\-yy">
                  <c:v>42887</c:v>
                </c:pt>
                <c:pt idx="14" formatCode="mmm\-yy">
                  <c:v>42979</c:v>
                </c:pt>
                <c:pt idx="17" formatCode="mmm\-yy">
                  <c:v>43070</c:v>
                </c:pt>
                <c:pt idx="20" formatCode="mmm\-yy">
                  <c:v>43160</c:v>
                </c:pt>
                <c:pt idx="23" formatCode="mmm\-yy">
                  <c:v>43252</c:v>
                </c:pt>
                <c:pt idx="26" formatCode="mmm\-yy">
                  <c:v>43344</c:v>
                </c:pt>
                <c:pt idx="29" formatCode="mmm\-yy">
                  <c:v>43435</c:v>
                </c:pt>
                <c:pt idx="32" formatCode="mmm\-yy">
                  <c:v>43525</c:v>
                </c:pt>
                <c:pt idx="35" formatCode="mmm\-yy">
                  <c:v>43617</c:v>
                </c:pt>
                <c:pt idx="38" formatCode="mmm\-yy">
                  <c:v>43709</c:v>
                </c:pt>
                <c:pt idx="41" formatCode="mmm\-yy">
                  <c:v>43800</c:v>
                </c:pt>
                <c:pt idx="44" formatCode="mmm\-yy">
                  <c:v>43891</c:v>
                </c:pt>
                <c:pt idx="47" formatCode="mmm\-yy">
                  <c:v>43983</c:v>
                </c:pt>
                <c:pt idx="50" formatCode="mmm\-yy">
                  <c:v>44075</c:v>
                </c:pt>
                <c:pt idx="53" formatCode="mmm\-yy">
                  <c:v>44166</c:v>
                </c:pt>
                <c:pt idx="56" formatCode="mmm\-yy">
                  <c:v>44256</c:v>
                </c:pt>
                <c:pt idx="59" formatCode="mmm\-yy">
                  <c:v>44348</c:v>
                </c:pt>
              </c:numCache>
            </c:numRef>
          </c:cat>
          <c:val>
            <c:numRef>
              <c:f>'Mineral Sands - Prices'!$C$9:$C$68</c:f>
              <c:numCache>
                <c:formatCode>#,##0.00</c:formatCode>
                <c:ptCount val="60"/>
                <c:pt idx="0">
                  <c:v>1183.8377883121539</c:v>
                </c:pt>
                <c:pt idx="1">
                  <c:v>1142.5105130012855</c:v>
                </c:pt>
                <c:pt idx="2">
                  <c:v>1135.416575743028</c:v>
                </c:pt>
                <c:pt idx="3">
                  <c:v>1146.3494258872652</c:v>
                </c:pt>
                <c:pt idx="4">
                  <c:v>1175.3088181148746</c:v>
                </c:pt>
                <c:pt idx="5">
                  <c:v>1227.4514660353304</c:v>
                </c:pt>
                <c:pt idx="6">
                  <c:v>1235.5819881053526</c:v>
                </c:pt>
                <c:pt idx="7">
                  <c:v>1121.9014401440145</c:v>
                </c:pt>
                <c:pt idx="8">
                  <c:v>1195.6817040699887</c:v>
                </c:pt>
                <c:pt idx="9">
                  <c:v>1295.7932028792093</c:v>
                </c:pt>
                <c:pt idx="10">
                  <c:v>1268.9786068353769</c:v>
                </c:pt>
                <c:pt idx="11">
                  <c:v>1264.2666238613106</c:v>
                </c:pt>
                <c:pt idx="12">
                  <c:v>1269.6128239033103</c:v>
                </c:pt>
                <c:pt idx="13">
                  <c:v>1363.271260199456</c:v>
                </c:pt>
                <c:pt idx="14">
                  <c:v>1281.6329396744334</c:v>
                </c:pt>
                <c:pt idx="15">
                  <c:v>1568.7805748637986</c:v>
                </c:pt>
                <c:pt idx="16">
                  <c:v>1651.0540428472702</c:v>
                </c:pt>
                <c:pt idx="17">
                  <c:v>1657.3379351295182</c:v>
                </c:pt>
                <c:pt idx="18">
                  <c:v>1673.7133990507484</c:v>
                </c:pt>
                <c:pt idx="19">
                  <c:v>1855.9223646723647</c:v>
                </c:pt>
                <c:pt idx="20">
                  <c:v>1740.1903616600866</c:v>
                </c:pt>
                <c:pt idx="21">
                  <c:v>1872.7807713239965</c:v>
                </c:pt>
                <c:pt idx="22">
                  <c:v>1938.025706940874</c:v>
                </c:pt>
                <c:pt idx="23">
                  <c:v>1895.1131188347008</c:v>
                </c:pt>
                <c:pt idx="24">
                  <c:v>2096.9206536719826</c:v>
                </c:pt>
                <c:pt idx="25">
                  <c:v>2112.8665584105456</c:v>
                </c:pt>
                <c:pt idx="26">
                  <c:v>2147.098704778919</c:v>
                </c:pt>
                <c:pt idx="27">
                  <c:v>2203.6002763067004</c:v>
                </c:pt>
                <c:pt idx="28">
                  <c:v>2161.8938775510205</c:v>
                </c:pt>
                <c:pt idx="29">
                  <c:v>2122.5936593659367</c:v>
                </c:pt>
                <c:pt idx="30">
                  <c:v>2178.5865060240963</c:v>
                </c:pt>
                <c:pt idx="31">
                  <c:v>2152.1483010479519</c:v>
                </c:pt>
                <c:pt idx="32">
                  <c:v>2208.0118771726534</c:v>
                </c:pt>
                <c:pt idx="33">
                  <c:v>2167.5458242101972</c:v>
                </c:pt>
                <c:pt idx="34">
                  <c:v>2225.5955696202532</c:v>
                </c:pt>
                <c:pt idx="35">
                  <c:v>2240.4448030780118</c:v>
                </c:pt>
                <c:pt idx="36">
                  <c:v>2213.7237550471064</c:v>
                </c:pt>
                <c:pt idx="37">
                  <c:v>2252.8276311502118</c:v>
                </c:pt>
                <c:pt idx="38">
                  <c:v>2222.9214598540148</c:v>
                </c:pt>
                <c:pt idx="39">
                  <c:v>2167.8608354771532</c:v>
                </c:pt>
                <c:pt idx="40">
                  <c:v>1918.4700971204634</c:v>
                </c:pt>
                <c:pt idx="41">
                  <c:v>2125.1036752396894</c:v>
                </c:pt>
                <c:pt idx="42">
                  <c:v>1945.014840423758</c:v>
                </c:pt>
                <c:pt idx="43">
                  <c:v>1748.3205804749341</c:v>
                </c:pt>
                <c:pt idx="44">
                  <c:v>2148.4225361003278</c:v>
                </c:pt>
                <c:pt idx="45">
                  <c:v>2228.6141113760696</c:v>
                </c:pt>
                <c:pt idx="46">
                  <c:v>2127.1004091731393</c:v>
                </c:pt>
                <c:pt idx="47">
                  <c:v>1973.3186947665188</c:v>
                </c:pt>
                <c:pt idx="48">
                  <c:v>1912.6200085873766</c:v>
                </c:pt>
                <c:pt idx="49">
                  <c:v>1843.1546517291767</c:v>
                </c:pt>
                <c:pt idx="50">
                  <c:v>1894.3086685610165</c:v>
                </c:pt>
                <c:pt idx="51">
                  <c:v>1777.2679364751084</c:v>
                </c:pt>
                <c:pt idx="52">
                  <c:v>1775.8293691431502</c:v>
                </c:pt>
                <c:pt idx="53">
                  <c:v>1525.4759061576503</c:v>
                </c:pt>
                <c:pt idx="54">
                  <c:v>1716.0525778458398</c:v>
                </c:pt>
                <c:pt idx="55">
                  <c:v>1716.0525778458398</c:v>
                </c:pt>
                <c:pt idx="56">
                  <c:v>1704.9851469163707</c:v>
                </c:pt>
                <c:pt idx="57">
                  <c:v>1549.3028445883442</c:v>
                </c:pt>
                <c:pt idx="58">
                  <c:v>1549.3028445883442</c:v>
                </c:pt>
                <c:pt idx="59">
                  <c:v>1773.6919422620135</c:v>
                </c:pt>
              </c:numCache>
            </c:numRef>
          </c:val>
          <c:smooth val="0"/>
          <c:extLst>
            <c:ext xmlns:c16="http://schemas.microsoft.com/office/drawing/2014/chart" uri="{C3380CC4-5D6E-409C-BE32-E72D297353CC}">
              <c16:uniqueId val="{00000001-368C-44FC-9139-77910D5CD6A4}"/>
            </c:ext>
          </c:extLst>
        </c:ser>
        <c:ser>
          <c:idx val="2"/>
          <c:order val="2"/>
          <c:tx>
            <c:strRef>
              <c:f>'Mineral Sands - Prices'!$D$7</c:f>
              <c:strCache>
                <c:ptCount val="1"/>
                <c:pt idx="0">
                  <c:v>TiO2 Pigment</c:v>
                </c:pt>
              </c:strCache>
            </c:strRef>
          </c:tx>
          <c:marker>
            <c:symbol val="none"/>
          </c:marker>
          <c:val>
            <c:numRef>
              <c:f>'Mineral Sands - Prices'!$D$9:$D$68</c:f>
              <c:numCache>
                <c:formatCode>#,##0.00</c:formatCode>
                <c:ptCount val="60"/>
                <c:pt idx="0">
                  <c:v>2841.7541924077586</c:v>
                </c:pt>
                <c:pt idx="1">
                  <c:v>2812.0002918709124</c:v>
                </c:pt>
                <c:pt idx="2">
                  <c:v>2962.1183911553348</c:v>
                </c:pt>
                <c:pt idx="3">
                  <c:v>2957.1161483043402</c:v>
                </c:pt>
                <c:pt idx="4">
                  <c:v>3003.1435572387186</c:v>
                </c:pt>
                <c:pt idx="5">
                  <c:v>3046.0021342332784</c:v>
                </c:pt>
                <c:pt idx="6">
                  <c:v>2929.625272268594</c:v>
                </c:pt>
                <c:pt idx="7">
                  <c:v>3001.1198010127423</c:v>
                </c:pt>
                <c:pt idx="8">
                  <c:v>2991.2053741348891</c:v>
                </c:pt>
                <c:pt idx="9">
                  <c:v>3164.2275457867495</c:v>
                </c:pt>
                <c:pt idx="10">
                  <c:v>3370.8339925781129</c:v>
                </c:pt>
                <c:pt idx="11">
                  <c:v>3323.3696326004456</c:v>
                </c:pt>
                <c:pt idx="12">
                  <c:v>3318.3984275703165</c:v>
                </c:pt>
                <c:pt idx="13">
                  <c:v>3350.8418650210456</c:v>
                </c:pt>
                <c:pt idx="14">
                  <c:v>3384.4954903369435</c:v>
                </c:pt>
                <c:pt idx="15">
                  <c:v>3501.856694978143</c:v>
                </c:pt>
                <c:pt idx="16">
                  <c:v>3644.2045816794775</c:v>
                </c:pt>
                <c:pt idx="17">
                  <c:v>3676.5585893366697</c:v>
                </c:pt>
                <c:pt idx="18">
                  <c:v>3439.7963516953664</c:v>
                </c:pt>
                <c:pt idx="19">
                  <c:v>3647.919888480154</c:v>
                </c:pt>
                <c:pt idx="20">
                  <c:v>3711.1017650671383</c:v>
                </c:pt>
                <c:pt idx="21">
                  <c:v>3829.8576960531391</c:v>
                </c:pt>
                <c:pt idx="22">
                  <c:v>3914.158773425951</c:v>
                </c:pt>
                <c:pt idx="23">
                  <c:v>3884.3987550359866</c:v>
                </c:pt>
                <c:pt idx="24">
                  <c:v>3883.7042176810401</c:v>
                </c:pt>
                <c:pt idx="25">
                  <c:v>3874.4114594134921</c:v>
                </c:pt>
                <c:pt idx="26">
                  <c:v>3961.5642163369371</c:v>
                </c:pt>
                <c:pt idx="27">
                  <c:v>3944.5540992876454</c:v>
                </c:pt>
                <c:pt idx="28">
                  <c:v>3911.8499142290789</c:v>
                </c:pt>
                <c:pt idx="29">
                  <c:v>3923.9433019649009</c:v>
                </c:pt>
                <c:pt idx="30">
                  <c:v>3869.1255074483197</c:v>
                </c:pt>
                <c:pt idx="31">
                  <c:v>3797.5507103074233</c:v>
                </c:pt>
                <c:pt idx="32">
                  <c:v>3825.3170842980858</c:v>
                </c:pt>
                <c:pt idx="33">
                  <c:v>3872.2849636724181</c:v>
                </c:pt>
                <c:pt idx="34">
                  <c:v>3980.9162964372517</c:v>
                </c:pt>
                <c:pt idx="35">
                  <c:v>3967.9942481164471</c:v>
                </c:pt>
                <c:pt idx="36">
                  <c:v>3819.6943832462939</c:v>
                </c:pt>
                <c:pt idx="37">
                  <c:v>4013.006570770619</c:v>
                </c:pt>
                <c:pt idx="38">
                  <c:v>4070.9555652028612</c:v>
                </c:pt>
                <c:pt idx="39">
                  <c:v>4132.8768979748247</c:v>
                </c:pt>
                <c:pt idx="40">
                  <c:v>3989.9454691906735</c:v>
                </c:pt>
                <c:pt idx="41">
                  <c:v>4033.0959694185149</c:v>
                </c:pt>
                <c:pt idx="42">
                  <c:v>4034.3765519924154</c:v>
                </c:pt>
                <c:pt idx="43">
                  <c:v>4088.8274903685424</c:v>
                </c:pt>
                <c:pt idx="44">
                  <c:v>4387.2465278882173</c:v>
                </c:pt>
                <c:pt idx="45">
                  <c:v>4116.1303151232005</c:v>
                </c:pt>
                <c:pt idx="46">
                  <c:v>4011.0660041173319</c:v>
                </c:pt>
                <c:pt idx="47">
                  <c:v>3912.5679253847507</c:v>
                </c:pt>
                <c:pt idx="48">
                  <c:v>3813.7157712151452</c:v>
                </c:pt>
                <c:pt idx="49">
                  <c:v>3733.8944454336456</c:v>
                </c:pt>
                <c:pt idx="50">
                  <c:v>3710.2323186017834</c:v>
                </c:pt>
                <c:pt idx="51">
                  <c:v>3825.0629505735674</c:v>
                </c:pt>
                <c:pt idx="52">
                  <c:v>3684.7108626942809</c:v>
                </c:pt>
                <c:pt idx="53">
                  <c:v>3614.7844236787751</c:v>
                </c:pt>
                <c:pt idx="54">
                  <c:v>3614.7844236787751</c:v>
                </c:pt>
                <c:pt idx="55">
                  <c:v>3554.1764845400112</c:v>
                </c:pt>
                <c:pt idx="56">
                  <c:v>3555.2726009570724</c:v>
                </c:pt>
                <c:pt idx="57">
                  <c:v>3555.2726009570724</c:v>
                </c:pt>
                <c:pt idx="58">
                  <c:v>3566.9015170882326</c:v>
                </c:pt>
                <c:pt idx="59">
                  <c:v>3684.4856798233413</c:v>
                </c:pt>
              </c:numCache>
            </c:numRef>
          </c:val>
          <c:smooth val="0"/>
          <c:extLst>
            <c:ext xmlns:c16="http://schemas.microsoft.com/office/drawing/2014/chart" uri="{C3380CC4-5D6E-409C-BE32-E72D297353CC}">
              <c16:uniqueId val="{00000000-42B3-40CF-8E8E-884630539E9F}"/>
            </c:ext>
          </c:extLst>
        </c:ser>
        <c:dLbls>
          <c:showLegendKey val="0"/>
          <c:showVal val="0"/>
          <c:showCatName val="0"/>
          <c:showSerName val="0"/>
          <c:showPercent val="0"/>
          <c:showBubbleSize val="0"/>
        </c:dLbls>
        <c:smooth val="0"/>
        <c:axId val="133158400"/>
        <c:axId val="133156864"/>
      </c:lineChart>
      <c:valAx>
        <c:axId val="133156864"/>
        <c:scaling>
          <c:orientation val="minMax"/>
          <c:max val="5000"/>
        </c:scaling>
        <c:delete val="0"/>
        <c:axPos val="l"/>
        <c:majorGridlines/>
        <c:title>
          <c:tx>
            <c:rich>
              <a:bodyPr/>
              <a:lstStyle/>
              <a:p>
                <a:pPr>
                  <a:defRPr/>
                </a:pPr>
                <a:r>
                  <a:rPr lang="en-AU"/>
                  <a:t>A$/tonne</a:t>
                </a:r>
              </a:p>
            </c:rich>
          </c:tx>
          <c:overlay val="0"/>
        </c:title>
        <c:numFmt formatCode="#,##0" sourceLinked="0"/>
        <c:majorTickMark val="out"/>
        <c:minorTickMark val="none"/>
        <c:tickLblPos val="nextTo"/>
        <c:crossAx val="133158400"/>
        <c:crosses val="autoZero"/>
        <c:crossBetween val="between"/>
      </c:valAx>
      <c:catAx>
        <c:axId val="133158400"/>
        <c:scaling>
          <c:orientation val="minMax"/>
        </c:scaling>
        <c:delete val="0"/>
        <c:axPos val="b"/>
        <c:title>
          <c:tx>
            <c:rich>
              <a:bodyPr/>
              <a:lstStyle/>
              <a:p>
                <a:pPr>
                  <a:defRPr sz="900"/>
                </a:pPr>
                <a:r>
                  <a:rPr lang="en-AU" sz="900"/>
                  <a:t>Source:  ABS</a:t>
                </a:r>
              </a:p>
            </c:rich>
          </c:tx>
          <c:layout>
            <c:manualLayout>
              <c:xMode val="edge"/>
              <c:yMode val="edge"/>
              <c:x val="5.3324002104216056E-3"/>
              <c:y val="0.94946707074149661"/>
            </c:manualLayout>
          </c:layout>
          <c:overlay val="0"/>
        </c:title>
        <c:numFmt formatCode="General" sourceLinked="1"/>
        <c:majorTickMark val="out"/>
        <c:minorTickMark val="none"/>
        <c:tickLblPos val="nextTo"/>
        <c:crossAx val="13315686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Mineral Sands</a:t>
            </a:r>
          </a:p>
          <a:p>
            <a:pPr>
              <a:defRPr/>
            </a:pPr>
            <a:r>
              <a:rPr lang="en-US" sz="1100"/>
              <a:t>Historic Average Annual Prices</a:t>
            </a:r>
            <a:endParaRPr lang="en-AU" sz="1100"/>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2995295818027908"/>
          <c:y val="0.23172363558320311"/>
          <c:w val="0.81546267971604292"/>
          <c:h val="0.57996293406663091"/>
        </c:manualLayout>
      </c:layout>
      <c:lineChart>
        <c:grouping val="standard"/>
        <c:varyColors val="0"/>
        <c:ser>
          <c:idx val="0"/>
          <c:order val="0"/>
          <c:tx>
            <c:strRef>
              <c:f>'Mineral Sands - Prices'!$I$7</c:f>
              <c:strCache>
                <c:ptCount val="1"/>
                <c:pt idx="0">
                  <c:v>Rutile</c:v>
                </c:pt>
              </c:strCache>
            </c:strRef>
          </c:tx>
          <c:spPr>
            <a:ln w="28575" cap="rnd" cmpd="sng" algn="ctr">
              <a:solidFill>
                <a:schemeClr val="accent4">
                  <a:shade val="65000"/>
                  <a:shade val="95000"/>
                  <a:satMod val="105000"/>
                </a:schemeClr>
              </a:solidFill>
              <a:prstDash val="solid"/>
              <a:round/>
            </a:ln>
            <a:effectLst/>
          </c:spPr>
          <c:marker>
            <c:symbol val="none"/>
          </c:marker>
          <c:cat>
            <c:strRef>
              <c:f>'Mineral Sands - Prices'!$H$9:$H$43</c:f>
              <c:strCache>
                <c:ptCount val="35"/>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strCache>
            </c:strRef>
          </c:cat>
          <c:val>
            <c:numRef>
              <c:f>'Mineral Sands - Prices'!$I$9:$I$43</c:f>
              <c:numCache>
                <c:formatCode>#,##0.00</c:formatCode>
                <c:ptCount val="35"/>
                <c:pt idx="0">
                  <c:v>636.16666666666663</c:v>
                </c:pt>
                <c:pt idx="1">
                  <c:v>634.5</c:v>
                </c:pt>
                <c:pt idx="2">
                  <c:v>686.66666666666663</c:v>
                </c:pt>
                <c:pt idx="3">
                  <c:v>825</c:v>
                </c:pt>
                <c:pt idx="4">
                  <c:v>755</c:v>
                </c:pt>
                <c:pt idx="5">
                  <c:v>621.5</c:v>
                </c:pt>
                <c:pt idx="6">
                  <c:v>539</c:v>
                </c:pt>
                <c:pt idx="7">
                  <c:v>485.25</c:v>
                </c:pt>
                <c:pt idx="8">
                  <c:v>510.75</c:v>
                </c:pt>
                <c:pt idx="9">
                  <c:v>634.5</c:v>
                </c:pt>
                <c:pt idx="10">
                  <c:v>688</c:v>
                </c:pt>
                <c:pt idx="11">
                  <c:v>762.6026244588744</c:v>
                </c:pt>
                <c:pt idx="12">
                  <c:v>799.32292910557396</c:v>
                </c:pt>
                <c:pt idx="13">
                  <c:v>787.02869281045753</c:v>
                </c:pt>
                <c:pt idx="14">
                  <c:v>923.30083333333334</c:v>
                </c:pt>
                <c:pt idx="15">
                  <c:v>962.51416666666648</c:v>
                </c:pt>
                <c:pt idx="16">
                  <c:v>848.40333333333331</c:v>
                </c:pt>
                <c:pt idx="17">
                  <c:v>704.95759018036063</c:v>
                </c:pt>
                <c:pt idx="18">
                  <c:v>779.95059692518225</c:v>
                </c:pt>
                <c:pt idx="19">
                  <c:v>892.35060984697031</c:v>
                </c:pt>
                <c:pt idx="20">
                  <c:v>872.60628300150393</c:v>
                </c:pt>
                <c:pt idx="21">
                  <c:v>751.56060953995359</c:v>
                </c:pt>
                <c:pt idx="22">
                  <c:v>1081.079337006973</c:v>
                </c:pt>
                <c:pt idx="23">
                  <c:v>972.22897337902157</c:v>
                </c:pt>
                <c:pt idx="24">
                  <c:v>906.0849436971788</c:v>
                </c:pt>
                <c:pt idx="25">
                  <c:v>2027.1533996239584</c:v>
                </c:pt>
                <c:pt idx="26">
                  <c:v>2149.9004569428544</c:v>
                </c:pt>
                <c:pt idx="27">
                  <c:v>1305.821139159596</c:v>
                </c:pt>
                <c:pt idx="28">
                  <c:v>1174.3563721270386</c:v>
                </c:pt>
                <c:pt idx="29">
                  <c:v>1175.8789770158726</c:v>
                </c:pt>
                <c:pt idx="30">
                  <c:v>1143.3666851763885</c:v>
                </c:pt>
                <c:pt idx="31">
                  <c:v>1235.260467710579</c:v>
                </c:pt>
                <c:pt idx="32">
                  <c:v>1519.4002359473059</c:v>
                </c:pt>
                <c:pt idx="33">
                  <c:v>1922.9664914731711</c:v>
                </c:pt>
                <c:pt idx="34">
                  <c:v>1687.6392571813976</c:v>
                </c:pt>
              </c:numCache>
            </c:numRef>
          </c:val>
          <c:smooth val="0"/>
          <c:extLst>
            <c:ext xmlns:c16="http://schemas.microsoft.com/office/drawing/2014/chart" uri="{C3380CC4-5D6E-409C-BE32-E72D297353CC}">
              <c16:uniqueId val="{00000000-435B-4A6E-8B70-41A67C10F69F}"/>
            </c:ext>
          </c:extLst>
        </c:ser>
        <c:ser>
          <c:idx val="1"/>
          <c:order val="1"/>
          <c:tx>
            <c:strRef>
              <c:f>'Mineral Sands - Prices'!$J$7</c:f>
              <c:strCache>
                <c:ptCount val="1"/>
                <c:pt idx="0">
                  <c:v>Zircon</c:v>
                </c:pt>
              </c:strCache>
            </c:strRef>
          </c:tx>
          <c:spPr>
            <a:ln w="28575" cap="rnd" cmpd="sng" algn="ctr">
              <a:solidFill>
                <a:schemeClr val="accent4">
                  <a:shade val="95000"/>
                  <a:satMod val="105000"/>
                </a:schemeClr>
              </a:solidFill>
              <a:prstDash val="solid"/>
              <a:round/>
            </a:ln>
            <a:effectLst/>
          </c:spPr>
          <c:marker>
            <c:symbol val="none"/>
          </c:marker>
          <c:cat>
            <c:strRef>
              <c:f>'Mineral Sands - Prices'!$H$9:$H$43</c:f>
              <c:strCache>
                <c:ptCount val="35"/>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strCache>
            </c:strRef>
          </c:cat>
          <c:val>
            <c:numRef>
              <c:f>'Mineral Sands - Prices'!$J$9:$J$43</c:f>
              <c:numCache>
                <c:formatCode>#,##0.00</c:formatCode>
                <c:ptCount val="35"/>
                <c:pt idx="0">
                  <c:v>215</c:v>
                </c:pt>
                <c:pt idx="1">
                  <c:v>287.5</c:v>
                </c:pt>
                <c:pt idx="2">
                  <c:v>410</c:v>
                </c:pt>
                <c:pt idx="3">
                  <c:v>568.33333333333337</c:v>
                </c:pt>
                <c:pt idx="4">
                  <c:v>510.25</c:v>
                </c:pt>
                <c:pt idx="5">
                  <c:v>292</c:v>
                </c:pt>
                <c:pt idx="6">
                  <c:v>181.75</c:v>
                </c:pt>
                <c:pt idx="7">
                  <c:v>192.25</c:v>
                </c:pt>
                <c:pt idx="8">
                  <c:v>277.5</c:v>
                </c:pt>
                <c:pt idx="9">
                  <c:v>477.75</c:v>
                </c:pt>
                <c:pt idx="10">
                  <c:v>581.5</c:v>
                </c:pt>
                <c:pt idx="11">
                  <c:v>559.83666835261636</c:v>
                </c:pt>
                <c:pt idx="12">
                  <c:v>516.58662277796691</c:v>
                </c:pt>
                <c:pt idx="13">
                  <c:v>565.05416666666667</c:v>
                </c:pt>
                <c:pt idx="14">
                  <c:v>718.13333333333333</c:v>
                </c:pt>
                <c:pt idx="15">
                  <c:v>847.75166666666667</c:v>
                </c:pt>
                <c:pt idx="16">
                  <c:v>763.84416666666675</c:v>
                </c:pt>
                <c:pt idx="17">
                  <c:v>704.36472727272724</c:v>
                </c:pt>
                <c:pt idx="18">
                  <c:v>899.42520939804888</c:v>
                </c:pt>
                <c:pt idx="19">
                  <c:v>1074.4946528233477</c:v>
                </c:pt>
                <c:pt idx="20">
                  <c:v>1119.6279421724726</c:v>
                </c:pt>
                <c:pt idx="21">
                  <c:v>956.47399672205484</c:v>
                </c:pt>
                <c:pt idx="22">
                  <c:v>1201.1863950812642</c:v>
                </c:pt>
                <c:pt idx="23">
                  <c:v>1065.8881852846446</c:v>
                </c:pt>
                <c:pt idx="24">
                  <c:v>1277.7988704351437</c:v>
                </c:pt>
                <c:pt idx="25">
                  <c:v>2339.6804695292017</c:v>
                </c:pt>
                <c:pt idx="26">
                  <c:v>1617.471516205637</c:v>
                </c:pt>
                <c:pt idx="27">
                  <c:v>1214.7701106045768</c:v>
                </c:pt>
                <c:pt idx="28">
                  <c:v>1307.0379518377345</c:v>
                </c:pt>
                <c:pt idx="29">
                  <c:v>1297.5241493782792</c:v>
                </c:pt>
                <c:pt idx="30">
                  <c:v>1199.4231794157658</c:v>
                </c:pt>
                <c:pt idx="31">
                  <c:v>1647.2862749250464</c:v>
                </c:pt>
                <c:pt idx="32">
                  <c:v>2168.1088842698559</c:v>
                </c:pt>
                <c:pt idx="33">
                  <c:v>2089.3082188502822</c:v>
                </c:pt>
                <c:pt idx="34">
                  <c:v>1728.1703728916862</c:v>
                </c:pt>
              </c:numCache>
            </c:numRef>
          </c:val>
          <c:smooth val="0"/>
          <c:extLst>
            <c:ext xmlns:c16="http://schemas.microsoft.com/office/drawing/2014/chart" uri="{C3380CC4-5D6E-409C-BE32-E72D297353CC}">
              <c16:uniqueId val="{00000001-435B-4A6E-8B70-41A67C10F69F}"/>
            </c:ext>
          </c:extLst>
        </c:ser>
        <c:ser>
          <c:idx val="2"/>
          <c:order val="2"/>
          <c:tx>
            <c:strRef>
              <c:f>'Mineral Sands - Prices'!$K$7</c:f>
              <c:strCache>
                <c:ptCount val="1"/>
                <c:pt idx="0">
                  <c:v>TiO2 Pigment</c:v>
                </c:pt>
              </c:strCache>
            </c:strRef>
          </c:tx>
          <c:spPr>
            <a:ln w="28575" cap="rnd" cmpd="sng" algn="ctr">
              <a:solidFill>
                <a:schemeClr val="accent4">
                  <a:tint val="65000"/>
                  <a:shade val="95000"/>
                  <a:satMod val="105000"/>
                </a:schemeClr>
              </a:solidFill>
              <a:prstDash val="solid"/>
              <a:round/>
            </a:ln>
            <a:effectLst/>
          </c:spPr>
          <c:marker>
            <c:symbol val="none"/>
          </c:marker>
          <c:cat>
            <c:strRef>
              <c:f>'Mineral Sands - Prices'!$H$9:$H$43</c:f>
              <c:strCache>
                <c:ptCount val="35"/>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strCache>
            </c:strRef>
          </c:cat>
          <c:val>
            <c:numRef>
              <c:f>'Mineral Sands - Prices'!$K$9:$K$43</c:f>
              <c:numCache>
                <c:formatCode>#,##0.00</c:formatCode>
                <c:ptCount val="35"/>
                <c:pt idx="0">
                  <c:v>0</c:v>
                </c:pt>
                <c:pt idx="1">
                  <c:v>1246.1232787963488</c:v>
                </c:pt>
                <c:pt idx="2">
                  <c:v>2590.2992069403367</c:v>
                </c:pt>
                <c:pt idx="3">
                  <c:v>2968.9487602839145</c:v>
                </c:pt>
                <c:pt idx="4">
                  <c:v>2393.4499976221373</c:v>
                </c:pt>
                <c:pt idx="5">
                  <c:v>2118.0479771251762</c:v>
                </c:pt>
                <c:pt idx="6">
                  <c:v>2242.1244266201338</c:v>
                </c:pt>
                <c:pt idx="7">
                  <c:v>2397.0213150117547</c:v>
                </c:pt>
                <c:pt idx="8">
                  <c:v>2661</c:v>
                </c:pt>
                <c:pt idx="9">
                  <c:v>2573.25</c:v>
                </c:pt>
                <c:pt idx="10">
                  <c:v>1971.25</c:v>
                </c:pt>
                <c:pt idx="11">
                  <c:v>2553.1802872474746</c:v>
                </c:pt>
                <c:pt idx="12">
                  <c:v>2919.1080924375387</c:v>
                </c:pt>
                <c:pt idx="13">
                  <c:v>2971.1541666666667</c:v>
                </c:pt>
                <c:pt idx="14">
                  <c:v>3545.5</c:v>
                </c:pt>
                <c:pt idx="15">
                  <c:v>3204.1302500000002</c:v>
                </c:pt>
                <c:pt idx="16">
                  <c:v>2927.3741666666665</c:v>
                </c:pt>
                <c:pt idx="17">
                  <c:v>2422.8839436321332</c:v>
                </c:pt>
                <c:pt idx="18">
                  <c:v>2408.943139497032</c:v>
                </c:pt>
                <c:pt idx="19">
                  <c:v>2485.448313981547</c:v>
                </c:pt>
                <c:pt idx="20">
                  <c:v>2396.2535314943398</c:v>
                </c:pt>
                <c:pt idx="21">
                  <c:v>2137.7476522435632</c:v>
                </c:pt>
                <c:pt idx="22">
                  <c:v>2870.6293694457777</c:v>
                </c:pt>
                <c:pt idx="23">
                  <c:v>2473.6933835304098</c:v>
                </c:pt>
                <c:pt idx="24">
                  <c:v>2701.6693919836343</c:v>
                </c:pt>
                <c:pt idx="25">
                  <c:v>3215.8493205809177</c:v>
                </c:pt>
                <c:pt idx="26">
                  <c:v>2745.8495504381449</c:v>
                </c:pt>
                <c:pt idx="27">
                  <c:v>2778.5921703270246</c:v>
                </c:pt>
                <c:pt idx="28">
                  <c:v>2998.1335068261451</c:v>
                </c:pt>
                <c:pt idx="29">
                  <c:v>2908.9764066173634</c:v>
                </c:pt>
                <c:pt idx="30">
                  <c:v>3033.5430277993232</c:v>
                </c:pt>
                <c:pt idx="31">
                  <c:v>3608.6324065566937</c:v>
                </c:pt>
                <c:pt idx="32">
                  <c:v>3901.1013349327536</c:v>
                </c:pt>
                <c:pt idx="33">
                  <c:v>4050.8158058898539</c:v>
                </c:pt>
                <c:pt idx="34">
                  <c:v>3659.4411732701424</c:v>
                </c:pt>
              </c:numCache>
            </c:numRef>
          </c:val>
          <c:smooth val="0"/>
          <c:extLst>
            <c:ext xmlns:c16="http://schemas.microsoft.com/office/drawing/2014/chart" uri="{C3380CC4-5D6E-409C-BE32-E72D297353CC}">
              <c16:uniqueId val="{00000002-34EA-41D1-BA00-4750EDDC0FD0}"/>
            </c:ext>
          </c:extLst>
        </c:ser>
        <c:dLbls>
          <c:showLegendKey val="0"/>
          <c:showVal val="0"/>
          <c:showCatName val="0"/>
          <c:showSerName val="0"/>
          <c:showPercent val="0"/>
          <c:showBubbleSize val="0"/>
        </c:dLbls>
        <c:smooth val="0"/>
        <c:axId val="133445504"/>
        <c:axId val="133447040"/>
      </c:lineChart>
      <c:catAx>
        <c:axId val="13344550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33447040"/>
        <c:crosses val="autoZero"/>
        <c:auto val="0"/>
        <c:lblAlgn val="ctr"/>
        <c:lblOffset val="100"/>
        <c:noMultiLvlLbl val="0"/>
      </c:catAx>
      <c:valAx>
        <c:axId val="13344704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A$/tonne</a:t>
                </a:r>
              </a:p>
            </c:rich>
          </c:tx>
          <c:layout>
            <c:manualLayout>
              <c:xMode val="edge"/>
              <c:yMode val="edge"/>
              <c:x val="2.24982855356449E-2"/>
              <c:y val="0.4316903742618692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33445504"/>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4"/>
    </mc:Choice>
    <mc:Fallback>
      <c:style val="14"/>
    </mc:Fallback>
  </mc:AlternateContent>
  <c:chart>
    <c:title>
      <c:tx>
        <c:strRef>
          <c:f>'Mineral Sands - Exports'!$W$1</c:f>
          <c:strCache>
            <c:ptCount val="1"/>
            <c:pt idx="0">
              <c:v>Western Australian Mineral Sands Exports 2020-21
Total Value: $1,469,219,365</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C110-444A-A470-06D4C6DAE5AE}"/>
              </c:ext>
            </c:extLst>
          </c:dPt>
          <c:dPt>
            <c:idx val="1"/>
            <c:bubble3D val="0"/>
            <c:extLst>
              <c:ext xmlns:c16="http://schemas.microsoft.com/office/drawing/2014/chart" uri="{C3380CC4-5D6E-409C-BE32-E72D297353CC}">
                <c16:uniqueId val="{00000001-C110-444A-A470-06D4C6DAE5AE}"/>
              </c:ext>
            </c:extLst>
          </c:dPt>
          <c:dPt>
            <c:idx val="2"/>
            <c:bubble3D val="0"/>
            <c:extLst>
              <c:ext xmlns:c16="http://schemas.microsoft.com/office/drawing/2014/chart" uri="{C3380CC4-5D6E-409C-BE32-E72D297353CC}">
                <c16:uniqueId val="{00000002-C110-444A-A470-06D4C6DAE5AE}"/>
              </c:ext>
            </c:extLst>
          </c:dPt>
          <c:dPt>
            <c:idx val="3"/>
            <c:bubble3D val="0"/>
            <c:extLst>
              <c:ext xmlns:c16="http://schemas.microsoft.com/office/drawing/2014/chart" uri="{C3380CC4-5D6E-409C-BE32-E72D297353CC}">
                <c16:uniqueId val="{00000003-C110-444A-A470-06D4C6DAE5AE}"/>
              </c:ext>
            </c:extLst>
          </c:dPt>
          <c:dPt>
            <c:idx val="4"/>
            <c:bubble3D val="0"/>
            <c:extLst>
              <c:ext xmlns:c16="http://schemas.microsoft.com/office/drawing/2014/chart" uri="{C3380CC4-5D6E-409C-BE32-E72D297353CC}">
                <c16:uniqueId val="{00000004-C110-444A-A470-06D4C6DAE5AE}"/>
              </c:ext>
            </c:extLst>
          </c:dPt>
          <c:dPt>
            <c:idx val="5"/>
            <c:bubble3D val="0"/>
            <c:extLst>
              <c:ext xmlns:c16="http://schemas.microsoft.com/office/drawing/2014/chart" uri="{C3380CC4-5D6E-409C-BE32-E72D297353CC}">
                <c16:uniqueId val="{00000005-C110-444A-A470-06D4C6DAE5AE}"/>
              </c:ext>
            </c:extLst>
          </c:dPt>
          <c:dPt>
            <c:idx val="6"/>
            <c:bubble3D val="0"/>
            <c:extLst>
              <c:ext xmlns:c16="http://schemas.microsoft.com/office/drawing/2014/chart" uri="{C3380CC4-5D6E-409C-BE32-E72D297353CC}">
                <c16:uniqueId val="{00000006-C110-444A-A470-06D4C6DAE5AE}"/>
              </c:ext>
            </c:extLst>
          </c:dPt>
          <c:dPt>
            <c:idx val="7"/>
            <c:bubble3D val="0"/>
            <c:extLst>
              <c:ext xmlns:c16="http://schemas.microsoft.com/office/drawing/2014/chart" uri="{C3380CC4-5D6E-409C-BE32-E72D297353CC}">
                <c16:uniqueId val="{00000007-C110-444A-A470-06D4C6DAE5AE}"/>
              </c:ext>
            </c:extLst>
          </c:dPt>
          <c:dPt>
            <c:idx val="8"/>
            <c:bubble3D val="0"/>
            <c:extLst>
              <c:ext xmlns:c16="http://schemas.microsoft.com/office/drawing/2014/chart" uri="{C3380CC4-5D6E-409C-BE32-E72D297353CC}">
                <c16:uniqueId val="{00000008-C110-444A-A470-06D4C6DAE5AE}"/>
              </c:ext>
            </c:extLst>
          </c:dPt>
          <c:dPt>
            <c:idx val="9"/>
            <c:bubble3D val="0"/>
            <c:extLst>
              <c:ext xmlns:c16="http://schemas.microsoft.com/office/drawing/2014/chart" uri="{C3380CC4-5D6E-409C-BE32-E72D297353CC}">
                <c16:uniqueId val="{00000009-C110-444A-A470-06D4C6DAE5AE}"/>
              </c:ext>
            </c:extLst>
          </c:dPt>
          <c:dPt>
            <c:idx val="10"/>
            <c:bubble3D val="0"/>
            <c:extLst>
              <c:ext xmlns:c16="http://schemas.microsoft.com/office/drawing/2014/chart" uri="{C3380CC4-5D6E-409C-BE32-E72D297353CC}">
                <c16:uniqueId val="{0000000A-C110-444A-A470-06D4C6DAE5AE}"/>
              </c:ext>
            </c:extLst>
          </c:dPt>
          <c:dLbls>
            <c:dLbl>
              <c:idx val="0"/>
              <c:layout>
                <c:manualLayout>
                  <c:x val="3.3210795939664021E-2"/>
                  <c:y val="-1.47434070741157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10-444A-A470-06D4C6DAE5AE}"/>
                </c:ext>
              </c:extLst>
            </c:dLbl>
            <c:dLbl>
              <c:idx val="1"/>
              <c:layout>
                <c:manualLayout>
                  <c:x val="9.9783385510545386E-3"/>
                  <c:y val="7.599050118735158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10-444A-A470-06D4C6DAE5AE}"/>
                </c:ext>
              </c:extLst>
            </c:dLbl>
            <c:dLbl>
              <c:idx val="2"/>
              <c:layout>
                <c:manualLayout>
                  <c:x val="-2.5359390317174282E-2"/>
                  <c:y val="5.983752030996125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10-444A-A470-06D4C6DAE5AE}"/>
                </c:ext>
              </c:extLst>
            </c:dLbl>
            <c:dLbl>
              <c:idx val="3"/>
              <c:layout>
                <c:manualLayout>
                  <c:x val="-4.9062065771190363E-2"/>
                  <c:y val="-2.502068193856831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10-444A-A470-06D4C6DAE5AE}"/>
                </c:ext>
              </c:extLst>
            </c:dLbl>
            <c:dLbl>
              <c:idx val="4"/>
              <c:layout>
                <c:manualLayout>
                  <c:x val="-7.3378415933302452E-2"/>
                  <c:y val="-3.868564048541551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10-444A-A470-06D4C6DAE5AE}"/>
                </c:ext>
              </c:extLst>
            </c:dLbl>
            <c:dLbl>
              <c:idx val="5"/>
              <c:layout>
                <c:manualLayout>
                  <c:x val="-5.321059132314343E-2"/>
                  <c:y val="-1.143238047624999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10-444A-A470-06D4C6DAE5AE}"/>
                </c:ext>
              </c:extLst>
            </c:dLbl>
            <c:dLbl>
              <c:idx val="6"/>
              <c:layout>
                <c:manualLayout>
                  <c:x val="-2.060961865060985E-2"/>
                  <c:y val="-1.88735931818046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10-444A-A470-06D4C6DAE5AE}"/>
                </c:ext>
              </c:extLst>
            </c:dLbl>
            <c:dLbl>
              <c:idx val="7"/>
              <c:layout>
                <c:manualLayout>
                  <c:x val="-2.8459317585301819E-2"/>
                  <c:y val="-8.232066229816455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10-444A-A470-06D4C6DAE5AE}"/>
                </c:ext>
              </c:extLst>
            </c:dLbl>
            <c:dLbl>
              <c:idx val="8"/>
              <c:layout>
                <c:manualLayout>
                  <c:x val="-1.588752508877565E-2"/>
                  <c:y val="-1.42053671862445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10-444A-A470-06D4C6DAE5AE}"/>
                </c:ext>
              </c:extLst>
            </c:dLbl>
            <c:dLbl>
              <c:idx val="9"/>
              <c:layout>
                <c:manualLayout>
                  <c:x val="-1.1774278215223097E-2"/>
                  <c:y val="-3.235405098172252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110-444A-A470-06D4C6DAE5AE}"/>
                </c:ext>
              </c:extLst>
            </c:dLbl>
            <c:dLbl>
              <c:idx val="10"/>
              <c:layout>
                <c:manualLayout>
                  <c:x val="3.2127486323245739E-2"/>
                  <c:y val="-3.986226721659792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10-444A-A470-06D4C6DAE5A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'Mineral Sands - Exports'!$A$10:$A$20</c:f>
              <c:strCache>
                <c:ptCount val="11"/>
                <c:pt idx="0">
                  <c:v>China</c:v>
                </c:pt>
                <c:pt idx="1">
                  <c:v>Netherlands</c:v>
                </c:pt>
                <c:pt idx="2">
                  <c:v>United States</c:v>
                </c:pt>
                <c:pt idx="3">
                  <c:v>Saudi Arabia</c:v>
                </c:pt>
                <c:pt idx="4">
                  <c:v>Spain</c:v>
                </c:pt>
                <c:pt idx="5">
                  <c:v>Taiwan, Province Of China</c:v>
                </c:pt>
                <c:pt idx="6">
                  <c:v>United Kingdom</c:v>
                </c:pt>
                <c:pt idx="7">
                  <c:v>India</c:v>
                </c:pt>
                <c:pt idx="8">
                  <c:v>Mexico</c:v>
                </c:pt>
                <c:pt idx="9">
                  <c:v>Malaysia</c:v>
                </c:pt>
                <c:pt idx="10">
                  <c:v>Other</c:v>
                </c:pt>
              </c:strCache>
            </c:strRef>
          </c:cat>
          <c:val>
            <c:numRef>
              <c:f>'Mineral Sands - Exports'!$D$10:$D$20</c:f>
              <c:numCache>
                <c:formatCode>0.0%</c:formatCode>
                <c:ptCount val="11"/>
                <c:pt idx="0">
                  <c:v>0.50686490250089133</c:v>
                </c:pt>
                <c:pt idx="1">
                  <c:v>7.6250643381230082E-2</c:v>
                </c:pt>
                <c:pt idx="2">
                  <c:v>5.8791046294251928E-2</c:v>
                </c:pt>
                <c:pt idx="3">
                  <c:v>5.4509581307677905E-2</c:v>
                </c:pt>
                <c:pt idx="4">
                  <c:v>5.3840936241309978E-2</c:v>
                </c:pt>
                <c:pt idx="5">
                  <c:v>4.4396450265963491E-2</c:v>
                </c:pt>
                <c:pt idx="6">
                  <c:v>4.388846353665514E-2</c:v>
                </c:pt>
                <c:pt idx="7">
                  <c:v>4.2831588840673548E-2</c:v>
                </c:pt>
                <c:pt idx="8">
                  <c:v>2.8478392852050945E-2</c:v>
                </c:pt>
                <c:pt idx="9">
                  <c:v>2.4366328743169741E-2</c:v>
                </c:pt>
                <c:pt idx="10">
                  <c:v>6.5781666036125813E-2</c:v>
                </c:pt>
              </c:numCache>
            </c:numRef>
          </c:val>
          <c:extLst>
            <c:ext xmlns:c16="http://schemas.microsoft.com/office/drawing/2014/chart" uri="{C3380CC4-5D6E-409C-BE32-E72D297353CC}">
              <c16:uniqueId val="{0000000B-C110-444A-A470-06D4C6DAE5AE}"/>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a:p>
            <a:pPr>
              <a:defRPr/>
            </a:pPr>
            <a:r>
              <a:rPr lang="en-AU" sz="1100"/>
              <a:t>Past 10 Years</a:t>
            </a:r>
          </a:p>
        </c:rich>
      </c:tx>
      <c:overlay val="0"/>
    </c:title>
    <c:autoTitleDeleted val="0"/>
    <c:plotArea>
      <c:layout/>
      <c:lineChart>
        <c:grouping val="standard"/>
        <c:varyColors val="0"/>
        <c:ser>
          <c:idx val="0"/>
          <c:order val="0"/>
          <c:tx>
            <c:v>Western Australia</c:v>
          </c:tx>
          <c:cat>
            <c:numRef>
              <c:f>'Mineral Sands - WA vs Australia'!$E$53:$E$62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'Mineral Sands - WA vs Australia'!$F$53:$F$62</c:f>
              <c:numCache>
                <c:formatCode>#,##0.00</c:formatCode>
                <c:ptCount val="10"/>
                <c:pt idx="0">
                  <c:v>591622104.60567033</c:v>
                </c:pt>
                <c:pt idx="1">
                  <c:v>970807032.06660604</c:v>
                </c:pt>
                <c:pt idx="2">
                  <c:v>645165237.5995152</c:v>
                </c:pt>
                <c:pt idx="3">
                  <c:v>383161710.53810829</c:v>
                </c:pt>
                <c:pt idx="4">
                  <c:v>586413597.36441696</c:v>
                </c:pt>
                <c:pt idx="5">
                  <c:v>612464028.01084828</c:v>
                </c:pt>
                <c:pt idx="6">
                  <c:v>513509162.81765264</c:v>
                </c:pt>
                <c:pt idx="7">
                  <c:v>628097787.39685094</c:v>
                </c:pt>
                <c:pt idx="8">
                  <c:v>729911396.66104162</c:v>
                </c:pt>
                <c:pt idx="9">
                  <c:v>858377500.96793139</c:v>
                </c:pt>
              </c:numCache>
            </c:numRef>
          </c:val>
          <c:smooth val="0"/>
          <c:extLst>
            <c:ext xmlns:c16="http://schemas.microsoft.com/office/drawing/2014/chart" uri="{C3380CC4-5D6E-409C-BE32-E72D297353CC}">
              <c16:uniqueId val="{00000000-0AD1-4947-91EF-262437E67ACB}"/>
            </c:ext>
          </c:extLst>
        </c:ser>
        <c:ser>
          <c:idx val="1"/>
          <c:order val="1"/>
          <c:tx>
            <c:v>Rest of Australia</c:v>
          </c:tx>
          <c:cat>
            <c:numRef>
              <c:f>'Mineral Sands - WA vs Australia'!$E$53:$E$62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'Mineral Sands - WA vs Australia'!$G$53:$G$56</c:f>
              <c:numCache>
                <c:formatCode>#,##0.00</c:formatCode>
                <c:ptCount val="4"/>
                <c:pt idx="0">
                  <c:v>1345503845</c:v>
                </c:pt>
                <c:pt idx="1">
                  <c:v>1320369000</c:v>
                </c:pt>
                <c:pt idx="2">
                  <c:v>1367400000</c:v>
                </c:pt>
                <c:pt idx="3">
                  <c:v>1243000000</c:v>
                </c:pt>
              </c:numCache>
            </c:numRef>
          </c:val>
          <c:smooth val="0"/>
          <c:extLst>
            <c:ext xmlns:c16="http://schemas.microsoft.com/office/drawing/2014/chart" uri="{C3380CC4-5D6E-409C-BE32-E72D297353CC}">
              <c16:uniqueId val="{00000001-0AD1-4947-91EF-262437E67ACB}"/>
            </c:ext>
          </c:extLst>
        </c:ser>
        <c:dLbls>
          <c:showLegendKey val="0"/>
          <c:showVal val="0"/>
          <c:showCatName val="0"/>
          <c:showSerName val="0"/>
          <c:showPercent val="0"/>
          <c:showBubbleSize val="0"/>
        </c:dLbls>
        <c:marker val="1"/>
        <c:smooth val="0"/>
        <c:axId val="133027328"/>
        <c:axId val="133025792"/>
      </c:lineChart>
      <c:valAx>
        <c:axId val="133025792"/>
        <c:scaling>
          <c:orientation val="minMax"/>
        </c:scaling>
        <c:delete val="0"/>
        <c:axPos val="l"/>
        <c:majorGridlines/>
        <c:numFmt formatCode="#,##0" sourceLinked="0"/>
        <c:majorTickMark val="out"/>
        <c:minorTickMark val="none"/>
        <c:tickLblPos val="nextTo"/>
        <c:crossAx val="133027328"/>
        <c:crosses val="autoZero"/>
        <c:crossBetween val="between"/>
        <c:dispUnits>
          <c:builtInUnit val="millions"/>
          <c:dispUnitsLbl>
            <c:layout>
              <c:manualLayout>
                <c:xMode val="edge"/>
                <c:yMode val="edge"/>
                <c:x val="1.4801271370938042E-2"/>
                <c:y val="0.47860667206716256"/>
              </c:manualLayout>
            </c:layout>
            <c:tx>
              <c:rich>
                <a:bodyPr/>
                <a:lstStyle/>
                <a:p>
                  <a:pPr>
                    <a:defRPr/>
                  </a:pPr>
                  <a:r>
                    <a:rPr lang="en-AU"/>
                    <a:t>$ Millions</a:t>
                  </a:r>
                </a:p>
              </c:rich>
            </c:tx>
          </c:dispUnitsLbl>
        </c:dispUnits>
      </c:valAx>
      <c:catAx>
        <c:axId val="133027328"/>
        <c:scaling>
          <c:orientation val="minMax"/>
        </c:scaling>
        <c:delete val="0"/>
        <c:axPos val="b"/>
        <c:title>
          <c:tx>
            <c:rich>
              <a:bodyPr/>
              <a:lstStyle/>
              <a:p>
                <a:pPr>
                  <a:defRPr/>
                </a:pPr>
                <a:r>
                  <a:rPr lang="en-AU"/>
                  <a:t>Source:  DMIRS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'Alumina - Prices'!$B$7</c:f>
              <c:strCache>
                <c:ptCount val="1"/>
                <c:pt idx="0">
                  <c:v>A$ per tonne</c:v>
                </c:pt>
              </c:strCache>
            </c:strRef>
          </c:tx>
          <c:marker>
            <c:symbol val="none"/>
          </c:marker>
          <c:cat>
            <c:numRef>
              <c:f>'Commodity Prices'!$AX$9:$AX$68</c:f>
              <c:numCache>
                <c:formatCode>General</c:formatCode>
                <c:ptCount val="60"/>
                <c:pt idx="2" formatCode="mmm\-yy">
                  <c:v>42614</c:v>
                </c:pt>
                <c:pt idx="5" formatCode="mmm\-yy">
                  <c:v>42705</c:v>
                </c:pt>
                <c:pt idx="8" formatCode="mmm\-yy">
                  <c:v>42795</c:v>
                </c:pt>
                <c:pt idx="11" formatCode="mmm\-yy">
                  <c:v>42887</c:v>
                </c:pt>
                <c:pt idx="14" formatCode="mmm\-yy">
                  <c:v>42979</c:v>
                </c:pt>
                <c:pt idx="17" formatCode="mmm\-yy">
                  <c:v>43070</c:v>
                </c:pt>
                <c:pt idx="20" formatCode="mmm\-yy">
                  <c:v>43160</c:v>
                </c:pt>
                <c:pt idx="23" formatCode="mmm\-yy">
                  <c:v>43252</c:v>
                </c:pt>
                <c:pt idx="26" formatCode="mmm\-yy">
                  <c:v>43344</c:v>
                </c:pt>
                <c:pt idx="29" formatCode="mmm\-yy">
                  <c:v>43435</c:v>
                </c:pt>
                <c:pt idx="32" formatCode="mmm\-yy">
                  <c:v>43525</c:v>
                </c:pt>
                <c:pt idx="35" formatCode="mmm\-yy">
                  <c:v>43617</c:v>
                </c:pt>
                <c:pt idx="38" formatCode="mmm\-yy">
                  <c:v>43709</c:v>
                </c:pt>
                <c:pt idx="41" formatCode="mmm\-yy">
                  <c:v>43800</c:v>
                </c:pt>
                <c:pt idx="44" formatCode="mmm\-yy">
                  <c:v>43891</c:v>
                </c:pt>
                <c:pt idx="47" formatCode="mmm\-yy">
                  <c:v>43983</c:v>
                </c:pt>
                <c:pt idx="50" formatCode="mmm\-yy">
                  <c:v>44075</c:v>
                </c:pt>
                <c:pt idx="53" formatCode="mmm\-yy">
                  <c:v>44166</c:v>
                </c:pt>
                <c:pt idx="56" formatCode="mmm\-yy">
                  <c:v>44256</c:v>
                </c:pt>
                <c:pt idx="59" formatCode="mmm\-yy">
                  <c:v>44348</c:v>
                </c:pt>
              </c:numCache>
            </c:numRef>
          </c:cat>
          <c:val>
            <c:numRef>
              <c:f>'Alumina - Prices'!$B$8:$B$67</c:f>
              <c:numCache>
                <c:formatCode>#,##0.00</c:formatCode>
                <c:ptCount val="60"/>
                <c:pt idx="0">
                  <c:v>318.33882244544691</c:v>
                </c:pt>
                <c:pt idx="1">
                  <c:v>310.82907512588451</c:v>
                </c:pt>
                <c:pt idx="2">
                  <c:v>306.11480138035</c:v>
                </c:pt>
                <c:pt idx="3">
                  <c:v>301.89505520427042</c:v>
                </c:pt>
                <c:pt idx="4">
                  <c:v>340.72033058599879</c:v>
                </c:pt>
                <c:pt idx="5">
                  <c:v>389.74708282516639</c:v>
                </c:pt>
                <c:pt idx="6">
                  <c:v>432.42348666291423</c:v>
                </c:pt>
                <c:pt idx="7">
                  <c:v>403.19054536166158</c:v>
                </c:pt>
                <c:pt idx="8">
                  <c:v>427.91088146993945</c:v>
                </c:pt>
                <c:pt idx="9">
                  <c:v>413.89639603114728</c:v>
                </c:pt>
                <c:pt idx="10">
                  <c:v>404.56430605252069</c:v>
                </c:pt>
                <c:pt idx="11">
                  <c:v>364.85176877963738</c:v>
                </c:pt>
                <c:pt idx="12">
                  <c:v>381.89378007066256</c:v>
                </c:pt>
                <c:pt idx="13">
                  <c:v>368.55134951417369</c:v>
                </c:pt>
                <c:pt idx="14">
                  <c:v>389.32141600849513</c:v>
                </c:pt>
                <c:pt idx="15">
                  <c:v>441.99328511996094</c:v>
                </c:pt>
                <c:pt idx="16">
                  <c:v>549.05556823551399</c:v>
                </c:pt>
                <c:pt idx="17">
                  <c:v>544.07852812361705</c:v>
                </c:pt>
                <c:pt idx="18">
                  <c:v>491.47742085733648</c:v>
                </c:pt>
                <c:pt idx="19">
                  <c:v>490.26308556986919</c:v>
                </c:pt>
                <c:pt idx="20">
                  <c:v>480.22047303581974</c:v>
                </c:pt>
                <c:pt idx="21">
                  <c:v>480.11947310474034</c:v>
                </c:pt>
                <c:pt idx="22">
                  <c:v>609.17389773981392</c:v>
                </c:pt>
                <c:pt idx="23">
                  <c:v>643.76554106926437</c:v>
                </c:pt>
                <c:pt idx="24">
                  <c:v>614.83939372491841</c:v>
                </c:pt>
                <c:pt idx="25">
                  <c:v>600.19848496290138</c:v>
                </c:pt>
                <c:pt idx="26">
                  <c:v>697.52920842459241</c:v>
                </c:pt>
                <c:pt idx="27">
                  <c:v>730.88614178825844</c:v>
                </c:pt>
                <c:pt idx="28">
                  <c:v>669.2541659937059</c:v>
                </c:pt>
                <c:pt idx="29">
                  <c:v>592.35887609284578</c:v>
                </c:pt>
                <c:pt idx="30">
                  <c:v>563.4450303600637</c:v>
                </c:pt>
                <c:pt idx="31">
                  <c:v>538.66072981151183</c:v>
                </c:pt>
                <c:pt idx="32">
                  <c:v>534.13870236016885</c:v>
                </c:pt>
                <c:pt idx="33">
                  <c:v>526.33458904718032</c:v>
                </c:pt>
                <c:pt idx="34">
                  <c:v>525.19027525071203</c:v>
                </c:pt>
                <c:pt idx="35">
                  <c:v>504.84742206796523</c:v>
                </c:pt>
                <c:pt idx="36">
                  <c:v>481.14046038368895</c:v>
                </c:pt>
                <c:pt idx="37">
                  <c:v>451.81703742651098</c:v>
                </c:pt>
                <c:pt idx="38">
                  <c:v>449.51272634315131</c:v>
                </c:pt>
                <c:pt idx="39">
                  <c:v>430.30145532716136</c:v>
                </c:pt>
                <c:pt idx="40">
                  <c:v>408.97919778067535</c:v>
                </c:pt>
                <c:pt idx="41">
                  <c:v>404.34495868376877</c:v>
                </c:pt>
                <c:pt idx="42">
                  <c:v>396.92532127169625</c:v>
                </c:pt>
                <c:pt idx="43">
                  <c:v>416.18601938251527</c:v>
                </c:pt>
                <c:pt idx="44">
                  <c:v>440.0715921396602</c:v>
                </c:pt>
                <c:pt idx="45">
                  <c:v>448.50304503326066</c:v>
                </c:pt>
                <c:pt idx="46">
                  <c:v>352.48516437550927</c:v>
                </c:pt>
                <c:pt idx="47">
                  <c:v>350.1342131681975</c:v>
                </c:pt>
                <c:pt idx="48">
                  <c:v>356.87814281045519</c:v>
                </c:pt>
                <c:pt idx="49">
                  <c:v>372.44613450102361</c:v>
                </c:pt>
                <c:pt idx="50">
                  <c:v>374.6944602262173</c:v>
                </c:pt>
                <c:pt idx="51">
                  <c:v>378.71733743229407</c:v>
                </c:pt>
                <c:pt idx="52">
                  <c:v>373.37707268862522</c:v>
                </c:pt>
                <c:pt idx="53">
                  <c:v>369.11537463760158</c:v>
                </c:pt>
                <c:pt idx="54">
                  <c:v>369.11537463760158</c:v>
                </c:pt>
                <c:pt idx="55">
                  <c:v>375.80225148839173</c:v>
                </c:pt>
                <c:pt idx="56">
                  <c:v>384.0978329304437</c:v>
                </c:pt>
                <c:pt idx="57">
                  <c:v>398.32071225827769</c:v>
                </c:pt>
                <c:pt idx="58">
                  <c:v>398.32071225827769</c:v>
                </c:pt>
                <c:pt idx="59">
                  <c:v>383.24303772598245</c:v>
                </c:pt>
              </c:numCache>
            </c:numRef>
          </c:val>
          <c:smooth val="0"/>
          <c:extLst>
            <c:ext xmlns:c16="http://schemas.microsoft.com/office/drawing/2014/chart" uri="{C3380CC4-5D6E-409C-BE32-E72D297353CC}">
              <c16:uniqueId val="{00000000-6E44-4E8A-A14E-6A42ABDD0449}"/>
            </c:ext>
          </c:extLst>
        </c:ser>
        <c:dLbls>
          <c:showLegendKey val="0"/>
          <c:showVal val="0"/>
          <c:showCatName val="0"/>
          <c:showSerName val="0"/>
          <c:showPercent val="0"/>
          <c:showBubbleSize val="0"/>
        </c:dLbls>
        <c:smooth val="0"/>
        <c:axId val="109273472"/>
        <c:axId val="115919488"/>
      </c:lineChart>
      <c:valAx>
        <c:axId val="115919488"/>
        <c:scaling>
          <c:orientation val="minMax"/>
        </c:scaling>
        <c:delete val="0"/>
        <c:axPos val="l"/>
        <c:majorGridlines/>
        <c:title>
          <c:tx>
            <c:rich>
              <a:bodyPr/>
              <a:lstStyle/>
              <a:p>
                <a:pPr>
                  <a:defRPr/>
                </a:pPr>
                <a:r>
                  <a:rPr lang="en-AU"/>
                  <a:t>A$</a:t>
                </a:r>
                <a:r>
                  <a:rPr lang="en-AU" baseline="0"/>
                  <a:t> per </a:t>
                </a:r>
                <a:r>
                  <a:rPr lang="en-AU"/>
                  <a:t>tonne</a:t>
                </a:r>
              </a:p>
            </c:rich>
          </c:tx>
          <c:layout>
            <c:manualLayout>
              <c:xMode val="edge"/>
              <c:yMode val="edge"/>
              <c:x val="1.4692378328741965E-2"/>
              <c:y val="0.42379795690037636"/>
            </c:manualLayout>
          </c:layout>
          <c:overlay val="0"/>
        </c:title>
        <c:numFmt formatCode="#,##0" sourceLinked="0"/>
        <c:majorTickMark val="out"/>
        <c:minorTickMark val="none"/>
        <c:tickLblPos val="nextTo"/>
        <c:crossAx val="109273472"/>
        <c:crosses val="autoZero"/>
        <c:crossBetween val="between"/>
      </c:valAx>
      <c:catAx>
        <c:axId val="109273472"/>
        <c:scaling>
          <c:orientation val="minMax"/>
        </c:scaling>
        <c:delete val="0"/>
        <c:axPos val="b"/>
        <c:title>
          <c:tx>
            <c:rich>
              <a:bodyPr/>
              <a:lstStyle/>
              <a:p>
                <a:pPr>
                  <a:defRPr sz="900"/>
                </a:pPr>
                <a:r>
                  <a:rPr lang="en-AU" sz="900" b="1" i="0" baseline="0">
                    <a:effectLst/>
                  </a:rPr>
                  <a:t>Source:  ABS</a:t>
                </a:r>
                <a:endParaRPr lang="en-AU" sz="900">
                  <a:effectLst/>
                </a:endParaRPr>
              </a:p>
            </c:rich>
          </c:tx>
          <c:layout>
            <c:manualLayout>
              <c:xMode val="edge"/>
              <c:yMode val="edge"/>
              <c:x val="5.3324002104216056E-3"/>
              <c:y val="0.94946707074149661"/>
            </c:manualLayout>
          </c:layout>
          <c:overlay val="0"/>
        </c:title>
        <c:numFmt formatCode="General" sourceLinked="1"/>
        <c:majorTickMark val="out"/>
        <c:minorTickMark val="none"/>
        <c:tickLblPos val="nextTo"/>
        <c:crossAx val="115919488"/>
        <c:crosses val="autoZero"/>
        <c:auto val="0"/>
        <c:lblAlgn val="ctr"/>
        <c:lblOffset val="100"/>
        <c:tickLblSkip val="1"/>
        <c:tickMarkSkip val="3"/>
        <c:noMultiLvlLbl val="1"/>
      </c:cat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c:rich>
      </c:tx>
      <c:overlay val="0"/>
    </c:title>
    <c:autoTitleDeleted val="0"/>
    <c:plotArea>
      <c:layout/>
      <c:barChart>
        <c:barDir val="col"/>
        <c:grouping val="stacked"/>
        <c:varyColors val="0"/>
        <c:ser>
          <c:idx val="0"/>
          <c:order val="0"/>
          <c:tx>
            <c:v>Western Australia</c:v>
          </c:tx>
          <c:invertIfNegative val="0"/>
          <c:cat>
            <c:numRef>
              <c:f>'Mineral Sands - WA vs Australia'!$A$7:$A$70</c:f>
              <c:numCache>
                <c:formatCode>General</c:formatCode>
                <c:ptCount val="64"/>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numCache>
            </c:numRef>
          </c:cat>
          <c:val>
            <c:numRef>
              <c:f>'Mineral Sands - WA vs Australia'!$B$7:$B$70</c:f>
              <c:numCache>
                <c:formatCode>#,##0.00</c:formatCode>
                <c:ptCount val="64"/>
                <c:pt idx="0">
                  <c:v>492</c:v>
                </c:pt>
                <c:pt idx="1">
                  <c:v>2156</c:v>
                </c:pt>
                <c:pt idx="2">
                  <c:v>133392</c:v>
                </c:pt>
                <c:pt idx="3">
                  <c:v>345568</c:v>
                </c:pt>
                <c:pt idx="4">
                  <c:v>588303</c:v>
                </c:pt>
                <c:pt idx="5">
                  <c:v>874763.00000000012</c:v>
                </c:pt>
                <c:pt idx="6">
                  <c:v>1308304.0999999999</c:v>
                </c:pt>
                <c:pt idx="7">
                  <c:v>1604629.3</c:v>
                </c:pt>
                <c:pt idx="8">
                  <c:v>2692152.5</c:v>
                </c:pt>
                <c:pt idx="9">
                  <c:v>2894269.1</c:v>
                </c:pt>
                <c:pt idx="10">
                  <c:v>4325525.2</c:v>
                </c:pt>
                <c:pt idx="11">
                  <c:v>4214603</c:v>
                </c:pt>
                <c:pt idx="12">
                  <c:v>9211062.3000000007</c:v>
                </c:pt>
                <c:pt idx="13">
                  <c:v>10271270.6</c:v>
                </c:pt>
                <c:pt idx="14">
                  <c:v>10462659</c:v>
                </c:pt>
                <c:pt idx="15">
                  <c:v>10468339.700000001</c:v>
                </c:pt>
                <c:pt idx="16">
                  <c:v>11077312.899999999</c:v>
                </c:pt>
                <c:pt idx="17">
                  <c:v>16463287.700000001</c:v>
                </c:pt>
                <c:pt idx="18">
                  <c:v>34526710.899999999</c:v>
                </c:pt>
                <c:pt idx="19">
                  <c:v>39788065</c:v>
                </c:pt>
                <c:pt idx="20">
                  <c:v>54309956.400000006</c:v>
                </c:pt>
                <c:pt idx="21">
                  <c:v>58998055.100000001</c:v>
                </c:pt>
                <c:pt idx="22">
                  <c:v>69875106.199999988</c:v>
                </c:pt>
                <c:pt idx="23">
                  <c:v>79036531</c:v>
                </c:pt>
                <c:pt idx="24">
                  <c:v>88623282.399999991</c:v>
                </c:pt>
                <c:pt idx="25">
                  <c:v>93353064.400000006</c:v>
                </c:pt>
                <c:pt idx="26">
                  <c:v>77817286.499999985</c:v>
                </c:pt>
                <c:pt idx="27">
                  <c:v>114568998.5</c:v>
                </c:pt>
                <c:pt idx="28">
                  <c:v>134961831.40000001</c:v>
                </c:pt>
                <c:pt idx="29">
                  <c:v>160577471.40000001</c:v>
                </c:pt>
                <c:pt idx="30">
                  <c:v>240223386.29999998</c:v>
                </c:pt>
                <c:pt idx="31">
                  <c:v>348835148.60000002</c:v>
                </c:pt>
                <c:pt idx="32">
                  <c:v>428312699</c:v>
                </c:pt>
                <c:pt idx="33">
                  <c:v>447623340.9000001</c:v>
                </c:pt>
                <c:pt idx="34">
                  <c:v>241626154</c:v>
                </c:pt>
                <c:pt idx="35">
                  <c:v>276836642.00614107</c:v>
                </c:pt>
                <c:pt idx="36">
                  <c:v>332056090.18000001</c:v>
                </c:pt>
                <c:pt idx="37">
                  <c:v>417667340.69999999</c:v>
                </c:pt>
                <c:pt idx="38">
                  <c:v>571348686.50000012</c:v>
                </c:pt>
                <c:pt idx="39">
                  <c:v>612206253.4000001</c:v>
                </c:pt>
                <c:pt idx="40">
                  <c:v>654697524</c:v>
                </c:pt>
                <c:pt idx="41">
                  <c:v>706242000</c:v>
                </c:pt>
                <c:pt idx="42">
                  <c:v>688489000</c:v>
                </c:pt>
                <c:pt idx="43">
                  <c:v>860858999.99999988</c:v>
                </c:pt>
                <c:pt idx="44">
                  <c:v>909224999.99999988</c:v>
                </c:pt>
                <c:pt idx="45">
                  <c:v>866852000.00000012</c:v>
                </c:pt>
                <c:pt idx="46">
                  <c:v>789848787.90303028</c:v>
                </c:pt>
                <c:pt idx="47">
                  <c:v>764910779.21212125</c:v>
                </c:pt>
                <c:pt idx="48">
                  <c:v>846793591.63939393</c:v>
                </c:pt>
                <c:pt idx="49">
                  <c:v>886262810.36130917</c:v>
                </c:pt>
                <c:pt idx="50">
                  <c:v>691055713.60429811</c:v>
                </c:pt>
                <c:pt idx="51">
                  <c:v>777136717.99124885</c:v>
                </c:pt>
                <c:pt idx="52">
                  <c:v>641830940.86659384</c:v>
                </c:pt>
                <c:pt idx="53">
                  <c:v>526470515.44375753</c:v>
                </c:pt>
                <c:pt idx="54">
                  <c:v>591622104.60567033</c:v>
                </c:pt>
                <c:pt idx="55">
                  <c:v>970807032.06660604</c:v>
                </c:pt>
                <c:pt idx="56">
                  <c:v>645165237.5995152</c:v>
                </c:pt>
                <c:pt idx="57">
                  <c:v>383161710.53810829</c:v>
                </c:pt>
                <c:pt idx="58">
                  <c:v>586413597.36441696</c:v>
                </c:pt>
                <c:pt idx="59">
                  <c:v>612464028.01084828</c:v>
                </c:pt>
                <c:pt idx="60">
                  <c:v>513509162.81765264</c:v>
                </c:pt>
                <c:pt idx="61">
                  <c:v>628097787.39685094</c:v>
                </c:pt>
                <c:pt idx="62">
                  <c:v>729911396.66104162</c:v>
                </c:pt>
                <c:pt idx="63">
                  <c:v>858377500.96793139</c:v>
                </c:pt>
              </c:numCache>
            </c:numRef>
          </c:val>
          <c:extLst>
            <c:ext xmlns:c16="http://schemas.microsoft.com/office/drawing/2014/chart" uri="{C3380CC4-5D6E-409C-BE32-E72D297353CC}">
              <c16:uniqueId val="{00000000-F945-45A9-BCC5-50ABB812F6CE}"/>
            </c:ext>
          </c:extLst>
        </c:ser>
        <c:ser>
          <c:idx val="1"/>
          <c:order val="1"/>
          <c:tx>
            <c:v>Rest of Australia</c:v>
          </c:tx>
          <c:invertIfNegative val="0"/>
          <c:cat>
            <c:numRef>
              <c:f>'Mineral Sands - WA vs Australia'!$A$7:$A$70</c:f>
              <c:numCache>
                <c:formatCode>General</c:formatCode>
                <c:ptCount val="64"/>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numCache>
            </c:numRef>
          </c:cat>
          <c:val>
            <c:numRef>
              <c:f>'Mineral Sands - WA vs Australia'!$C$7:$C$70</c:f>
              <c:numCache>
                <c:formatCode>#,##0.00</c:formatCode>
                <c:ptCount val="64"/>
                <c:pt idx="0">
                  <c:v>21903008</c:v>
                </c:pt>
                <c:pt idx="1">
                  <c:v>12426344</c:v>
                </c:pt>
                <c:pt idx="2">
                  <c:v>10460008</c:v>
                </c:pt>
                <c:pt idx="3">
                  <c:v>10861632.000000002</c:v>
                </c:pt>
                <c:pt idx="4">
                  <c:v>10857057</c:v>
                </c:pt>
                <c:pt idx="5">
                  <c:v>11597336.999999998</c:v>
                </c:pt>
                <c:pt idx="6">
                  <c:v>17902415.899999999</c:v>
                </c:pt>
                <c:pt idx="7">
                  <c:v>19308340.699999999</c:v>
                </c:pt>
                <c:pt idx="8">
                  <c:v>24680057.500000004</c:v>
                </c:pt>
                <c:pt idx="9">
                  <c:v>31947030.899999995</c:v>
                </c:pt>
                <c:pt idx="10">
                  <c:v>34500594.800000004</c:v>
                </c:pt>
                <c:pt idx="11">
                  <c:v>36073557</c:v>
                </c:pt>
                <c:pt idx="12">
                  <c:v>40674638.699999996</c:v>
                </c:pt>
                <c:pt idx="13">
                  <c:v>48209466.400000006</c:v>
                </c:pt>
                <c:pt idx="14">
                  <c:v>55277821</c:v>
                </c:pt>
                <c:pt idx="15">
                  <c:v>47525519.299999982</c:v>
                </c:pt>
                <c:pt idx="16">
                  <c:v>52602239.100000001</c:v>
                </c:pt>
                <c:pt idx="17">
                  <c:v>70380853.299999982</c:v>
                </c:pt>
                <c:pt idx="18">
                  <c:v>125495545.09999999</c:v>
                </c:pt>
                <c:pt idx="19">
                  <c:v>125917837</c:v>
                </c:pt>
                <c:pt idx="20">
                  <c:v>82043274.600000009</c:v>
                </c:pt>
                <c:pt idx="21">
                  <c:v>48427636.899999991</c:v>
                </c:pt>
                <c:pt idx="22">
                  <c:v>53505783.800000004</c:v>
                </c:pt>
                <c:pt idx="23">
                  <c:v>80616028</c:v>
                </c:pt>
                <c:pt idx="24">
                  <c:v>60094861.599999972</c:v>
                </c:pt>
                <c:pt idx="25">
                  <c:v>50807023.599999987</c:v>
                </c:pt>
                <c:pt idx="26">
                  <c:v>39991133.5</c:v>
                </c:pt>
                <c:pt idx="27">
                  <c:v>53791583.500000022</c:v>
                </c:pt>
                <c:pt idx="28">
                  <c:v>86350293.600000009</c:v>
                </c:pt>
                <c:pt idx="29">
                  <c:v>94356085.599999994</c:v>
                </c:pt>
                <c:pt idx="30">
                  <c:v>144404564.70000002</c:v>
                </c:pt>
                <c:pt idx="31">
                  <c:v>174675127.39999995</c:v>
                </c:pt>
                <c:pt idx="32">
                  <c:v>321476520.99999994</c:v>
                </c:pt>
                <c:pt idx="33">
                  <c:v>294352387.0999999</c:v>
                </c:pt>
                <c:pt idx="34">
                  <c:v>165517603.99999997</c:v>
                </c:pt>
                <c:pt idx="35">
                  <c:v>111675432.39999993</c:v>
                </c:pt>
                <c:pt idx="36">
                  <c:v>93207174.899999976</c:v>
                </c:pt>
                <c:pt idx="37">
                  <c:v>93063309.300000027</c:v>
                </c:pt>
                <c:pt idx="38">
                  <c:v>83489338.499999955</c:v>
                </c:pt>
                <c:pt idx="39">
                  <c:v>125882000</c:v>
                </c:pt>
                <c:pt idx="40">
                  <c:v>158197000</c:v>
                </c:pt>
                <c:pt idx="41">
                  <c:v>161779000</c:v>
                </c:pt>
                <c:pt idx="42">
                  <c:v>63105000</c:v>
                </c:pt>
                <c:pt idx="43">
                  <c:v>40072000</c:v>
                </c:pt>
                <c:pt idx="44">
                  <c:v>72447000</c:v>
                </c:pt>
                <c:pt idx="45">
                  <c:v>108805599.99999997</c:v>
                </c:pt>
                <c:pt idx="46">
                  <c:v>74724000</c:v>
                </c:pt>
                <c:pt idx="47">
                  <c:v>90109962.999999985</c:v>
                </c:pt>
                <c:pt idx="48">
                  <c:v>52770605.999999911</c:v>
                </c:pt>
                <c:pt idx="49">
                  <c:v>355967000</c:v>
                </c:pt>
                <c:pt idx="50">
                  <c:v>545455959</c:v>
                </c:pt>
                <c:pt idx="51">
                  <c:v>360678633.00000006</c:v>
                </c:pt>
                <c:pt idx="52">
                  <c:v>628933613</c:v>
                </c:pt>
                <c:pt idx="53">
                  <c:v>880785482</c:v>
                </c:pt>
                <c:pt idx="54">
                  <c:v>1345503845</c:v>
                </c:pt>
                <c:pt idx="55">
                  <c:v>1320369000</c:v>
                </c:pt>
                <c:pt idx="56">
                  <c:v>1367400000</c:v>
                </c:pt>
                <c:pt idx="57">
                  <c:v>1243000000</c:v>
                </c:pt>
                <c:pt idx="58" formatCode="&quot;$&quot;#,##0">
                  <c:v>0</c:v>
                </c:pt>
                <c:pt idx="59" formatCode="&quot;$&quot;#,##0">
                  <c:v>0</c:v>
                </c:pt>
                <c:pt idx="60" formatCode="&quot;$&quot;#,##0">
                  <c:v>0</c:v>
                </c:pt>
                <c:pt idx="61" formatCode="&quot;$&quot;#,##0">
                  <c:v>0</c:v>
                </c:pt>
                <c:pt idx="62" formatCode="&quot;$&quot;#,##0">
                  <c:v>0</c:v>
                </c:pt>
                <c:pt idx="63" formatCode="&quot;$&quot;#,##0">
                  <c:v>0</c:v>
                </c:pt>
              </c:numCache>
            </c:numRef>
          </c:val>
          <c:extLst>
            <c:ext xmlns:c16="http://schemas.microsoft.com/office/drawing/2014/chart" uri="{C3380CC4-5D6E-409C-BE32-E72D297353CC}">
              <c16:uniqueId val="{00000001-F945-45A9-BCC5-50ABB812F6CE}"/>
            </c:ext>
          </c:extLst>
        </c:ser>
        <c:dLbls>
          <c:showLegendKey val="0"/>
          <c:showVal val="0"/>
          <c:showCatName val="0"/>
          <c:showSerName val="0"/>
          <c:showPercent val="0"/>
          <c:showBubbleSize val="0"/>
        </c:dLbls>
        <c:gapWidth val="150"/>
        <c:overlap val="100"/>
        <c:axId val="133027328"/>
        <c:axId val="133025792"/>
      </c:barChart>
      <c:valAx>
        <c:axId val="133025792"/>
        <c:scaling>
          <c:orientation val="minMax"/>
        </c:scaling>
        <c:delete val="0"/>
        <c:axPos val="l"/>
        <c:majorGridlines/>
        <c:numFmt formatCode="#,##0" sourceLinked="0"/>
        <c:majorTickMark val="out"/>
        <c:minorTickMark val="none"/>
        <c:tickLblPos val="nextTo"/>
        <c:crossAx val="133027328"/>
        <c:crossesAt val="1"/>
        <c:crossBetween val="between"/>
        <c:dispUnits>
          <c:builtInUnit val="millions"/>
          <c:dispUnitsLbl>
            <c:layout>
              <c:manualLayout>
                <c:xMode val="edge"/>
                <c:yMode val="edge"/>
                <c:x val="1.4801271370938042E-2"/>
                <c:y val="0.47860667206716256"/>
              </c:manualLayout>
            </c:layout>
            <c:tx>
              <c:rich>
                <a:bodyPr/>
                <a:lstStyle/>
                <a:p>
                  <a:pPr>
                    <a:defRPr/>
                  </a:pPr>
                  <a:r>
                    <a:rPr lang="en-AU"/>
                    <a:t>$ Millions</a:t>
                  </a:r>
                </a:p>
              </c:rich>
            </c:tx>
          </c:dispUnitsLbl>
        </c:dispUnits>
      </c:valAx>
      <c:dateAx>
        <c:axId val="133027328"/>
        <c:scaling>
          <c:orientation val="minMax"/>
        </c:scaling>
        <c:delete val="0"/>
        <c:axPos val="b"/>
        <c:title>
          <c:tx>
            <c:rich>
              <a:bodyPr/>
              <a:lstStyle/>
              <a:p>
                <a:pPr>
                  <a:defRPr/>
                </a:pPr>
                <a:r>
                  <a:rPr lang="en-AU"/>
                  <a:t>Source:  DMIRS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Offset val="100"/>
        <c:baseTimeUnit val="days"/>
        <c:majorUnit val="3"/>
        <c:majorTimeUnit val="days"/>
      </c:dateAx>
    </c:plotArea>
    <c:legend>
      <c:legendPos val="t"/>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Quarter</a:t>
            </a:r>
          </a:p>
        </c:rich>
      </c:tx>
      <c:overlay val="0"/>
    </c:title>
    <c:autoTitleDeleted val="0"/>
    <c:plotArea>
      <c:layout/>
      <c:barChart>
        <c:barDir val="col"/>
        <c:grouping val="clustered"/>
        <c:varyColors val="0"/>
        <c:ser>
          <c:idx val="0"/>
          <c:order val="0"/>
          <c:tx>
            <c:strRef>
              <c:f>'Nickel - Q&amp;V'!$S$9</c:f>
              <c:strCache>
                <c:ptCount val="1"/>
                <c:pt idx="0">
                  <c:v>Quantity (Kt)</c:v>
                </c:pt>
              </c:strCache>
            </c:strRef>
          </c:tx>
          <c:invertIfNegative val="0"/>
          <c:cat>
            <c:numRef>
              <c:f>'Nickel - Q&amp;V'!$R$10:$R$19</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'Nickel - Q&amp;V'!$S$10:$S$19</c:f>
              <c:numCache>
                <c:formatCode>#,##0.00</c:formatCode>
                <c:ptCount val="10"/>
                <c:pt idx="0">
                  <c:v>37.137700000000002</c:v>
                </c:pt>
                <c:pt idx="1">
                  <c:v>44.435909999999993</c:v>
                </c:pt>
                <c:pt idx="2">
                  <c:v>40.476959999999998</c:v>
                </c:pt>
                <c:pt idx="3">
                  <c:v>31.451700000000002</c:v>
                </c:pt>
                <c:pt idx="4">
                  <c:v>37.243670999999999</c:v>
                </c:pt>
                <c:pt idx="5">
                  <c:v>44.247573000000003</c:v>
                </c:pt>
                <c:pt idx="6">
                  <c:v>42.711550000000003</c:v>
                </c:pt>
                <c:pt idx="7">
                  <c:v>41.301884000000001</c:v>
                </c:pt>
                <c:pt idx="8">
                  <c:v>34.714064</c:v>
                </c:pt>
                <c:pt idx="9">
                  <c:v>39.982528999999992</c:v>
                </c:pt>
              </c:numCache>
            </c:numRef>
          </c:val>
          <c:extLst>
            <c:ext xmlns:c16="http://schemas.microsoft.com/office/drawing/2014/chart" uri="{C3380CC4-5D6E-409C-BE32-E72D297353CC}">
              <c16:uniqueId val="{00000000-7E26-4B0F-9805-CDAB620963D3}"/>
            </c:ext>
          </c:extLst>
        </c:ser>
        <c:dLbls>
          <c:showLegendKey val="0"/>
          <c:showVal val="0"/>
          <c:showCatName val="0"/>
          <c:showSerName val="0"/>
          <c:showPercent val="0"/>
          <c:showBubbleSize val="0"/>
        </c:dLbls>
        <c:gapWidth val="40"/>
        <c:axId val="118355072"/>
        <c:axId val="118344704"/>
      </c:barChart>
      <c:lineChart>
        <c:grouping val="standard"/>
        <c:varyColors val="0"/>
        <c:ser>
          <c:idx val="1"/>
          <c:order val="1"/>
          <c:tx>
            <c:strRef>
              <c:f>'Nickel - Q&amp;V'!$T$9</c:f>
              <c:strCache>
                <c:ptCount val="1"/>
                <c:pt idx="0">
                  <c:v>Value ($ Million)</c:v>
                </c:pt>
              </c:strCache>
            </c:strRef>
          </c:tx>
          <c:marker>
            <c:symbol val="none"/>
          </c:marker>
          <c:cat>
            <c:numRef>
              <c:f>'Nickel - Q&amp;V'!$R$10:$R$19</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'Nickel - Q&amp;V'!$T$10:$T$19</c:f>
              <c:numCache>
                <c:formatCode>#,##0.00</c:formatCode>
                <c:ptCount val="10"/>
                <c:pt idx="0">
                  <c:v>651.67899599999998</c:v>
                </c:pt>
                <c:pt idx="1">
                  <c:v>816.82622500000002</c:v>
                </c:pt>
                <c:pt idx="2">
                  <c:v>939.78325900000004</c:v>
                </c:pt>
                <c:pt idx="3">
                  <c:v>673.81553699999995</c:v>
                </c:pt>
                <c:pt idx="4">
                  <c:v>700.63279</c:v>
                </c:pt>
                <c:pt idx="5">
                  <c:v>853.26119400000005</c:v>
                </c:pt>
                <c:pt idx="6">
                  <c:v>868.05630599999995</c:v>
                </c:pt>
                <c:pt idx="7">
                  <c:v>926.303404</c:v>
                </c:pt>
                <c:pt idx="8">
                  <c:v>782.97267299999999</c:v>
                </c:pt>
                <c:pt idx="9">
                  <c:v>903.26995599999998</c:v>
                </c:pt>
              </c:numCache>
            </c:numRef>
          </c:val>
          <c:smooth val="0"/>
          <c:extLst>
            <c:ext xmlns:c16="http://schemas.microsoft.com/office/drawing/2014/chart" uri="{C3380CC4-5D6E-409C-BE32-E72D297353CC}">
              <c16:uniqueId val="{00000001-7E26-4B0F-9805-CDAB620963D3}"/>
            </c:ext>
          </c:extLst>
        </c:ser>
        <c:dLbls>
          <c:showLegendKey val="0"/>
          <c:showVal val="0"/>
          <c:showCatName val="0"/>
          <c:showSerName val="0"/>
          <c:showPercent val="0"/>
          <c:showBubbleSize val="0"/>
        </c:dLbls>
        <c:marker val="1"/>
        <c:smooth val="0"/>
        <c:axId val="118340608"/>
        <c:axId val="118342784"/>
      </c:lineChart>
      <c:catAx>
        <c:axId val="118340608"/>
        <c:scaling>
          <c:orientation val="minMax"/>
        </c:scaling>
        <c:delete val="0"/>
        <c:axPos val="b"/>
        <c:title>
          <c:tx>
            <c:rich>
              <a:bodyPr/>
              <a:lstStyle/>
              <a:p>
                <a:pPr>
                  <a:defRPr sz="900"/>
                </a:pPr>
                <a:r>
                  <a:rPr lang="en-AU" sz="900"/>
                  <a:t>Source: DMIRS</a:t>
                </a:r>
              </a:p>
            </c:rich>
          </c:tx>
          <c:layout>
            <c:manualLayout>
              <c:xMode val="edge"/>
              <c:yMode val="edge"/>
              <c:x val="1.246480839490924E-2"/>
              <c:y val="0.94988091300472488"/>
            </c:manualLayout>
          </c:layout>
          <c:overlay val="0"/>
        </c:title>
        <c:numFmt formatCode="mmm\-yy" sourceLinked="1"/>
        <c:majorTickMark val="out"/>
        <c:minorTickMark val="none"/>
        <c:tickLblPos val="nextTo"/>
        <c:txPr>
          <a:bodyPr rot="-2700000"/>
          <a:lstStyle/>
          <a:p>
            <a:pPr>
              <a:defRPr/>
            </a:pPr>
            <a:endParaRPr lang="en-US"/>
          </a:p>
        </c:txPr>
        <c:crossAx val="118342784"/>
        <c:crosses val="autoZero"/>
        <c:auto val="0"/>
        <c:lblAlgn val="ctr"/>
        <c:lblOffset val="100"/>
        <c:noMultiLvlLbl val="0"/>
      </c:catAx>
      <c:valAx>
        <c:axId val="118342784"/>
        <c:scaling>
          <c:orientation val="minMax"/>
        </c:scaling>
        <c:delete val="0"/>
        <c:axPos val="l"/>
        <c:majorGridlines/>
        <c:title>
          <c:tx>
            <c:rich>
              <a:bodyPr rot="-5400000" vert="horz"/>
              <a:lstStyle/>
              <a:p>
                <a:pPr>
                  <a:defRPr/>
                </a:pPr>
                <a:r>
                  <a:rPr lang="en-AU"/>
                  <a:t>$ Million</a:t>
                </a:r>
              </a:p>
            </c:rich>
          </c:tx>
          <c:layout>
            <c:manualLayout>
              <c:xMode val="edge"/>
              <c:yMode val="edge"/>
              <c:x val="1.9523402237235855E-2"/>
              <c:y val="0.49018784263248022"/>
            </c:manualLayout>
          </c:layout>
          <c:overlay val="0"/>
        </c:title>
        <c:numFmt formatCode="#,##0" sourceLinked="0"/>
        <c:majorTickMark val="out"/>
        <c:minorTickMark val="none"/>
        <c:tickLblPos val="nextTo"/>
        <c:crossAx val="118340608"/>
        <c:crosses val="autoZero"/>
        <c:crossBetween val="between"/>
      </c:valAx>
      <c:valAx>
        <c:axId val="118344704"/>
        <c:scaling>
          <c:orientation val="minMax"/>
        </c:scaling>
        <c:delete val="0"/>
        <c:axPos val="r"/>
        <c:title>
          <c:tx>
            <c:rich>
              <a:bodyPr rot="-5400000" vert="horz"/>
              <a:lstStyle/>
              <a:p>
                <a:pPr>
                  <a:defRPr/>
                </a:pPr>
                <a:r>
                  <a:rPr lang="en-AU"/>
                  <a:t>Thousand tonnes</a:t>
                </a:r>
              </a:p>
            </c:rich>
          </c:tx>
          <c:overlay val="0"/>
        </c:title>
        <c:numFmt formatCode="General" sourceLinked="0"/>
        <c:majorTickMark val="out"/>
        <c:minorTickMark val="none"/>
        <c:tickLblPos val="nextTo"/>
        <c:crossAx val="118355072"/>
        <c:crosses val="max"/>
        <c:crossBetween val="between"/>
      </c:valAx>
      <c:dateAx>
        <c:axId val="118355072"/>
        <c:scaling>
          <c:orientation val="minMax"/>
        </c:scaling>
        <c:delete val="1"/>
        <c:axPos val="b"/>
        <c:numFmt formatCode="mmm\-yy" sourceLinked="1"/>
        <c:majorTickMark val="out"/>
        <c:minorTickMark val="none"/>
        <c:tickLblPos val="nextTo"/>
        <c:crossAx val="118344704"/>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Year</a:t>
            </a:r>
          </a:p>
        </c:rich>
      </c:tx>
      <c:overlay val="0"/>
    </c:title>
    <c:autoTitleDeleted val="0"/>
    <c:plotArea>
      <c:layout/>
      <c:barChart>
        <c:barDir val="col"/>
        <c:grouping val="clustered"/>
        <c:varyColors val="0"/>
        <c:ser>
          <c:idx val="0"/>
          <c:order val="0"/>
          <c:tx>
            <c:strRef>
              <c:f>'Nickel - Q&amp;V'!$S$28</c:f>
              <c:strCache>
                <c:ptCount val="1"/>
                <c:pt idx="0">
                  <c:v>Quantity (Kt)</c:v>
                </c:pt>
              </c:strCache>
            </c:strRef>
          </c:tx>
          <c:invertIfNegative val="0"/>
          <c:cat>
            <c:strRef>
              <c:f>'Nickel - Q&amp;V'!$R$30:$R$50</c:f>
              <c:strCache>
                <c:ptCount val="21"/>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strCache>
            </c:strRef>
          </c:cat>
          <c:val>
            <c:numRef>
              <c:f>'Nickel - Q&amp;V'!$S$30:$S$50</c:f>
              <c:numCache>
                <c:formatCode>0.00</c:formatCode>
                <c:ptCount val="21"/>
                <c:pt idx="0">
                  <c:v>167.45</c:v>
                </c:pt>
                <c:pt idx="1">
                  <c:v>179.47799999999998</c:v>
                </c:pt>
                <c:pt idx="2">
                  <c:v>191.791</c:v>
                </c:pt>
                <c:pt idx="3">
                  <c:v>182.60499999999999</c:v>
                </c:pt>
                <c:pt idx="4">
                  <c:v>180.386</c:v>
                </c:pt>
                <c:pt idx="5">
                  <c:v>183.572</c:v>
                </c:pt>
                <c:pt idx="6">
                  <c:v>173.56899999999999</c:v>
                </c:pt>
                <c:pt idx="7">
                  <c:v>172.80099999999999</c:v>
                </c:pt>
                <c:pt idx="8">
                  <c:v>178.36500000000001</c:v>
                </c:pt>
                <c:pt idx="9">
                  <c:v>180.15199999999999</c:v>
                </c:pt>
                <c:pt idx="10">
                  <c:v>194.17700000000002</c:v>
                </c:pt>
                <c:pt idx="11">
                  <c:v>209.36976440000001</c:v>
                </c:pt>
                <c:pt idx="12">
                  <c:v>227.4633359574091</c:v>
                </c:pt>
                <c:pt idx="13">
                  <c:v>232.67275800000002</c:v>
                </c:pt>
                <c:pt idx="14">
                  <c:v>183.319952</c:v>
                </c:pt>
                <c:pt idx="15">
                  <c:v>175.75153100000003</c:v>
                </c:pt>
                <c:pt idx="16">
                  <c:v>157.564314</c:v>
                </c:pt>
                <c:pt idx="17">
                  <c:v>163.37353200000001</c:v>
                </c:pt>
                <c:pt idx="18">
                  <c:v>154.38346799999999</c:v>
                </c:pt>
                <c:pt idx="19">
                  <c:v>153.41990400000003</c:v>
                </c:pt>
                <c:pt idx="20">
                  <c:v>158.710027</c:v>
                </c:pt>
              </c:numCache>
            </c:numRef>
          </c:val>
          <c:extLst>
            <c:ext xmlns:c16="http://schemas.microsoft.com/office/drawing/2014/chart" uri="{C3380CC4-5D6E-409C-BE32-E72D297353CC}">
              <c16:uniqueId val="{00000000-8644-41CB-BAE3-140885FD7380}"/>
            </c:ext>
          </c:extLst>
        </c:ser>
        <c:dLbls>
          <c:showLegendKey val="0"/>
          <c:showVal val="0"/>
          <c:showCatName val="0"/>
          <c:showSerName val="0"/>
          <c:showPercent val="0"/>
          <c:showBubbleSize val="0"/>
        </c:dLbls>
        <c:gapWidth val="40"/>
        <c:axId val="116172672"/>
        <c:axId val="116170752"/>
      </c:barChart>
      <c:lineChart>
        <c:grouping val="standard"/>
        <c:varyColors val="0"/>
        <c:ser>
          <c:idx val="1"/>
          <c:order val="1"/>
          <c:tx>
            <c:strRef>
              <c:f>'Nickel - Q&amp;V'!$T$28</c:f>
              <c:strCache>
                <c:ptCount val="1"/>
                <c:pt idx="0">
                  <c:v>Value ($ Million)</c:v>
                </c:pt>
              </c:strCache>
            </c:strRef>
          </c:tx>
          <c:marker>
            <c:symbol val="none"/>
          </c:marker>
          <c:cat>
            <c:strRef>
              <c:f>'Nickel - Q&amp;V'!$R$30:$R$50</c:f>
              <c:strCache>
                <c:ptCount val="21"/>
                <c:pt idx="0">
                  <c:v>2000-2001</c:v>
                </c:pt>
                <c:pt idx="1">
                  <c:v>2001-2002</c:v>
                </c:pt>
                <c:pt idx="2">
                  <c:v>2002-2003</c:v>
                </c:pt>
                <c:pt idx="3">
                  <c:v>2003-2004</c:v>
                </c:pt>
                <c:pt idx="4">
                  <c:v>2004-2005</c:v>
                </c:pt>
                <c:pt idx="5">
                  <c:v>2005-2006</c:v>
                </c:pt>
                <c:pt idx="6">
                  <c:v>2006-2007</c:v>
                </c:pt>
                <c:pt idx="7">
                  <c:v>2007-2008</c:v>
                </c:pt>
                <c:pt idx="8">
                  <c:v>2008-2009</c:v>
                </c:pt>
                <c:pt idx="9">
                  <c:v>2009-2010</c:v>
                </c:pt>
                <c:pt idx="10">
                  <c:v>2010-2011</c:v>
                </c:pt>
                <c:pt idx="11">
                  <c:v>2011-2012</c:v>
                </c:pt>
                <c:pt idx="12">
                  <c:v>2012-2013</c:v>
                </c:pt>
                <c:pt idx="13">
                  <c:v>2013-2014</c:v>
                </c:pt>
                <c:pt idx="14">
                  <c:v>2014-2015</c:v>
                </c:pt>
                <c:pt idx="15">
                  <c:v>2015-2016</c:v>
                </c:pt>
                <c:pt idx="16">
                  <c:v>2016-2017</c:v>
                </c:pt>
                <c:pt idx="17">
                  <c:v>2017-2018</c:v>
                </c:pt>
                <c:pt idx="18">
                  <c:v>2018-2019</c:v>
                </c:pt>
                <c:pt idx="19">
                  <c:v>2019-2020</c:v>
                </c:pt>
                <c:pt idx="20">
                  <c:v>2020-2021</c:v>
                </c:pt>
              </c:strCache>
            </c:strRef>
          </c:cat>
          <c:val>
            <c:numRef>
              <c:f>'Nickel - Q&amp;V'!$T$30:$T$50</c:f>
              <c:numCache>
                <c:formatCode>#,##0.00</c:formatCode>
                <c:ptCount val="21"/>
                <c:pt idx="0">
                  <c:v>2238.7291519999999</c:v>
                </c:pt>
                <c:pt idx="1">
                  <c:v>1992.8313950000002</c:v>
                </c:pt>
                <c:pt idx="2">
                  <c:v>2457.5880360000001</c:v>
                </c:pt>
                <c:pt idx="3">
                  <c:v>3035.9375700000001</c:v>
                </c:pt>
                <c:pt idx="4">
                  <c:v>3501.4666090000001</c:v>
                </c:pt>
                <c:pt idx="5">
                  <c:v>3811.4520050000001</c:v>
                </c:pt>
                <c:pt idx="6">
                  <c:v>8059.3791710000005</c:v>
                </c:pt>
                <c:pt idx="7">
                  <c:v>5143.6047390000003</c:v>
                </c:pt>
                <c:pt idx="8">
                  <c:v>2996.9087939999999</c:v>
                </c:pt>
                <c:pt idx="9">
                  <c:v>3976.7715289999996</c:v>
                </c:pt>
                <c:pt idx="10">
                  <c:v>4686.1734669999996</c:v>
                </c:pt>
                <c:pt idx="11">
                  <c:v>3721.9643962300001</c:v>
                </c:pt>
                <c:pt idx="12">
                  <c:v>3511.7117623099998</c:v>
                </c:pt>
                <c:pt idx="13">
                  <c:v>3419.0231200000003</c:v>
                </c:pt>
                <c:pt idx="14">
                  <c:v>3169.6050009999999</c:v>
                </c:pt>
                <c:pt idx="15">
                  <c:v>2202.7344509999998</c:v>
                </c:pt>
                <c:pt idx="16">
                  <c:v>2094.5002420000001</c:v>
                </c:pt>
                <c:pt idx="17">
                  <c:v>2635.8298720000003</c:v>
                </c:pt>
                <c:pt idx="18">
                  <c:v>2699.8981110000004</c:v>
                </c:pt>
                <c:pt idx="19">
                  <c:v>3167.49278</c:v>
                </c:pt>
                <c:pt idx="20">
                  <c:v>3480.602339</c:v>
                </c:pt>
              </c:numCache>
            </c:numRef>
          </c:val>
          <c:smooth val="0"/>
          <c:extLst>
            <c:ext xmlns:c16="http://schemas.microsoft.com/office/drawing/2014/chart" uri="{C3380CC4-5D6E-409C-BE32-E72D297353CC}">
              <c16:uniqueId val="{00000001-8644-41CB-BAE3-140885FD7380}"/>
            </c:ext>
          </c:extLst>
        </c:ser>
        <c:dLbls>
          <c:showLegendKey val="0"/>
          <c:showVal val="0"/>
          <c:showCatName val="0"/>
          <c:showSerName val="0"/>
          <c:showPercent val="0"/>
          <c:showBubbleSize val="0"/>
        </c:dLbls>
        <c:marker val="1"/>
        <c:smooth val="0"/>
        <c:axId val="116162560"/>
        <c:axId val="116164480"/>
      </c:lineChart>
      <c:catAx>
        <c:axId val="116162560"/>
        <c:scaling>
          <c:orientation val="minMax"/>
        </c:scaling>
        <c:delete val="0"/>
        <c:axPos val="b"/>
        <c:title>
          <c:tx>
            <c:rich>
              <a:bodyPr/>
              <a:lstStyle/>
              <a:p>
                <a:pPr>
                  <a:defRPr sz="900"/>
                </a:pPr>
                <a:r>
                  <a:rPr lang="en-AU" sz="900"/>
                  <a:t>Source: DMIRS</a:t>
                </a:r>
              </a:p>
            </c:rich>
          </c:tx>
          <c:layout>
            <c:manualLayout>
              <c:xMode val="edge"/>
              <c:yMode val="edge"/>
              <c:x val="8.6432832259603909E-3"/>
              <c:y val="0.93794292169175064"/>
            </c:manualLayout>
          </c:layout>
          <c:overlay val="0"/>
        </c:title>
        <c:numFmt formatCode="@@@@@@@@@" sourceLinked="0"/>
        <c:majorTickMark val="out"/>
        <c:minorTickMark val="none"/>
        <c:tickLblPos val="nextTo"/>
        <c:txPr>
          <a:bodyPr rot="-2700000"/>
          <a:lstStyle/>
          <a:p>
            <a:pPr>
              <a:defRPr/>
            </a:pPr>
            <a:endParaRPr lang="en-US"/>
          </a:p>
        </c:txPr>
        <c:crossAx val="116164480"/>
        <c:crosses val="autoZero"/>
        <c:auto val="0"/>
        <c:lblAlgn val="ctr"/>
        <c:lblOffset val="100"/>
        <c:tickLblSkip val="1"/>
        <c:noMultiLvlLbl val="0"/>
      </c:catAx>
      <c:valAx>
        <c:axId val="116164480"/>
        <c:scaling>
          <c:orientation val="minMax"/>
        </c:scaling>
        <c:delete val="0"/>
        <c:axPos val="l"/>
        <c:majorGridlines/>
        <c:title>
          <c:tx>
            <c:rich>
              <a:bodyPr rot="-5400000" vert="horz"/>
              <a:lstStyle/>
              <a:p>
                <a:pPr>
                  <a:defRPr/>
                </a:pPr>
                <a:r>
                  <a:rPr lang="en-AU"/>
                  <a:t>$ Million</a:t>
                </a:r>
              </a:p>
            </c:rich>
          </c:tx>
          <c:layout>
            <c:manualLayout>
              <c:xMode val="edge"/>
              <c:yMode val="edge"/>
              <c:x val="1.9393939393939394E-2"/>
              <c:y val="0.44415960663144954"/>
            </c:manualLayout>
          </c:layout>
          <c:overlay val="0"/>
        </c:title>
        <c:numFmt formatCode="#,##0" sourceLinked="0"/>
        <c:majorTickMark val="out"/>
        <c:minorTickMark val="none"/>
        <c:tickLblPos val="nextTo"/>
        <c:crossAx val="116162560"/>
        <c:crosses val="autoZero"/>
        <c:crossBetween val="between"/>
      </c:valAx>
      <c:valAx>
        <c:axId val="11617075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6172672"/>
        <c:crosses val="max"/>
        <c:crossBetween val="between"/>
      </c:valAx>
      <c:catAx>
        <c:axId val="116172672"/>
        <c:scaling>
          <c:orientation val="minMax"/>
        </c:scaling>
        <c:delete val="1"/>
        <c:axPos val="b"/>
        <c:numFmt formatCode="General" sourceLinked="1"/>
        <c:majorTickMark val="out"/>
        <c:minorTickMark val="none"/>
        <c:tickLblPos val="nextTo"/>
        <c:crossAx val="11617075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Nickel</a:t>
            </a:r>
          </a:p>
          <a:p>
            <a:pPr>
              <a:defRPr/>
            </a:pPr>
            <a:r>
              <a:rPr lang="en-US" sz="1100"/>
              <a:t>Historic Average Annual Prices</a:t>
            </a:r>
            <a:endParaRPr lang="en-AU" sz="1100"/>
          </a:p>
        </c:rich>
      </c:tx>
      <c:overlay val="0"/>
    </c:title>
    <c:autoTitleDeleted val="0"/>
    <c:plotArea>
      <c:layout>
        <c:manualLayout>
          <c:layoutTarget val="inner"/>
          <c:xMode val="edge"/>
          <c:yMode val="edge"/>
          <c:x val="0.15385343915773972"/>
          <c:y val="0.27492304153857433"/>
          <c:w val="0.81165603369097783"/>
          <c:h val="0.53807842533254924"/>
        </c:manualLayout>
      </c:layout>
      <c:lineChart>
        <c:grouping val="standard"/>
        <c:varyColors val="0"/>
        <c:ser>
          <c:idx val="0"/>
          <c:order val="0"/>
          <c:tx>
            <c:strRef>
              <c:f>'Nickel - Prices'!$I$7</c:f>
              <c:strCache>
                <c:ptCount val="1"/>
                <c:pt idx="0">
                  <c:v>A$ per tonne</c:v>
                </c:pt>
              </c:strCache>
            </c:strRef>
          </c:tx>
          <c:marker>
            <c:symbol val="none"/>
          </c:marker>
          <c:cat>
            <c:strRef>
              <c:extLst>
                <c:ext xmlns:c15="http://schemas.microsoft.com/office/drawing/2012/chart" uri="{02D57815-91ED-43cb-92C2-25804820EDAC}">
                  <c15:fullRef>
                    <c15:sqref>'Nickel - Prices'!$G$8:$G$42</c15:sqref>
                  </c15:fullRef>
                </c:ext>
              </c:extLst>
              <c:f>'Nickel - Prices'!$G$10:$G$42</c:f>
              <c:strCache>
                <c:ptCount val="33"/>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pt idx="30">
                  <c:v>2018-19</c:v>
                </c:pt>
                <c:pt idx="31">
                  <c:v>2019-20</c:v>
                </c:pt>
                <c:pt idx="32">
                  <c:v>2020-21</c:v>
                </c:pt>
              </c:strCache>
            </c:strRef>
          </c:cat>
          <c:val>
            <c:numRef>
              <c:extLst>
                <c:ext xmlns:c15="http://schemas.microsoft.com/office/drawing/2012/chart" uri="{02D57815-91ED-43cb-92C2-25804820EDAC}">
                  <c15:fullRef>
                    <c15:sqref>'Nickel - Prices'!$I$8:$I$42</c15:sqref>
                  </c15:fullRef>
                </c:ext>
              </c:extLst>
              <c:f>'Nickel - Prices'!$I$10:$I$42</c:f>
              <c:numCache>
                <c:formatCode>#,##0.00</c:formatCode>
                <c:ptCount val="33"/>
                <c:pt idx="0">
                  <c:v>18020.125593330991</c:v>
                </c:pt>
                <c:pt idx="1">
                  <c:v>12383.399686602605</c:v>
                </c:pt>
                <c:pt idx="2">
                  <c:v>11492.850463917444</c:v>
                </c:pt>
                <c:pt idx="3">
                  <c:v>9826.3122063005649</c:v>
                </c:pt>
                <c:pt idx="4">
                  <c:v>8877.8727609293946</c:v>
                </c:pt>
                <c:pt idx="5">
                  <c:v>7570.9526926432527</c:v>
                </c:pt>
                <c:pt idx="6">
                  <c:v>10063.282960094786</c:v>
                </c:pt>
                <c:pt idx="7">
                  <c:v>10785.720134162924</c:v>
                </c:pt>
                <c:pt idx="8">
                  <c:v>9285.8800592560237</c:v>
                </c:pt>
                <c:pt idx="9">
                  <c:v>8540.3657876970065</c:v>
                </c:pt>
                <c:pt idx="10">
                  <c:v>7164.9004899168367</c:v>
                </c:pt>
                <c:pt idx="11">
                  <c:v>13229.861897751151</c:v>
                </c:pt>
                <c:pt idx="12">
                  <c:v>13443.145366426224</c:v>
                </c:pt>
                <c:pt idx="13">
                  <c:v>11324.836261773538</c:v>
                </c:pt>
                <c:pt idx="14">
                  <c:v>13089.734579704245</c:v>
                </c:pt>
                <c:pt idx="15">
                  <c:v>17066.800172646705</c:v>
                </c:pt>
                <c:pt idx="16">
                  <c:v>19913.798329830272</c:v>
                </c:pt>
                <c:pt idx="17">
                  <c:v>20723.067339844882</c:v>
                </c:pt>
                <c:pt idx="18">
                  <c:v>48149.828724798164</c:v>
                </c:pt>
                <c:pt idx="19">
                  <c:v>31907.79114399348</c:v>
                </c:pt>
                <c:pt idx="20">
                  <c:v>17626.086587819034</c:v>
                </c:pt>
                <c:pt idx="21">
                  <c:v>21984.030810607346</c:v>
                </c:pt>
                <c:pt idx="22">
                  <c:v>24270.953935883615</c:v>
                </c:pt>
                <c:pt idx="23">
                  <c:v>18666.716205859433</c:v>
                </c:pt>
                <c:pt idx="24">
                  <c:v>15973.97176112026</c:v>
                </c:pt>
                <c:pt idx="25">
                  <c:v>16586.714212093484</c:v>
                </c:pt>
                <c:pt idx="26">
                  <c:v>18388.69112585095</c:v>
                </c:pt>
                <c:pt idx="27">
                  <c:v>12800.235944112757</c:v>
                </c:pt>
                <c:pt idx="28">
                  <c:v>13460.360097001765</c:v>
                </c:pt>
                <c:pt idx="29">
                  <c:v>16103.808272712697</c:v>
                </c:pt>
                <c:pt idx="30">
                  <c:v>17254.580661857704</c:v>
                </c:pt>
                <c:pt idx="31">
                  <c:v>20774.583538438841</c:v>
                </c:pt>
                <c:pt idx="32">
                  <c:v>21749.179211775645</c:v>
                </c:pt>
              </c:numCache>
            </c:numRef>
          </c:val>
          <c:smooth val="0"/>
          <c:extLst>
            <c:ext xmlns:c16="http://schemas.microsoft.com/office/drawing/2014/chart" uri="{C3380CC4-5D6E-409C-BE32-E72D297353CC}">
              <c16:uniqueId val="{00000000-A2CF-4ED7-A431-001C6B63379F}"/>
            </c:ext>
          </c:extLst>
        </c:ser>
        <c:ser>
          <c:idx val="1"/>
          <c:order val="1"/>
          <c:tx>
            <c:strRef>
              <c:f>'Nickel - Prices'!$H$7</c:f>
              <c:strCache>
                <c:ptCount val="1"/>
                <c:pt idx="0">
                  <c:v>US$ per tonne</c:v>
                </c:pt>
              </c:strCache>
            </c:strRef>
          </c:tx>
          <c:marker>
            <c:symbol val="none"/>
          </c:marker>
          <c:cat>
            <c:strRef>
              <c:extLst>
                <c:ext xmlns:c15="http://schemas.microsoft.com/office/drawing/2012/chart" uri="{02D57815-91ED-43cb-92C2-25804820EDAC}">
                  <c15:fullRef>
                    <c15:sqref>'Nickel - Prices'!$G$8:$G$42</c15:sqref>
                  </c15:fullRef>
                </c:ext>
              </c:extLst>
              <c:f>'Nickel - Prices'!$G$10:$G$42</c:f>
              <c:strCache>
                <c:ptCount val="33"/>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pt idx="30">
                  <c:v>2018-19</c:v>
                </c:pt>
                <c:pt idx="31">
                  <c:v>2019-20</c:v>
                </c:pt>
                <c:pt idx="32">
                  <c:v>2020-21</c:v>
                </c:pt>
              </c:strCache>
            </c:strRef>
          </c:cat>
          <c:val>
            <c:numRef>
              <c:extLst>
                <c:ext xmlns:c15="http://schemas.microsoft.com/office/drawing/2012/chart" uri="{02D57815-91ED-43cb-92C2-25804820EDAC}">
                  <c15:fullRef>
                    <c15:sqref>'Nickel - Prices'!$H$8:$H$42</c15:sqref>
                  </c15:fullRef>
                </c:ext>
              </c:extLst>
              <c:f>'Nickel - Prices'!$H$10:$H$42</c:f>
              <c:numCache>
                <c:formatCode>#,##0.00</c:formatCode>
                <c:ptCount val="33"/>
                <c:pt idx="0">
                  <c:v>14658.825000000003</c:v>
                </c:pt>
                <c:pt idx="1">
                  <c:v>9534.4166666666661</c:v>
                </c:pt>
                <c:pt idx="2">
                  <c:v>9036.7616666666654</c:v>
                </c:pt>
                <c:pt idx="3">
                  <c:v>7569.251666666667</c:v>
                </c:pt>
                <c:pt idx="4">
                  <c:v>6219.1308333333336</c:v>
                </c:pt>
                <c:pt idx="5">
                  <c:v>5257.4966666666669</c:v>
                </c:pt>
                <c:pt idx="6">
                  <c:v>7454.0808333333334</c:v>
                </c:pt>
                <c:pt idx="7">
                  <c:v>8219.2416666666668</c:v>
                </c:pt>
                <c:pt idx="8">
                  <c:v>7243.3249999999998</c:v>
                </c:pt>
                <c:pt idx="9">
                  <c:v>5813.9175000000005</c:v>
                </c:pt>
                <c:pt idx="10">
                  <c:v>4502.7716666666665</c:v>
                </c:pt>
                <c:pt idx="11">
                  <c:v>8257.3924999999999</c:v>
                </c:pt>
                <c:pt idx="12">
                  <c:v>7239.4783333333335</c:v>
                </c:pt>
                <c:pt idx="13">
                  <c:v>5946.2391666666663</c:v>
                </c:pt>
                <c:pt idx="14">
                  <c:v>7667.6566666666658</c:v>
                </c:pt>
                <c:pt idx="15">
                  <c:v>12263.713333333333</c:v>
                </c:pt>
                <c:pt idx="16">
                  <c:v>14959.340833333334</c:v>
                </c:pt>
                <c:pt idx="17">
                  <c:v>15487.896666666667</c:v>
                </c:pt>
                <c:pt idx="18">
                  <c:v>38050.126666666671</c:v>
                </c:pt>
                <c:pt idx="19">
                  <c:v>28518.380833333329</c:v>
                </c:pt>
                <c:pt idx="20">
                  <c:v>13366.498333333335</c:v>
                </c:pt>
                <c:pt idx="21">
                  <c:v>19414.585000000003</c:v>
                </c:pt>
                <c:pt idx="22">
                  <c:v>24000.445833333331</c:v>
                </c:pt>
                <c:pt idx="23">
                  <c:v>19297.845833333333</c:v>
                </c:pt>
                <c:pt idx="24">
                  <c:v>16397.045833333334</c:v>
                </c:pt>
                <c:pt idx="25">
                  <c:v>15233.490833333335</c:v>
                </c:pt>
                <c:pt idx="26">
                  <c:v>15435.279166666667</c:v>
                </c:pt>
                <c:pt idx="27">
                  <c:v>9320.7325000000001</c:v>
                </c:pt>
                <c:pt idx="28">
                  <c:v>10150.383483333333</c:v>
                </c:pt>
                <c:pt idx="29">
                  <c:v>12463.130024819626</c:v>
                </c:pt>
                <c:pt idx="30">
                  <c:v>12341.834266742424</c:v>
                </c:pt>
                <c:pt idx="31">
                  <c:v>13974.364166666668</c:v>
                </c:pt>
                <c:pt idx="32">
                  <c:v>16285.25</c:v>
                </c:pt>
              </c:numCache>
            </c:numRef>
          </c:val>
          <c:smooth val="0"/>
          <c:extLst>
            <c:ext xmlns:c16="http://schemas.microsoft.com/office/drawing/2014/chart" uri="{C3380CC4-5D6E-409C-BE32-E72D297353CC}">
              <c16:uniqueId val="{00000001-A2CF-4ED7-A431-001C6B63379F}"/>
            </c:ext>
          </c:extLst>
        </c:ser>
        <c:dLbls>
          <c:showLegendKey val="0"/>
          <c:showVal val="0"/>
          <c:showCatName val="0"/>
          <c:showSerName val="0"/>
          <c:showPercent val="0"/>
          <c:showBubbleSize val="0"/>
        </c:dLbls>
        <c:smooth val="0"/>
        <c:axId val="131369600"/>
        <c:axId val="131371776"/>
      </c:lineChart>
      <c:catAx>
        <c:axId val="131369600"/>
        <c:scaling>
          <c:orientation val="minMax"/>
        </c:scaling>
        <c:delete val="0"/>
        <c:axPos val="b"/>
        <c:title>
          <c:tx>
            <c:rich>
              <a:bodyPr/>
              <a:lstStyle/>
              <a:p>
                <a:pPr>
                  <a:defRPr sz="900"/>
                </a:pPr>
                <a:r>
                  <a:rPr lang="en-AU" sz="900"/>
                  <a:t>Source:</a:t>
                </a:r>
                <a:r>
                  <a:rPr lang="en-AU" sz="900" baseline="0"/>
                  <a:t> LME</a:t>
                </a:r>
                <a:endParaRPr lang="en-AU" sz="900"/>
              </a:p>
            </c:rich>
          </c:tx>
          <c:layout>
            <c:manualLayout>
              <c:xMode val="edge"/>
              <c:yMode val="edge"/>
              <c:x val="0"/>
              <c:y val="0.94313216594226223"/>
            </c:manualLayout>
          </c:layout>
          <c:overlay val="0"/>
        </c:title>
        <c:numFmt formatCode="General" sourceLinked="1"/>
        <c:majorTickMark val="out"/>
        <c:minorTickMark val="none"/>
        <c:tickLblPos val="nextTo"/>
        <c:spPr>
          <a:ln/>
        </c:spPr>
        <c:txPr>
          <a:bodyPr rot="-2700000"/>
          <a:lstStyle/>
          <a:p>
            <a:pPr>
              <a:defRPr/>
            </a:pPr>
            <a:endParaRPr lang="en-US"/>
          </a:p>
        </c:txPr>
        <c:crossAx val="131371776"/>
        <c:crosses val="autoZero"/>
        <c:auto val="1"/>
        <c:lblAlgn val="ctr"/>
        <c:lblOffset val="100"/>
        <c:noMultiLvlLbl val="0"/>
      </c:catAx>
      <c:valAx>
        <c:axId val="131371776"/>
        <c:scaling>
          <c:orientation val="minMax"/>
        </c:scaling>
        <c:delete val="0"/>
        <c:axPos val="l"/>
        <c:majorGridlines/>
        <c:title>
          <c:tx>
            <c:rich>
              <a:bodyPr rot="-5400000" vert="horz"/>
              <a:lstStyle/>
              <a:p>
                <a:pPr>
                  <a:defRPr/>
                </a:pPr>
                <a:r>
                  <a:rPr lang="en-AU"/>
                  <a:t>$/tonne</a:t>
                </a:r>
              </a:p>
            </c:rich>
          </c:tx>
          <c:layout>
            <c:manualLayout>
              <c:xMode val="edge"/>
              <c:yMode val="edge"/>
              <c:x val="1.0468530620884969E-2"/>
              <c:y val="0.45788466052137683"/>
            </c:manualLayout>
          </c:layout>
          <c:overlay val="0"/>
        </c:title>
        <c:numFmt formatCode="#,##0" sourceLinked="0"/>
        <c:majorTickMark val="out"/>
        <c:minorTickMark val="none"/>
        <c:tickLblPos val="nextTo"/>
        <c:spPr>
          <a:ln/>
        </c:spPr>
        <c:crossAx val="13136960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Monthly Prices, Past 5 years</a:t>
            </a:r>
          </a:p>
        </c:rich>
      </c:tx>
      <c:overlay val="0"/>
    </c:title>
    <c:autoTitleDeleted val="0"/>
    <c:plotArea>
      <c:layout>
        <c:manualLayout>
          <c:layoutTarget val="inner"/>
          <c:xMode val="edge"/>
          <c:yMode val="edge"/>
          <c:x val="0.16592876393806477"/>
          <c:y val="0.24008350496522982"/>
          <c:w val="0.80807535802991071"/>
          <c:h val="0.5886610843519029"/>
        </c:manualLayout>
      </c:layout>
      <c:lineChart>
        <c:grouping val="standard"/>
        <c:varyColors val="0"/>
        <c:ser>
          <c:idx val="0"/>
          <c:order val="0"/>
          <c:tx>
            <c:strRef>
              <c:f>'Nickel - Prices'!$C$7</c:f>
              <c:strCache>
                <c:ptCount val="1"/>
                <c:pt idx="0">
                  <c:v>A$ per tonne</c:v>
                </c:pt>
              </c:strCache>
            </c:strRef>
          </c:tx>
          <c:marker>
            <c:symbol val="none"/>
          </c:marker>
          <c:cat>
            <c:numRef>
              <c:f>'Commodity Prices'!$AX$9:$AX$68</c:f>
              <c:numCache>
                <c:formatCode>General</c:formatCode>
                <c:ptCount val="60"/>
                <c:pt idx="2" formatCode="mmm\-yy">
                  <c:v>42614</c:v>
                </c:pt>
                <c:pt idx="5" formatCode="mmm\-yy">
                  <c:v>42705</c:v>
                </c:pt>
                <c:pt idx="8" formatCode="mmm\-yy">
                  <c:v>42795</c:v>
                </c:pt>
                <c:pt idx="11" formatCode="mmm\-yy">
                  <c:v>42887</c:v>
                </c:pt>
                <c:pt idx="14" formatCode="mmm\-yy">
                  <c:v>42979</c:v>
                </c:pt>
                <c:pt idx="17" formatCode="mmm\-yy">
                  <c:v>43070</c:v>
                </c:pt>
                <c:pt idx="20" formatCode="mmm\-yy">
                  <c:v>43160</c:v>
                </c:pt>
                <c:pt idx="23" formatCode="mmm\-yy">
                  <c:v>43252</c:v>
                </c:pt>
                <c:pt idx="26" formatCode="mmm\-yy">
                  <c:v>43344</c:v>
                </c:pt>
                <c:pt idx="29" formatCode="mmm\-yy">
                  <c:v>43435</c:v>
                </c:pt>
                <c:pt idx="32" formatCode="mmm\-yy">
                  <c:v>43525</c:v>
                </c:pt>
                <c:pt idx="35" formatCode="mmm\-yy">
                  <c:v>43617</c:v>
                </c:pt>
                <c:pt idx="38" formatCode="mmm\-yy">
                  <c:v>43709</c:v>
                </c:pt>
                <c:pt idx="41" formatCode="mmm\-yy">
                  <c:v>43800</c:v>
                </c:pt>
                <c:pt idx="44" formatCode="mmm\-yy">
                  <c:v>43891</c:v>
                </c:pt>
                <c:pt idx="47" formatCode="mmm\-yy">
                  <c:v>43983</c:v>
                </c:pt>
                <c:pt idx="50" formatCode="mmm\-yy">
                  <c:v>44075</c:v>
                </c:pt>
                <c:pt idx="53" formatCode="mmm\-yy">
                  <c:v>44166</c:v>
                </c:pt>
                <c:pt idx="56" formatCode="mmm\-yy">
                  <c:v>44256</c:v>
                </c:pt>
                <c:pt idx="59" formatCode="mmm\-yy">
                  <c:v>44348</c:v>
                </c:pt>
              </c:numCache>
            </c:numRef>
          </c:cat>
          <c:val>
            <c:numRef>
              <c:f>'Nickel - Prices'!$C$8:$C$67</c:f>
              <c:numCache>
                <c:formatCode>#,##0.00</c:formatCode>
                <c:ptCount val="60"/>
                <c:pt idx="0">
                  <c:v>13614.75</c:v>
                </c:pt>
                <c:pt idx="1">
                  <c:v>13582.4</c:v>
                </c:pt>
                <c:pt idx="2">
                  <c:v>13419.93</c:v>
                </c:pt>
                <c:pt idx="3">
                  <c:v>13480.08</c:v>
                </c:pt>
                <c:pt idx="4">
                  <c:v>14800.05</c:v>
                </c:pt>
                <c:pt idx="5">
                  <c:v>15014.66</c:v>
                </c:pt>
                <c:pt idx="6">
                  <c:v>13385.56</c:v>
                </c:pt>
                <c:pt idx="7">
                  <c:v>13852.73</c:v>
                </c:pt>
                <c:pt idx="8">
                  <c:v>13418.72</c:v>
                </c:pt>
                <c:pt idx="9">
                  <c:v>12831.6</c:v>
                </c:pt>
                <c:pt idx="10">
                  <c:v>12310.77</c:v>
                </c:pt>
                <c:pt idx="11">
                  <c:v>11813.071164021165</c:v>
                </c:pt>
                <c:pt idx="12">
                  <c:v>12148.19602818706</c:v>
                </c:pt>
                <c:pt idx="13">
                  <c:v>13710.149754237678</c:v>
                </c:pt>
                <c:pt idx="14">
                  <c:v>14100.125517760764</c:v>
                </c:pt>
                <c:pt idx="15">
                  <c:v>14543.469885706949</c:v>
                </c:pt>
                <c:pt idx="16">
                  <c:v>15732.293454020728</c:v>
                </c:pt>
                <c:pt idx="17">
                  <c:v>14914.00065359477</c:v>
                </c:pt>
                <c:pt idx="18">
                  <c:v>16187.29420635918</c:v>
                </c:pt>
                <c:pt idx="19">
                  <c:v>17255.655821047279</c:v>
                </c:pt>
                <c:pt idx="20">
                  <c:v>17274.867895347339</c:v>
                </c:pt>
                <c:pt idx="21">
                  <c:v>18136.795522582324</c:v>
                </c:pt>
                <c:pt idx="22">
                  <c:v>19070.707454076208</c:v>
                </c:pt>
                <c:pt idx="23">
                  <c:v>20172.143079632067</c:v>
                </c:pt>
                <c:pt idx="24">
                  <c:v>18598.305813025596</c:v>
                </c:pt>
                <c:pt idx="25">
                  <c:v>18336.001290546745</c:v>
                </c:pt>
                <c:pt idx="26">
                  <c:v>17389.297612437535</c:v>
                </c:pt>
                <c:pt idx="27">
                  <c:v>17357.321881160235</c:v>
                </c:pt>
                <c:pt idx="28">
                  <c:v>15524.084826747263</c:v>
                </c:pt>
                <c:pt idx="29">
                  <c:v>15139.483249511037</c:v>
                </c:pt>
                <c:pt idx="30">
                  <c:v>16018.109355334918</c:v>
                </c:pt>
                <c:pt idx="31">
                  <c:v>17721.70075651443</c:v>
                </c:pt>
                <c:pt idx="32">
                  <c:v>18439.517153748409</c:v>
                </c:pt>
                <c:pt idx="33">
                  <c:v>18024.465691788526</c:v>
                </c:pt>
                <c:pt idx="34">
                  <c:v>17278.701036866358</c:v>
                </c:pt>
                <c:pt idx="35">
                  <c:v>17227.9792746114</c:v>
                </c:pt>
                <c:pt idx="36">
                  <c:v>19289.855280126092</c:v>
                </c:pt>
                <c:pt idx="37">
                  <c:v>23174.434756908526</c:v>
                </c:pt>
                <c:pt idx="38">
                  <c:v>25732.527664531157</c:v>
                </c:pt>
                <c:pt idx="39">
                  <c:v>25174.286554869079</c:v>
                </c:pt>
                <c:pt idx="40">
                  <c:v>22267.096396132434</c:v>
                </c:pt>
                <c:pt idx="41">
                  <c:v>20032.660763536074</c:v>
                </c:pt>
                <c:pt idx="42">
                  <c:v>19753.607345867949</c:v>
                </c:pt>
                <c:pt idx="43">
                  <c:v>19120.030007501875</c:v>
                </c:pt>
                <c:pt idx="44">
                  <c:v>19103.781174577634</c:v>
                </c:pt>
                <c:pt idx="45">
                  <c:v>18623.356045000794</c:v>
                </c:pt>
                <c:pt idx="46">
                  <c:v>18618.165081313284</c:v>
                </c:pt>
                <c:pt idx="47">
                  <c:v>18405.201390901188</c:v>
                </c:pt>
                <c:pt idx="48">
                  <c:v>18964.250177683014</c:v>
                </c:pt>
                <c:pt idx="49">
                  <c:v>20117.844743785587</c:v>
                </c:pt>
                <c:pt idx="50">
                  <c:v>20570.458004704582</c:v>
                </c:pt>
                <c:pt idx="51">
                  <c:v>21363.503649635037</c:v>
                </c:pt>
                <c:pt idx="52">
                  <c:v>21691.911562757483</c:v>
                </c:pt>
                <c:pt idx="53">
                  <c:v>22296.431414168212</c:v>
                </c:pt>
                <c:pt idx="54">
                  <c:v>23109.672407095688</c:v>
                </c:pt>
                <c:pt idx="55">
                  <c:v>23943.326885880077</c:v>
                </c:pt>
                <c:pt idx="56">
                  <c:v>21360.939527640803</c:v>
                </c:pt>
                <c:pt idx="57">
                  <c:v>21397.948584783175</c:v>
                </c:pt>
                <c:pt idx="58">
                  <c:v>22684.885968303057</c:v>
                </c:pt>
                <c:pt idx="59">
                  <c:v>23488.977614871055</c:v>
                </c:pt>
              </c:numCache>
            </c:numRef>
          </c:val>
          <c:smooth val="0"/>
          <c:extLst>
            <c:ext xmlns:c16="http://schemas.microsoft.com/office/drawing/2014/chart" uri="{C3380CC4-5D6E-409C-BE32-E72D297353CC}">
              <c16:uniqueId val="{00000000-281E-4B38-B6AE-849162B0B053}"/>
            </c:ext>
          </c:extLst>
        </c:ser>
        <c:ser>
          <c:idx val="1"/>
          <c:order val="1"/>
          <c:tx>
            <c:strRef>
              <c:f>'Nickel - Prices'!$H$7</c:f>
              <c:strCache>
                <c:ptCount val="1"/>
                <c:pt idx="0">
                  <c:v>US$ per tonne</c:v>
                </c:pt>
              </c:strCache>
            </c:strRef>
          </c:tx>
          <c:marker>
            <c:symbol val="none"/>
          </c:marker>
          <c:cat>
            <c:numRef>
              <c:f>'Commodity Prices'!$AX$9:$AX$68</c:f>
              <c:numCache>
                <c:formatCode>General</c:formatCode>
                <c:ptCount val="60"/>
                <c:pt idx="2" formatCode="mmm\-yy">
                  <c:v>42614</c:v>
                </c:pt>
                <c:pt idx="5" formatCode="mmm\-yy">
                  <c:v>42705</c:v>
                </c:pt>
                <c:pt idx="8" formatCode="mmm\-yy">
                  <c:v>42795</c:v>
                </c:pt>
                <c:pt idx="11" formatCode="mmm\-yy">
                  <c:v>42887</c:v>
                </c:pt>
                <c:pt idx="14" formatCode="mmm\-yy">
                  <c:v>42979</c:v>
                </c:pt>
                <c:pt idx="17" formatCode="mmm\-yy">
                  <c:v>43070</c:v>
                </c:pt>
                <c:pt idx="20" formatCode="mmm\-yy">
                  <c:v>43160</c:v>
                </c:pt>
                <c:pt idx="23" formatCode="mmm\-yy">
                  <c:v>43252</c:v>
                </c:pt>
                <c:pt idx="26" formatCode="mmm\-yy">
                  <c:v>43344</c:v>
                </c:pt>
                <c:pt idx="29" formatCode="mmm\-yy">
                  <c:v>43435</c:v>
                </c:pt>
                <c:pt idx="32" formatCode="mmm\-yy">
                  <c:v>43525</c:v>
                </c:pt>
                <c:pt idx="35" formatCode="mmm\-yy">
                  <c:v>43617</c:v>
                </c:pt>
                <c:pt idx="38" formatCode="mmm\-yy">
                  <c:v>43709</c:v>
                </c:pt>
                <c:pt idx="41" formatCode="mmm\-yy">
                  <c:v>43800</c:v>
                </c:pt>
                <c:pt idx="44" formatCode="mmm\-yy">
                  <c:v>43891</c:v>
                </c:pt>
                <c:pt idx="47" formatCode="mmm\-yy">
                  <c:v>43983</c:v>
                </c:pt>
                <c:pt idx="50" formatCode="mmm\-yy">
                  <c:v>44075</c:v>
                </c:pt>
                <c:pt idx="53" formatCode="mmm\-yy">
                  <c:v>44166</c:v>
                </c:pt>
                <c:pt idx="56" formatCode="mmm\-yy">
                  <c:v>44256</c:v>
                </c:pt>
                <c:pt idx="59" formatCode="mmm\-yy">
                  <c:v>44348</c:v>
                </c:pt>
              </c:numCache>
            </c:numRef>
          </c:cat>
          <c:val>
            <c:numRef>
              <c:f>'Nickel - Prices'!$B$8:$B$67</c:f>
              <c:numCache>
                <c:formatCode>#,##0.00</c:formatCode>
                <c:ptCount val="60"/>
                <c:pt idx="0">
                  <c:v>10251.9</c:v>
                </c:pt>
                <c:pt idx="1">
                  <c:v>10353.86</c:v>
                </c:pt>
                <c:pt idx="2">
                  <c:v>10188.41</c:v>
                </c:pt>
                <c:pt idx="3">
                  <c:v>10266.43</c:v>
                </c:pt>
                <c:pt idx="4">
                  <c:v>11142.95</c:v>
                </c:pt>
                <c:pt idx="5">
                  <c:v>11013.25</c:v>
                </c:pt>
                <c:pt idx="6">
                  <c:v>9984.2900000000009</c:v>
                </c:pt>
                <c:pt idx="7">
                  <c:v>10619.5</c:v>
                </c:pt>
                <c:pt idx="8">
                  <c:v>10230.43</c:v>
                </c:pt>
                <c:pt idx="9">
                  <c:v>9668.61</c:v>
                </c:pt>
                <c:pt idx="10">
                  <c:v>9154.2900000000009</c:v>
                </c:pt>
                <c:pt idx="11">
                  <c:v>8930.6818000000003</c:v>
                </c:pt>
                <c:pt idx="12">
                  <c:v>9481.6669999999995</c:v>
                </c:pt>
                <c:pt idx="13">
                  <c:v>10852.954545454546</c:v>
                </c:pt>
                <c:pt idx="14">
                  <c:v>11233.57</c:v>
                </c:pt>
                <c:pt idx="15">
                  <c:v>11325</c:v>
                </c:pt>
                <c:pt idx="16">
                  <c:v>11992.7273</c:v>
                </c:pt>
                <c:pt idx="17">
                  <c:v>11409.210499999999</c:v>
                </c:pt>
                <c:pt idx="18">
                  <c:v>12880.23</c:v>
                </c:pt>
                <c:pt idx="19">
                  <c:v>13576.75</c:v>
                </c:pt>
                <c:pt idx="20">
                  <c:v>13403.57</c:v>
                </c:pt>
                <c:pt idx="21">
                  <c:v>13934.5</c:v>
                </c:pt>
                <c:pt idx="22">
                  <c:v>14356.428571428571</c:v>
                </c:pt>
                <c:pt idx="23">
                  <c:v>15110.952380952382</c:v>
                </c:pt>
                <c:pt idx="24">
                  <c:v>13772.045454545454</c:v>
                </c:pt>
                <c:pt idx="25">
                  <c:v>13432.954545454546</c:v>
                </c:pt>
                <c:pt idx="26">
                  <c:v>12527.25</c:v>
                </c:pt>
                <c:pt idx="27">
                  <c:v>12327.17</c:v>
                </c:pt>
                <c:pt idx="28">
                  <c:v>11253.40909090909</c:v>
                </c:pt>
                <c:pt idx="29">
                  <c:v>10836.84211</c:v>
                </c:pt>
                <c:pt idx="30">
                  <c:v>11454.55</c:v>
                </c:pt>
                <c:pt idx="31">
                  <c:v>12649.75</c:v>
                </c:pt>
                <c:pt idx="32">
                  <c:v>13060.71</c:v>
                </c:pt>
                <c:pt idx="33">
                  <c:v>12819</c:v>
                </c:pt>
                <c:pt idx="34">
                  <c:v>11998.33</c:v>
                </c:pt>
                <c:pt idx="35">
                  <c:v>11970</c:v>
                </c:pt>
                <c:pt idx="36">
                  <c:v>13462.39</c:v>
                </c:pt>
                <c:pt idx="37">
                  <c:v>15682.14</c:v>
                </c:pt>
                <c:pt idx="38">
                  <c:v>17673.099999999999</c:v>
                </c:pt>
                <c:pt idx="39">
                  <c:v>17113.48</c:v>
                </c:pt>
                <c:pt idx="40">
                  <c:v>15199.52</c:v>
                </c:pt>
                <c:pt idx="41">
                  <c:v>13800.5</c:v>
                </c:pt>
                <c:pt idx="42">
                  <c:v>13552.95</c:v>
                </c:pt>
                <c:pt idx="43">
                  <c:v>12743.5</c:v>
                </c:pt>
                <c:pt idx="44">
                  <c:v>11873</c:v>
                </c:pt>
                <c:pt idx="45">
                  <c:v>11753.2</c:v>
                </c:pt>
                <c:pt idx="46">
                  <c:v>12135.32</c:v>
                </c:pt>
                <c:pt idx="47">
                  <c:v>12703.27</c:v>
                </c:pt>
                <c:pt idx="48">
                  <c:v>13341.35</c:v>
                </c:pt>
                <c:pt idx="49">
                  <c:v>14486.86</c:v>
                </c:pt>
                <c:pt idx="50">
                  <c:v>14866.27</c:v>
                </c:pt>
                <c:pt idx="51">
                  <c:v>15219.36</c:v>
                </c:pt>
                <c:pt idx="52">
                  <c:v>15796.05</c:v>
                </c:pt>
                <c:pt idx="53">
                  <c:v>16807.05</c:v>
                </c:pt>
                <c:pt idx="54">
                  <c:v>17847.599999999999</c:v>
                </c:pt>
                <c:pt idx="55">
                  <c:v>18568.05</c:v>
                </c:pt>
                <c:pt idx="56">
                  <c:v>16460.740000000002</c:v>
                </c:pt>
                <c:pt idx="57">
                  <c:v>16480.7</c:v>
                </c:pt>
                <c:pt idx="58">
                  <c:v>17605.740000000002</c:v>
                </c:pt>
                <c:pt idx="59">
                  <c:v>17943.23</c:v>
                </c:pt>
              </c:numCache>
            </c:numRef>
          </c:val>
          <c:smooth val="0"/>
          <c:extLst>
            <c:ext xmlns:c16="http://schemas.microsoft.com/office/drawing/2014/chart" uri="{C3380CC4-5D6E-409C-BE32-E72D297353CC}">
              <c16:uniqueId val="{00000001-281E-4B38-B6AE-849162B0B053}"/>
            </c:ext>
          </c:extLst>
        </c:ser>
        <c:dLbls>
          <c:showLegendKey val="0"/>
          <c:showVal val="0"/>
          <c:showCatName val="0"/>
          <c:showSerName val="0"/>
          <c:showPercent val="0"/>
          <c:showBubbleSize val="0"/>
        </c:dLbls>
        <c:smooth val="0"/>
        <c:axId val="131440000"/>
        <c:axId val="131438464"/>
      </c:lineChart>
      <c:valAx>
        <c:axId val="131438464"/>
        <c:scaling>
          <c:orientation val="minMax"/>
        </c:scaling>
        <c:delete val="0"/>
        <c:axPos val="l"/>
        <c:majorGridlines/>
        <c:title>
          <c:tx>
            <c:rich>
              <a:bodyPr/>
              <a:lstStyle/>
              <a:p>
                <a:pPr>
                  <a:defRPr/>
                </a:pPr>
                <a:r>
                  <a:rPr lang="en-AU"/>
                  <a:t>$/tonne</a:t>
                </a:r>
              </a:p>
            </c:rich>
          </c:tx>
          <c:layout>
            <c:manualLayout>
              <c:xMode val="edge"/>
              <c:yMode val="edge"/>
              <c:x val="3.6564322077190015E-2"/>
              <c:y val="0.46068978737574695"/>
            </c:manualLayout>
          </c:layout>
          <c:overlay val="0"/>
        </c:title>
        <c:numFmt formatCode="#,##0" sourceLinked="0"/>
        <c:majorTickMark val="out"/>
        <c:minorTickMark val="none"/>
        <c:tickLblPos val="nextTo"/>
        <c:crossAx val="131440000"/>
        <c:crosses val="autoZero"/>
        <c:crossBetween val="between"/>
      </c:valAx>
      <c:catAx>
        <c:axId val="131440000"/>
        <c:scaling>
          <c:orientation val="minMax"/>
        </c:scaling>
        <c:delete val="0"/>
        <c:axPos val="b"/>
        <c:title>
          <c:tx>
            <c:rich>
              <a:bodyPr/>
              <a:lstStyle/>
              <a:p>
                <a:pPr>
                  <a:defRPr sz="900"/>
                </a:pPr>
                <a:r>
                  <a:rPr lang="en-AU" sz="900"/>
                  <a:t>Source:  LME</a:t>
                </a:r>
              </a:p>
            </c:rich>
          </c:tx>
          <c:layout>
            <c:manualLayout>
              <c:xMode val="edge"/>
              <c:yMode val="edge"/>
              <c:x val="0"/>
              <c:y val="0.94920110358106113"/>
            </c:manualLayout>
          </c:layout>
          <c:overlay val="0"/>
        </c:title>
        <c:numFmt formatCode="General" sourceLinked="1"/>
        <c:majorTickMark val="out"/>
        <c:minorTickMark val="none"/>
        <c:tickLblPos val="nextTo"/>
        <c:txPr>
          <a:bodyPr rot="-2700000"/>
          <a:lstStyle/>
          <a:p>
            <a:pPr>
              <a:defRPr/>
            </a:pPr>
            <a:endParaRPr lang="en-US"/>
          </a:p>
        </c:txPr>
        <c:crossAx val="13143846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title>
      <c:tx>
        <c:strRef>
          <c:f>'Nickel - Exports'!$W$1</c:f>
          <c:strCache>
            <c:ptCount val="1"/>
            <c:pt idx="0">
              <c:v>Nickel Exports 2020-21
Total Value: $2,750,024,725</c:v>
            </c:pt>
          </c:strCache>
        </c:strRef>
      </c:tx>
      <c:layout>
        <c:manualLayout>
          <c:xMode val="edge"/>
          <c:yMode val="edge"/>
          <c:x val="0.29307607415214826"/>
          <c:y val="1.8099547511312219E-2"/>
        </c:manualLayout>
      </c:layout>
      <c:overlay val="0"/>
    </c:title>
    <c:autoTitleDeleted val="0"/>
    <c:plotArea>
      <c:layout>
        <c:manualLayout>
          <c:layoutTarget val="inner"/>
          <c:xMode val="edge"/>
          <c:yMode val="edge"/>
          <c:x val="0.34445417157500979"/>
          <c:y val="0.31120782629444049"/>
          <c:w val="0.44219687960308618"/>
          <c:h val="0.65910387978753837"/>
        </c:manualLayout>
      </c:layout>
      <c:pieChart>
        <c:varyColors val="1"/>
        <c:ser>
          <c:idx val="0"/>
          <c:order val="0"/>
          <c:tx>
            <c:v>Exports</c:v>
          </c:tx>
          <c:dPt>
            <c:idx val="0"/>
            <c:bubble3D val="0"/>
            <c:extLst>
              <c:ext xmlns:c16="http://schemas.microsoft.com/office/drawing/2014/chart" uri="{C3380CC4-5D6E-409C-BE32-E72D297353CC}">
                <c16:uniqueId val="{00000000-4473-4B57-893E-A395CA0E7FAC}"/>
              </c:ext>
            </c:extLst>
          </c:dPt>
          <c:dPt>
            <c:idx val="1"/>
            <c:bubble3D val="0"/>
            <c:extLst>
              <c:ext xmlns:c16="http://schemas.microsoft.com/office/drawing/2014/chart" uri="{C3380CC4-5D6E-409C-BE32-E72D297353CC}">
                <c16:uniqueId val="{00000001-4473-4B57-893E-A395CA0E7FAC}"/>
              </c:ext>
            </c:extLst>
          </c:dPt>
          <c:dPt>
            <c:idx val="2"/>
            <c:bubble3D val="0"/>
            <c:extLst>
              <c:ext xmlns:c16="http://schemas.microsoft.com/office/drawing/2014/chart" uri="{C3380CC4-5D6E-409C-BE32-E72D297353CC}">
                <c16:uniqueId val="{00000002-4473-4B57-893E-A395CA0E7FAC}"/>
              </c:ext>
            </c:extLst>
          </c:dPt>
          <c:dPt>
            <c:idx val="3"/>
            <c:bubble3D val="0"/>
            <c:extLst>
              <c:ext xmlns:c16="http://schemas.microsoft.com/office/drawing/2014/chart" uri="{C3380CC4-5D6E-409C-BE32-E72D297353CC}">
                <c16:uniqueId val="{00000003-4473-4B57-893E-A395CA0E7FAC}"/>
              </c:ext>
            </c:extLst>
          </c:dPt>
          <c:dPt>
            <c:idx val="4"/>
            <c:bubble3D val="0"/>
            <c:extLst>
              <c:ext xmlns:c16="http://schemas.microsoft.com/office/drawing/2014/chart" uri="{C3380CC4-5D6E-409C-BE32-E72D297353CC}">
                <c16:uniqueId val="{00000004-4473-4B57-893E-A395CA0E7FAC}"/>
              </c:ext>
            </c:extLst>
          </c:dPt>
          <c:dPt>
            <c:idx val="5"/>
            <c:bubble3D val="0"/>
            <c:extLst>
              <c:ext xmlns:c16="http://schemas.microsoft.com/office/drawing/2014/chart" uri="{C3380CC4-5D6E-409C-BE32-E72D297353CC}">
                <c16:uniqueId val="{00000005-4473-4B57-893E-A395CA0E7FAC}"/>
              </c:ext>
            </c:extLst>
          </c:dPt>
          <c:dPt>
            <c:idx val="6"/>
            <c:bubble3D val="0"/>
            <c:extLst>
              <c:ext xmlns:c16="http://schemas.microsoft.com/office/drawing/2014/chart" uri="{C3380CC4-5D6E-409C-BE32-E72D297353CC}">
                <c16:uniqueId val="{00000006-4473-4B57-893E-A395CA0E7FAC}"/>
              </c:ext>
            </c:extLst>
          </c:dPt>
          <c:dPt>
            <c:idx val="7"/>
            <c:bubble3D val="0"/>
            <c:extLst>
              <c:ext xmlns:c16="http://schemas.microsoft.com/office/drawing/2014/chart" uri="{C3380CC4-5D6E-409C-BE32-E72D297353CC}">
                <c16:uniqueId val="{00000007-4473-4B57-893E-A395CA0E7FAC}"/>
              </c:ext>
            </c:extLst>
          </c:dPt>
          <c:dPt>
            <c:idx val="8"/>
            <c:bubble3D val="0"/>
            <c:extLst>
              <c:ext xmlns:c16="http://schemas.microsoft.com/office/drawing/2014/chart" uri="{C3380CC4-5D6E-409C-BE32-E72D297353CC}">
                <c16:uniqueId val="{00000008-4473-4B57-893E-A395CA0E7FAC}"/>
              </c:ext>
            </c:extLst>
          </c:dPt>
          <c:dPt>
            <c:idx val="9"/>
            <c:bubble3D val="0"/>
            <c:extLst>
              <c:ext xmlns:c16="http://schemas.microsoft.com/office/drawing/2014/chart" uri="{C3380CC4-5D6E-409C-BE32-E72D297353CC}">
                <c16:uniqueId val="{00000009-4473-4B57-893E-A395CA0E7FAC}"/>
              </c:ext>
            </c:extLst>
          </c:dPt>
          <c:dPt>
            <c:idx val="10"/>
            <c:bubble3D val="0"/>
            <c:extLst>
              <c:ext xmlns:c16="http://schemas.microsoft.com/office/drawing/2014/chart" uri="{C3380CC4-5D6E-409C-BE32-E72D297353CC}">
                <c16:uniqueId val="{0000000A-4473-4B57-893E-A395CA0E7FAC}"/>
              </c:ext>
            </c:extLst>
          </c:dPt>
          <c:dLbls>
            <c:dLbl>
              <c:idx val="0"/>
              <c:layout>
                <c:manualLayout>
                  <c:x val="-0.18386198148124966"/>
                  <c:y val="-2.603251607767038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73-4B57-893E-A395CA0E7FAC}"/>
                </c:ext>
              </c:extLst>
            </c:dLbl>
            <c:dLbl>
              <c:idx val="1"/>
              <c:layout>
                <c:manualLayout>
                  <c:x val="3.7541488416310165E-2"/>
                  <c:y val="-5.9184332727639927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404514435695538"/>
                      <c:h val="0.16111613876319758"/>
                    </c:manualLayout>
                  </c15:layout>
                </c:ext>
                <c:ext xmlns:c16="http://schemas.microsoft.com/office/drawing/2014/chart" uri="{C3380CC4-5D6E-409C-BE32-E72D297353CC}">
                  <c16:uniqueId val="{00000001-4473-4B57-893E-A395CA0E7FAC}"/>
                </c:ext>
              </c:extLst>
            </c:dLbl>
            <c:dLbl>
              <c:idx val="2"/>
              <c:layout>
                <c:manualLayout>
                  <c:x val="-6.8288204832901461E-2"/>
                  <c:y val="3.865532211317187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73-4B57-893E-A395CA0E7FAC}"/>
                </c:ext>
              </c:extLst>
            </c:dLbl>
            <c:dLbl>
              <c:idx val="3"/>
              <c:layout>
                <c:manualLayout>
                  <c:x val="-8.3497281440773813E-2"/>
                  <c:y val="4.34416787948899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73-4B57-893E-A395CA0E7FAC}"/>
                </c:ext>
              </c:extLst>
            </c:dLbl>
            <c:dLbl>
              <c:idx val="4"/>
              <c:layout>
                <c:manualLayout>
                  <c:x val="-0.1141928403623633"/>
                  <c:y val="2.737893545297359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73-4B57-893E-A395CA0E7FAC}"/>
                </c:ext>
              </c:extLst>
            </c:dLbl>
            <c:dLbl>
              <c:idx val="5"/>
              <c:layout>
                <c:manualLayout>
                  <c:x val="-0.16014788294547441"/>
                  <c:y val="1.73611473921210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73-4B57-893E-A395CA0E7FAC}"/>
                </c:ext>
              </c:extLst>
            </c:dLbl>
            <c:dLbl>
              <c:idx val="6"/>
              <c:layout>
                <c:manualLayout>
                  <c:x val="-0.17559681033511509"/>
                  <c:y val="-1.43573285566798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73-4B57-893E-A395CA0E7FAC}"/>
                </c:ext>
              </c:extLst>
            </c:dLbl>
            <c:dLbl>
              <c:idx val="7"/>
              <c:layout>
                <c:manualLayout>
                  <c:x val="-0.17364295281849706"/>
                  <c:y val="-3.667325944446514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73-4B57-893E-A395CA0E7FAC}"/>
                </c:ext>
              </c:extLst>
            </c:dLbl>
            <c:dLbl>
              <c:idx val="8"/>
              <c:layout>
                <c:manualLayout>
                  <c:x val="-9.018764943730205E-2"/>
                  <c:y val="-7.063502133323382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73-4B57-893E-A395CA0E7FAC}"/>
                </c:ext>
              </c:extLst>
            </c:dLbl>
            <c:dLbl>
              <c:idx val="9"/>
              <c:layout>
                <c:manualLayout>
                  <c:x val="0.10143668448439176"/>
                  <c:y val="-7.190158102275130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73-4B57-893E-A395CA0E7FAC}"/>
                </c:ext>
              </c:extLst>
            </c:dLbl>
            <c:dLbl>
              <c:idx val="10"/>
              <c:layout>
                <c:manualLayout>
                  <c:x val="0.18029117584467275"/>
                  <c:y val="-2.230025749151027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73-4B57-893E-A395CA0E7FAC}"/>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'Nickel - Exports'!$A$10:$A$20</c:f>
              <c:strCache>
                <c:ptCount val="11"/>
                <c:pt idx="0">
                  <c:v>China</c:v>
                </c:pt>
                <c:pt idx="1">
                  <c:v>Korea, Republic Of</c:v>
                </c:pt>
                <c:pt idx="2">
                  <c:v>Japan</c:v>
                </c:pt>
                <c:pt idx="3">
                  <c:v>Netherlands</c:v>
                </c:pt>
                <c:pt idx="4">
                  <c:v>United States</c:v>
                </c:pt>
                <c:pt idx="5">
                  <c:v>Singapore</c:v>
                </c:pt>
                <c:pt idx="6">
                  <c:v>Norway</c:v>
                </c:pt>
                <c:pt idx="7">
                  <c:v>Taiwan, Province Of China</c:v>
                </c:pt>
                <c:pt idx="8">
                  <c:v>Spain</c:v>
                </c:pt>
                <c:pt idx="9">
                  <c:v>Canada</c:v>
                </c:pt>
                <c:pt idx="10">
                  <c:v>Other</c:v>
                </c:pt>
              </c:strCache>
            </c:strRef>
          </c:cat>
          <c:val>
            <c:numRef>
              <c:f>'Nickel - Exports'!$D$10:$D$20</c:f>
              <c:numCache>
                <c:formatCode>0.0%</c:formatCode>
                <c:ptCount val="11"/>
                <c:pt idx="0" formatCode="0.00%">
                  <c:v>0.44240970918661932</c:v>
                </c:pt>
                <c:pt idx="1">
                  <c:v>0.15926420288208232</c:v>
                </c:pt>
                <c:pt idx="2">
                  <c:v>7.7254455718009277E-2</c:v>
                </c:pt>
                <c:pt idx="3">
                  <c:v>7.1317714727074155E-2</c:v>
                </c:pt>
                <c:pt idx="4">
                  <c:v>7.0639428931804041E-2</c:v>
                </c:pt>
                <c:pt idx="5">
                  <c:v>5.7238087384456821E-2</c:v>
                </c:pt>
                <c:pt idx="6">
                  <c:v>4.1554821659779612E-2</c:v>
                </c:pt>
                <c:pt idx="7">
                  <c:v>4.1161720707400068E-2</c:v>
                </c:pt>
                <c:pt idx="8">
                  <c:v>1.5705065925990497E-2</c:v>
                </c:pt>
                <c:pt idx="9">
                  <c:v>6.8494679397775367E-3</c:v>
                </c:pt>
                <c:pt idx="10">
                  <c:v>1.6605324937006369E-2</c:v>
                </c:pt>
              </c:numCache>
            </c:numRef>
          </c:val>
          <c:extLst>
            <c:ext xmlns:c16="http://schemas.microsoft.com/office/drawing/2014/chart" uri="{C3380CC4-5D6E-409C-BE32-E72D297353CC}">
              <c16:uniqueId val="{0000000B-4473-4B57-893E-A395CA0E7FAC}"/>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br>
              <a:rPr lang="en-AU"/>
            </a:br>
            <a:r>
              <a:rPr lang="en-AU" sz="1100"/>
              <a:t>Western Australia</a:t>
            </a:r>
            <a:r>
              <a:rPr lang="en-AU" sz="1100" baseline="0"/>
              <a:t> </a:t>
            </a:r>
            <a:r>
              <a:rPr lang="en-AU" sz="1100"/>
              <a:t>vs Rest of Australia</a:t>
            </a:r>
          </a:p>
        </c:rich>
      </c:tx>
      <c:layout>
        <c:manualLayout>
          <c:xMode val="edge"/>
          <c:yMode val="edge"/>
          <c:x val="0.32281365261619716"/>
          <c:y val="3.7221014588174277E-2"/>
        </c:manualLayout>
      </c:layout>
      <c:overlay val="0"/>
    </c:title>
    <c:autoTitleDeleted val="0"/>
    <c:plotArea>
      <c:layout>
        <c:manualLayout>
          <c:layoutTarget val="inner"/>
          <c:xMode val="edge"/>
          <c:yMode val="edge"/>
          <c:x val="0.10724926233532529"/>
          <c:y val="0.23759417688541162"/>
          <c:w val="0.85400296597118885"/>
          <c:h val="0.60472677307802181"/>
        </c:manualLayout>
      </c:layout>
      <c:barChart>
        <c:barDir val="col"/>
        <c:grouping val="stacked"/>
        <c:varyColors val="0"/>
        <c:ser>
          <c:idx val="0"/>
          <c:order val="0"/>
          <c:tx>
            <c:strRef>
              <c:f>'Nickel - WA vs Australia'!$B$6</c:f>
              <c:strCache>
                <c:ptCount val="1"/>
                <c:pt idx="0">
                  <c:v>Western Australia (Kt)</c:v>
                </c:pt>
              </c:strCache>
            </c:strRef>
          </c:tx>
          <c:invertIfNegative val="0"/>
          <c:cat>
            <c:numRef>
              <c:f>'Nickel - WA vs Australia'!$A$7:$A$62</c:f>
              <c:numCache>
                <c:formatCode>General</c:formatCode>
                <c:ptCount val="5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numCache>
            </c:numRef>
          </c:cat>
          <c:val>
            <c:numRef>
              <c:f>'Nickel - WA vs Australia'!$B$7:$B$62</c:f>
              <c:numCache>
                <c:formatCode>#,##0.00</c:formatCode>
                <c:ptCount val="56"/>
                <c:pt idx="0">
                  <c:v>0</c:v>
                </c:pt>
                <c:pt idx="1">
                  <c:v>0</c:v>
                </c:pt>
                <c:pt idx="2">
                  <c:v>0.29668549999999999</c:v>
                </c:pt>
                <c:pt idx="3">
                  <c:v>0.54866499999999996</c:v>
                </c:pt>
                <c:pt idx="4">
                  <c:v>7.877408</c:v>
                </c:pt>
                <c:pt idx="5">
                  <c:v>31.609000000000002</c:v>
                </c:pt>
                <c:pt idx="6">
                  <c:v>35.768999999999998</c:v>
                </c:pt>
                <c:pt idx="7">
                  <c:v>31.37</c:v>
                </c:pt>
                <c:pt idx="8">
                  <c:v>40.228000000000002</c:v>
                </c:pt>
                <c:pt idx="9">
                  <c:v>45.93</c:v>
                </c:pt>
                <c:pt idx="10">
                  <c:v>53.432000000000002</c:v>
                </c:pt>
                <c:pt idx="11">
                  <c:v>58.000999999999998</c:v>
                </c:pt>
                <c:pt idx="12">
                  <c:v>56.569000000000003</c:v>
                </c:pt>
                <c:pt idx="13">
                  <c:v>50.723999999999997</c:v>
                </c:pt>
                <c:pt idx="14">
                  <c:v>43.688000000000002</c:v>
                </c:pt>
                <c:pt idx="15">
                  <c:v>43.597000000000001</c:v>
                </c:pt>
                <c:pt idx="16">
                  <c:v>47.768999999999998</c:v>
                </c:pt>
                <c:pt idx="17">
                  <c:v>57.545999999999999</c:v>
                </c:pt>
                <c:pt idx="18">
                  <c:v>57.973999999999997</c:v>
                </c:pt>
                <c:pt idx="19">
                  <c:v>58.837000000000003</c:v>
                </c:pt>
                <c:pt idx="20">
                  <c:v>55.936999999999998</c:v>
                </c:pt>
                <c:pt idx="21">
                  <c:v>49.228999999999999</c:v>
                </c:pt>
                <c:pt idx="22">
                  <c:v>47.588999999999999</c:v>
                </c:pt>
                <c:pt idx="23">
                  <c:v>36.302</c:v>
                </c:pt>
                <c:pt idx="24">
                  <c:v>39</c:v>
                </c:pt>
                <c:pt idx="25">
                  <c:v>51</c:v>
                </c:pt>
                <c:pt idx="26">
                  <c:v>56</c:v>
                </c:pt>
                <c:pt idx="27">
                  <c:v>48</c:v>
                </c:pt>
                <c:pt idx="28">
                  <c:v>55.463000000000001</c:v>
                </c:pt>
                <c:pt idx="29">
                  <c:v>77</c:v>
                </c:pt>
                <c:pt idx="30">
                  <c:v>101.358</c:v>
                </c:pt>
                <c:pt idx="31">
                  <c:v>112.108</c:v>
                </c:pt>
                <c:pt idx="32">
                  <c:v>122.991</c:v>
                </c:pt>
                <c:pt idx="33">
                  <c:v>143.08199999999999</c:v>
                </c:pt>
                <c:pt idx="34">
                  <c:v>122.79599999999999</c:v>
                </c:pt>
                <c:pt idx="35">
                  <c:v>154.07399999999998</c:v>
                </c:pt>
                <c:pt idx="36">
                  <c:v>181.16899999999998</c:v>
                </c:pt>
                <c:pt idx="37">
                  <c:v>183.00200000000001</c:v>
                </c:pt>
                <c:pt idx="38">
                  <c:v>190.20999999999998</c:v>
                </c:pt>
                <c:pt idx="39">
                  <c:v>174.70099999999999</c:v>
                </c:pt>
                <c:pt idx="40">
                  <c:v>188.36199999999999</c:v>
                </c:pt>
                <c:pt idx="41">
                  <c:v>175.08699999999999</c:v>
                </c:pt>
                <c:pt idx="42">
                  <c:v>162.49200000000002</c:v>
                </c:pt>
                <c:pt idx="43">
                  <c:v>187.791</c:v>
                </c:pt>
                <c:pt idx="44">
                  <c:v>171.178</c:v>
                </c:pt>
                <c:pt idx="45">
                  <c:v>193.25899999999999</c:v>
                </c:pt>
                <c:pt idx="46">
                  <c:v>185.13</c:v>
                </c:pt>
                <c:pt idx="47">
                  <c:v>230.76710035740911</c:v>
                </c:pt>
                <c:pt idx="48">
                  <c:v>229.73</c:v>
                </c:pt>
                <c:pt idx="49">
                  <c:v>218.56311600000001</c:v>
                </c:pt>
                <c:pt idx="50">
                  <c:v>173.97419099999999</c:v>
                </c:pt>
                <c:pt idx="51">
                  <c:v>165.47567599999999</c:v>
                </c:pt>
                <c:pt idx="52">
                  <c:v>165.18295699999999</c:v>
                </c:pt>
                <c:pt idx="53">
                  <c:v>149.706005</c:v>
                </c:pt>
                <c:pt idx="54">
                  <c:v>153.50227000000001</c:v>
                </c:pt>
                <c:pt idx="55">
                  <c:v>165.50467800000001</c:v>
                </c:pt>
              </c:numCache>
            </c:numRef>
          </c:val>
          <c:extLst>
            <c:ext xmlns:c16="http://schemas.microsoft.com/office/drawing/2014/chart" uri="{C3380CC4-5D6E-409C-BE32-E72D297353CC}">
              <c16:uniqueId val="{00000000-7D18-4BA6-8670-14DB6B123C3D}"/>
            </c:ext>
          </c:extLst>
        </c:ser>
        <c:ser>
          <c:idx val="1"/>
          <c:order val="1"/>
          <c:tx>
            <c:strRef>
              <c:f>'Nickel - WA vs Australia'!$C$6</c:f>
              <c:strCache>
                <c:ptCount val="1"/>
                <c:pt idx="0">
                  <c:v>Rest of Australia (Kt)</c:v>
                </c:pt>
              </c:strCache>
            </c:strRef>
          </c:tx>
          <c:invertIfNegative val="0"/>
          <c:cat>
            <c:numRef>
              <c:f>'Nickel - WA vs Australia'!$A$7:$A$62</c:f>
              <c:numCache>
                <c:formatCode>General</c:formatCode>
                <c:ptCount val="5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numCache>
            </c:numRef>
          </c:cat>
          <c:val>
            <c:numRef>
              <c:f>'Nickel - WA vs Australia'!$C$7:$C$62</c:f>
              <c:numCache>
                <c:formatCode>#,##0.00</c:formatCode>
                <c:ptCount val="56"/>
                <c:pt idx="0">
                  <c:v>0</c:v>
                </c:pt>
                <c:pt idx="1">
                  <c:v>0</c:v>
                </c:pt>
                <c:pt idx="2">
                  <c:v>0</c:v>
                </c:pt>
                <c:pt idx="3">
                  <c:v>0</c:v>
                </c:pt>
                <c:pt idx="4">
                  <c:v>0</c:v>
                </c:pt>
                <c:pt idx="5">
                  <c:v>0</c:v>
                </c:pt>
                <c:pt idx="6">
                  <c:v>0</c:v>
                </c:pt>
                <c:pt idx="7">
                  <c:v>0</c:v>
                </c:pt>
                <c:pt idx="8">
                  <c:v>0</c:v>
                </c:pt>
                <c:pt idx="9">
                  <c:v>1.897</c:v>
                </c:pt>
                <c:pt idx="10">
                  <c:v>22.393000000000001</c:v>
                </c:pt>
                <c:pt idx="11">
                  <c:v>24.530999999999999</c:v>
                </c:pt>
                <c:pt idx="12">
                  <c:v>29.298999999999999</c:v>
                </c:pt>
                <c:pt idx="13">
                  <c:v>31.635000000000002</c:v>
                </c:pt>
                <c:pt idx="14">
                  <c:v>26.021000000000001</c:v>
                </c:pt>
                <c:pt idx="15">
                  <c:v>30.725999999999999</c:v>
                </c:pt>
                <c:pt idx="16">
                  <c:v>26.585999999999999</c:v>
                </c:pt>
                <c:pt idx="17">
                  <c:v>30.006</c:v>
                </c:pt>
                <c:pt idx="18">
                  <c:v>18.651</c:v>
                </c:pt>
                <c:pt idx="19">
                  <c:v>18.085999999999999</c:v>
                </c:pt>
                <c:pt idx="20">
                  <c:v>29.82</c:v>
                </c:pt>
                <c:pt idx="21">
                  <c:v>27.51</c:v>
                </c:pt>
                <c:pt idx="22">
                  <c:v>26.965</c:v>
                </c:pt>
                <c:pt idx="23">
                  <c:v>26.337</c:v>
                </c:pt>
                <c:pt idx="24">
                  <c:v>26</c:v>
                </c:pt>
                <c:pt idx="25">
                  <c:v>16</c:v>
                </c:pt>
                <c:pt idx="26">
                  <c:v>13</c:v>
                </c:pt>
                <c:pt idx="27">
                  <c:v>10</c:v>
                </c:pt>
                <c:pt idx="28">
                  <c:v>14.537000000000001</c:v>
                </c:pt>
                <c:pt idx="29">
                  <c:v>2</c:v>
                </c:pt>
                <c:pt idx="30">
                  <c:v>0.64200000000000002</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extLst>
            <c:ext xmlns:c16="http://schemas.microsoft.com/office/drawing/2014/chart" uri="{C3380CC4-5D6E-409C-BE32-E72D297353CC}">
              <c16:uniqueId val="{00000001-7D18-4BA6-8670-14DB6B123C3D}"/>
            </c:ext>
          </c:extLst>
        </c:ser>
        <c:dLbls>
          <c:showLegendKey val="0"/>
          <c:showVal val="0"/>
          <c:showCatName val="0"/>
          <c:showSerName val="0"/>
          <c:showPercent val="0"/>
          <c:showBubbleSize val="0"/>
        </c:dLbls>
        <c:gapWidth val="60"/>
        <c:overlap val="100"/>
        <c:axId val="131601536"/>
        <c:axId val="131603072"/>
      </c:barChart>
      <c:catAx>
        <c:axId val="13160153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1603072"/>
        <c:crosses val="autoZero"/>
        <c:auto val="1"/>
        <c:lblAlgn val="ctr"/>
        <c:lblOffset val="100"/>
        <c:tickLblSkip val="5"/>
        <c:noMultiLvlLbl val="1"/>
      </c:catAx>
      <c:valAx>
        <c:axId val="131603072"/>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31601536"/>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Western Australia vs Rest of Australia</a:t>
            </a:r>
          </a:p>
          <a:p>
            <a:pPr>
              <a:defRPr/>
            </a:pPr>
            <a:r>
              <a:rPr lang="en-AU" sz="1100"/>
              <a:t>Past 10 Years</a:t>
            </a:r>
          </a:p>
        </c:rich>
      </c:tx>
      <c:overlay val="0"/>
    </c:title>
    <c:autoTitleDeleted val="0"/>
    <c:plotArea>
      <c:layout/>
      <c:lineChart>
        <c:grouping val="standard"/>
        <c:varyColors val="0"/>
        <c:ser>
          <c:idx val="0"/>
          <c:order val="0"/>
          <c:tx>
            <c:strRef>
              <c:f>'Nickel - WA vs Australia'!$T$31</c:f>
              <c:strCache>
                <c:ptCount val="1"/>
                <c:pt idx="0">
                  <c:v>Western Australia (Kt)</c:v>
                </c:pt>
              </c:strCache>
            </c:strRef>
          </c:tx>
          <c:cat>
            <c:numRef>
              <c:f>'Nickel - WA vs Australia'!$S$32:$S$41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'Nickel - WA vs Australia'!$T$32:$T$41</c:f>
              <c:numCache>
                <c:formatCode>0.00</c:formatCode>
                <c:ptCount val="10"/>
                <c:pt idx="0">
                  <c:v>185.13</c:v>
                </c:pt>
                <c:pt idx="1">
                  <c:v>230.76710035740911</c:v>
                </c:pt>
                <c:pt idx="2">
                  <c:v>229.73</c:v>
                </c:pt>
                <c:pt idx="3">
                  <c:v>218.56311600000001</c:v>
                </c:pt>
                <c:pt idx="4">
                  <c:v>173.97419099999999</c:v>
                </c:pt>
                <c:pt idx="5">
                  <c:v>165.47567599999999</c:v>
                </c:pt>
                <c:pt idx="6">
                  <c:v>165.18295699999999</c:v>
                </c:pt>
                <c:pt idx="7">
                  <c:v>149.706005</c:v>
                </c:pt>
                <c:pt idx="8">
                  <c:v>153.50227000000001</c:v>
                </c:pt>
                <c:pt idx="9">
                  <c:v>165.50467800000001</c:v>
                </c:pt>
              </c:numCache>
            </c:numRef>
          </c:val>
          <c:smooth val="0"/>
          <c:extLst>
            <c:ext xmlns:c16="http://schemas.microsoft.com/office/drawing/2014/chart" uri="{C3380CC4-5D6E-409C-BE32-E72D297353CC}">
              <c16:uniqueId val="{00000000-6296-48AA-B69E-121F3714B3F2}"/>
            </c:ext>
          </c:extLst>
        </c:ser>
        <c:ser>
          <c:idx val="1"/>
          <c:order val="1"/>
          <c:tx>
            <c:strRef>
              <c:f>'Nickel - WA vs Australia'!$U$31</c:f>
              <c:strCache>
                <c:ptCount val="1"/>
                <c:pt idx="0">
                  <c:v>Rest of Australia (Kt)</c:v>
                </c:pt>
              </c:strCache>
            </c:strRef>
          </c:tx>
          <c:cat>
            <c:numRef>
              <c:f>'Nickel - WA vs Australia'!$S$32:$S$41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'Nickel - WA vs Australia'!$U$32:$U$41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6296-48AA-B69E-121F3714B3F2}"/>
            </c:ext>
          </c:extLst>
        </c:ser>
        <c:dLbls>
          <c:showLegendKey val="0"/>
          <c:showVal val="0"/>
          <c:showCatName val="0"/>
          <c:showSerName val="0"/>
          <c:showPercent val="0"/>
          <c:showBubbleSize val="0"/>
        </c:dLbls>
        <c:marker val="1"/>
        <c:smooth val="0"/>
        <c:axId val="131635840"/>
        <c:axId val="131634304"/>
      </c:lineChart>
      <c:valAx>
        <c:axId val="131634304"/>
        <c:scaling>
          <c:orientation val="minMax"/>
        </c:scaling>
        <c:delete val="0"/>
        <c:axPos val="l"/>
        <c:majorGridlines/>
        <c:title>
          <c:tx>
            <c:rich>
              <a:bodyPr/>
              <a:lstStyle/>
              <a:p>
                <a:pPr>
                  <a:defRPr/>
                </a:pPr>
                <a:r>
                  <a:rPr lang="en-AU"/>
                  <a:t>Thousand tonnes</a:t>
                </a:r>
              </a:p>
            </c:rich>
          </c:tx>
          <c:layout>
            <c:manualLayout>
              <c:xMode val="edge"/>
              <c:yMode val="edge"/>
              <c:x val="1.9650339993431836E-2"/>
              <c:y val="0.45535287089158305"/>
            </c:manualLayout>
          </c:layout>
          <c:overlay val="0"/>
        </c:title>
        <c:numFmt formatCode="#,##0" sourceLinked="0"/>
        <c:majorTickMark val="out"/>
        <c:minorTickMark val="none"/>
        <c:tickLblPos val="nextTo"/>
        <c:crossAx val="131635840"/>
        <c:crosses val="autoZero"/>
        <c:crossBetween val="between"/>
      </c:valAx>
      <c:catAx>
        <c:axId val="131635840"/>
        <c:scaling>
          <c:orientation val="minMax"/>
        </c:scaling>
        <c:delete val="0"/>
        <c:axPos val="b"/>
        <c:title>
          <c:tx>
            <c:rich>
              <a:bodyPr/>
              <a:lstStyle/>
              <a:p>
                <a:pPr>
                  <a:defRPr sz="900"/>
                </a:pPr>
                <a:r>
                  <a:rPr lang="en-AU" sz="900"/>
                  <a:t>Source:  DM</a:t>
                </a:r>
                <a:r>
                  <a:rPr lang="en-AU" sz="900" b="1" i="0" u="none" strike="noStrike" baseline="0">
                    <a:effectLst/>
                  </a:rPr>
                  <a:t>IRS</a:t>
                </a:r>
                <a:r>
                  <a:rPr lang="en-AU" sz="900"/>
                  <a:t> and OoCE</a:t>
                </a:r>
              </a:p>
            </c:rich>
          </c:tx>
          <c:layout>
            <c:manualLayout>
              <c:xMode val="edge"/>
              <c:yMode val="edge"/>
              <c:x val="1.0165956404869723E-2"/>
              <c:y val="0.94647949122074349"/>
            </c:manualLayout>
          </c:layout>
          <c:overlay val="0"/>
        </c:title>
        <c:numFmt formatCode="General" sourceLinked="1"/>
        <c:majorTickMark val="out"/>
        <c:minorTickMark val="none"/>
        <c:tickLblPos val="nextTo"/>
        <c:txPr>
          <a:bodyPr rot="-2700000"/>
          <a:lstStyle/>
          <a:p>
            <a:pPr>
              <a:defRPr/>
            </a:pPr>
            <a:endParaRPr lang="en-US"/>
          </a:p>
        </c:txPr>
        <c:crossAx val="131634304"/>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'Other Commodities - Q&amp;V'!$Q$7:$S$7</c:f>
          <c:strCache>
            <c:ptCount val="3"/>
            <c:pt idx="0">
              <c:v>Silver Quantity And Value By Quarter</c:v>
            </c:pt>
          </c:strCache>
        </c:strRef>
      </c:tx>
      <c:layout>
        <c:manualLayout>
          <c:xMode val="edge"/>
          <c:yMode val="edge"/>
          <c:x val="0.19665031573470065"/>
          <c:y val="2.163815168806791E-2"/>
        </c:manualLayout>
      </c:layout>
      <c:overlay val="0"/>
    </c:title>
    <c:autoTitleDeleted val="0"/>
    <c:plotArea>
      <c:layout/>
      <c:barChart>
        <c:barDir val="col"/>
        <c:grouping val="clustered"/>
        <c:varyColors val="0"/>
        <c:ser>
          <c:idx val="0"/>
          <c:order val="0"/>
          <c:tx>
            <c:strRef>
              <c:f>'Other Commodities - Q&amp;V'!$R$9</c:f>
              <c:strCache>
                <c:ptCount val="1"/>
                <c:pt idx="0">
                  <c:v>Quantity (Kt)</c:v>
                </c:pt>
              </c:strCache>
            </c:strRef>
          </c:tx>
          <c:invertIfNegative val="0"/>
          <c:cat>
            <c:numRef>
              <c:f>'Other Commodities - Q&amp;V'!$Q$10:$Q$19</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'Other Commodities - Q&amp;V'!$R$10:$R$19</c:f>
              <c:numCache>
                <c:formatCode>0.00</c:formatCode>
                <c:ptCount val="10"/>
                <c:pt idx="0">
                  <c:v>32.162743517248458</c:v>
                </c:pt>
                <c:pt idx="1">
                  <c:v>22.545398607184293</c:v>
                </c:pt>
                <c:pt idx="2">
                  <c:v>41.693862466447094</c:v>
                </c:pt>
                <c:pt idx="3">
                  <c:v>35.643333706575596</c:v>
                </c:pt>
                <c:pt idx="4">
                  <c:v>28.836996830551126</c:v>
                </c:pt>
                <c:pt idx="5">
                  <c:v>25.49096209413791</c:v>
                </c:pt>
                <c:pt idx="6">
                  <c:v>41.338007850528918</c:v>
                </c:pt>
                <c:pt idx="7">
                  <c:v>29.438288310985445</c:v>
                </c:pt>
                <c:pt idx="8">
                  <c:v>32.688753028705435</c:v>
                </c:pt>
                <c:pt idx="9">
                  <c:v>36.349259798386974</c:v>
                </c:pt>
              </c:numCache>
            </c:numRef>
          </c:val>
          <c:extLst>
            <c:ext xmlns:c16="http://schemas.microsoft.com/office/drawing/2014/chart" uri="{C3380CC4-5D6E-409C-BE32-E72D297353CC}">
              <c16:uniqueId val="{00000000-0AF2-4653-8D79-B3E0777D4D18}"/>
            </c:ext>
          </c:extLst>
        </c:ser>
        <c:dLbls>
          <c:showLegendKey val="0"/>
          <c:showVal val="0"/>
          <c:showCatName val="0"/>
          <c:showSerName val="0"/>
          <c:showPercent val="0"/>
          <c:showBubbleSize val="0"/>
        </c:dLbls>
        <c:gapWidth val="40"/>
        <c:axId val="134782976"/>
        <c:axId val="134772608"/>
      </c:barChart>
      <c:lineChart>
        <c:grouping val="standard"/>
        <c:varyColors val="0"/>
        <c:ser>
          <c:idx val="1"/>
          <c:order val="1"/>
          <c:tx>
            <c:strRef>
              <c:f>'Other Commodities - Q&amp;V'!$S$9</c:f>
              <c:strCache>
                <c:ptCount val="1"/>
                <c:pt idx="0">
                  <c:v>Value ($ Million)</c:v>
                </c:pt>
              </c:strCache>
            </c:strRef>
          </c:tx>
          <c:marker>
            <c:symbol val="none"/>
          </c:marker>
          <c:cat>
            <c:numRef>
              <c:f>'Alumina - Q&amp;V'!$S$11:$S$20</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'Other Commodities - Q&amp;V'!$S$10:$S$19</c:f>
              <c:numCache>
                <c:formatCode>0.00</c:formatCode>
                <c:ptCount val="10"/>
                <c:pt idx="0">
                  <c:v>21.278261000000001</c:v>
                </c:pt>
                <c:pt idx="1">
                  <c:v>15.402407</c:v>
                </c:pt>
                <c:pt idx="2">
                  <c:v>31.539327</c:v>
                </c:pt>
                <c:pt idx="3">
                  <c:v>27.966259000000001</c:v>
                </c:pt>
                <c:pt idx="4">
                  <c:v>25.040832000000002</c:v>
                </c:pt>
                <c:pt idx="5">
                  <c:v>25.174081999999999</c:v>
                </c:pt>
                <c:pt idx="6">
                  <c:v>47.362208000000003</c:v>
                </c:pt>
                <c:pt idx="7">
                  <c:v>32.737113890000003</c:v>
                </c:pt>
                <c:pt idx="8">
                  <c:v>35.051293000000001</c:v>
                </c:pt>
                <c:pt idx="9">
                  <c:v>38.035324769599995</c:v>
                </c:pt>
              </c:numCache>
            </c:numRef>
          </c:val>
          <c:smooth val="0"/>
          <c:extLst>
            <c:ext xmlns:c16="http://schemas.microsoft.com/office/drawing/2014/chart" uri="{C3380CC4-5D6E-409C-BE32-E72D297353CC}">
              <c16:uniqueId val="{00000001-0AF2-4653-8D79-B3E0777D4D18}"/>
            </c:ext>
          </c:extLst>
        </c:ser>
        <c:dLbls>
          <c:showLegendKey val="0"/>
          <c:showVal val="0"/>
          <c:showCatName val="0"/>
          <c:showSerName val="0"/>
          <c:showPercent val="0"/>
          <c:showBubbleSize val="0"/>
        </c:dLbls>
        <c:marker val="1"/>
        <c:smooth val="0"/>
        <c:axId val="134768512"/>
        <c:axId val="134770688"/>
      </c:lineChart>
      <c:catAx>
        <c:axId val="134768512"/>
        <c:scaling>
          <c:orientation val="minMax"/>
        </c:scaling>
        <c:delete val="0"/>
        <c:axPos val="b"/>
        <c:title>
          <c:tx>
            <c:rich>
              <a:bodyPr/>
              <a:lstStyle/>
              <a:p>
                <a:pPr>
                  <a:defRPr sz="900"/>
                </a:pPr>
                <a:r>
                  <a:rPr lang="en-AU" sz="900"/>
                  <a:t>Source: DMIRS</a:t>
                </a:r>
              </a:p>
            </c:rich>
          </c:tx>
          <c:layout>
            <c:manualLayout>
              <c:xMode val="edge"/>
              <c:yMode val="edge"/>
              <c:x val="0"/>
              <c:y val="0.94739981541654861"/>
            </c:manualLayout>
          </c:layout>
          <c:overlay val="0"/>
        </c:title>
        <c:numFmt formatCode="mmm\-yy" sourceLinked="1"/>
        <c:majorTickMark val="out"/>
        <c:minorTickMark val="none"/>
        <c:tickLblPos val="nextTo"/>
        <c:txPr>
          <a:bodyPr rot="-2700000"/>
          <a:lstStyle/>
          <a:p>
            <a:pPr>
              <a:defRPr/>
            </a:pPr>
            <a:endParaRPr lang="en-US"/>
          </a:p>
        </c:txPr>
        <c:crossAx val="134770688"/>
        <c:crosses val="autoZero"/>
        <c:auto val="0"/>
        <c:lblAlgn val="ctr"/>
        <c:lblOffset val="100"/>
        <c:noMultiLvlLbl val="0"/>
      </c:catAx>
      <c:valAx>
        <c:axId val="134770688"/>
        <c:scaling>
          <c:orientation val="minMax"/>
          <c:min val="0"/>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768512"/>
        <c:crosses val="autoZero"/>
        <c:crossBetween val="between"/>
      </c:valAx>
      <c:valAx>
        <c:axId val="134772608"/>
        <c:scaling>
          <c:orientation val="minMax"/>
          <c:min val="0"/>
        </c:scaling>
        <c:delete val="0"/>
        <c:axPos val="r"/>
        <c:title>
          <c:tx>
            <c:rich>
              <a:bodyPr/>
              <a:lstStyle/>
              <a:p>
                <a:pPr>
                  <a:defRPr/>
                </a:pPr>
                <a:r>
                  <a:rPr lang="en-AU"/>
                  <a:t>Quantity</a:t>
                </a:r>
              </a:p>
            </c:rich>
          </c:tx>
          <c:overlay val="0"/>
        </c:title>
        <c:numFmt formatCode="0.0" sourceLinked="0"/>
        <c:majorTickMark val="out"/>
        <c:minorTickMark val="none"/>
        <c:tickLblPos val="nextTo"/>
        <c:crossAx val="134782976"/>
        <c:crosses val="max"/>
        <c:crossBetween val="between"/>
      </c:valAx>
      <c:catAx>
        <c:axId val="134782976"/>
        <c:scaling>
          <c:orientation val="minMax"/>
        </c:scaling>
        <c:delete val="1"/>
        <c:axPos val="b"/>
        <c:numFmt formatCode="mmm\-yy" sourceLinked="1"/>
        <c:majorTickMark val="out"/>
        <c:minorTickMark val="none"/>
        <c:tickLblPos val="nextTo"/>
        <c:crossAx val="134772608"/>
        <c:crosses val="autoZero"/>
        <c:auto val="0"/>
        <c:lblAlgn val="ctr"/>
        <c:lblOffset val="100"/>
        <c:noMultiLvlLbl val="1"/>
      </c:catAx>
    </c:plotArea>
    <c:legend>
      <c:legendPos val="t"/>
      <c:overlay val="0"/>
    </c:legend>
    <c:plotVisOnly val="1"/>
    <c:dispBlanksAs val="gap"/>
    <c:showDLblsOverMax val="0"/>
  </c:chart>
  <c:spPr>
    <a:ln>
      <a:solidFill>
        <a:srgbClr val="868686"/>
      </a:solid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'Other Commodities - Q&amp;V'!$Q$34:$S$34</c:f>
          <c:strCache>
            <c:ptCount val="3"/>
            <c:pt idx="0">
              <c:v>Silver Quantity and Value by Financial Year</c:v>
            </c:pt>
          </c:strCache>
        </c:strRef>
      </c:tx>
      <c:overlay val="0"/>
    </c:title>
    <c:autoTitleDeleted val="0"/>
    <c:plotArea>
      <c:layout/>
      <c:barChart>
        <c:barDir val="col"/>
        <c:grouping val="clustered"/>
        <c:varyColors val="0"/>
        <c:ser>
          <c:idx val="0"/>
          <c:order val="0"/>
          <c:tx>
            <c:strRef>
              <c:f>'Other Commodities - Q&amp;V'!$R$35</c:f>
              <c:strCache>
                <c:ptCount val="1"/>
                <c:pt idx="0">
                  <c:v>Quantity (Kt)</c:v>
                </c:pt>
              </c:strCache>
            </c:strRef>
          </c:tx>
          <c:invertIfNegative val="0"/>
          <c:cat>
            <c:strRef>
              <c:f>'Other Commodities - Q&amp;V'!$Q$36:$Q$57</c:f>
              <c:strCache>
                <c:ptCount val="22"/>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strCache>
            </c:strRef>
          </c:cat>
          <c:val>
            <c:numRef>
              <c:f>'Other Commodities - Q&amp;V'!$R$36:$R$57</c:f>
              <c:numCache>
                <c:formatCode>#,##0.00</c:formatCode>
                <c:ptCount val="22"/>
                <c:pt idx="0">
                  <c:v>110.11833000000001</c:v>
                </c:pt>
                <c:pt idx="1">
                  <c:v>154.25360000000001</c:v>
                </c:pt>
                <c:pt idx="2">
                  <c:v>102.52716618844261</c:v>
                </c:pt>
                <c:pt idx="3">
                  <c:v>82.557146668549137</c:v>
                </c:pt>
                <c:pt idx="4">
                  <c:v>98.06</c:v>
                </c:pt>
                <c:pt idx="5">
                  <c:v>142.4</c:v>
                </c:pt>
                <c:pt idx="6">
                  <c:v>94.5</c:v>
                </c:pt>
                <c:pt idx="7">
                  <c:v>120.26</c:v>
                </c:pt>
                <c:pt idx="8">
                  <c:v>95.37</c:v>
                </c:pt>
                <c:pt idx="9">
                  <c:v>137.07</c:v>
                </c:pt>
                <c:pt idx="10">
                  <c:v>100.03</c:v>
                </c:pt>
                <c:pt idx="11">
                  <c:v>83.55</c:v>
                </c:pt>
                <c:pt idx="12">
                  <c:v>120.08</c:v>
                </c:pt>
                <c:pt idx="13">
                  <c:v>123.74</c:v>
                </c:pt>
                <c:pt idx="14">
                  <c:v>137.17937646769744</c:v>
                </c:pt>
                <c:pt idx="15">
                  <c:v>150.57800393148517</c:v>
                </c:pt>
                <c:pt idx="16">
                  <c:v>155.29208045236965</c:v>
                </c:pt>
                <c:pt idx="17">
                  <c:v>142.86769398902666</c:v>
                </c:pt>
                <c:pt idx="18">
                  <c:v>162.18260277381205</c:v>
                </c:pt>
                <c:pt idx="19">
                  <c:v>129.40608686591582</c:v>
                </c:pt>
                <c:pt idx="20">
                  <c:v>131.66515509771173</c:v>
                </c:pt>
                <c:pt idx="21">
                  <c:v>139.81430898860677</c:v>
                </c:pt>
              </c:numCache>
            </c:numRef>
          </c:val>
          <c:extLst>
            <c:ext xmlns:c16="http://schemas.microsoft.com/office/drawing/2014/chart" uri="{C3380CC4-5D6E-409C-BE32-E72D297353CC}">
              <c16:uniqueId val="{00000000-1E44-43CE-92E6-28F326BF513A}"/>
            </c:ext>
          </c:extLst>
        </c:ser>
        <c:dLbls>
          <c:showLegendKey val="0"/>
          <c:showVal val="0"/>
          <c:showCatName val="0"/>
          <c:showSerName val="0"/>
          <c:showPercent val="0"/>
          <c:showBubbleSize val="0"/>
        </c:dLbls>
        <c:gapWidth val="40"/>
        <c:axId val="134824320"/>
        <c:axId val="134809856"/>
      </c:barChart>
      <c:lineChart>
        <c:grouping val="standard"/>
        <c:varyColors val="0"/>
        <c:ser>
          <c:idx val="1"/>
          <c:order val="1"/>
          <c:tx>
            <c:strRef>
              <c:f>'Other Commodities - Q&amp;V'!$S$35</c:f>
              <c:strCache>
                <c:ptCount val="1"/>
                <c:pt idx="0">
                  <c:v>Value ($ Million)</c:v>
                </c:pt>
              </c:strCache>
            </c:strRef>
          </c:tx>
          <c:marker>
            <c:symbol val="none"/>
          </c:marker>
          <c:cat>
            <c:strRef>
              <c:f>'Other Commodities - Q&amp;V'!$Q$36:$Q$57</c:f>
              <c:strCache>
                <c:ptCount val="22"/>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strCache>
            </c:strRef>
          </c:cat>
          <c:val>
            <c:numRef>
              <c:f>'Other Commodities - Q&amp;V'!$S$36:$S$57</c:f>
              <c:numCache>
                <c:formatCode>#,##0.00</c:formatCode>
                <c:ptCount val="22"/>
                <c:pt idx="0">
                  <c:v>24.985175000000002</c:v>
                </c:pt>
                <c:pt idx="1">
                  <c:v>39.921690999999996</c:v>
                </c:pt>
                <c:pt idx="2">
                  <c:v>24.562825</c:v>
                </c:pt>
                <c:pt idx="3">
                  <c:v>20.238898756233862</c:v>
                </c:pt>
                <c:pt idx="4">
                  <c:v>13.101927679999999</c:v>
                </c:pt>
                <c:pt idx="5">
                  <c:v>40.037387249999995</c:v>
                </c:pt>
                <c:pt idx="6">
                  <c:v>39.552284460000003</c:v>
                </c:pt>
                <c:pt idx="7">
                  <c:v>61.768653099999995</c:v>
                </c:pt>
                <c:pt idx="8">
                  <c:v>56.224613550000008</c:v>
                </c:pt>
                <c:pt idx="9">
                  <c:v>77.399267289999997</c:v>
                </c:pt>
                <c:pt idx="10">
                  <c:v>63.845067659999998</c:v>
                </c:pt>
                <c:pt idx="11">
                  <c:v>76.065087370000001</c:v>
                </c:pt>
                <c:pt idx="12">
                  <c:v>115.70489588999999</c:v>
                </c:pt>
                <c:pt idx="13">
                  <c:v>100.56067936000001</c:v>
                </c:pt>
                <c:pt idx="14">
                  <c:v>93.414212050000003</c:v>
                </c:pt>
                <c:pt idx="15">
                  <c:v>95.972009</c:v>
                </c:pt>
                <c:pt idx="16">
                  <c:v>104.786546</c:v>
                </c:pt>
                <c:pt idx="17">
                  <c:v>98.465480000000014</c:v>
                </c:pt>
                <c:pt idx="18">
                  <c:v>105.307744</c:v>
                </c:pt>
                <c:pt idx="19">
                  <c:v>84.831662999999992</c:v>
                </c:pt>
                <c:pt idx="20">
                  <c:v>109.7205</c:v>
                </c:pt>
                <c:pt idx="21">
                  <c:v>153.1859396596</c:v>
                </c:pt>
              </c:numCache>
            </c:numRef>
          </c:val>
          <c:smooth val="0"/>
          <c:extLst>
            <c:ext xmlns:c16="http://schemas.microsoft.com/office/drawing/2014/chart" uri="{C3380CC4-5D6E-409C-BE32-E72D297353CC}">
              <c16:uniqueId val="{00000001-1E44-43CE-92E6-28F326BF513A}"/>
            </c:ext>
          </c:extLst>
        </c:ser>
        <c:dLbls>
          <c:showLegendKey val="0"/>
          <c:showVal val="0"/>
          <c:showCatName val="0"/>
          <c:showSerName val="0"/>
          <c:showPercent val="0"/>
          <c:showBubbleSize val="0"/>
        </c:dLbls>
        <c:marker val="1"/>
        <c:smooth val="0"/>
        <c:axId val="134805760"/>
        <c:axId val="134807936"/>
      </c:lineChart>
      <c:dateAx>
        <c:axId val="134805760"/>
        <c:scaling>
          <c:orientation val="minMax"/>
        </c:scaling>
        <c:delete val="0"/>
        <c:axPos val="b"/>
        <c:title>
          <c:tx>
            <c:rich>
              <a:bodyPr/>
              <a:lstStyle/>
              <a:p>
                <a:pPr>
                  <a:defRPr sz="900"/>
                </a:pPr>
                <a:r>
                  <a:rPr lang="en-AU" sz="900"/>
                  <a:t>Source: DMIRS</a:t>
                </a:r>
              </a:p>
            </c:rich>
          </c:tx>
          <c:layout>
            <c:manualLayout>
              <c:xMode val="edge"/>
              <c:yMode val="edge"/>
              <c:x val="5.4438529483551348E-3"/>
              <c:y val="0.93794302995826906"/>
            </c:manualLayout>
          </c:layout>
          <c:overlay val="0"/>
        </c:title>
        <c:numFmt formatCode="@" sourceLinked="0"/>
        <c:majorTickMark val="out"/>
        <c:minorTickMark val="none"/>
        <c:tickLblPos val="nextTo"/>
        <c:txPr>
          <a:bodyPr rot="-2700000"/>
          <a:lstStyle/>
          <a:p>
            <a:pPr>
              <a:defRPr/>
            </a:pPr>
            <a:endParaRPr lang="en-US"/>
          </a:p>
        </c:txPr>
        <c:crossAx val="134807936"/>
        <c:crosses val="autoZero"/>
        <c:auto val="0"/>
        <c:lblOffset val="100"/>
        <c:baseTimeUnit val="days"/>
        <c:majorUnit val="1"/>
        <c:majorTimeUnit val="days"/>
      </c:dateAx>
      <c:valAx>
        <c:axId val="134807936"/>
        <c:scaling>
          <c:orientation val="minMax"/>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805760"/>
        <c:crosses val="autoZero"/>
        <c:crossBetween val="between"/>
      </c:valAx>
      <c:valAx>
        <c:axId val="134809856"/>
        <c:scaling>
          <c:orientation val="minMax"/>
        </c:scaling>
        <c:delete val="0"/>
        <c:axPos val="r"/>
        <c:title>
          <c:tx>
            <c:rich>
              <a:bodyPr/>
              <a:lstStyle/>
              <a:p>
                <a:pPr>
                  <a:defRPr/>
                </a:pPr>
                <a:r>
                  <a:rPr lang="en-AU"/>
                  <a:t>Quantity</a:t>
                </a:r>
              </a:p>
            </c:rich>
          </c:tx>
          <c:overlay val="0"/>
        </c:title>
        <c:numFmt formatCode="0" sourceLinked="0"/>
        <c:majorTickMark val="out"/>
        <c:minorTickMark val="none"/>
        <c:tickLblPos val="nextTo"/>
        <c:crossAx val="134824320"/>
        <c:crosses val="max"/>
        <c:crossBetween val="between"/>
      </c:valAx>
      <c:catAx>
        <c:axId val="134824320"/>
        <c:scaling>
          <c:orientation val="minMax"/>
        </c:scaling>
        <c:delete val="1"/>
        <c:axPos val="b"/>
        <c:numFmt formatCode="General" sourceLinked="1"/>
        <c:majorTickMark val="out"/>
        <c:minorTickMark val="none"/>
        <c:tickLblPos val="nextTo"/>
        <c:crossAx val="134809856"/>
        <c:crosses val="autoZero"/>
        <c:auto val="0"/>
        <c:lblAlgn val="ctr"/>
        <c:lblOffset val="100"/>
        <c:noMultiLvlLbl val="0"/>
      </c:catAx>
    </c:plotArea>
    <c:legend>
      <c:legendPos val="t"/>
      <c:overlay val="0"/>
    </c:legend>
    <c:plotVisOnly val="1"/>
    <c:dispBlanksAs val="gap"/>
    <c:showDLblsOverMax val="0"/>
  </c:chart>
  <c:spPr>
    <a:ln>
      <a:solidFill>
        <a:srgbClr val="868686"/>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800" b="1"/>
              <a:t>Alumina</a:t>
            </a:r>
          </a:p>
          <a:p>
            <a:pPr>
              <a:defRPr/>
            </a:pPr>
            <a:r>
              <a:rPr lang="en-US" sz="1100" b="1"/>
              <a:t>Historic Average Annual Price</a:t>
            </a:r>
            <a:endParaRPr lang="en-AU"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475491915512394"/>
          <c:y val="0.18747576552930884"/>
          <c:w val="0.83066061413605297"/>
          <c:h val="0.62389613298337709"/>
        </c:manualLayout>
      </c:layout>
      <c:lineChart>
        <c:grouping val="standard"/>
        <c:varyColors val="0"/>
        <c:ser>
          <c:idx val="0"/>
          <c:order val="0"/>
          <c:spPr>
            <a:ln w="28575" cap="rnd">
              <a:solidFill>
                <a:schemeClr val="accent3"/>
              </a:solidFill>
              <a:round/>
            </a:ln>
            <a:effectLst/>
          </c:spPr>
          <c:marker>
            <c:symbol val="none"/>
          </c:marker>
          <c:cat>
            <c:strRef>
              <c:f>'Alumina - Prices'!$F$8:$F$42</c:f>
              <c:strCache>
                <c:ptCount val="35"/>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pt idx="34">
                  <c:v>2020-21</c:v>
                </c:pt>
              </c:strCache>
            </c:strRef>
          </c:cat>
          <c:val>
            <c:numRef>
              <c:f>'Alumina - Prices'!$G$8:$G$42</c:f>
              <c:numCache>
                <c:formatCode>#,##0.00</c:formatCode>
                <c:ptCount val="35"/>
                <c:pt idx="0">
                  <c:v>190.39912028055323</c:v>
                </c:pt>
                <c:pt idx="1">
                  <c:v>199.42451208219322</c:v>
                </c:pt>
                <c:pt idx="2">
                  <c:v>268.61833333333334</c:v>
                </c:pt>
                <c:pt idx="3">
                  <c:v>329.86166666666668</c:v>
                </c:pt>
                <c:pt idx="4">
                  <c:v>307.38749999999999</c:v>
                </c:pt>
                <c:pt idx="5">
                  <c:v>242.09</c:v>
                </c:pt>
                <c:pt idx="6">
                  <c:v>242.42166666666665</c:v>
                </c:pt>
                <c:pt idx="7">
                  <c:v>225.2558333333333</c:v>
                </c:pt>
                <c:pt idx="8">
                  <c:v>216.24</c:v>
                </c:pt>
                <c:pt idx="9">
                  <c:v>247.58833333333334</c:v>
                </c:pt>
                <c:pt idx="10">
                  <c:v>236.29166666666666</c:v>
                </c:pt>
                <c:pt idx="11">
                  <c:v>275.25154233905607</c:v>
                </c:pt>
                <c:pt idx="12">
                  <c:v>265.33234548247867</c:v>
                </c:pt>
                <c:pt idx="13">
                  <c:v>300.04666666666668</c:v>
                </c:pt>
                <c:pt idx="14">
                  <c:v>357.12916666666661</c:v>
                </c:pt>
                <c:pt idx="15">
                  <c:v>314.74083333333334</c:v>
                </c:pt>
                <c:pt idx="16">
                  <c:v>280.05083333333334</c:v>
                </c:pt>
                <c:pt idx="17">
                  <c:v>278.39132656708955</c:v>
                </c:pt>
                <c:pt idx="18">
                  <c:v>310.72246656655381</c:v>
                </c:pt>
                <c:pt idx="19">
                  <c:v>364.84053547675597</c:v>
                </c:pt>
                <c:pt idx="20">
                  <c:v>404.26768488452268</c:v>
                </c:pt>
                <c:pt idx="21">
                  <c:v>367.91132611812577</c:v>
                </c:pt>
                <c:pt idx="22">
                  <c:v>368.6564883912045</c:v>
                </c:pt>
                <c:pt idx="23">
                  <c:v>301.05089307625826</c:v>
                </c:pt>
                <c:pt idx="24">
                  <c:v>326.01683719070633</c:v>
                </c:pt>
                <c:pt idx="25">
                  <c:v>314.07454261498447</c:v>
                </c:pt>
                <c:pt idx="26">
                  <c:v>284.92941229619743</c:v>
                </c:pt>
                <c:pt idx="27">
                  <c:v>310.49898273526401</c:v>
                </c:pt>
                <c:pt idx="28">
                  <c:v>366.15868018102066</c:v>
                </c:pt>
                <c:pt idx="29">
                  <c:v>346.11136046203586</c:v>
                </c:pt>
                <c:pt idx="30">
                  <c:v>367.87354599374476</c:v>
                </c:pt>
                <c:pt idx="31">
                  <c:v>489.1594848707723</c:v>
                </c:pt>
                <c:pt idx="32">
                  <c:v>591.47358499040206</c:v>
                </c:pt>
                <c:pt idx="33">
                  <c:v>419.20009927631628</c:v>
                </c:pt>
                <c:pt idx="34">
                  <c:v>377.844036966266</c:v>
                </c:pt>
              </c:numCache>
            </c:numRef>
          </c:val>
          <c:smooth val="0"/>
          <c:extLst>
            <c:ext xmlns:c16="http://schemas.microsoft.com/office/drawing/2014/chart" uri="{C3380CC4-5D6E-409C-BE32-E72D297353CC}">
              <c16:uniqueId val="{00000000-8270-4985-AAB8-0379B8D3D755}"/>
            </c:ext>
          </c:extLst>
        </c:ser>
        <c:dLbls>
          <c:showLegendKey val="0"/>
          <c:showVal val="0"/>
          <c:showCatName val="0"/>
          <c:showSerName val="0"/>
          <c:showPercent val="0"/>
          <c:showBubbleSize val="0"/>
        </c:dLbls>
        <c:smooth val="0"/>
        <c:axId val="117368320"/>
        <c:axId val="117369856"/>
      </c:lineChart>
      <c:catAx>
        <c:axId val="117368320"/>
        <c:scaling>
          <c:orientation val="minMax"/>
        </c:scaling>
        <c:delete val="0"/>
        <c:axPos val="b"/>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9856"/>
        <c:crosses val="autoZero"/>
        <c:auto val="0"/>
        <c:lblAlgn val="ctr"/>
        <c:lblOffset val="100"/>
        <c:tickLblSkip val="1"/>
        <c:noMultiLvlLbl val="0"/>
      </c:catAx>
      <c:valAx>
        <c:axId val="117369856"/>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A$</a:t>
                </a:r>
                <a:r>
                  <a:rPr lang="en-AU" b="1" baseline="0"/>
                  <a:t> per </a:t>
                </a:r>
                <a:r>
                  <a:rPr lang="en-AU" b="1"/>
                  <a:t>tonne</a:t>
                </a:r>
              </a:p>
            </c:rich>
          </c:tx>
          <c:layout>
            <c:manualLayout>
              <c:xMode val="edge"/>
              <c:yMode val="edge"/>
              <c:x val="3.1993747575923263E-2"/>
              <c:y val="0.4055127909011373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832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Q&amp;V1'!$U$10</c:f>
              <c:strCache>
                <c:ptCount val="1"/>
                <c:pt idx="0">
                  <c:v>Quantity (GL)</c:v>
                </c:pt>
              </c:strCache>
            </c:strRef>
          </c:tx>
          <c:invertIfNegative val="0"/>
          <c:cat>
            <c:numRef>
              <c:f>'Petroleum - Q&amp;V1'!$T$11:$T$20</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'Petroleum - Q&amp;V1'!$U$11:$U$20</c:f>
              <c:numCache>
                <c:formatCode>0.00</c:formatCode>
                <c:ptCount val="10"/>
                <c:pt idx="0">
                  <c:v>3.5495012977590017</c:v>
                </c:pt>
                <c:pt idx="1">
                  <c:v>4.21977745917461</c:v>
                </c:pt>
                <c:pt idx="2">
                  <c:v>4.6273817190707014</c:v>
                </c:pt>
                <c:pt idx="3">
                  <c:v>4.6376158204368814</c:v>
                </c:pt>
                <c:pt idx="4">
                  <c:v>4.117021648718695</c:v>
                </c:pt>
                <c:pt idx="5">
                  <c:v>3.9649807459120341</c:v>
                </c:pt>
                <c:pt idx="6">
                  <c:v>3.8385848910210427</c:v>
                </c:pt>
                <c:pt idx="7">
                  <c:v>4.0524136150933376</c:v>
                </c:pt>
                <c:pt idx="8">
                  <c:v>3.9958941450484979</c:v>
                </c:pt>
                <c:pt idx="9">
                  <c:v>3.5910329829558894</c:v>
                </c:pt>
              </c:numCache>
            </c:numRef>
          </c:val>
          <c:extLst>
            <c:ext xmlns:c16="http://schemas.microsoft.com/office/drawing/2014/chart" uri="{C3380CC4-5D6E-409C-BE32-E72D297353CC}">
              <c16:uniqueId val="{00000000-52CB-4EA8-A59D-3D7CD84EA8B8}"/>
            </c:ext>
          </c:extLst>
        </c:ser>
        <c:dLbls>
          <c:showLegendKey val="0"/>
          <c:showVal val="0"/>
          <c:showCatName val="0"/>
          <c:showSerName val="0"/>
          <c:showPercent val="0"/>
          <c:showBubbleSize val="0"/>
        </c:dLbls>
        <c:gapWidth val="40"/>
        <c:axId val="132794240"/>
        <c:axId val="132792320"/>
      </c:barChart>
      <c:lineChart>
        <c:grouping val="standard"/>
        <c:varyColors val="0"/>
        <c:ser>
          <c:idx val="1"/>
          <c:order val="1"/>
          <c:tx>
            <c:strRef>
              <c:f>'Petroleum - Q&amp;V1'!$V$10</c:f>
              <c:strCache>
                <c:ptCount val="1"/>
                <c:pt idx="0">
                  <c:v>Value ($ Million)</c:v>
                </c:pt>
              </c:strCache>
            </c:strRef>
          </c:tx>
          <c:marker>
            <c:symbol val="none"/>
          </c:marker>
          <c:cat>
            <c:numRef>
              <c:f>'Alumina - Q&amp;V'!$S$11:$S$20</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'Petroleum - Q&amp;V1'!$V$11:$V$20</c:f>
              <c:numCache>
                <c:formatCode>#,##0.00</c:formatCode>
                <c:ptCount val="10"/>
                <c:pt idx="0">
                  <c:v>1828.318417249669</c:v>
                </c:pt>
                <c:pt idx="1">
                  <c:v>2439.3721182597228</c:v>
                </c:pt>
                <c:pt idx="2">
                  <c:v>2518.1322412946538</c:v>
                </c:pt>
                <c:pt idx="3">
                  <c:v>2594.4654479422738</c:v>
                </c:pt>
                <c:pt idx="4">
                  <c:v>1967.0786509273971</c:v>
                </c:pt>
                <c:pt idx="5">
                  <c:v>1002.837009706639</c:v>
                </c:pt>
                <c:pt idx="6">
                  <c:v>1160.3501171231437</c:v>
                </c:pt>
                <c:pt idx="7">
                  <c:v>1247.963868789288</c:v>
                </c:pt>
                <c:pt idx="8">
                  <c:v>1705.1352052101979</c:v>
                </c:pt>
                <c:pt idx="9">
                  <c:v>1880.9530934133484</c:v>
                </c:pt>
              </c:numCache>
            </c:numRef>
          </c:val>
          <c:smooth val="0"/>
          <c:extLst>
            <c:ext xmlns:c16="http://schemas.microsoft.com/office/drawing/2014/chart" uri="{C3380CC4-5D6E-409C-BE32-E72D297353CC}">
              <c16:uniqueId val="{00000001-52CB-4EA8-A59D-3D7CD84EA8B8}"/>
            </c:ext>
          </c:extLst>
        </c:ser>
        <c:dLbls>
          <c:showLegendKey val="0"/>
          <c:showVal val="0"/>
          <c:showCatName val="0"/>
          <c:showSerName val="0"/>
          <c:showPercent val="0"/>
          <c:showBubbleSize val="0"/>
        </c:dLbls>
        <c:marker val="1"/>
        <c:smooth val="0"/>
        <c:axId val="132780032"/>
        <c:axId val="132781952"/>
      </c:lineChart>
      <c:dateAx>
        <c:axId val="132780032"/>
        <c:scaling>
          <c:orientation val="minMax"/>
        </c:scaling>
        <c:delete val="0"/>
        <c:axPos val="b"/>
        <c:title>
          <c:tx>
            <c:rich>
              <a:bodyPr/>
              <a:lstStyle/>
              <a:p>
                <a:pPr>
                  <a:defRPr sz="900"/>
                </a:pPr>
                <a:r>
                  <a:rPr lang="en-AU" sz="900"/>
                  <a:t>Source: DMIRS and EnergyQuest</a:t>
                </a:r>
              </a:p>
            </c:rich>
          </c:tx>
          <c:layout>
            <c:manualLayout>
              <c:xMode val="edge"/>
              <c:yMode val="edge"/>
              <c:x val="9.6204202012284395E-3"/>
              <c:y val="0.94653469559502812"/>
            </c:manualLayout>
          </c:layout>
          <c:overlay val="0"/>
        </c:title>
        <c:numFmt formatCode="mmm\-yy" sourceLinked="1"/>
        <c:majorTickMark val="out"/>
        <c:minorTickMark val="none"/>
        <c:tickLblPos val="nextTo"/>
        <c:txPr>
          <a:bodyPr rot="-2700000"/>
          <a:lstStyle/>
          <a:p>
            <a:pPr>
              <a:defRPr/>
            </a:pPr>
            <a:endParaRPr lang="en-US"/>
          </a:p>
        </c:txPr>
        <c:crossAx val="132781952"/>
        <c:crosses val="autoZero"/>
        <c:auto val="0"/>
        <c:lblOffset val="100"/>
        <c:baseTimeUnit val="months"/>
        <c:majorUnit val="3"/>
        <c:majorTimeUnit val="months"/>
      </c:dateAx>
      <c:valAx>
        <c:axId val="132781952"/>
        <c:scaling>
          <c:orientation val="minMax"/>
          <c:min val="0"/>
        </c:scaling>
        <c:delete val="0"/>
        <c:axPos val="l"/>
        <c:majorGridlines/>
        <c:title>
          <c:tx>
            <c:rich>
              <a:bodyPr rot="-5400000" vert="horz"/>
              <a:lstStyle/>
              <a:p>
                <a:pPr>
                  <a:defRPr/>
                </a:pPr>
                <a:r>
                  <a:rPr lang="en-AU"/>
                  <a:t>$ Million</a:t>
                </a:r>
              </a:p>
            </c:rich>
          </c:tx>
          <c:layout>
            <c:manualLayout>
              <c:xMode val="edge"/>
              <c:yMode val="edge"/>
              <c:x val="1.3699282765241575E-2"/>
              <c:y val="0.488522109961184"/>
            </c:manualLayout>
          </c:layout>
          <c:overlay val="0"/>
        </c:title>
        <c:numFmt formatCode="#,##0" sourceLinked="0"/>
        <c:majorTickMark val="out"/>
        <c:minorTickMark val="none"/>
        <c:tickLblPos val="nextTo"/>
        <c:crossAx val="132780032"/>
        <c:crosses val="autoZero"/>
        <c:crossBetween val="between"/>
      </c:valAx>
      <c:valAx>
        <c:axId val="132792320"/>
        <c:scaling>
          <c:orientation val="minMax"/>
          <c:min val="0"/>
        </c:scaling>
        <c:delete val="0"/>
        <c:axPos val="r"/>
        <c:title>
          <c:tx>
            <c:rich>
              <a:bodyPr rot="-5400000" vert="horz"/>
              <a:lstStyle/>
              <a:p>
                <a:pPr>
                  <a:defRPr/>
                </a:pPr>
                <a:r>
                  <a:rPr lang="en-AU"/>
                  <a:t>Gigalitres</a:t>
                </a:r>
              </a:p>
            </c:rich>
          </c:tx>
          <c:layout>
            <c:manualLayout>
              <c:xMode val="edge"/>
              <c:yMode val="edge"/>
              <c:x val="0.94930114780932806"/>
              <c:y val="0.48088917361271988"/>
            </c:manualLayout>
          </c:layout>
          <c:overlay val="0"/>
        </c:title>
        <c:numFmt formatCode="0.0" sourceLinked="0"/>
        <c:majorTickMark val="out"/>
        <c:minorTickMark val="none"/>
        <c:tickLblPos val="nextTo"/>
        <c:crossAx val="132794240"/>
        <c:crosses val="max"/>
        <c:crossBetween val="between"/>
      </c:valAx>
      <c:dateAx>
        <c:axId val="132794240"/>
        <c:scaling>
          <c:orientation val="minMax"/>
        </c:scaling>
        <c:delete val="1"/>
        <c:axPos val="b"/>
        <c:numFmt formatCode="mmm\-yy" sourceLinked="1"/>
        <c:majorTickMark val="out"/>
        <c:minorTickMark val="none"/>
        <c:tickLblPos val="nextTo"/>
        <c:crossAx val="132792320"/>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100"/>
              <a:t>Quantity And Value By Year</a:t>
            </a:r>
          </a:p>
        </c:rich>
      </c:tx>
      <c:overlay val="0"/>
    </c:title>
    <c:autoTitleDeleted val="0"/>
    <c:plotArea>
      <c:layout/>
      <c:barChart>
        <c:barDir val="col"/>
        <c:grouping val="stacked"/>
        <c:varyColors val="0"/>
        <c:ser>
          <c:idx val="0"/>
          <c:order val="0"/>
          <c:tx>
            <c:strRef>
              <c:f>'Petroleum - Q&amp;V1'!$W$35:$X$35</c:f>
              <c:strCache>
                <c:ptCount val="1"/>
                <c:pt idx="0">
                  <c:v>Condensate</c:v>
                </c:pt>
              </c:strCache>
            </c:strRef>
          </c:tx>
          <c:invertIfNegative val="0"/>
          <c:cat>
            <c:strRef>
              <c:f>'Petroleum - Q&amp;V1'!$T$37:$T$58</c:f>
              <c:strCache>
                <c:ptCount val="22"/>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strCache>
            </c:strRef>
          </c:cat>
          <c:val>
            <c:numRef>
              <c:f>'Petroleum - Q&amp;V1'!$W$37:$W$58</c:f>
              <c:numCache>
                <c:formatCode>#,##0.00</c:formatCode>
                <c:ptCount val="22"/>
                <c:pt idx="0">
                  <c:v>6.3476479999999995</c:v>
                </c:pt>
                <c:pt idx="1">
                  <c:v>5.8094599999999996</c:v>
                </c:pt>
                <c:pt idx="2">
                  <c:v>6.326003</c:v>
                </c:pt>
                <c:pt idx="3">
                  <c:v>6.9341559999999998</c:v>
                </c:pt>
                <c:pt idx="4">
                  <c:v>6.1814840000000002</c:v>
                </c:pt>
                <c:pt idx="5">
                  <c:v>5.1737460000000004</c:v>
                </c:pt>
                <c:pt idx="6">
                  <c:v>5.6261869999999998</c:v>
                </c:pt>
                <c:pt idx="7">
                  <c:v>5.8600720000000006</c:v>
                </c:pt>
                <c:pt idx="8">
                  <c:v>5.7637559999999999</c:v>
                </c:pt>
                <c:pt idx="9">
                  <c:v>6.6571010000000008</c:v>
                </c:pt>
                <c:pt idx="10">
                  <c:v>7.4180120000000001</c:v>
                </c:pt>
                <c:pt idx="11">
                  <c:v>6.8817909999999998</c:v>
                </c:pt>
                <c:pt idx="12">
                  <c:v>5.8886079999999996</c:v>
                </c:pt>
                <c:pt idx="13">
                  <c:v>6.116968</c:v>
                </c:pt>
                <c:pt idx="14">
                  <c:v>4.3992632069999997</c:v>
                </c:pt>
                <c:pt idx="15">
                  <c:v>6.7532134489999995</c:v>
                </c:pt>
                <c:pt idx="16">
                  <c:v>6.775141611506001</c:v>
                </c:pt>
                <c:pt idx="17">
                  <c:v>6.0376032539301541</c:v>
                </c:pt>
                <c:pt idx="18">
                  <c:v>7.1127934822708205</c:v>
                </c:pt>
                <c:pt idx="19">
                  <c:v>11.147267561162524</c:v>
                </c:pt>
                <c:pt idx="20">
                  <c:v>12.34092611349741</c:v>
                </c:pt>
                <c:pt idx="21">
                  <c:v>11.116897742583131</c:v>
                </c:pt>
              </c:numCache>
            </c:numRef>
          </c:val>
          <c:extLst>
            <c:ext xmlns:c16="http://schemas.microsoft.com/office/drawing/2014/chart" uri="{C3380CC4-5D6E-409C-BE32-E72D297353CC}">
              <c16:uniqueId val="{00000000-C2F9-46C2-8721-066A13FF21A5}"/>
            </c:ext>
          </c:extLst>
        </c:ser>
        <c:ser>
          <c:idx val="2"/>
          <c:order val="2"/>
          <c:tx>
            <c:strRef>
              <c:f>'Petroleum - Q&amp;V1'!$U$35:$V$35</c:f>
              <c:strCache>
                <c:ptCount val="1"/>
                <c:pt idx="0">
                  <c:v>Crude Oil</c:v>
                </c:pt>
              </c:strCache>
            </c:strRef>
          </c:tx>
          <c:invertIfNegative val="0"/>
          <c:cat>
            <c:strRef>
              <c:f>'Petroleum - Q&amp;V1'!$T$37:$T$58</c:f>
              <c:strCache>
                <c:ptCount val="22"/>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strCache>
            </c:strRef>
          </c:cat>
          <c:val>
            <c:numRef>
              <c:f>'Petroleum - Q&amp;V1'!$U$37:$U$58</c:f>
              <c:numCache>
                <c:formatCode>#,##0.00</c:formatCode>
                <c:ptCount val="22"/>
                <c:pt idx="0">
                  <c:v>12.053606</c:v>
                </c:pt>
                <c:pt idx="1">
                  <c:v>13.957274</c:v>
                </c:pt>
                <c:pt idx="2">
                  <c:v>15.087852000000002</c:v>
                </c:pt>
                <c:pt idx="3">
                  <c:v>14.004299000000001</c:v>
                </c:pt>
                <c:pt idx="4">
                  <c:v>13.223115999999999</c:v>
                </c:pt>
                <c:pt idx="5">
                  <c:v>12.773028</c:v>
                </c:pt>
                <c:pt idx="6">
                  <c:v>11.142977999999999</c:v>
                </c:pt>
                <c:pt idx="7">
                  <c:v>14.255543999999999</c:v>
                </c:pt>
                <c:pt idx="8">
                  <c:v>12.647525999999999</c:v>
                </c:pt>
                <c:pt idx="9">
                  <c:v>13.036933000000001</c:v>
                </c:pt>
                <c:pt idx="10">
                  <c:v>11.842074999999999</c:v>
                </c:pt>
                <c:pt idx="11">
                  <c:v>13.924847</c:v>
                </c:pt>
                <c:pt idx="12">
                  <c:v>11.121616</c:v>
                </c:pt>
                <c:pt idx="13">
                  <c:v>8.6094249999999999</c:v>
                </c:pt>
                <c:pt idx="14">
                  <c:v>6.8673021770000009</c:v>
                </c:pt>
                <c:pt idx="15">
                  <c:v>7.9524779160000003</c:v>
                </c:pt>
                <c:pt idx="16">
                  <c:v>7.6859219885160002</c:v>
                </c:pt>
                <c:pt idx="17">
                  <c:v>5.4042941809121388</c:v>
                </c:pt>
                <c:pt idx="18">
                  <c:v>4.8774111944294951</c:v>
                </c:pt>
                <c:pt idx="19">
                  <c:v>3.0965219101496864</c:v>
                </c:pt>
                <c:pt idx="20">
                  <c:v>5.0060738206409034</c:v>
                </c:pt>
                <c:pt idx="21">
                  <c:v>4.3610278915356373</c:v>
                </c:pt>
              </c:numCache>
            </c:numRef>
          </c:val>
          <c:extLst>
            <c:ext xmlns:c16="http://schemas.microsoft.com/office/drawing/2014/chart" uri="{C3380CC4-5D6E-409C-BE32-E72D297353CC}">
              <c16:uniqueId val="{00000001-C2F9-46C2-8721-066A13FF21A5}"/>
            </c:ext>
          </c:extLst>
        </c:ser>
        <c:dLbls>
          <c:showLegendKey val="0"/>
          <c:showVal val="0"/>
          <c:showCatName val="0"/>
          <c:showSerName val="0"/>
          <c:showPercent val="0"/>
          <c:showBubbleSize val="0"/>
        </c:dLbls>
        <c:gapWidth val="150"/>
        <c:overlap val="100"/>
        <c:axId val="135356416"/>
        <c:axId val="135346048"/>
      </c:barChart>
      <c:lineChart>
        <c:grouping val="standard"/>
        <c:varyColors val="0"/>
        <c:ser>
          <c:idx val="1"/>
          <c:order val="1"/>
          <c:tx>
            <c:strRef>
              <c:f>'Petroleum - Q&amp;V1'!$Y$35:$Z$35</c:f>
              <c:strCache>
                <c:ptCount val="1"/>
                <c:pt idx="0">
                  <c:v>Combined Total</c:v>
                </c:pt>
              </c:strCache>
            </c:strRef>
          </c:tx>
          <c:marker>
            <c:symbol val="none"/>
          </c:marker>
          <c:cat>
            <c:strRef>
              <c:f>'Petroleum - Q&amp;V1'!$T$37:$T$58</c:f>
              <c:strCache>
                <c:ptCount val="22"/>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strCache>
            </c:strRef>
          </c:cat>
          <c:val>
            <c:numRef>
              <c:f>'Petroleum - Q&amp;V1'!$Z$37:$Z$58</c:f>
              <c:numCache>
                <c:formatCode>#,##0.00</c:formatCode>
                <c:ptCount val="22"/>
                <c:pt idx="0">
                  <c:v>4728.7050870000003</c:v>
                </c:pt>
                <c:pt idx="1">
                  <c:v>6776.5790219999999</c:v>
                </c:pt>
                <c:pt idx="2">
                  <c:v>5878.7442170000004</c:v>
                </c:pt>
                <c:pt idx="3">
                  <c:v>6304.4875699999993</c:v>
                </c:pt>
                <c:pt idx="4">
                  <c:v>5521.1477770000001</c:v>
                </c:pt>
                <c:pt idx="5">
                  <c:v>7379.9684619999998</c:v>
                </c:pt>
                <c:pt idx="6">
                  <c:v>8692.9179459999996</c:v>
                </c:pt>
                <c:pt idx="7">
                  <c:v>10502.002441000001</c:v>
                </c:pt>
                <c:pt idx="8">
                  <c:v>12360.887158</c:v>
                </c:pt>
                <c:pt idx="9">
                  <c:v>10819.283989</c:v>
                </c:pt>
                <c:pt idx="10">
                  <c:v>9886.2580989999988</c:v>
                </c:pt>
                <c:pt idx="11">
                  <c:v>12517.386857</c:v>
                </c:pt>
                <c:pt idx="12">
                  <c:v>11518.745029999998</c:v>
                </c:pt>
                <c:pt idx="13">
                  <c:v>9894.0907239999997</c:v>
                </c:pt>
                <c:pt idx="14">
                  <c:v>8585.3993658772561</c:v>
                </c:pt>
                <c:pt idx="15">
                  <c:v>8096.4643912318497</c:v>
                </c:pt>
                <c:pt idx="16">
                  <c:v>5258.7722955800755</c:v>
                </c:pt>
                <c:pt idx="17">
                  <c:v>4357.8150917176154</c:v>
                </c:pt>
                <c:pt idx="18">
                  <c:v>5623.3783867457514</c:v>
                </c:pt>
                <c:pt idx="19">
                  <c:v>8003.3319636039696</c:v>
                </c:pt>
                <c:pt idx="20">
                  <c:v>8082.5133498709629</c:v>
                </c:pt>
                <c:pt idx="21">
                  <c:v>5994.4022845359777</c:v>
                </c:pt>
              </c:numCache>
            </c:numRef>
          </c:val>
          <c:smooth val="0"/>
          <c:extLst>
            <c:ext xmlns:c16="http://schemas.microsoft.com/office/drawing/2014/chart" uri="{C3380CC4-5D6E-409C-BE32-E72D297353CC}">
              <c16:uniqueId val="{00000002-C2F9-46C2-8721-066A13FF21A5}"/>
            </c:ext>
          </c:extLst>
        </c:ser>
        <c:dLbls>
          <c:showLegendKey val="0"/>
          <c:showVal val="0"/>
          <c:showCatName val="0"/>
          <c:showSerName val="0"/>
          <c:showPercent val="0"/>
          <c:showBubbleSize val="0"/>
        </c:dLbls>
        <c:marker val="1"/>
        <c:smooth val="0"/>
        <c:axId val="135329664"/>
        <c:axId val="135344128"/>
      </c:lineChart>
      <c:catAx>
        <c:axId val="135329664"/>
        <c:scaling>
          <c:orientation val="minMax"/>
        </c:scaling>
        <c:delete val="0"/>
        <c:axPos val="b"/>
        <c:title>
          <c:tx>
            <c:rich>
              <a:bodyPr/>
              <a:lstStyle/>
              <a:p>
                <a:pPr>
                  <a:defRPr sz="900"/>
                </a:pPr>
                <a:r>
                  <a:rPr lang="en-AU" sz="900" b="1" i="0" u="none" strike="noStrike" baseline="0">
                    <a:effectLst/>
                  </a:rPr>
                  <a:t>Source: DMIRS and EnergyQuest</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344128"/>
        <c:crosses val="autoZero"/>
        <c:auto val="1"/>
        <c:lblAlgn val="ctr"/>
        <c:lblOffset val="100"/>
        <c:tickLblSkip val="1"/>
        <c:noMultiLvlLbl val="1"/>
      </c:catAx>
      <c:valAx>
        <c:axId val="135344128"/>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5329664"/>
        <c:crosses val="autoZero"/>
        <c:crossBetween val="between"/>
      </c:valAx>
      <c:valAx>
        <c:axId val="135346048"/>
        <c:scaling>
          <c:orientation val="minMax"/>
        </c:scaling>
        <c:delete val="0"/>
        <c:axPos val="r"/>
        <c:title>
          <c:tx>
            <c:rich>
              <a:bodyPr rot="-5400000" vert="horz"/>
              <a:lstStyle/>
              <a:p>
                <a:pPr>
                  <a:defRPr/>
                </a:pPr>
                <a:r>
                  <a:rPr lang="en-AU"/>
                  <a:t>GigaLitres</a:t>
                </a:r>
              </a:p>
            </c:rich>
          </c:tx>
          <c:overlay val="0"/>
        </c:title>
        <c:numFmt formatCode="#,##0" sourceLinked="0"/>
        <c:majorTickMark val="out"/>
        <c:minorTickMark val="none"/>
        <c:tickLblPos val="nextTo"/>
        <c:crossAx val="135356416"/>
        <c:crosses val="max"/>
        <c:crossBetween val="between"/>
      </c:valAx>
      <c:catAx>
        <c:axId val="135356416"/>
        <c:scaling>
          <c:orientation val="minMax"/>
        </c:scaling>
        <c:delete val="1"/>
        <c:axPos val="b"/>
        <c:numFmt formatCode="General" sourceLinked="1"/>
        <c:majorTickMark val="out"/>
        <c:minorTickMark val="none"/>
        <c:tickLblPos val="nextTo"/>
        <c:crossAx val="1353460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050"/>
              <a:t>Quantity And Value By Quarter</a:t>
            </a:r>
          </a:p>
        </c:rich>
      </c:tx>
      <c:overlay val="0"/>
    </c:title>
    <c:autoTitleDeleted val="0"/>
    <c:plotArea>
      <c:layout/>
      <c:barChart>
        <c:barDir val="col"/>
        <c:grouping val="clustered"/>
        <c:varyColors val="0"/>
        <c:ser>
          <c:idx val="0"/>
          <c:order val="0"/>
          <c:tx>
            <c:v>Quantity (Mt)</c:v>
          </c:tx>
          <c:invertIfNegative val="0"/>
          <c:cat>
            <c:numRef>
              <c:f>'Petroleum - Q&amp;V2'!$Z$11:$Z$20</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'Petroleum - Q&amp;V2'!$AA$11:$AA$20</c:f>
              <c:numCache>
                <c:formatCode>#,##0.00</c:formatCode>
                <c:ptCount val="10"/>
                <c:pt idx="0">
                  <c:v>9310719.5627872143</c:v>
                </c:pt>
                <c:pt idx="1">
                  <c:v>10779768.743424237</c:v>
                </c:pt>
                <c:pt idx="2">
                  <c:v>11637848.442937989</c:v>
                </c:pt>
                <c:pt idx="3">
                  <c:v>12419277.697201625</c:v>
                </c:pt>
                <c:pt idx="4">
                  <c:v>10912353.37717271</c:v>
                </c:pt>
                <c:pt idx="5">
                  <c:v>12143565.325145038</c:v>
                </c:pt>
                <c:pt idx="6">
                  <c:v>9831044.8532996178</c:v>
                </c:pt>
                <c:pt idx="7">
                  <c:v>11380428</c:v>
                </c:pt>
                <c:pt idx="8">
                  <c:v>10885217.296188684</c:v>
                </c:pt>
                <c:pt idx="9">
                  <c:v>10295996.512200473</c:v>
                </c:pt>
              </c:numCache>
            </c:numRef>
          </c:val>
          <c:extLst>
            <c:ext xmlns:c16="http://schemas.microsoft.com/office/drawing/2014/chart" uri="{C3380CC4-5D6E-409C-BE32-E72D297353CC}">
              <c16:uniqueId val="{00000000-0CE0-4922-BA3E-5A88EFC9A476}"/>
            </c:ext>
          </c:extLst>
        </c:ser>
        <c:dLbls>
          <c:showLegendKey val="0"/>
          <c:showVal val="0"/>
          <c:showCatName val="0"/>
          <c:showSerName val="0"/>
          <c:showPercent val="0"/>
          <c:showBubbleSize val="0"/>
        </c:dLbls>
        <c:gapWidth val="40"/>
        <c:axId val="133932544"/>
        <c:axId val="133921792"/>
      </c:barChart>
      <c:lineChart>
        <c:grouping val="standard"/>
        <c:varyColors val="0"/>
        <c:ser>
          <c:idx val="1"/>
          <c:order val="1"/>
          <c:tx>
            <c:strRef>
              <c:f>'Petroleum - Q&amp;V2'!$AB$10</c:f>
              <c:strCache>
                <c:ptCount val="1"/>
                <c:pt idx="0">
                  <c:v>Value ($ Million)</c:v>
                </c:pt>
              </c:strCache>
            </c:strRef>
          </c:tx>
          <c:marker>
            <c:symbol val="none"/>
          </c:marker>
          <c:cat>
            <c:numRef>
              <c:f>'Alumina - Q&amp;V'!$S$11:$S$20</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'Petroleum - Q&amp;V2'!$AB$11:$AB$20</c:f>
              <c:numCache>
                <c:formatCode>#,##0.00</c:formatCode>
                <c:ptCount val="10"/>
                <c:pt idx="0">
                  <c:v>6700.4171929468284</c:v>
                </c:pt>
                <c:pt idx="1">
                  <c:v>5959.6498332374813</c:v>
                </c:pt>
                <c:pt idx="2">
                  <c:v>6973.9885280791204</c:v>
                </c:pt>
                <c:pt idx="3">
                  <c:v>7554.8185326036582</c:v>
                </c:pt>
                <c:pt idx="4">
                  <c:v>7223.1572945981288</c:v>
                </c:pt>
                <c:pt idx="5">
                  <c:v>5296.00015701967</c:v>
                </c:pt>
                <c:pt idx="6">
                  <c:v>2880.7437526371191</c:v>
                </c:pt>
                <c:pt idx="7">
                  <c:v>3913.6618017095298</c:v>
                </c:pt>
                <c:pt idx="8">
                  <c:v>4733.9670430015012</c:v>
                </c:pt>
                <c:pt idx="9">
                  <c:v>4252.1224724116246</c:v>
                </c:pt>
              </c:numCache>
            </c:numRef>
          </c:val>
          <c:smooth val="0"/>
          <c:extLst>
            <c:ext xmlns:c16="http://schemas.microsoft.com/office/drawing/2014/chart" uri="{C3380CC4-5D6E-409C-BE32-E72D297353CC}">
              <c16:uniqueId val="{00000001-0CE0-4922-BA3E-5A88EFC9A476}"/>
            </c:ext>
          </c:extLst>
        </c:ser>
        <c:dLbls>
          <c:showLegendKey val="0"/>
          <c:showVal val="0"/>
          <c:showCatName val="0"/>
          <c:showSerName val="0"/>
          <c:showPercent val="0"/>
          <c:showBubbleSize val="0"/>
        </c:dLbls>
        <c:marker val="1"/>
        <c:smooth val="0"/>
        <c:axId val="133913600"/>
        <c:axId val="133919872"/>
      </c:lineChart>
      <c:catAx>
        <c:axId val="133913600"/>
        <c:scaling>
          <c:orientation val="minMax"/>
        </c:scaling>
        <c:delete val="0"/>
        <c:axPos val="b"/>
        <c:title>
          <c:tx>
            <c:rich>
              <a:bodyPr/>
              <a:lstStyle/>
              <a:p>
                <a:pPr>
                  <a:defRPr/>
                </a:pPr>
                <a:r>
                  <a:rPr lang="en-AU" sz="1000" b="1" i="0" u="none" strike="noStrike" baseline="0">
                    <a:effectLst/>
                  </a:rPr>
                  <a:t>Source: DMIRS, EnergyQuest, and Woodside</a:t>
                </a:r>
                <a:endParaRPr lang="en-AU"/>
              </a:p>
            </c:rich>
          </c:tx>
          <c:layout>
            <c:manualLayout>
              <c:xMode val="edge"/>
              <c:yMode val="edge"/>
              <c:x val="8.5945394006659275E-3"/>
              <c:y val="0.94066460702786325"/>
            </c:manualLayout>
          </c:layout>
          <c:overlay val="0"/>
        </c:title>
        <c:numFmt formatCode="mmm\-yy" sourceLinked="1"/>
        <c:majorTickMark val="out"/>
        <c:minorTickMark val="none"/>
        <c:tickLblPos val="nextTo"/>
        <c:txPr>
          <a:bodyPr rot="-2700000"/>
          <a:lstStyle/>
          <a:p>
            <a:pPr>
              <a:defRPr/>
            </a:pPr>
            <a:endParaRPr lang="en-US"/>
          </a:p>
        </c:txPr>
        <c:crossAx val="133919872"/>
        <c:crosses val="autoZero"/>
        <c:auto val="0"/>
        <c:lblAlgn val="ctr"/>
        <c:lblOffset val="100"/>
        <c:noMultiLvlLbl val="0"/>
      </c:catAx>
      <c:valAx>
        <c:axId val="133919872"/>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3913600"/>
        <c:crosses val="autoZero"/>
        <c:crossBetween val="between"/>
      </c:valAx>
      <c:valAx>
        <c:axId val="133921792"/>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932544"/>
        <c:crosses val="max"/>
        <c:crossBetween val="between"/>
        <c:dispUnits>
          <c:builtInUnit val="millions"/>
        </c:dispUnits>
      </c:valAx>
      <c:dateAx>
        <c:axId val="133932544"/>
        <c:scaling>
          <c:orientation val="minMax"/>
        </c:scaling>
        <c:delete val="1"/>
        <c:axPos val="b"/>
        <c:numFmt formatCode="mmm\-yy" sourceLinked="1"/>
        <c:majorTickMark val="out"/>
        <c:minorTickMark val="none"/>
        <c:tickLblPos val="nextTo"/>
        <c:crossAx val="1339217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600"/>
              <a:t>LPG - Butane And Propane</a:t>
            </a:r>
          </a:p>
          <a:p>
            <a:pPr>
              <a:defRPr/>
            </a:pPr>
            <a:r>
              <a:rPr lang="en-AU" sz="1050"/>
              <a:t>Quantity And Value By Quarter</a:t>
            </a:r>
          </a:p>
        </c:rich>
      </c:tx>
      <c:overlay val="0"/>
    </c:title>
    <c:autoTitleDeleted val="0"/>
    <c:plotArea>
      <c:layout/>
      <c:barChart>
        <c:barDir val="col"/>
        <c:grouping val="clustered"/>
        <c:varyColors val="0"/>
        <c:ser>
          <c:idx val="0"/>
          <c:order val="0"/>
          <c:tx>
            <c:v>Quantity (kt)</c:v>
          </c:tx>
          <c:invertIfNegative val="0"/>
          <c:cat>
            <c:numRef>
              <c:f>'Petroleum - Q&amp;V2'!$Z$36:$Z$45</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'Petroleum - Q&amp;V2'!$AA$36:$AA$45</c:f>
              <c:numCache>
                <c:formatCode>#,##0.00_ ;\-#,##0.00\ </c:formatCode>
                <c:ptCount val="10"/>
                <c:pt idx="0">
                  <c:v>92520</c:v>
                </c:pt>
                <c:pt idx="1">
                  <c:v>112749</c:v>
                </c:pt>
                <c:pt idx="2">
                  <c:v>103868</c:v>
                </c:pt>
                <c:pt idx="3">
                  <c:v>109112</c:v>
                </c:pt>
                <c:pt idx="4">
                  <c:v>104286</c:v>
                </c:pt>
                <c:pt idx="5">
                  <c:v>114296</c:v>
                </c:pt>
                <c:pt idx="6">
                  <c:v>87860</c:v>
                </c:pt>
                <c:pt idx="7">
                  <c:v>96140</c:v>
                </c:pt>
                <c:pt idx="8">
                  <c:v>98190</c:v>
                </c:pt>
                <c:pt idx="9">
                  <c:v>97461</c:v>
                </c:pt>
              </c:numCache>
            </c:numRef>
          </c:val>
          <c:extLst>
            <c:ext xmlns:c16="http://schemas.microsoft.com/office/drawing/2014/chart" uri="{C3380CC4-5D6E-409C-BE32-E72D297353CC}">
              <c16:uniqueId val="{00000000-1F72-4E20-8D4D-F5F96F6FCD39}"/>
            </c:ext>
          </c:extLst>
        </c:ser>
        <c:dLbls>
          <c:showLegendKey val="0"/>
          <c:showVal val="0"/>
          <c:showCatName val="0"/>
          <c:showSerName val="0"/>
          <c:showPercent val="0"/>
          <c:showBubbleSize val="0"/>
        </c:dLbls>
        <c:gapWidth val="40"/>
        <c:axId val="134241280"/>
        <c:axId val="134238976"/>
      </c:barChart>
      <c:lineChart>
        <c:grouping val="standard"/>
        <c:varyColors val="0"/>
        <c:ser>
          <c:idx val="1"/>
          <c:order val="1"/>
          <c:tx>
            <c:strRef>
              <c:f>'Petroleum - Q&amp;V2'!$AB$35</c:f>
              <c:strCache>
                <c:ptCount val="1"/>
                <c:pt idx="0">
                  <c:v>Value ($ Million)</c:v>
                </c:pt>
              </c:strCache>
            </c:strRef>
          </c:tx>
          <c:marker>
            <c:symbol val="none"/>
          </c:marker>
          <c:cat>
            <c:numRef>
              <c:f>'Alumina - Q&amp;V'!$S$11:$S$20</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'Petroleum - Q&amp;V2'!$AB$36:$AB$45</c:f>
              <c:numCache>
                <c:formatCode>#,##0.00_ ;\-#,##0.00\ </c:formatCode>
                <c:ptCount val="10"/>
                <c:pt idx="0">
                  <c:v>65.49929301295073</c:v>
                </c:pt>
                <c:pt idx="1">
                  <c:v>80.156224617098388</c:v>
                </c:pt>
                <c:pt idx="2">
                  <c:v>54.842303999999999</c:v>
                </c:pt>
                <c:pt idx="3">
                  <c:v>73.742336071813952</c:v>
                </c:pt>
                <c:pt idx="4">
                  <c:v>46.553802258600001</c:v>
                </c:pt>
                <c:pt idx="5">
                  <c:v>42.115230029599999</c:v>
                </c:pt>
                <c:pt idx="6">
                  <c:v>45.151593999999996</c:v>
                </c:pt>
                <c:pt idx="7">
                  <c:v>55.661887379999996</c:v>
                </c:pt>
                <c:pt idx="8">
                  <c:v>61.055960315304688</c:v>
                </c:pt>
                <c:pt idx="9">
                  <c:v>65.634623145000006</c:v>
                </c:pt>
              </c:numCache>
            </c:numRef>
          </c:val>
          <c:smooth val="0"/>
          <c:extLst>
            <c:ext xmlns:c16="http://schemas.microsoft.com/office/drawing/2014/chart" uri="{C3380CC4-5D6E-409C-BE32-E72D297353CC}">
              <c16:uniqueId val="{00000001-1F72-4E20-8D4D-F5F96F6FCD39}"/>
            </c:ext>
          </c:extLst>
        </c:ser>
        <c:dLbls>
          <c:showLegendKey val="0"/>
          <c:showVal val="0"/>
          <c:showCatName val="0"/>
          <c:showSerName val="0"/>
          <c:showPercent val="0"/>
          <c:showBubbleSize val="0"/>
        </c:dLbls>
        <c:marker val="1"/>
        <c:smooth val="0"/>
        <c:axId val="134234880"/>
        <c:axId val="134236800"/>
      </c:lineChart>
      <c:catAx>
        <c:axId val="134234880"/>
        <c:scaling>
          <c:orientation val="minMax"/>
        </c:scaling>
        <c:delete val="0"/>
        <c:axPos val="b"/>
        <c:title>
          <c:tx>
            <c:rich>
              <a:bodyPr/>
              <a:lstStyle/>
              <a:p>
                <a:pPr>
                  <a:defRPr sz="900"/>
                </a:pPr>
                <a:r>
                  <a:rPr lang="en-AU" sz="900" b="1" i="0" baseline="0">
                    <a:effectLst/>
                  </a:rPr>
                  <a:t>Source: DMIRS and Woodside</a:t>
                </a:r>
                <a:endParaRPr lang="en-AU" sz="900">
                  <a:effectLst/>
                </a:endParaRPr>
              </a:p>
            </c:rich>
          </c:tx>
          <c:layout>
            <c:manualLayout>
              <c:xMode val="edge"/>
              <c:yMode val="edge"/>
              <c:x val="0"/>
              <c:y val="0.94649534819531755"/>
            </c:manualLayout>
          </c:layout>
          <c:overlay val="0"/>
        </c:title>
        <c:numFmt formatCode="mmm\-yy" sourceLinked="1"/>
        <c:majorTickMark val="out"/>
        <c:minorTickMark val="none"/>
        <c:tickLblPos val="nextTo"/>
        <c:txPr>
          <a:bodyPr rot="-2700000"/>
          <a:lstStyle/>
          <a:p>
            <a:pPr>
              <a:defRPr/>
            </a:pPr>
            <a:endParaRPr lang="en-US"/>
          </a:p>
        </c:txPr>
        <c:crossAx val="134236800"/>
        <c:crosses val="autoZero"/>
        <c:auto val="0"/>
        <c:lblAlgn val="ctr"/>
        <c:lblOffset val="100"/>
        <c:noMultiLvlLbl val="0"/>
      </c:catAx>
      <c:valAx>
        <c:axId val="134236800"/>
        <c:scaling>
          <c:orientation val="minMax"/>
          <c:max val="14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34880"/>
        <c:crosses val="autoZero"/>
        <c:crossBetween val="between"/>
      </c:valAx>
      <c:valAx>
        <c:axId val="134238976"/>
        <c:scaling>
          <c:orientation val="minMax"/>
          <c:max val="140000"/>
        </c:scaling>
        <c:delete val="0"/>
        <c:axPos val="r"/>
        <c:title>
          <c:tx>
            <c:rich>
              <a:bodyPr rot="-5400000" vert="horz"/>
              <a:lstStyle/>
              <a:p>
                <a:pPr>
                  <a:defRPr/>
                </a:pPr>
                <a:r>
                  <a:rPr lang="en-AU"/>
                  <a:t>Thousand Tonnes</a:t>
                </a:r>
              </a:p>
            </c:rich>
          </c:tx>
          <c:overlay val="0"/>
        </c:title>
        <c:numFmt formatCode="#,##0_ ;\-#,##0\ " sourceLinked="0"/>
        <c:majorTickMark val="out"/>
        <c:minorTickMark val="none"/>
        <c:tickLblPos val="nextTo"/>
        <c:crossAx val="134241280"/>
        <c:crosses val="max"/>
        <c:crossBetween val="between"/>
        <c:dispUnits>
          <c:builtInUnit val="thousands"/>
        </c:dispUnits>
      </c:valAx>
      <c:dateAx>
        <c:axId val="134241280"/>
        <c:scaling>
          <c:orientation val="minMax"/>
        </c:scaling>
        <c:delete val="1"/>
        <c:axPos val="b"/>
        <c:numFmt formatCode="mmm\-yy" sourceLinked="1"/>
        <c:majorTickMark val="out"/>
        <c:minorTickMark val="none"/>
        <c:tickLblPos val="nextTo"/>
        <c:crossAx val="1342389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Natural Gas</a:t>
            </a:r>
            <a:endParaRPr lang="en-AU" sz="1600"/>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Q&amp;V2'!$AA$60</c:f>
              <c:strCache>
                <c:ptCount val="1"/>
                <c:pt idx="0">
                  <c:v>Quantity (000 cubic metres)</c:v>
                </c:pt>
              </c:strCache>
            </c:strRef>
          </c:tx>
          <c:invertIfNegative val="0"/>
          <c:cat>
            <c:numRef>
              <c:f>'Petroleum - Q&amp;V2'!$Z$36:$Z$45</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'Petroleum - Q&amp;V2'!$AA$61:$AA$70</c:f>
              <c:numCache>
                <c:formatCode>#,##0.00</c:formatCode>
                <c:ptCount val="10"/>
                <c:pt idx="0">
                  <c:v>2536649.2146596862</c:v>
                </c:pt>
                <c:pt idx="1">
                  <c:v>2793257.7945797327</c:v>
                </c:pt>
                <c:pt idx="2">
                  <c:v>2856042.2623723485</c:v>
                </c:pt>
                <c:pt idx="3">
                  <c:v>2740776.3804347822</c:v>
                </c:pt>
                <c:pt idx="4">
                  <c:v>2625654.4502617801</c:v>
                </c:pt>
                <c:pt idx="5">
                  <c:v>2936478.9473684211</c:v>
                </c:pt>
                <c:pt idx="6">
                  <c:v>2681578.9473684211</c:v>
                </c:pt>
                <c:pt idx="7">
                  <c:v>2594736.8421052629</c:v>
                </c:pt>
                <c:pt idx="8">
                  <c:v>2410112.5654450264</c:v>
                </c:pt>
                <c:pt idx="9">
                  <c:v>2492146.5968586388</c:v>
                </c:pt>
              </c:numCache>
            </c:numRef>
          </c:val>
          <c:extLst>
            <c:ext xmlns:c16="http://schemas.microsoft.com/office/drawing/2014/chart" uri="{C3380CC4-5D6E-409C-BE32-E72D297353CC}">
              <c16:uniqueId val="{00000000-38A7-4F39-B492-6AEDA0F35607}"/>
            </c:ext>
          </c:extLst>
        </c:ser>
        <c:dLbls>
          <c:showLegendKey val="0"/>
          <c:showVal val="0"/>
          <c:showCatName val="0"/>
          <c:showSerName val="0"/>
          <c:showPercent val="0"/>
          <c:showBubbleSize val="0"/>
        </c:dLbls>
        <c:gapWidth val="40"/>
        <c:axId val="134312320"/>
        <c:axId val="134293376"/>
      </c:barChart>
      <c:lineChart>
        <c:grouping val="standard"/>
        <c:varyColors val="0"/>
        <c:ser>
          <c:idx val="1"/>
          <c:order val="1"/>
          <c:tx>
            <c:strRef>
              <c:f>'Petroleum - Q&amp;V2'!$AB$60</c:f>
              <c:strCache>
                <c:ptCount val="1"/>
                <c:pt idx="0">
                  <c:v>Value ($ Million)</c:v>
                </c:pt>
              </c:strCache>
            </c:strRef>
          </c:tx>
          <c:marker>
            <c:symbol val="none"/>
          </c:marker>
          <c:cat>
            <c:numRef>
              <c:f>'Alumina - Q&amp;V'!$S$11:$S$20</c:f>
              <c:numCache>
                <c:formatCode>mmm\-yy</c:formatCode>
                <c:ptCount val="10"/>
                <c:pt idx="0">
                  <c:v>43525</c:v>
                </c:pt>
                <c:pt idx="1">
                  <c:v>43617</c:v>
                </c:pt>
                <c:pt idx="2">
                  <c:v>43709</c:v>
                </c:pt>
                <c:pt idx="3">
                  <c:v>43800</c:v>
                </c:pt>
                <c:pt idx="4">
                  <c:v>43891</c:v>
                </c:pt>
                <c:pt idx="5">
                  <c:v>43983</c:v>
                </c:pt>
                <c:pt idx="6">
                  <c:v>44075</c:v>
                </c:pt>
                <c:pt idx="7">
                  <c:v>44166</c:v>
                </c:pt>
                <c:pt idx="8">
                  <c:v>44256</c:v>
                </c:pt>
                <c:pt idx="9">
                  <c:v>44348</c:v>
                </c:pt>
              </c:numCache>
            </c:numRef>
          </c:cat>
          <c:val>
            <c:numRef>
              <c:f>'Petroleum - Q&amp;V2'!$AB$61:$AB$70</c:f>
              <c:numCache>
                <c:formatCode>#,##0.00</c:formatCode>
                <c:ptCount val="10"/>
                <c:pt idx="0">
                  <c:v>388.22835420089456</c:v>
                </c:pt>
                <c:pt idx="1">
                  <c:v>430.06911586375168</c:v>
                </c:pt>
                <c:pt idx="2">
                  <c:v>452.30332300746949</c:v>
                </c:pt>
                <c:pt idx="3">
                  <c:v>426.93755564447611</c:v>
                </c:pt>
                <c:pt idx="4">
                  <c:v>416.85258327892876</c:v>
                </c:pt>
                <c:pt idx="5">
                  <c:v>476.96126766254002</c:v>
                </c:pt>
                <c:pt idx="6">
                  <c:v>365.64504867123094</c:v>
                </c:pt>
                <c:pt idx="7">
                  <c:v>387.69575477682616</c:v>
                </c:pt>
                <c:pt idx="8">
                  <c:v>350.87999036078304</c:v>
                </c:pt>
                <c:pt idx="9">
                  <c:v>367.14077084572898</c:v>
                </c:pt>
              </c:numCache>
            </c:numRef>
          </c:val>
          <c:smooth val="0"/>
          <c:extLst>
            <c:ext xmlns:c16="http://schemas.microsoft.com/office/drawing/2014/chart" uri="{C3380CC4-5D6E-409C-BE32-E72D297353CC}">
              <c16:uniqueId val="{00000001-38A7-4F39-B492-6AEDA0F35607}"/>
            </c:ext>
          </c:extLst>
        </c:ser>
        <c:dLbls>
          <c:showLegendKey val="0"/>
          <c:showVal val="0"/>
          <c:showCatName val="0"/>
          <c:showSerName val="0"/>
          <c:showPercent val="0"/>
          <c:showBubbleSize val="0"/>
        </c:dLbls>
        <c:marker val="1"/>
        <c:smooth val="0"/>
        <c:axId val="134281088"/>
        <c:axId val="134291456"/>
      </c:lineChart>
      <c:catAx>
        <c:axId val="134281088"/>
        <c:scaling>
          <c:orientation val="minMax"/>
        </c:scaling>
        <c:delete val="0"/>
        <c:axPos val="b"/>
        <c:title>
          <c:tx>
            <c:rich>
              <a:bodyPr/>
              <a:lstStyle/>
              <a:p>
                <a:pPr>
                  <a:defRPr sz="900"/>
                </a:pPr>
                <a:r>
                  <a:rPr lang="en-AU" sz="900" b="1" i="0" u="none" strike="noStrike" baseline="0">
                    <a:effectLst/>
                  </a:rPr>
                  <a:t>Source: DMIRS and EnergyQuest</a:t>
                </a:r>
                <a:endParaRPr lang="en-AU" sz="900"/>
              </a:p>
            </c:rich>
          </c:tx>
          <c:layout>
            <c:manualLayout>
              <c:xMode val="edge"/>
              <c:yMode val="edge"/>
              <c:x val="1.4418069863217373E-2"/>
              <c:y val="0.94663334068768223"/>
            </c:manualLayout>
          </c:layout>
          <c:overlay val="0"/>
        </c:title>
        <c:numFmt formatCode="mmm\-yy" sourceLinked="1"/>
        <c:majorTickMark val="out"/>
        <c:minorTickMark val="none"/>
        <c:tickLblPos val="nextTo"/>
        <c:txPr>
          <a:bodyPr rot="-2700000" vert="horz"/>
          <a:lstStyle/>
          <a:p>
            <a:pPr>
              <a:defRPr/>
            </a:pPr>
            <a:endParaRPr lang="en-US"/>
          </a:p>
        </c:txPr>
        <c:crossAx val="134291456"/>
        <c:crosses val="autoZero"/>
        <c:auto val="0"/>
        <c:lblAlgn val="ctr"/>
        <c:lblOffset val="100"/>
        <c:noMultiLvlLbl val="0"/>
      </c:catAx>
      <c:valAx>
        <c:axId val="13429145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81088"/>
        <c:crosses val="autoZero"/>
        <c:crossBetween val="between"/>
      </c:valAx>
      <c:valAx>
        <c:axId val="134293376"/>
        <c:scaling>
          <c:orientation val="minMax"/>
          <c:min val="0"/>
        </c:scaling>
        <c:delete val="0"/>
        <c:axPos val="r"/>
        <c:title>
          <c:tx>
            <c:rich>
              <a:bodyPr rot="-5400000" vert="horz"/>
              <a:lstStyle/>
              <a:p>
                <a:pPr>
                  <a:defRPr/>
                </a:pPr>
                <a:r>
                  <a:rPr lang="en-AU"/>
                  <a:t>Million cubic</a:t>
                </a:r>
                <a:r>
                  <a:rPr lang="en-AU" baseline="0"/>
                  <a:t> metres</a:t>
                </a:r>
                <a:r>
                  <a:rPr lang="en-AU"/>
                  <a:t> </a:t>
                </a:r>
              </a:p>
            </c:rich>
          </c:tx>
          <c:overlay val="0"/>
        </c:title>
        <c:numFmt formatCode="#,##0" sourceLinked="0"/>
        <c:majorTickMark val="out"/>
        <c:minorTickMark val="none"/>
        <c:tickLblPos val="nextTo"/>
        <c:crossAx val="134312320"/>
        <c:crosses val="max"/>
        <c:crossBetween val="between"/>
        <c:dispUnits>
          <c:builtInUnit val="thousands"/>
        </c:dispUnits>
      </c:valAx>
      <c:dateAx>
        <c:axId val="134312320"/>
        <c:scaling>
          <c:orientation val="minMax"/>
        </c:scaling>
        <c:delete val="1"/>
        <c:axPos val="b"/>
        <c:numFmt formatCode="mmm\-yy" sourceLinked="1"/>
        <c:majorTickMark val="out"/>
        <c:minorTickMark val="none"/>
        <c:tickLblPos val="nextTo"/>
        <c:crossAx val="1342933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Q&amp;V2'!$AE$36</c:f>
              <c:strCache>
                <c:ptCount val="1"/>
                <c:pt idx="0">
                  <c:v>Quantity (t)</c:v>
                </c:pt>
              </c:strCache>
            </c:strRef>
          </c:tx>
          <c:invertIfNegative val="0"/>
          <c:cat>
            <c:strRef>
              <c:f>'Petroleum - Q&amp;V2'!$AD$37:$AD$58</c:f>
              <c:strCache>
                <c:ptCount val="22"/>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strCache>
            </c:strRef>
          </c:cat>
          <c:val>
            <c:numRef>
              <c:f>'Petroleum - Q&amp;V2'!$AE$37:$AE$58</c:f>
              <c:numCache>
                <c:formatCode>#,##0.00</c:formatCode>
                <c:ptCount val="22"/>
                <c:pt idx="0">
                  <c:v>7990862.5304647814</c:v>
                </c:pt>
                <c:pt idx="1">
                  <c:v>7587835.6769510843</c:v>
                </c:pt>
                <c:pt idx="2">
                  <c:v>8062589.5456086854</c:v>
                </c:pt>
                <c:pt idx="3">
                  <c:v>8198185.7048797477</c:v>
                </c:pt>
                <c:pt idx="4">
                  <c:v>8220764.5200752914</c:v>
                </c:pt>
                <c:pt idx="5">
                  <c:v>10929023.235157391</c:v>
                </c:pt>
                <c:pt idx="6">
                  <c:v>11679836</c:v>
                </c:pt>
                <c:pt idx="7">
                  <c:v>12211051</c:v>
                </c:pt>
                <c:pt idx="8">
                  <c:v>12148060</c:v>
                </c:pt>
                <c:pt idx="9">
                  <c:v>13943724</c:v>
                </c:pt>
                <c:pt idx="10">
                  <c:v>15717041</c:v>
                </c:pt>
                <c:pt idx="11">
                  <c:v>17290205.198225208</c:v>
                </c:pt>
                <c:pt idx="12">
                  <c:v>15610569.721008768</c:v>
                </c:pt>
                <c:pt idx="13">
                  <c:v>19804919</c:v>
                </c:pt>
                <c:pt idx="14">
                  <c:v>19826065</c:v>
                </c:pt>
                <c:pt idx="15">
                  <c:v>20447845</c:v>
                </c:pt>
                <c:pt idx="16">
                  <c:v>20955641</c:v>
                </c:pt>
                <c:pt idx="17">
                  <c:v>28685476.682250001</c:v>
                </c:pt>
                <c:pt idx="18">
                  <c:v>37893516.660594463</c:v>
                </c:pt>
                <c:pt idx="19">
                  <c:v>43635291.099991925</c:v>
                </c:pt>
                <c:pt idx="20">
                  <c:v>47113044.842457362</c:v>
                </c:pt>
                <c:pt idx="21">
                  <c:v>42392686.661688775</c:v>
                </c:pt>
              </c:numCache>
            </c:numRef>
          </c:val>
          <c:extLst>
            <c:ext xmlns:c16="http://schemas.microsoft.com/office/drawing/2014/chart" uri="{C3380CC4-5D6E-409C-BE32-E72D297353CC}">
              <c16:uniqueId val="{00000000-4FEA-45BE-A3E7-53054219F8C5}"/>
            </c:ext>
          </c:extLst>
        </c:ser>
        <c:dLbls>
          <c:showLegendKey val="0"/>
          <c:showVal val="0"/>
          <c:showCatName val="0"/>
          <c:showSerName val="0"/>
          <c:showPercent val="0"/>
          <c:showBubbleSize val="0"/>
        </c:dLbls>
        <c:gapWidth val="40"/>
        <c:axId val="134362240"/>
        <c:axId val="134351872"/>
      </c:barChart>
      <c:lineChart>
        <c:grouping val="standard"/>
        <c:varyColors val="0"/>
        <c:ser>
          <c:idx val="1"/>
          <c:order val="1"/>
          <c:tx>
            <c:strRef>
              <c:f>'Petroleum - Q&amp;V2'!$AG$36</c:f>
              <c:strCache>
                <c:ptCount val="1"/>
                <c:pt idx="0">
                  <c:v>Value ($ Million)</c:v>
                </c:pt>
              </c:strCache>
            </c:strRef>
          </c:tx>
          <c:marker>
            <c:symbol val="none"/>
          </c:marker>
          <c:cat>
            <c:strRef>
              <c:f>'Petroleum - Q&amp;V2'!$AD$37:$AD$58</c:f>
              <c:strCache>
                <c:ptCount val="22"/>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strCache>
            </c:strRef>
          </c:cat>
          <c:val>
            <c:numRef>
              <c:f>'Petroleum - Q&amp;V2'!$AG$37:$AG$58</c:f>
              <c:numCache>
                <c:formatCode>#,##0.00</c:formatCode>
                <c:ptCount val="22"/>
                <c:pt idx="0">
                  <c:v>1971.0604250000001</c:v>
                </c:pt>
                <c:pt idx="1">
                  <c:v>3012.4308918725401</c:v>
                </c:pt>
                <c:pt idx="2">
                  <c:v>3006.39753523746</c:v>
                </c:pt>
                <c:pt idx="3">
                  <c:v>3130.828043</c:v>
                </c:pt>
                <c:pt idx="4">
                  <c:v>2775.8814919999995</c:v>
                </c:pt>
                <c:pt idx="5">
                  <c:v>3794.8053936174865</c:v>
                </c:pt>
                <c:pt idx="6">
                  <c:v>4648.9595326157496</c:v>
                </c:pt>
                <c:pt idx="7">
                  <c:v>4434.3593540799166</c:v>
                </c:pt>
                <c:pt idx="8">
                  <c:v>5219.6847647091254</c:v>
                </c:pt>
                <c:pt idx="9">
                  <c:v>8517.5038741467542</c:v>
                </c:pt>
                <c:pt idx="10">
                  <c:v>7494.2483203693309</c:v>
                </c:pt>
                <c:pt idx="11">
                  <c:v>8328.719117976907</c:v>
                </c:pt>
                <c:pt idx="12">
                  <c:v>9495.543132431565</c:v>
                </c:pt>
                <c:pt idx="13">
                  <c:v>12147.214397231801</c:v>
                </c:pt>
                <c:pt idx="14">
                  <c:v>14651.522773511284</c:v>
                </c:pt>
                <c:pt idx="15">
                  <c:v>13817.042486841992</c:v>
                </c:pt>
                <c:pt idx="16">
                  <c:v>10764.545352932775</c:v>
                </c:pt>
                <c:pt idx="17">
                  <c:v>12728.310038069871</c:v>
                </c:pt>
                <c:pt idx="18">
                  <c:v>18920.841692784386</c:v>
                </c:pt>
                <c:pt idx="19">
                  <c:v>28800.073308003361</c:v>
                </c:pt>
                <c:pt idx="20">
                  <c:v>27047.964512300576</c:v>
                </c:pt>
                <c:pt idx="21">
                  <c:v>15780.495069759774</c:v>
                </c:pt>
              </c:numCache>
            </c:numRef>
          </c:val>
          <c:smooth val="0"/>
          <c:extLst>
            <c:ext xmlns:c16="http://schemas.microsoft.com/office/drawing/2014/chart" uri="{C3380CC4-5D6E-409C-BE32-E72D297353CC}">
              <c16:uniqueId val="{00000001-4FEA-45BE-A3E7-53054219F8C5}"/>
            </c:ext>
          </c:extLst>
        </c:ser>
        <c:dLbls>
          <c:showLegendKey val="0"/>
          <c:showVal val="0"/>
          <c:showCatName val="0"/>
          <c:showSerName val="0"/>
          <c:showPercent val="0"/>
          <c:showBubbleSize val="0"/>
        </c:dLbls>
        <c:marker val="1"/>
        <c:smooth val="0"/>
        <c:axId val="134347776"/>
        <c:axId val="134349952"/>
      </c:lineChart>
      <c:catAx>
        <c:axId val="134347776"/>
        <c:scaling>
          <c:orientation val="minMax"/>
        </c:scaling>
        <c:delete val="0"/>
        <c:axPos val="b"/>
        <c:title>
          <c:tx>
            <c:rich>
              <a:bodyPr/>
              <a:lstStyle/>
              <a:p>
                <a:pPr>
                  <a:defRPr/>
                </a:pPr>
                <a:r>
                  <a:rPr lang="en-AU" sz="1000" b="1" i="0" u="none" strike="noStrike" baseline="0">
                    <a:effectLst/>
                  </a:rPr>
                  <a:t>Source: DMIRS, NOPTA, EnergyQuest, and Woodside</a:t>
                </a:r>
                <a:endParaRPr lang="en-AU"/>
              </a:p>
            </c:rich>
          </c:tx>
          <c:layout>
            <c:manualLayout>
              <c:xMode val="edge"/>
              <c:yMode val="edge"/>
              <c:x val="0"/>
              <c:y val="0.94405253113618148"/>
            </c:manualLayout>
          </c:layout>
          <c:overlay val="0"/>
        </c:title>
        <c:numFmt formatCode="@@@@@@@@@" sourceLinked="0"/>
        <c:majorTickMark val="out"/>
        <c:minorTickMark val="none"/>
        <c:tickLblPos val="nextTo"/>
        <c:txPr>
          <a:bodyPr rot="-2700000"/>
          <a:lstStyle/>
          <a:p>
            <a:pPr>
              <a:defRPr/>
            </a:pPr>
            <a:endParaRPr lang="en-US"/>
          </a:p>
        </c:txPr>
        <c:crossAx val="134349952"/>
        <c:crosses val="autoZero"/>
        <c:auto val="0"/>
        <c:lblAlgn val="ctr"/>
        <c:lblOffset val="100"/>
        <c:tickLblSkip val="1"/>
        <c:noMultiLvlLbl val="0"/>
      </c:catAx>
      <c:valAx>
        <c:axId val="134349952"/>
        <c:scaling>
          <c:orientation val="minMax"/>
        </c:scaling>
        <c:delete val="0"/>
        <c:axPos val="l"/>
        <c:majorGridlines/>
        <c:title>
          <c:tx>
            <c:rich>
              <a:bodyPr rot="-5400000" vert="horz"/>
              <a:lstStyle/>
              <a:p>
                <a:pPr>
                  <a:defRPr/>
                </a:pPr>
                <a:r>
                  <a:rPr lang="en-AU"/>
                  <a:t>$ Million</a:t>
                </a:r>
              </a:p>
            </c:rich>
          </c:tx>
          <c:layout>
            <c:manualLayout>
              <c:xMode val="edge"/>
              <c:yMode val="edge"/>
              <c:x val="1.7662580050950286E-2"/>
              <c:y val="0.44760163968574446"/>
            </c:manualLayout>
          </c:layout>
          <c:overlay val="0"/>
        </c:title>
        <c:numFmt formatCode="#,##0" sourceLinked="0"/>
        <c:majorTickMark val="out"/>
        <c:minorTickMark val="none"/>
        <c:tickLblPos val="nextTo"/>
        <c:crossAx val="134347776"/>
        <c:crosses val="autoZero"/>
        <c:crossBetween val="between"/>
      </c:valAx>
      <c:valAx>
        <c:axId val="134351872"/>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362240"/>
        <c:crosses val="max"/>
        <c:crossBetween val="between"/>
      </c:valAx>
      <c:catAx>
        <c:axId val="134362240"/>
        <c:scaling>
          <c:orientation val="minMax"/>
        </c:scaling>
        <c:delete val="1"/>
        <c:axPos val="b"/>
        <c:numFmt formatCode="General" sourceLinked="1"/>
        <c:majorTickMark val="out"/>
        <c:minorTickMark val="none"/>
        <c:tickLblPos val="nextTo"/>
        <c:crossAx val="13435187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LPG - Butane And Propane</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Q&amp;V2'!$AH$36</c:f>
              <c:strCache>
                <c:ptCount val="1"/>
                <c:pt idx="0">
                  <c:v>Quantity (t)</c:v>
                </c:pt>
              </c:strCache>
            </c:strRef>
          </c:tx>
          <c:invertIfNegative val="0"/>
          <c:cat>
            <c:strRef>
              <c:f>'Petroleum - Q&amp;V2'!$AD$37:$AD$58</c:f>
              <c:strCache>
                <c:ptCount val="22"/>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strCache>
            </c:strRef>
          </c:cat>
          <c:val>
            <c:numRef>
              <c:f>'Petroleum - Q&amp;V2'!$AH$37:$AH$58</c:f>
              <c:numCache>
                <c:formatCode>#,##0.00</c:formatCode>
                <c:ptCount val="22"/>
                <c:pt idx="0">
                  <c:v>778149</c:v>
                </c:pt>
                <c:pt idx="1">
                  <c:v>796572</c:v>
                </c:pt>
                <c:pt idx="2">
                  <c:v>856522</c:v>
                </c:pt>
                <c:pt idx="3">
                  <c:v>807063</c:v>
                </c:pt>
                <c:pt idx="4">
                  <c:v>695262</c:v>
                </c:pt>
                <c:pt idx="5">
                  <c:v>764186</c:v>
                </c:pt>
                <c:pt idx="6">
                  <c:v>871983</c:v>
                </c:pt>
                <c:pt idx="7">
                  <c:v>898606</c:v>
                </c:pt>
                <c:pt idx="8">
                  <c:v>818390</c:v>
                </c:pt>
                <c:pt idx="9">
                  <c:v>866534</c:v>
                </c:pt>
                <c:pt idx="10">
                  <c:v>987896</c:v>
                </c:pt>
                <c:pt idx="11">
                  <c:v>923763</c:v>
                </c:pt>
                <c:pt idx="12">
                  <c:v>835271</c:v>
                </c:pt>
                <c:pt idx="13">
                  <c:v>752910</c:v>
                </c:pt>
                <c:pt idx="14">
                  <c:v>389533</c:v>
                </c:pt>
                <c:pt idx="15">
                  <c:v>553055</c:v>
                </c:pt>
                <c:pt idx="16">
                  <c:v>531595</c:v>
                </c:pt>
                <c:pt idx="17">
                  <c:v>527391</c:v>
                </c:pt>
                <c:pt idx="18">
                  <c:v>451242</c:v>
                </c:pt>
                <c:pt idx="19">
                  <c:v>447229</c:v>
                </c:pt>
                <c:pt idx="20">
                  <c:v>431562</c:v>
                </c:pt>
                <c:pt idx="21">
                  <c:v>379651</c:v>
                </c:pt>
              </c:numCache>
            </c:numRef>
          </c:val>
          <c:extLst>
            <c:ext xmlns:c16="http://schemas.microsoft.com/office/drawing/2014/chart" uri="{C3380CC4-5D6E-409C-BE32-E72D297353CC}">
              <c16:uniqueId val="{00000000-37A2-4058-B81C-FE5C6C36B0F7}"/>
            </c:ext>
          </c:extLst>
        </c:ser>
        <c:dLbls>
          <c:showLegendKey val="0"/>
          <c:showVal val="0"/>
          <c:showCatName val="0"/>
          <c:showSerName val="0"/>
          <c:showPercent val="0"/>
          <c:showBubbleSize val="0"/>
        </c:dLbls>
        <c:gapWidth val="40"/>
        <c:axId val="134411776"/>
        <c:axId val="134393216"/>
      </c:barChart>
      <c:lineChart>
        <c:grouping val="standard"/>
        <c:varyColors val="0"/>
        <c:ser>
          <c:idx val="1"/>
          <c:order val="1"/>
          <c:tx>
            <c:strRef>
              <c:f>'Petroleum - Q&amp;V2'!$AJ$36</c:f>
              <c:strCache>
                <c:ptCount val="1"/>
                <c:pt idx="0">
                  <c:v>Value ($ Million)</c:v>
                </c:pt>
              </c:strCache>
            </c:strRef>
          </c:tx>
          <c:marker>
            <c:symbol val="none"/>
          </c:marker>
          <c:cat>
            <c:strRef>
              <c:f>'Petroleum - Q&amp;V2'!$AD$37:$AD$58</c:f>
              <c:strCache>
                <c:ptCount val="22"/>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strCache>
            </c:strRef>
          </c:cat>
          <c:val>
            <c:numRef>
              <c:f>'Petroleum - Q&amp;V2'!$AJ$37:$AJ$58</c:f>
              <c:numCache>
                <c:formatCode>#,##0.00</c:formatCode>
                <c:ptCount val="22"/>
                <c:pt idx="0">
                  <c:v>336.83834999999999</c:v>
                </c:pt>
                <c:pt idx="1">
                  <c:v>409.50936400000001</c:v>
                </c:pt>
                <c:pt idx="2">
                  <c:v>361.57792499999999</c:v>
                </c:pt>
                <c:pt idx="3">
                  <c:v>393.863203</c:v>
                </c:pt>
                <c:pt idx="4">
                  <c:v>282.15068200000002</c:v>
                </c:pt>
                <c:pt idx="5">
                  <c:v>403.50175331283003</c:v>
                </c:pt>
                <c:pt idx="6">
                  <c:v>654.42383439349908</c:v>
                </c:pt>
                <c:pt idx="7">
                  <c:v>605.08472742592244</c:v>
                </c:pt>
                <c:pt idx="8">
                  <c:v>683.35221699510248</c:v>
                </c:pt>
                <c:pt idx="9">
                  <c:v>750.82534581660798</c:v>
                </c:pt>
                <c:pt idx="10">
                  <c:v>696.90199219554529</c:v>
                </c:pt>
                <c:pt idx="11">
                  <c:v>774.19745900998544</c:v>
                </c:pt>
                <c:pt idx="12">
                  <c:v>734.48465328098303</c:v>
                </c:pt>
                <c:pt idx="13">
                  <c:v>634.05263491956657</c:v>
                </c:pt>
                <c:pt idx="14">
                  <c:v>353.54133375915876</c:v>
                </c:pt>
                <c:pt idx="15">
                  <c:v>405.56551587200266</c:v>
                </c:pt>
                <c:pt idx="16">
                  <c:v>249.05907252354427</c:v>
                </c:pt>
                <c:pt idx="17">
                  <c:v>273.09730820693642</c:v>
                </c:pt>
                <c:pt idx="18">
                  <c:v>331.27141026354462</c:v>
                </c:pt>
                <c:pt idx="19">
                  <c:v>327.6357402929367</c:v>
                </c:pt>
                <c:pt idx="20">
                  <c:v>217.25367236001398</c:v>
                </c:pt>
                <c:pt idx="21">
                  <c:v>227.50406484030466</c:v>
                </c:pt>
              </c:numCache>
            </c:numRef>
          </c:val>
          <c:smooth val="0"/>
          <c:extLst>
            <c:ext xmlns:c16="http://schemas.microsoft.com/office/drawing/2014/chart" uri="{C3380CC4-5D6E-409C-BE32-E72D297353CC}">
              <c16:uniqueId val="{00000001-37A2-4058-B81C-FE5C6C36B0F7}"/>
            </c:ext>
          </c:extLst>
        </c:ser>
        <c:dLbls>
          <c:showLegendKey val="0"/>
          <c:showVal val="0"/>
          <c:showCatName val="0"/>
          <c:showSerName val="0"/>
          <c:showPercent val="0"/>
          <c:showBubbleSize val="0"/>
        </c:dLbls>
        <c:marker val="1"/>
        <c:smooth val="0"/>
        <c:axId val="134389120"/>
        <c:axId val="134391296"/>
      </c:lineChart>
      <c:catAx>
        <c:axId val="134389120"/>
        <c:scaling>
          <c:orientation val="minMax"/>
        </c:scaling>
        <c:delete val="0"/>
        <c:axPos val="b"/>
        <c:title>
          <c:tx>
            <c:rich>
              <a:bodyPr/>
              <a:lstStyle/>
              <a:p>
                <a:pPr>
                  <a:defRPr/>
                </a:pPr>
                <a:r>
                  <a:rPr lang="en-AU" sz="1000" b="1" i="0" baseline="0">
                    <a:effectLst/>
                  </a:rPr>
                  <a:t>Source: DMIRS, NOPTA, EnergyQuest and Woodside</a:t>
                </a:r>
                <a:endParaRPr lang="en-AU" sz="1000">
                  <a:effectLst/>
                </a:endParaRP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4391296"/>
        <c:crosses val="autoZero"/>
        <c:auto val="0"/>
        <c:lblAlgn val="ctr"/>
        <c:lblOffset val="100"/>
        <c:tickLblSkip val="1"/>
        <c:noMultiLvlLbl val="0"/>
      </c:catAx>
      <c:valAx>
        <c:axId val="13439129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389120"/>
        <c:crosses val="autoZero"/>
        <c:crossBetween val="between"/>
      </c:valAx>
      <c:valAx>
        <c:axId val="134393216"/>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411776"/>
        <c:crosses val="max"/>
        <c:crossBetween val="between"/>
      </c:valAx>
      <c:catAx>
        <c:axId val="134411776"/>
        <c:scaling>
          <c:orientation val="minMax"/>
        </c:scaling>
        <c:delete val="1"/>
        <c:axPos val="b"/>
        <c:numFmt formatCode="General" sourceLinked="1"/>
        <c:majorTickMark val="out"/>
        <c:minorTickMark val="none"/>
        <c:tickLblPos val="nextTo"/>
        <c:crossAx val="13439321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Q&amp;V2'!$AK$36</c:f>
              <c:strCache>
                <c:ptCount val="1"/>
                <c:pt idx="0">
                  <c:v>Quantity (000 cubic metres)</c:v>
                </c:pt>
              </c:strCache>
            </c:strRef>
          </c:tx>
          <c:invertIfNegative val="0"/>
          <c:cat>
            <c:strRef>
              <c:f>'Petroleum - Q&amp;V2'!$AD$37:$AD$58</c:f>
              <c:strCache>
                <c:ptCount val="22"/>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strCache>
            </c:strRef>
          </c:cat>
          <c:val>
            <c:numRef>
              <c:f>'Petroleum - Q&amp;V2'!$AK$37:$AK$58</c:f>
              <c:numCache>
                <c:formatCode>#,##0.00</c:formatCode>
                <c:ptCount val="22"/>
                <c:pt idx="0">
                  <c:v>6447139.8900000006</c:v>
                </c:pt>
                <c:pt idx="1">
                  <c:v>7560089</c:v>
                </c:pt>
                <c:pt idx="2">
                  <c:v>7456739</c:v>
                </c:pt>
                <c:pt idx="3">
                  <c:v>8120105</c:v>
                </c:pt>
                <c:pt idx="4">
                  <c:v>8060810</c:v>
                </c:pt>
                <c:pt idx="5">
                  <c:v>7642801</c:v>
                </c:pt>
                <c:pt idx="6">
                  <c:v>7713414</c:v>
                </c:pt>
                <c:pt idx="7">
                  <c:v>8714911</c:v>
                </c:pt>
                <c:pt idx="8">
                  <c:v>9159073</c:v>
                </c:pt>
                <c:pt idx="9">
                  <c:v>8598035</c:v>
                </c:pt>
                <c:pt idx="10">
                  <c:v>9357026</c:v>
                </c:pt>
                <c:pt idx="11">
                  <c:v>8981495</c:v>
                </c:pt>
                <c:pt idx="12">
                  <c:v>9080655</c:v>
                </c:pt>
                <c:pt idx="13">
                  <c:v>8713949</c:v>
                </c:pt>
                <c:pt idx="14">
                  <c:v>8217579.29</c:v>
                </c:pt>
                <c:pt idx="15">
                  <c:v>9875338.7119999994</c:v>
                </c:pt>
                <c:pt idx="16">
                  <c:v>10223641.3040339</c:v>
                </c:pt>
                <c:pt idx="17">
                  <c:v>9708933.994332375</c:v>
                </c:pt>
                <c:pt idx="18">
                  <c:v>10174919.539409887</c:v>
                </c:pt>
                <c:pt idx="19">
                  <c:v>10410026.327968743</c:v>
                </c:pt>
                <c:pt idx="20">
                  <c:v>11158952.040437331</c:v>
                </c:pt>
                <c:pt idx="21">
                  <c:v>10178574.95177735</c:v>
                </c:pt>
              </c:numCache>
            </c:numRef>
          </c:val>
          <c:extLst>
            <c:ext xmlns:c16="http://schemas.microsoft.com/office/drawing/2014/chart" uri="{C3380CC4-5D6E-409C-BE32-E72D297353CC}">
              <c16:uniqueId val="{00000000-8A07-4307-9110-F37471CF6A48}"/>
            </c:ext>
          </c:extLst>
        </c:ser>
        <c:dLbls>
          <c:showLegendKey val="0"/>
          <c:showVal val="0"/>
          <c:showCatName val="0"/>
          <c:showSerName val="0"/>
          <c:showPercent val="0"/>
          <c:showBubbleSize val="0"/>
        </c:dLbls>
        <c:gapWidth val="40"/>
        <c:axId val="135821568"/>
        <c:axId val="135819648"/>
      </c:barChart>
      <c:lineChart>
        <c:grouping val="standard"/>
        <c:varyColors val="0"/>
        <c:ser>
          <c:idx val="1"/>
          <c:order val="1"/>
          <c:tx>
            <c:strRef>
              <c:f>'Petroleum - Q&amp;V2'!$AM$36</c:f>
              <c:strCache>
                <c:ptCount val="1"/>
                <c:pt idx="0">
                  <c:v>Value ($ Million)</c:v>
                </c:pt>
              </c:strCache>
            </c:strRef>
          </c:tx>
          <c:marker>
            <c:symbol val="none"/>
          </c:marker>
          <c:cat>
            <c:strRef>
              <c:f>'Petroleum - Q&amp;V2'!$AD$37:$AD$58</c:f>
              <c:strCache>
                <c:ptCount val="22"/>
                <c:pt idx="0">
                  <c:v>1999-2000</c:v>
                </c:pt>
                <c:pt idx="1">
                  <c:v>2000-2001</c:v>
                </c:pt>
                <c:pt idx="2">
                  <c:v>2001-2002</c:v>
                </c:pt>
                <c:pt idx="3">
                  <c:v>2002-2003</c:v>
                </c:pt>
                <c:pt idx="4">
                  <c:v>2003-2004</c:v>
                </c:pt>
                <c:pt idx="5">
                  <c:v>2004-2005</c:v>
                </c:pt>
                <c:pt idx="6">
                  <c:v>2005-2006</c:v>
                </c:pt>
                <c:pt idx="7">
                  <c:v>2006-2007</c:v>
                </c:pt>
                <c:pt idx="8">
                  <c:v>2007-2008</c:v>
                </c:pt>
                <c:pt idx="9">
                  <c:v>2008-2009</c:v>
                </c:pt>
                <c:pt idx="10">
                  <c:v>2009-2010</c:v>
                </c:pt>
                <c:pt idx="11">
                  <c:v>2010-2011</c:v>
                </c:pt>
                <c:pt idx="12">
                  <c:v>2011-2012</c:v>
                </c:pt>
                <c:pt idx="13">
                  <c:v>2012-2013</c:v>
                </c:pt>
                <c:pt idx="14">
                  <c:v>2013-2014</c:v>
                </c:pt>
                <c:pt idx="15">
                  <c:v>2014-2015</c:v>
                </c:pt>
                <c:pt idx="16">
                  <c:v>2015-2016</c:v>
                </c:pt>
                <c:pt idx="17">
                  <c:v>2016-2017</c:v>
                </c:pt>
                <c:pt idx="18">
                  <c:v>2017-2018</c:v>
                </c:pt>
                <c:pt idx="19">
                  <c:v>2018-2019</c:v>
                </c:pt>
                <c:pt idx="20">
                  <c:v>2019-2020</c:v>
                </c:pt>
                <c:pt idx="21">
                  <c:v>2020-2021</c:v>
                </c:pt>
              </c:strCache>
            </c:strRef>
          </c:cat>
          <c:val>
            <c:numRef>
              <c:f>'Petroleum - Q&amp;V2'!$AM$37:$AM$58</c:f>
              <c:numCache>
                <c:formatCode>#,##0.00</c:formatCode>
                <c:ptCount val="22"/>
                <c:pt idx="0">
                  <c:v>569.38400000000001</c:v>
                </c:pt>
                <c:pt idx="1">
                  <c:v>626.17802221454951</c:v>
                </c:pt>
                <c:pt idx="2">
                  <c:v>638.879233</c:v>
                </c:pt>
                <c:pt idx="3">
                  <c:v>661.92054399999995</c:v>
                </c:pt>
                <c:pt idx="4">
                  <c:v>681.04365699999994</c:v>
                </c:pt>
                <c:pt idx="5">
                  <c:v>678.72297100000003</c:v>
                </c:pt>
                <c:pt idx="6">
                  <c:v>700.98281099999997</c:v>
                </c:pt>
                <c:pt idx="7">
                  <c:v>918.02203399999996</c:v>
                </c:pt>
                <c:pt idx="8">
                  <c:v>1054.0182279999999</c:v>
                </c:pt>
                <c:pt idx="9">
                  <c:v>1232.2089879999999</c:v>
                </c:pt>
                <c:pt idx="10">
                  <c:v>1320.8017770000001</c:v>
                </c:pt>
                <c:pt idx="11">
                  <c:v>1364.5890670000001</c:v>
                </c:pt>
                <c:pt idx="12">
                  <c:v>1449.8102289999999</c:v>
                </c:pt>
                <c:pt idx="13">
                  <c:v>1434.5507720000001</c:v>
                </c:pt>
                <c:pt idx="14">
                  <c:v>1446.9357105200002</c:v>
                </c:pt>
                <c:pt idx="15">
                  <c:v>1820.1970551041886</c:v>
                </c:pt>
                <c:pt idx="16">
                  <c:v>1908.4870744258478</c:v>
                </c:pt>
                <c:pt idx="17">
                  <c:v>1834.9060423134713</c:v>
                </c:pt>
                <c:pt idx="18">
                  <c:v>1659.894180277179</c:v>
                </c:pt>
                <c:pt idx="19">
                  <c:v>1607.1901862926522</c:v>
                </c:pt>
                <c:pt idx="20">
                  <c:v>1773.0547295934143</c:v>
                </c:pt>
                <c:pt idx="21">
                  <c:v>1471.3615646545691</c:v>
                </c:pt>
              </c:numCache>
            </c:numRef>
          </c:val>
          <c:smooth val="0"/>
          <c:extLst>
            <c:ext xmlns:c16="http://schemas.microsoft.com/office/drawing/2014/chart" uri="{C3380CC4-5D6E-409C-BE32-E72D297353CC}">
              <c16:uniqueId val="{00000001-8A07-4307-9110-F37471CF6A48}"/>
            </c:ext>
          </c:extLst>
        </c:ser>
        <c:dLbls>
          <c:showLegendKey val="0"/>
          <c:showVal val="0"/>
          <c:showCatName val="0"/>
          <c:showSerName val="0"/>
          <c:showPercent val="0"/>
          <c:showBubbleSize val="0"/>
        </c:dLbls>
        <c:marker val="1"/>
        <c:smooth val="0"/>
        <c:axId val="135811456"/>
        <c:axId val="135813376"/>
      </c:lineChart>
      <c:dateAx>
        <c:axId val="135811456"/>
        <c:scaling>
          <c:orientation val="minMax"/>
        </c:scaling>
        <c:delete val="0"/>
        <c:axPos val="b"/>
        <c:title>
          <c:tx>
            <c:rich>
              <a:bodyPr/>
              <a:lstStyle/>
              <a:p>
                <a:pPr>
                  <a:defRPr/>
                </a:pPr>
                <a:r>
                  <a:rPr lang="en-AU" sz="1000" b="1" i="0" baseline="0">
                    <a:effectLst/>
                  </a:rPr>
                  <a:t>Source: DMIRS, NOPTA, EnergyQuest and Woodside</a:t>
                </a:r>
                <a:endParaRPr lang="en-AU" sz="1000">
                  <a:effectLst/>
                </a:endParaRPr>
              </a:p>
            </c:rich>
          </c:tx>
          <c:layout>
            <c:manualLayout>
              <c:xMode val="edge"/>
              <c:yMode val="edge"/>
              <c:x val="1.1532814620415072E-2"/>
              <c:y val="0.94713224908928129"/>
            </c:manualLayout>
          </c:layout>
          <c:overlay val="0"/>
        </c:title>
        <c:numFmt formatCode="@@@@@@@@@" sourceLinked="0"/>
        <c:majorTickMark val="out"/>
        <c:minorTickMark val="none"/>
        <c:tickLblPos val="nextTo"/>
        <c:txPr>
          <a:bodyPr rot="-2700000"/>
          <a:lstStyle/>
          <a:p>
            <a:pPr>
              <a:defRPr/>
            </a:pPr>
            <a:endParaRPr lang="en-US"/>
          </a:p>
        </c:txPr>
        <c:crossAx val="135813376"/>
        <c:crosses val="autoZero"/>
        <c:auto val="0"/>
        <c:lblOffset val="100"/>
        <c:baseTimeUnit val="days"/>
        <c:majorUnit val="1"/>
        <c:majorTimeUnit val="days"/>
      </c:dateAx>
      <c:valAx>
        <c:axId val="13581337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5811456"/>
        <c:crosses val="autoZero"/>
        <c:crossBetween val="between"/>
      </c:valAx>
      <c:valAx>
        <c:axId val="135819648"/>
        <c:scaling>
          <c:orientation val="minMax"/>
        </c:scaling>
        <c:delete val="0"/>
        <c:axPos val="r"/>
        <c:title>
          <c:tx>
            <c:rich>
              <a:bodyPr rot="-5400000" vert="horz"/>
              <a:lstStyle/>
              <a:p>
                <a:pPr>
                  <a:defRPr/>
                </a:pPr>
                <a:r>
                  <a:rPr lang="en-AU"/>
                  <a:t>'000 cubic metres</a:t>
                </a:r>
              </a:p>
            </c:rich>
          </c:tx>
          <c:overlay val="0"/>
        </c:title>
        <c:numFmt formatCode="#,##0" sourceLinked="0"/>
        <c:majorTickMark val="out"/>
        <c:minorTickMark val="none"/>
        <c:tickLblPos val="nextTo"/>
        <c:crossAx val="135821568"/>
        <c:crosses val="max"/>
        <c:crossBetween val="between"/>
      </c:valAx>
      <c:catAx>
        <c:axId val="135821568"/>
        <c:scaling>
          <c:orientation val="minMax"/>
        </c:scaling>
        <c:delete val="1"/>
        <c:axPos val="b"/>
        <c:numFmt formatCode="General" sourceLinked="1"/>
        <c:majorTickMark val="out"/>
        <c:minorTickMark val="none"/>
        <c:tickLblPos val="nextTo"/>
        <c:crossAx val="1358196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a:t>Tapis Crude</a:t>
            </a:r>
          </a:p>
          <a:p>
            <a:pPr>
              <a:defRPr/>
            </a:pPr>
            <a:r>
              <a:rPr lang="en-US" sz="1100"/>
              <a:t>Historic Average</a:t>
            </a:r>
            <a:r>
              <a:rPr lang="en-US" sz="1100" baseline="0"/>
              <a:t> </a:t>
            </a:r>
            <a:r>
              <a:rPr lang="en-US" sz="1100"/>
              <a:t>Annual Price</a:t>
            </a:r>
            <a:endParaRPr lang="en-AU" sz="1100"/>
          </a:p>
        </c:rich>
      </c:tx>
      <c:overlay val="0"/>
    </c:title>
    <c:autoTitleDeleted val="0"/>
    <c:plotArea>
      <c:layout>
        <c:manualLayout>
          <c:layoutTarget val="inner"/>
          <c:xMode val="edge"/>
          <c:yMode val="edge"/>
          <c:x val="0.15691646414361285"/>
          <c:y val="0.18963238735697302"/>
          <c:w val="0.81839910605964761"/>
          <c:h val="0.6069583465732612"/>
        </c:manualLayout>
      </c:layout>
      <c:lineChart>
        <c:grouping val="standard"/>
        <c:varyColors val="0"/>
        <c:ser>
          <c:idx val="0"/>
          <c:order val="0"/>
          <c:marker>
            <c:symbol val="none"/>
          </c:marker>
          <c:cat>
            <c:strRef>
              <c:f>'Petroleum - Oil Prices'!$F$8:$F$36</c:f>
              <c:strCache>
                <c:ptCount val="29"/>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strCache>
            </c:strRef>
          </c:cat>
          <c:val>
            <c:numRef>
              <c:f>'Petroleum - Oil Prices'!$G$8:$G$36</c:f>
              <c:numCache>
                <c:formatCode>#,##0.00</c:formatCode>
                <c:ptCount val="29"/>
                <c:pt idx="0">
                  <c:v>20.759166666666669</c:v>
                </c:pt>
                <c:pt idx="1">
                  <c:v>17.185000000000002</c:v>
                </c:pt>
                <c:pt idx="2">
                  <c:v>18.294999999999998</c:v>
                </c:pt>
                <c:pt idx="3">
                  <c:v>19.191666666666666</c:v>
                </c:pt>
                <c:pt idx="4">
                  <c:v>22.936666666666667</c:v>
                </c:pt>
                <c:pt idx="5">
                  <c:v>17.177499999999998</c:v>
                </c:pt>
                <c:pt idx="6">
                  <c:v>13.875</c:v>
                </c:pt>
                <c:pt idx="7">
                  <c:v>25.590000000000003</c:v>
                </c:pt>
                <c:pt idx="8">
                  <c:v>29.580833333333334</c:v>
                </c:pt>
                <c:pt idx="9">
                  <c:v>23.283333333333331</c:v>
                </c:pt>
                <c:pt idx="10">
                  <c:v>28.802499999999998</c:v>
                </c:pt>
                <c:pt idx="11">
                  <c:v>33.245833333333337</c:v>
                </c:pt>
                <c:pt idx="12">
                  <c:v>49.409166666666671</c:v>
                </c:pt>
                <c:pt idx="13">
                  <c:v>66.512500000000003</c:v>
                </c:pt>
                <c:pt idx="14">
                  <c:v>69.087500000000006</c:v>
                </c:pt>
                <c:pt idx="15">
                  <c:v>101.46083333333335</c:v>
                </c:pt>
                <c:pt idx="16">
                  <c:v>72.328333333333333</c:v>
                </c:pt>
                <c:pt idx="17">
                  <c:v>78.571666666666673</c:v>
                </c:pt>
                <c:pt idx="18">
                  <c:v>101.2975</c:v>
                </c:pt>
                <c:pt idx="19">
                  <c:v>120.74833333333333</c:v>
                </c:pt>
                <c:pt idx="20">
                  <c:v>114.19500000000001</c:v>
                </c:pt>
                <c:pt idx="21">
                  <c:v>115.62166666666667</c:v>
                </c:pt>
                <c:pt idx="22">
                  <c:v>76.696666666666673</c:v>
                </c:pt>
                <c:pt idx="23">
                  <c:v>45.047500000000007</c:v>
                </c:pt>
                <c:pt idx="24">
                  <c:v>51.377499999999998</c:v>
                </c:pt>
                <c:pt idx="25">
                  <c:v>64.984999999999999</c:v>
                </c:pt>
                <c:pt idx="26">
                  <c:v>70.435000000000002</c:v>
                </c:pt>
                <c:pt idx="27">
                  <c:v>55.101666666666667</c:v>
                </c:pt>
                <c:pt idx="28">
                  <c:v>54.590833333333336</c:v>
                </c:pt>
              </c:numCache>
            </c:numRef>
          </c:val>
          <c:smooth val="0"/>
          <c:extLst>
            <c:ext xmlns:c16="http://schemas.microsoft.com/office/drawing/2014/chart" uri="{C3380CC4-5D6E-409C-BE32-E72D297353CC}">
              <c16:uniqueId val="{00000000-C8DB-401B-975E-60C6D5C74ECA}"/>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WA Treasury Corporation</a:t>
                </a:r>
              </a:p>
            </c:rich>
          </c:tx>
          <c:layout>
            <c:manualLayout>
              <c:xMode val="edge"/>
              <c:yMode val="edge"/>
              <c:x val="0"/>
              <c:y val="0.94793328605621074"/>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 val="autoZero"/>
        <c:auto val="0"/>
        <c:lblAlgn val="ctr"/>
        <c:lblOffset val="100"/>
        <c:tickLblSkip val="1"/>
        <c:tickMarkSkip val="1"/>
        <c:noMultiLvlLbl val="1"/>
      </c:catAx>
      <c:valAx>
        <c:axId val="130790144"/>
        <c:scaling>
          <c:orientation val="minMax"/>
        </c:scaling>
        <c:delete val="0"/>
        <c:axPos val="l"/>
        <c:majorGridlines/>
        <c:title>
          <c:tx>
            <c:rich>
              <a:bodyPr rot="-5400000" vert="horz"/>
              <a:lstStyle/>
              <a:p>
                <a:pPr>
                  <a:defRPr/>
                </a:pPr>
                <a:r>
                  <a:rPr lang="en-AU"/>
                  <a:t>US$/bbl</a:t>
                </a:r>
              </a:p>
            </c:rich>
          </c:tx>
          <c:overlay val="0"/>
        </c:title>
        <c:numFmt formatCode="#,##0" sourceLinked="0"/>
        <c:majorTickMark val="out"/>
        <c:minorTickMark val="none"/>
        <c:tickLblPos val="nextTo"/>
        <c:spPr>
          <a:ln/>
        </c:spPr>
        <c:crossAx val="130783872"/>
        <c:crosses val="autoZero"/>
        <c:crossBetween val="between"/>
      </c:valAx>
    </c:plotArea>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Tapis Crude</a:t>
            </a:r>
          </a:p>
          <a:p>
            <a:pPr>
              <a:defRPr/>
            </a:pPr>
            <a:r>
              <a:rPr lang="en-AU" sz="1100"/>
              <a:t>Monthly Price, Past 5 Years</a:t>
            </a:r>
          </a:p>
        </c:rich>
      </c:tx>
      <c:overlay val="0"/>
    </c:title>
    <c:autoTitleDeleted val="0"/>
    <c:plotArea>
      <c:layout/>
      <c:lineChart>
        <c:grouping val="standard"/>
        <c:varyColors val="0"/>
        <c:ser>
          <c:idx val="0"/>
          <c:order val="0"/>
          <c:tx>
            <c:strRef>
              <c:f>'Petroleum - Oil Prices'!$B$7</c:f>
              <c:strCache>
                <c:ptCount val="1"/>
                <c:pt idx="0">
                  <c:v>US$ per barrel</c:v>
                </c:pt>
              </c:strCache>
            </c:strRef>
          </c:tx>
          <c:marker>
            <c:symbol val="none"/>
          </c:marker>
          <c:cat>
            <c:numRef>
              <c:f>'Commodity Prices'!$AX$9:$AX$68</c:f>
              <c:numCache>
                <c:formatCode>General</c:formatCode>
                <c:ptCount val="60"/>
                <c:pt idx="2" formatCode="mmm\-yy">
                  <c:v>42614</c:v>
                </c:pt>
                <c:pt idx="5" formatCode="mmm\-yy">
                  <c:v>42705</c:v>
                </c:pt>
                <c:pt idx="8" formatCode="mmm\-yy">
                  <c:v>42795</c:v>
                </c:pt>
                <c:pt idx="11" formatCode="mmm\-yy">
                  <c:v>42887</c:v>
                </c:pt>
                <c:pt idx="14" formatCode="mmm\-yy">
                  <c:v>42979</c:v>
                </c:pt>
                <c:pt idx="17" formatCode="mmm\-yy">
                  <c:v>43070</c:v>
                </c:pt>
                <c:pt idx="20" formatCode="mmm\-yy">
                  <c:v>43160</c:v>
                </c:pt>
                <c:pt idx="23" formatCode="mmm\-yy">
                  <c:v>43252</c:v>
                </c:pt>
                <c:pt idx="26" formatCode="mmm\-yy">
                  <c:v>43344</c:v>
                </c:pt>
                <c:pt idx="29" formatCode="mmm\-yy">
                  <c:v>43435</c:v>
                </c:pt>
                <c:pt idx="32" formatCode="mmm\-yy">
                  <c:v>43525</c:v>
                </c:pt>
                <c:pt idx="35" formatCode="mmm\-yy">
                  <c:v>43617</c:v>
                </c:pt>
                <c:pt idx="38" formatCode="mmm\-yy">
                  <c:v>43709</c:v>
                </c:pt>
                <c:pt idx="41" formatCode="mmm\-yy">
                  <c:v>43800</c:v>
                </c:pt>
                <c:pt idx="44" formatCode="mmm\-yy">
                  <c:v>43891</c:v>
                </c:pt>
                <c:pt idx="47" formatCode="mmm\-yy">
                  <c:v>43983</c:v>
                </c:pt>
                <c:pt idx="50" formatCode="mmm\-yy">
                  <c:v>44075</c:v>
                </c:pt>
                <c:pt idx="53" formatCode="mmm\-yy">
                  <c:v>44166</c:v>
                </c:pt>
                <c:pt idx="56" formatCode="mmm\-yy">
                  <c:v>44256</c:v>
                </c:pt>
                <c:pt idx="59" formatCode="mmm\-yy">
                  <c:v>44348</c:v>
                </c:pt>
              </c:numCache>
            </c:numRef>
          </c:cat>
          <c:val>
            <c:numRef>
              <c:f>'Petroleum - Oil Prices'!$B$8:$B$67</c:f>
              <c:numCache>
                <c:formatCode>#,##0.00</c:formatCode>
                <c:ptCount val="60"/>
                <c:pt idx="0">
                  <c:v>45.84</c:v>
                </c:pt>
                <c:pt idx="1">
                  <c:v>46.4</c:v>
                </c:pt>
                <c:pt idx="2">
                  <c:v>46.87</c:v>
                </c:pt>
                <c:pt idx="3">
                  <c:v>51.24</c:v>
                </c:pt>
                <c:pt idx="4">
                  <c:v>48.22</c:v>
                </c:pt>
                <c:pt idx="5">
                  <c:v>55.75</c:v>
                </c:pt>
                <c:pt idx="6">
                  <c:v>56.79</c:v>
                </c:pt>
                <c:pt idx="7">
                  <c:v>57.28</c:v>
                </c:pt>
                <c:pt idx="8">
                  <c:v>53.85</c:v>
                </c:pt>
                <c:pt idx="9">
                  <c:v>54.54</c:v>
                </c:pt>
                <c:pt idx="10">
                  <c:v>51.87</c:v>
                </c:pt>
                <c:pt idx="11">
                  <c:v>47.88</c:v>
                </c:pt>
                <c:pt idx="12">
                  <c:v>48.77</c:v>
                </c:pt>
                <c:pt idx="13">
                  <c:v>51.64</c:v>
                </c:pt>
                <c:pt idx="14">
                  <c:v>55.91</c:v>
                </c:pt>
                <c:pt idx="15">
                  <c:v>58.72</c:v>
                </c:pt>
                <c:pt idx="16">
                  <c:v>64.37</c:v>
                </c:pt>
                <c:pt idx="17">
                  <c:v>65.989999999999995</c:v>
                </c:pt>
                <c:pt idx="18">
                  <c:v>70.72</c:v>
                </c:pt>
                <c:pt idx="19">
                  <c:v>67.489999999999995</c:v>
                </c:pt>
                <c:pt idx="20">
                  <c:v>67.87</c:v>
                </c:pt>
                <c:pt idx="21">
                  <c:v>73.02</c:v>
                </c:pt>
                <c:pt idx="22">
                  <c:v>78.41</c:v>
                </c:pt>
                <c:pt idx="23">
                  <c:v>76.91</c:v>
                </c:pt>
                <c:pt idx="24">
                  <c:v>76.33</c:v>
                </c:pt>
                <c:pt idx="25">
                  <c:v>74.77</c:v>
                </c:pt>
                <c:pt idx="26">
                  <c:v>80.540000000000006</c:v>
                </c:pt>
                <c:pt idx="27">
                  <c:v>82.44</c:v>
                </c:pt>
                <c:pt idx="28">
                  <c:v>67.38</c:v>
                </c:pt>
                <c:pt idx="29">
                  <c:v>58.9</c:v>
                </c:pt>
                <c:pt idx="30">
                  <c:v>60.95</c:v>
                </c:pt>
                <c:pt idx="31">
                  <c:v>65.84</c:v>
                </c:pt>
                <c:pt idx="32">
                  <c:v>68.11</c:v>
                </c:pt>
                <c:pt idx="33">
                  <c:v>72.77</c:v>
                </c:pt>
                <c:pt idx="34">
                  <c:v>72.239999999999995</c:v>
                </c:pt>
                <c:pt idx="35">
                  <c:v>64.95</c:v>
                </c:pt>
                <c:pt idx="36">
                  <c:v>66.09</c:v>
                </c:pt>
                <c:pt idx="37">
                  <c:v>61.46</c:v>
                </c:pt>
                <c:pt idx="38">
                  <c:v>64.05</c:v>
                </c:pt>
                <c:pt idx="39">
                  <c:v>60.86</c:v>
                </c:pt>
                <c:pt idx="40">
                  <c:v>64.239999999999995</c:v>
                </c:pt>
                <c:pt idx="41">
                  <c:v>75.52</c:v>
                </c:pt>
                <c:pt idx="42">
                  <c:v>71.59</c:v>
                </c:pt>
                <c:pt idx="43">
                  <c:v>62.95</c:v>
                </c:pt>
                <c:pt idx="44">
                  <c:v>41.32</c:v>
                </c:pt>
                <c:pt idx="45">
                  <c:v>27.08</c:v>
                </c:pt>
                <c:pt idx="46">
                  <c:v>31.49</c:v>
                </c:pt>
                <c:pt idx="47">
                  <c:v>34.57</c:v>
                </c:pt>
                <c:pt idx="48">
                  <c:v>43.8</c:v>
                </c:pt>
                <c:pt idx="49">
                  <c:v>46.35</c:v>
                </c:pt>
                <c:pt idx="50">
                  <c:v>42.38</c:v>
                </c:pt>
                <c:pt idx="51">
                  <c:v>39.450000000000003</c:v>
                </c:pt>
                <c:pt idx="52">
                  <c:v>41.24</c:v>
                </c:pt>
                <c:pt idx="53">
                  <c:v>49.55</c:v>
                </c:pt>
                <c:pt idx="54">
                  <c:v>55.49</c:v>
                </c:pt>
                <c:pt idx="55">
                  <c:v>63.02</c:v>
                </c:pt>
                <c:pt idx="56">
                  <c:v>66.459999999999994</c:v>
                </c:pt>
                <c:pt idx="57">
                  <c:v>64.650000000000006</c:v>
                </c:pt>
                <c:pt idx="58">
                  <c:v>68.94</c:v>
                </c:pt>
                <c:pt idx="59">
                  <c:v>73.760000000000005</c:v>
                </c:pt>
              </c:numCache>
            </c:numRef>
          </c:val>
          <c:smooth val="0"/>
          <c:extLst>
            <c:ext xmlns:c16="http://schemas.microsoft.com/office/drawing/2014/chart" uri="{C3380CC4-5D6E-409C-BE32-E72D297353CC}">
              <c16:uniqueId val="{00000000-9512-4A14-9970-BD0E0093FB49}"/>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US$/bbl</a:t>
                </a:r>
              </a:p>
            </c:rich>
          </c:tx>
          <c:overlay val="0"/>
        </c:title>
        <c:numFmt formatCode="#,##0" sourceLinked="0"/>
        <c:majorTickMark val="out"/>
        <c:minorTickMark val="none"/>
        <c:tickLblPos val="nextTo"/>
        <c:crossAx val="134163072"/>
        <c:crosses val="autoZero"/>
        <c:crossBetween val="between"/>
      </c:valAx>
      <c:catAx>
        <c:axId val="134163072"/>
        <c:scaling>
          <c:orientation val="minMax"/>
        </c:scaling>
        <c:delete val="0"/>
        <c:axPos val="b"/>
        <c:title>
          <c:tx>
            <c:rich>
              <a:bodyPr/>
              <a:lstStyle/>
              <a:p>
                <a:pPr>
                  <a:defRPr sz="900"/>
                </a:pPr>
                <a:r>
                  <a:rPr lang="en-AU" sz="900"/>
                  <a:t>Source:  WA Treasury Corporation</a:t>
                </a:r>
              </a:p>
            </c:rich>
          </c:tx>
          <c:layout>
            <c:manualLayout>
              <c:xMode val="edge"/>
              <c:yMode val="edge"/>
              <c:x val="0"/>
              <c:y val="0.95537373296375794"/>
            </c:manualLayout>
          </c:layout>
          <c:overlay val="0"/>
        </c:title>
        <c:numFmt formatCode="General" sourceLinked="1"/>
        <c:majorTickMark val="out"/>
        <c:minorTickMark val="none"/>
        <c:tickLblPos val="nextTo"/>
        <c:crossAx val="134161536"/>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'Alumina - Exports'!$W$1</c:f>
          <c:strCache>
            <c:ptCount val="1"/>
            <c:pt idx="0">
              <c:v>Alumina And Bauxite Exports 2020-21
Total Value: $5,668,047,437</c:v>
            </c:pt>
          </c:strCache>
        </c:strRef>
      </c:tx>
      <c:overlay val="0"/>
    </c:title>
    <c:autoTitleDeleted val="0"/>
    <c:plotArea>
      <c:layout>
        <c:manualLayout>
          <c:layoutTarget val="inner"/>
          <c:xMode val="edge"/>
          <c:yMode val="edge"/>
          <c:x val="0.30619823221337283"/>
          <c:y val="0.1968584513843219"/>
          <c:w val="0.41549024198579698"/>
          <c:h val="0.71749453440216138"/>
        </c:manualLayout>
      </c:layout>
      <c:pieChart>
        <c:varyColors val="1"/>
        <c:ser>
          <c:idx val="0"/>
          <c:order val="0"/>
          <c:tx>
            <c:v>Exports</c:v>
          </c:tx>
          <c:dPt>
            <c:idx val="0"/>
            <c:bubble3D val="0"/>
            <c:extLst>
              <c:ext xmlns:c16="http://schemas.microsoft.com/office/drawing/2014/chart" uri="{C3380CC4-5D6E-409C-BE32-E72D297353CC}">
                <c16:uniqueId val="{00000000-6D57-4FBB-B4B2-7EA9506FD372}"/>
              </c:ext>
            </c:extLst>
          </c:dPt>
          <c:dPt>
            <c:idx val="1"/>
            <c:bubble3D val="0"/>
            <c:extLst>
              <c:ext xmlns:c16="http://schemas.microsoft.com/office/drawing/2014/chart" uri="{C3380CC4-5D6E-409C-BE32-E72D297353CC}">
                <c16:uniqueId val="{00000001-6D57-4FBB-B4B2-7EA9506FD372}"/>
              </c:ext>
            </c:extLst>
          </c:dPt>
          <c:dPt>
            <c:idx val="2"/>
            <c:bubble3D val="0"/>
            <c:extLst>
              <c:ext xmlns:c16="http://schemas.microsoft.com/office/drawing/2014/chart" uri="{C3380CC4-5D6E-409C-BE32-E72D297353CC}">
                <c16:uniqueId val="{00000002-6D57-4FBB-B4B2-7EA9506FD372}"/>
              </c:ext>
            </c:extLst>
          </c:dPt>
          <c:dPt>
            <c:idx val="3"/>
            <c:bubble3D val="0"/>
            <c:extLst>
              <c:ext xmlns:c16="http://schemas.microsoft.com/office/drawing/2014/chart" uri="{C3380CC4-5D6E-409C-BE32-E72D297353CC}">
                <c16:uniqueId val="{00000003-6D57-4FBB-B4B2-7EA9506FD372}"/>
              </c:ext>
            </c:extLst>
          </c:dPt>
          <c:dPt>
            <c:idx val="4"/>
            <c:bubble3D val="0"/>
            <c:extLst>
              <c:ext xmlns:c16="http://schemas.microsoft.com/office/drawing/2014/chart" uri="{C3380CC4-5D6E-409C-BE32-E72D297353CC}">
                <c16:uniqueId val="{00000004-6D57-4FBB-B4B2-7EA9506FD372}"/>
              </c:ext>
            </c:extLst>
          </c:dPt>
          <c:dPt>
            <c:idx val="5"/>
            <c:bubble3D val="0"/>
            <c:extLst>
              <c:ext xmlns:c16="http://schemas.microsoft.com/office/drawing/2014/chart" uri="{C3380CC4-5D6E-409C-BE32-E72D297353CC}">
                <c16:uniqueId val="{00000005-6D57-4FBB-B4B2-7EA9506FD372}"/>
              </c:ext>
            </c:extLst>
          </c:dPt>
          <c:dPt>
            <c:idx val="6"/>
            <c:bubble3D val="0"/>
            <c:extLst>
              <c:ext xmlns:c16="http://schemas.microsoft.com/office/drawing/2014/chart" uri="{C3380CC4-5D6E-409C-BE32-E72D297353CC}">
                <c16:uniqueId val="{00000006-6D57-4FBB-B4B2-7EA9506FD372}"/>
              </c:ext>
            </c:extLst>
          </c:dPt>
          <c:dPt>
            <c:idx val="7"/>
            <c:bubble3D val="0"/>
            <c:extLst>
              <c:ext xmlns:c16="http://schemas.microsoft.com/office/drawing/2014/chart" uri="{C3380CC4-5D6E-409C-BE32-E72D297353CC}">
                <c16:uniqueId val="{00000007-6D57-4FBB-B4B2-7EA9506FD372}"/>
              </c:ext>
            </c:extLst>
          </c:dPt>
          <c:dPt>
            <c:idx val="8"/>
            <c:bubble3D val="0"/>
            <c:extLst>
              <c:ext xmlns:c16="http://schemas.microsoft.com/office/drawing/2014/chart" uri="{C3380CC4-5D6E-409C-BE32-E72D297353CC}">
                <c16:uniqueId val="{00000008-6D57-4FBB-B4B2-7EA9506FD372}"/>
              </c:ext>
            </c:extLst>
          </c:dPt>
          <c:dPt>
            <c:idx val="9"/>
            <c:bubble3D val="0"/>
            <c:extLst>
              <c:ext xmlns:c16="http://schemas.microsoft.com/office/drawing/2014/chart" uri="{C3380CC4-5D6E-409C-BE32-E72D297353CC}">
                <c16:uniqueId val="{00000009-6D57-4FBB-B4B2-7EA9506FD372}"/>
              </c:ext>
            </c:extLst>
          </c:dPt>
          <c:dPt>
            <c:idx val="10"/>
            <c:bubble3D val="0"/>
            <c:extLst>
              <c:ext xmlns:c16="http://schemas.microsoft.com/office/drawing/2014/chart" uri="{C3380CC4-5D6E-409C-BE32-E72D297353CC}">
                <c16:uniqueId val="{0000000A-6D57-4FBB-B4B2-7EA9506FD372}"/>
              </c:ext>
            </c:extLst>
          </c:dPt>
          <c:dLbls>
            <c:dLbl>
              <c:idx val="1"/>
              <c:layout>
                <c:manualLayout>
                  <c:x val="5.0820777682290819E-2"/>
                  <c:y val="4.662554878157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57-4FBB-B4B2-7EA9506FD372}"/>
                </c:ext>
              </c:extLst>
            </c:dLbl>
            <c:dLbl>
              <c:idx val="2"/>
              <c:layout>
                <c:manualLayout>
                  <c:x val="8.4697087513480179E-2"/>
                  <c:y val="-3.362897922184106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57-4FBB-B4B2-7EA9506FD372}"/>
                </c:ext>
              </c:extLst>
            </c:dLbl>
            <c:dLbl>
              <c:idx val="3"/>
              <c:layout>
                <c:manualLayout>
                  <c:x val="-3.5580047610512741E-2"/>
                  <c:y val="9.1814933968469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57-4FBB-B4B2-7EA9506FD372}"/>
                </c:ext>
              </c:extLst>
            </c:dLbl>
            <c:dLbl>
              <c:idx val="4"/>
              <c:layout>
                <c:manualLayout>
                  <c:x val="-8.8323457248937979E-3"/>
                  <c:y val="2.694584170206715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57-4FBB-B4B2-7EA9506FD372}"/>
                </c:ext>
              </c:extLst>
            </c:dLbl>
            <c:dLbl>
              <c:idx val="5"/>
              <c:layout>
                <c:manualLayout>
                  <c:x val="-2.6148453344524612E-2"/>
                  <c:y val="5.5218831280401458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57-4FBB-B4B2-7EA9506FD372}"/>
                </c:ext>
              </c:extLst>
            </c:dLbl>
            <c:dLbl>
              <c:idx val="6"/>
              <c:layout>
                <c:manualLayout>
                  <c:x val="-3.5187822182722157E-2"/>
                  <c:y val="-1.1675109460075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57-4FBB-B4B2-7EA9506FD372}"/>
                </c:ext>
              </c:extLst>
            </c:dLbl>
            <c:dLbl>
              <c:idx val="7"/>
              <c:layout>
                <c:manualLayout>
                  <c:x val="-3.0617874445593888E-2"/>
                  <c:y val="-4.6751153848432602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57-4FBB-B4B2-7EA9506FD372}"/>
                </c:ext>
              </c:extLst>
            </c:dLbl>
            <c:dLbl>
              <c:idx val="8"/>
              <c:layout>
                <c:manualLayout>
                  <c:x val="-4.2481664353296027E-2"/>
                  <c:y val="-9.821131275069226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57-4FBB-B4B2-7EA9506FD372}"/>
                </c:ext>
              </c:extLst>
            </c:dLbl>
            <c:dLbl>
              <c:idx val="9"/>
              <c:layout>
                <c:manualLayout>
                  <c:x val="-4.7591436695117881E-2"/>
                  <c:y val="-2.694812586628918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D57-4FBB-B4B2-7EA9506FD372}"/>
                </c:ext>
              </c:extLst>
            </c:dLbl>
            <c:dLbl>
              <c:idx val="10"/>
              <c:layout>
                <c:manualLayout>
                  <c:x val="7.015030001539807E-2"/>
                  <c:y val="9.778005839157745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57-4FBB-B4B2-7EA9506FD372}"/>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'Alumina - Exports'!$A$10:$A$20</c:f>
              <c:strCache>
                <c:ptCount val="11"/>
                <c:pt idx="0">
                  <c:v>Bahrain</c:v>
                </c:pt>
                <c:pt idx="1">
                  <c:v>United Arab Emirates</c:v>
                </c:pt>
                <c:pt idx="2">
                  <c:v>China</c:v>
                </c:pt>
                <c:pt idx="3">
                  <c:v>South Africa</c:v>
                </c:pt>
                <c:pt idx="4">
                  <c:v>Mozambique</c:v>
                </c:pt>
                <c:pt idx="5">
                  <c:v>Malaysia</c:v>
                </c:pt>
                <c:pt idx="6">
                  <c:v>India</c:v>
                </c:pt>
                <c:pt idx="7">
                  <c:v>Qatar</c:v>
                </c:pt>
                <c:pt idx="8">
                  <c:v>Indonesia</c:v>
                </c:pt>
                <c:pt idx="9">
                  <c:v>Russian Federation</c:v>
                </c:pt>
                <c:pt idx="10">
                  <c:v>Other</c:v>
                </c:pt>
              </c:strCache>
            </c:strRef>
          </c:cat>
          <c:val>
            <c:numRef>
              <c:f>'Alumina - Exports'!$D$10:$D$20</c:f>
              <c:numCache>
                <c:formatCode>0.0%</c:formatCode>
                <c:ptCount val="11"/>
                <c:pt idx="0">
                  <c:v>0.18606815446650138</c:v>
                </c:pt>
                <c:pt idx="1">
                  <c:v>0.14963271490229768</c:v>
                </c:pt>
                <c:pt idx="2">
                  <c:v>0.11451415563304712</c:v>
                </c:pt>
                <c:pt idx="3">
                  <c:v>0.10700603909261758</c:v>
                </c:pt>
                <c:pt idx="4">
                  <c:v>8.7181258391913291E-2</c:v>
                </c:pt>
                <c:pt idx="5">
                  <c:v>7.1035165241650253E-2</c:v>
                </c:pt>
                <c:pt idx="6">
                  <c:v>6.9590728734774246E-2</c:v>
                </c:pt>
                <c:pt idx="7">
                  <c:v>4.8582072097045022E-2</c:v>
                </c:pt>
                <c:pt idx="8">
                  <c:v>3.1096449432421579E-2</c:v>
                </c:pt>
                <c:pt idx="9">
                  <c:v>3.0687091732792195E-2</c:v>
                </c:pt>
                <c:pt idx="10">
                  <c:v>0.10460617027493968</c:v>
                </c:pt>
              </c:numCache>
            </c:numRef>
          </c:val>
          <c:extLst>
            <c:ext xmlns:c16="http://schemas.microsoft.com/office/drawing/2014/chart" uri="{C3380CC4-5D6E-409C-BE32-E72D297353CC}">
              <c16:uniqueId val="{0000000B-6D57-4FBB-B4B2-7EA9506FD372}"/>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b="1" i="0" u="none" strike="noStrike" baseline="0">
                <a:effectLst/>
              </a:rPr>
              <a:t>Natural gas </a:t>
            </a:r>
            <a:endParaRPr lang="en-AU"/>
          </a:p>
          <a:p>
            <a:pPr>
              <a:defRPr/>
            </a:pPr>
            <a:r>
              <a:rPr lang="en-AU" sz="1100" b="1" i="0" u="none" strike="noStrike" baseline="0">
                <a:effectLst/>
              </a:rPr>
              <a:t>Historic Average Annual WA Domestic Gas </a:t>
            </a:r>
            <a:r>
              <a:rPr lang="en-AU" sz="1100"/>
              <a:t>Price</a:t>
            </a:r>
          </a:p>
        </c:rich>
      </c:tx>
      <c:layout>
        <c:manualLayout>
          <c:xMode val="edge"/>
          <c:yMode val="edge"/>
          <c:x val="0.35234618253000083"/>
          <c:y val="2.9950539528169735E-2"/>
        </c:manualLayout>
      </c:layout>
      <c:overlay val="0"/>
    </c:title>
    <c:autoTitleDeleted val="0"/>
    <c:plotArea>
      <c:layout>
        <c:manualLayout>
          <c:layoutTarget val="inner"/>
          <c:xMode val="edge"/>
          <c:yMode val="edge"/>
          <c:x val="0.10641894086248882"/>
          <c:y val="0.23138327920243829"/>
          <c:w val="0.86317585366241012"/>
          <c:h val="0.54924336611033653"/>
        </c:manualLayout>
      </c:layout>
      <c:lineChart>
        <c:grouping val="standard"/>
        <c:varyColors val="0"/>
        <c:ser>
          <c:idx val="0"/>
          <c:order val="0"/>
          <c:tx>
            <c:strRef>
              <c:f>'Petroleum - Gas Prices'!$H$7:$H$8</c:f>
              <c:strCache>
                <c:ptCount val="2"/>
                <c:pt idx="0">
                  <c:v>A$ per GJ</c:v>
                </c:pt>
              </c:strCache>
            </c:strRef>
          </c:tx>
          <c:marker>
            <c:symbol val="none"/>
          </c:marker>
          <c:cat>
            <c:strRef>
              <c:f>'Petroleum - Gas Prices'!$C$9:$C$39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pt idx="28">
                  <c:v>2018-19</c:v>
                </c:pt>
                <c:pt idx="29">
                  <c:v>2019-20</c:v>
                </c:pt>
                <c:pt idx="30">
                  <c:v>2020-21</c:v>
                </c:pt>
              </c:strCache>
            </c:strRef>
          </c:cat>
          <c:val>
            <c:numRef>
              <c:f>'Petroleum - Gas Prices'!$H$9:$H$39</c:f>
              <c:numCache>
                <c:formatCode>#,##0.00</c:formatCode>
                <c:ptCount val="31"/>
                <c:pt idx="0">
                  <c:v>2.7599596059462272</c:v>
                </c:pt>
                <c:pt idx="1">
                  <c:v>2.4372090102333659</c:v>
                </c:pt>
                <c:pt idx="2">
                  <c:v>2.7029865046465043</c:v>
                </c:pt>
                <c:pt idx="3">
                  <c:v>2.4392395956375053</c:v>
                </c:pt>
                <c:pt idx="4">
                  <c:v>2.1844663793249635</c:v>
                </c:pt>
                <c:pt idx="5">
                  <c:v>1.8955806435595235</c:v>
                </c:pt>
                <c:pt idx="6">
                  <c:v>2.039957261380569</c:v>
                </c:pt>
                <c:pt idx="7">
                  <c:v>2.1304176820129865</c:v>
                </c:pt>
                <c:pt idx="8">
                  <c:v>2.2455320003919068</c:v>
                </c:pt>
                <c:pt idx="9">
                  <c:v>2.3227042464561749</c:v>
                </c:pt>
                <c:pt idx="10">
                  <c:v>2.1783449882987691</c:v>
                </c:pt>
                <c:pt idx="11">
                  <c:v>2.2533340415830563</c:v>
                </c:pt>
                <c:pt idx="12">
                  <c:v>2.1438774876925852</c:v>
                </c:pt>
                <c:pt idx="13">
                  <c:v>2.2220407352486906</c:v>
                </c:pt>
                <c:pt idx="14">
                  <c:v>2.3355853616102262</c:v>
                </c:pt>
                <c:pt idx="15">
                  <c:v>2.3901022205342533</c:v>
                </c:pt>
                <c:pt idx="16">
                  <c:v>2.770421808576129</c:v>
                </c:pt>
                <c:pt idx="17">
                  <c:v>3.0265813359496097</c:v>
                </c:pt>
                <c:pt idx="18">
                  <c:v>3.7691282234138375</c:v>
                </c:pt>
                <c:pt idx="19">
                  <c:v>3.7124067770144067</c:v>
                </c:pt>
                <c:pt idx="20">
                  <c:v>3.9958484040908555</c:v>
                </c:pt>
                <c:pt idx="21">
                  <c:v>4.1990372966157183</c:v>
                </c:pt>
                <c:pt idx="22">
                  <c:v>4.3296885606743851</c:v>
                </c:pt>
                <c:pt idx="23">
                  <c:v>4.6308539101027648</c:v>
                </c:pt>
                <c:pt idx="24">
                  <c:v>4.8475484178653616</c:v>
                </c:pt>
                <c:pt idx="25">
                  <c:v>4.9095237757994568</c:v>
                </c:pt>
                <c:pt idx="26">
                  <c:v>4.9704765673569415</c:v>
                </c:pt>
                <c:pt idx="27">
                  <c:v>4.2904729390933021</c:v>
                </c:pt>
                <c:pt idx="28">
                  <c:v>4.0604221898970465</c:v>
                </c:pt>
                <c:pt idx="29">
                  <c:v>4.1788278343097227</c:v>
                </c:pt>
                <c:pt idx="30">
                  <c:v>3.8017904602311794</c:v>
                </c:pt>
              </c:numCache>
            </c:numRef>
          </c:val>
          <c:smooth val="0"/>
          <c:extLst>
            <c:ext xmlns:c16="http://schemas.microsoft.com/office/drawing/2014/chart" uri="{C3380CC4-5D6E-409C-BE32-E72D297353CC}">
              <c16:uniqueId val="{00000000-9B57-4D4D-A0DF-C44432C797DE}"/>
            </c:ext>
          </c:extLst>
        </c:ser>
        <c:ser>
          <c:idx val="1"/>
          <c:order val="1"/>
          <c:tx>
            <c:strRef>
              <c:f>'Petroleum - Gas Prices'!$K$7:$K$8</c:f>
              <c:strCache>
                <c:ptCount val="2"/>
                <c:pt idx="0">
                  <c:v>US$ per GJ</c:v>
                </c:pt>
              </c:strCache>
            </c:strRef>
          </c:tx>
          <c:marker>
            <c:symbol val="none"/>
          </c:marker>
          <c:cat>
            <c:strRef>
              <c:f>'Petroleum - Gas Prices'!$C$9:$C$39</c:f>
              <c:strCache>
                <c:ptCount val="31"/>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pt idx="28">
                  <c:v>2018-19</c:v>
                </c:pt>
                <c:pt idx="29">
                  <c:v>2019-20</c:v>
                </c:pt>
                <c:pt idx="30">
                  <c:v>2020-21</c:v>
                </c:pt>
              </c:strCache>
            </c:strRef>
          </c:cat>
          <c:val>
            <c:numRef>
              <c:f>'Petroleum - Gas Prices'!$K$9:$K$39</c:f>
              <c:numCache>
                <c:formatCode>#,##0.00</c:formatCode>
                <c:ptCount val="31"/>
                <c:pt idx="0">
                  <c:v>2.1668442866283826</c:v>
                </c:pt>
                <c:pt idx="1">
                  <c:v>1.8776461315588702</c:v>
                </c:pt>
                <c:pt idx="2">
                  <c:v>1.8904462364622263</c:v>
                </c:pt>
                <c:pt idx="3">
                  <c:v>1.6889091690227782</c:v>
                </c:pt>
                <c:pt idx="4">
                  <c:v>1.6175063344576635</c:v>
                </c:pt>
                <c:pt idx="5">
                  <c:v>1.4461700659822863</c:v>
                </c:pt>
                <c:pt idx="6">
                  <c:v>1.5922886403706031</c:v>
                </c:pt>
                <c:pt idx="7">
                  <c:v>1.4454528902844446</c:v>
                </c:pt>
                <c:pt idx="8">
                  <c:v>1.4086035110791733</c:v>
                </c:pt>
                <c:pt idx="9">
                  <c:v>1.46040029495932</c:v>
                </c:pt>
                <c:pt idx="10">
                  <c:v>1.1714413232074683</c:v>
                </c:pt>
                <c:pt idx="11">
                  <c:v>1.1802212598464854</c:v>
                </c:pt>
                <c:pt idx="12">
                  <c:v>1.2539896738428546</c:v>
                </c:pt>
                <c:pt idx="13">
                  <c:v>1.5873703502432832</c:v>
                </c:pt>
                <c:pt idx="14">
                  <c:v>1.7545306500642954</c:v>
                </c:pt>
                <c:pt idx="15">
                  <c:v>1.7863623996273013</c:v>
                </c:pt>
                <c:pt idx="16">
                  <c:v>2.1783134075381958</c:v>
                </c:pt>
                <c:pt idx="17">
                  <c:v>2.7136832688346857</c:v>
                </c:pt>
                <c:pt idx="18">
                  <c:v>2.8135913999747064</c:v>
                </c:pt>
                <c:pt idx="19">
                  <c:v>3.27681771517805</c:v>
                </c:pt>
                <c:pt idx="20">
                  <c:v>3.9497962512337081</c:v>
                </c:pt>
                <c:pt idx="21">
                  <c:v>4.3345612253639905</c:v>
                </c:pt>
                <c:pt idx="22">
                  <c:v>4.4415027677538008</c:v>
                </c:pt>
                <c:pt idx="23">
                  <c:v>4.2502748995908188</c:v>
                </c:pt>
                <c:pt idx="24">
                  <c:v>4.0527928547563361</c:v>
                </c:pt>
                <c:pt idx="25">
                  <c:v>3.5767926341605625</c:v>
                </c:pt>
                <c:pt idx="26">
                  <c:v>3.7487748477386664</c:v>
                </c:pt>
                <c:pt idx="27">
                  <c:v>3.326332161796719</c:v>
                </c:pt>
                <c:pt idx="28">
                  <c:v>2.9038786028080379</c:v>
                </c:pt>
                <c:pt idx="29">
                  <c:v>2.8067445384794114</c:v>
                </c:pt>
                <c:pt idx="30">
                  <c:v>2.8416165979126267</c:v>
                </c:pt>
              </c:numCache>
            </c:numRef>
          </c:val>
          <c:smooth val="0"/>
          <c:extLst>
            <c:ext xmlns:c16="http://schemas.microsoft.com/office/drawing/2014/chart" uri="{C3380CC4-5D6E-409C-BE32-E72D297353CC}">
              <c16:uniqueId val="{00000001-9B57-4D4D-A0DF-C44432C797DE}"/>
            </c:ext>
          </c:extLst>
        </c:ser>
        <c:dLbls>
          <c:showLegendKey val="0"/>
          <c:showVal val="0"/>
          <c:showCatName val="0"/>
          <c:showSerName val="0"/>
          <c:showPercent val="0"/>
          <c:showBubbleSize val="0"/>
        </c:dLbls>
        <c:smooth val="0"/>
        <c:axId val="137199616"/>
        <c:axId val="137201152"/>
      </c:lineChart>
      <c:catAx>
        <c:axId val="13719961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7201152"/>
        <c:crosses val="autoZero"/>
        <c:auto val="0"/>
        <c:lblAlgn val="ctr"/>
        <c:lblOffset val="100"/>
        <c:tickLblSkip val="1"/>
        <c:tickMarkSkip val="1"/>
        <c:noMultiLvlLbl val="1"/>
      </c:catAx>
      <c:valAx>
        <c:axId val="137201152"/>
        <c:scaling>
          <c:orientation val="minMax"/>
          <c:min val="0"/>
        </c:scaling>
        <c:delete val="0"/>
        <c:axPos val="l"/>
        <c:majorGridlines/>
        <c:title>
          <c:tx>
            <c:rich>
              <a:bodyPr rot="-5400000" vert="horz"/>
              <a:lstStyle/>
              <a:p>
                <a:pPr>
                  <a:defRPr/>
                </a:pPr>
                <a:r>
                  <a:rPr lang="en-AU"/>
                  <a:t>$</a:t>
                </a:r>
                <a:r>
                  <a:rPr lang="en-AU" baseline="0"/>
                  <a:t> per </a:t>
                </a:r>
                <a:r>
                  <a:rPr lang="en-AU"/>
                  <a:t>GJ</a:t>
                </a:r>
              </a:p>
            </c:rich>
          </c:tx>
          <c:overlay val="0"/>
        </c:title>
        <c:numFmt formatCode="#,##0" sourceLinked="0"/>
        <c:majorTickMark val="out"/>
        <c:minorTickMark val="none"/>
        <c:tickLblPos val="nextTo"/>
        <c:txPr>
          <a:bodyPr rot="0" vert="horz"/>
          <a:lstStyle/>
          <a:p>
            <a:pPr>
              <a:defRPr/>
            </a:pPr>
            <a:endParaRPr lang="en-US"/>
          </a:p>
        </c:txPr>
        <c:crossAx val="137199616"/>
        <c:crosses val="autoZero"/>
        <c:crossBetween val="midCat"/>
        <c:majorUnit val="1"/>
      </c:valAx>
    </c:plotArea>
    <c:legend>
      <c:legendPos val="t"/>
      <c:overlay val="0"/>
    </c:legend>
    <c:plotVisOnly val="1"/>
    <c:dispBlanksAs val="gap"/>
    <c:showDLblsOverMax val="0"/>
  </c:chart>
  <c:printSettings>
    <c:headerFooter alignWithMargins="0"/>
    <c:pageMargins b="1" l="0.75000000000000044" r="0.75000000000000044" t="1" header="0.5" footer="0.5"/>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Natural Gas</a:t>
            </a:r>
          </a:p>
          <a:p>
            <a:pPr>
              <a:defRPr/>
            </a:pPr>
            <a:r>
              <a:rPr lang="en-AU" sz="1100"/>
              <a:t>Average Quarterly Natural Gas Prices</a:t>
            </a:r>
          </a:p>
        </c:rich>
      </c:tx>
      <c:layout>
        <c:manualLayout>
          <c:xMode val="edge"/>
          <c:yMode val="edge"/>
          <c:x val="0.36480802324254918"/>
          <c:y val="3.2158681172331914E-2"/>
        </c:manualLayout>
      </c:layout>
      <c:overlay val="0"/>
    </c:title>
    <c:autoTitleDeleted val="0"/>
    <c:plotArea>
      <c:layout>
        <c:manualLayout>
          <c:layoutTarget val="inner"/>
          <c:xMode val="edge"/>
          <c:yMode val="edge"/>
          <c:x val="9.9753858318723118E-2"/>
          <c:y val="0.25513114736104581"/>
          <c:w val="0.87911644116938736"/>
          <c:h val="0.5651323455968037"/>
        </c:manualLayout>
      </c:layout>
      <c:lineChart>
        <c:grouping val="standard"/>
        <c:varyColors val="0"/>
        <c:ser>
          <c:idx val="0"/>
          <c:order val="0"/>
          <c:tx>
            <c:v>WA Domestic Gas</c:v>
          </c:tx>
          <c:marker>
            <c:symbol val="none"/>
          </c:marker>
          <c:cat>
            <c:numRef>
              <c:f>'Petroleum - Gas Prices'!$A$50:$A$89</c:f>
              <c:numCache>
                <c:formatCode>m/d/yyyy</c:formatCode>
                <c:ptCount val="40"/>
                <c:pt idx="0">
                  <c:v>40787</c:v>
                </c:pt>
                <c:pt idx="1">
                  <c:v>40878</c:v>
                </c:pt>
                <c:pt idx="2">
                  <c:v>40969</c:v>
                </c:pt>
                <c:pt idx="3">
                  <c:v>41061</c:v>
                </c:pt>
                <c:pt idx="4">
                  <c:v>41153</c:v>
                </c:pt>
                <c:pt idx="5">
                  <c:v>41244</c:v>
                </c:pt>
                <c:pt idx="6">
                  <c:v>41334</c:v>
                </c:pt>
                <c:pt idx="7">
                  <c:v>41426</c:v>
                </c:pt>
                <c:pt idx="8">
                  <c:v>41518</c:v>
                </c:pt>
                <c:pt idx="9">
                  <c:v>41609</c:v>
                </c:pt>
                <c:pt idx="10">
                  <c:v>41699</c:v>
                </c:pt>
                <c:pt idx="11">
                  <c:v>41791</c:v>
                </c:pt>
                <c:pt idx="12">
                  <c:v>41883</c:v>
                </c:pt>
                <c:pt idx="13">
                  <c:v>41974</c:v>
                </c:pt>
                <c:pt idx="14">
                  <c:v>42064</c:v>
                </c:pt>
                <c:pt idx="15">
                  <c:v>42156</c:v>
                </c:pt>
                <c:pt idx="16">
                  <c:v>42248</c:v>
                </c:pt>
                <c:pt idx="17">
                  <c:v>42339</c:v>
                </c:pt>
                <c:pt idx="18">
                  <c:v>42430</c:v>
                </c:pt>
                <c:pt idx="19">
                  <c:v>42522</c:v>
                </c:pt>
                <c:pt idx="20">
                  <c:v>42614</c:v>
                </c:pt>
                <c:pt idx="21">
                  <c:v>42705</c:v>
                </c:pt>
                <c:pt idx="22">
                  <c:v>42795</c:v>
                </c:pt>
                <c:pt idx="23">
                  <c:v>42887</c:v>
                </c:pt>
                <c:pt idx="24">
                  <c:v>42979</c:v>
                </c:pt>
                <c:pt idx="25">
                  <c:v>43070</c:v>
                </c:pt>
                <c:pt idx="26">
                  <c:v>43160</c:v>
                </c:pt>
                <c:pt idx="27">
                  <c:v>43252</c:v>
                </c:pt>
                <c:pt idx="28">
                  <c:v>43344</c:v>
                </c:pt>
                <c:pt idx="29">
                  <c:v>43435</c:v>
                </c:pt>
                <c:pt idx="30">
                  <c:v>43525</c:v>
                </c:pt>
                <c:pt idx="31">
                  <c:v>43617</c:v>
                </c:pt>
                <c:pt idx="32">
                  <c:v>43709</c:v>
                </c:pt>
                <c:pt idx="33">
                  <c:v>43800</c:v>
                </c:pt>
                <c:pt idx="34">
                  <c:v>43891</c:v>
                </c:pt>
                <c:pt idx="35">
                  <c:v>43983</c:v>
                </c:pt>
                <c:pt idx="36">
                  <c:v>44075</c:v>
                </c:pt>
                <c:pt idx="37">
                  <c:v>44166</c:v>
                </c:pt>
                <c:pt idx="38">
                  <c:v>44256</c:v>
                </c:pt>
                <c:pt idx="39">
                  <c:v>44348</c:v>
                </c:pt>
              </c:numCache>
            </c:numRef>
          </c:cat>
          <c:val>
            <c:numRef>
              <c:f>'Petroleum - Gas Prices'!$E$50:$E$89</c:f>
              <c:numCache>
                <c:formatCode>#,##0.00</c:formatCode>
                <c:ptCount val="40"/>
                <c:pt idx="0">
                  <c:v>4.1681709329336512</c:v>
                </c:pt>
                <c:pt idx="1">
                  <c:v>4.1484404742488969</c:v>
                </c:pt>
                <c:pt idx="2">
                  <c:v>4.2466506124824406</c:v>
                </c:pt>
                <c:pt idx="3">
                  <c:v>4.231970586663552</c:v>
                </c:pt>
                <c:pt idx="4">
                  <c:v>4.3645289030058034</c:v>
                </c:pt>
                <c:pt idx="5">
                  <c:v>4.3297610724778695</c:v>
                </c:pt>
                <c:pt idx="6">
                  <c:v>4.2212398386308392</c:v>
                </c:pt>
                <c:pt idx="7">
                  <c:v>4.409489820673107</c:v>
                </c:pt>
                <c:pt idx="8">
                  <c:v>4.3123824115462766</c:v>
                </c:pt>
                <c:pt idx="9">
                  <c:v>4.6786472839104709</c:v>
                </c:pt>
                <c:pt idx="10">
                  <c:v>4.7077</c:v>
                </c:pt>
                <c:pt idx="11">
                  <c:v>4.9295292104925368</c:v>
                </c:pt>
                <c:pt idx="12">
                  <c:v>4.8887781628142477</c:v>
                </c:pt>
                <c:pt idx="13">
                  <c:v>4.8480040103555151</c:v>
                </c:pt>
                <c:pt idx="14">
                  <c:v>4.8461122505566507</c:v>
                </c:pt>
                <c:pt idx="15">
                  <c:v>4.8089078565611905</c:v>
                </c:pt>
                <c:pt idx="16">
                  <c:v>4.9058702326383257</c:v>
                </c:pt>
                <c:pt idx="17">
                  <c:v>4.9922471050309447</c:v>
                </c:pt>
                <c:pt idx="18">
                  <c:v>4.7568028355790481</c:v>
                </c:pt>
                <c:pt idx="19">
                  <c:v>4.9911008406418791</c:v>
                </c:pt>
                <c:pt idx="20">
                  <c:v>5.116182081598228</c:v>
                </c:pt>
                <c:pt idx="21">
                  <c:v>4.9957045537060383</c:v>
                </c:pt>
                <c:pt idx="22">
                  <c:v>5</c:v>
                </c:pt>
                <c:pt idx="23">
                  <c:v>4.8499999999999996</c:v>
                </c:pt>
                <c:pt idx="24">
                  <c:v>4.7806579797508144</c:v>
                </c:pt>
                <c:pt idx="25">
                  <c:v>4.13787361068007</c:v>
                </c:pt>
                <c:pt idx="26">
                  <c:v>4.1019880941348799</c:v>
                </c:pt>
                <c:pt idx="27">
                  <c:v>4.0999999999999996</c:v>
                </c:pt>
                <c:pt idx="28">
                  <c:v>4.2626040379226602</c:v>
                </c:pt>
                <c:pt idx="29">
                  <c:v>3.9757429946109046</c:v>
                </c:pt>
                <c:pt idx="30">
                  <c:v>4.0251547815425246</c:v>
                </c:pt>
                <c:pt idx="31">
                  <c:v>4.0493282679332747</c:v>
                </c:pt>
                <c:pt idx="32">
                  <c:v>4.1650565020755268</c:v>
                </c:pt>
                <c:pt idx="33">
                  <c:v>4.0968164326009333</c:v>
                </c:pt>
                <c:pt idx="34">
                  <c:v>4.1754248885045726</c:v>
                </c:pt>
                <c:pt idx="35">
                  <c:v>4.2718104111614386</c:v>
                </c:pt>
                <c:pt idx="36">
                  <c:v>3.5861203301474798</c:v>
                </c:pt>
                <c:pt idx="37">
                  <c:v>3.9296464231638955</c:v>
                </c:pt>
                <c:pt idx="38">
                  <c:v>3.8289264488294226</c:v>
                </c:pt>
                <c:pt idx="39">
                  <c:v>3.8744920886330894</c:v>
                </c:pt>
              </c:numCache>
            </c:numRef>
          </c:val>
          <c:smooth val="0"/>
          <c:extLst>
            <c:ext xmlns:c16="http://schemas.microsoft.com/office/drawing/2014/chart" uri="{C3380CC4-5D6E-409C-BE32-E72D297353CC}">
              <c16:uniqueId val="{00000000-7DA8-4E06-B34C-7EF7AD133D45}"/>
            </c:ext>
          </c:extLst>
        </c:ser>
        <c:ser>
          <c:idx val="1"/>
          <c:order val="1"/>
          <c:tx>
            <c:v>East Coast Domestic Gas</c:v>
          </c:tx>
          <c:marker>
            <c:symbol val="none"/>
          </c:marker>
          <c:cat>
            <c:numRef>
              <c:f>'Petroleum - Gas Prices'!$A$50:$A$89</c:f>
              <c:numCache>
                <c:formatCode>m/d/yyyy</c:formatCode>
                <c:ptCount val="40"/>
                <c:pt idx="0">
                  <c:v>40787</c:v>
                </c:pt>
                <c:pt idx="1">
                  <c:v>40878</c:v>
                </c:pt>
                <c:pt idx="2">
                  <c:v>40969</c:v>
                </c:pt>
                <c:pt idx="3">
                  <c:v>41061</c:v>
                </c:pt>
                <c:pt idx="4">
                  <c:v>41153</c:v>
                </c:pt>
                <c:pt idx="5">
                  <c:v>41244</c:v>
                </c:pt>
                <c:pt idx="6">
                  <c:v>41334</c:v>
                </c:pt>
                <c:pt idx="7">
                  <c:v>41426</c:v>
                </c:pt>
                <c:pt idx="8">
                  <c:v>41518</c:v>
                </c:pt>
                <c:pt idx="9">
                  <c:v>41609</c:v>
                </c:pt>
                <c:pt idx="10">
                  <c:v>41699</c:v>
                </c:pt>
                <c:pt idx="11">
                  <c:v>41791</c:v>
                </c:pt>
                <c:pt idx="12">
                  <c:v>41883</c:v>
                </c:pt>
                <c:pt idx="13">
                  <c:v>41974</c:v>
                </c:pt>
                <c:pt idx="14">
                  <c:v>42064</c:v>
                </c:pt>
                <c:pt idx="15">
                  <c:v>42156</c:v>
                </c:pt>
                <c:pt idx="16">
                  <c:v>42248</c:v>
                </c:pt>
                <c:pt idx="17">
                  <c:v>42339</c:v>
                </c:pt>
                <c:pt idx="18">
                  <c:v>42430</c:v>
                </c:pt>
                <c:pt idx="19">
                  <c:v>42522</c:v>
                </c:pt>
                <c:pt idx="20">
                  <c:v>42614</c:v>
                </c:pt>
                <c:pt idx="21">
                  <c:v>42705</c:v>
                </c:pt>
                <c:pt idx="22">
                  <c:v>42795</c:v>
                </c:pt>
                <c:pt idx="23">
                  <c:v>42887</c:v>
                </c:pt>
                <c:pt idx="24">
                  <c:v>42979</c:v>
                </c:pt>
                <c:pt idx="25">
                  <c:v>43070</c:v>
                </c:pt>
                <c:pt idx="26">
                  <c:v>43160</c:v>
                </c:pt>
                <c:pt idx="27">
                  <c:v>43252</c:v>
                </c:pt>
                <c:pt idx="28">
                  <c:v>43344</c:v>
                </c:pt>
                <c:pt idx="29">
                  <c:v>43435</c:v>
                </c:pt>
                <c:pt idx="30">
                  <c:v>43525</c:v>
                </c:pt>
                <c:pt idx="31">
                  <c:v>43617</c:v>
                </c:pt>
                <c:pt idx="32">
                  <c:v>43709</c:v>
                </c:pt>
                <c:pt idx="33">
                  <c:v>43800</c:v>
                </c:pt>
                <c:pt idx="34">
                  <c:v>43891</c:v>
                </c:pt>
                <c:pt idx="35">
                  <c:v>43983</c:v>
                </c:pt>
                <c:pt idx="36">
                  <c:v>44075</c:v>
                </c:pt>
                <c:pt idx="37">
                  <c:v>44166</c:v>
                </c:pt>
                <c:pt idx="38">
                  <c:v>44256</c:v>
                </c:pt>
                <c:pt idx="39">
                  <c:v>44348</c:v>
                </c:pt>
              </c:numCache>
            </c:numRef>
          </c:cat>
          <c:val>
            <c:numRef>
              <c:f>'Petroleum - Gas Prices'!$F$50:$F$89</c:f>
              <c:numCache>
                <c:formatCode>#,##0.00</c:formatCode>
                <c:ptCount val="40"/>
                <c:pt idx="0">
                  <c:v>4.05</c:v>
                </c:pt>
                <c:pt idx="1">
                  <c:v>4.1450000000000005</c:v>
                </c:pt>
                <c:pt idx="2">
                  <c:v>4.21</c:v>
                </c:pt>
                <c:pt idx="3">
                  <c:v>4.7</c:v>
                </c:pt>
                <c:pt idx="4">
                  <c:v>4.51</c:v>
                </c:pt>
                <c:pt idx="5">
                  <c:v>4.3149999999999995</c:v>
                </c:pt>
                <c:pt idx="6">
                  <c:v>4.74</c:v>
                </c:pt>
                <c:pt idx="7">
                  <c:v>4.49</c:v>
                </c:pt>
                <c:pt idx="8">
                  <c:v>4.7449999999999992</c:v>
                </c:pt>
                <c:pt idx="9">
                  <c:v>4.83</c:v>
                </c:pt>
                <c:pt idx="10">
                  <c:v>5.125</c:v>
                </c:pt>
                <c:pt idx="11">
                  <c:v>4.6050000000000004</c:v>
                </c:pt>
                <c:pt idx="12">
                  <c:v>5.0049999999999999</c:v>
                </c:pt>
                <c:pt idx="13">
                  <c:v>4.6099999999999994</c:v>
                </c:pt>
                <c:pt idx="14">
                  <c:v>4.585</c:v>
                </c:pt>
                <c:pt idx="15">
                  <c:v>4.57</c:v>
                </c:pt>
                <c:pt idx="16">
                  <c:v>4.76</c:v>
                </c:pt>
                <c:pt idx="17">
                  <c:v>5.0088375000000012</c:v>
                </c:pt>
                <c:pt idx="18">
                  <c:v>5.3651362500000017</c:v>
                </c:pt>
                <c:pt idx="19">
                  <c:v>5.1895687500000003</c:v>
                </c:pt>
                <c:pt idx="20">
                  <c:v>5.0862937500000012</c:v>
                </c:pt>
                <c:pt idx="21">
                  <c:v>5.1487540092354607</c:v>
                </c:pt>
                <c:pt idx="22">
                  <c:v>6.0101425126816963</c:v>
                </c:pt>
                <c:pt idx="23">
                  <c:v>6.2940091785901151</c:v>
                </c:pt>
                <c:pt idx="24">
                  <c:v>7.4245815893633003</c:v>
                </c:pt>
                <c:pt idx="25">
                  <c:v>7.5811976808989812</c:v>
                </c:pt>
                <c:pt idx="26">
                  <c:v>8.3349126214144373</c:v>
                </c:pt>
                <c:pt idx="27">
                  <c:v>8.4425861843452186</c:v>
                </c:pt>
                <c:pt idx="28">
                  <c:v>8.7019815859511862</c:v>
                </c:pt>
                <c:pt idx="29">
                  <c:v>8.8634919303473545</c:v>
                </c:pt>
                <c:pt idx="30">
                  <c:v>8.5894137701599149</c:v>
                </c:pt>
                <c:pt idx="31">
                  <c:v>8.8928574475102948</c:v>
                </c:pt>
                <c:pt idx="32">
                  <c:v>9.0788390562089134</c:v>
                </c:pt>
                <c:pt idx="33">
                  <c:v>8.682404574509226</c:v>
                </c:pt>
                <c:pt idx="34">
                  <c:v>9.0886275619298935</c:v>
                </c:pt>
                <c:pt idx="35">
                  <c:v>8.4866344600896273</c:v>
                </c:pt>
                <c:pt idx="36">
                  <c:v>7.6399287152248601</c:v>
                </c:pt>
                <c:pt idx="37">
                  <c:v>8.0118919326220972</c:v>
                </c:pt>
                <c:pt idx="38">
                  <c:v>8.4425861843452186</c:v>
                </c:pt>
                <c:pt idx="39">
                  <c:v>8.907540206091765</c:v>
                </c:pt>
              </c:numCache>
            </c:numRef>
          </c:val>
          <c:smooth val="0"/>
          <c:extLst>
            <c:ext xmlns:c16="http://schemas.microsoft.com/office/drawing/2014/chart" uri="{C3380CC4-5D6E-409C-BE32-E72D297353CC}">
              <c16:uniqueId val="{00000001-7DA8-4E06-B34C-7EF7AD133D45}"/>
            </c:ext>
          </c:extLst>
        </c:ser>
        <c:dLbls>
          <c:showLegendKey val="0"/>
          <c:showVal val="0"/>
          <c:showCatName val="0"/>
          <c:showSerName val="0"/>
          <c:showPercent val="0"/>
          <c:showBubbleSize val="0"/>
        </c:dLbls>
        <c:smooth val="0"/>
        <c:axId val="133504000"/>
        <c:axId val="133505792"/>
      </c:lineChart>
      <c:dateAx>
        <c:axId val="133504000"/>
        <c:scaling>
          <c:orientation val="minMax"/>
        </c:scaling>
        <c:delete val="0"/>
        <c:axPos val="b"/>
        <c:numFmt formatCode="mmm\-yyyy" sourceLinked="0"/>
        <c:majorTickMark val="out"/>
        <c:minorTickMark val="none"/>
        <c:tickLblPos val="nextTo"/>
        <c:spPr>
          <a:noFill/>
          <a:ln>
            <a:solidFill>
              <a:schemeClr val="bg1">
                <a:lumMod val="50000"/>
              </a:schemeClr>
            </a:solidFill>
          </a:ln>
          <a:effectLst>
            <a:outerShdw blurRad="50800" dist="50800" dir="5400000" algn="ctr" rotWithShape="0">
              <a:schemeClr val="bg1"/>
            </a:outerShdw>
          </a:effectLst>
        </c:spPr>
        <c:txPr>
          <a:bodyPr rot="-2700000" vert="horz"/>
          <a:lstStyle/>
          <a:p>
            <a:pPr>
              <a:defRPr/>
            </a:pPr>
            <a:endParaRPr lang="en-US"/>
          </a:p>
        </c:txPr>
        <c:crossAx val="133505792"/>
        <c:crossesAt val="0"/>
        <c:auto val="1"/>
        <c:lblOffset val="100"/>
        <c:baseTimeUnit val="months"/>
        <c:majorUnit val="3"/>
        <c:majorTimeUnit val="months"/>
        <c:minorUnit val="1"/>
        <c:minorTimeUnit val="months"/>
      </c:dateAx>
      <c:valAx>
        <c:axId val="133505792"/>
        <c:scaling>
          <c:orientation val="minMax"/>
        </c:scaling>
        <c:delete val="0"/>
        <c:axPos val="l"/>
        <c:majorGridlines>
          <c:spPr>
            <a:ln>
              <a:solidFill>
                <a:schemeClr val="bg1">
                  <a:lumMod val="50000"/>
                </a:schemeClr>
              </a:solidFill>
            </a:ln>
          </c:spPr>
        </c:majorGridlines>
        <c:title>
          <c:tx>
            <c:rich>
              <a:bodyPr/>
              <a:lstStyle/>
              <a:p>
                <a:pPr>
                  <a:defRPr/>
                </a:pPr>
                <a:r>
                  <a:rPr lang="en-AU"/>
                  <a:t>A$ per GJ</a:t>
                </a:r>
              </a:p>
            </c:rich>
          </c:tx>
          <c:layout>
            <c:manualLayout>
              <c:xMode val="edge"/>
              <c:yMode val="edge"/>
              <c:x val="2.2754553836851776E-2"/>
              <c:y val="0.47194070287960749"/>
            </c:manualLayout>
          </c:layout>
          <c:overlay val="0"/>
        </c:title>
        <c:numFmt formatCode="#,##0" sourceLinked="0"/>
        <c:majorTickMark val="out"/>
        <c:minorTickMark val="none"/>
        <c:tickLblPos val="nextTo"/>
        <c:txPr>
          <a:bodyPr rot="0" vert="horz"/>
          <a:lstStyle/>
          <a:p>
            <a:pPr>
              <a:defRPr/>
            </a:pPr>
            <a:endParaRPr lang="en-US"/>
          </a:p>
        </c:txPr>
        <c:crossAx val="133504000"/>
        <c:crosses val="autoZero"/>
        <c:crossBetween val="between"/>
        <c:majorUnit val="1"/>
      </c:valAx>
    </c:plotArea>
    <c:legend>
      <c:legendPos val="t"/>
      <c:layout>
        <c:manualLayout>
          <c:xMode val="edge"/>
          <c:yMode val="edge"/>
          <c:x val="0.27069867614232584"/>
          <c:y val="0.16255828822417803"/>
          <c:w val="0.45197769595528836"/>
          <c:h val="5.2514968800136105E-2"/>
        </c:manualLayout>
      </c:layout>
      <c:overlay val="0"/>
    </c:legend>
    <c:plotVisOnly val="1"/>
    <c:dispBlanksAs val="gap"/>
    <c:showDLblsOverMax val="0"/>
  </c:chart>
  <c:printSettings>
    <c:headerFooter alignWithMargins="0"/>
    <c:pageMargins b="1" l="0.75000000000000988" r="0.75000000000000988" t="1" header="0.5" footer="0.5"/>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5"/>
    </mc:Choice>
    <mc:Fallback>
      <c:style val="15"/>
    </mc:Fallback>
  </mc:AlternateContent>
  <c:chart>
    <c:title>
      <c:tx>
        <c:strRef>
          <c:f>'Petroleum - Exports'!$W$1</c:f>
          <c:strCache>
            <c:ptCount val="1"/>
            <c:pt idx="0">
              <c:v>Petroleum Exports 2020-21
Total Value: $21,845,484,960</c:v>
            </c:pt>
          </c:strCache>
        </c:strRef>
      </c:tx>
      <c:overlay val="0"/>
    </c:title>
    <c:autoTitleDeleted val="0"/>
    <c:plotArea>
      <c:layout>
        <c:manualLayout>
          <c:layoutTarget val="inner"/>
          <c:xMode val="edge"/>
          <c:yMode val="edge"/>
          <c:x val="0.28740048988312072"/>
          <c:y val="0.28959079907435026"/>
          <c:w val="0.39128258411259803"/>
          <c:h val="0.63860079244116286"/>
        </c:manualLayout>
      </c:layout>
      <c:pieChart>
        <c:varyColors val="1"/>
        <c:ser>
          <c:idx val="0"/>
          <c:order val="0"/>
          <c:tx>
            <c:v>Exports</c:v>
          </c:tx>
          <c:dPt>
            <c:idx val="0"/>
            <c:bubble3D val="0"/>
            <c:extLst>
              <c:ext xmlns:c16="http://schemas.microsoft.com/office/drawing/2014/chart" uri="{C3380CC4-5D6E-409C-BE32-E72D297353CC}">
                <c16:uniqueId val="{00000000-BB5D-46A8-92B9-7E28F0CD0577}"/>
              </c:ext>
            </c:extLst>
          </c:dPt>
          <c:dPt>
            <c:idx val="1"/>
            <c:bubble3D val="0"/>
            <c:extLst>
              <c:ext xmlns:c16="http://schemas.microsoft.com/office/drawing/2014/chart" uri="{C3380CC4-5D6E-409C-BE32-E72D297353CC}">
                <c16:uniqueId val="{00000001-BB5D-46A8-92B9-7E28F0CD0577}"/>
              </c:ext>
            </c:extLst>
          </c:dPt>
          <c:dPt>
            <c:idx val="2"/>
            <c:bubble3D val="0"/>
            <c:extLst>
              <c:ext xmlns:c16="http://schemas.microsoft.com/office/drawing/2014/chart" uri="{C3380CC4-5D6E-409C-BE32-E72D297353CC}">
                <c16:uniqueId val="{00000002-BB5D-46A8-92B9-7E28F0CD0577}"/>
              </c:ext>
            </c:extLst>
          </c:dPt>
          <c:dPt>
            <c:idx val="3"/>
            <c:bubble3D val="0"/>
            <c:extLst>
              <c:ext xmlns:c16="http://schemas.microsoft.com/office/drawing/2014/chart" uri="{C3380CC4-5D6E-409C-BE32-E72D297353CC}">
                <c16:uniqueId val="{00000003-BB5D-46A8-92B9-7E28F0CD0577}"/>
              </c:ext>
            </c:extLst>
          </c:dPt>
          <c:dPt>
            <c:idx val="4"/>
            <c:bubble3D val="0"/>
            <c:extLst>
              <c:ext xmlns:c16="http://schemas.microsoft.com/office/drawing/2014/chart" uri="{C3380CC4-5D6E-409C-BE32-E72D297353CC}">
                <c16:uniqueId val="{00000004-BB5D-46A8-92B9-7E28F0CD0577}"/>
              </c:ext>
            </c:extLst>
          </c:dPt>
          <c:dPt>
            <c:idx val="5"/>
            <c:bubble3D val="0"/>
            <c:extLst>
              <c:ext xmlns:c16="http://schemas.microsoft.com/office/drawing/2014/chart" uri="{C3380CC4-5D6E-409C-BE32-E72D297353CC}">
                <c16:uniqueId val="{00000005-BB5D-46A8-92B9-7E28F0CD0577}"/>
              </c:ext>
            </c:extLst>
          </c:dPt>
          <c:dPt>
            <c:idx val="6"/>
            <c:bubble3D val="0"/>
            <c:extLst>
              <c:ext xmlns:c16="http://schemas.microsoft.com/office/drawing/2014/chart" uri="{C3380CC4-5D6E-409C-BE32-E72D297353CC}">
                <c16:uniqueId val="{00000006-BB5D-46A8-92B9-7E28F0CD0577}"/>
              </c:ext>
            </c:extLst>
          </c:dPt>
          <c:dPt>
            <c:idx val="7"/>
            <c:bubble3D val="0"/>
            <c:extLst>
              <c:ext xmlns:c16="http://schemas.microsoft.com/office/drawing/2014/chart" uri="{C3380CC4-5D6E-409C-BE32-E72D297353CC}">
                <c16:uniqueId val="{00000007-BB5D-46A8-92B9-7E28F0CD0577}"/>
              </c:ext>
            </c:extLst>
          </c:dPt>
          <c:dPt>
            <c:idx val="8"/>
            <c:bubble3D val="0"/>
            <c:extLst>
              <c:ext xmlns:c16="http://schemas.microsoft.com/office/drawing/2014/chart" uri="{C3380CC4-5D6E-409C-BE32-E72D297353CC}">
                <c16:uniqueId val="{00000008-BB5D-46A8-92B9-7E28F0CD0577}"/>
              </c:ext>
            </c:extLst>
          </c:dPt>
          <c:dPt>
            <c:idx val="9"/>
            <c:bubble3D val="0"/>
            <c:extLst>
              <c:ext xmlns:c16="http://schemas.microsoft.com/office/drawing/2014/chart" uri="{C3380CC4-5D6E-409C-BE32-E72D297353CC}">
                <c16:uniqueId val="{00000009-BB5D-46A8-92B9-7E28F0CD0577}"/>
              </c:ext>
            </c:extLst>
          </c:dPt>
          <c:dPt>
            <c:idx val="10"/>
            <c:bubble3D val="0"/>
            <c:extLst>
              <c:ext xmlns:c16="http://schemas.microsoft.com/office/drawing/2014/chart" uri="{C3380CC4-5D6E-409C-BE32-E72D297353CC}">
                <c16:uniqueId val="{0000000A-BB5D-46A8-92B9-7E28F0CD0577}"/>
              </c:ext>
            </c:extLst>
          </c:dPt>
          <c:dLbls>
            <c:dLbl>
              <c:idx val="0"/>
              <c:layout>
                <c:manualLayout>
                  <c:x val="2.9279988650067312E-2"/>
                  <c:y val="-0.1956997115164424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5D-46A8-92B9-7E28F0CD0577}"/>
                </c:ext>
              </c:extLst>
            </c:dLbl>
            <c:dLbl>
              <c:idx val="1"/>
              <c:layout>
                <c:manualLayout>
                  <c:x val="-5.1004928040592701E-2"/>
                  <c:y val="2.818083131409300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5D-46A8-92B9-7E28F0CD0577}"/>
                </c:ext>
              </c:extLst>
            </c:dLbl>
            <c:dLbl>
              <c:idx val="2"/>
              <c:layout>
                <c:manualLayout>
                  <c:x val="-4.9661797044844788E-2"/>
                  <c:y val="-1.07458431402837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5D-46A8-92B9-7E28F0CD0577}"/>
                </c:ext>
              </c:extLst>
            </c:dLbl>
            <c:dLbl>
              <c:idx val="3"/>
              <c:layout>
                <c:manualLayout>
                  <c:x val="7.2808983137839095E-2"/>
                  <c:y val="-1.741082312816761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5D-46A8-92B9-7E28F0CD0577}"/>
                </c:ext>
              </c:extLst>
            </c:dLbl>
            <c:dLbl>
              <c:idx val="4"/>
              <c:layout>
                <c:manualLayout>
                  <c:x val="6.4674753493650983E-2"/>
                  <c:y val="-2.7383155150823433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2688915872797299"/>
                      <c:h val="9.7780072276716576E-2"/>
                    </c:manualLayout>
                  </c15:layout>
                </c:ext>
                <c:ext xmlns:c16="http://schemas.microsoft.com/office/drawing/2014/chart" uri="{C3380CC4-5D6E-409C-BE32-E72D297353CC}">
                  <c16:uniqueId val="{00000004-BB5D-46A8-92B9-7E28F0CD0577}"/>
                </c:ext>
              </c:extLst>
            </c:dLbl>
            <c:dLbl>
              <c:idx val="5"/>
              <c:layout>
                <c:manualLayout>
                  <c:x val="5.8438883533834897E-2"/>
                  <c:y val="-1.950075389512487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5D-46A8-92B9-7E28F0CD0577}"/>
                </c:ext>
              </c:extLst>
            </c:dLbl>
            <c:dLbl>
              <c:idx val="6"/>
              <c:layout>
                <c:manualLayout>
                  <c:x val="7.8282070861968964E-2"/>
                  <c:y val="-1.92119991228392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5D-46A8-92B9-7E28F0CD0577}"/>
                </c:ext>
              </c:extLst>
            </c:dLbl>
            <c:dLbl>
              <c:idx val="7"/>
              <c:layout>
                <c:manualLayout>
                  <c:x val="8.8964443832438275E-2"/>
                  <c:y val="-1.9332949235004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B5D-46A8-92B9-7E28F0CD0577}"/>
                </c:ext>
              </c:extLst>
            </c:dLbl>
            <c:dLbl>
              <c:idx val="8"/>
              <c:layout>
                <c:manualLayout>
                  <c:x val="0.11271818367696089"/>
                  <c:y val="3.425406878347744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B5D-46A8-92B9-7E28F0CD0577}"/>
                </c:ext>
              </c:extLst>
            </c:dLbl>
            <c:dLbl>
              <c:idx val="9"/>
              <c:layout>
                <c:manualLayout>
                  <c:x val="0.10810810810810795"/>
                  <c:y val="6.4512999375336208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15951245363010069"/>
                      <c:h val="6.8470197033321273E-2"/>
                    </c:manualLayout>
                  </c15:layout>
                </c:ext>
                <c:ext xmlns:c16="http://schemas.microsoft.com/office/drawing/2014/chart" uri="{C3380CC4-5D6E-409C-BE32-E72D297353CC}">
                  <c16:uniqueId val="{00000009-BB5D-46A8-92B9-7E28F0CD0577}"/>
                </c:ext>
              </c:extLst>
            </c:dLbl>
            <c:dLbl>
              <c:idx val="10"/>
              <c:layout>
                <c:manualLayout>
                  <c:x val="4.8444767138606883E-2"/>
                  <c:y val="9.821503240999908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5D-46A8-92B9-7E28F0CD0577}"/>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'Petroleum - Exports'!$A$10:$A$20</c:f>
              <c:strCache>
                <c:ptCount val="11"/>
                <c:pt idx="0">
                  <c:v>Japan</c:v>
                </c:pt>
                <c:pt idx="1">
                  <c:v>Singapore</c:v>
                </c:pt>
                <c:pt idx="2">
                  <c:v>China</c:v>
                </c:pt>
                <c:pt idx="3">
                  <c:v>Korea, Republic Of</c:v>
                </c:pt>
                <c:pt idx="4">
                  <c:v>Taiwan, Province Of China</c:v>
                </c:pt>
                <c:pt idx="5">
                  <c:v>Indonesia</c:v>
                </c:pt>
                <c:pt idx="6">
                  <c:v>Malaysia</c:v>
                </c:pt>
                <c:pt idx="7">
                  <c:v>Brunei Darussalam</c:v>
                </c:pt>
                <c:pt idx="8">
                  <c:v>Thailand</c:v>
                </c:pt>
                <c:pt idx="9">
                  <c:v>India</c:v>
                </c:pt>
                <c:pt idx="10">
                  <c:v>Other</c:v>
                </c:pt>
              </c:strCache>
            </c:strRef>
          </c:cat>
          <c:val>
            <c:numRef>
              <c:f>'Petroleum - Exports'!$D$10:$D$20</c:f>
              <c:numCache>
                <c:formatCode>0.0%</c:formatCode>
                <c:ptCount val="11"/>
                <c:pt idx="0">
                  <c:v>0.36611090550173542</c:v>
                </c:pt>
                <c:pt idx="1">
                  <c:v>0.19029779952680206</c:v>
                </c:pt>
                <c:pt idx="2">
                  <c:v>0.17332794878296953</c:v>
                </c:pt>
                <c:pt idx="3">
                  <c:v>8.353024991665238E-2</c:v>
                </c:pt>
                <c:pt idx="4">
                  <c:v>3.8505896330172859E-2</c:v>
                </c:pt>
                <c:pt idx="5">
                  <c:v>3.5540775596825107E-2</c:v>
                </c:pt>
                <c:pt idx="6">
                  <c:v>2.8629575848107158E-2</c:v>
                </c:pt>
                <c:pt idx="7">
                  <c:v>2.8096024376143506E-2</c:v>
                </c:pt>
                <c:pt idx="8">
                  <c:v>2.4837690526455201E-2</c:v>
                </c:pt>
                <c:pt idx="9">
                  <c:v>1.4088535705248586E-2</c:v>
                </c:pt>
                <c:pt idx="10">
                  <c:v>1.7034597888888222E-2</c:v>
                </c:pt>
              </c:numCache>
            </c:numRef>
          </c:val>
          <c:extLst>
            <c:ext xmlns:c16="http://schemas.microsoft.com/office/drawing/2014/chart" uri="{C3380CC4-5D6E-409C-BE32-E72D297353CC}">
              <c16:uniqueId val="{0000000B-BB5D-46A8-92B9-7E28F0CD0577}"/>
            </c:ext>
          </c:extLst>
        </c:ser>
        <c:dLbls>
          <c:showLegendKey val="0"/>
          <c:showVal val="1"/>
          <c:showCatName val="1"/>
          <c:showSerName val="0"/>
          <c:showPercent val="0"/>
          <c:showBubbleSize val="0"/>
          <c:showLeaderLines val="1"/>
        </c:dLbls>
        <c:firstSliceAng val="120"/>
      </c:pieChart>
    </c:plotArea>
    <c:plotVisOnly val="1"/>
    <c:dispBlanksAs val="gap"/>
    <c:showDLblsOverMax val="0"/>
  </c:chart>
  <c:spPr>
    <a:ln>
      <a:solidFill>
        <a:srgbClr val="868686"/>
      </a:solid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br>
              <a:rPr lang="en-AU"/>
            </a:br>
            <a:r>
              <a:rPr lang="en-AU" sz="1100"/>
              <a:t>Western Australia vs Rest of Australia</a:t>
            </a:r>
            <a:endParaRPr lang="en-AU"/>
          </a:p>
        </c:rich>
      </c:tx>
      <c:layout>
        <c:manualLayout>
          <c:xMode val="edge"/>
          <c:yMode val="edge"/>
          <c:x val="0.34519830335032253"/>
          <c:y val="3.7221032764162908E-2"/>
        </c:manualLayout>
      </c:layout>
      <c:overlay val="0"/>
    </c:title>
    <c:autoTitleDeleted val="0"/>
    <c:plotArea>
      <c:layout>
        <c:manualLayout>
          <c:layoutTarget val="inner"/>
          <c:xMode val="edge"/>
          <c:yMode val="edge"/>
          <c:x val="8.2633137604100043E-2"/>
          <c:y val="0.24354855643044621"/>
          <c:w val="0.85154134417309546"/>
          <c:h val="0.60794284057827075"/>
        </c:manualLayout>
      </c:layout>
      <c:barChart>
        <c:barDir val="col"/>
        <c:grouping val="stacked"/>
        <c:varyColors val="0"/>
        <c:ser>
          <c:idx val="0"/>
          <c:order val="0"/>
          <c:tx>
            <c:strRef>
              <c:f>'Petroleum - WA vs Australia'!$B$6</c:f>
              <c:strCache>
                <c:ptCount val="1"/>
                <c:pt idx="0">
                  <c:v>Western Australia (GL)</c:v>
                </c:pt>
              </c:strCache>
            </c:strRef>
          </c:tx>
          <c:invertIfNegative val="0"/>
          <c:cat>
            <c:numRef>
              <c:f>'Petroleum - WA vs Australia'!$A$7:$A$62</c:f>
              <c:numCache>
                <c:formatCode>General</c:formatCode>
                <c:ptCount val="5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numCache>
            </c:numRef>
          </c:cat>
          <c:val>
            <c:numRef>
              <c:f>'Petroleum - WA vs Australia'!$B$7:$B$62</c:f>
              <c:numCache>
                <c:formatCode>#,##0.00</c:formatCode>
                <c:ptCount val="56"/>
                <c:pt idx="0">
                  <c:v>0</c:v>
                </c:pt>
                <c:pt idx="1">
                  <c:v>0</c:v>
                </c:pt>
                <c:pt idx="2">
                  <c:v>0.73855690000000007</c:v>
                </c:pt>
                <c:pt idx="3">
                  <c:v>1.691354</c:v>
                </c:pt>
                <c:pt idx="4">
                  <c:v>2.0883660000000002</c:v>
                </c:pt>
                <c:pt idx="5">
                  <c:v>2.6482829999999997</c:v>
                </c:pt>
                <c:pt idx="6">
                  <c:v>2.5990139999999999</c:v>
                </c:pt>
                <c:pt idx="7">
                  <c:v>2.454863</c:v>
                </c:pt>
                <c:pt idx="8">
                  <c:v>2.3218369999999999</c:v>
                </c:pt>
                <c:pt idx="9">
                  <c:v>2.1989830000000001</c:v>
                </c:pt>
                <c:pt idx="10">
                  <c:v>2.0499050000000003</c:v>
                </c:pt>
                <c:pt idx="11">
                  <c:v>1.776065</c:v>
                </c:pt>
                <c:pt idx="12">
                  <c:v>1.874762</c:v>
                </c:pt>
                <c:pt idx="13">
                  <c:v>1.822473</c:v>
                </c:pt>
                <c:pt idx="14">
                  <c:v>1.4239999999999999</c:v>
                </c:pt>
                <c:pt idx="15">
                  <c:v>1.6279999999999999</c:v>
                </c:pt>
                <c:pt idx="16">
                  <c:v>1.4419999999999999</c:v>
                </c:pt>
                <c:pt idx="17">
                  <c:v>1.2809999999999999</c:v>
                </c:pt>
                <c:pt idx="18">
                  <c:v>1.2649999999999999</c:v>
                </c:pt>
                <c:pt idx="19">
                  <c:v>1.3240000000000001</c:v>
                </c:pt>
                <c:pt idx="20">
                  <c:v>1.476</c:v>
                </c:pt>
                <c:pt idx="21">
                  <c:v>2.0299999999999998</c:v>
                </c:pt>
                <c:pt idx="22">
                  <c:v>2.6859999999999999</c:v>
                </c:pt>
                <c:pt idx="23">
                  <c:v>3.1869999999999998</c:v>
                </c:pt>
                <c:pt idx="24">
                  <c:v>3.867</c:v>
                </c:pt>
                <c:pt idx="25">
                  <c:v>6.92</c:v>
                </c:pt>
                <c:pt idx="26">
                  <c:v>7.0839999999999996</c:v>
                </c:pt>
                <c:pt idx="27">
                  <c:v>7.1070000000000002</c:v>
                </c:pt>
                <c:pt idx="28">
                  <c:v>6.1619999999999999</c:v>
                </c:pt>
                <c:pt idx="29">
                  <c:v>11.09408</c:v>
                </c:pt>
                <c:pt idx="30">
                  <c:v>12.51158</c:v>
                </c:pt>
                <c:pt idx="31">
                  <c:v>16.224634999999999</c:v>
                </c:pt>
                <c:pt idx="32">
                  <c:v>15.976610000000001</c:v>
                </c:pt>
                <c:pt idx="33">
                  <c:v>17.382999999999999</c:v>
                </c:pt>
                <c:pt idx="34">
                  <c:v>14.055568000000001</c:v>
                </c:pt>
                <c:pt idx="35">
                  <c:v>19.939762000000002</c:v>
                </c:pt>
                <c:pt idx="36">
                  <c:v>20.076323000000002</c:v>
                </c:pt>
                <c:pt idx="37">
                  <c:v>22.166976999999996</c:v>
                </c:pt>
                <c:pt idx="38">
                  <c:v>20.513078</c:v>
                </c:pt>
                <c:pt idx="39">
                  <c:v>17.702249000000002</c:v>
                </c:pt>
                <c:pt idx="40">
                  <c:v>19.058396999999999</c:v>
                </c:pt>
                <c:pt idx="41">
                  <c:v>17.562943000000001</c:v>
                </c:pt>
                <c:pt idx="42">
                  <c:v>19.051446000000002</c:v>
                </c:pt>
                <c:pt idx="43">
                  <c:v>19.049435000000003</c:v>
                </c:pt>
                <c:pt idx="44">
                  <c:v>18.739460999999999</c:v>
                </c:pt>
                <c:pt idx="45">
                  <c:v>21.920589</c:v>
                </c:pt>
                <c:pt idx="46">
                  <c:v>18.335720000000002</c:v>
                </c:pt>
                <c:pt idx="47">
                  <c:v>15.991191000000001</c:v>
                </c:pt>
                <c:pt idx="48">
                  <c:v>12.828248</c:v>
                </c:pt>
                <c:pt idx="49">
                  <c:v>12.524324309000001</c:v>
                </c:pt>
                <c:pt idx="50">
                  <c:v>14.973535984</c:v>
                </c:pt>
                <c:pt idx="51">
                  <c:v>12.270888789022798</c:v>
                </c:pt>
                <c:pt idx="52">
                  <c:v>11.54600424643619</c:v>
                </c:pt>
                <c:pt idx="53">
                  <c:v>12.419739846484219</c:v>
                </c:pt>
                <c:pt idx="54">
                  <c:v>17.034276296441195</c:v>
                </c:pt>
                <c:pt idx="55">
                  <c:v>15.973000900745109</c:v>
                </c:pt>
              </c:numCache>
            </c:numRef>
          </c:val>
          <c:extLst>
            <c:ext xmlns:c16="http://schemas.microsoft.com/office/drawing/2014/chart" uri="{C3380CC4-5D6E-409C-BE32-E72D297353CC}">
              <c16:uniqueId val="{00000000-3AE8-427B-B41D-3A814E57DB29}"/>
            </c:ext>
          </c:extLst>
        </c:ser>
        <c:ser>
          <c:idx val="1"/>
          <c:order val="1"/>
          <c:tx>
            <c:strRef>
              <c:f>'Petroleum - WA vs Australia'!$C$6</c:f>
              <c:strCache>
                <c:ptCount val="1"/>
                <c:pt idx="0">
                  <c:v>Rest of Australia (GL)</c:v>
                </c:pt>
              </c:strCache>
            </c:strRef>
          </c:tx>
          <c:invertIfNegative val="0"/>
          <c:cat>
            <c:numRef>
              <c:f>'Petroleum - WA vs Australia'!$A$7:$A$62</c:f>
              <c:numCache>
                <c:formatCode>General</c:formatCode>
                <c:ptCount val="56"/>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pt idx="50">
                  <c:v>2015</c:v>
                </c:pt>
                <c:pt idx="51">
                  <c:v>2016</c:v>
                </c:pt>
                <c:pt idx="52">
                  <c:v>2017</c:v>
                </c:pt>
                <c:pt idx="53">
                  <c:v>2018</c:v>
                </c:pt>
                <c:pt idx="54">
                  <c:v>2019</c:v>
                </c:pt>
                <c:pt idx="55">
                  <c:v>2020</c:v>
                </c:pt>
              </c:numCache>
            </c:numRef>
          </c:cat>
          <c:val>
            <c:numRef>
              <c:f>'Petroleum - WA vs Australia'!$C$7:$C$62</c:f>
              <c:numCache>
                <c:formatCode>#,##0.00</c:formatCode>
                <c:ptCount val="56"/>
                <c:pt idx="0">
                  <c:v>0.41661999999999999</c:v>
                </c:pt>
                <c:pt idx="1">
                  <c:v>0.53867200000000004</c:v>
                </c:pt>
                <c:pt idx="2">
                  <c:v>0.46932610000000002</c:v>
                </c:pt>
                <c:pt idx="3">
                  <c:v>0.51414490000000002</c:v>
                </c:pt>
                <c:pt idx="4">
                  <c:v>0.41703750000000001</c:v>
                </c:pt>
                <c:pt idx="5">
                  <c:v>7.719716</c:v>
                </c:pt>
                <c:pt idx="6">
                  <c:v>15.35299</c:v>
                </c:pt>
                <c:pt idx="7">
                  <c:v>16.546130000000002</c:v>
                </c:pt>
                <c:pt idx="8">
                  <c:v>20.298159999999999</c:v>
                </c:pt>
                <c:pt idx="9">
                  <c:v>20.20402</c:v>
                </c:pt>
                <c:pt idx="10">
                  <c:v>21.78209</c:v>
                </c:pt>
                <c:pt idx="11">
                  <c:v>22.474930000000001</c:v>
                </c:pt>
                <c:pt idx="12">
                  <c:v>23.120240000000003</c:v>
                </c:pt>
                <c:pt idx="13">
                  <c:v>23.364529999999998</c:v>
                </c:pt>
                <c:pt idx="14">
                  <c:v>23.943999999999999</c:v>
                </c:pt>
                <c:pt idx="15">
                  <c:v>19.695</c:v>
                </c:pt>
                <c:pt idx="16">
                  <c:v>20.262</c:v>
                </c:pt>
                <c:pt idx="17">
                  <c:v>20.396999999999998</c:v>
                </c:pt>
                <c:pt idx="18">
                  <c:v>23.8</c:v>
                </c:pt>
                <c:pt idx="19">
                  <c:v>27.591000000000001</c:v>
                </c:pt>
                <c:pt idx="20">
                  <c:v>31.901</c:v>
                </c:pt>
                <c:pt idx="21">
                  <c:v>27.734000000000002</c:v>
                </c:pt>
                <c:pt idx="22">
                  <c:v>29.187999999999999</c:v>
                </c:pt>
                <c:pt idx="23">
                  <c:v>26.952000000000002</c:v>
                </c:pt>
                <c:pt idx="24">
                  <c:v>24.533999999999999</c:v>
                </c:pt>
                <c:pt idx="25">
                  <c:v>26.567</c:v>
                </c:pt>
                <c:pt idx="26">
                  <c:v>24.526</c:v>
                </c:pt>
                <c:pt idx="27">
                  <c:v>23.945</c:v>
                </c:pt>
                <c:pt idx="28">
                  <c:v>22.596</c:v>
                </c:pt>
                <c:pt idx="29">
                  <c:v>20.153919999999999</c:v>
                </c:pt>
                <c:pt idx="30">
                  <c:v>16.872420000000002</c:v>
                </c:pt>
                <c:pt idx="31">
                  <c:v>15.353365</c:v>
                </c:pt>
                <c:pt idx="32">
                  <c:v>16.927389999999999</c:v>
                </c:pt>
                <c:pt idx="33">
                  <c:v>13.651999999999999</c:v>
                </c:pt>
                <c:pt idx="34">
                  <c:v>16.036999999999999</c:v>
                </c:pt>
                <c:pt idx="35">
                  <c:v>20.478000000000002</c:v>
                </c:pt>
                <c:pt idx="36">
                  <c:v>16.702677000000001</c:v>
                </c:pt>
                <c:pt idx="37">
                  <c:v>13.944922999999999</c:v>
                </c:pt>
                <c:pt idx="38">
                  <c:v>9.5589230000000001</c:v>
                </c:pt>
                <c:pt idx="39">
                  <c:v>7.359886000000003</c:v>
                </c:pt>
                <c:pt idx="40">
                  <c:v>6.7048319999999997</c:v>
                </c:pt>
                <c:pt idx="41">
                  <c:v>8.4257999999999988</c:v>
                </c:pt>
                <c:pt idx="42">
                  <c:v>10.921000000000003</c:v>
                </c:pt>
                <c:pt idx="43">
                  <c:v>7.6799649999999993</c:v>
                </c:pt>
                <c:pt idx="44">
                  <c:v>5.8065390000000008</c:v>
                </c:pt>
                <c:pt idx="45">
                  <c:v>5.3974110000000017</c:v>
                </c:pt>
                <c:pt idx="46">
                  <c:v>5.5312799999999989</c:v>
                </c:pt>
                <c:pt idx="47">
                  <c:v>5.9488090000000007</c:v>
                </c:pt>
                <c:pt idx="48">
                  <c:v>6.1817520000000012</c:v>
                </c:pt>
                <c:pt idx="49">
                  <c:v>7.9256756909999986</c:v>
                </c:pt>
                <c:pt idx="50">
                  <c:v>3.6764640159999988</c:v>
                </c:pt>
                <c:pt idx="51">
                  <c:v>4.7191112109772</c:v>
                </c:pt>
                <c:pt idx="52">
                  <c:v>4.941995753563809</c:v>
                </c:pt>
                <c:pt idx="53">
                  <c:v>5.0628409999999997</c:v>
                </c:pt>
                <c:pt idx="54">
                  <c:v>6.0302290000000003</c:v>
                </c:pt>
                <c:pt idx="55">
                  <c:v>5.7008070000000002</c:v>
                </c:pt>
              </c:numCache>
            </c:numRef>
          </c:val>
          <c:extLst>
            <c:ext xmlns:c16="http://schemas.microsoft.com/office/drawing/2014/chart" uri="{C3380CC4-5D6E-409C-BE32-E72D297353CC}">
              <c16:uniqueId val="{00000001-3AE8-427B-B41D-3A814E57DB29}"/>
            </c:ext>
          </c:extLst>
        </c:ser>
        <c:dLbls>
          <c:showLegendKey val="0"/>
          <c:showVal val="0"/>
          <c:showCatName val="0"/>
          <c:showSerName val="0"/>
          <c:showPercent val="0"/>
          <c:showBubbleSize val="0"/>
        </c:dLbls>
        <c:gapWidth val="60"/>
        <c:overlap val="100"/>
        <c:axId val="135947776"/>
        <c:axId val="135949312"/>
      </c:barChart>
      <c:dateAx>
        <c:axId val="13594777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5949312"/>
        <c:crosses val="autoZero"/>
        <c:auto val="0"/>
        <c:lblOffset val="100"/>
        <c:baseTimeUnit val="days"/>
        <c:majorUnit val="5"/>
        <c:majorTimeUnit val="days"/>
      </c:dateAx>
      <c:valAx>
        <c:axId val="135949312"/>
        <c:scaling>
          <c:orientation val="minMax"/>
        </c:scaling>
        <c:delete val="0"/>
        <c:axPos val="l"/>
        <c:majorGridlines/>
        <c:title>
          <c:tx>
            <c:rich>
              <a:bodyPr rot="-5400000" vert="horz"/>
              <a:lstStyle/>
              <a:p>
                <a:pPr>
                  <a:defRPr/>
                </a:pPr>
                <a:r>
                  <a:rPr lang="en-AU"/>
                  <a:t>GL</a:t>
                </a:r>
              </a:p>
            </c:rich>
          </c:tx>
          <c:layout>
            <c:manualLayout>
              <c:xMode val="edge"/>
              <c:yMode val="edge"/>
              <c:x val="1.5751568397060284E-2"/>
              <c:y val="0.45082332124214808"/>
            </c:manualLayout>
          </c:layout>
          <c:overlay val="0"/>
        </c:title>
        <c:numFmt formatCode="0" sourceLinked="0"/>
        <c:majorTickMark val="out"/>
        <c:minorTickMark val="none"/>
        <c:tickLblPos val="nextTo"/>
        <c:txPr>
          <a:bodyPr rot="0" vert="horz"/>
          <a:lstStyle/>
          <a:p>
            <a:pPr>
              <a:defRPr/>
            </a:pPr>
            <a:endParaRPr lang="en-US"/>
          </a:p>
        </c:txPr>
        <c:crossAx val="135947776"/>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a:t>
            </a:r>
            <a:r>
              <a:rPr lang="en-AU" baseline="0"/>
              <a:t> Oil and Condensate</a:t>
            </a:r>
            <a:endParaRPr lang="en-AU"/>
          </a:p>
          <a:p>
            <a:pPr>
              <a:defRPr/>
            </a:pPr>
            <a:r>
              <a:rPr lang="en-AU" sz="1100"/>
              <a:t>Western Australia vs Rest of Australia</a:t>
            </a:r>
          </a:p>
          <a:p>
            <a:pPr>
              <a:defRPr/>
            </a:pPr>
            <a:r>
              <a:rPr lang="en-AU" sz="1100"/>
              <a:t>Past 10 Years</a:t>
            </a:r>
          </a:p>
        </c:rich>
      </c:tx>
      <c:overlay val="0"/>
    </c:title>
    <c:autoTitleDeleted val="0"/>
    <c:plotArea>
      <c:layout/>
      <c:lineChart>
        <c:grouping val="standard"/>
        <c:varyColors val="0"/>
        <c:ser>
          <c:idx val="0"/>
          <c:order val="0"/>
          <c:tx>
            <c:v>Western Australia</c:v>
          </c:tx>
          <c:cat>
            <c:numRef>
              <c:f>'Petroleum - WA vs Australia'!$S$42:$S$51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'Petroleum - WA vs Australia'!$T$42:$T$51</c:f>
              <c:numCache>
                <c:formatCode>0.00</c:formatCode>
                <c:ptCount val="10"/>
                <c:pt idx="0">
                  <c:v>18.335720000000002</c:v>
                </c:pt>
                <c:pt idx="1">
                  <c:v>15.991191000000001</c:v>
                </c:pt>
                <c:pt idx="2">
                  <c:v>12.828248</c:v>
                </c:pt>
                <c:pt idx="3">
                  <c:v>12.524324309000001</c:v>
                </c:pt>
                <c:pt idx="4">
                  <c:v>14.973535984</c:v>
                </c:pt>
                <c:pt idx="5">
                  <c:v>12.270888789022798</c:v>
                </c:pt>
                <c:pt idx="6">
                  <c:v>11.54600424643619</c:v>
                </c:pt>
                <c:pt idx="7">
                  <c:v>12.419739846484219</c:v>
                </c:pt>
                <c:pt idx="8">
                  <c:v>17.034276296441195</c:v>
                </c:pt>
                <c:pt idx="9">
                  <c:v>15.973000900745109</c:v>
                </c:pt>
              </c:numCache>
            </c:numRef>
          </c:val>
          <c:smooth val="0"/>
          <c:extLst>
            <c:ext xmlns:c16="http://schemas.microsoft.com/office/drawing/2014/chart" uri="{C3380CC4-5D6E-409C-BE32-E72D297353CC}">
              <c16:uniqueId val="{00000000-A049-4FC3-A6DD-BE9B38C6E224}"/>
            </c:ext>
          </c:extLst>
        </c:ser>
        <c:ser>
          <c:idx val="1"/>
          <c:order val="1"/>
          <c:tx>
            <c:v>Rest of Australia</c:v>
          </c:tx>
          <c:cat>
            <c:numRef>
              <c:f>'Petroleum - WA vs Australia'!$S$42:$S$51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'Petroleum - WA vs Australia'!$U$42:$U$51</c:f>
              <c:numCache>
                <c:formatCode>0.00</c:formatCode>
                <c:ptCount val="10"/>
                <c:pt idx="0">
                  <c:v>5.5312799999999989</c:v>
                </c:pt>
                <c:pt idx="1">
                  <c:v>5.9488090000000007</c:v>
                </c:pt>
                <c:pt idx="2">
                  <c:v>6.1817520000000012</c:v>
                </c:pt>
                <c:pt idx="3">
                  <c:v>7.9256756909999986</c:v>
                </c:pt>
                <c:pt idx="4">
                  <c:v>3.6764640159999988</c:v>
                </c:pt>
                <c:pt idx="5">
                  <c:v>4.7191112109772</c:v>
                </c:pt>
                <c:pt idx="6">
                  <c:v>4.941995753563809</c:v>
                </c:pt>
                <c:pt idx="7">
                  <c:v>5.0628409999999997</c:v>
                </c:pt>
                <c:pt idx="8">
                  <c:v>6.0302290000000003</c:v>
                </c:pt>
                <c:pt idx="9">
                  <c:v>5.7008070000000002</c:v>
                </c:pt>
              </c:numCache>
            </c:numRef>
          </c:val>
          <c:smooth val="0"/>
          <c:extLst>
            <c:ext xmlns:c16="http://schemas.microsoft.com/office/drawing/2014/chart" uri="{C3380CC4-5D6E-409C-BE32-E72D297353CC}">
              <c16:uniqueId val="{00000001-A049-4FC3-A6DD-BE9B38C6E224}"/>
            </c:ext>
          </c:extLst>
        </c:ser>
        <c:dLbls>
          <c:showLegendKey val="0"/>
          <c:showVal val="0"/>
          <c:showCatName val="0"/>
          <c:showSerName val="0"/>
          <c:showPercent val="0"/>
          <c:showBubbleSize val="0"/>
        </c:dLbls>
        <c:marker val="1"/>
        <c:smooth val="0"/>
        <c:axId val="136997888"/>
        <c:axId val="136996352"/>
      </c:lineChart>
      <c:valAx>
        <c:axId val="136996352"/>
        <c:scaling>
          <c:orientation val="minMax"/>
        </c:scaling>
        <c:delete val="0"/>
        <c:axPos val="l"/>
        <c:majorGridlines/>
        <c:title>
          <c:tx>
            <c:rich>
              <a:bodyPr/>
              <a:lstStyle/>
              <a:p>
                <a:pPr>
                  <a:defRPr/>
                </a:pPr>
                <a:r>
                  <a:rPr lang="en-AU"/>
                  <a:t>GL</a:t>
                </a:r>
              </a:p>
            </c:rich>
          </c:tx>
          <c:overlay val="0"/>
        </c:title>
        <c:numFmt formatCode="0" sourceLinked="0"/>
        <c:majorTickMark val="out"/>
        <c:minorTickMark val="none"/>
        <c:tickLblPos val="nextTo"/>
        <c:crossAx val="136997888"/>
        <c:crosses val="autoZero"/>
        <c:crossBetween val="between"/>
      </c:valAx>
      <c:catAx>
        <c:axId val="136997888"/>
        <c:scaling>
          <c:orientation val="minMax"/>
        </c:scaling>
        <c:delete val="0"/>
        <c:axPos val="b"/>
        <c:title>
          <c:tx>
            <c:rich>
              <a:bodyPr/>
              <a:lstStyle/>
              <a:p>
                <a:pPr>
                  <a:defRPr sz="900"/>
                </a:pPr>
                <a:r>
                  <a:rPr lang="en-AU" sz="900" b="1" i="0" baseline="0">
                    <a:effectLst/>
                  </a:rPr>
                  <a:t>Source:  DMIRS and EnergyQuest</a:t>
                </a:r>
                <a:endParaRPr lang="en-AU" sz="900">
                  <a:effectLst/>
                </a:endParaRPr>
              </a:p>
            </c:rich>
          </c:tx>
          <c:layout>
            <c:manualLayout>
              <c:xMode val="edge"/>
              <c:yMode val="edge"/>
              <c:x val="1.161495561004988E-2"/>
              <c:y val="0.95243641997462836"/>
            </c:manualLayout>
          </c:layout>
          <c:overlay val="0"/>
        </c:title>
        <c:numFmt formatCode="General" sourceLinked="1"/>
        <c:majorTickMark val="out"/>
        <c:minorTickMark val="none"/>
        <c:tickLblPos val="nextTo"/>
        <c:txPr>
          <a:bodyPr rot="-2700000"/>
          <a:lstStyle/>
          <a:p>
            <a:pPr>
              <a:defRPr/>
            </a:pPr>
            <a:endParaRPr lang="en-US"/>
          </a:p>
        </c:txPr>
        <c:crossAx val="13699635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n-AU" sz="1800" b="1" i="0" baseline="0">
                <a:effectLst/>
              </a:rPr>
              <a:t>Crude Oil and Condensate 2020</a:t>
            </a:r>
            <a:endParaRPr lang="en-AU">
              <a:effectLst/>
            </a:endParaRPr>
          </a:p>
          <a:p>
            <a:pPr>
              <a:defRPr sz="1400"/>
            </a:pPr>
            <a:r>
              <a:rPr lang="en-AU" sz="1100" b="1" i="0" baseline="0">
                <a:effectLst/>
              </a:rPr>
              <a:t>Western Australia vs Rest of Australia</a:t>
            </a:r>
            <a:endParaRPr lang="en-AU" sz="1100">
              <a:effectLst/>
            </a:endParaRPr>
          </a:p>
        </c:rich>
      </c:tx>
      <c:layout>
        <c:manualLayout>
          <c:xMode val="edge"/>
          <c:yMode val="edge"/>
          <c:x val="0.22464135021097045"/>
          <c:y val="3.2407407407407406E-2"/>
        </c:manualLayout>
      </c:layout>
      <c:overlay val="0"/>
    </c:title>
    <c:autoTitleDeleted val="0"/>
    <c:plotArea>
      <c:layout/>
      <c:pieChart>
        <c:varyColors val="1"/>
        <c:ser>
          <c:idx val="1"/>
          <c:order val="1"/>
          <c:tx>
            <c:v>WA vs Australia</c:v>
          </c:tx>
          <c:dLbls>
            <c:dLbl>
              <c:idx val="0"/>
              <c:layout>
                <c:manualLayout>
                  <c:x val="-0.18820103183304618"/>
                  <c:y val="-0.188879046369203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B8E-4858-9039-DAEB6F9220B8}"/>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15.973000900745109</c:v>
                </c:pt>
                <c:pt idx="1">
                  <c:v>5.7008070000000002</c:v>
                </c:pt>
              </c:numCache>
            </c:numRef>
          </c:val>
          <c:extLst>
            <c:ext xmlns:c16="http://schemas.microsoft.com/office/drawing/2014/chart" uri="{C3380CC4-5D6E-409C-BE32-E72D297353CC}">
              <c16:uniqueId val="{00000000-9778-4753-BB7F-B5283A954DBE}"/>
            </c:ext>
          </c:extLst>
        </c:ser>
        <c:ser>
          <c:idx val="0"/>
          <c:order val="0"/>
          <c:tx>
            <c:v>WA vs Australia</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15.973000900745109</c:v>
                </c:pt>
                <c:pt idx="1">
                  <c:v>5.7008070000000002</c:v>
                </c:pt>
              </c:numCache>
            </c:numRef>
          </c:val>
          <c:extLst>
            <c:ext xmlns:c16="http://schemas.microsoft.com/office/drawing/2014/chart" uri="{C3380CC4-5D6E-409C-BE32-E72D297353CC}">
              <c16:uniqueId val="{00000001-9778-4753-BB7F-B5283A954DBE}"/>
            </c:ext>
          </c:extLst>
        </c:ser>
        <c:dLbls>
          <c:showLegendKey val="0"/>
          <c:showVal val="0"/>
          <c:showCatName val="0"/>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Trade'!$A$6:$C$6</c:f>
          <c:strCache>
            <c:ptCount val="3"/>
            <c:pt idx="0">
              <c:v>Global LNG Exports 2020</c:v>
            </c:pt>
          </c:strCache>
        </c:strRef>
      </c:tx>
      <c:layout>
        <c:manualLayout>
          <c:xMode val="edge"/>
          <c:yMode val="edge"/>
          <c:x val="0.30756125402817769"/>
          <c:y val="3.4274282896564208E-2"/>
        </c:manualLayout>
      </c:layout>
      <c:overlay val="0"/>
      <c:txPr>
        <a:bodyPr/>
        <a:lstStyle/>
        <a:p>
          <a:pPr>
            <a:defRPr/>
          </a:pPr>
          <a:endParaRPr lang="en-US"/>
        </a:p>
      </c:txPr>
    </c:title>
    <c:autoTitleDeleted val="0"/>
    <c:plotArea>
      <c:layout>
        <c:manualLayout>
          <c:layoutTarget val="inner"/>
          <c:xMode val="edge"/>
          <c:yMode val="edge"/>
          <c:x val="0.12331641110650643"/>
          <c:y val="0.17540339848022435"/>
          <c:w val="0.87668358889349363"/>
          <c:h val="0.52621019544066661"/>
        </c:manualLayout>
      </c:layout>
      <c:barChart>
        <c:barDir val="col"/>
        <c:grouping val="clustered"/>
        <c:varyColors val="0"/>
        <c:ser>
          <c:idx val="0"/>
          <c:order val="0"/>
          <c:tx>
            <c:strRef>
              <c:f>'Petroleum - Global LNG Trade'!$B$7</c:f>
              <c:strCache>
                <c:ptCount val="1"/>
                <c:pt idx="0">
                  <c:v>Exports 
(Billion cubic metres)</c:v>
                </c:pt>
              </c:strCache>
            </c:strRef>
          </c:tx>
          <c:invertIfNegative val="0"/>
          <c:dPt>
            <c:idx val="0"/>
            <c:invertIfNegative val="0"/>
            <c:bubble3D val="0"/>
            <c:spPr>
              <a:solidFill>
                <a:srgbClr val="C00000"/>
              </a:solidFill>
            </c:spPr>
            <c:extLst>
              <c:ext xmlns:c16="http://schemas.microsoft.com/office/drawing/2014/chart" uri="{C3380CC4-5D6E-409C-BE32-E72D297353CC}">
                <c16:uniqueId val="{0000000A-51BE-42F4-83F6-98ADA2EAD0E5}"/>
              </c:ext>
            </c:extLst>
          </c:dPt>
          <c:dPt>
            <c:idx val="1"/>
            <c:invertIfNegative val="0"/>
            <c:bubble3D val="0"/>
            <c:spPr>
              <a:solidFill>
                <a:schemeClr val="accent5"/>
              </a:solidFill>
            </c:spPr>
            <c:extLst>
              <c:ext xmlns:c16="http://schemas.microsoft.com/office/drawing/2014/chart" uri="{C3380CC4-5D6E-409C-BE32-E72D297353CC}">
                <c16:uniqueId val="{00000001-AC22-4F3E-9872-3FDBE459D855}"/>
              </c:ext>
            </c:extLst>
          </c:dPt>
          <c:dPt>
            <c:idx val="2"/>
            <c:invertIfNegative val="0"/>
            <c:bubble3D val="0"/>
            <c:extLst>
              <c:ext xmlns:c16="http://schemas.microsoft.com/office/drawing/2014/chart" uri="{C3380CC4-5D6E-409C-BE32-E72D297353CC}">
                <c16:uniqueId val="{00000002-AC22-4F3E-9872-3FDBE459D855}"/>
              </c:ext>
            </c:extLst>
          </c:dPt>
          <c:dPt>
            <c:idx val="3"/>
            <c:invertIfNegative val="0"/>
            <c:bubble3D val="0"/>
            <c:extLst>
              <c:ext xmlns:c16="http://schemas.microsoft.com/office/drawing/2014/chart" uri="{C3380CC4-5D6E-409C-BE32-E72D297353CC}">
                <c16:uniqueId val="{00000003-AC22-4F3E-9872-3FDBE459D855}"/>
              </c:ext>
            </c:extLst>
          </c:dPt>
          <c:dPt>
            <c:idx val="5"/>
            <c:invertIfNegative val="0"/>
            <c:bubble3D val="0"/>
            <c:extLst>
              <c:ext xmlns:c16="http://schemas.microsoft.com/office/drawing/2014/chart" uri="{C3380CC4-5D6E-409C-BE32-E72D297353CC}">
                <c16:uniqueId val="{00000004-AC22-4F3E-9872-3FDBE459D855}"/>
              </c:ext>
            </c:extLst>
          </c:dPt>
          <c:cat>
            <c:strRef>
              <c:f>'Petroleum - Global LNG Trade'!$A$8:$A$28</c:f>
              <c:strCache>
                <c:ptCount val="21"/>
                <c:pt idx="0">
                  <c:v>Australia</c:v>
                </c:pt>
                <c:pt idx="1">
                  <c:v>Qatar</c:v>
                </c:pt>
                <c:pt idx="2">
                  <c:v> US</c:v>
                </c:pt>
                <c:pt idx="3">
                  <c:v>Russia</c:v>
                </c:pt>
                <c:pt idx="4">
                  <c:v>Malaysia</c:v>
                </c:pt>
                <c:pt idx="5">
                  <c:v>Nigeria</c:v>
                </c:pt>
                <c:pt idx="6">
                  <c:v>Indonesia</c:v>
                </c:pt>
                <c:pt idx="7">
                  <c:v>Algeria</c:v>
                </c:pt>
                <c:pt idx="8">
                  <c:v>Trinidad &amp; Tobago</c:v>
                </c:pt>
                <c:pt idx="9">
                  <c:v>Oman</c:v>
                </c:pt>
                <c:pt idx="10">
                  <c:v>Papua New Guinea</c:v>
                </c:pt>
                <c:pt idx="11">
                  <c:v>Brunei</c:v>
                </c:pt>
                <c:pt idx="12">
                  <c:v>United Arab Emirates</c:v>
                </c:pt>
                <c:pt idx="13">
                  <c:v>Angola</c:v>
                </c:pt>
                <c:pt idx="14">
                  <c:v>Other Africa</c:v>
                </c:pt>
                <c:pt idx="15">
                  <c:v>Peru</c:v>
                </c:pt>
                <c:pt idx="16">
                  <c:v>Norway</c:v>
                </c:pt>
                <c:pt idx="17">
                  <c:v>Egypt</c:v>
                </c:pt>
                <c:pt idx="18">
                  <c:v>Other Asia Pacific*</c:v>
                </c:pt>
                <c:pt idx="19">
                  <c:v>Other Europe*</c:v>
                </c:pt>
                <c:pt idx="20">
                  <c:v>Other Americas*</c:v>
                </c:pt>
              </c:strCache>
            </c:strRef>
          </c:cat>
          <c:val>
            <c:numRef>
              <c:f>'Petroleum - Global LNG Trade'!$B$8:$B$28</c:f>
              <c:numCache>
                <c:formatCode>#,##0.00</c:formatCode>
                <c:ptCount val="21"/>
                <c:pt idx="0">
                  <c:v>106.23146755643211</c:v>
                </c:pt>
                <c:pt idx="1">
                  <c:v>106.08459354739111</c:v>
                </c:pt>
                <c:pt idx="2">
                  <c:v>61.394385995906461</c:v>
                </c:pt>
                <c:pt idx="3">
                  <c:v>40.408900803546906</c:v>
                </c:pt>
                <c:pt idx="4">
                  <c:v>32.83012186157984</c:v>
                </c:pt>
                <c:pt idx="5">
                  <c:v>28.426212848068335</c:v>
                </c:pt>
                <c:pt idx="6">
                  <c:v>16.784783723431836</c:v>
                </c:pt>
                <c:pt idx="7">
                  <c:v>14.963772427803423</c:v>
                </c:pt>
                <c:pt idx="8">
                  <c:v>14.34388932840295</c:v>
                </c:pt>
                <c:pt idx="9">
                  <c:v>13.207544058714113</c:v>
                </c:pt>
                <c:pt idx="10">
                  <c:v>11.537593645308343</c:v>
                </c:pt>
                <c:pt idx="11">
                  <c:v>8.4499658164715061</c:v>
                </c:pt>
                <c:pt idx="12">
                  <c:v>7.6074374571568768</c:v>
                </c:pt>
                <c:pt idx="13">
                  <c:v>6.0955614450403761</c:v>
                </c:pt>
                <c:pt idx="14">
                  <c:v>5.1120756284442681</c:v>
                </c:pt>
                <c:pt idx="15">
                  <c:v>5.0394789659017345</c:v>
                </c:pt>
                <c:pt idx="16">
                  <c:v>4.2901972471607035</c:v>
                </c:pt>
                <c:pt idx="17">
                  <c:v>1.8067536109181754</c:v>
                </c:pt>
                <c:pt idx="18">
                  <c:v>1.4266146450000001</c:v>
                </c:pt>
                <c:pt idx="19">
                  <c:v>1.3484401269910224</c:v>
                </c:pt>
                <c:pt idx="20">
                  <c:v>0.52234888611399999</c:v>
                </c:pt>
              </c:numCache>
            </c:numRef>
          </c:val>
          <c:extLst>
            <c:ext xmlns:c16="http://schemas.microsoft.com/office/drawing/2014/chart" uri="{C3380CC4-5D6E-409C-BE32-E72D297353CC}">
              <c16:uniqueId val="{00000005-AC22-4F3E-9872-3FDBE459D855}"/>
            </c:ext>
          </c:extLst>
        </c:ser>
        <c:dLbls>
          <c:showLegendKey val="0"/>
          <c:showVal val="0"/>
          <c:showCatName val="0"/>
          <c:showSerName val="0"/>
          <c:showPercent val="0"/>
          <c:showBubbleSize val="0"/>
        </c:dLbls>
        <c:gapWidth val="150"/>
        <c:axId val="135632384"/>
        <c:axId val="135633920"/>
      </c:barChart>
      <c:catAx>
        <c:axId val="13563238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5633920"/>
        <c:crosses val="autoZero"/>
        <c:auto val="1"/>
        <c:lblAlgn val="ctr"/>
        <c:lblOffset val="0"/>
        <c:tickMarkSkip val="1"/>
        <c:noMultiLvlLbl val="0"/>
      </c:catAx>
      <c:valAx>
        <c:axId val="135633920"/>
        <c:scaling>
          <c:orientation val="minMax"/>
        </c:scaling>
        <c:delete val="0"/>
        <c:axPos val="l"/>
        <c:majorGridlines/>
        <c:title>
          <c:tx>
            <c:rich>
              <a:bodyPr rot="-5400000" vert="horz"/>
              <a:lstStyle/>
              <a:p>
                <a:pPr>
                  <a:defRPr/>
                </a:pPr>
                <a:r>
                  <a:rPr lang="en-AU"/>
                  <a:t>Billions of Cubic Metres</a:t>
                </a:r>
              </a:p>
            </c:rich>
          </c:tx>
          <c:overlay val="0"/>
        </c:title>
        <c:numFmt formatCode="0" sourceLinked="0"/>
        <c:majorTickMark val="out"/>
        <c:minorTickMark val="none"/>
        <c:tickLblPos val="nextTo"/>
        <c:txPr>
          <a:bodyPr rot="0" vert="horz"/>
          <a:lstStyle/>
          <a:p>
            <a:pPr>
              <a:defRPr/>
            </a:pPr>
            <a:endParaRPr lang="en-US"/>
          </a:p>
        </c:txPr>
        <c:crossAx val="135632384"/>
        <c:crosses val="autoZero"/>
        <c:crossBetween val="between"/>
      </c:valAx>
    </c:plotArea>
    <c:plotVisOnly val="1"/>
    <c:dispBlanksAs val="gap"/>
    <c:showDLblsOverMax val="0"/>
  </c:chart>
  <c:printSettings>
    <c:headerFooter alignWithMargins="0"/>
    <c:pageMargins b="1" l="0.750000000000002" r="0.750000000000002" t="1" header="0.5" footer="0.5"/>
    <c:pageSetup paperSize="9" orientation="landscape"/>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Trade'!$A$32:$C$32</c:f>
          <c:strCache>
            <c:ptCount val="3"/>
            <c:pt idx="0">
              <c:v>Global LNG Imports by Region 2020</c:v>
            </c:pt>
          </c:strCache>
        </c:strRef>
      </c:tx>
      <c:layout>
        <c:manualLayout>
          <c:xMode val="edge"/>
          <c:yMode val="edge"/>
          <c:x val="0.24736895037653003"/>
          <c:y val="3.6217463437184995E-2"/>
        </c:manualLayout>
      </c:layout>
      <c:overlay val="0"/>
      <c:txPr>
        <a:bodyPr/>
        <a:lstStyle/>
        <a:p>
          <a:pPr>
            <a:defRPr/>
          </a:pPr>
          <a:endParaRPr lang="en-US"/>
        </a:p>
      </c:txPr>
    </c:title>
    <c:autoTitleDeleted val="0"/>
    <c:plotArea>
      <c:layout>
        <c:manualLayout>
          <c:layoutTarget val="inner"/>
          <c:xMode val="edge"/>
          <c:yMode val="edge"/>
          <c:x val="0.1432580273260235"/>
          <c:y val="0.15895395658220424"/>
          <c:w val="0.85219564844114115"/>
          <c:h val="0.56136903653714765"/>
        </c:manualLayout>
      </c:layout>
      <c:barChart>
        <c:barDir val="col"/>
        <c:grouping val="clustered"/>
        <c:varyColors val="0"/>
        <c:ser>
          <c:idx val="0"/>
          <c:order val="0"/>
          <c:invertIfNegative val="0"/>
          <c:cat>
            <c:strRef>
              <c:f>'Petroleum - Global LNG Trade'!$A$34:$A$38</c:f>
              <c:strCache>
                <c:ptCount val="5"/>
                <c:pt idx="0">
                  <c:v>Asia Pacific</c:v>
                </c:pt>
                <c:pt idx="1">
                  <c:v>Europe</c:v>
                </c:pt>
                <c:pt idx="2">
                  <c:v>S. &amp; Cent. America</c:v>
                </c:pt>
                <c:pt idx="3">
                  <c:v>Middle East &amp; Africa</c:v>
                </c:pt>
                <c:pt idx="4">
                  <c:v>North America</c:v>
                </c:pt>
              </c:strCache>
            </c:strRef>
          </c:cat>
          <c:val>
            <c:numRef>
              <c:f>'Petroleum - Global LNG Trade'!$B$34:$B$38</c:f>
              <c:numCache>
                <c:formatCode>#,##0.00</c:formatCode>
                <c:ptCount val="5"/>
                <c:pt idx="0">
                  <c:v>345.4</c:v>
                </c:pt>
                <c:pt idx="1">
                  <c:v>114.8</c:v>
                </c:pt>
                <c:pt idx="2">
                  <c:v>13.9</c:v>
                </c:pt>
                <c:pt idx="3">
                  <c:v>9.1999999999999993</c:v>
                </c:pt>
                <c:pt idx="4">
                  <c:v>4.5999999999999996</c:v>
                </c:pt>
              </c:numCache>
            </c:numRef>
          </c:val>
          <c:extLst>
            <c:ext xmlns:c16="http://schemas.microsoft.com/office/drawing/2014/chart" uri="{C3380CC4-5D6E-409C-BE32-E72D297353CC}">
              <c16:uniqueId val="{00000000-D1DE-4383-A1FE-CEA664DE915B}"/>
            </c:ext>
          </c:extLst>
        </c:ser>
        <c:dLbls>
          <c:showLegendKey val="0"/>
          <c:showVal val="0"/>
          <c:showCatName val="0"/>
          <c:showSerName val="0"/>
          <c:showPercent val="0"/>
          <c:showBubbleSize val="0"/>
        </c:dLbls>
        <c:gapWidth val="150"/>
        <c:axId val="135646592"/>
        <c:axId val="136926336"/>
      </c:barChart>
      <c:catAx>
        <c:axId val="13564659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6926336"/>
        <c:crosses val="autoZero"/>
        <c:auto val="1"/>
        <c:lblAlgn val="ctr"/>
        <c:lblOffset val="100"/>
        <c:tickLblSkip val="1"/>
        <c:tickMarkSkip val="1"/>
        <c:noMultiLvlLbl val="0"/>
      </c:catAx>
      <c:valAx>
        <c:axId val="136926336"/>
        <c:scaling>
          <c:orientation val="minMax"/>
          <c:min val="0"/>
        </c:scaling>
        <c:delete val="0"/>
        <c:axPos val="l"/>
        <c:majorGridlines/>
        <c:title>
          <c:tx>
            <c:rich>
              <a:bodyPr rot="-5400000" vert="horz"/>
              <a:lstStyle/>
              <a:p>
                <a:pPr>
                  <a:defRPr/>
                </a:pPr>
                <a:r>
                  <a:rPr lang="en-AU"/>
                  <a:t>Billions of Cubic Metres</a:t>
                </a:r>
              </a:p>
            </c:rich>
          </c:tx>
          <c:layout>
            <c:manualLayout>
              <c:xMode val="edge"/>
              <c:yMode val="edge"/>
              <c:x val="3.9083965325830368E-2"/>
              <c:y val="0.27846011109076479"/>
            </c:manualLayout>
          </c:layout>
          <c:overlay val="0"/>
        </c:title>
        <c:numFmt formatCode="0" sourceLinked="0"/>
        <c:majorTickMark val="out"/>
        <c:minorTickMark val="none"/>
        <c:tickLblPos val="nextTo"/>
        <c:txPr>
          <a:bodyPr rot="0" vert="horz"/>
          <a:lstStyle/>
          <a:p>
            <a:pPr>
              <a:defRPr/>
            </a:pPr>
            <a:endParaRPr lang="en-US"/>
          </a:p>
        </c:txPr>
        <c:crossAx val="135646592"/>
        <c:crosses val="autoZero"/>
        <c:crossBetween val="between"/>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Trade'!$A$57:$C$57</c:f>
          <c:strCache>
            <c:ptCount val="3"/>
            <c:pt idx="0">
              <c:v>Asia Pacific Region Imports by Country 2020</c:v>
            </c:pt>
          </c:strCache>
        </c:strRef>
      </c:tx>
      <c:layout>
        <c:manualLayout>
          <c:xMode val="edge"/>
          <c:yMode val="edge"/>
          <c:x val="0.21652259063947282"/>
          <c:y val="5.7201137055099945E-2"/>
        </c:manualLayout>
      </c:layout>
      <c:overlay val="1"/>
      <c:txPr>
        <a:bodyPr/>
        <a:lstStyle/>
        <a:p>
          <a:pPr>
            <a:defRPr/>
          </a:pPr>
          <a:endParaRPr lang="en-US"/>
        </a:p>
      </c:txPr>
    </c:title>
    <c:autoTitleDeleted val="0"/>
    <c:plotArea>
      <c:layout>
        <c:manualLayout>
          <c:layoutTarget val="inner"/>
          <c:xMode val="edge"/>
          <c:yMode val="edge"/>
          <c:x val="0.11741041690694122"/>
          <c:y val="0.17213315295940429"/>
          <c:w val="0.79866606554340491"/>
          <c:h val="0.6085811895364277"/>
        </c:manualLayout>
      </c:layout>
      <c:barChart>
        <c:barDir val="col"/>
        <c:grouping val="clustered"/>
        <c:varyColors val="0"/>
        <c:ser>
          <c:idx val="0"/>
          <c:order val="0"/>
          <c:invertIfNegative val="0"/>
          <c:dPt>
            <c:idx val="0"/>
            <c:invertIfNegative val="0"/>
            <c:bubble3D val="0"/>
            <c:spPr>
              <a:solidFill>
                <a:srgbClr val="FF0000"/>
              </a:solidFill>
            </c:spPr>
            <c:extLst>
              <c:ext xmlns:c16="http://schemas.microsoft.com/office/drawing/2014/chart" uri="{C3380CC4-5D6E-409C-BE32-E72D297353CC}">
                <c16:uniqueId val="{00000004-48B4-4716-929E-0F23B39C34CE}"/>
              </c:ext>
            </c:extLst>
          </c:dPt>
          <c:dPt>
            <c:idx val="1"/>
            <c:invertIfNegative val="0"/>
            <c:bubble3D val="0"/>
            <c:extLst>
              <c:ext xmlns:c16="http://schemas.microsoft.com/office/drawing/2014/chart" uri="{C3380CC4-5D6E-409C-BE32-E72D297353CC}">
                <c16:uniqueId val="{00000001-34CB-4487-BED7-BD121E611433}"/>
              </c:ext>
            </c:extLst>
          </c:dPt>
          <c:dPt>
            <c:idx val="2"/>
            <c:invertIfNegative val="0"/>
            <c:bubble3D val="0"/>
            <c:extLst>
              <c:ext xmlns:c16="http://schemas.microsoft.com/office/drawing/2014/chart" uri="{C3380CC4-5D6E-409C-BE32-E72D297353CC}">
                <c16:uniqueId val="{00000002-34CB-4487-BED7-BD121E611433}"/>
              </c:ext>
            </c:extLst>
          </c:dPt>
          <c:dPt>
            <c:idx val="3"/>
            <c:invertIfNegative val="0"/>
            <c:bubble3D val="0"/>
            <c:extLst>
              <c:ext xmlns:c16="http://schemas.microsoft.com/office/drawing/2014/chart" uri="{C3380CC4-5D6E-409C-BE32-E72D297353CC}">
                <c16:uniqueId val="{00000003-34CB-4487-BED7-BD121E611433}"/>
              </c:ext>
            </c:extLst>
          </c:dPt>
          <c:cat>
            <c:strRef>
              <c:f>'Petroleum - Global LNG Trade'!$A$59:$A$79</c:f>
              <c:strCache>
                <c:ptCount val="21"/>
                <c:pt idx="0">
                  <c:v>Australia</c:v>
                </c:pt>
                <c:pt idx="1">
                  <c:v>Qatar</c:v>
                </c:pt>
                <c:pt idx="2">
                  <c:v>Malaysia</c:v>
                </c:pt>
                <c:pt idx="3">
                  <c:v>US</c:v>
                </c:pt>
                <c:pt idx="4">
                  <c:v>Russian Federation</c:v>
                </c:pt>
                <c:pt idx="5">
                  <c:v>Indonesia</c:v>
                </c:pt>
                <c:pt idx="6">
                  <c:v>Oman</c:v>
                </c:pt>
                <c:pt idx="7">
                  <c:v>Nigeria</c:v>
                </c:pt>
                <c:pt idx="8">
                  <c:v>Papua New Guinea</c:v>
                </c:pt>
                <c:pt idx="9">
                  <c:v>Brunei</c:v>
                </c:pt>
                <c:pt idx="10">
                  <c:v>United Arab Emirates</c:v>
                </c:pt>
                <c:pt idx="11">
                  <c:v>Peru</c:v>
                </c:pt>
                <c:pt idx="12">
                  <c:v>Angola</c:v>
                </c:pt>
                <c:pt idx="13">
                  <c:v>Other Africa</c:v>
                </c:pt>
                <c:pt idx="14">
                  <c:v>Trinidad &amp; Tobago</c:v>
                </c:pt>
                <c:pt idx="15">
                  <c:v>Other Asia Pacific*</c:v>
                </c:pt>
                <c:pt idx="16">
                  <c:v>Egypt</c:v>
                </c:pt>
                <c:pt idx="17">
                  <c:v>Algeria</c:v>
                </c:pt>
                <c:pt idx="18">
                  <c:v> Other Europe*</c:v>
                </c:pt>
                <c:pt idx="19">
                  <c:v>Other Americas*</c:v>
                </c:pt>
                <c:pt idx="20">
                  <c:v>Norway</c:v>
                </c:pt>
              </c:strCache>
            </c:strRef>
          </c:cat>
          <c:val>
            <c:numRef>
              <c:f>'Petroleum - Global LNG Trade'!$B$59:$B$79</c:f>
              <c:numCache>
                <c:formatCode>#,##0.00</c:formatCode>
                <c:ptCount val="21"/>
                <c:pt idx="0">
                  <c:v>106.02866346782751</c:v>
                </c:pt>
                <c:pt idx="1">
                  <c:v>71.8</c:v>
                </c:pt>
                <c:pt idx="2">
                  <c:v>32.799999999999997</c:v>
                </c:pt>
                <c:pt idx="3">
                  <c:v>26.4</c:v>
                </c:pt>
                <c:pt idx="4">
                  <c:v>22.5</c:v>
                </c:pt>
                <c:pt idx="5">
                  <c:v>16.399999999999999</c:v>
                </c:pt>
                <c:pt idx="6">
                  <c:v>12.7</c:v>
                </c:pt>
                <c:pt idx="7">
                  <c:v>11.9</c:v>
                </c:pt>
                <c:pt idx="8">
                  <c:v>11.5</c:v>
                </c:pt>
                <c:pt idx="9">
                  <c:v>8.4</c:v>
                </c:pt>
                <c:pt idx="10">
                  <c:v>7.6</c:v>
                </c:pt>
                <c:pt idx="11">
                  <c:v>4.5999999999999996</c:v>
                </c:pt>
                <c:pt idx="12">
                  <c:v>4.4000000000000004</c:v>
                </c:pt>
                <c:pt idx="13">
                  <c:v>2.5</c:v>
                </c:pt>
                <c:pt idx="14">
                  <c:v>1.5</c:v>
                </c:pt>
                <c:pt idx="15">
                  <c:v>1.4</c:v>
                </c:pt>
                <c:pt idx="16">
                  <c:v>1.3</c:v>
                </c:pt>
                <c:pt idx="17">
                  <c:v>0.9</c:v>
                </c:pt>
                <c:pt idx="18">
                  <c:v>0.7</c:v>
                </c:pt>
                <c:pt idx="19">
                  <c:v>4.5224080000000003E-3</c:v>
                </c:pt>
                <c:pt idx="20">
                  <c:v>0</c:v>
                </c:pt>
              </c:numCache>
            </c:numRef>
          </c:val>
          <c:extLst>
            <c:ext xmlns:c16="http://schemas.microsoft.com/office/drawing/2014/chart" uri="{C3380CC4-5D6E-409C-BE32-E72D297353CC}">
              <c16:uniqueId val="{00000004-34CB-4487-BED7-BD121E611433}"/>
            </c:ext>
          </c:extLst>
        </c:ser>
        <c:dLbls>
          <c:showLegendKey val="0"/>
          <c:showVal val="0"/>
          <c:showCatName val="0"/>
          <c:showSerName val="0"/>
          <c:showPercent val="0"/>
          <c:showBubbleSize val="0"/>
        </c:dLbls>
        <c:gapWidth val="150"/>
        <c:axId val="136945664"/>
        <c:axId val="136947200"/>
      </c:barChart>
      <c:catAx>
        <c:axId val="1369456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6947200"/>
        <c:crosses val="autoZero"/>
        <c:auto val="1"/>
        <c:lblAlgn val="ctr"/>
        <c:lblOffset val="100"/>
        <c:tickLblSkip val="1"/>
        <c:tickMarkSkip val="1"/>
        <c:noMultiLvlLbl val="0"/>
      </c:catAx>
      <c:valAx>
        <c:axId val="136947200"/>
        <c:scaling>
          <c:orientation val="minMax"/>
          <c:max val="110"/>
        </c:scaling>
        <c:delete val="0"/>
        <c:axPos val="l"/>
        <c:majorGridlines/>
        <c:title>
          <c:tx>
            <c:rich>
              <a:bodyPr rot="-5400000" vert="horz"/>
              <a:lstStyle/>
              <a:p>
                <a:pPr>
                  <a:defRPr/>
                </a:pPr>
                <a:r>
                  <a:rPr lang="en-AU"/>
                  <a:t>Billion Cubic Metres</a:t>
                </a:r>
              </a:p>
            </c:rich>
          </c:tx>
          <c:layout>
            <c:manualLayout>
              <c:xMode val="edge"/>
              <c:yMode val="edge"/>
              <c:x val="2.8548374708407855E-2"/>
              <c:y val="0.42038438269074568"/>
            </c:manualLayout>
          </c:layout>
          <c:overlay val="0"/>
        </c:title>
        <c:numFmt formatCode="0" sourceLinked="0"/>
        <c:majorTickMark val="out"/>
        <c:minorTickMark val="none"/>
        <c:tickLblPos val="nextTo"/>
        <c:txPr>
          <a:bodyPr rot="0" vert="horz"/>
          <a:lstStyle/>
          <a:p>
            <a:pPr>
              <a:defRPr/>
            </a:pPr>
            <a:endParaRPr lang="en-US"/>
          </a:p>
        </c:txPr>
        <c:crossAx val="136945664"/>
        <c:crosses val="autoZero"/>
        <c:crossBetween val="between"/>
        <c:majorUnit val="1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Trade'!$A$89:$C$89</c:f>
          <c:strCache>
            <c:ptCount val="3"/>
            <c:pt idx="0">
              <c:v>Global LNG Imports 2020</c:v>
            </c:pt>
          </c:strCache>
        </c:strRef>
      </c:tx>
      <c:overlay val="0"/>
      <c:txPr>
        <a:bodyPr/>
        <a:lstStyle/>
        <a:p>
          <a:pPr>
            <a:defRPr/>
          </a:pPr>
          <a:endParaRPr lang="en-US"/>
        </a:p>
      </c:txPr>
    </c:title>
    <c:autoTitleDeleted val="0"/>
    <c:plotArea>
      <c:layout/>
      <c:barChart>
        <c:barDir val="col"/>
        <c:grouping val="clustered"/>
        <c:varyColors val="0"/>
        <c:ser>
          <c:idx val="0"/>
          <c:order val="0"/>
          <c:invertIfNegative val="0"/>
          <c:dPt>
            <c:idx val="3"/>
            <c:invertIfNegative val="0"/>
            <c:bubble3D val="0"/>
            <c:extLst>
              <c:ext xmlns:c16="http://schemas.microsoft.com/office/drawing/2014/chart" uri="{C3380CC4-5D6E-409C-BE32-E72D297353CC}">
                <c16:uniqueId val="{00000000-14AF-4BDE-9A8A-0BD56D1824E3}"/>
              </c:ext>
            </c:extLst>
          </c:dPt>
          <c:cat>
            <c:strRef>
              <c:f>'Petroleum - Global LNG Trade'!$A$91:$A$119</c:f>
              <c:strCache>
                <c:ptCount val="29"/>
                <c:pt idx="0">
                  <c:v>Japan</c:v>
                </c:pt>
                <c:pt idx="1">
                  <c:v>China</c:v>
                </c:pt>
                <c:pt idx="2">
                  <c:v>South Korea</c:v>
                </c:pt>
                <c:pt idx="3">
                  <c:v>India</c:v>
                </c:pt>
                <c:pt idx="4">
                  <c:v>Taiwan</c:v>
                </c:pt>
                <c:pt idx="5">
                  <c:v>Other EU</c:v>
                </c:pt>
                <c:pt idx="6">
                  <c:v>Spain</c:v>
                </c:pt>
                <c:pt idx="7">
                  <c:v>France</c:v>
                </c:pt>
                <c:pt idx="8">
                  <c:v>United Kingdom</c:v>
                </c:pt>
                <c:pt idx="9">
                  <c:v>Turkey</c:v>
                </c:pt>
                <c:pt idx="10">
                  <c:v>Italy</c:v>
                </c:pt>
                <c:pt idx="11">
                  <c:v>Pakistan</c:v>
                </c:pt>
                <c:pt idx="12">
                  <c:v>Thailand</c:v>
                </c:pt>
                <c:pt idx="13">
                  <c:v>Other Asia Pacific</c:v>
                </c:pt>
                <c:pt idx="14">
                  <c:v>Singapore</c:v>
                </c:pt>
                <c:pt idx="15">
                  <c:v>Kuwait</c:v>
                </c:pt>
                <c:pt idx="16">
                  <c:v>Other S. &amp; Cent. America</c:v>
                </c:pt>
                <c:pt idx="17">
                  <c:v>Belgium</c:v>
                </c:pt>
                <c:pt idx="18">
                  <c:v>Chile</c:v>
                </c:pt>
                <c:pt idx="19">
                  <c:v>Malaysia</c:v>
                </c:pt>
                <c:pt idx="20">
                  <c:v>Brazil</c:v>
                </c:pt>
                <c:pt idx="21">
                  <c:v>Mexico</c:v>
                </c:pt>
                <c:pt idx="22">
                  <c:v>Other Middle East &amp; Africa</c:v>
                </c:pt>
                <c:pt idx="23">
                  <c:v>Argentina</c:v>
                </c:pt>
                <c:pt idx="24">
                  <c:v>United Arab Emirates</c:v>
                </c:pt>
                <c:pt idx="25">
                  <c:v>US</c:v>
                </c:pt>
                <c:pt idx="26">
                  <c:v>Canada</c:v>
                </c:pt>
                <c:pt idx="27">
                  <c:v>Rest of Europe</c:v>
                </c:pt>
                <c:pt idx="28">
                  <c:v>Egypt</c:v>
                </c:pt>
              </c:strCache>
            </c:strRef>
          </c:cat>
          <c:val>
            <c:numRef>
              <c:f>'Petroleum - Global LNG Trade'!$B$91:$B$119</c:f>
              <c:numCache>
                <c:formatCode>#,##0.00</c:formatCode>
                <c:ptCount val="29"/>
                <c:pt idx="0">
                  <c:v>102.0294429140625</c:v>
                </c:pt>
                <c:pt idx="1">
                  <c:v>94.018956416823045</c:v>
                </c:pt>
                <c:pt idx="2">
                  <c:v>55.271061407642627</c:v>
                </c:pt>
                <c:pt idx="3">
                  <c:v>35.840277348405252</c:v>
                </c:pt>
                <c:pt idx="4">
                  <c:v>24.675260029745669</c:v>
                </c:pt>
                <c:pt idx="5">
                  <c:v>23.744168168921284</c:v>
                </c:pt>
                <c:pt idx="6">
                  <c:v>20.89550888673719</c:v>
                </c:pt>
                <c:pt idx="7">
                  <c:v>19.596195227245808</c:v>
                </c:pt>
                <c:pt idx="8">
                  <c:v>18.561503678712896</c:v>
                </c:pt>
                <c:pt idx="9">
                  <c:v>14.827141541263805</c:v>
                </c:pt>
                <c:pt idx="10">
                  <c:v>12.064356065113298</c:v>
                </c:pt>
                <c:pt idx="11">
                  <c:v>10.621900438545127</c:v>
                </c:pt>
                <c:pt idx="12">
                  <c:v>7.4990983331242367</c:v>
                </c:pt>
                <c:pt idx="13">
                  <c:v>6.1149850435112683</c:v>
                </c:pt>
                <c:pt idx="14">
                  <c:v>5.727236908549167</c:v>
                </c:pt>
                <c:pt idx="15">
                  <c:v>5.6747328136318655</c:v>
                </c:pt>
                <c:pt idx="16">
                  <c:v>5.0797066840965694</c:v>
                </c:pt>
                <c:pt idx="17">
                  <c:v>5.0574644573975629</c:v>
                </c:pt>
                <c:pt idx="18">
                  <c:v>3.6760451586952509</c:v>
                </c:pt>
                <c:pt idx="19">
                  <c:v>3.6428903874710494</c:v>
                </c:pt>
                <c:pt idx="20">
                  <c:v>3.3414838626728849</c:v>
                </c:pt>
                <c:pt idx="21">
                  <c:v>2.5066106080744546</c:v>
                </c:pt>
                <c:pt idx="22">
                  <c:v>1.9312463435011229</c:v>
                </c:pt>
                <c:pt idx="23">
                  <c:v>1.7718507463781328</c:v>
                </c:pt>
                <c:pt idx="24">
                  <c:v>1.5521321717239636</c:v>
                </c:pt>
                <c:pt idx="25">
                  <c:v>1.2878026974195289</c:v>
                </c:pt>
                <c:pt idx="26">
                  <c:v>0.84717495720456482</c:v>
                </c:pt>
                <c:pt idx="27">
                  <c:v>5.5906329113924055E-2</c:v>
                </c:pt>
                <c:pt idx="28">
                  <c:v>0</c:v>
                </c:pt>
              </c:numCache>
            </c:numRef>
          </c:val>
          <c:extLst>
            <c:ext xmlns:c16="http://schemas.microsoft.com/office/drawing/2014/chart" uri="{C3380CC4-5D6E-409C-BE32-E72D297353CC}">
              <c16:uniqueId val="{00000001-14AF-4BDE-9A8A-0BD56D1824E3}"/>
            </c:ext>
          </c:extLst>
        </c:ser>
        <c:dLbls>
          <c:showLegendKey val="0"/>
          <c:showVal val="0"/>
          <c:showCatName val="0"/>
          <c:showSerName val="0"/>
          <c:showPercent val="0"/>
          <c:showBubbleSize val="0"/>
        </c:dLbls>
        <c:gapWidth val="150"/>
        <c:axId val="134192128"/>
        <c:axId val="134193920"/>
      </c:barChart>
      <c:catAx>
        <c:axId val="134192128"/>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134193920"/>
        <c:crosses val="autoZero"/>
        <c:auto val="1"/>
        <c:lblAlgn val="ctr"/>
        <c:lblOffset val="100"/>
        <c:tickLblSkip val="1"/>
        <c:tickMarkSkip val="1"/>
        <c:noMultiLvlLbl val="0"/>
      </c:catAx>
      <c:valAx>
        <c:axId val="134193920"/>
        <c:scaling>
          <c:orientation val="minMax"/>
          <c:max val="120"/>
        </c:scaling>
        <c:delete val="0"/>
        <c:axPos val="l"/>
        <c:majorGridlines/>
        <c:title>
          <c:tx>
            <c:rich>
              <a:bodyPr rot="-5400000" vert="horz"/>
              <a:lstStyle/>
              <a:p>
                <a:pPr>
                  <a:defRPr/>
                </a:pPr>
                <a:r>
                  <a:rPr lang="en-AU"/>
                  <a:t>Billions of Cubic Metres</a:t>
                </a:r>
              </a:p>
            </c:rich>
          </c:tx>
          <c:overlay val="0"/>
        </c:title>
        <c:numFmt formatCode="0" sourceLinked="0"/>
        <c:majorTickMark val="none"/>
        <c:minorTickMark val="none"/>
        <c:tickLblPos val="nextTo"/>
        <c:txPr>
          <a:bodyPr rot="0" vert="horz"/>
          <a:lstStyle/>
          <a:p>
            <a:pPr>
              <a:defRPr/>
            </a:pPr>
            <a:endParaRPr lang="en-US"/>
          </a:p>
        </c:txPr>
        <c:crossAx val="134192128"/>
        <c:crosses val="autoZero"/>
        <c:crossBetween val="between"/>
        <c:majorUnit val="2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br>
              <a:rPr lang="en-AU"/>
            </a:br>
            <a:r>
              <a:rPr lang="en-AU" sz="1100"/>
              <a:t>Western</a:t>
            </a:r>
            <a:r>
              <a:rPr lang="en-AU" sz="1100" baseline="0"/>
              <a:t> Australia vs Rest of Australia</a:t>
            </a:r>
            <a:endParaRPr lang="en-AU"/>
          </a:p>
        </c:rich>
      </c:tx>
      <c:layout>
        <c:manualLayout>
          <c:xMode val="edge"/>
          <c:yMode val="edge"/>
          <c:x val="0.36170568344914344"/>
          <c:y val="2.523115121862568E-2"/>
        </c:manualLayout>
      </c:layout>
      <c:overlay val="0"/>
    </c:title>
    <c:autoTitleDeleted val="0"/>
    <c:plotArea>
      <c:layout>
        <c:manualLayout>
          <c:layoutTarget val="inner"/>
          <c:xMode val="edge"/>
          <c:yMode val="edge"/>
          <c:x val="8.2633123858902341E-2"/>
          <c:y val="0.22558777609810843"/>
          <c:w val="0.85154134417309546"/>
          <c:h val="0.62892485033438006"/>
        </c:manualLayout>
      </c:layout>
      <c:barChart>
        <c:barDir val="col"/>
        <c:grouping val="stacked"/>
        <c:varyColors val="0"/>
        <c:ser>
          <c:idx val="0"/>
          <c:order val="0"/>
          <c:tx>
            <c:strRef>
              <c:f>'Alumina - WA vs Australia'!$B$6</c:f>
              <c:strCache>
                <c:ptCount val="1"/>
                <c:pt idx="0">
                  <c:v>Western Australia (Mt)</c:v>
                </c:pt>
              </c:strCache>
            </c:strRef>
          </c:tx>
          <c:invertIfNegative val="0"/>
          <c:cat>
            <c:numRef>
              <c:f>'Alumina - WA vs Australia'!$A$7:$A$67</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'Alumina - WA vs Australia'!$B$7:$B$67</c:f>
              <c:numCache>
                <c:formatCode>0.00</c:formatCode>
                <c:ptCount val="61"/>
                <c:pt idx="0">
                  <c:v>0</c:v>
                </c:pt>
                <c:pt idx="1">
                  <c:v>0</c:v>
                </c:pt>
                <c:pt idx="2">
                  <c:v>0</c:v>
                </c:pt>
                <c:pt idx="3">
                  <c:v>0</c:v>
                </c:pt>
                <c:pt idx="4">
                  <c:v>0.119613</c:v>
                </c:pt>
                <c:pt idx="5">
                  <c:v>0.1508504</c:v>
                </c:pt>
                <c:pt idx="6">
                  <c:v>0.24705370000000001</c:v>
                </c:pt>
                <c:pt idx="7">
                  <c:v>0.41172740000000002</c:v>
                </c:pt>
                <c:pt idx="8">
                  <c:v>0.4885832</c:v>
                </c:pt>
                <c:pt idx="9">
                  <c:v>0.77114260000000001</c:v>
                </c:pt>
                <c:pt idx="10">
                  <c:v>0.9652309</c:v>
                </c:pt>
                <c:pt idx="11">
                  <c:v>1.2753509999999999</c:v>
                </c:pt>
                <c:pt idx="12">
                  <c:v>1.435859</c:v>
                </c:pt>
                <c:pt idx="13">
                  <c:v>1.7291289999999999</c:v>
                </c:pt>
                <c:pt idx="14">
                  <c:v>1.9812050000000001</c:v>
                </c:pt>
                <c:pt idx="15">
                  <c:v>2.2302550000000001</c:v>
                </c:pt>
                <c:pt idx="16">
                  <c:v>3.1200570000000001</c:v>
                </c:pt>
                <c:pt idx="17">
                  <c:v>3.4569869999999998</c:v>
                </c:pt>
                <c:pt idx="18">
                  <c:v>3.47038</c:v>
                </c:pt>
                <c:pt idx="19">
                  <c:v>3.9454449999999999</c:v>
                </c:pt>
                <c:pt idx="20">
                  <c:v>3.6639889999999999</c:v>
                </c:pt>
                <c:pt idx="21">
                  <c:v>3.67848</c:v>
                </c:pt>
                <c:pt idx="22">
                  <c:v>3.6763849999999998</c:v>
                </c:pt>
                <c:pt idx="23">
                  <c:v>3.983098</c:v>
                </c:pt>
                <c:pt idx="24">
                  <c:v>5.004988</c:v>
                </c:pt>
                <c:pt idx="25">
                  <c:v>5.4196229999999996</c:v>
                </c:pt>
                <c:pt idx="26">
                  <c:v>5.4427899999999996</c:v>
                </c:pt>
                <c:pt idx="27">
                  <c:v>5.928763</c:v>
                </c:pt>
                <c:pt idx="28">
                  <c:v>6.1764140000000003</c:v>
                </c:pt>
                <c:pt idx="29">
                  <c:v>6.3847959999999997</c:v>
                </c:pt>
                <c:pt idx="30">
                  <c:v>6.7222920000000004</c:v>
                </c:pt>
                <c:pt idx="31">
                  <c:v>7.0091840000000003</c:v>
                </c:pt>
                <c:pt idx="32">
                  <c:v>7.0927569999999998</c:v>
                </c:pt>
                <c:pt idx="33">
                  <c:v>7.8012740000000003</c:v>
                </c:pt>
                <c:pt idx="34">
                  <c:v>7.9333210000000003</c:v>
                </c:pt>
                <c:pt idx="35">
                  <c:v>8.06738</c:v>
                </c:pt>
                <c:pt idx="36">
                  <c:v>8.2496600000000004</c:v>
                </c:pt>
                <c:pt idx="37">
                  <c:v>8.4818949999999997</c:v>
                </c:pt>
                <c:pt idx="38">
                  <c:v>8.7480000000000011</c:v>
                </c:pt>
                <c:pt idx="39">
                  <c:v>8.9310000000000009</c:v>
                </c:pt>
                <c:pt idx="40">
                  <c:v>10.001999999999999</c:v>
                </c:pt>
                <c:pt idx="41">
                  <c:v>10.758000000000001</c:v>
                </c:pt>
                <c:pt idx="42">
                  <c:v>11</c:v>
                </c:pt>
                <c:pt idx="43">
                  <c:v>11.227864</c:v>
                </c:pt>
                <c:pt idx="44">
                  <c:v>10.988386</c:v>
                </c:pt>
                <c:pt idx="45">
                  <c:v>11.352183</c:v>
                </c:pt>
                <c:pt idx="46">
                  <c:v>11.82174775</c:v>
                </c:pt>
                <c:pt idx="47">
                  <c:v>12.193625759000001</c:v>
                </c:pt>
                <c:pt idx="48">
                  <c:v>12.245763095999999</c:v>
                </c:pt>
                <c:pt idx="49">
                  <c:v>12.42197</c:v>
                </c:pt>
                <c:pt idx="50">
                  <c:v>12.563285</c:v>
                </c:pt>
                <c:pt idx="51">
                  <c:v>12.291484000000001</c:v>
                </c:pt>
                <c:pt idx="52">
                  <c:v>12.81154939</c:v>
                </c:pt>
                <c:pt idx="53">
                  <c:v>13.625703529999999</c:v>
                </c:pt>
                <c:pt idx="54">
                  <c:v>13.876846260000001</c:v>
                </c:pt>
                <c:pt idx="55">
                  <c:v>13.778493586</c:v>
                </c:pt>
                <c:pt idx="56">
                  <c:v>13.82977389</c:v>
                </c:pt>
                <c:pt idx="57">
                  <c:v>13.84700406</c:v>
                </c:pt>
                <c:pt idx="58">
                  <c:v>13.498431120000001</c:v>
                </c:pt>
                <c:pt idx="59">
                  <c:v>14.014470482999998</c:v>
                </c:pt>
                <c:pt idx="60">
                  <c:v>14.242609690000002</c:v>
                </c:pt>
              </c:numCache>
            </c:numRef>
          </c:val>
          <c:extLst>
            <c:ext xmlns:c16="http://schemas.microsoft.com/office/drawing/2014/chart" uri="{C3380CC4-5D6E-409C-BE32-E72D297353CC}">
              <c16:uniqueId val="{00000000-FE89-4352-92E3-13AC316F4EC8}"/>
            </c:ext>
          </c:extLst>
        </c:ser>
        <c:ser>
          <c:idx val="1"/>
          <c:order val="1"/>
          <c:tx>
            <c:strRef>
              <c:f>'Alumina - WA vs Australia'!$C$6</c:f>
              <c:strCache>
                <c:ptCount val="1"/>
                <c:pt idx="0">
                  <c:v>Rest of Australia (Mt)</c:v>
                </c:pt>
              </c:strCache>
            </c:strRef>
          </c:tx>
          <c:invertIfNegative val="0"/>
          <c:cat>
            <c:numRef>
              <c:f>'Alumina - WA vs Australia'!$A$7:$A$67</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'Alumina - WA vs Australia'!$C$7:$C$67</c:f>
              <c:numCache>
                <c:formatCode>0.00</c:formatCode>
                <c:ptCount val="61"/>
                <c:pt idx="0">
                  <c:v>2.9801000000000001E-2</c:v>
                </c:pt>
                <c:pt idx="1">
                  <c:v>2.9468000000000001E-2</c:v>
                </c:pt>
                <c:pt idx="2">
                  <c:v>0.01</c:v>
                </c:pt>
                <c:pt idx="3">
                  <c:v>7.1437E-2</c:v>
                </c:pt>
                <c:pt idx="4">
                  <c:v>4.1045230000000002E-2</c:v>
                </c:pt>
                <c:pt idx="5">
                  <c:v>5.1594839999999996E-2</c:v>
                </c:pt>
                <c:pt idx="6">
                  <c:v>5.9915239999999995E-2</c:v>
                </c:pt>
                <c:pt idx="7">
                  <c:v>0.44268940000000001</c:v>
                </c:pt>
                <c:pt idx="8">
                  <c:v>0.82087299999999996</c:v>
                </c:pt>
                <c:pt idx="9">
                  <c:v>1.1598729999999999</c:v>
                </c:pt>
                <c:pt idx="10">
                  <c:v>1.186992</c:v>
                </c:pt>
                <c:pt idx="11">
                  <c:v>1.3944049999999999</c:v>
                </c:pt>
                <c:pt idx="12">
                  <c:v>1.6322190000000001</c:v>
                </c:pt>
                <c:pt idx="13">
                  <c:v>2.3597670000000002</c:v>
                </c:pt>
                <c:pt idx="14">
                  <c:v>2.9182839999999999</c:v>
                </c:pt>
                <c:pt idx="15">
                  <c:v>2.2837450000000001</c:v>
                </c:pt>
                <c:pt idx="16">
                  <c:v>2.7349429999999999</c:v>
                </c:pt>
                <c:pt idx="17">
                  <c:v>2.6140129999999999</c:v>
                </c:pt>
                <c:pt idx="18">
                  <c:v>2.77962</c:v>
                </c:pt>
                <c:pt idx="19">
                  <c:v>3.4691610000000002</c:v>
                </c:pt>
                <c:pt idx="20">
                  <c:v>3.5825100000000001</c:v>
                </c:pt>
                <c:pt idx="21">
                  <c:v>3.4005290000000001</c:v>
                </c:pt>
                <c:pt idx="22">
                  <c:v>2.9541219999999999</c:v>
                </c:pt>
                <c:pt idx="23">
                  <c:v>3.2474280000000002</c:v>
                </c:pt>
                <c:pt idx="24">
                  <c:v>3.7757139999999998</c:v>
                </c:pt>
                <c:pt idx="25">
                  <c:v>3.3718780000000002</c:v>
                </c:pt>
                <c:pt idx="26">
                  <c:v>3.9804300000000001</c:v>
                </c:pt>
                <c:pt idx="27">
                  <c:v>4.1805269999999997</c:v>
                </c:pt>
                <c:pt idx="28">
                  <c:v>4.3341000000000003</c:v>
                </c:pt>
                <c:pt idx="29">
                  <c:v>4.42</c:v>
                </c:pt>
                <c:pt idx="30">
                  <c:v>4.5090000000000003</c:v>
                </c:pt>
                <c:pt idx="31">
                  <c:v>4.7039999999999997</c:v>
                </c:pt>
                <c:pt idx="32">
                  <c:v>4.6892430000000003</c:v>
                </c:pt>
                <c:pt idx="33">
                  <c:v>4.7737259999999999</c:v>
                </c:pt>
                <c:pt idx="34">
                  <c:v>4.9586790000000001</c:v>
                </c:pt>
                <c:pt idx="35">
                  <c:v>5.0796200000000002</c:v>
                </c:pt>
                <c:pt idx="36">
                  <c:v>5.0683400000000001</c:v>
                </c:pt>
                <c:pt idx="37">
                  <c:v>4.9050000000000002</c:v>
                </c:pt>
                <c:pt idx="38">
                  <c:v>5.1029999999999998</c:v>
                </c:pt>
                <c:pt idx="39">
                  <c:v>5.6</c:v>
                </c:pt>
                <c:pt idx="40">
                  <c:v>5.681</c:v>
                </c:pt>
                <c:pt idx="41">
                  <c:v>5.35</c:v>
                </c:pt>
                <c:pt idx="42">
                  <c:v>5.3819860000000013</c:v>
                </c:pt>
                <c:pt idx="43">
                  <c:v>4.9242849999999994</c:v>
                </c:pt>
                <c:pt idx="44">
                  <c:v>5.5366139999999984</c:v>
                </c:pt>
                <c:pt idx="45">
                  <c:v>6.3500370000000004</c:v>
                </c:pt>
                <c:pt idx="46">
                  <c:v>6.708000000000002</c:v>
                </c:pt>
                <c:pt idx="47">
                  <c:v>6.6770000000000014</c:v>
                </c:pt>
                <c:pt idx="48">
                  <c:v>7.200489000000001</c:v>
                </c:pt>
                <c:pt idx="49">
                  <c:v>7.5180300000000013</c:v>
                </c:pt>
                <c:pt idx="50">
                  <c:v>7.426714999999998</c:v>
                </c:pt>
                <c:pt idx="51">
                  <c:v>7.1075160000000004</c:v>
                </c:pt>
                <c:pt idx="52">
                  <c:v>8.5454506099999996</c:v>
                </c:pt>
                <c:pt idx="53">
                  <c:v>7.9025564700000004</c:v>
                </c:pt>
                <c:pt idx="54">
                  <c:v>6.5986737399999988</c:v>
                </c:pt>
                <c:pt idx="55">
                  <c:v>6.3186864140000019</c:v>
                </c:pt>
                <c:pt idx="56">
                  <c:v>6.85105611</c:v>
                </c:pt>
                <c:pt idx="57">
                  <c:v>6.638765939999999</c:v>
                </c:pt>
                <c:pt idx="58">
                  <c:v>6.563368879999997</c:v>
                </c:pt>
                <c:pt idx="59">
                  <c:v>6.2247295170000019</c:v>
                </c:pt>
                <c:pt idx="60">
                  <c:v>6.5936903099999959</c:v>
                </c:pt>
              </c:numCache>
            </c:numRef>
          </c:val>
          <c:extLst>
            <c:ext xmlns:c16="http://schemas.microsoft.com/office/drawing/2014/chart" uri="{C3380CC4-5D6E-409C-BE32-E72D297353CC}">
              <c16:uniqueId val="{00000001-FE89-4352-92E3-13AC316F4EC8}"/>
            </c:ext>
          </c:extLst>
        </c:ser>
        <c:dLbls>
          <c:showLegendKey val="0"/>
          <c:showVal val="0"/>
          <c:showCatName val="0"/>
          <c:showSerName val="0"/>
          <c:showPercent val="0"/>
          <c:showBubbleSize val="0"/>
        </c:dLbls>
        <c:gapWidth val="60"/>
        <c:overlap val="100"/>
        <c:axId val="118961664"/>
        <c:axId val="118963200"/>
      </c:barChart>
      <c:dateAx>
        <c:axId val="1189616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8963200"/>
        <c:crosses val="autoZero"/>
        <c:auto val="0"/>
        <c:lblOffset val="100"/>
        <c:baseTimeUnit val="days"/>
        <c:majorUnit val="2"/>
        <c:majorTimeUnit val="days"/>
        <c:minorUnit val="5"/>
      </c:dateAx>
      <c:valAx>
        <c:axId val="118963200"/>
        <c:scaling>
          <c:orientation val="minMax"/>
          <c:max val="25"/>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8961664"/>
        <c:crossesAt val="1960"/>
        <c:crossBetween val="between"/>
        <c:majorUnit val="5"/>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Global Oil Reserves, top 10 Nations</a:t>
            </a:r>
          </a:p>
          <a:p>
            <a:pPr>
              <a:defRPr/>
            </a:pPr>
            <a:r>
              <a:rPr lang="en-AU" sz="1100"/>
              <a:t>OPEC</a:t>
            </a:r>
            <a:r>
              <a:rPr lang="en-AU" sz="1100" baseline="0"/>
              <a:t> and Non-OPEC Affiliated</a:t>
            </a:r>
            <a:endParaRPr lang="en-AU"/>
          </a:p>
        </c:rich>
      </c:tx>
      <c:overlay val="0"/>
    </c:title>
    <c:autoTitleDeleted val="0"/>
    <c:plotArea>
      <c:layout>
        <c:manualLayout>
          <c:layoutTarget val="inner"/>
          <c:xMode val="edge"/>
          <c:yMode val="edge"/>
          <c:x val="0.10422989434013057"/>
          <c:y val="0.2363266198138925"/>
          <c:w val="0.87069888058864442"/>
          <c:h val="0.51150626459074644"/>
        </c:manualLayout>
      </c:layout>
      <c:barChart>
        <c:barDir val="col"/>
        <c:grouping val="clustered"/>
        <c:varyColors val="0"/>
        <c:ser>
          <c:idx val="1"/>
          <c:order val="0"/>
          <c:invertIfNegative val="0"/>
          <c:dPt>
            <c:idx val="2"/>
            <c:invertIfNegative val="0"/>
            <c:bubble3D val="0"/>
            <c:spPr>
              <a:solidFill>
                <a:schemeClr val="accent1"/>
              </a:solidFill>
            </c:spPr>
            <c:extLst>
              <c:ext xmlns:c16="http://schemas.microsoft.com/office/drawing/2014/chart" uri="{C3380CC4-5D6E-409C-BE32-E72D297353CC}">
                <c16:uniqueId val="{00000001-4F32-47C2-BB55-CD58BE428A35}"/>
              </c:ext>
            </c:extLst>
          </c:dPt>
          <c:dPt>
            <c:idx val="5"/>
            <c:invertIfNegative val="0"/>
            <c:bubble3D val="0"/>
            <c:spPr>
              <a:solidFill>
                <a:schemeClr val="accent1"/>
              </a:solidFill>
            </c:spPr>
            <c:extLst>
              <c:ext xmlns:c16="http://schemas.microsoft.com/office/drawing/2014/chart" uri="{C3380CC4-5D6E-409C-BE32-E72D297353CC}">
                <c16:uniqueId val="{00000003-4F32-47C2-BB55-CD58BE428A35}"/>
              </c:ext>
            </c:extLst>
          </c:dPt>
          <c:dPt>
            <c:idx val="8"/>
            <c:invertIfNegative val="0"/>
            <c:bubble3D val="0"/>
            <c:spPr>
              <a:solidFill>
                <a:schemeClr val="accent1"/>
              </a:solidFill>
            </c:spPr>
            <c:extLst>
              <c:ext xmlns:c16="http://schemas.microsoft.com/office/drawing/2014/chart" uri="{C3380CC4-5D6E-409C-BE32-E72D297353CC}">
                <c16:uniqueId val="{00000004-4F32-47C2-BB55-CD58BE428A35}"/>
              </c:ext>
            </c:extLst>
          </c:dPt>
          <c:dPt>
            <c:idx val="9"/>
            <c:invertIfNegative val="0"/>
            <c:bubble3D val="0"/>
            <c:extLst>
              <c:ext xmlns:c16="http://schemas.microsoft.com/office/drawing/2014/chart" uri="{C3380CC4-5D6E-409C-BE32-E72D297353CC}">
                <c16:uniqueId val="{00000006-4F32-47C2-BB55-CD58BE428A35}"/>
              </c:ext>
            </c:extLst>
          </c:dPt>
          <c:dPt>
            <c:idx val="10"/>
            <c:invertIfNegative val="0"/>
            <c:bubble3D val="0"/>
            <c:spPr>
              <a:solidFill>
                <a:schemeClr val="tx2">
                  <a:lumMod val="20000"/>
                  <a:lumOff val="80000"/>
                </a:schemeClr>
              </a:solidFill>
            </c:spPr>
            <c:extLst>
              <c:ext xmlns:c16="http://schemas.microsoft.com/office/drawing/2014/chart" uri="{C3380CC4-5D6E-409C-BE32-E72D297353CC}">
                <c16:uniqueId val="{00000008-4F32-47C2-BB55-CD58BE428A35}"/>
              </c:ext>
            </c:extLst>
          </c:dPt>
          <c:cat>
            <c:strRef>
              <c:f>'Petroleum - Global Oil Reserves'!$J$9:$J$19</c:f>
              <c:strCache>
                <c:ptCount val="11"/>
                <c:pt idx="0">
                  <c:v>Venezuela</c:v>
                </c:pt>
                <c:pt idx="1">
                  <c:v>Saudi Arabia</c:v>
                </c:pt>
                <c:pt idx="2">
                  <c:v>Canada</c:v>
                </c:pt>
                <c:pt idx="3">
                  <c:v>Iran</c:v>
                </c:pt>
                <c:pt idx="4">
                  <c:v>Iraq</c:v>
                </c:pt>
                <c:pt idx="5">
                  <c:v>Russian Federation</c:v>
                </c:pt>
                <c:pt idx="6">
                  <c:v>Kuwait</c:v>
                </c:pt>
                <c:pt idx="7">
                  <c:v>United Arab Emirates</c:v>
                </c:pt>
                <c:pt idx="8">
                  <c:v>US</c:v>
                </c:pt>
                <c:pt idx="9">
                  <c:v>Libya</c:v>
                </c:pt>
                <c:pt idx="10">
                  <c:v>Other</c:v>
                </c:pt>
              </c:strCache>
            </c:strRef>
          </c:cat>
          <c:val>
            <c:numRef>
              <c:f>'Petroleum - Global Oil Reserves'!$M$9:$M$19</c:f>
              <c:numCache>
                <c:formatCode>0.00%</c:formatCode>
                <c:ptCount val="11"/>
                <c:pt idx="0">
                  <c:v>0.17536523495611461</c:v>
                </c:pt>
                <c:pt idx="1">
                  <c:v>0.17177040509148589</c:v>
                </c:pt>
                <c:pt idx="2">
                  <c:v>9.7024904399111433E-2</c:v>
                </c:pt>
                <c:pt idx="3">
                  <c:v>9.1086605607391943E-2</c:v>
                </c:pt>
                <c:pt idx="4">
                  <c:v>8.3709052335731129E-2</c:v>
                </c:pt>
                <c:pt idx="5">
                  <c:v>6.2227643972213816E-2</c:v>
                </c:pt>
                <c:pt idx="6">
                  <c:v>5.8588659500318642E-2</c:v>
                </c:pt>
                <c:pt idx="7">
                  <c:v>5.6452915262375988E-2</c:v>
                </c:pt>
                <c:pt idx="8">
                  <c:v>3.9688477450871028E-2</c:v>
                </c:pt>
                <c:pt idx="9">
                  <c:v>2.7916486102600103E-2</c:v>
                </c:pt>
                <c:pt idx="10">
                  <c:v>0.13616961532178551</c:v>
                </c:pt>
              </c:numCache>
            </c:numRef>
          </c:val>
          <c:extLst>
            <c:ext xmlns:c16="http://schemas.microsoft.com/office/drawing/2014/chart" uri="{C3380CC4-5D6E-409C-BE32-E72D297353CC}">
              <c16:uniqueId val="{00000009-4F32-47C2-BB55-CD58BE428A35}"/>
            </c:ext>
          </c:extLst>
        </c:ser>
        <c:dLbls>
          <c:showLegendKey val="0"/>
          <c:showVal val="0"/>
          <c:showCatName val="0"/>
          <c:showSerName val="0"/>
          <c:showPercent val="0"/>
          <c:showBubbleSize val="0"/>
        </c:dLbls>
        <c:gapWidth val="150"/>
        <c:axId val="137604096"/>
        <c:axId val="137622272"/>
      </c:barChart>
      <c:catAx>
        <c:axId val="137604096"/>
        <c:scaling>
          <c:orientation val="minMax"/>
        </c:scaling>
        <c:delete val="0"/>
        <c:axPos val="b"/>
        <c:numFmt formatCode="General" sourceLinked="0"/>
        <c:majorTickMark val="out"/>
        <c:minorTickMark val="none"/>
        <c:tickLblPos val="nextTo"/>
        <c:crossAx val="137622272"/>
        <c:crosses val="autoZero"/>
        <c:auto val="0"/>
        <c:lblAlgn val="ctr"/>
        <c:lblOffset val="100"/>
        <c:noMultiLvlLbl val="0"/>
      </c:catAx>
      <c:valAx>
        <c:axId val="137622272"/>
        <c:scaling>
          <c:orientation val="minMax"/>
        </c:scaling>
        <c:delete val="0"/>
        <c:axPos val="l"/>
        <c:majorGridlines/>
        <c:numFmt formatCode="0%" sourceLinked="0"/>
        <c:majorTickMark val="out"/>
        <c:minorTickMark val="none"/>
        <c:tickLblPos val="nextTo"/>
        <c:crossAx val="137604096"/>
        <c:crosses val="autoZero"/>
        <c:crossBetween val="between"/>
      </c:valAx>
    </c:plotArea>
    <c:plotVisOnly val="1"/>
    <c:dispBlanksAs val="gap"/>
    <c:showDLblsOverMax val="0"/>
  </c:chart>
  <c:spPr>
    <a:ln>
      <a:solidFill>
        <a:srgbClr val="868686"/>
      </a:solid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Oil Reserves'!$K$51</c:f>
          <c:strCache>
            <c:ptCount val="1"/>
            <c:pt idx="0">
              <c:v>Global Distribution of Oil Reserves
at end 2020</c:v>
            </c:pt>
          </c:strCache>
        </c:strRef>
      </c:tx>
      <c:layout>
        <c:manualLayout>
          <c:xMode val="edge"/>
          <c:yMode val="edge"/>
          <c:x val="0.21454596584517843"/>
          <c:y val="3.240744345159102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pieChart>
        <c:varyColors val="1"/>
        <c:ser>
          <c:idx val="0"/>
          <c:order val="0"/>
          <c:dPt>
            <c:idx val="0"/>
            <c:bubble3D val="0"/>
            <c:spPr>
              <a:solidFill>
                <a:schemeClr val="accent5">
                  <a:shade val="38000"/>
                </a:schemeClr>
              </a:solidFill>
              <a:ln w="19050">
                <a:solidFill>
                  <a:schemeClr val="lt1"/>
                </a:solidFill>
              </a:ln>
              <a:effectLst/>
            </c:spPr>
            <c:extLst>
              <c:ext xmlns:c16="http://schemas.microsoft.com/office/drawing/2014/chart" uri="{C3380CC4-5D6E-409C-BE32-E72D297353CC}">
                <c16:uniqueId val="{00000002-0F58-499F-9DC8-E1CD7CE659B0}"/>
              </c:ext>
            </c:extLst>
          </c:dPt>
          <c:dPt>
            <c:idx val="1"/>
            <c:bubble3D val="0"/>
            <c:spPr>
              <a:solidFill>
                <a:schemeClr val="accent5">
                  <a:shade val="46000"/>
                </a:schemeClr>
              </a:solidFill>
              <a:ln w="19050">
                <a:solidFill>
                  <a:schemeClr val="lt1"/>
                </a:solidFill>
              </a:ln>
              <a:effectLst/>
            </c:spPr>
            <c:extLst>
              <c:ext xmlns:c16="http://schemas.microsoft.com/office/drawing/2014/chart" uri="{C3380CC4-5D6E-409C-BE32-E72D297353CC}">
                <c16:uniqueId val="{00000003-4386-4DC5-8369-DCFF74323F4B}"/>
              </c:ext>
            </c:extLst>
          </c:dPt>
          <c:dPt>
            <c:idx val="2"/>
            <c:bubble3D val="0"/>
            <c:spPr>
              <a:solidFill>
                <a:schemeClr val="accent5">
                  <a:shade val="54000"/>
                </a:schemeClr>
              </a:solidFill>
              <a:ln w="19050">
                <a:solidFill>
                  <a:schemeClr val="lt1"/>
                </a:solidFill>
              </a:ln>
              <a:effectLst/>
            </c:spPr>
            <c:extLst>
              <c:ext xmlns:c16="http://schemas.microsoft.com/office/drawing/2014/chart" uri="{C3380CC4-5D6E-409C-BE32-E72D297353CC}">
                <c16:uniqueId val="{00000005-4386-4DC5-8369-DCFF74323F4B}"/>
              </c:ext>
            </c:extLst>
          </c:dPt>
          <c:dPt>
            <c:idx val="3"/>
            <c:bubble3D val="0"/>
            <c:spPr>
              <a:solidFill>
                <a:schemeClr val="accent5">
                  <a:shade val="62000"/>
                </a:schemeClr>
              </a:solidFill>
              <a:ln w="19050">
                <a:solidFill>
                  <a:schemeClr val="lt1"/>
                </a:solidFill>
              </a:ln>
              <a:effectLst/>
            </c:spPr>
            <c:extLst>
              <c:ext xmlns:c16="http://schemas.microsoft.com/office/drawing/2014/chart" uri="{C3380CC4-5D6E-409C-BE32-E72D297353CC}">
                <c16:uniqueId val="{00000001-0F58-499F-9DC8-E1CD7CE659B0}"/>
              </c:ext>
            </c:extLst>
          </c:dPt>
          <c:dPt>
            <c:idx val="4"/>
            <c:bubble3D val="0"/>
            <c:spPr>
              <a:solidFill>
                <a:schemeClr val="accent5">
                  <a:shade val="71000"/>
                </a:schemeClr>
              </a:solidFill>
              <a:ln w="19050">
                <a:solidFill>
                  <a:schemeClr val="lt1"/>
                </a:solidFill>
              </a:ln>
              <a:effectLst/>
            </c:spPr>
            <c:extLst>
              <c:ext xmlns:c16="http://schemas.microsoft.com/office/drawing/2014/chart" uri="{C3380CC4-5D6E-409C-BE32-E72D297353CC}">
                <c16:uniqueId val="{00000003-0F58-499F-9DC8-E1CD7CE659B0}"/>
              </c:ext>
            </c:extLst>
          </c:dPt>
          <c:dPt>
            <c:idx val="5"/>
            <c:bubble3D val="0"/>
            <c:spPr>
              <a:solidFill>
                <a:schemeClr val="accent5">
                  <a:shade val="79000"/>
                </a:schemeClr>
              </a:solidFill>
              <a:ln w="19050">
                <a:solidFill>
                  <a:schemeClr val="lt1"/>
                </a:solidFill>
              </a:ln>
              <a:effectLst/>
            </c:spPr>
            <c:extLst>
              <c:ext xmlns:c16="http://schemas.microsoft.com/office/drawing/2014/chart" uri="{C3380CC4-5D6E-409C-BE32-E72D297353CC}">
                <c16:uniqueId val="{0000000B-4386-4DC5-8369-DCFF74323F4B}"/>
              </c:ext>
            </c:extLst>
          </c:dPt>
          <c:dPt>
            <c:idx val="6"/>
            <c:bubble3D val="0"/>
            <c:spPr>
              <a:solidFill>
                <a:schemeClr val="accent5">
                  <a:shade val="87000"/>
                </a:schemeClr>
              </a:solidFill>
              <a:ln w="19050">
                <a:solidFill>
                  <a:schemeClr val="lt1"/>
                </a:solidFill>
              </a:ln>
              <a:effectLst/>
            </c:spPr>
            <c:extLst>
              <c:ext xmlns:c16="http://schemas.microsoft.com/office/drawing/2014/chart" uri="{C3380CC4-5D6E-409C-BE32-E72D297353CC}">
                <c16:uniqueId val="{0000000D-4386-4DC5-8369-DCFF74323F4B}"/>
              </c:ext>
            </c:extLst>
          </c:dPt>
          <c:dPt>
            <c:idx val="7"/>
            <c:bubble3D val="0"/>
            <c:spPr>
              <a:solidFill>
                <a:schemeClr val="accent5">
                  <a:shade val="95000"/>
                </a:schemeClr>
              </a:solidFill>
              <a:ln w="19050">
                <a:solidFill>
                  <a:schemeClr val="lt1"/>
                </a:solidFill>
              </a:ln>
              <a:effectLst/>
            </c:spPr>
            <c:extLst>
              <c:ext xmlns:c16="http://schemas.microsoft.com/office/drawing/2014/chart" uri="{C3380CC4-5D6E-409C-BE32-E72D297353CC}">
                <c16:uniqueId val="{0000000F-4386-4DC5-8369-DCFF74323F4B}"/>
              </c:ext>
            </c:extLst>
          </c:dPt>
          <c:dPt>
            <c:idx val="8"/>
            <c:bubble3D val="0"/>
            <c:spPr>
              <a:solidFill>
                <a:schemeClr val="accent5">
                  <a:tint val="96000"/>
                </a:schemeClr>
              </a:solidFill>
              <a:ln w="19050">
                <a:solidFill>
                  <a:schemeClr val="lt1"/>
                </a:solidFill>
              </a:ln>
              <a:effectLst/>
            </c:spPr>
            <c:extLst>
              <c:ext xmlns:c16="http://schemas.microsoft.com/office/drawing/2014/chart" uri="{C3380CC4-5D6E-409C-BE32-E72D297353CC}">
                <c16:uniqueId val="{00000011-4386-4DC5-8369-DCFF74323F4B}"/>
              </c:ext>
            </c:extLst>
          </c:dPt>
          <c:dPt>
            <c:idx val="9"/>
            <c:bubble3D val="0"/>
            <c:spPr>
              <a:solidFill>
                <a:schemeClr val="accent5">
                  <a:tint val="88000"/>
                </a:schemeClr>
              </a:solidFill>
              <a:ln w="19050">
                <a:solidFill>
                  <a:schemeClr val="lt1"/>
                </a:solidFill>
              </a:ln>
              <a:effectLst/>
            </c:spPr>
            <c:extLst>
              <c:ext xmlns:c16="http://schemas.microsoft.com/office/drawing/2014/chart" uri="{C3380CC4-5D6E-409C-BE32-E72D297353CC}">
                <c16:uniqueId val="{00000013-4386-4DC5-8369-DCFF74323F4B}"/>
              </c:ext>
            </c:extLst>
          </c:dPt>
          <c:dPt>
            <c:idx val="10"/>
            <c:bubble3D val="0"/>
            <c:spPr>
              <a:solidFill>
                <a:schemeClr val="accent5">
                  <a:tint val="80000"/>
                </a:schemeClr>
              </a:solidFill>
              <a:ln w="19050">
                <a:solidFill>
                  <a:schemeClr val="lt1"/>
                </a:solidFill>
              </a:ln>
              <a:effectLst/>
            </c:spPr>
            <c:extLst>
              <c:ext xmlns:c16="http://schemas.microsoft.com/office/drawing/2014/chart" uri="{C3380CC4-5D6E-409C-BE32-E72D297353CC}">
                <c16:uniqueId val="{00000015-4386-4DC5-8369-DCFF74323F4B}"/>
              </c:ext>
            </c:extLst>
          </c:dPt>
          <c:dPt>
            <c:idx val="11"/>
            <c:bubble3D val="0"/>
            <c:spPr>
              <a:solidFill>
                <a:schemeClr val="accent5">
                  <a:tint val="72000"/>
                </a:schemeClr>
              </a:solidFill>
              <a:ln w="19050">
                <a:solidFill>
                  <a:schemeClr val="lt1"/>
                </a:solidFill>
              </a:ln>
              <a:effectLst/>
            </c:spPr>
            <c:extLst>
              <c:ext xmlns:c16="http://schemas.microsoft.com/office/drawing/2014/chart" uri="{C3380CC4-5D6E-409C-BE32-E72D297353CC}">
                <c16:uniqueId val="{00000017-4386-4DC5-8369-DCFF74323F4B}"/>
              </c:ext>
            </c:extLst>
          </c:dPt>
          <c:dPt>
            <c:idx val="12"/>
            <c:bubble3D val="0"/>
            <c:spPr>
              <a:solidFill>
                <a:schemeClr val="accent5">
                  <a:tint val="63000"/>
                </a:schemeClr>
              </a:solidFill>
              <a:ln w="19050">
                <a:solidFill>
                  <a:schemeClr val="lt1"/>
                </a:solidFill>
              </a:ln>
              <a:effectLst/>
            </c:spPr>
            <c:extLst>
              <c:ext xmlns:c16="http://schemas.microsoft.com/office/drawing/2014/chart" uri="{C3380CC4-5D6E-409C-BE32-E72D297353CC}">
                <c16:uniqueId val="{00000019-4386-4DC5-8369-DCFF74323F4B}"/>
              </c:ext>
            </c:extLst>
          </c:dPt>
          <c:dPt>
            <c:idx val="13"/>
            <c:bubble3D val="0"/>
            <c:spPr>
              <a:solidFill>
                <a:schemeClr val="accent5">
                  <a:tint val="55000"/>
                </a:schemeClr>
              </a:solidFill>
              <a:ln w="19050">
                <a:solidFill>
                  <a:schemeClr val="lt1"/>
                </a:solidFill>
              </a:ln>
              <a:effectLst/>
            </c:spPr>
            <c:extLst>
              <c:ext xmlns:c16="http://schemas.microsoft.com/office/drawing/2014/chart" uri="{C3380CC4-5D6E-409C-BE32-E72D297353CC}">
                <c16:uniqueId val="{0000001B-4386-4DC5-8369-DCFF74323F4B}"/>
              </c:ext>
            </c:extLst>
          </c:dPt>
          <c:dPt>
            <c:idx val="14"/>
            <c:bubble3D val="0"/>
            <c:spPr>
              <a:solidFill>
                <a:schemeClr val="accent5">
                  <a:tint val="47000"/>
                </a:schemeClr>
              </a:solidFill>
              <a:ln w="19050">
                <a:solidFill>
                  <a:schemeClr val="lt1"/>
                </a:solidFill>
              </a:ln>
              <a:effectLst/>
            </c:spPr>
            <c:extLst>
              <c:ext xmlns:c16="http://schemas.microsoft.com/office/drawing/2014/chart" uri="{C3380CC4-5D6E-409C-BE32-E72D297353CC}">
                <c16:uniqueId val="{0000001D-4386-4DC5-8369-DCFF74323F4B}"/>
              </c:ext>
            </c:extLst>
          </c:dPt>
          <c:dPt>
            <c:idx val="15"/>
            <c:bubble3D val="0"/>
            <c:spPr>
              <a:solidFill>
                <a:schemeClr val="accent5">
                  <a:tint val="39000"/>
                </a:schemeClr>
              </a:solidFill>
              <a:ln w="19050">
                <a:solidFill>
                  <a:schemeClr val="lt1"/>
                </a:solidFill>
              </a:ln>
              <a:effectLst/>
            </c:spPr>
            <c:extLst>
              <c:ext xmlns:c16="http://schemas.microsoft.com/office/drawing/2014/chart" uri="{C3380CC4-5D6E-409C-BE32-E72D297353CC}">
                <c16:uniqueId val="{0000001F-4386-4DC5-8369-DCFF74323F4B}"/>
              </c:ext>
            </c:extLst>
          </c:dPt>
          <c:dLbls>
            <c:dLbl>
              <c:idx val="0"/>
              <c:layout>
                <c:manualLayout>
                  <c:x val="-0.16397364552304863"/>
                  <c:y val="2.970963461028045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F58-499F-9DC8-E1CD7CE659B0}"/>
                </c:ext>
              </c:extLst>
            </c:dLbl>
            <c:dLbl>
              <c:idx val="3"/>
              <c:layout>
                <c:manualLayout>
                  <c:x val="0.13794290376459534"/>
                  <c:y val="2.485239906809401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58-499F-9DC8-E1CD7CE659B0}"/>
                </c:ext>
              </c:extLst>
            </c:dLbl>
            <c:dLbl>
              <c:idx val="4"/>
              <c:layout>
                <c:manualLayout>
                  <c:x val="0.17177992780227985"/>
                  <c:y val="7.64821138930667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58-499F-9DC8-E1CD7CE659B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('Petroleum - Global Oil Reserves'!$B$9:$B$23,'Petroleum - Global Oil Reserves'!$O$10)</c:f>
              <c:strCache>
                <c:ptCount val="16"/>
                <c:pt idx="0">
                  <c:v>Algeria</c:v>
                </c:pt>
                <c:pt idx="1">
                  <c:v>Angola</c:v>
                </c:pt>
                <c:pt idx="2">
                  <c:v>Ecuador</c:v>
                </c:pt>
                <c:pt idx="3">
                  <c:v>Equatorial Guinea</c:v>
                </c:pt>
                <c:pt idx="4">
                  <c:v>Gabon</c:v>
                </c:pt>
                <c:pt idx="5">
                  <c:v>Iran</c:v>
                </c:pt>
                <c:pt idx="6">
                  <c:v>Iraq</c:v>
                </c:pt>
                <c:pt idx="7">
                  <c:v>Kuwait</c:v>
                </c:pt>
                <c:pt idx="8">
                  <c:v>Libya</c:v>
                </c:pt>
                <c:pt idx="9">
                  <c:v>Nigeria</c:v>
                </c:pt>
                <c:pt idx="10">
                  <c:v>Qatar</c:v>
                </c:pt>
                <c:pt idx="11">
                  <c:v>Republic of Congo </c:v>
                </c:pt>
                <c:pt idx="12">
                  <c:v>Saudi Arabia</c:v>
                </c:pt>
                <c:pt idx="13">
                  <c:v>United Arab Emirates</c:v>
                </c:pt>
                <c:pt idx="14">
                  <c:v>Venezuela</c:v>
                </c:pt>
                <c:pt idx="15">
                  <c:v>Non OPEC</c:v>
                </c:pt>
              </c:strCache>
            </c:strRef>
          </c:cat>
          <c:val>
            <c:numRef>
              <c:f>('Petroleum - Global Oil Reserves'!$E$9:$E$23,'Petroleum - Global Oil Reserves'!$P$10)</c:f>
              <c:numCache>
                <c:formatCode>#,##0</c:formatCode>
                <c:ptCount val="16"/>
                <c:pt idx="0">
                  <c:v>12.2</c:v>
                </c:pt>
                <c:pt idx="1">
                  <c:v>7.7830000000000013</c:v>
                </c:pt>
                <c:pt idx="2">
                  <c:v>1.3025471</c:v>
                </c:pt>
                <c:pt idx="3">
                  <c:v>1.1000000000000001</c:v>
                </c:pt>
                <c:pt idx="4">
                  <c:v>2</c:v>
                </c:pt>
                <c:pt idx="5">
                  <c:v>157.80000000000001</c:v>
                </c:pt>
                <c:pt idx="6">
                  <c:v>145.01900000000001</c:v>
                </c:pt>
                <c:pt idx="7">
                  <c:v>101.5</c:v>
                </c:pt>
                <c:pt idx="8">
                  <c:v>48.363</c:v>
                </c:pt>
                <c:pt idx="9">
                  <c:v>36.890000000000008</c:v>
                </c:pt>
                <c:pt idx="10">
                  <c:v>25.243999999999996</c:v>
                </c:pt>
                <c:pt idx="11">
                  <c:v>2.8820000000000001</c:v>
                </c:pt>
                <c:pt idx="12">
                  <c:v>297.57799999999997</c:v>
                </c:pt>
                <c:pt idx="13">
                  <c:v>97.8</c:v>
                </c:pt>
                <c:pt idx="14">
                  <c:v>303.805745</c:v>
                </c:pt>
                <c:pt idx="15" formatCode="#,##0.00">
                  <c:v>491.14988326561826</c:v>
                </c:pt>
              </c:numCache>
            </c:numRef>
          </c:val>
          <c:extLst>
            <c:ext xmlns:c16="http://schemas.microsoft.com/office/drawing/2014/chart" uri="{C3380CC4-5D6E-409C-BE32-E72D297353CC}">
              <c16:uniqueId val="{00000000-0F58-499F-9DC8-E1CD7CE659B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Uranium</a:t>
            </a:r>
          </a:p>
          <a:p>
            <a:pPr>
              <a:defRPr/>
            </a:pPr>
            <a:r>
              <a:rPr lang="en-US" sz="1100">
                <a:latin typeface="Arial" panose="020B0604020202020204" pitchFamily="34" charset="0"/>
                <a:cs typeface="Arial" panose="020B0604020202020204" pitchFamily="34" charset="0"/>
              </a:rPr>
              <a:t>Historic avg. annual price</a:t>
            </a:r>
            <a:endParaRPr lang="en-AU" sz="1100">
              <a:latin typeface="Arial" panose="020B0604020202020204" pitchFamily="34" charset="0"/>
              <a:cs typeface="Arial" panose="020B0604020202020204" pitchFamily="34" charset="0"/>
            </a:endParaRPr>
          </a:p>
        </c:rich>
      </c:tx>
      <c:overlay val="0"/>
    </c:title>
    <c:autoTitleDeleted val="0"/>
    <c:plotArea>
      <c:layout/>
      <c:lineChart>
        <c:grouping val="standard"/>
        <c:varyColors val="0"/>
        <c:ser>
          <c:idx val="0"/>
          <c:order val="0"/>
          <c:spPr>
            <a:ln>
              <a:solidFill>
                <a:schemeClr val="bg2">
                  <a:lumMod val="50000"/>
                </a:schemeClr>
              </a:solidFill>
            </a:ln>
          </c:spPr>
          <c:marker>
            <c:symbol val="none"/>
          </c:marker>
          <c:cat>
            <c:strRef>
              <c:f>'Uranium - Prices'!$F$8:$F$41</c:f>
              <c:strCache>
                <c:ptCount val="34"/>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strCache>
            </c:strRef>
          </c:cat>
          <c:val>
            <c:numRef>
              <c:f>'Uranium - Prices'!$G$8:$G$41</c:f>
              <c:numCache>
                <c:formatCode>"$"#,##0.00</c:formatCode>
                <c:ptCount val="34"/>
                <c:pt idx="0">
                  <c:v>17.231249999999999</c:v>
                </c:pt>
                <c:pt idx="1">
                  <c:v>16.643750000000001</c:v>
                </c:pt>
                <c:pt idx="2">
                  <c:v>11.920833333333334</c:v>
                </c:pt>
                <c:pt idx="3">
                  <c:v>9.3541666666666661</c:v>
                </c:pt>
                <c:pt idx="4">
                  <c:v>9.6833333333333336</c:v>
                </c:pt>
                <c:pt idx="5">
                  <c:v>8.0166666666666675</c:v>
                </c:pt>
                <c:pt idx="6">
                  <c:v>9.375</c:v>
                </c:pt>
                <c:pt idx="7">
                  <c:v>9.6666666666666661</c:v>
                </c:pt>
                <c:pt idx="8">
                  <c:v>10.183333333333334</c:v>
                </c:pt>
                <c:pt idx="9">
                  <c:v>13.637500000000001</c:v>
                </c:pt>
                <c:pt idx="10">
                  <c:v>14.204166666666666</c:v>
                </c:pt>
                <c:pt idx="11">
                  <c:v>11.241666666666667</c:v>
                </c:pt>
                <c:pt idx="12">
                  <c:v>10.093333333333332</c:v>
                </c:pt>
                <c:pt idx="13">
                  <c:v>9.4416666666666647</c:v>
                </c:pt>
                <c:pt idx="14">
                  <c:v>7.875</c:v>
                </c:pt>
                <c:pt idx="15">
                  <c:v>9.5958333333333332</c:v>
                </c:pt>
                <c:pt idx="16">
                  <c:v>10.216666666666667</c:v>
                </c:pt>
                <c:pt idx="17">
                  <c:v>14.987500000000002</c:v>
                </c:pt>
                <c:pt idx="18">
                  <c:v>22.204166666666666</c:v>
                </c:pt>
                <c:pt idx="19">
                  <c:v>36.795833333333327</c:v>
                </c:pt>
                <c:pt idx="20">
                  <c:v>81.145833333333329</c:v>
                </c:pt>
                <c:pt idx="21">
                  <c:v>79.916666666666671</c:v>
                </c:pt>
                <c:pt idx="22">
                  <c:v>51.375</c:v>
                </c:pt>
                <c:pt idx="23">
                  <c:v>43.8125</c:v>
                </c:pt>
                <c:pt idx="24">
                  <c:v>56.645833333333336</c:v>
                </c:pt>
                <c:pt idx="25">
                  <c:v>51.625</c:v>
                </c:pt>
                <c:pt idx="26">
                  <c:v>43.345833333333331</c:v>
                </c:pt>
                <c:pt idx="27">
                  <c:v>33.604166666666664</c:v>
                </c:pt>
                <c:pt idx="28">
                  <c:v>35.916666666666664</c:v>
                </c:pt>
                <c:pt idx="29">
                  <c:v>32.795833333333334</c:v>
                </c:pt>
                <c:pt idx="30">
                  <c:v>22.362500000000001</c:v>
                </c:pt>
                <c:pt idx="31">
                  <c:v>21.466666666666669</c:v>
                </c:pt>
                <c:pt idx="32">
                  <c:v>26.908333333333331</c:v>
                </c:pt>
                <c:pt idx="33">
                  <c:v>27.2775</c:v>
                </c:pt>
              </c:numCache>
            </c:numRef>
          </c:val>
          <c:smooth val="0"/>
          <c:extLst>
            <c:ext xmlns:c16="http://schemas.microsoft.com/office/drawing/2014/chart" uri="{C3380CC4-5D6E-409C-BE32-E72D297353CC}">
              <c16:uniqueId val="{00000000-5658-4B1A-8CAB-748E3405F3A9}"/>
            </c:ext>
          </c:extLst>
        </c:ser>
        <c:dLbls>
          <c:showLegendKey val="0"/>
          <c:showVal val="0"/>
          <c:showCatName val="0"/>
          <c:showSerName val="0"/>
          <c:showPercent val="0"/>
          <c:showBubbleSize val="0"/>
        </c:dLbls>
        <c:smooth val="0"/>
        <c:axId val="134878336"/>
        <c:axId val="134880256"/>
      </c:lineChart>
      <c:catAx>
        <c:axId val="134878336"/>
        <c:scaling>
          <c:orientation val="minMax"/>
        </c:scaling>
        <c:delete val="0"/>
        <c:axPos val="b"/>
        <c:title>
          <c:tx>
            <c:rich>
              <a:bodyPr/>
              <a:lstStyle/>
              <a:p>
                <a:pPr>
                  <a:defRPr/>
                </a:pPr>
                <a:r>
                  <a:rPr lang="en-AU" sz="800"/>
                  <a:t>Source</a:t>
                </a:r>
                <a:r>
                  <a:rPr lang="en-AU" sz="800" baseline="0"/>
                  <a:t>: UX Consulting</a:t>
                </a:r>
                <a:endParaRPr lang="en-AU"/>
              </a:p>
            </c:rich>
          </c:tx>
          <c:layout>
            <c:manualLayout>
              <c:xMode val="edge"/>
              <c:yMode val="edge"/>
              <c:x val="5.8346385175967446E-3"/>
              <c:y val="0.94687223084269556"/>
            </c:manualLayout>
          </c:layout>
          <c:overlay val="0"/>
        </c:title>
        <c:numFmt formatCode="General" sourceLinked="1"/>
        <c:majorTickMark val="out"/>
        <c:minorTickMark val="none"/>
        <c:tickLblPos val="nextTo"/>
        <c:spPr>
          <a:ln/>
        </c:spPr>
        <c:txPr>
          <a:bodyPr rot="-2700000"/>
          <a:lstStyle/>
          <a:p>
            <a:pPr>
              <a:defRPr/>
            </a:pPr>
            <a:endParaRPr lang="en-US"/>
          </a:p>
        </c:txPr>
        <c:crossAx val="134880256"/>
        <c:crosses val="autoZero"/>
        <c:auto val="1"/>
        <c:lblAlgn val="ctr"/>
        <c:lblOffset val="100"/>
        <c:noMultiLvlLbl val="1"/>
      </c:catAx>
      <c:valAx>
        <c:axId val="134880256"/>
        <c:scaling>
          <c:orientation val="minMax"/>
        </c:scaling>
        <c:delete val="0"/>
        <c:axPos val="l"/>
        <c:majorGridlines/>
        <c:title>
          <c:tx>
            <c:rich>
              <a:bodyPr rot="-5400000" vert="horz"/>
              <a:lstStyle/>
              <a:p>
                <a:pPr>
                  <a:defRPr/>
                </a:pPr>
                <a:r>
                  <a:rPr lang="en-AU"/>
                  <a:t>US$/lb</a:t>
                </a:r>
              </a:p>
            </c:rich>
          </c:tx>
          <c:layout>
            <c:manualLayout>
              <c:xMode val="edge"/>
              <c:yMode val="edge"/>
              <c:x val="1.0899182561307902E-2"/>
              <c:y val="0.4258938534242061"/>
            </c:manualLayout>
          </c:layout>
          <c:overlay val="0"/>
        </c:title>
        <c:numFmt formatCode="#,##0" sourceLinked="0"/>
        <c:majorTickMark val="none"/>
        <c:minorTickMark val="none"/>
        <c:tickLblPos val="nextTo"/>
        <c:crossAx val="134878336"/>
        <c:crosses val="autoZero"/>
        <c:crossBetween val="between"/>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Uranium</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'Uranium - Prices'!$B$7</c:f>
              <c:strCache>
                <c:ptCount val="1"/>
                <c:pt idx="0">
                  <c:v>Price (US$/lb)</c:v>
                </c:pt>
              </c:strCache>
            </c:strRef>
          </c:tx>
          <c:spPr>
            <a:ln>
              <a:solidFill>
                <a:schemeClr val="bg2">
                  <a:lumMod val="50000"/>
                </a:schemeClr>
              </a:solidFill>
            </a:ln>
          </c:spPr>
          <c:marker>
            <c:symbol val="none"/>
          </c:marker>
          <c:cat>
            <c:numRef>
              <c:extLst>
                <c:ext xmlns:c15="http://schemas.microsoft.com/office/drawing/2012/chart" uri="{02D57815-91ED-43cb-92C2-25804820EDAC}">
                  <c15:fullRef>
                    <c15:sqref>'Uranium - Prices'!$A$8:$A$67</c15:sqref>
                  </c15:fullRef>
                </c:ext>
              </c:extLst>
              <c:f>'Uranium - Prices'!$A$10:$A$67</c:f>
              <c:numCache>
                <c:formatCode>mmm\-yy</c:formatCode>
                <c:ptCount val="58"/>
                <c:pt idx="0">
                  <c:v>42614</c:v>
                </c:pt>
                <c:pt idx="1">
                  <c:v>42644</c:v>
                </c:pt>
                <c:pt idx="2">
                  <c:v>42675</c:v>
                </c:pt>
                <c:pt idx="3">
                  <c:v>42705</c:v>
                </c:pt>
                <c:pt idx="4">
                  <c:v>42736</c:v>
                </c:pt>
                <c:pt idx="5">
                  <c:v>42767</c:v>
                </c:pt>
                <c:pt idx="6">
                  <c:v>42795</c:v>
                </c:pt>
                <c:pt idx="7">
                  <c:v>42826</c:v>
                </c:pt>
                <c:pt idx="8">
                  <c:v>42856</c:v>
                </c:pt>
                <c:pt idx="9">
                  <c:v>42887</c:v>
                </c:pt>
                <c:pt idx="10">
                  <c:v>42917</c:v>
                </c:pt>
                <c:pt idx="11">
                  <c:v>42948</c:v>
                </c:pt>
                <c:pt idx="12">
                  <c:v>42979</c:v>
                </c:pt>
                <c:pt idx="13">
                  <c:v>43009</c:v>
                </c:pt>
                <c:pt idx="14">
                  <c:v>43040</c:v>
                </c:pt>
                <c:pt idx="15">
                  <c:v>43070</c:v>
                </c:pt>
                <c:pt idx="16">
                  <c:v>43101</c:v>
                </c:pt>
                <c:pt idx="17">
                  <c:v>43132</c:v>
                </c:pt>
                <c:pt idx="18">
                  <c:v>43160</c:v>
                </c:pt>
                <c:pt idx="19">
                  <c:v>43191</c:v>
                </c:pt>
                <c:pt idx="20">
                  <c:v>43221</c:v>
                </c:pt>
                <c:pt idx="21">
                  <c:v>43252</c:v>
                </c:pt>
                <c:pt idx="22">
                  <c:v>43282</c:v>
                </c:pt>
                <c:pt idx="23">
                  <c:v>43313</c:v>
                </c:pt>
                <c:pt idx="24">
                  <c:v>43344</c:v>
                </c:pt>
                <c:pt idx="25">
                  <c:v>43374</c:v>
                </c:pt>
                <c:pt idx="26">
                  <c:v>43405</c:v>
                </c:pt>
                <c:pt idx="27">
                  <c:v>43435</c:v>
                </c:pt>
                <c:pt idx="28">
                  <c:v>43466</c:v>
                </c:pt>
                <c:pt idx="29">
                  <c:v>43497</c:v>
                </c:pt>
                <c:pt idx="30">
                  <c:v>43525</c:v>
                </c:pt>
                <c:pt idx="31">
                  <c:v>43556</c:v>
                </c:pt>
                <c:pt idx="32">
                  <c:v>43586</c:v>
                </c:pt>
                <c:pt idx="33">
                  <c:v>43617</c:v>
                </c:pt>
                <c:pt idx="34">
                  <c:v>43647</c:v>
                </c:pt>
                <c:pt idx="35">
                  <c:v>43678</c:v>
                </c:pt>
                <c:pt idx="36">
                  <c:v>43709</c:v>
                </c:pt>
                <c:pt idx="37">
                  <c:v>43739</c:v>
                </c:pt>
                <c:pt idx="38">
                  <c:v>43770</c:v>
                </c:pt>
                <c:pt idx="39">
                  <c:v>43800</c:v>
                </c:pt>
                <c:pt idx="40">
                  <c:v>43831</c:v>
                </c:pt>
                <c:pt idx="41">
                  <c:v>43862</c:v>
                </c:pt>
                <c:pt idx="42">
                  <c:v>43891</c:v>
                </c:pt>
                <c:pt idx="43">
                  <c:v>43922</c:v>
                </c:pt>
                <c:pt idx="44">
                  <c:v>43952</c:v>
                </c:pt>
                <c:pt idx="45">
                  <c:v>43983</c:v>
                </c:pt>
                <c:pt idx="46">
                  <c:v>44013</c:v>
                </c:pt>
                <c:pt idx="47">
                  <c:v>44044</c:v>
                </c:pt>
                <c:pt idx="48">
                  <c:v>44075</c:v>
                </c:pt>
                <c:pt idx="49">
                  <c:v>44105</c:v>
                </c:pt>
                <c:pt idx="50">
                  <c:v>44136</c:v>
                </c:pt>
                <c:pt idx="51">
                  <c:v>44166</c:v>
                </c:pt>
                <c:pt idx="52">
                  <c:v>44197</c:v>
                </c:pt>
                <c:pt idx="53">
                  <c:v>44228</c:v>
                </c:pt>
                <c:pt idx="54">
                  <c:v>44256</c:v>
                </c:pt>
                <c:pt idx="55">
                  <c:v>44287</c:v>
                </c:pt>
                <c:pt idx="56">
                  <c:v>44317</c:v>
                </c:pt>
                <c:pt idx="57">
                  <c:v>44348</c:v>
                </c:pt>
              </c:numCache>
            </c:numRef>
          </c:cat>
          <c:val>
            <c:numRef>
              <c:extLst>
                <c:ext xmlns:c15="http://schemas.microsoft.com/office/drawing/2012/chart" uri="{02D57815-91ED-43cb-92C2-25804820EDAC}">
                  <c15:fullRef>
                    <c15:sqref>'Uranium - Prices'!$B$8:$B$67</c15:sqref>
                  </c15:fullRef>
                </c:ext>
              </c:extLst>
              <c:f>'Uranium - Prices'!$B$10:$B$67</c:f>
              <c:numCache>
                <c:formatCode>"$"#,##0.00</c:formatCode>
                <c:ptCount val="58"/>
                <c:pt idx="0">
                  <c:v>23.75</c:v>
                </c:pt>
                <c:pt idx="1">
                  <c:v>20</c:v>
                </c:pt>
                <c:pt idx="2">
                  <c:v>20</c:v>
                </c:pt>
                <c:pt idx="3">
                  <c:v>20.25</c:v>
                </c:pt>
                <c:pt idx="4">
                  <c:v>23</c:v>
                </c:pt>
                <c:pt idx="5">
                  <c:v>24.5</c:v>
                </c:pt>
                <c:pt idx="6">
                  <c:v>24.5</c:v>
                </c:pt>
                <c:pt idx="7">
                  <c:v>22.75</c:v>
                </c:pt>
                <c:pt idx="8">
                  <c:v>19.25</c:v>
                </c:pt>
                <c:pt idx="9">
                  <c:v>20.100000000000001</c:v>
                </c:pt>
                <c:pt idx="10">
                  <c:v>20.5</c:v>
                </c:pt>
                <c:pt idx="11">
                  <c:v>20</c:v>
                </c:pt>
                <c:pt idx="12">
                  <c:v>20.25</c:v>
                </c:pt>
                <c:pt idx="13">
                  <c:v>19.95</c:v>
                </c:pt>
                <c:pt idx="14">
                  <c:v>22</c:v>
                </c:pt>
                <c:pt idx="15">
                  <c:v>23.75</c:v>
                </c:pt>
                <c:pt idx="16">
                  <c:v>22</c:v>
                </c:pt>
                <c:pt idx="17">
                  <c:v>21.75</c:v>
                </c:pt>
                <c:pt idx="18">
                  <c:v>21.1</c:v>
                </c:pt>
                <c:pt idx="19">
                  <c:v>21</c:v>
                </c:pt>
                <c:pt idx="20">
                  <c:v>22.75</c:v>
                </c:pt>
                <c:pt idx="21">
                  <c:v>22.55</c:v>
                </c:pt>
                <c:pt idx="22">
                  <c:v>25.7</c:v>
                </c:pt>
                <c:pt idx="23">
                  <c:v>27.35</c:v>
                </c:pt>
                <c:pt idx="24">
                  <c:v>27.4</c:v>
                </c:pt>
                <c:pt idx="25">
                  <c:v>27.9</c:v>
                </c:pt>
                <c:pt idx="26">
                  <c:v>29.1</c:v>
                </c:pt>
                <c:pt idx="27">
                  <c:v>28.5</c:v>
                </c:pt>
                <c:pt idx="28">
                  <c:v>28.9</c:v>
                </c:pt>
                <c:pt idx="29">
                  <c:v>28</c:v>
                </c:pt>
                <c:pt idx="30">
                  <c:v>25.75</c:v>
                </c:pt>
                <c:pt idx="31">
                  <c:v>24.1</c:v>
                </c:pt>
                <c:pt idx="32">
                  <c:v>24.7</c:v>
                </c:pt>
                <c:pt idx="33">
                  <c:v>25.5</c:v>
                </c:pt>
                <c:pt idx="34">
                  <c:v>25.38</c:v>
                </c:pt>
                <c:pt idx="35">
                  <c:v>25.3</c:v>
                </c:pt>
                <c:pt idx="36">
                  <c:v>25.65</c:v>
                </c:pt>
                <c:pt idx="37">
                  <c:v>24</c:v>
                </c:pt>
                <c:pt idx="38">
                  <c:v>26</c:v>
                </c:pt>
                <c:pt idx="39">
                  <c:v>25</c:v>
                </c:pt>
                <c:pt idx="40">
                  <c:v>24.35</c:v>
                </c:pt>
                <c:pt idx="41">
                  <c:v>24.7</c:v>
                </c:pt>
                <c:pt idx="42">
                  <c:v>27.4</c:v>
                </c:pt>
                <c:pt idx="43">
                  <c:v>32.75</c:v>
                </c:pt>
                <c:pt idx="44">
                  <c:v>34</c:v>
                </c:pt>
                <c:pt idx="45">
                  <c:v>32.799999999999997</c:v>
                </c:pt>
                <c:pt idx="46">
                  <c:v>32.200000000000003</c:v>
                </c:pt>
                <c:pt idx="47">
                  <c:v>30.85</c:v>
                </c:pt>
                <c:pt idx="48">
                  <c:v>29.6</c:v>
                </c:pt>
                <c:pt idx="49">
                  <c:v>29.55</c:v>
                </c:pt>
                <c:pt idx="50">
                  <c:v>29.45</c:v>
                </c:pt>
                <c:pt idx="51">
                  <c:v>30</c:v>
                </c:pt>
                <c:pt idx="52">
                  <c:v>29.1</c:v>
                </c:pt>
                <c:pt idx="53">
                  <c:v>27.75</c:v>
                </c:pt>
                <c:pt idx="54">
                  <c:v>30.85</c:v>
                </c:pt>
                <c:pt idx="55">
                  <c:v>28.65</c:v>
                </c:pt>
                <c:pt idx="56">
                  <c:v>31.4</c:v>
                </c:pt>
                <c:pt idx="57">
                  <c:v>32.200000000000003</c:v>
                </c:pt>
              </c:numCache>
            </c:numRef>
          </c:val>
          <c:smooth val="0"/>
          <c:extLst>
            <c:ext xmlns:c16="http://schemas.microsoft.com/office/drawing/2014/chart" uri="{C3380CC4-5D6E-409C-BE32-E72D297353CC}">
              <c16:uniqueId val="{00000000-A92F-4D85-B067-3BBE412E2000}"/>
            </c:ext>
          </c:extLst>
        </c:ser>
        <c:dLbls>
          <c:showLegendKey val="0"/>
          <c:showVal val="0"/>
          <c:showCatName val="0"/>
          <c:showSerName val="0"/>
          <c:showPercent val="0"/>
          <c:showBubbleSize val="0"/>
        </c:dLbls>
        <c:smooth val="0"/>
        <c:axId val="134915584"/>
        <c:axId val="134914048"/>
      </c:lineChart>
      <c:valAx>
        <c:axId val="134914048"/>
        <c:scaling>
          <c:orientation val="minMax"/>
        </c:scaling>
        <c:delete val="0"/>
        <c:axPos val="l"/>
        <c:majorGridlines/>
        <c:title>
          <c:tx>
            <c:rich>
              <a:bodyPr/>
              <a:lstStyle/>
              <a:p>
                <a:pPr>
                  <a:defRPr/>
                </a:pPr>
                <a:r>
                  <a:rPr lang="en-AU"/>
                  <a:t>US$/lb</a:t>
                </a:r>
              </a:p>
            </c:rich>
          </c:tx>
          <c:overlay val="0"/>
        </c:title>
        <c:numFmt formatCode="#,##0" sourceLinked="0"/>
        <c:majorTickMark val="out"/>
        <c:minorTickMark val="none"/>
        <c:tickLblPos val="nextTo"/>
        <c:crossAx val="134915584"/>
        <c:crosses val="autoZero"/>
        <c:crossBetween val="between"/>
      </c:valAx>
      <c:dateAx>
        <c:axId val="134915584"/>
        <c:scaling>
          <c:orientation val="minMax"/>
        </c:scaling>
        <c:delete val="0"/>
        <c:axPos val="b"/>
        <c:title>
          <c:tx>
            <c:rich>
              <a:bodyPr/>
              <a:lstStyle/>
              <a:p>
                <a:pPr>
                  <a:defRPr/>
                </a:pPr>
                <a:r>
                  <a:rPr lang="en-AU" sz="800" b="1" i="0" baseline="0">
                    <a:effectLst/>
                  </a:rPr>
                  <a:t>Source:  UX Consulting</a:t>
                </a:r>
                <a:endParaRPr lang="en-AU" sz="800">
                  <a:effectLst/>
                </a:endParaRPr>
              </a:p>
            </c:rich>
          </c:tx>
          <c:layout>
            <c:manualLayout>
              <c:xMode val="edge"/>
              <c:yMode val="edge"/>
              <c:x val="8.835748942857621E-3"/>
              <c:y val="0.95231879596019398"/>
            </c:manualLayout>
          </c:layout>
          <c:overlay val="0"/>
        </c:title>
        <c:numFmt formatCode="mmm\-yy" sourceLinked="1"/>
        <c:majorTickMark val="out"/>
        <c:minorTickMark val="none"/>
        <c:tickLblPos val="nextTo"/>
        <c:crossAx val="134914048"/>
        <c:crosses val="autoZero"/>
        <c:auto val="0"/>
        <c:lblOffset val="100"/>
        <c:baseTimeUnit val="months"/>
        <c:majorUnit val="3"/>
        <c:majorTimeUnit val="months"/>
      </c:date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6">
  <a:schemeClr val="accent3"/>
</cs:colorStyle>
</file>

<file path=xl/charts/colors5.xml><?xml version="1.0" encoding="utf-8"?>
<cs:colorStyle xmlns:cs="http://schemas.microsoft.com/office/drawing/2012/chartStyle" xmlns:a="http://schemas.openxmlformats.org/drawingml/2006/main" meth="withinLinear" id="16">
  <a:schemeClr val="accent3"/>
</cs:colorStyle>
</file>

<file path=xl/charts/colors6.xml><?xml version="1.0" encoding="utf-8"?>
<cs:colorStyle xmlns:cs="http://schemas.microsoft.com/office/drawing/2012/chartStyle" xmlns:a="http://schemas.openxmlformats.org/drawingml/2006/main" meth="withinLinear" id="17">
  <a:schemeClr val="accent4"/>
</cs:colorStyle>
</file>

<file path=xl/charts/colors7.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image" Target="../media/image3.png"/><Relationship Id="rId4" Type="http://schemas.openxmlformats.org/officeDocument/2006/relationships/hyperlink" Target="#Index!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14.xml"/><Relationship Id="rId7" Type="http://schemas.openxmlformats.org/officeDocument/2006/relationships/hyperlink" Target="#Index!A1"/><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image" Target="../media/image3.png"/><Relationship Id="rId5" Type="http://schemas.openxmlformats.org/officeDocument/2006/relationships/chart" Target="../charts/chart25.xml"/><Relationship Id="rId10" Type="http://schemas.openxmlformats.org/officeDocument/2006/relationships/hyperlink" Target="#Index!A1"/><Relationship Id="rId4" Type="http://schemas.openxmlformats.org/officeDocument/2006/relationships/chart" Target="../charts/chart24.xml"/><Relationship Id="rId9"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34.xml"/></Relationships>
</file>

<file path=xl/drawings/_rels/drawing3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chart" Target="../charts/chart37.xml"/><Relationship Id="rId4"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5.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3.png"/></Relationships>
</file>

<file path=xl/drawings/_rels/drawing4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image" Target="../media/image3.png"/></Relationships>
</file>

<file path=xl/drawings/_rels/drawing4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7.xml"/><Relationship Id="rId1" Type="http://schemas.openxmlformats.org/officeDocument/2006/relationships/chart" Target="../charts/chart56.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58.xml"/></Relationships>
</file>

<file path=xl/drawings/_rels/drawing5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59.xml"/><Relationship Id="rId4" Type="http://schemas.openxmlformats.org/officeDocument/2006/relationships/chart" Target="../charts/chart60.xml"/></Relationships>
</file>

<file path=xl/drawings/_rels/drawing5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65.xml"/></Relationships>
</file>

<file path=xl/drawings/_rels/drawing5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7.xml"/><Relationship Id="rId1" Type="http://schemas.openxmlformats.org/officeDocument/2006/relationships/chart" Target="../charts/chart66.xml"/><Relationship Id="rId4" Type="http://schemas.openxmlformats.org/officeDocument/2006/relationships/image" Target="../media/image3.png"/></Relationships>
</file>

<file path=xl/drawings/_rels/drawing5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9.xml"/><Relationship Id="rId1" Type="http://schemas.openxmlformats.org/officeDocument/2006/relationships/chart" Target="../charts/chart68.xml"/><Relationship Id="rId4" Type="http://schemas.openxmlformats.org/officeDocument/2006/relationships/image" Target="../media/image3.png"/></Relationships>
</file>

<file path=xl/drawings/_rels/drawing5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1.xml"/><Relationship Id="rId1" Type="http://schemas.openxmlformats.org/officeDocument/2006/relationships/chart" Target="../charts/chart70.xml"/><Relationship Id="rId4" Type="http://schemas.openxmlformats.org/officeDocument/2006/relationships/image" Target="../media/image3.png"/></Relationships>
</file>

<file path=xl/drawings/_rels/drawing60.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74.xml"/><Relationship Id="rId7" Type="http://schemas.openxmlformats.org/officeDocument/2006/relationships/hyperlink" Target="#Index!A1"/><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chart" Target="../charts/chart77.xml"/><Relationship Id="rId5" Type="http://schemas.openxmlformats.org/officeDocument/2006/relationships/chart" Target="../charts/chart76.xml"/><Relationship Id="rId4" Type="http://schemas.openxmlformats.org/officeDocument/2006/relationships/chart" Target="../charts/chart75.xml"/></Relationships>
</file>

<file path=xl/drawings/_rels/drawing6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image" Target="../media/image3.png"/></Relationships>
</file>

<file path=xl/drawings/_rels/drawing6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1.xml"/><Relationship Id="rId1" Type="http://schemas.openxmlformats.org/officeDocument/2006/relationships/chart" Target="../charts/chart80.xml"/><Relationship Id="rId4" Type="http://schemas.openxmlformats.org/officeDocument/2006/relationships/image" Target="../media/image3.png"/></Relationships>
</file>

<file path=xl/drawings/_rels/drawing6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82.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 Id="rId5" Type="http://schemas.openxmlformats.org/officeDocument/2006/relationships/image" Target="../media/image3.png"/><Relationship Id="rId4" Type="http://schemas.openxmlformats.org/officeDocument/2006/relationships/hyperlink" Target="#Index!A1"/></Relationships>
</file>

<file path=xl/drawings/_rels/drawing69.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chart" Target="../charts/chart88.xml"/><Relationship Id="rId7" Type="http://schemas.openxmlformats.org/officeDocument/2006/relationships/image" Target="../media/image11.png"/><Relationship Id="rId2" Type="http://schemas.openxmlformats.org/officeDocument/2006/relationships/chart" Target="../charts/chart87.xml"/><Relationship Id="rId1" Type="http://schemas.openxmlformats.org/officeDocument/2006/relationships/chart" Target="../charts/chart86.xml"/><Relationship Id="rId6" Type="http://schemas.openxmlformats.org/officeDocument/2006/relationships/image" Target="../media/image3.png"/><Relationship Id="rId5" Type="http://schemas.openxmlformats.org/officeDocument/2006/relationships/hyperlink" Target="#Index!A1"/><Relationship Id="rId4" Type="http://schemas.openxmlformats.org/officeDocument/2006/relationships/chart" Target="../charts/chart89.xml"/></Relationships>
</file>

<file path=xl/drawings/_rels/drawing7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3.png"/><Relationship Id="rId1" Type="http://schemas.openxmlformats.org/officeDocument/2006/relationships/chart" Target="../charts/chart90.xml"/><Relationship Id="rId5" Type="http://schemas.openxmlformats.org/officeDocument/2006/relationships/chart" Target="../charts/chart91.xml"/><Relationship Id="rId4" Type="http://schemas.openxmlformats.org/officeDocument/2006/relationships/image" Target="../media/image3.png"/></Relationships>
</file>

<file path=xl/drawings/_rels/drawing7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93.xml"/><Relationship Id="rId1" Type="http://schemas.openxmlformats.org/officeDocument/2006/relationships/chart" Target="../charts/chart92.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2958133</xdr:colOff>
      <xdr:row>3</xdr:row>
      <xdr:rowOff>181080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38100</xdr:colOff>
          <xdr:row>5</xdr:row>
          <xdr:rowOff>19050</xdr:rowOff>
        </xdr:from>
        <xdr:to>
          <xdr:col>11</xdr:col>
          <xdr:colOff>409575</xdr:colOff>
          <xdr:row>22</xdr:row>
          <xdr:rowOff>104775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DDDDDD"/>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4429745</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4439270</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4439270</xdr:colOff>
      <xdr:row>3</xdr:row>
      <xdr:rowOff>38205</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200025</xdr:colOff>
      <xdr:row>9</xdr:row>
      <xdr:rowOff>5667</xdr:rowOff>
    </xdr:from>
    <xdr:to>
      <xdr:col>17</xdr:col>
      <xdr:colOff>268676</xdr:colOff>
      <xdr:row>30</xdr:row>
      <xdr:rowOff>128931</xdr:rowOff>
    </xdr:to>
    <xdr:graphicFrame macro="">
      <xdr:nvGraphicFramePr>
        <xdr:cNvPr id="5" name="Chart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179917</xdr:colOff>
      <xdr:row>32</xdr:row>
      <xdr:rowOff>7595</xdr:rowOff>
    </xdr:from>
    <xdr:to>
      <xdr:col>17</xdr:col>
      <xdr:colOff>310761</xdr:colOff>
      <xdr:row>53</xdr:row>
      <xdr:rowOff>119032</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590549</xdr:colOff>
      <xdr:row>20</xdr:row>
      <xdr:rowOff>104776</xdr:rowOff>
    </xdr:from>
    <xdr:to>
      <xdr:col>22</xdr:col>
      <xdr:colOff>38100</xdr:colOff>
      <xdr:row>25</xdr:row>
      <xdr:rowOff>161926</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2792074" y="4124326"/>
          <a:ext cx="3629026" cy="1009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In Q2 2016, in addition to its alumina exports, Alcoa began</a:t>
          </a:r>
          <a:r>
            <a:rPr lang="en-AU" sz="1100" baseline="0"/>
            <a:t> producing and exporting unrefined bauxite directly.</a:t>
          </a:r>
        </a:p>
        <a:p>
          <a:endParaRPr lang="en-AU" sz="1100" baseline="0"/>
        </a:p>
        <a:p>
          <a:r>
            <a:rPr lang="en-AU" sz="1100" baseline="0"/>
            <a:t>Thus, sales data from Q2 2016 onwards includes some bauxite in addition to alumina production.</a:t>
          </a:r>
          <a:endParaRPr lang="en-AU" sz="1100"/>
        </a:p>
      </xdr:txBody>
    </xdr:sp>
    <xdr:clientData/>
  </xdr:twoCellAnchor>
  <xdr:twoCellAnchor editAs="oneCell">
    <xdr:from>
      <xdr:col>0</xdr:col>
      <xdr:colOff>0</xdr:colOff>
      <xdr:row>0</xdr:row>
      <xdr:rowOff>0</xdr:rowOff>
    </xdr:from>
    <xdr:to>
      <xdr:col>4</xdr:col>
      <xdr:colOff>591170</xdr:colOff>
      <xdr:row>3</xdr:row>
      <xdr:rowOff>105</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276224</xdr:colOff>
      <xdr:row>26</xdr:row>
      <xdr:rowOff>19050</xdr:rowOff>
    </xdr:from>
    <xdr:to>
      <xdr:col>19</xdr:col>
      <xdr:colOff>590549</xdr:colOff>
      <xdr:row>48</xdr:row>
      <xdr:rowOff>31936</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249340</xdr:colOff>
      <xdr:row>6</xdr:row>
      <xdr:rowOff>171449</xdr:rowOff>
    </xdr:from>
    <xdr:to>
      <xdr:col>19</xdr:col>
      <xdr:colOff>581024</xdr:colOff>
      <xdr:row>25</xdr:row>
      <xdr:rowOff>114300</xdr:rowOff>
    </xdr:to>
    <xdr:grpSp>
      <xdr:nvGrpSpPr>
        <xdr:cNvPr id="4" name="Group 3">
          <a:extLst>
            <a:ext uri="{FF2B5EF4-FFF2-40B4-BE49-F238E27FC236}">
              <a16:creationId xmlns:a16="http://schemas.microsoft.com/office/drawing/2014/main" id="{00000000-0008-0000-0B00-000004000000}"/>
            </a:ext>
          </a:extLst>
        </xdr:cNvPr>
        <xdr:cNvGrpSpPr/>
      </xdr:nvGrpSpPr>
      <xdr:grpSpPr>
        <a:xfrm>
          <a:off x="4754665" y="1323974"/>
          <a:ext cx="7037284" cy="3562351"/>
          <a:chOff x="5073045" y="990599"/>
          <a:chExt cx="5975954" cy="3571876"/>
        </a:xfrm>
      </xdr:grpSpPr>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5073045" y="4352925"/>
            <a:ext cx="79123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ABS</a:t>
            </a:r>
            <a:endParaRPr lang="en-AU" sz="900" b="1">
              <a:effectLst/>
              <a:latin typeface="+mn-lt"/>
            </a:endParaRPr>
          </a:p>
          <a:p>
            <a:endParaRPr lang="en-AU" sz="900"/>
          </a:p>
        </xdr:txBody>
      </xdr:sp>
    </xdr:grpSp>
    <xdr:clientData/>
  </xdr:twoCellAnchor>
  <xdr:twoCellAnchor editAs="oneCell">
    <xdr:from>
      <xdr:col>0</xdr:col>
      <xdr:colOff>0</xdr:colOff>
      <xdr:row>0</xdr:row>
      <xdr:rowOff>0</xdr:rowOff>
    </xdr:from>
    <xdr:to>
      <xdr:col>6</xdr:col>
      <xdr:colOff>1200770</xdr:colOff>
      <xdr:row>3</xdr:row>
      <xdr:rowOff>181080</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19050</xdr:colOff>
      <xdr:row>2</xdr:row>
      <xdr:rowOff>152400</xdr:rowOff>
    </xdr:from>
    <xdr:to>
      <xdr:col>11</xdr:col>
      <xdr:colOff>904876</xdr:colOff>
      <xdr:row>24</xdr:row>
      <xdr:rowOff>47625</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381620</xdr:colOff>
      <xdr:row>3</xdr:row>
      <xdr:rowOff>181080</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5</xdr:col>
      <xdr:colOff>28575</xdr:colOff>
      <xdr:row>25</xdr:row>
      <xdr:rowOff>28575</xdr:rowOff>
    </xdr:from>
    <xdr:to>
      <xdr:col>8</xdr:col>
      <xdr:colOff>571501</xdr:colOff>
      <xdr:row>30</xdr:row>
      <xdr:rowOff>85725</xdr:rowOff>
    </xdr:to>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4772025" y="4924425"/>
          <a:ext cx="3629026" cy="1009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In Q2 2016, in addition to its alumina exports, Alcoa began</a:t>
          </a:r>
          <a:r>
            <a:rPr lang="en-AU" sz="1100" baseline="0"/>
            <a:t> producing and exporting unrefined bauxite directly.</a:t>
          </a:r>
        </a:p>
        <a:p>
          <a:endParaRPr lang="en-AU" sz="1100" baseline="0"/>
        </a:p>
        <a:p>
          <a:r>
            <a:rPr lang="en-AU" sz="1100" baseline="0"/>
            <a:t>Thus, exports data from 2015-16 onwards includes </a:t>
          </a:r>
          <a:r>
            <a:rPr lang="en-AU" sz="1100" baseline="0">
              <a:solidFill>
                <a:schemeClr val="dk1"/>
              </a:solidFill>
              <a:effectLst/>
              <a:latin typeface="+mn-lt"/>
              <a:ea typeface="+mn-ea"/>
              <a:cs typeface="+mn-cs"/>
            </a:rPr>
            <a:t>alumina </a:t>
          </a:r>
          <a:r>
            <a:rPr lang="en-AU" sz="1100" baseline="0"/>
            <a:t> and small amounts of bauxite.</a:t>
          </a:r>
          <a:endParaRPr lang="en-AU" sz="1100"/>
        </a:p>
      </xdr:txBody>
    </xdr:sp>
    <xdr:clientData/>
  </xdr:twoCellAnchor>
</xdr:wsDr>
</file>

<file path=xl/drawings/drawing16.xml><?xml version="1.0" encoding="utf-8"?>
<c:userShapes xmlns:c="http://schemas.openxmlformats.org/drawingml/2006/chart">
  <cdr:relSizeAnchor xmlns:cdr="http://schemas.openxmlformats.org/drawingml/2006/chartDrawing">
    <cdr:from>
      <cdr:x>0.00174</cdr:x>
      <cdr:y>0.94432</cdr:y>
    </cdr:from>
    <cdr:to>
      <cdr:x>0.12962</cdr:x>
      <cdr:y>0.99398</cdr:y>
    </cdr:to>
    <cdr:sp macro="" textlink="">
      <cdr:nvSpPr>
        <cdr:cNvPr id="2" name="TextBox 1"/>
        <cdr:cNvSpPr txBox="1"/>
      </cdr:nvSpPr>
      <cdr:spPr>
        <a:xfrm xmlns:a="http://schemas.openxmlformats.org/drawingml/2006/main">
          <a:off x="12700" y="3984625"/>
          <a:ext cx="931758" cy="2095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DMIRS</a:t>
          </a:r>
          <a:endParaRPr lang="en-AU" sz="900" b="1">
            <a:effectLst/>
            <a:latin typeface="+mn-lt"/>
          </a:endParaRPr>
        </a:p>
        <a:p xmlns:a="http://schemas.openxmlformats.org/drawingml/2006/main">
          <a:endParaRPr lang="en-AU" sz="900"/>
        </a:p>
      </cdr:txBody>
    </cdr:sp>
  </cdr:relSizeAnchor>
</c:userShapes>
</file>

<file path=xl/drawings/drawing17.xml><?xml version="1.0" encoding="utf-8"?>
<xdr:wsDr xmlns:xdr="http://schemas.openxmlformats.org/drawingml/2006/spreadsheetDrawing" xmlns:a="http://schemas.openxmlformats.org/drawingml/2006/main">
  <xdr:twoCellAnchor>
    <xdr:from>
      <xdr:col>4</xdr:col>
      <xdr:colOff>146238</xdr:colOff>
      <xdr:row>6</xdr:row>
      <xdr:rowOff>77881</xdr:rowOff>
    </xdr:from>
    <xdr:to>
      <xdr:col>16</xdr:col>
      <xdr:colOff>561976</xdr:colOff>
      <xdr:row>27</xdr:row>
      <xdr:rowOff>152401</xdr:rowOff>
    </xdr:to>
    <xdr:graphicFrame macro="">
      <xdr:nvGraphicFramePr>
        <xdr:cNvPr id="3" name="Chart 4">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11206</xdr:colOff>
      <xdr:row>29</xdr:row>
      <xdr:rowOff>33617</xdr:rowOff>
    </xdr:from>
    <xdr:to>
      <xdr:col>17</xdr:col>
      <xdr:colOff>0</xdr:colOff>
      <xdr:row>51</xdr:row>
      <xdr:rowOff>44822</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446555</xdr:colOff>
      <xdr:row>6</xdr:row>
      <xdr:rowOff>78999</xdr:rowOff>
    </xdr:from>
    <xdr:to>
      <xdr:col>23</xdr:col>
      <xdr:colOff>590550</xdr:colOff>
      <xdr:row>20</xdr:row>
      <xdr:rowOff>151837</xdr:rowOff>
    </xdr:to>
    <xdr:graphicFrame macro="">
      <xdr:nvGraphicFramePr>
        <xdr:cNvPr id="5" name="Chart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6</xdr:col>
      <xdr:colOff>16308</xdr:colOff>
      <xdr:row>3</xdr:row>
      <xdr:rowOff>181080</xdr:rowOff>
    </xdr:to>
    <xdr:pic>
      <xdr:nvPicPr>
        <xdr:cNvPr id="7" name="Picture 6">
          <a:hlinkClick xmlns:r="http://schemas.openxmlformats.org/officeDocument/2006/relationships" r:id="rId4"/>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18.xml><?xml version="1.0" encoding="utf-8"?>
<c:userShapes xmlns:c="http://schemas.openxmlformats.org/drawingml/2006/chart">
  <cdr:relSizeAnchor xmlns:cdr="http://schemas.openxmlformats.org/drawingml/2006/chartDrawing">
    <cdr:from>
      <cdr:x>0.00805</cdr:x>
      <cdr:y>0.94481</cdr:y>
    </cdr:from>
    <cdr:to>
      <cdr:x>0.17009</cdr:x>
      <cdr:y>0.98896</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62637" y="4003119"/>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OoCE</a:t>
          </a: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0.9272</cdr:y>
    </cdr:from>
    <cdr:to>
      <cdr:x>0.34509</cdr:x>
      <cdr:y>0.98957</cdr:y>
    </cdr:to>
    <cdr:sp macro="" textlink="">
      <cdr:nvSpPr>
        <cdr:cNvPr id="2" name="TextBox 1"/>
        <cdr:cNvSpPr txBox="1"/>
      </cdr:nvSpPr>
      <cdr:spPr>
        <a:xfrm xmlns:a="http://schemas.openxmlformats.org/drawingml/2006/main">
          <a:off x="0" y="2540376"/>
          <a:ext cx="1420345" cy="17088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DMIRS and OoCE</a:t>
          </a:r>
          <a:endParaRPr lang="en-AU" sz="900" b="1">
            <a:effectLst/>
            <a:latin typeface="+mn-lt"/>
          </a:endParaRPr>
        </a:p>
        <a:p xmlns:a="http://schemas.openxmlformats.org/drawingml/2006/main">
          <a:endParaRPr lang="en-AU" sz="900"/>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943595</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0</xdr:col>
      <xdr:colOff>38100</xdr:colOff>
      <xdr:row>46</xdr:row>
      <xdr:rowOff>0</xdr:rowOff>
    </xdr:from>
    <xdr:to>
      <xdr:col>2</xdr:col>
      <xdr:colOff>591670</xdr:colOff>
      <xdr:row>72</xdr:row>
      <xdr:rowOff>142875</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8100" y="8953500"/>
          <a:ext cx="4049245" cy="5095875"/>
        </a:xfrm>
        <a:prstGeom prst="rect">
          <a:avLst/>
        </a:prstGeom>
        <a:solidFill>
          <a:schemeClr val="bg1">
            <a:lumMod val="7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Quantities and value figures reported only apply to Minerals and Petroleum covered by the Mining Act 1978 , the Petroleum and Geothermal Energy Resources Act 1967, the Petroleum (Submerged Lands) Act 1982, the Offshore Petroleum Act 2006 and relevant State Agreement Acts.</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They are based primarily on royalties data collected by the Department of Mines,</a:t>
          </a:r>
          <a:r>
            <a:rPr lang="en-AU" sz="1100" baseline="0">
              <a:solidFill>
                <a:schemeClr val="dk1"/>
              </a:solidFill>
              <a:effectLst/>
              <a:latin typeface="+mn-lt"/>
              <a:ea typeface="+mn-ea"/>
              <a:cs typeface="+mn-cs"/>
            </a:rPr>
            <a:t> Industry Regulation and Safety (DMIRS) Financial Compliance</a:t>
          </a:r>
          <a:r>
            <a:rPr lang="en-AU" sz="1100">
              <a:solidFill>
                <a:schemeClr val="dk1"/>
              </a:solidFill>
              <a:effectLst/>
              <a:latin typeface="+mn-lt"/>
              <a:ea typeface="+mn-ea"/>
              <a:cs typeface="+mn-cs"/>
            </a:rPr>
            <a:t> branch.</a:t>
          </a:r>
          <a:r>
            <a:rPr lang="en-AU" sz="1100" baseline="0">
              <a:solidFill>
                <a:schemeClr val="dk1"/>
              </a:solidFill>
              <a:effectLst/>
              <a:latin typeface="+mn-lt"/>
              <a:ea typeface="+mn-ea"/>
              <a:cs typeface="+mn-cs"/>
            </a:rPr>
            <a:t> </a:t>
          </a:r>
        </a:p>
        <a:p>
          <a:endParaRPr lang="en-AU" sz="1100" baseline="0">
            <a:solidFill>
              <a:schemeClr val="dk1"/>
            </a:solidFill>
            <a:effectLst/>
            <a:latin typeface="+mn-lt"/>
            <a:ea typeface="+mn-ea"/>
            <a:cs typeface="+mn-cs"/>
          </a:endParaRPr>
        </a:p>
        <a:p>
          <a:r>
            <a:rPr lang="en-AU" sz="1100" baseline="0">
              <a:solidFill>
                <a:schemeClr val="dk1"/>
              </a:solidFill>
              <a:effectLst/>
              <a:latin typeface="+mn-lt"/>
              <a:ea typeface="+mn-ea"/>
              <a:cs typeface="+mn-cs"/>
            </a:rPr>
            <a:t>Royalties figures</a:t>
          </a:r>
          <a:r>
            <a:rPr lang="en-AU" sz="1100">
              <a:solidFill>
                <a:schemeClr val="dk1"/>
              </a:solidFill>
              <a:effectLst/>
              <a:latin typeface="+mn-lt"/>
              <a:ea typeface="+mn-ea"/>
              <a:cs typeface="+mn-cs"/>
            </a:rPr>
            <a:t> are frequently audited and adjusted for accuracy, often over a period of several years after they are first reported. </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Previously, these adjustments were indicated through the use of an (r) symbol, indicating a revision had taken place since the first publication of a given data point.</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As part of the modernisation process of DMIRS’s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DMIRS encourages that all</a:t>
          </a:r>
          <a:r>
            <a:rPr lang="en-AU" sz="1100" baseline="0">
              <a:solidFill>
                <a:schemeClr val="dk1"/>
              </a:solidFill>
              <a:effectLst/>
              <a:latin typeface="+mn-lt"/>
              <a:ea typeface="+mn-ea"/>
              <a:cs typeface="+mn-cs"/>
            </a:rPr>
            <a:t> data be treated as having been revised since the previous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DMIRS website.</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Note that some figures are reported as n/a due to confidentiality.</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218517</xdr:colOff>
      <xdr:row>0</xdr:row>
      <xdr:rowOff>98051</xdr:rowOff>
    </xdr:from>
    <xdr:to>
      <xdr:col>23</xdr:col>
      <xdr:colOff>714376</xdr:colOff>
      <xdr:row>22</xdr:row>
      <xdr:rowOff>66675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205629</xdr:colOff>
      <xdr:row>23</xdr:row>
      <xdr:rowOff>85725</xdr:rowOff>
    </xdr:from>
    <xdr:to>
      <xdr:col>23</xdr:col>
      <xdr:colOff>714376</xdr:colOff>
      <xdr:row>44</xdr:row>
      <xdr:rowOff>76200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242608</xdr:colOff>
      <xdr:row>45</xdr:row>
      <xdr:rowOff>0</xdr:rowOff>
    </xdr:from>
    <xdr:to>
      <xdr:col>23</xdr:col>
      <xdr:colOff>704851</xdr:colOff>
      <xdr:row>62</xdr:row>
      <xdr:rowOff>152400</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47625</xdr:colOff>
      <xdr:row>0</xdr:row>
      <xdr:rowOff>115165</xdr:rowOff>
    </xdr:from>
    <xdr:to>
      <xdr:col>31</xdr:col>
      <xdr:colOff>19049</xdr:colOff>
      <xdr:row>22</xdr:row>
      <xdr:rowOff>85724</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57150</xdr:colOff>
      <xdr:row>23</xdr:row>
      <xdr:rowOff>114301</xdr:rowOff>
    </xdr:from>
    <xdr:to>
      <xdr:col>31</xdr:col>
      <xdr:colOff>38099</xdr:colOff>
      <xdr:row>44</xdr:row>
      <xdr:rowOff>85726</xdr:rowOff>
    </xdr:to>
    <xdr:graphicFrame macro="">
      <xdr:nvGraphicFramePr>
        <xdr:cNvPr id="9" name="Chart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76199</xdr:colOff>
      <xdr:row>45</xdr:row>
      <xdr:rowOff>9525</xdr:rowOff>
    </xdr:from>
    <xdr:to>
      <xdr:col>31</xdr:col>
      <xdr:colOff>19050</xdr:colOff>
      <xdr:row>62</xdr:row>
      <xdr:rowOff>152400</xdr:rowOff>
    </xdr:to>
    <xdr:graphicFrame macro="">
      <xdr:nvGraphicFramePr>
        <xdr:cNvPr id="10" name="Chart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290452</xdr:colOff>
      <xdr:row>3</xdr:row>
      <xdr:rowOff>181080</xdr:rowOff>
    </xdr:to>
    <xdr:pic>
      <xdr:nvPicPr>
        <xdr:cNvPr id="11" name="Picture 10">
          <a:hlinkClick xmlns:r="http://schemas.openxmlformats.org/officeDocument/2006/relationships" r:id="rId7"/>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358588</xdr:colOff>
      <xdr:row>6</xdr:row>
      <xdr:rowOff>14285</xdr:rowOff>
    </xdr:from>
    <xdr:to>
      <xdr:col>26</xdr:col>
      <xdr:colOff>394542</xdr:colOff>
      <xdr:row>28</xdr:row>
      <xdr:rowOff>123825</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368113</xdr:colOff>
      <xdr:row>29</xdr:row>
      <xdr:rowOff>57150</xdr:rowOff>
    </xdr:from>
    <xdr:to>
      <xdr:col>26</xdr:col>
      <xdr:colOff>390525</xdr:colOff>
      <xdr:row>51</xdr:row>
      <xdr:rowOff>44262</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343520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885825</xdr:colOff>
      <xdr:row>23</xdr:row>
      <xdr:rowOff>123826</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23</xdr:row>
      <xdr:rowOff>190499</xdr:rowOff>
    </xdr:from>
    <xdr:to>
      <xdr:col>11</xdr:col>
      <xdr:colOff>876300</xdr:colOff>
      <xdr:row>40</xdr:row>
      <xdr:rowOff>123826</xdr:rowOff>
    </xdr:to>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6057900" y="4914899"/>
          <a:ext cx="6019800" cy="3257552"/>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"B</a:t>
          </a:r>
          <a:r>
            <a:rPr lang="en-AU" sz="1100"/>
            <a:t>ase Metals" refers to copper, lead and zinc,</a:t>
          </a:r>
          <a:r>
            <a:rPr lang="en-AU" sz="1100" baseline="0"/>
            <a:t> all of which in WA are exported primarily as concentrates for further refining in overseas facilities</a:t>
          </a:r>
          <a:endParaRPr lang="en-AU" sz="1100"/>
        </a:p>
        <a:p>
          <a:endParaRPr lang="en-AU" sz="1100"/>
        </a:p>
        <a:p>
          <a:pPr algn="just"/>
          <a:r>
            <a:rPr lang="en-AU" sz="1100">
              <a:solidFill>
                <a:schemeClr val="dk1"/>
              </a:solidFill>
              <a:effectLst/>
              <a:latin typeface="+mn-lt"/>
              <a:ea typeface="+mn-ea"/>
              <a:cs typeface="+mn-cs"/>
            </a:rPr>
            <a:t>Concentrates</a:t>
          </a:r>
          <a:r>
            <a:rPr lang="en-AU" sz="1100" baseline="0">
              <a:solidFill>
                <a:schemeClr val="dk1"/>
              </a:solidFill>
              <a:effectLst/>
              <a:latin typeface="+mn-lt"/>
              <a:ea typeface="+mn-ea"/>
              <a:cs typeface="+mn-cs"/>
            </a:rPr>
            <a:t> of these metals often contain significant amounts of other valuable metals, most significantly gold and silver. </a:t>
          </a:r>
        </a:p>
        <a:p>
          <a:pPr algn="just"/>
          <a:endParaRPr lang="en-AU" sz="1100" baseline="0">
            <a:solidFill>
              <a:schemeClr val="dk1"/>
            </a:solidFill>
            <a:effectLst/>
            <a:latin typeface="+mn-lt"/>
            <a:ea typeface="+mn-ea"/>
            <a:cs typeface="+mn-cs"/>
          </a:endParaRPr>
        </a:p>
        <a:p>
          <a:pPr algn="just"/>
          <a:r>
            <a:rPr lang="en-AU" sz="1100" baseline="0">
              <a:solidFill>
                <a:schemeClr val="dk1"/>
              </a:solidFill>
              <a:effectLst/>
              <a:latin typeface="+mn-lt"/>
              <a:ea typeface="+mn-ea"/>
              <a:cs typeface="+mn-cs"/>
            </a:rPr>
            <a:t>Under the methodolgy for determining "Base Metals" exports prior to 2019-20, subtracting this value from the  total provides the value of exported base metals and base metal concentrates from Western Australia. Due to processing overseas, this value may be lower than the pure value of the metal produced.</a:t>
          </a:r>
        </a:p>
        <a:p>
          <a:pPr algn="just"/>
          <a:endParaRPr lang="en-AU" sz="1100" baseline="0">
            <a:solidFill>
              <a:schemeClr val="dk1"/>
            </a:solidFill>
            <a:effectLst/>
            <a:latin typeface="+mn-lt"/>
            <a:ea typeface="+mn-ea"/>
            <a:cs typeface="+mn-cs"/>
          </a:endParaRPr>
        </a:p>
        <a:p>
          <a:pPr algn="just"/>
          <a:r>
            <a:rPr lang="en-AU" sz="1100" baseline="0">
              <a:solidFill>
                <a:schemeClr val="dk1"/>
              </a:solidFill>
              <a:effectLst/>
              <a:latin typeface="+mn-lt"/>
              <a:ea typeface="+mn-ea"/>
              <a:cs typeface="+mn-cs"/>
            </a:rPr>
            <a:t>Beginning with 2019-20, ABS data is used for "Base Metals" exports from WA and this adjustment is no longer required. However, from 1 June 2020, copper exports to Japan, Malaysia, the Philippines and Taiwan became subject to confidentiality restrictions. From 1 April 2021, no copper exports from Western Australia were available from the ABS.</a:t>
          </a:r>
        </a:p>
        <a:p>
          <a:pPr algn="just"/>
          <a:endParaRPr lang="en-AU" sz="1100" baseline="0">
            <a:solidFill>
              <a:schemeClr val="dk1"/>
            </a:solidFill>
            <a:effectLst/>
            <a:latin typeface="+mn-lt"/>
            <a:ea typeface="+mn-ea"/>
            <a:cs typeface="+mn-cs"/>
          </a:endParaRPr>
        </a:p>
        <a:p>
          <a:pPr algn="just"/>
          <a:r>
            <a:rPr lang="en-AU" sz="1100" baseline="0">
              <a:solidFill>
                <a:schemeClr val="dk1"/>
              </a:solidFill>
              <a:effectLst/>
              <a:latin typeface="+mn-lt"/>
              <a:ea typeface="+mn-ea"/>
              <a:cs typeface="+mn-cs"/>
            </a:rPr>
            <a:t>Given the incompleteness of the data, "Base Metals" exports from WA are not reported for 2020 and 2020-21 and DMIRS is reviewing its methodology for "Base Metals" exports.</a:t>
          </a:r>
          <a:endParaRPr lang="en-AU" sz="1100" baseline="0"/>
        </a:p>
      </xdr:txBody>
    </xdr:sp>
    <xdr:clientData/>
  </xdr:twoCellAnchor>
  <xdr:twoCellAnchor editAs="oneCell">
    <xdr:from>
      <xdr:col>0</xdr:col>
      <xdr:colOff>0</xdr:colOff>
      <xdr:row>1</xdr:row>
      <xdr:rowOff>0</xdr:rowOff>
    </xdr:from>
    <xdr:to>
      <xdr:col>4</xdr:col>
      <xdr:colOff>438770</xdr:colOff>
      <xdr:row>4</xdr:row>
      <xdr:rowOff>152505</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3.xml><?xml version="1.0" encoding="utf-8"?>
<c:userShapes xmlns:c="http://schemas.openxmlformats.org/drawingml/2006/chart">
  <cdr:relSizeAnchor xmlns:cdr="http://schemas.openxmlformats.org/drawingml/2006/chartDrawing">
    <cdr:from>
      <cdr:x>0</cdr:x>
      <cdr:y>0.94678</cdr:y>
    </cdr:from>
    <cdr:to>
      <cdr:x>0.1979</cdr:x>
      <cdr:y>0.99502</cdr:y>
    </cdr:to>
    <cdr:sp macro="" textlink="">
      <cdr:nvSpPr>
        <cdr:cNvPr id="2" name="Text Box 1025"/>
        <cdr:cNvSpPr txBox="1">
          <a:spLocks xmlns:a="http://schemas.openxmlformats.org/drawingml/2006/main" noChangeArrowheads="1"/>
        </cdr:cNvSpPr>
      </cdr:nvSpPr>
      <cdr:spPr bwMode="auto">
        <a:xfrm xmlns:a="http://schemas.openxmlformats.org/drawingml/2006/main">
          <a:off x="-27283" y="3670345"/>
          <a:ext cx="1193212"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 and ABS</a:t>
          </a:r>
        </a:p>
      </cdr:txBody>
    </cdr:sp>
  </cdr:relSizeAnchor>
</c:userShapes>
</file>

<file path=xl/drawings/drawing24.xml><?xml version="1.0" encoding="utf-8"?>
<xdr:wsDr xmlns:xdr="http://schemas.openxmlformats.org/drawingml/2006/spreadsheetDrawing" xmlns:a="http://schemas.openxmlformats.org/drawingml/2006/main">
  <xdr:twoCellAnchor>
    <xdr:from>
      <xdr:col>7</xdr:col>
      <xdr:colOff>146240</xdr:colOff>
      <xdr:row>2</xdr:row>
      <xdr:rowOff>130947</xdr:rowOff>
    </xdr:from>
    <xdr:to>
      <xdr:col>16</xdr:col>
      <xdr:colOff>485776</xdr:colOff>
      <xdr:row>20</xdr:row>
      <xdr:rowOff>6350</xdr:rowOff>
    </xdr:to>
    <xdr:graphicFrame macro="">
      <xdr:nvGraphicFramePr>
        <xdr:cNvPr id="3" name="Chart 4">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147126</xdr:colOff>
      <xdr:row>20</xdr:row>
      <xdr:rowOff>86533</xdr:rowOff>
    </xdr:from>
    <xdr:to>
      <xdr:col>16</xdr:col>
      <xdr:colOff>500592</xdr:colOff>
      <xdr:row>38</xdr:row>
      <xdr:rowOff>169332</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96981</xdr:colOff>
      <xdr:row>2</xdr:row>
      <xdr:rowOff>142875</xdr:rowOff>
    </xdr:from>
    <xdr:to>
      <xdr:col>21</xdr:col>
      <xdr:colOff>200025</xdr:colOff>
      <xdr:row>18</xdr:row>
      <xdr:rowOff>0</xdr:rowOff>
    </xdr:to>
    <xdr:graphicFrame macro="">
      <xdr:nvGraphicFramePr>
        <xdr:cNvPr id="5" name="Chart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122144</xdr:colOff>
      <xdr:row>19</xdr:row>
      <xdr:rowOff>47625</xdr:rowOff>
    </xdr:from>
    <xdr:to>
      <xdr:col>21</xdr:col>
      <xdr:colOff>171450</xdr:colOff>
      <xdr:row>35</xdr:row>
      <xdr:rowOff>64689</xdr:rowOff>
    </xdr:to>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112620</xdr:colOff>
      <xdr:row>36</xdr:row>
      <xdr:rowOff>114299</xdr:rowOff>
    </xdr:from>
    <xdr:to>
      <xdr:col>21</xdr:col>
      <xdr:colOff>161926</xdr:colOff>
      <xdr:row>52</xdr:row>
      <xdr:rowOff>131363</xdr:rowOff>
    </xdr:to>
    <xdr:graphicFrame macro="">
      <xdr:nvGraphicFramePr>
        <xdr:cNvPr id="7" name="Chart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161040</xdr:colOff>
      <xdr:row>39</xdr:row>
      <xdr:rowOff>85725</xdr:rowOff>
    </xdr:from>
    <xdr:to>
      <xdr:col>16</xdr:col>
      <xdr:colOff>509060</xdr:colOff>
      <xdr:row>57</xdr:row>
      <xdr:rowOff>6350</xdr:rowOff>
    </xdr:to>
    <xdr:graphicFrame macro="">
      <xdr:nvGraphicFramePr>
        <xdr:cNvPr id="8" name="Chart 4">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150283</xdr:colOff>
      <xdr:row>57</xdr:row>
      <xdr:rowOff>134141</xdr:rowOff>
    </xdr:from>
    <xdr:to>
      <xdr:col>16</xdr:col>
      <xdr:colOff>521758</xdr:colOff>
      <xdr:row>76</xdr:row>
      <xdr:rowOff>187325</xdr:rowOff>
    </xdr:to>
    <xdr:graphicFrame macro="">
      <xdr:nvGraphicFramePr>
        <xdr:cNvPr id="9" name="Chart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179182</xdr:colOff>
      <xdr:row>77</xdr:row>
      <xdr:rowOff>95250</xdr:rowOff>
    </xdr:from>
    <xdr:to>
      <xdr:col>16</xdr:col>
      <xdr:colOff>521759</xdr:colOff>
      <xdr:row>96</xdr:row>
      <xdr:rowOff>31749</xdr:rowOff>
    </xdr:to>
    <xdr:graphicFrame macro="">
      <xdr:nvGraphicFramePr>
        <xdr:cNvPr id="10" name="Chart 4">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162077</xdr:colOff>
      <xdr:row>96</xdr:row>
      <xdr:rowOff>125523</xdr:rowOff>
    </xdr:from>
    <xdr:to>
      <xdr:col>16</xdr:col>
      <xdr:colOff>509059</xdr:colOff>
      <xdr:row>116</xdr:row>
      <xdr:rowOff>162983</xdr:rowOff>
    </xdr:to>
    <xdr:graphicFrame macro="">
      <xdr:nvGraphicFramePr>
        <xdr:cNvPr id="11" name="Chart 10">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3</xdr:col>
      <xdr:colOff>1257920</xdr:colOff>
      <xdr:row>3</xdr:row>
      <xdr:rowOff>181080</xdr:rowOff>
    </xdr:to>
    <xdr:pic>
      <xdr:nvPicPr>
        <xdr:cNvPr id="12" name="Picture 11">
          <a:hlinkClick xmlns:r="http://schemas.openxmlformats.org/officeDocument/2006/relationships" r:id="rId10"/>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11"/>
        <a:stretch>
          <a:fillRect/>
        </a:stretch>
      </xdr:blipFill>
      <xdr:spPr>
        <a:xfrm>
          <a:off x="0" y="0"/>
          <a:ext cx="4439270" cy="752580"/>
        </a:xfrm>
        <a:prstGeom prst="rect">
          <a:avLst/>
        </a:prstGeom>
      </xdr:spPr>
    </xdr:pic>
    <xdr:clientData/>
  </xdr:twoCellAnchor>
</xdr:wsDr>
</file>

<file path=xl/drawings/drawing25.xml><?xml version="1.0" encoding="utf-8"?>
<c:userShapes xmlns:c="http://schemas.openxmlformats.org/drawingml/2006/chart">
  <cdr:relSizeAnchor xmlns:cdr="http://schemas.openxmlformats.org/drawingml/2006/chartDrawing">
    <cdr:from>
      <cdr:x>0.00722</cdr:x>
      <cdr:y>0.94394</cdr:y>
    </cdr:from>
    <cdr:to>
      <cdr:x>0.22234</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42334" y="3149114"/>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OoCE</a:t>
          </a:r>
        </a:p>
      </cdr:txBody>
    </cdr:sp>
  </cdr:relSizeAnchor>
</c:userShapes>
</file>

<file path=xl/drawings/drawing26.xml><?xml version="1.0" encoding="utf-8"?>
<c:userShapes xmlns:c="http://schemas.openxmlformats.org/drawingml/2006/chart">
  <cdr:relSizeAnchor xmlns:cdr="http://schemas.openxmlformats.org/drawingml/2006/chartDrawing">
    <cdr:from>
      <cdr:x>0.00541</cdr:x>
      <cdr:y>0.94467</cdr:y>
    </cdr:from>
    <cdr:to>
      <cdr:x>0.22022</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1750" y="3193278"/>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a:t>
          </a:r>
          <a:r>
            <a:rPr lang="en-AU" sz="900" b="1" i="0" baseline="0">
              <a:effectLst/>
              <a:latin typeface="+mn-lt"/>
              <a:ea typeface="+mn-ea"/>
              <a:cs typeface="+mn-cs"/>
            </a:rPr>
            <a:t>IRS</a:t>
          </a:r>
          <a:r>
            <a:rPr lang="en-AU" sz="900" b="1" i="0" u="none" strike="noStrike" baseline="0">
              <a:solidFill>
                <a:srgbClr val="000000"/>
              </a:solidFill>
              <a:latin typeface="+mn-lt"/>
              <a:cs typeface="Arial"/>
            </a:rPr>
            <a:t> and OoCE</a:t>
          </a:r>
        </a:p>
      </cdr:txBody>
    </cdr:sp>
  </cdr:relSizeAnchor>
</c:userShapes>
</file>

<file path=xl/drawings/drawing27.xml><?xml version="1.0" encoding="utf-8"?>
<c:userShapes xmlns:c="http://schemas.openxmlformats.org/drawingml/2006/chart">
  <cdr:relSizeAnchor xmlns:cdr="http://schemas.openxmlformats.org/drawingml/2006/chartDrawing">
    <cdr:from>
      <cdr:x>0.00541</cdr:x>
      <cdr:y>0.9474</cdr:y>
    </cdr:from>
    <cdr:to>
      <cdr:x>0.22042</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1750" y="3368960"/>
          <a:ext cx="1261499"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OoCE</a:t>
          </a:r>
        </a:p>
      </cdr:txBody>
    </cdr:sp>
  </cdr:relSizeAnchor>
</c:userShapes>
</file>

<file path=xl/drawings/drawing28.xml><?xml version="1.0" encoding="utf-8"?>
<xdr:wsDr xmlns:xdr="http://schemas.openxmlformats.org/drawingml/2006/spreadsheetDrawing" xmlns:a="http://schemas.openxmlformats.org/drawingml/2006/main">
  <xdr:twoCellAnchor>
    <xdr:from>
      <xdr:col>5</xdr:col>
      <xdr:colOff>149039</xdr:colOff>
      <xdr:row>6</xdr:row>
      <xdr:rowOff>0</xdr:rowOff>
    </xdr:from>
    <xdr:to>
      <xdr:col>12</xdr:col>
      <xdr:colOff>400050</xdr:colOff>
      <xdr:row>27</xdr:row>
      <xdr:rowOff>80122</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152400</xdr:colOff>
      <xdr:row>28</xdr:row>
      <xdr:rowOff>104775</xdr:rowOff>
    </xdr:from>
    <xdr:to>
      <xdr:col>12</xdr:col>
      <xdr:colOff>390525</xdr:colOff>
      <xdr:row>49</xdr:row>
      <xdr:rowOff>123584</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467345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19</xdr:col>
      <xdr:colOff>333375</xdr:colOff>
      <xdr:row>6</xdr:row>
      <xdr:rowOff>9526</xdr:rowOff>
    </xdr:from>
    <xdr:to>
      <xdr:col>28</xdr:col>
      <xdr:colOff>219075</xdr:colOff>
      <xdr:row>8</xdr:row>
      <xdr:rowOff>57151</xdr:rowOff>
    </xdr:to>
    <xdr:sp macro="" textlink="">
      <xdr:nvSpPr>
        <xdr:cNvPr id="7" name="TextBox 6">
          <a:extLst>
            <a:ext uri="{FF2B5EF4-FFF2-40B4-BE49-F238E27FC236}">
              <a16:creationId xmlns:a16="http://schemas.microsoft.com/office/drawing/2014/main" id="{00000000-0008-0000-1000-000005000000}"/>
            </a:ext>
          </a:extLst>
        </xdr:cNvPr>
        <xdr:cNvSpPr txBox="1"/>
      </xdr:nvSpPr>
      <xdr:spPr>
        <a:xfrm>
          <a:off x="11525250" y="1200151"/>
          <a:ext cx="5372100" cy="4381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Gold sales reported in tonnes can be converted to industry standard ounces by multiplying tonnes by 32150.7</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103909</xdr:colOff>
      <xdr:row>7</xdr:row>
      <xdr:rowOff>10390</xdr:rowOff>
    </xdr:from>
    <xdr:to>
      <xdr:col>28</xdr:col>
      <xdr:colOff>493566</xdr:colOff>
      <xdr:row>28</xdr:row>
      <xdr:rowOff>152400</xdr:rowOff>
    </xdr:to>
    <xdr:graphicFrame macro="">
      <xdr:nvGraphicFramePr>
        <xdr:cNvPr id="6" name="Chart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141143</xdr:colOff>
      <xdr:row>30</xdr:row>
      <xdr:rowOff>6927</xdr:rowOff>
    </xdr:from>
    <xdr:to>
      <xdr:col>22</xdr:col>
      <xdr:colOff>384463</xdr:colOff>
      <xdr:row>49</xdr:row>
      <xdr:rowOff>134112</xdr:rowOff>
    </xdr:to>
    <xdr:graphicFrame macro="">
      <xdr:nvGraphicFramePr>
        <xdr:cNvPr id="7" name="Chart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734045</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20</xdr:row>
      <xdr:rowOff>0</xdr:rowOff>
    </xdr:to>
    <xdr:sp macro="" textlink="">
      <xdr:nvSpPr>
        <xdr:cNvPr id="3" name="Text Box 2">
          <a:extLst>
            <a:ext uri="{FF2B5EF4-FFF2-40B4-BE49-F238E27FC236}">
              <a16:creationId xmlns:a16="http://schemas.microsoft.com/office/drawing/2014/main" id="{00000000-0008-0000-0100-000003000000}"/>
            </a:ext>
          </a:extLst>
        </xdr:cNvPr>
        <xdr:cNvSpPr txBox="1">
          <a:spLocks noChangeArrowheads="1"/>
        </xdr:cNvSpPr>
      </xdr:nvSpPr>
      <xdr:spPr bwMode="auto">
        <a:xfrm>
          <a:off x="438150" y="1257301"/>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a:t>
          </a:r>
        </a:p>
        <a:p>
          <a:pPr rtl="0"/>
          <a:r>
            <a:rPr lang="en-AU" sz="1100" b="0" i="0" baseline="0">
              <a:effectLst/>
              <a:latin typeface="+mn-lt"/>
              <a:ea typeface="+mn-ea"/>
              <a:cs typeface="+mn-cs"/>
            </a:rPr>
            <a:t>		Note that all the raw data underpinning these dynamic tables and graphs 		is available within the workbook, though not neccesarily within the same 		tab.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2</xdr:col>
      <xdr:colOff>324470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4</xdr:col>
      <xdr:colOff>266700</xdr:colOff>
      <xdr:row>4</xdr:row>
      <xdr:rowOff>171450</xdr:rowOff>
    </xdr:from>
    <xdr:to>
      <xdr:col>10</xdr:col>
      <xdr:colOff>733425</xdr:colOff>
      <xdr:row>27</xdr:row>
      <xdr:rowOff>133350</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5</xdr:row>
      <xdr:rowOff>19051</xdr:rowOff>
    </xdr:from>
    <xdr:to>
      <xdr:col>17</xdr:col>
      <xdr:colOff>333375</xdr:colOff>
      <xdr:row>21</xdr:row>
      <xdr:rowOff>180976</xdr:rowOff>
    </xdr:to>
    <xdr:sp macro="" textlink="">
      <xdr:nvSpPr>
        <xdr:cNvPr id="6" name="Text Box 1">
          <a:extLst>
            <a:ext uri="{FF2B5EF4-FFF2-40B4-BE49-F238E27FC236}">
              <a16:creationId xmlns:a16="http://schemas.microsoft.com/office/drawing/2014/main" id="{00000000-0008-0000-1400-000006000000}"/>
            </a:ext>
          </a:extLst>
        </xdr:cNvPr>
        <xdr:cNvSpPr txBox="1"/>
      </xdr:nvSpPr>
      <xdr:spPr>
        <a:xfrm>
          <a:off x="11334750" y="1066801"/>
          <a:ext cx="5343525" cy="32575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The ABS</a:t>
          </a:r>
          <a:r>
            <a:rPr lang="en-AU" sz="1100" baseline="0">
              <a:effectLst/>
              <a:latin typeface="+mn-lt"/>
              <a:ea typeface="Times New Roman"/>
            </a:rPr>
            <a:t> </a:t>
          </a:r>
          <a:r>
            <a:rPr lang="en-AU" sz="1100">
              <a:effectLst/>
              <a:latin typeface="+mn-lt"/>
              <a:ea typeface="Times New Roman"/>
            </a:rPr>
            <a:t>releases Western Australian export data which shows exports of gold that are significantly higher than gold produced in this State.  </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This is because Gold Corporation, or as it is more commonly known, The Perth Mint, which</a:t>
          </a:r>
          <a:r>
            <a:rPr lang="en-AU" sz="1100" baseline="0">
              <a:effectLst/>
              <a:latin typeface="+mn-lt"/>
              <a:ea typeface="Times New Roman"/>
            </a:rPr>
            <a:t> is</a:t>
          </a:r>
          <a:r>
            <a:rPr lang="en-AU" sz="1100">
              <a:effectLst/>
              <a:latin typeface="+mn-lt"/>
              <a:ea typeface="Times New Roman"/>
            </a:rPr>
            <a:t> Australia’s only London Bullion Market Association (LBMA) accredited gold refinery</a:t>
          </a:r>
          <a:r>
            <a:rPr lang="en-AU" sz="1100" baseline="0">
              <a:effectLst/>
              <a:latin typeface="+mn-lt"/>
              <a:ea typeface="Times New Roman"/>
            </a:rPr>
            <a:t> </a:t>
          </a:r>
          <a:r>
            <a:rPr lang="en-AU" sz="1100">
              <a:effectLst/>
              <a:latin typeface="+mn-lt"/>
              <a:ea typeface="Times New Roman"/>
            </a:rPr>
            <a:t>refines gold produced in other States and Territories, gold from surrounding countries and also secondary gold, mainly from Asia.  </a:t>
          </a:r>
        </a:p>
        <a:p>
          <a:pPr>
            <a:spcAft>
              <a:spcPts val="0"/>
            </a:spcAft>
          </a:pPr>
          <a:r>
            <a:rPr lang="en-AU" sz="1100">
              <a:effectLst/>
              <a:latin typeface="+mn-lt"/>
              <a:ea typeface="Times New Roman"/>
            </a:rPr>
            <a:t>  </a:t>
          </a:r>
        </a:p>
        <a:p>
          <a:pPr>
            <a:spcAft>
              <a:spcPts val="0"/>
            </a:spcAft>
          </a:pPr>
          <a:r>
            <a:rPr lang="en-AU" sz="1100">
              <a:solidFill>
                <a:sysClr val="windowText" lastClr="000000"/>
              </a:solidFill>
              <a:effectLst/>
              <a:latin typeface="+mn-lt"/>
              <a:ea typeface="Times New Roman"/>
            </a:rPr>
            <a:t>The ABS estimates that gold exports from Western Australia in 2020-21</a:t>
          </a:r>
          <a:r>
            <a:rPr lang="en-AU" sz="1100" baseline="0">
              <a:solidFill>
                <a:sysClr val="windowText" lastClr="000000"/>
              </a:solidFill>
              <a:effectLst/>
              <a:latin typeface="+mn-lt"/>
              <a:ea typeface="Times New Roman"/>
            </a:rPr>
            <a:t> </a:t>
          </a:r>
          <a:r>
            <a:rPr lang="en-AU" sz="1100">
              <a:solidFill>
                <a:sysClr val="windowText" lastClr="000000"/>
              </a:solidFill>
              <a:effectLst/>
              <a:latin typeface="+mn-lt"/>
              <a:ea typeface="Times New Roman"/>
            </a:rPr>
            <a:t>amounted to approximately $22 billion.  Approximately 75 per cent or $16.6 billion was gold produced in Western Australia.  </a:t>
          </a:r>
        </a:p>
        <a:p>
          <a:pPr>
            <a:spcAft>
              <a:spcPts val="0"/>
            </a:spcAft>
          </a:pPr>
          <a:endParaRPr lang="en-AU" sz="1100">
            <a:solidFill>
              <a:sysClr val="windowText" lastClr="000000"/>
            </a:solidFill>
            <a:effectLst/>
            <a:latin typeface="+mn-lt"/>
            <a:ea typeface="Times New Roman"/>
          </a:endParaRPr>
        </a:p>
        <a:p>
          <a:pPr>
            <a:spcAft>
              <a:spcPts val="0"/>
            </a:spcAft>
          </a:pPr>
          <a:r>
            <a:rPr lang="en-AU" sz="1100">
              <a:solidFill>
                <a:sysClr val="windowText" lastClr="000000"/>
              </a:solidFill>
              <a:effectLst/>
              <a:latin typeface="+mn-lt"/>
              <a:ea typeface="Times New Roman"/>
            </a:rPr>
            <a:t>The remaining 25 per cent (approximately $5.4 billion) can </a:t>
          </a:r>
          <a:r>
            <a:rPr lang="en-AU" sz="1100">
              <a:solidFill>
                <a:schemeClr val="tx1"/>
              </a:solidFill>
              <a:effectLst/>
              <a:latin typeface="+mn-lt"/>
              <a:ea typeface="Times New Roman"/>
            </a:rPr>
            <a:t>be attributed to gold refined and exported from Western Australia but produced from mining operations in other States, Territories and overseas.</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Overseas imported gold also includes scrap which is refined in Western Australia and exported</a:t>
          </a:r>
          <a:r>
            <a:rPr lang="en-AU" sz="1050">
              <a:effectLst/>
              <a:latin typeface="+mn-lt"/>
              <a:ea typeface="Times New Roman"/>
            </a:rPr>
            <a:t>.  </a:t>
          </a:r>
        </a:p>
        <a:p>
          <a:pPr>
            <a:spcAft>
              <a:spcPts val="0"/>
            </a:spcAft>
          </a:pPr>
          <a:r>
            <a:rPr lang="en-AU" sz="1200">
              <a:effectLst/>
              <a:latin typeface="Times New Roman"/>
              <a:ea typeface="Times New Roman"/>
            </a:rPr>
            <a:t> </a:t>
          </a:r>
        </a:p>
      </xdr:txBody>
    </xdr:sp>
    <xdr:clientData/>
  </xdr:twoCellAnchor>
  <xdr:twoCellAnchor editAs="oneCell">
    <xdr:from>
      <xdr:col>0</xdr:col>
      <xdr:colOff>0</xdr:colOff>
      <xdr:row>0</xdr:row>
      <xdr:rowOff>0</xdr:rowOff>
    </xdr:from>
    <xdr:to>
      <xdr:col>4</xdr:col>
      <xdr:colOff>333995</xdr:colOff>
      <xdr:row>3</xdr:row>
      <xdr:rowOff>181080</xdr:rowOff>
    </xdr:to>
    <xdr:pic>
      <xdr:nvPicPr>
        <xdr:cNvPr id="7" name="Picture 6">
          <a:hlinkClick xmlns:r="http://schemas.openxmlformats.org/officeDocument/2006/relationships" r:id="rId2"/>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0.00057</cdr:x>
      <cdr:y>0.95295</cdr:y>
    </cdr:from>
    <cdr:to>
      <cdr:x>0.10676</cdr:x>
      <cdr:y>0.99971</cdr:y>
    </cdr:to>
    <cdr:sp macro="" textlink="">
      <cdr:nvSpPr>
        <cdr:cNvPr id="2" name="Text Box 1025"/>
        <cdr:cNvSpPr txBox="1">
          <a:spLocks xmlns:a="http://schemas.openxmlformats.org/drawingml/2006/main" noChangeArrowheads="1"/>
        </cdr:cNvSpPr>
      </cdr:nvSpPr>
      <cdr:spPr bwMode="auto">
        <a:xfrm xmlns:a="http://schemas.openxmlformats.org/drawingml/2006/main">
          <a:off x="3795" y="4193524"/>
          <a:ext cx="704988" cy="20577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32.xml><?xml version="1.0" encoding="utf-8"?>
<xdr:wsDr xmlns:xdr="http://schemas.openxmlformats.org/drawingml/2006/spreadsheetDrawing" xmlns:a="http://schemas.openxmlformats.org/drawingml/2006/main">
  <xdr:twoCellAnchor>
    <xdr:from>
      <xdr:col>5</xdr:col>
      <xdr:colOff>3363</xdr:colOff>
      <xdr:row>4</xdr:row>
      <xdr:rowOff>11205</xdr:rowOff>
    </xdr:from>
    <xdr:to>
      <xdr:col>14</xdr:col>
      <xdr:colOff>514350</xdr:colOff>
      <xdr:row>25</xdr:row>
      <xdr:rowOff>28574</xdr:rowOff>
    </xdr:to>
    <xdr:graphicFrame macro="">
      <xdr:nvGraphicFramePr>
        <xdr:cNvPr id="3" name="Chart 4">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20731</xdr:colOff>
      <xdr:row>25</xdr:row>
      <xdr:rowOff>133350</xdr:rowOff>
    </xdr:from>
    <xdr:to>
      <xdr:col>14</xdr:col>
      <xdr:colOff>523875</xdr:colOff>
      <xdr:row>46</xdr:row>
      <xdr:rowOff>0</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95870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14</xdr:col>
      <xdr:colOff>885825</xdr:colOff>
      <xdr:row>19</xdr:row>
      <xdr:rowOff>19050</xdr:rowOff>
    </xdr:from>
    <xdr:to>
      <xdr:col>18</xdr:col>
      <xdr:colOff>163045</xdr:colOff>
      <xdr:row>33</xdr:row>
      <xdr:rowOff>91888</xdr:rowOff>
    </xdr:to>
    <xdr:graphicFrame macro="">
      <xdr:nvGraphicFramePr>
        <xdr:cNvPr id="7" name="Chart 6">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cdr:x>
      <cdr:y>0.9595</cdr:y>
    </cdr:from>
    <cdr:to>
      <cdr:x>0.21742</cdr:x>
      <cdr:y>0.99995</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6078" y="3891692"/>
          <a:ext cx="1330878"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OoCE</a:t>
          </a:r>
        </a:p>
      </cdr:txBody>
    </cdr:sp>
  </cdr:relSizeAnchor>
</c:userShapes>
</file>

<file path=xl/drawings/drawing34.xml><?xml version="1.0" encoding="utf-8"?>
<c:userShapes xmlns:c="http://schemas.openxmlformats.org/drawingml/2006/chart">
  <cdr:relSizeAnchor xmlns:cdr="http://schemas.openxmlformats.org/drawingml/2006/chartDrawing">
    <cdr:from>
      <cdr:x>0</cdr:x>
      <cdr:y>0.92822</cdr:y>
    </cdr:from>
    <cdr:to>
      <cdr:x>0.3845</cdr:x>
      <cdr:y>0.98957</cdr:y>
    </cdr:to>
    <cdr:sp macro="" textlink="">
      <cdr:nvSpPr>
        <cdr:cNvPr id="2" name="TextBox 1"/>
        <cdr:cNvSpPr txBox="1"/>
      </cdr:nvSpPr>
      <cdr:spPr>
        <a:xfrm xmlns:a="http://schemas.openxmlformats.org/drawingml/2006/main">
          <a:off x="0" y="2543175"/>
          <a:ext cx="1476374" cy="16808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DMIRS and OoCE</a:t>
          </a:r>
          <a:endParaRPr lang="en-AU" sz="900" b="1">
            <a:effectLst/>
            <a:latin typeface="+mn-lt"/>
          </a:endParaRPr>
        </a:p>
        <a:p xmlns:a="http://schemas.openxmlformats.org/drawingml/2006/main">
          <a:endParaRPr lang="en-AU" sz="900"/>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572120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7</xdr:col>
      <xdr:colOff>320489</xdr:colOff>
      <xdr:row>5</xdr:row>
      <xdr:rowOff>179295</xdr:rowOff>
    </xdr:from>
    <xdr:to>
      <xdr:col>17</xdr:col>
      <xdr:colOff>68651</xdr:colOff>
      <xdr:row>27</xdr:row>
      <xdr:rowOff>89647</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361950</xdr:colOff>
      <xdr:row>32</xdr:row>
      <xdr:rowOff>123825</xdr:rowOff>
    </xdr:from>
    <xdr:to>
      <xdr:col>17</xdr:col>
      <xdr:colOff>89782</xdr:colOff>
      <xdr:row>54</xdr:row>
      <xdr:rowOff>47384</xdr:rowOff>
    </xdr:to>
    <xdr:graphicFrame macro="">
      <xdr:nvGraphicFramePr>
        <xdr:cNvPr id="5" name="Chart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38720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18</xdr:col>
      <xdr:colOff>47625</xdr:colOff>
      <xdr:row>22</xdr:row>
      <xdr:rowOff>180975</xdr:rowOff>
    </xdr:from>
    <xdr:to>
      <xdr:col>20</xdr:col>
      <xdr:colOff>906992</xdr:colOff>
      <xdr:row>25</xdr:row>
      <xdr:rowOff>66674</xdr:rowOff>
    </xdr:to>
    <xdr:sp macro="" textlink="">
      <xdr:nvSpPr>
        <xdr:cNvPr id="7" name="TextBox 6">
          <a:extLst>
            <a:ext uri="{FF2B5EF4-FFF2-40B4-BE49-F238E27FC236}">
              <a16:creationId xmlns:a16="http://schemas.microsoft.com/office/drawing/2014/main" id="{00000000-0008-0000-1700-000007000000}"/>
            </a:ext>
          </a:extLst>
        </xdr:cNvPr>
        <xdr:cNvSpPr txBox="1"/>
      </xdr:nvSpPr>
      <xdr:spPr>
        <a:xfrm>
          <a:off x="8924925" y="4419600"/>
          <a:ext cx="2878667" cy="457199"/>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Iron ore quantities reported in dry metric tonnes unless otherwise stated.</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495300</xdr:colOff>
      <xdr:row>7</xdr:row>
      <xdr:rowOff>14286</xdr:rowOff>
    </xdr:from>
    <xdr:to>
      <xdr:col>21</xdr:col>
      <xdr:colOff>58738</xdr:colOff>
      <xdr:row>24</xdr:row>
      <xdr:rowOff>161924</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495300</xdr:colOff>
      <xdr:row>26</xdr:row>
      <xdr:rowOff>180975</xdr:rowOff>
    </xdr:from>
    <xdr:to>
      <xdr:col>23</xdr:col>
      <xdr:colOff>449356</xdr:colOff>
      <xdr:row>52</xdr:row>
      <xdr:rowOff>123825</xdr:rowOff>
    </xdr:to>
    <xdr:graphicFrame macro="">
      <xdr:nvGraphicFramePr>
        <xdr:cNvPr id="4" name="Chart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343520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5</xdr:col>
      <xdr:colOff>406400</xdr:colOff>
      <xdr:row>40</xdr:row>
      <xdr:rowOff>150284</xdr:rowOff>
    </xdr:from>
    <xdr:to>
      <xdr:col>11</xdr:col>
      <xdr:colOff>321733</xdr:colOff>
      <xdr:row>46</xdr:row>
      <xdr:rowOff>19050</xdr:rowOff>
    </xdr:to>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7988300" y="7817909"/>
          <a:ext cx="2791883" cy="1011766"/>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annual average price prior to 2011 is the average realised price per tonne received by Western Australian producers. After January 2011, it is the average benchmark 62% CFR China spot price.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23</xdr:row>
      <xdr:rowOff>9525</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114920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9.xml><?xml version="1.0" encoding="utf-8"?>
<c:userShapes xmlns:c="http://schemas.openxmlformats.org/drawingml/2006/chart">
  <cdr:relSizeAnchor xmlns:cdr="http://schemas.openxmlformats.org/drawingml/2006/chartDrawing">
    <cdr:from>
      <cdr:x>0</cdr:x>
      <cdr:y>0.94824</cdr:y>
    </cdr:from>
    <cdr:to>
      <cdr:x>0.1256</cdr:x>
      <cdr:y>0.99521</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7</xdr:col>
      <xdr:colOff>617024</xdr:colOff>
      <xdr:row>2</xdr:row>
      <xdr:rowOff>162030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1224643" y="0"/>
          <a:ext cx="4439270" cy="7525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3</xdr:col>
      <xdr:colOff>260538</xdr:colOff>
      <xdr:row>5</xdr:row>
      <xdr:rowOff>161925</xdr:rowOff>
    </xdr:from>
    <xdr:to>
      <xdr:col>13</xdr:col>
      <xdr:colOff>9525</xdr:colOff>
      <xdr:row>25</xdr:row>
      <xdr:rowOff>38100</xdr:rowOff>
    </xdr:to>
    <xdr:graphicFrame macro="">
      <xdr:nvGraphicFramePr>
        <xdr:cNvPr id="3" name="Chart 4">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249331</xdr:colOff>
      <xdr:row>26</xdr:row>
      <xdr:rowOff>5042</xdr:rowOff>
    </xdr:from>
    <xdr:to>
      <xdr:col>12</xdr:col>
      <xdr:colOff>581025</xdr:colOff>
      <xdr:row>43</xdr:row>
      <xdr:rowOff>19050</xdr:rowOff>
    </xdr:to>
    <xdr:graphicFrame macro="">
      <xdr:nvGraphicFramePr>
        <xdr:cNvPr id="4" name="Chart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495920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3</xdr:col>
      <xdr:colOff>600075</xdr:colOff>
      <xdr:row>59</xdr:row>
      <xdr:rowOff>9525</xdr:rowOff>
    </xdr:from>
    <xdr:to>
      <xdr:col>8</xdr:col>
      <xdr:colOff>86845</xdr:colOff>
      <xdr:row>73</xdr:row>
      <xdr:rowOff>82363</xdr:rowOff>
    </xdr:to>
    <xdr:graphicFrame macro="">
      <xdr:nvGraphicFramePr>
        <xdr:cNvPr id="10" name="Chart 9">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cdr:x>
      <cdr:y>0.95305</cdr:y>
    </cdr:from>
    <cdr:to>
      <cdr:x>0.17922</cdr:x>
      <cdr:y>0.99744</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4208" y="3522171"/>
          <a:ext cx="1330878"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OoCE</a:t>
          </a:r>
        </a:p>
      </cdr:txBody>
    </cdr:sp>
  </cdr:relSizeAnchor>
</c:userShapes>
</file>

<file path=xl/drawings/drawing42.xml><?xml version="1.0" encoding="utf-8"?>
<c:userShapes xmlns:c="http://schemas.openxmlformats.org/drawingml/2006/chart">
  <cdr:relSizeAnchor xmlns:cdr="http://schemas.openxmlformats.org/drawingml/2006/chartDrawing">
    <cdr:from>
      <cdr:x>0</cdr:x>
      <cdr:y>0.9272</cdr:y>
    </cdr:from>
    <cdr:to>
      <cdr:x>0.34509</cdr:x>
      <cdr:y>0.98957</cdr:y>
    </cdr:to>
    <cdr:sp macro="" textlink="">
      <cdr:nvSpPr>
        <cdr:cNvPr id="2" name="TextBox 1"/>
        <cdr:cNvSpPr txBox="1"/>
      </cdr:nvSpPr>
      <cdr:spPr>
        <a:xfrm xmlns:a="http://schemas.openxmlformats.org/drawingml/2006/main">
          <a:off x="0" y="2540376"/>
          <a:ext cx="1420345" cy="17088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DMIRS and OoCE</a:t>
          </a:r>
          <a:endParaRPr lang="en-AU" sz="900" b="1">
            <a:effectLst/>
            <a:latin typeface="+mn-lt"/>
          </a:endParaRPr>
        </a:p>
        <a:p xmlns:a="http://schemas.openxmlformats.org/drawingml/2006/main">
          <a:endParaRPr lang="en-AU" sz="900"/>
        </a:p>
      </cdr:txBody>
    </cdr:sp>
  </cdr:relSizeAnchor>
</c:userShapes>
</file>

<file path=xl/drawings/drawing43.xml><?xml version="1.0" encoding="utf-8"?>
<xdr:wsDr xmlns:xdr="http://schemas.openxmlformats.org/drawingml/2006/spreadsheetDrawing" xmlns:a="http://schemas.openxmlformats.org/drawingml/2006/main">
  <xdr:twoCellAnchor>
    <xdr:from>
      <xdr:col>4</xdr:col>
      <xdr:colOff>0</xdr:colOff>
      <xdr:row>5</xdr:row>
      <xdr:rowOff>9526</xdr:rowOff>
    </xdr:from>
    <xdr:to>
      <xdr:col>10</xdr:col>
      <xdr:colOff>809626</xdr:colOff>
      <xdr:row>26</xdr:row>
      <xdr:rowOff>19051</xdr:rowOff>
    </xdr:to>
    <xdr:graphicFrame macro="">
      <xdr:nvGraphicFramePr>
        <xdr:cNvPr id="3" name="Chart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304800</xdr:colOff>
      <xdr:row>26</xdr:row>
      <xdr:rowOff>185738</xdr:rowOff>
    </xdr:from>
    <xdr:to>
      <xdr:col>10</xdr:col>
      <xdr:colOff>828675</xdr:colOff>
      <xdr:row>51</xdr:row>
      <xdr:rowOff>38101</xdr:rowOff>
    </xdr:to>
    <xdr:graphicFrame macro="">
      <xdr:nvGraphicFramePr>
        <xdr:cNvPr id="7" name="Chart 6">
          <a:extLst>
            <a:ext uri="{FF2B5EF4-FFF2-40B4-BE49-F238E27FC236}">
              <a16:creationId xmlns:a16="http://schemas.microsoft.com/office/drawing/2014/main" id="{00000000-0008-0000-1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1638920</xdr:colOff>
      <xdr:row>3</xdr:row>
      <xdr:rowOff>181080</xdr:rowOff>
    </xdr:to>
    <xdr:pic>
      <xdr:nvPicPr>
        <xdr:cNvPr id="9" name="Picture 8">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4</xdr:col>
      <xdr:colOff>28575</xdr:colOff>
      <xdr:row>50</xdr:row>
      <xdr:rowOff>28575</xdr:rowOff>
    </xdr:from>
    <xdr:to>
      <xdr:col>4</xdr:col>
      <xdr:colOff>1200150</xdr:colOff>
      <xdr:row>51</xdr:row>
      <xdr:rowOff>25114</xdr:rowOff>
    </xdr:to>
    <xdr:sp macro="" textlink="">
      <xdr:nvSpPr>
        <xdr:cNvPr id="6" name="Text Box 1025">
          <a:extLst>
            <a:ext uri="{FF2B5EF4-FFF2-40B4-BE49-F238E27FC236}">
              <a16:creationId xmlns:a16="http://schemas.microsoft.com/office/drawing/2014/main" id="{00000000-0008-0000-1B00-000006000000}"/>
            </a:ext>
          </a:extLst>
        </xdr:cNvPr>
        <xdr:cNvSpPr txBox="1">
          <a:spLocks noChangeArrowheads="1"/>
        </xdr:cNvSpPr>
      </xdr:nvSpPr>
      <xdr:spPr bwMode="auto">
        <a:xfrm>
          <a:off x="5000625" y="9601200"/>
          <a:ext cx="1171575" cy="187039"/>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900" b="1" i="0" u="none" strike="noStrike" baseline="0">
              <a:solidFill>
                <a:srgbClr val="000000"/>
              </a:solidFill>
              <a:latin typeface="+mn-lt"/>
              <a:cs typeface="Arial"/>
            </a:rPr>
            <a:t>Source:  China Customs</a:t>
          </a:r>
        </a:p>
      </xdr:txBody>
    </xdr:sp>
    <xdr:clientData/>
  </xdr:twoCellAnchor>
  <xdr:twoCellAnchor>
    <xdr:from>
      <xdr:col>12</xdr:col>
      <xdr:colOff>0</xdr:colOff>
      <xdr:row>38</xdr:row>
      <xdr:rowOff>0</xdr:rowOff>
    </xdr:from>
    <xdr:to>
      <xdr:col>15</xdr:col>
      <xdr:colOff>590550</xdr:colOff>
      <xdr:row>41</xdr:row>
      <xdr:rowOff>171450</xdr:rowOff>
    </xdr:to>
    <xdr:sp macro="" textlink="">
      <xdr:nvSpPr>
        <xdr:cNvPr id="10" name="Text Box 1">
          <a:extLst>
            <a:ext uri="{FF2B5EF4-FFF2-40B4-BE49-F238E27FC236}">
              <a16:creationId xmlns:a16="http://schemas.microsoft.com/office/drawing/2014/main" id="{00000000-0008-0000-1400-000006000000}"/>
            </a:ext>
          </a:extLst>
        </xdr:cNvPr>
        <xdr:cNvSpPr txBox="1"/>
      </xdr:nvSpPr>
      <xdr:spPr>
        <a:xfrm>
          <a:off x="14135100" y="7267575"/>
          <a:ext cx="3409950" cy="7429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China's</a:t>
          </a:r>
          <a:r>
            <a:rPr lang="en-AU" sz="1100" baseline="0">
              <a:effectLst/>
              <a:latin typeface="+mn-lt"/>
              <a:ea typeface="Times New Roman"/>
            </a:rPr>
            <a:t> iron ore import volumes by source nation are no longer available from China Customs. While rankings were previously determined by volumes, beginning with 2019-20 they are based on value.</a:t>
          </a:r>
          <a:endParaRPr lang="en-AU" sz="1050">
            <a:effectLst/>
            <a:latin typeface="+mn-lt"/>
            <a:ea typeface="Times New Roman"/>
          </a:endParaRPr>
        </a:p>
        <a:p>
          <a:pPr>
            <a:spcAft>
              <a:spcPts val="0"/>
            </a:spcAft>
          </a:pPr>
          <a:r>
            <a:rPr lang="en-AU" sz="1200">
              <a:effectLst/>
              <a:latin typeface="Times New Roman"/>
              <a:ea typeface="Times New Roman"/>
            </a:rPr>
            <a:t> </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4</xdr:col>
      <xdr:colOff>0</xdr:colOff>
      <xdr:row>4</xdr:row>
      <xdr:rowOff>190500</xdr:rowOff>
    </xdr:from>
    <xdr:to>
      <xdr:col>11</xdr:col>
      <xdr:colOff>9525</xdr:colOff>
      <xdr:row>26</xdr:row>
      <xdr:rowOff>4762</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295276</xdr:colOff>
      <xdr:row>27</xdr:row>
      <xdr:rowOff>23812</xdr:rowOff>
    </xdr:from>
    <xdr:to>
      <xdr:col>10</xdr:col>
      <xdr:colOff>781050</xdr:colOff>
      <xdr:row>52</xdr:row>
      <xdr:rowOff>39052</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1562720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13</xdr:col>
      <xdr:colOff>9526</xdr:colOff>
      <xdr:row>38</xdr:row>
      <xdr:rowOff>0</xdr:rowOff>
    </xdr:from>
    <xdr:to>
      <xdr:col>15</xdr:col>
      <xdr:colOff>609601</xdr:colOff>
      <xdr:row>41</xdr:row>
      <xdr:rowOff>171450</xdr:rowOff>
    </xdr:to>
    <xdr:sp macro="" textlink="">
      <xdr:nvSpPr>
        <xdr:cNvPr id="9" name="Text Box 1">
          <a:extLst>
            <a:ext uri="{FF2B5EF4-FFF2-40B4-BE49-F238E27FC236}">
              <a16:creationId xmlns:a16="http://schemas.microsoft.com/office/drawing/2014/main" id="{00000000-0008-0000-1400-000006000000}"/>
            </a:ext>
          </a:extLst>
        </xdr:cNvPr>
        <xdr:cNvSpPr txBox="1"/>
      </xdr:nvSpPr>
      <xdr:spPr>
        <a:xfrm>
          <a:off x="13506451" y="7277100"/>
          <a:ext cx="3409950" cy="7429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China's</a:t>
          </a:r>
          <a:r>
            <a:rPr lang="en-AU" sz="1100" baseline="0">
              <a:effectLst/>
              <a:latin typeface="+mn-lt"/>
              <a:ea typeface="Times New Roman"/>
            </a:rPr>
            <a:t> iron ore import volumes by source nation are no longer available from China Customs. While rankings were previously determined by volumes, beginning with 2019-20 they are based on value.</a:t>
          </a:r>
          <a:endParaRPr lang="en-AU" sz="1050">
            <a:effectLst/>
            <a:latin typeface="+mn-lt"/>
            <a:ea typeface="Times New Roman"/>
          </a:endParaRPr>
        </a:p>
        <a:p>
          <a:pPr>
            <a:spcAft>
              <a:spcPts val="0"/>
            </a:spcAft>
          </a:pPr>
          <a:r>
            <a:rPr lang="en-AU" sz="1200">
              <a:effectLst/>
              <a:latin typeface="Times New Roman"/>
              <a:ea typeface="Times New Roman"/>
            </a:rPr>
            <a:t> </a:t>
          </a:r>
        </a:p>
      </xdr:txBody>
    </xdr:sp>
    <xdr:clientData/>
  </xdr:twoCellAnchor>
</xdr:wsDr>
</file>

<file path=xl/drawings/drawing45.xml><?xml version="1.0" encoding="utf-8"?>
<c:userShapes xmlns:c="http://schemas.openxmlformats.org/drawingml/2006/chart">
  <cdr:relSizeAnchor xmlns:cdr="http://schemas.openxmlformats.org/drawingml/2006/chartDrawing">
    <cdr:from>
      <cdr:x>0</cdr:x>
      <cdr:y>0.95117</cdr:y>
    </cdr:from>
    <cdr:to>
      <cdr:x>0.15669</cdr:x>
      <cdr:y>0.99009</cdr:y>
    </cdr:to>
    <cdr:sp macro="" textlink="">
      <cdr:nvSpPr>
        <cdr:cNvPr id="2" name="Text Box 1025"/>
        <cdr:cNvSpPr txBox="1">
          <a:spLocks xmlns:a="http://schemas.openxmlformats.org/drawingml/2006/main" noChangeArrowheads="1"/>
        </cdr:cNvSpPr>
      </cdr:nvSpPr>
      <cdr:spPr bwMode="auto">
        <a:xfrm xmlns:a="http://schemas.openxmlformats.org/drawingml/2006/main">
          <a:off x="0" y="4571628"/>
          <a:ext cx="1261139" cy="18706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China Customs</a:t>
          </a:r>
        </a:p>
      </cdr:txBody>
    </cdr:sp>
  </cdr:relSizeAnchor>
</c:userShapes>
</file>

<file path=xl/drawings/drawing46.xml><?xml version="1.0" encoding="utf-8"?>
<xdr:wsDr xmlns:xdr="http://schemas.openxmlformats.org/drawingml/2006/spreadsheetDrawing" xmlns:a="http://schemas.openxmlformats.org/drawingml/2006/main">
  <xdr:twoCellAnchor>
    <xdr:from>
      <xdr:col>5</xdr:col>
      <xdr:colOff>323850</xdr:colOff>
      <xdr:row>7</xdr:row>
      <xdr:rowOff>38099</xdr:rowOff>
    </xdr:from>
    <xdr:to>
      <xdr:col>12</xdr:col>
      <xdr:colOff>523875</xdr:colOff>
      <xdr:row>28</xdr:row>
      <xdr:rowOff>133349</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327211</xdr:colOff>
      <xdr:row>29</xdr:row>
      <xdr:rowOff>96930</xdr:rowOff>
    </xdr:from>
    <xdr:to>
      <xdr:col>12</xdr:col>
      <xdr:colOff>483668</xdr:colOff>
      <xdr:row>51</xdr:row>
      <xdr:rowOff>39539</xdr:rowOff>
    </xdr:to>
    <xdr:graphicFrame macro="">
      <xdr:nvGraphicFramePr>
        <xdr:cNvPr id="4" name="Chart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895970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6</xdr:col>
      <xdr:colOff>438150</xdr:colOff>
      <xdr:row>53</xdr:row>
      <xdr:rowOff>9526</xdr:rowOff>
    </xdr:from>
    <xdr:to>
      <xdr:col>9</xdr:col>
      <xdr:colOff>466725</xdr:colOff>
      <xdr:row>57</xdr:row>
      <xdr:rowOff>85725</xdr:rowOff>
    </xdr:to>
    <xdr:sp macro="" textlink="">
      <xdr:nvSpPr>
        <xdr:cNvPr id="7" name="Text Box 1">
          <a:extLst>
            <a:ext uri="{FF2B5EF4-FFF2-40B4-BE49-F238E27FC236}">
              <a16:creationId xmlns:a16="http://schemas.microsoft.com/office/drawing/2014/main" id="{00000000-0008-0000-1D00-000007000000}"/>
            </a:ext>
          </a:extLst>
        </xdr:cNvPr>
        <xdr:cNvSpPr txBox="1"/>
      </xdr:nvSpPr>
      <xdr:spPr>
        <a:xfrm>
          <a:off x="4143375" y="10201276"/>
          <a:ext cx="3552825" cy="838199"/>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baseline="0">
              <a:effectLst/>
              <a:latin typeface="+mn-lt"/>
              <a:ea typeface="Times New Roman"/>
              <a:cs typeface="Arial" panose="020B0604020202020204" pitchFamily="34" charset="0"/>
            </a:rPr>
            <a:t>In order to create a consistent dataset, all direct shipped spodumene ore (commencing in the June quarter of 2017) is expressed as a "concentrate equivalent", assuming </a:t>
          </a:r>
          <a:r>
            <a:rPr lang="en-AU" sz="1100" baseline="0">
              <a:solidFill>
                <a:schemeClr val="dk1"/>
              </a:solidFill>
              <a:effectLst/>
              <a:latin typeface="+mn-lt"/>
              <a:ea typeface="+mn-ea"/>
              <a:cs typeface="Arial" panose="020B0604020202020204" pitchFamily="34" charset="0"/>
            </a:rPr>
            <a:t>six per cent lithium oxide </a:t>
          </a:r>
          <a:r>
            <a:rPr lang="en-AU" sz="1100" baseline="0">
              <a:effectLst/>
              <a:latin typeface="+mn-lt"/>
              <a:ea typeface="Times New Roman"/>
              <a:cs typeface="Arial" panose="020B0604020202020204" pitchFamily="34" charset="0"/>
            </a:rPr>
            <a:t>. </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763401</xdr:colOff>
      <xdr:row>7</xdr:row>
      <xdr:rowOff>19048</xdr:rowOff>
    </xdr:from>
    <xdr:to>
      <xdr:col>22</xdr:col>
      <xdr:colOff>1636</xdr:colOff>
      <xdr:row>31</xdr:row>
      <xdr:rowOff>40760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791974</xdr:colOff>
      <xdr:row>32</xdr:row>
      <xdr:rowOff>5183</xdr:rowOff>
    </xdr:from>
    <xdr:to>
      <xdr:col>21</xdr:col>
      <xdr:colOff>536480</xdr:colOff>
      <xdr:row>55</xdr:row>
      <xdr:rowOff>30957</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784051</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5</xdr:col>
      <xdr:colOff>206188</xdr:colOff>
      <xdr:row>7</xdr:row>
      <xdr:rowOff>190500</xdr:rowOff>
    </xdr:from>
    <xdr:to>
      <xdr:col>15</xdr:col>
      <xdr:colOff>19050</xdr:colOff>
      <xdr:row>29</xdr:row>
      <xdr:rowOff>61072</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209550</xdr:colOff>
      <xdr:row>31</xdr:row>
      <xdr:rowOff>152400</xdr:rowOff>
    </xdr:from>
    <xdr:to>
      <xdr:col>15</xdr:col>
      <xdr:colOff>9525</xdr:colOff>
      <xdr:row>50</xdr:row>
      <xdr:rowOff>9525</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410195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5</xdr:col>
      <xdr:colOff>466725</xdr:colOff>
      <xdr:row>52</xdr:row>
      <xdr:rowOff>66674</xdr:rowOff>
    </xdr:from>
    <xdr:to>
      <xdr:col>12</xdr:col>
      <xdr:colOff>209550</xdr:colOff>
      <xdr:row>56</xdr:row>
      <xdr:rowOff>142875</xdr:rowOff>
    </xdr:to>
    <xdr:sp macro="" textlink="">
      <xdr:nvSpPr>
        <xdr:cNvPr id="9" name="Text Box 1">
          <a:extLst>
            <a:ext uri="{FF2B5EF4-FFF2-40B4-BE49-F238E27FC236}">
              <a16:creationId xmlns:a16="http://schemas.microsoft.com/office/drawing/2014/main" id="{00000000-0008-0000-2100-000004000000}"/>
            </a:ext>
          </a:extLst>
        </xdr:cNvPr>
        <xdr:cNvSpPr txBox="1"/>
      </xdr:nvSpPr>
      <xdr:spPr>
        <a:xfrm>
          <a:off x="2895600" y="10058399"/>
          <a:ext cx="4391025" cy="838201"/>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baseline="0">
              <a:solidFill>
                <a:schemeClr val="dk1"/>
              </a:solidFill>
              <a:effectLst/>
              <a:latin typeface="+mn-lt"/>
              <a:ea typeface="+mn-ea"/>
              <a:cs typeface="+mn-cs"/>
            </a:rPr>
            <a:t>P</a:t>
          </a:r>
          <a:r>
            <a:rPr lang="en-AU" sz="1100">
              <a:solidFill>
                <a:schemeClr val="dk1"/>
              </a:solidFill>
              <a:effectLst/>
              <a:latin typeface="+mn-lt"/>
              <a:ea typeface="+mn-ea"/>
              <a:cs typeface="+mn-cs"/>
            </a:rPr>
            <a:t>rior</a:t>
          </a:r>
          <a:r>
            <a:rPr lang="en-AU" sz="1100" baseline="0">
              <a:solidFill>
                <a:schemeClr val="dk1"/>
              </a:solidFill>
              <a:effectLst/>
              <a:latin typeface="+mn-lt"/>
              <a:ea typeface="+mn-ea"/>
              <a:cs typeface="+mn-cs"/>
            </a:rPr>
            <a:t> to March 2014, m</a:t>
          </a:r>
          <a:r>
            <a:rPr lang="en-AU" sz="1100" baseline="0">
              <a:effectLst/>
              <a:latin typeface="+mn-lt"/>
              <a:ea typeface="Times New Roman"/>
            </a:rPr>
            <a:t>ineral sands quantities and values include higher volume, but lower value, ilmenite feedstock . From March 2014, they include low volume, but higher value, synthetic rutile (i.e. ilmenite converted into synthetic rutile).</a:t>
          </a:r>
          <a:endParaRPr lang="en-AU" sz="1100">
            <a:effectLst/>
            <a:latin typeface="+mn-lt"/>
            <a:ea typeface="Times New Roman"/>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15</xdr:col>
      <xdr:colOff>95250</xdr:colOff>
      <xdr:row>30</xdr:row>
      <xdr:rowOff>19050</xdr:rowOff>
    </xdr:from>
    <xdr:to>
      <xdr:col>27</xdr:col>
      <xdr:colOff>30256</xdr:colOff>
      <xdr:row>53</xdr:row>
      <xdr:rowOff>31936</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85724</xdr:colOff>
      <xdr:row>6</xdr:row>
      <xdr:rowOff>85724</xdr:rowOff>
    </xdr:from>
    <xdr:to>
      <xdr:col>27</xdr:col>
      <xdr:colOff>38100</xdr:colOff>
      <xdr:row>28</xdr:row>
      <xdr:rowOff>180975</xdr:rowOff>
    </xdr:to>
    <xdr:grpSp>
      <xdr:nvGrpSpPr>
        <xdr:cNvPr id="4" name="Group 3">
          <a:extLst>
            <a:ext uri="{FF2B5EF4-FFF2-40B4-BE49-F238E27FC236}">
              <a16:creationId xmlns:a16="http://schemas.microsoft.com/office/drawing/2014/main" id="{00000000-0008-0000-2000-000004000000}"/>
            </a:ext>
          </a:extLst>
        </xdr:cNvPr>
        <xdr:cNvGrpSpPr/>
      </xdr:nvGrpSpPr>
      <xdr:grpSpPr>
        <a:xfrm>
          <a:off x="8420099" y="1304924"/>
          <a:ext cx="7267576" cy="4295776"/>
          <a:chOff x="5095874" y="990599"/>
          <a:chExt cx="5953125" cy="3571875"/>
        </a:xfrm>
      </xdr:grpSpPr>
      <xdr:graphicFrame macro="">
        <xdr:nvGraphicFramePr>
          <xdr:cNvPr id="5" name="Chart 4">
            <a:extLst>
              <a:ext uri="{FF2B5EF4-FFF2-40B4-BE49-F238E27FC236}">
                <a16:creationId xmlns:a16="http://schemas.microsoft.com/office/drawing/2014/main" id="{00000000-0008-0000-2000-000005000000}"/>
              </a:ext>
            </a:extLst>
          </xdr:cNvPr>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TextBox 5">
            <a:extLst>
              <a:ext uri="{FF2B5EF4-FFF2-40B4-BE49-F238E27FC236}">
                <a16:creationId xmlns:a16="http://schemas.microsoft.com/office/drawing/2014/main" id="{00000000-0008-0000-2000-000006000000}"/>
              </a:ext>
            </a:extLst>
          </xdr:cNvPr>
          <xdr:cNvSpPr txBox="1"/>
        </xdr:nvSpPr>
        <xdr:spPr>
          <a:xfrm>
            <a:off x="5105399" y="4371975"/>
            <a:ext cx="160972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ABS</a:t>
            </a:r>
            <a:endParaRPr lang="en-AU" sz="900" b="1">
              <a:effectLst/>
              <a:latin typeface="+mn-lt"/>
            </a:endParaRPr>
          </a:p>
          <a:p>
            <a:endParaRPr lang="en-AU" sz="900"/>
          </a:p>
        </xdr:txBody>
      </xdr:sp>
    </xdr:grpSp>
    <xdr:clientData/>
  </xdr:twoCellAnchor>
  <xdr:twoCellAnchor editAs="oneCell">
    <xdr:from>
      <xdr:col>0</xdr:col>
      <xdr:colOff>0</xdr:colOff>
      <xdr:row>0</xdr:row>
      <xdr:rowOff>0</xdr:rowOff>
    </xdr:from>
    <xdr:to>
      <xdr:col>7</xdr:col>
      <xdr:colOff>448295</xdr:colOff>
      <xdr:row>3</xdr:row>
      <xdr:rowOff>181080</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165668</xdr:colOff>
      <xdr:row>83</xdr:row>
      <xdr:rowOff>163285</xdr:rowOff>
    </xdr:from>
    <xdr:to>
      <xdr:col>21</xdr:col>
      <xdr:colOff>304226</xdr:colOff>
      <xdr:row>111</xdr:row>
      <xdr:rowOff>51077</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192180</xdr:colOff>
      <xdr:row>49</xdr:row>
      <xdr:rowOff>8626</xdr:rowOff>
    </xdr:from>
    <xdr:to>
      <xdr:col>21</xdr:col>
      <xdr:colOff>337157</xdr:colOff>
      <xdr:row>83</xdr:row>
      <xdr:rowOff>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4414777</xdr:colOff>
      <xdr:row>2</xdr:row>
      <xdr:rowOff>349168</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0</xdr:col>
      <xdr:colOff>168088</xdr:colOff>
      <xdr:row>89</xdr:row>
      <xdr:rowOff>112058</xdr:rowOff>
    </xdr:from>
    <xdr:to>
      <xdr:col>1</xdr:col>
      <xdr:colOff>782732</xdr:colOff>
      <xdr:row>96</xdr:row>
      <xdr:rowOff>123825</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68088" y="17380883"/>
          <a:ext cx="5129494" cy="1345267"/>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Quantities used in this table only apply to Minerals and Petroleum covered by the Mining Act 1978 , the Petroleum and Geothermal Energy Resources Act 1967, the Petroleum (Submerged Lands) Act 1982, the Offshore Petroleum Act 2006 and relevant State Agreement Acts.</a:t>
          </a:r>
        </a:p>
        <a:p>
          <a:endParaRPr lang="en-AU" sz="1100"/>
        </a:p>
        <a:p>
          <a:r>
            <a:rPr lang="en-AU" sz="1100"/>
            <a:t>Some values for staurolite, garnet, manganese, talc, vanadium, tantalite,</a:t>
          </a:r>
          <a:r>
            <a:rPr lang="en-AU" sz="1100" baseline="0"/>
            <a:t> tin, </a:t>
          </a:r>
          <a:r>
            <a:rPr lang="en-AU" sz="1100"/>
            <a:t>and rare earths,</a:t>
          </a:r>
          <a:r>
            <a:rPr lang="en-AU" sz="1100" baseline="0"/>
            <a:t> </a:t>
          </a:r>
          <a:r>
            <a:rPr lang="en-AU" sz="1100"/>
            <a:t>not available due to confidentiality.</a:t>
          </a:r>
        </a:p>
      </xdr:txBody>
    </xdr:sp>
    <xdr:clientData/>
  </xdr:twoCellAnchor>
  <xdr:twoCellAnchor>
    <xdr:from>
      <xdr:col>12</xdr:col>
      <xdr:colOff>178594</xdr:colOff>
      <xdr:row>27</xdr:row>
      <xdr:rowOff>178595</xdr:rowOff>
    </xdr:from>
    <xdr:to>
      <xdr:col>21</xdr:col>
      <xdr:colOff>333375</xdr:colOff>
      <xdr:row>47</xdr:row>
      <xdr:rowOff>158116</xdr:rowOff>
    </xdr:to>
    <xdr:graphicFrame macro="">
      <xdr:nvGraphicFramePr>
        <xdr:cNvPr id="9" name="Chart 8">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6</xdr:col>
      <xdr:colOff>57150</xdr:colOff>
      <xdr:row>2</xdr:row>
      <xdr:rowOff>152399</xdr:rowOff>
    </xdr:from>
    <xdr:to>
      <xdr:col>12</xdr:col>
      <xdr:colOff>361950</xdr:colOff>
      <xdr:row>24</xdr:row>
      <xdr:rowOff>19049</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848345</xdr:colOff>
      <xdr:row>3</xdr:row>
      <xdr:rowOff>181080</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6</xdr:col>
      <xdr:colOff>76200</xdr:colOff>
      <xdr:row>23</xdr:row>
      <xdr:rowOff>47625</xdr:rowOff>
    </xdr:from>
    <xdr:to>
      <xdr:col>6</xdr:col>
      <xdr:colOff>933450</xdr:colOff>
      <xdr:row>24</xdr:row>
      <xdr:rowOff>44164</xdr:rowOff>
    </xdr:to>
    <xdr:sp macro="" textlink="">
      <xdr:nvSpPr>
        <xdr:cNvPr id="6" name="Text Box 1025">
          <a:extLst>
            <a:ext uri="{FF2B5EF4-FFF2-40B4-BE49-F238E27FC236}">
              <a16:creationId xmlns:a16="http://schemas.microsoft.com/office/drawing/2014/main" id="{00000000-0008-0000-2100-000006000000}"/>
            </a:ext>
          </a:extLst>
        </xdr:cNvPr>
        <xdr:cNvSpPr txBox="1">
          <a:spLocks noChangeArrowheads="1"/>
        </xdr:cNvSpPr>
      </xdr:nvSpPr>
      <xdr:spPr bwMode="auto">
        <a:xfrm>
          <a:off x="5848350" y="4572000"/>
          <a:ext cx="857250" cy="187039"/>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900" b="1" i="0" u="none" strike="noStrike" baseline="0">
              <a:solidFill>
                <a:srgbClr val="000000"/>
              </a:solidFill>
              <a:latin typeface="+mn-lt"/>
              <a:cs typeface="Arial"/>
            </a:rPr>
            <a:t>Source:  DMIRS</a:t>
          </a:r>
        </a:p>
      </xdr:txBody>
    </xdr:sp>
    <xdr:clientData/>
  </xdr:twoCellAnchor>
  <xdr:twoCellAnchor>
    <xdr:from>
      <xdr:col>6</xdr:col>
      <xdr:colOff>57150</xdr:colOff>
      <xdr:row>27</xdr:row>
      <xdr:rowOff>9525</xdr:rowOff>
    </xdr:from>
    <xdr:to>
      <xdr:col>11</xdr:col>
      <xdr:colOff>133350</xdr:colOff>
      <xdr:row>34</xdr:row>
      <xdr:rowOff>0</xdr:rowOff>
    </xdr:to>
    <xdr:sp macro="" textlink="">
      <xdr:nvSpPr>
        <xdr:cNvPr id="7" name="Text Box 1">
          <a:extLst>
            <a:ext uri="{FF2B5EF4-FFF2-40B4-BE49-F238E27FC236}">
              <a16:creationId xmlns:a16="http://schemas.microsoft.com/office/drawing/2014/main" id="{00000000-0008-0000-2100-000004000000}"/>
            </a:ext>
          </a:extLst>
        </xdr:cNvPr>
        <xdr:cNvSpPr txBox="1"/>
      </xdr:nvSpPr>
      <xdr:spPr>
        <a:xfrm>
          <a:off x="6181725" y="5467350"/>
          <a:ext cx="5219700" cy="1323975"/>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Western Australian export trade data shows exports of mineral sands that are significantly higher than the value of mineral sands</a:t>
          </a:r>
          <a:r>
            <a:rPr lang="en-AU" sz="1100" baseline="0">
              <a:effectLst/>
              <a:latin typeface="+mn-lt"/>
              <a:ea typeface="Times New Roman"/>
            </a:rPr>
            <a:t> sales</a:t>
          </a:r>
          <a:r>
            <a:rPr lang="en-AU" sz="1100">
              <a:effectLst/>
              <a:latin typeface="+mn-lt"/>
              <a:ea typeface="Times New Roman"/>
            </a:rPr>
            <a:t> in the state. This disparity is the result of:</a:t>
          </a:r>
        </a:p>
        <a:p>
          <a:pPr marL="0" marR="0" indent="0" defTabSz="914400" eaLnBrk="1" fontAlgn="auto" latinLnBrk="0" hangingPunct="1">
            <a:lnSpc>
              <a:spcPct val="100000"/>
            </a:lnSpc>
            <a:spcBef>
              <a:spcPts val="0"/>
            </a:spcBef>
            <a:spcAft>
              <a:spcPts val="0"/>
            </a:spcAft>
            <a:buClrTx/>
            <a:buSzTx/>
            <a:buFontTx/>
            <a:buNone/>
            <a:tabLst/>
            <a:defRPr/>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a:effectLst/>
              <a:latin typeface="+mn-lt"/>
              <a:ea typeface="Times New Roman"/>
            </a:rPr>
            <a:t>The use of Western</a:t>
          </a:r>
          <a:r>
            <a:rPr lang="en-AU" sz="1100" baseline="0">
              <a:effectLst/>
              <a:latin typeface="+mn-lt"/>
              <a:ea typeface="Times New Roman"/>
            </a:rPr>
            <a:t> Australian mineral sand refining and export capacity for mineral sands produced outside the state, and;</a:t>
          </a:r>
        </a:p>
        <a:p>
          <a:pPr>
            <a:spcAft>
              <a:spcPts val="0"/>
            </a:spcAft>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baseline="0">
              <a:effectLst/>
              <a:latin typeface="+mn-lt"/>
              <a:ea typeface="Times New Roman"/>
            </a:rPr>
            <a:t>The export of mineral sand products from projects on Minerals to Owner land (i.e. land granted before 1899) that do not report their production to the state.</a:t>
          </a:r>
          <a:endParaRPr lang="en-AU" sz="1100">
            <a:effectLst/>
            <a:latin typeface="+mn-lt"/>
            <a:ea typeface="Times New Roman"/>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3</xdr:col>
      <xdr:colOff>287431</xdr:colOff>
      <xdr:row>27</xdr:row>
      <xdr:rowOff>28575</xdr:rowOff>
    </xdr:from>
    <xdr:to>
      <xdr:col>14</xdr:col>
      <xdr:colOff>419100</xdr:colOff>
      <xdr:row>48</xdr:row>
      <xdr:rowOff>6722</xdr:rowOff>
    </xdr:to>
    <xdr:graphicFrame macro="">
      <xdr:nvGraphicFramePr>
        <xdr:cNvPr id="4" name="Chart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353045</xdr:colOff>
      <xdr:row>3</xdr:row>
      <xdr:rowOff>181080</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3</xdr:col>
      <xdr:colOff>266700</xdr:colOff>
      <xdr:row>5</xdr:row>
      <xdr:rowOff>19050</xdr:rowOff>
    </xdr:from>
    <xdr:to>
      <xdr:col>14</xdr:col>
      <xdr:colOff>398369</xdr:colOff>
      <xdr:row>25</xdr:row>
      <xdr:rowOff>178172</xdr:rowOff>
    </xdr:to>
    <xdr:graphicFrame macro="">
      <xdr:nvGraphicFramePr>
        <xdr:cNvPr id="8" name="Chart 7">
          <a:extLst>
            <a:ext uri="{FF2B5EF4-FFF2-40B4-BE49-F238E27FC236}">
              <a16:creationId xmlns:a16="http://schemas.microsoft.com/office/drawing/2014/main" id="{00000000-0008-0000-2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76199</xdr:colOff>
      <xdr:row>71</xdr:row>
      <xdr:rowOff>161926</xdr:rowOff>
    </xdr:from>
    <xdr:to>
      <xdr:col>2</xdr:col>
      <xdr:colOff>1952625</xdr:colOff>
      <xdr:row>74</xdr:row>
      <xdr:rowOff>28575</xdr:rowOff>
    </xdr:to>
    <xdr:sp macro="" textlink="">
      <xdr:nvSpPr>
        <xdr:cNvPr id="5" name="Text Box 1">
          <a:extLst>
            <a:ext uri="{FF2B5EF4-FFF2-40B4-BE49-F238E27FC236}">
              <a16:creationId xmlns:a16="http://schemas.microsoft.com/office/drawing/2014/main" id="{00000000-0008-0000-2100-000004000000}"/>
            </a:ext>
          </a:extLst>
        </xdr:cNvPr>
        <xdr:cNvSpPr txBox="1"/>
      </xdr:nvSpPr>
      <xdr:spPr>
        <a:xfrm>
          <a:off x="76199" y="13792201"/>
          <a:ext cx="4000501" cy="438149"/>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The value of mineral sands production for the Rest of Australia is</a:t>
          </a:r>
          <a:r>
            <a:rPr lang="en-AU" sz="1100" baseline="0">
              <a:effectLst/>
              <a:latin typeface="+mn-lt"/>
              <a:ea typeface="Times New Roman"/>
            </a:rPr>
            <a:t> no longer available.</a:t>
          </a:r>
          <a:endParaRPr lang="en-AU" sz="1100">
            <a:effectLst/>
            <a:latin typeface="+mn-lt"/>
            <a:ea typeface="Times New Roman"/>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333375</xdr:colOff>
      <xdr:row>6</xdr:row>
      <xdr:rowOff>17371</xdr:rowOff>
    </xdr:from>
    <xdr:to>
      <xdr:col>14</xdr:col>
      <xdr:colOff>561975</xdr:colOff>
      <xdr:row>25</xdr:row>
      <xdr:rowOff>114301</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314325</xdr:colOff>
      <xdr:row>26</xdr:row>
      <xdr:rowOff>85725</xdr:rowOff>
    </xdr:from>
    <xdr:to>
      <xdr:col>14</xdr:col>
      <xdr:colOff>542925</xdr:colOff>
      <xdr:row>46</xdr:row>
      <xdr:rowOff>0</xdr:rowOff>
    </xdr:to>
    <xdr:graphicFrame macro="">
      <xdr:nvGraphicFramePr>
        <xdr:cNvPr id="5" name="Chart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524495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13</xdr:col>
      <xdr:colOff>152400</xdr:colOff>
      <xdr:row>6</xdr:row>
      <xdr:rowOff>14286</xdr:rowOff>
    </xdr:from>
    <xdr:to>
      <xdr:col>22</xdr:col>
      <xdr:colOff>325438</xdr:colOff>
      <xdr:row>23</xdr:row>
      <xdr:rowOff>161924</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142875</xdr:colOff>
      <xdr:row>25</xdr:row>
      <xdr:rowOff>19051</xdr:rowOff>
    </xdr:from>
    <xdr:to>
      <xdr:col>22</xdr:col>
      <xdr:colOff>333375</xdr:colOff>
      <xdr:row>48</xdr:row>
      <xdr:rowOff>57150</xdr:rowOff>
    </xdr:to>
    <xdr:graphicFrame macro="">
      <xdr:nvGraphicFramePr>
        <xdr:cNvPr id="4" name="Chart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448295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962025</xdr:colOff>
      <xdr:row>23</xdr:row>
      <xdr:rowOff>180975</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86345</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6</xdr:col>
      <xdr:colOff>28575</xdr:colOff>
      <xdr:row>25</xdr:row>
      <xdr:rowOff>114300</xdr:rowOff>
    </xdr:from>
    <xdr:to>
      <xdr:col>11</xdr:col>
      <xdr:colOff>104775</xdr:colOff>
      <xdr:row>30</xdr:row>
      <xdr:rowOff>95250</xdr:rowOff>
    </xdr:to>
    <xdr:sp macro="" textlink="">
      <xdr:nvSpPr>
        <xdr:cNvPr id="5" name="Text Box 1">
          <a:extLst>
            <a:ext uri="{FF2B5EF4-FFF2-40B4-BE49-F238E27FC236}">
              <a16:creationId xmlns:a16="http://schemas.microsoft.com/office/drawing/2014/main" id="{00000000-0008-0000-2600-000005000000}"/>
            </a:ext>
          </a:extLst>
        </xdr:cNvPr>
        <xdr:cNvSpPr txBox="1"/>
      </xdr:nvSpPr>
      <xdr:spPr>
        <a:xfrm>
          <a:off x="7705725" y="5057775"/>
          <a:ext cx="5219700" cy="9334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Exports of nickel are sometimes higher than the value of nickel sales in this state. This disparity is due, in part, to the use of Western Australian nickel refining and export capacity for nickel ores and concentrates produced overseas and the timing of sales for royalty purposes vs</a:t>
          </a:r>
          <a:r>
            <a:rPr lang="en-AU" sz="1100" baseline="0">
              <a:effectLst/>
              <a:latin typeface="+mn-lt"/>
              <a:ea typeface="Times New Roman"/>
            </a:rPr>
            <a:t> exports. It may also include cobalt and platinum and palladium by-products.</a:t>
          </a:r>
          <a:endParaRPr lang="en-AU" sz="1100">
            <a:effectLst/>
            <a:latin typeface="+mn-lt"/>
            <a:ea typeface="Times New Roman"/>
          </a:endParaRP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0.00818</cdr:x>
      <cdr:y>0.94961</cdr:y>
    </cdr:from>
    <cdr:to>
      <cdr:x>0.13995</cdr:x>
      <cdr:y>0.99424</cdr:y>
    </cdr:to>
    <cdr:sp macro="" textlink="">
      <cdr:nvSpPr>
        <cdr:cNvPr id="2" name="Text Box 1025"/>
        <cdr:cNvSpPr txBox="1">
          <a:spLocks xmlns:a="http://schemas.openxmlformats.org/drawingml/2006/main" noChangeArrowheads="1"/>
        </cdr:cNvSpPr>
      </cdr:nvSpPr>
      <cdr:spPr bwMode="auto">
        <a:xfrm xmlns:a="http://schemas.openxmlformats.org/drawingml/2006/main">
          <a:off x="49467" y="3979818"/>
          <a:ext cx="797013"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a:t>
          </a:r>
        </a:p>
      </cdr:txBody>
    </cdr:sp>
  </cdr:relSizeAnchor>
</c:userShapes>
</file>

<file path=xl/drawings/drawing56.xml><?xml version="1.0" encoding="utf-8"?>
<xdr:wsDr xmlns:xdr="http://schemas.openxmlformats.org/drawingml/2006/spreadsheetDrawing" xmlns:a="http://schemas.openxmlformats.org/drawingml/2006/main">
  <xdr:twoCellAnchor>
    <xdr:from>
      <xdr:col>5</xdr:col>
      <xdr:colOff>12888</xdr:colOff>
      <xdr:row>5</xdr:row>
      <xdr:rowOff>28575</xdr:rowOff>
    </xdr:from>
    <xdr:to>
      <xdr:col>18</xdr:col>
      <xdr:colOff>19050</xdr:colOff>
      <xdr:row>25</xdr:row>
      <xdr:rowOff>0</xdr:rowOff>
    </xdr:to>
    <xdr:graphicFrame macro="">
      <xdr:nvGraphicFramePr>
        <xdr:cNvPr id="3" name="Chart 4">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106456</xdr:colOff>
      <xdr:row>26</xdr:row>
      <xdr:rowOff>190499</xdr:rowOff>
    </xdr:from>
    <xdr:to>
      <xdr:col>13</xdr:col>
      <xdr:colOff>285750</xdr:colOff>
      <xdr:row>49</xdr:row>
      <xdr:rowOff>6721</xdr:rowOff>
    </xdr:to>
    <xdr:graphicFrame macro="">
      <xdr:nvGraphicFramePr>
        <xdr:cNvPr id="4" name="Chart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124445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0.01642</cdr:x>
      <cdr:y>0.94789</cdr:y>
    </cdr:from>
    <cdr:to>
      <cdr:x>0.2461</cdr:x>
      <cdr:y>0.99722</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90204" y="3593388"/>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a:t>
          </a:r>
          <a:r>
            <a:rPr lang="en-AU" sz="900" b="1" i="0" baseline="0">
              <a:effectLst/>
              <a:latin typeface="+mn-lt"/>
              <a:ea typeface="+mn-ea"/>
              <a:cs typeface="+mn-cs"/>
            </a:rPr>
            <a:t>IRS</a:t>
          </a:r>
          <a:r>
            <a:rPr lang="en-AU" sz="900" b="1" i="0" u="none" strike="noStrike" baseline="0">
              <a:solidFill>
                <a:srgbClr val="000000"/>
              </a:solidFill>
              <a:latin typeface="+mn-lt"/>
              <a:cs typeface="Arial"/>
            </a:rPr>
            <a:t> and OoCE</a:t>
          </a:r>
        </a:p>
      </cdr:txBody>
    </cdr:sp>
  </cdr:relSizeAnchor>
</c:userShapes>
</file>

<file path=xl/drawings/drawing58.xml><?xml version="1.0" encoding="utf-8"?>
<xdr:wsDr xmlns:xdr="http://schemas.openxmlformats.org/drawingml/2006/spreadsheetDrawing" xmlns:a="http://schemas.openxmlformats.org/drawingml/2006/main">
  <xdr:twoCellAnchor>
    <xdr:from>
      <xdr:col>19</xdr:col>
      <xdr:colOff>571499</xdr:colOff>
      <xdr:row>7</xdr:row>
      <xdr:rowOff>200738</xdr:rowOff>
    </xdr:from>
    <xdr:to>
      <xdr:col>30</xdr:col>
      <xdr:colOff>154375</xdr:colOff>
      <xdr:row>29</xdr:row>
      <xdr:rowOff>70597</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573500</xdr:colOff>
      <xdr:row>30</xdr:row>
      <xdr:rowOff>200024</xdr:rowOff>
    </xdr:from>
    <xdr:to>
      <xdr:col>30</xdr:col>
      <xdr:colOff>131645</xdr:colOff>
      <xdr:row>52</xdr:row>
      <xdr:rowOff>161924</xdr:rowOff>
    </xdr:to>
    <xdr:graphicFrame macro="">
      <xdr:nvGraphicFramePr>
        <xdr:cNvPr id="4" name="Chart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962645</xdr:colOff>
      <xdr:row>3</xdr:row>
      <xdr:rowOff>104880</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9</xdr:col>
      <xdr:colOff>139513</xdr:colOff>
      <xdr:row>19</xdr:row>
      <xdr:rowOff>158563</xdr:rowOff>
    </xdr:from>
    <xdr:to>
      <xdr:col>18</xdr:col>
      <xdr:colOff>392205</xdr:colOff>
      <xdr:row>41</xdr:row>
      <xdr:rowOff>179294</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171450</xdr:colOff>
      <xdr:row>42</xdr:row>
      <xdr:rowOff>161925</xdr:rowOff>
    </xdr:from>
    <xdr:to>
      <xdr:col>18</xdr:col>
      <xdr:colOff>411952</xdr:colOff>
      <xdr:row>64</xdr:row>
      <xdr:rowOff>97810</xdr:rowOff>
    </xdr:to>
    <xdr:graphicFrame macro="">
      <xdr:nvGraphicFramePr>
        <xdr:cNvPr id="6" name="Chart 5">
          <a:extLst>
            <a:ext uri="{FF2B5EF4-FFF2-40B4-BE49-F238E27FC236}">
              <a16:creationId xmlns:a16="http://schemas.microsoft.com/office/drawing/2014/main" id="{00000000-0008-0000-2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361390</xdr:colOff>
      <xdr:row>6</xdr:row>
      <xdr:rowOff>176492</xdr:rowOff>
    </xdr:from>
    <xdr:to>
      <xdr:col>18</xdr:col>
      <xdr:colOff>99172</xdr:colOff>
      <xdr:row>16</xdr:row>
      <xdr:rowOff>66675</xdr:rowOff>
    </xdr:to>
    <xdr:sp macro="" textlink="">
      <xdr:nvSpPr>
        <xdr:cNvPr id="7" name="Text Box 1">
          <a:extLst>
            <a:ext uri="{FF2B5EF4-FFF2-40B4-BE49-F238E27FC236}">
              <a16:creationId xmlns:a16="http://schemas.microsoft.com/office/drawing/2014/main" id="{00000000-0008-0000-2800-000007000000}"/>
            </a:ext>
          </a:extLst>
        </xdr:cNvPr>
        <xdr:cNvSpPr txBox="1"/>
      </xdr:nvSpPr>
      <xdr:spPr>
        <a:xfrm>
          <a:off x="6886015" y="1329017"/>
          <a:ext cx="5224182" cy="1823758"/>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n-AU" sz="1100">
              <a:solidFill>
                <a:schemeClr val="dk1"/>
              </a:solidFill>
              <a:effectLst/>
              <a:latin typeface="+mn-lt"/>
              <a:ea typeface="+mn-ea"/>
              <a:cs typeface="+mn-cs"/>
            </a:rPr>
            <a:t>As a result of changes in information sharing practices, the State Government no longer has access for statistical purposes to sales quantity and</a:t>
          </a:r>
          <a:r>
            <a:rPr lang="en-AU" sz="1100" baseline="0">
              <a:solidFill>
                <a:schemeClr val="dk1"/>
              </a:solidFill>
              <a:effectLst/>
              <a:latin typeface="+mn-lt"/>
              <a:ea typeface="+mn-ea"/>
              <a:cs typeface="+mn-cs"/>
            </a:rPr>
            <a:t> value </a:t>
          </a:r>
          <a:r>
            <a:rPr lang="en-AU" sz="1100">
              <a:solidFill>
                <a:schemeClr val="dk1"/>
              </a:solidFill>
              <a:effectLst/>
              <a:latin typeface="+mn-lt"/>
              <a:ea typeface="+mn-ea"/>
              <a:cs typeface="+mn-cs"/>
            </a:rPr>
            <a:t>data relating to Western Australian offshore petroleum fields administered by the Commonwealth Government. </a:t>
          </a:r>
          <a:endParaRPr lang="en-AU">
            <a:effectLst/>
          </a:endParaRPr>
        </a:p>
        <a:p>
          <a:r>
            <a:rPr lang="en-AU" sz="1100">
              <a:solidFill>
                <a:schemeClr val="dk1"/>
              </a:solidFill>
              <a:effectLst/>
              <a:latin typeface="+mn-lt"/>
              <a:ea typeface="+mn-ea"/>
              <a:cs typeface="+mn-cs"/>
            </a:rPr>
            <a:t> </a:t>
          </a:r>
          <a:endParaRPr lang="en-AU">
            <a:effectLst/>
          </a:endParaRPr>
        </a:p>
        <a:p>
          <a:r>
            <a:rPr lang="en-AU" sz="1100">
              <a:solidFill>
                <a:schemeClr val="dk1"/>
              </a:solidFill>
              <a:effectLst/>
              <a:latin typeface="+mn-lt"/>
              <a:ea typeface="+mn-ea"/>
              <a:cs typeface="+mn-cs"/>
            </a:rPr>
            <a:t>While DMIRS was able to source alternative data, it is not comparable with the data previously provided by the Commonwealth Government.</a:t>
          </a:r>
        </a:p>
        <a:p>
          <a:endParaRPr lang="en-AU">
            <a:effectLst/>
          </a:endParaRPr>
        </a:p>
        <a:p>
          <a:r>
            <a:rPr lang="en-AU" sz="1100">
              <a:solidFill>
                <a:schemeClr val="dk1"/>
              </a:solidFill>
              <a:effectLst/>
              <a:latin typeface="+mn-lt"/>
              <a:ea typeface="+mn-ea"/>
              <a:cs typeface="+mn-cs"/>
            </a:rPr>
            <a:t>From Q1 2016, DMIRS has relied on externally sourced production data from Energy</a:t>
          </a:r>
          <a:r>
            <a:rPr lang="en-AU" sz="1100" baseline="0">
              <a:solidFill>
                <a:schemeClr val="dk1"/>
              </a:solidFill>
              <a:effectLst/>
              <a:latin typeface="+mn-lt"/>
              <a:ea typeface="+mn-ea"/>
              <a:cs typeface="+mn-cs"/>
            </a:rPr>
            <a:t> Quest and Woodside, with </a:t>
          </a:r>
          <a:r>
            <a:rPr lang="en-AU" sz="1100">
              <a:solidFill>
                <a:schemeClr val="dk1"/>
              </a:solidFill>
              <a:effectLst/>
              <a:latin typeface="+mn-lt"/>
              <a:ea typeface="+mn-ea"/>
              <a:cs typeface="+mn-cs"/>
            </a:rPr>
            <a:t>estimates made of the value of production, based on total production and prevailing market prices at the time.</a:t>
          </a:r>
          <a:endParaRPr lang="en-AU">
            <a:effectLst/>
          </a:endParaRPr>
        </a:p>
      </xdr:txBody>
    </xdr:sp>
    <xdr:clientData/>
  </xdr:twoCellAnchor>
  <xdr:twoCellAnchor editAs="oneCell">
    <xdr:from>
      <xdr:col>0</xdr:col>
      <xdr:colOff>0</xdr:colOff>
      <xdr:row>0</xdr:row>
      <xdr:rowOff>0</xdr:rowOff>
    </xdr:from>
    <xdr:to>
      <xdr:col>4</xdr:col>
      <xdr:colOff>981695</xdr:colOff>
      <xdr:row>3</xdr:row>
      <xdr:rowOff>181080</xdr:rowOff>
    </xdr:to>
    <xdr:pic>
      <xdr:nvPicPr>
        <xdr:cNvPr id="8" name="Picture 7">
          <a:hlinkClick xmlns:r="http://schemas.openxmlformats.org/officeDocument/2006/relationships" r:id="rId3"/>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cdr:x>
      <cdr:y>0.96589</cdr:y>
    </cdr:from>
    <cdr:to>
      <cdr:x>0.27228</cdr:x>
      <cdr:y>0.99985</cdr:y>
    </cdr:to>
    <cdr:sp macro="" textlink="">
      <cdr:nvSpPr>
        <cdr:cNvPr id="2" name="Text Box 1"/>
        <cdr:cNvSpPr txBox="1">
          <a:spLocks xmlns:a="http://schemas.openxmlformats.org/drawingml/2006/main" noChangeArrowheads="1"/>
        </cdr:cNvSpPr>
      </cdr:nvSpPr>
      <cdr:spPr bwMode="auto">
        <a:xfrm xmlns:a="http://schemas.openxmlformats.org/drawingml/2006/main">
          <a:off x="-29046" y="5056814"/>
          <a:ext cx="2156937" cy="1778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 EnergyQuest and Woodside</a:t>
          </a:r>
        </a:p>
      </cdr:txBody>
    </cdr:sp>
  </cdr:relSizeAnchor>
</c:userShapes>
</file>

<file path=xl/drawings/drawing60.xml><?xml version="1.0" encoding="utf-8"?>
<xdr:wsDr xmlns:xdr="http://schemas.openxmlformats.org/drawingml/2006/spreadsheetDrawing" xmlns:a="http://schemas.openxmlformats.org/drawingml/2006/main">
  <xdr:twoCellAnchor>
    <xdr:from>
      <xdr:col>15</xdr:col>
      <xdr:colOff>44264</xdr:colOff>
      <xdr:row>7</xdr:row>
      <xdr:rowOff>28575</xdr:rowOff>
    </xdr:from>
    <xdr:to>
      <xdr:col>24</xdr:col>
      <xdr:colOff>163901</xdr:colOff>
      <xdr:row>29</xdr:row>
      <xdr:rowOff>3922</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28575</xdr:colOff>
      <xdr:row>32</xdr:row>
      <xdr:rowOff>0</xdr:rowOff>
    </xdr:from>
    <xdr:to>
      <xdr:col>24</xdr:col>
      <xdr:colOff>148212</xdr:colOff>
      <xdr:row>54</xdr:row>
      <xdr:rowOff>3922</xdr:rowOff>
    </xdr:to>
    <xdr:graphicFrame macro="">
      <xdr:nvGraphicFramePr>
        <xdr:cNvPr id="4" name="Chart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56590</xdr:colOff>
      <xdr:row>56</xdr:row>
      <xdr:rowOff>190500</xdr:rowOff>
    </xdr:from>
    <xdr:to>
      <xdr:col>24</xdr:col>
      <xdr:colOff>120758</xdr:colOff>
      <xdr:row>78</xdr:row>
      <xdr:rowOff>184897</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571500</xdr:colOff>
      <xdr:row>6</xdr:row>
      <xdr:rowOff>76200</xdr:rowOff>
    </xdr:from>
    <xdr:to>
      <xdr:col>49</xdr:col>
      <xdr:colOff>272598</xdr:colOff>
      <xdr:row>28</xdr:row>
      <xdr:rowOff>8964</xdr:rowOff>
    </xdr:to>
    <xdr:graphicFrame macro="">
      <xdr:nvGraphicFramePr>
        <xdr:cNvPr id="6" name="Chart 5">
          <a:extLst>
            <a:ext uri="{FF2B5EF4-FFF2-40B4-BE49-F238E27FC236}">
              <a16:creationId xmlns:a16="http://schemas.microsoft.com/office/drawing/2014/main" id="{00000000-0008-0000-2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0</xdr:colOff>
      <xdr:row>29</xdr:row>
      <xdr:rowOff>114300</xdr:rowOff>
    </xdr:from>
    <xdr:to>
      <xdr:col>49</xdr:col>
      <xdr:colOff>335351</xdr:colOff>
      <xdr:row>51</xdr:row>
      <xdr:rowOff>47064</xdr:rowOff>
    </xdr:to>
    <xdr:graphicFrame macro="">
      <xdr:nvGraphicFramePr>
        <xdr:cNvPr id="8" name="Chart 7">
          <a:extLst>
            <a:ext uri="{FF2B5EF4-FFF2-40B4-BE49-F238E27FC236}">
              <a16:creationId xmlns:a16="http://schemas.microsoft.com/office/drawing/2014/main" id="{00000000-0008-0000-2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571500</xdr:colOff>
      <xdr:row>52</xdr:row>
      <xdr:rowOff>152400</xdr:rowOff>
    </xdr:from>
    <xdr:to>
      <xdr:col>49</xdr:col>
      <xdr:colOff>315180</xdr:colOff>
      <xdr:row>74</xdr:row>
      <xdr:rowOff>85164</xdr:rowOff>
    </xdr:to>
    <xdr:graphicFrame macro="">
      <xdr:nvGraphicFramePr>
        <xdr:cNvPr id="9" name="Chart 8">
          <a:extLst>
            <a:ext uri="{FF2B5EF4-FFF2-40B4-BE49-F238E27FC236}">
              <a16:creationId xmlns:a16="http://schemas.microsoft.com/office/drawing/2014/main" id="{00000000-0008-0000-2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581025</xdr:colOff>
      <xdr:row>9</xdr:row>
      <xdr:rowOff>47626</xdr:rowOff>
    </xdr:from>
    <xdr:to>
      <xdr:col>34</xdr:col>
      <xdr:colOff>695325</xdr:colOff>
      <xdr:row>19</xdr:row>
      <xdr:rowOff>0</xdr:rowOff>
    </xdr:to>
    <xdr:sp macro="" textlink="">
      <xdr:nvSpPr>
        <xdr:cNvPr id="10" name="Text Box 1">
          <a:extLst>
            <a:ext uri="{FF2B5EF4-FFF2-40B4-BE49-F238E27FC236}">
              <a16:creationId xmlns:a16="http://schemas.microsoft.com/office/drawing/2014/main" id="{00000000-0008-0000-2900-00000A000000}"/>
            </a:ext>
          </a:extLst>
        </xdr:cNvPr>
        <xdr:cNvSpPr txBox="1"/>
      </xdr:nvSpPr>
      <xdr:spPr>
        <a:xfrm>
          <a:off x="21726525" y="1800226"/>
          <a:ext cx="5381625" cy="1866899"/>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n-AU" sz="1100">
              <a:solidFill>
                <a:schemeClr val="dk1"/>
              </a:solidFill>
              <a:effectLst/>
              <a:latin typeface="+mn-lt"/>
              <a:ea typeface="+mn-ea"/>
              <a:cs typeface="+mn-cs"/>
            </a:rPr>
            <a:t>As a result of changes in information sharing practices, the State Government no longer has access for statistical purposes to sales quantity and</a:t>
          </a:r>
          <a:r>
            <a:rPr lang="en-AU" sz="1100" baseline="0">
              <a:solidFill>
                <a:schemeClr val="dk1"/>
              </a:solidFill>
              <a:effectLst/>
              <a:latin typeface="+mn-lt"/>
              <a:ea typeface="+mn-ea"/>
              <a:cs typeface="+mn-cs"/>
            </a:rPr>
            <a:t> value </a:t>
          </a:r>
          <a:r>
            <a:rPr lang="en-AU" sz="1100">
              <a:solidFill>
                <a:schemeClr val="dk1"/>
              </a:solidFill>
              <a:effectLst/>
              <a:latin typeface="+mn-lt"/>
              <a:ea typeface="+mn-ea"/>
              <a:cs typeface="+mn-cs"/>
            </a:rPr>
            <a:t>data relating to Western Australian offshore petroleum fields administered by the Commonwealth Government. </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While DMIRS was able to source alternative data, it is not comparable with the data previously provided by the Commonwealth Government.</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From Q1 2016, DMIRS has relied on externally sourced production data from Energy</a:t>
          </a:r>
          <a:r>
            <a:rPr lang="en-AU" sz="1100" baseline="0">
              <a:solidFill>
                <a:schemeClr val="dk1"/>
              </a:solidFill>
              <a:effectLst/>
              <a:latin typeface="+mn-lt"/>
              <a:ea typeface="+mn-ea"/>
              <a:cs typeface="+mn-cs"/>
            </a:rPr>
            <a:t> Quest and Woodside, with </a:t>
          </a:r>
          <a:r>
            <a:rPr lang="en-AU" sz="1100">
              <a:solidFill>
                <a:schemeClr val="dk1"/>
              </a:solidFill>
              <a:effectLst/>
              <a:latin typeface="+mn-lt"/>
              <a:ea typeface="+mn-ea"/>
              <a:cs typeface="+mn-cs"/>
            </a:rPr>
            <a:t>estimates made of the value of production, based on total production and prevailing market prices at the time.</a:t>
          </a:r>
        </a:p>
      </xdr:txBody>
    </xdr:sp>
    <xdr:clientData/>
  </xdr:twoCellAnchor>
  <xdr:twoCellAnchor editAs="oneCell">
    <xdr:from>
      <xdr:col>0</xdr:col>
      <xdr:colOff>0</xdr:colOff>
      <xdr:row>0</xdr:row>
      <xdr:rowOff>0</xdr:rowOff>
    </xdr:from>
    <xdr:to>
      <xdr:col>5</xdr:col>
      <xdr:colOff>728442</xdr:colOff>
      <xdr:row>3</xdr:row>
      <xdr:rowOff>181080</xdr:rowOff>
    </xdr:to>
    <xdr:pic>
      <xdr:nvPicPr>
        <xdr:cNvPr id="11" name="Picture 10">
          <a:hlinkClick xmlns:r="http://schemas.openxmlformats.org/officeDocument/2006/relationships" r:id="rId7"/>
          <a:extLst>
            <a:ext uri="{FF2B5EF4-FFF2-40B4-BE49-F238E27FC236}">
              <a16:creationId xmlns:a16="http://schemas.microsoft.com/office/drawing/2014/main" id="{00000000-0008-0000-2900-00000B000000}"/>
            </a:ext>
          </a:extLst>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8</xdr:col>
      <xdr:colOff>323850</xdr:colOff>
      <xdr:row>6</xdr:row>
      <xdr:rowOff>38101</xdr:rowOff>
    </xdr:from>
    <xdr:to>
      <xdr:col>19</xdr:col>
      <xdr:colOff>342900</xdr:colOff>
      <xdr:row>25</xdr:row>
      <xdr:rowOff>19050</xdr:rowOff>
    </xdr:to>
    <xdr:graphicFrame macro="">
      <xdr:nvGraphicFramePr>
        <xdr:cNvPr id="3" name="Chart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304800</xdr:colOff>
      <xdr:row>26</xdr:row>
      <xdr:rowOff>28575</xdr:rowOff>
    </xdr:from>
    <xdr:to>
      <xdr:col>19</xdr:col>
      <xdr:colOff>323850</xdr:colOff>
      <xdr:row>48</xdr:row>
      <xdr:rowOff>85725</xdr:rowOff>
    </xdr:to>
    <xdr:graphicFrame macro="">
      <xdr:nvGraphicFramePr>
        <xdr:cNvPr id="4" name="Chart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153020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11</xdr:col>
      <xdr:colOff>356233</xdr:colOff>
      <xdr:row>16</xdr:row>
      <xdr:rowOff>19048</xdr:rowOff>
    </xdr:from>
    <xdr:to>
      <xdr:col>23</xdr:col>
      <xdr:colOff>428624</xdr:colOff>
      <xdr:row>37</xdr:row>
      <xdr:rowOff>57149</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371474</xdr:colOff>
      <xdr:row>5</xdr:row>
      <xdr:rowOff>180974</xdr:rowOff>
    </xdr:from>
    <xdr:to>
      <xdr:col>19</xdr:col>
      <xdr:colOff>371475</xdr:colOff>
      <xdr:row>14</xdr:row>
      <xdr:rowOff>161925</xdr:rowOff>
    </xdr:to>
    <xdr:sp macro="" textlink="">
      <xdr:nvSpPr>
        <xdr:cNvPr id="4" name="TextBox 3">
          <a:extLst>
            <a:ext uri="{FF2B5EF4-FFF2-40B4-BE49-F238E27FC236}">
              <a16:creationId xmlns:a16="http://schemas.microsoft.com/office/drawing/2014/main" id="{00000000-0008-0000-2A00-000004000000}"/>
            </a:ext>
          </a:extLst>
        </xdr:cNvPr>
        <xdr:cNvSpPr txBox="1"/>
      </xdr:nvSpPr>
      <xdr:spPr>
        <a:xfrm>
          <a:off x="9467849" y="1133474"/>
          <a:ext cx="4876801" cy="1704976"/>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From Q1 2016, </a:t>
          </a:r>
          <a:r>
            <a:rPr lang="en-AU" sz="1100" baseline="0"/>
            <a:t>the average domestic gas price is derived from d</a:t>
          </a:r>
          <a:r>
            <a:rPr lang="en-AU" sz="1100"/>
            <a:t>omestic gas sales reported to the State Government for the administration of royalties. </a:t>
          </a:r>
        </a:p>
        <a:p>
          <a:endParaRPr lang="en-AU" sz="1100"/>
        </a:p>
        <a:p>
          <a:r>
            <a:rPr lang="en-AU" sz="1100"/>
            <a:t>This means that the average domestic gas price </a:t>
          </a:r>
          <a:r>
            <a:rPr lang="en-AU" sz="1100" baseline="0">
              <a:solidFill>
                <a:schemeClr val="dk1"/>
              </a:solidFill>
              <a:effectLst/>
              <a:latin typeface="+mn-lt"/>
              <a:ea typeface="+mn-ea"/>
              <a:cs typeface="+mn-cs"/>
            </a:rPr>
            <a:t>excludes </a:t>
          </a:r>
          <a:r>
            <a:rPr lang="en-AU" sz="1100">
              <a:solidFill>
                <a:schemeClr val="dk1"/>
              </a:solidFill>
              <a:effectLst/>
              <a:latin typeface="+mn-lt"/>
              <a:ea typeface="+mn-ea"/>
              <a:cs typeface="+mn-cs"/>
            </a:rPr>
            <a:t>domestic gas sales from Western Australian offshore petroleum fields</a:t>
          </a:r>
          <a:r>
            <a:rPr lang="en-AU" sz="1100" baseline="0">
              <a:solidFill>
                <a:schemeClr val="dk1"/>
              </a:solidFill>
              <a:effectLst/>
              <a:latin typeface="+mn-lt"/>
              <a:ea typeface="+mn-ea"/>
              <a:cs typeface="+mn-cs"/>
            </a:rPr>
            <a:t> administered by the Commonwealth Government, and, therefore, </a:t>
          </a:r>
          <a:r>
            <a:rPr lang="en-AU" sz="1100"/>
            <a:t>represents only a subset of all domestic gas sales</a:t>
          </a:r>
          <a:r>
            <a:rPr lang="en-AU" sz="1100" baseline="0"/>
            <a:t>.</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The prices quoted do not include transport costs, other downstream costs, nor any mark-up paid by customers to wholesalers.</a:t>
          </a:r>
          <a:endParaRPr lang="en-AU">
            <a:effectLst/>
          </a:endParaRPr>
        </a:p>
        <a:p>
          <a:endParaRPr lang="en-AU" sz="1100"/>
        </a:p>
      </xdr:txBody>
    </xdr:sp>
    <xdr:clientData/>
  </xdr:twoCellAnchor>
  <xdr:twoCellAnchor>
    <xdr:from>
      <xdr:col>11</xdr:col>
      <xdr:colOff>330013</xdr:colOff>
      <xdr:row>38</xdr:row>
      <xdr:rowOff>87405</xdr:rowOff>
    </xdr:from>
    <xdr:to>
      <xdr:col>23</xdr:col>
      <xdr:colOff>430867</xdr:colOff>
      <xdr:row>61</xdr:row>
      <xdr:rowOff>31376</xdr:rowOff>
    </xdr:to>
    <xdr:graphicFrame macro="">
      <xdr:nvGraphicFramePr>
        <xdr:cNvPr id="9" name="Chart 10">
          <a:extLst>
            <a:ext uri="{FF2B5EF4-FFF2-40B4-BE49-F238E27FC236}">
              <a16:creationId xmlns:a16="http://schemas.microsoft.com/office/drawing/2014/main" id="{00000000-0008-0000-2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0</xdr:row>
      <xdr:rowOff>0</xdr:rowOff>
    </xdr:from>
    <xdr:to>
      <xdr:col>5</xdr:col>
      <xdr:colOff>1346820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4"/>
        <a:stretch>
          <a:fillRect/>
        </a:stretch>
      </xdr:blipFill>
      <xdr:spPr>
        <a:xfrm>
          <a:off x="19050" y="0"/>
          <a:ext cx="4439270" cy="752580"/>
        </a:xfrm>
        <a:prstGeom prst="rect">
          <a:avLst/>
        </a:prstGeom>
      </xdr:spPr>
    </xdr:pic>
    <xdr:clientData/>
  </xdr:twoCellAnchor>
  <xdr:twoCellAnchor>
    <xdr:from>
      <xdr:col>6</xdr:col>
      <xdr:colOff>352424</xdr:colOff>
      <xdr:row>81</xdr:row>
      <xdr:rowOff>19051</xdr:rowOff>
    </xdr:from>
    <xdr:to>
      <xdr:col>12</xdr:col>
      <xdr:colOff>9525</xdr:colOff>
      <xdr:row>88</xdr:row>
      <xdr:rowOff>9525</xdr:rowOff>
    </xdr:to>
    <xdr:sp macro="" textlink="">
      <xdr:nvSpPr>
        <xdr:cNvPr id="3" name="TextBox 2"/>
        <xdr:cNvSpPr txBox="1"/>
      </xdr:nvSpPr>
      <xdr:spPr>
        <a:xfrm>
          <a:off x="4857749" y="15697201"/>
          <a:ext cx="4895851" cy="132397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As at September 2020, DMIRS has updated the methodology for determining East Coast domestic gas prices</a:t>
          </a:r>
          <a:r>
            <a:rPr lang="en-AU" sz="1100" baseline="0"/>
            <a:t>. This change applies to data from the December quarter 2015.</a:t>
          </a:r>
        </a:p>
        <a:p>
          <a:endParaRPr lang="en-AU" sz="1100" baseline="0"/>
        </a:p>
        <a:p>
          <a:r>
            <a:rPr lang="en-AU" sz="1100" baseline="0"/>
            <a:t>The new methodology calculates the East Coast Domestic Gas Price by applying the 'ABS East Coast domestic gas producer price index' (ABS cat. 6427.0) to DMIRS's 'East Coast domestic gas prices' prior to October 2015.</a:t>
          </a:r>
        </a:p>
        <a:p>
          <a:endParaRPr lang="en-AU" sz="2000"/>
        </a:p>
      </xdr:txBody>
    </xdr:sp>
    <xdr:clientData/>
  </xdr:twoCellAnchor>
</xdr:wsDr>
</file>

<file path=xl/drawings/drawing63.xml><?xml version="1.0" encoding="utf-8"?>
<c:userShapes xmlns:c="http://schemas.openxmlformats.org/drawingml/2006/chart">
  <cdr:relSizeAnchor xmlns:cdr="http://schemas.openxmlformats.org/drawingml/2006/chartDrawing">
    <cdr:from>
      <cdr:x>0</cdr:x>
      <cdr:y>0.94425</cdr:y>
    </cdr:from>
    <cdr:to>
      <cdr:x>0.12258</cdr:x>
      <cdr:y>0.99525</cdr:y>
    </cdr:to>
    <cdr:sp macro="" textlink="">
      <cdr:nvSpPr>
        <cdr:cNvPr id="2" name="TextBox 1"/>
        <cdr:cNvSpPr txBox="1"/>
      </cdr:nvSpPr>
      <cdr:spPr>
        <a:xfrm xmlns:a="http://schemas.openxmlformats.org/drawingml/2006/main">
          <a:off x="0" y="3786462"/>
          <a:ext cx="845992" cy="2045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800" b="1"/>
            <a:t>Source:</a:t>
          </a:r>
          <a:r>
            <a:rPr lang="en-AU" sz="800" b="1" baseline="0"/>
            <a:t>  DMIRS</a:t>
          </a:r>
          <a:endParaRPr lang="en-AU" sz="800" b="1"/>
        </a:p>
      </cdr:txBody>
    </cdr:sp>
  </cdr:relSizeAnchor>
</c:userShapes>
</file>

<file path=xl/drawings/drawing64.xml><?xml version="1.0" encoding="utf-8"?>
<c:userShapes xmlns:c="http://schemas.openxmlformats.org/drawingml/2006/chart">
  <cdr:relSizeAnchor xmlns:cdr="http://schemas.openxmlformats.org/drawingml/2006/chartDrawing">
    <cdr:from>
      <cdr:x>0</cdr:x>
      <cdr:y>0.95378</cdr:y>
    </cdr:from>
    <cdr:to>
      <cdr:x>0.23293</cdr:x>
      <cdr:y>1</cdr:y>
    </cdr:to>
    <cdr:sp macro="" textlink="">
      <cdr:nvSpPr>
        <cdr:cNvPr id="2" name="Text Box 2049"/>
        <cdr:cNvSpPr txBox="1">
          <a:spLocks xmlns:a="http://schemas.openxmlformats.org/drawingml/2006/main" noChangeArrowheads="1"/>
        </cdr:cNvSpPr>
      </cdr:nvSpPr>
      <cdr:spPr bwMode="auto">
        <a:xfrm xmlns:a="http://schemas.openxmlformats.org/drawingml/2006/main">
          <a:off x="0" y="3989295"/>
          <a:ext cx="1727387" cy="19330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EnergyQuest</a:t>
          </a:r>
        </a:p>
      </cdr:txBody>
    </cdr:sp>
  </cdr:relSizeAnchor>
</c:userShapes>
</file>

<file path=xl/drawings/drawing65.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21</xdr:row>
      <xdr:rowOff>89535</xdr:rowOff>
    </xdr:to>
    <xdr:graphicFrame macro="">
      <xdr:nvGraphicFramePr>
        <xdr:cNvPr id="3" name="Chart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343520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66.xml><?xml version="1.0" encoding="utf-8"?>
<c:userShapes xmlns:c="http://schemas.openxmlformats.org/drawingml/2006/chart">
  <cdr:relSizeAnchor xmlns:cdr="http://schemas.openxmlformats.org/drawingml/2006/chartDrawing">
    <cdr:from>
      <cdr:x>0</cdr:x>
      <cdr:y>0.94534</cdr:y>
    </cdr:from>
    <cdr:to>
      <cdr:x>0.14308</cdr:x>
      <cdr:y>0.99629</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470275"/>
          <a:ext cx="85725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a:t>
          </a:r>
        </a:p>
      </cdr:txBody>
    </cdr:sp>
  </cdr:relSizeAnchor>
</c:userShapes>
</file>

<file path=xl/drawings/drawing67.xml><?xml version="1.0" encoding="utf-8"?>
<xdr:wsDr xmlns:xdr="http://schemas.openxmlformats.org/drawingml/2006/spreadsheetDrawing" xmlns:a="http://schemas.openxmlformats.org/drawingml/2006/main">
  <xdr:twoCellAnchor>
    <xdr:from>
      <xdr:col>4</xdr:col>
      <xdr:colOff>279588</xdr:colOff>
      <xdr:row>16</xdr:row>
      <xdr:rowOff>76199</xdr:rowOff>
    </xdr:from>
    <xdr:to>
      <xdr:col>17</xdr:col>
      <xdr:colOff>371475</xdr:colOff>
      <xdr:row>38</xdr:row>
      <xdr:rowOff>123824</xdr:rowOff>
    </xdr:to>
    <xdr:graphicFrame macro="">
      <xdr:nvGraphicFramePr>
        <xdr:cNvPr id="3" name="Chart 4">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306480</xdr:colOff>
      <xdr:row>39</xdr:row>
      <xdr:rowOff>33617</xdr:rowOff>
    </xdr:from>
    <xdr:to>
      <xdr:col>17</xdr:col>
      <xdr:colOff>400049</xdr:colOff>
      <xdr:row>60</xdr:row>
      <xdr:rowOff>44822</xdr:rowOff>
    </xdr:to>
    <xdr:graphicFrame macro="">
      <xdr:nvGraphicFramePr>
        <xdr:cNvPr id="4" name="Chart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285749</xdr:colOff>
      <xdr:row>1</xdr:row>
      <xdr:rowOff>4762</xdr:rowOff>
    </xdr:from>
    <xdr:to>
      <xdr:col>13</xdr:col>
      <xdr:colOff>66674</xdr:colOff>
      <xdr:row>15</xdr:row>
      <xdr:rowOff>61912</xdr:rowOff>
    </xdr:to>
    <xdr:graphicFrame macro="">
      <xdr:nvGraphicFramePr>
        <xdr:cNvPr id="5" name="Chart 4">
          <a:extLst>
            <a:ext uri="{FF2B5EF4-FFF2-40B4-BE49-F238E27FC236}">
              <a16:creationId xmlns:a16="http://schemas.microsoft.com/office/drawing/2014/main" id="{00000000-0008-0000-2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257175</xdr:colOff>
      <xdr:row>14</xdr:row>
      <xdr:rowOff>57150</xdr:rowOff>
    </xdr:from>
    <xdr:to>
      <xdr:col>7</xdr:col>
      <xdr:colOff>266922</xdr:colOff>
      <xdr:row>15</xdr:row>
      <xdr:rowOff>30727</xdr:rowOff>
    </xdr:to>
    <xdr:sp macro="" textlink="">
      <xdr:nvSpPr>
        <xdr:cNvPr id="7" name="Text Box 1025">
          <a:extLst>
            <a:ext uri="{FF2B5EF4-FFF2-40B4-BE49-F238E27FC236}">
              <a16:creationId xmlns:a16="http://schemas.microsoft.com/office/drawing/2014/main" id="{00000000-0008-0000-2D00-000007000000}"/>
            </a:ext>
          </a:extLst>
        </xdr:cNvPr>
        <xdr:cNvSpPr txBox="1">
          <a:spLocks noChangeArrowheads="1"/>
        </xdr:cNvSpPr>
      </xdr:nvSpPr>
      <xdr:spPr bwMode="auto">
        <a:xfrm>
          <a:off x="4714875" y="2743200"/>
          <a:ext cx="1838547" cy="164077"/>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800" b="1" i="0" u="none" strike="noStrike" baseline="0">
              <a:solidFill>
                <a:srgbClr val="000000"/>
              </a:solidFill>
              <a:latin typeface="Arial"/>
              <a:cs typeface="Arial"/>
            </a:rPr>
            <a:t>Source:  DMIRS and EnergyQuest</a:t>
          </a:r>
        </a:p>
      </xdr:txBody>
    </xdr:sp>
    <xdr:clientData/>
  </xdr:twoCellAnchor>
  <xdr:twoCellAnchor editAs="oneCell">
    <xdr:from>
      <xdr:col>0</xdr:col>
      <xdr:colOff>0</xdr:colOff>
      <xdr:row>0</xdr:row>
      <xdr:rowOff>0</xdr:rowOff>
    </xdr:from>
    <xdr:to>
      <xdr:col>3</xdr:col>
      <xdr:colOff>591170</xdr:colOff>
      <xdr:row>3</xdr:row>
      <xdr:rowOff>181080</xdr:rowOff>
    </xdr:to>
    <xdr:pic>
      <xdr:nvPicPr>
        <xdr:cNvPr id="8" name="Picture 7">
          <a:hlinkClick xmlns:r="http://schemas.openxmlformats.org/officeDocument/2006/relationships" r:id="rId4"/>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0.00839</cdr:x>
      <cdr:y>0.95255</cdr:y>
    </cdr:from>
    <cdr:to>
      <cdr:x>0.21145</cdr:x>
      <cdr:y>0.99668</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68690" y="4037509"/>
          <a:ext cx="1662699"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a:t>
          </a:r>
          <a:r>
            <a:rPr lang="en-AU" sz="800" b="1" i="0" u="none" strike="noStrike" baseline="0">
              <a:solidFill>
                <a:srgbClr val="000000"/>
              </a:solidFill>
              <a:latin typeface="Arial"/>
              <a:cs typeface="Arial"/>
            </a:rPr>
            <a:t>:  DMIRS and EnergyQuest</a:t>
          </a:r>
        </a:p>
      </cdr:txBody>
    </cdr:sp>
  </cdr:relSizeAnchor>
</c:userShapes>
</file>

<file path=xl/drawings/drawing69.xml><?xml version="1.0" encoding="utf-8"?>
<xdr:wsDr xmlns:xdr="http://schemas.openxmlformats.org/drawingml/2006/spreadsheetDrawing" xmlns:a="http://schemas.openxmlformats.org/drawingml/2006/main">
  <xdr:twoCellAnchor>
    <xdr:from>
      <xdr:col>3</xdr:col>
      <xdr:colOff>838199</xdr:colOff>
      <xdr:row>6</xdr:row>
      <xdr:rowOff>28575</xdr:rowOff>
    </xdr:from>
    <xdr:to>
      <xdr:col>12</xdr:col>
      <xdr:colOff>895350</xdr:colOff>
      <xdr:row>30</xdr:row>
      <xdr:rowOff>34290</xdr:rowOff>
    </xdr:to>
    <xdr:graphicFrame macro="">
      <xdr:nvGraphicFramePr>
        <xdr:cNvPr id="3" name="Chart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19049</xdr:colOff>
      <xdr:row>32</xdr:row>
      <xdr:rowOff>9525</xdr:rowOff>
    </xdr:from>
    <xdr:to>
      <xdr:col>12</xdr:col>
      <xdr:colOff>895350</xdr:colOff>
      <xdr:row>52</xdr:row>
      <xdr:rowOff>76200</xdr:rowOff>
    </xdr:to>
    <xdr:graphicFrame macro="">
      <xdr:nvGraphicFramePr>
        <xdr:cNvPr id="4" name="Chart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59</xdr:row>
      <xdr:rowOff>47625</xdr:rowOff>
    </xdr:from>
    <xdr:to>
      <xdr:col>13</xdr:col>
      <xdr:colOff>361950</xdr:colOff>
      <xdr:row>85</xdr:row>
      <xdr:rowOff>371475</xdr:rowOff>
    </xdr:to>
    <xdr:graphicFrame macro="">
      <xdr:nvGraphicFramePr>
        <xdr:cNvPr id="5" name="Chart 4">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28574</xdr:colOff>
      <xdr:row>89</xdr:row>
      <xdr:rowOff>0</xdr:rowOff>
    </xdr:from>
    <xdr:to>
      <xdr:col>13</xdr:col>
      <xdr:colOff>400050</xdr:colOff>
      <xdr:row>117</xdr:row>
      <xdr:rowOff>161925</xdr:rowOff>
    </xdr:to>
    <xdr:graphicFrame macro="">
      <xdr:nvGraphicFramePr>
        <xdr:cNvPr id="6" name="Chart 5">
          <a:extLst>
            <a:ext uri="{FF2B5EF4-FFF2-40B4-BE49-F238E27FC236}">
              <a16:creationId xmlns:a16="http://schemas.microsoft.com/office/drawing/2014/main" id="{00000000-0008-0000-2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3</xdr:col>
      <xdr:colOff>438770</xdr:colOff>
      <xdr:row>3</xdr:row>
      <xdr:rowOff>181080</xdr:rowOff>
    </xdr:to>
    <xdr:pic>
      <xdr:nvPicPr>
        <xdr:cNvPr id="10" name="Picture 9">
          <a:hlinkClick xmlns:r="http://schemas.openxmlformats.org/officeDocument/2006/relationships" r:id="rId5"/>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6"/>
        <a:stretch>
          <a:fillRect/>
        </a:stretch>
      </xdr:blipFill>
      <xdr:spPr>
        <a:xfrm>
          <a:off x="0" y="0"/>
          <a:ext cx="4439270" cy="752580"/>
        </a:xfrm>
        <a:prstGeom prst="rect">
          <a:avLst/>
        </a:prstGeom>
      </xdr:spPr>
    </xdr:pic>
    <xdr:clientData/>
  </xdr:twoCellAnchor>
  <xdr:twoCellAnchor editAs="oneCell">
    <xdr:from>
      <xdr:col>13</xdr:col>
      <xdr:colOff>885825</xdr:colOff>
      <xdr:row>6</xdr:row>
      <xdr:rowOff>57150</xdr:rowOff>
    </xdr:from>
    <xdr:to>
      <xdr:col>26</xdr:col>
      <xdr:colOff>405063</xdr:colOff>
      <xdr:row>28</xdr:row>
      <xdr:rowOff>147166</xdr:rowOff>
    </xdr:to>
    <xdr:pic>
      <xdr:nvPicPr>
        <xdr:cNvPr id="2" name="Picture 1"/>
        <xdr:cNvPicPr>
          <a:picLocks noChangeAspect="1"/>
        </xdr:cNvPicPr>
      </xdr:nvPicPr>
      <xdr:blipFill>
        <a:blip xmlns:r="http://schemas.openxmlformats.org/officeDocument/2006/relationships" r:embed="rId7"/>
        <a:stretch>
          <a:fillRect/>
        </a:stretch>
      </xdr:blipFill>
      <xdr:spPr>
        <a:xfrm>
          <a:off x="11591925" y="1209675"/>
          <a:ext cx="7786938" cy="4490566"/>
        </a:xfrm>
        <a:prstGeom prst="rect">
          <a:avLst/>
        </a:prstGeom>
      </xdr:spPr>
    </xdr:pic>
    <xdr:clientData/>
  </xdr:twoCellAnchor>
  <xdr:twoCellAnchor editAs="oneCell">
    <xdr:from>
      <xdr:col>13</xdr:col>
      <xdr:colOff>863753</xdr:colOff>
      <xdr:row>32</xdr:row>
      <xdr:rowOff>19050</xdr:rowOff>
    </xdr:from>
    <xdr:to>
      <xdr:col>26</xdr:col>
      <xdr:colOff>395765</xdr:colOff>
      <xdr:row>53</xdr:row>
      <xdr:rowOff>53397</xdr:rowOff>
    </xdr:to>
    <xdr:pic>
      <xdr:nvPicPr>
        <xdr:cNvPr id="7" name="Picture 6"/>
        <xdr:cNvPicPr>
          <a:picLocks noChangeAspect="1"/>
        </xdr:cNvPicPr>
      </xdr:nvPicPr>
      <xdr:blipFill>
        <a:blip xmlns:r="http://schemas.openxmlformats.org/officeDocument/2006/relationships" r:embed="rId8"/>
        <a:stretch>
          <a:fillRect/>
        </a:stretch>
      </xdr:blipFill>
      <xdr:spPr>
        <a:xfrm>
          <a:off x="11569853" y="6362700"/>
          <a:ext cx="7799712" cy="4253922"/>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cdr:x>
      <cdr:y>0.95722</cdr:y>
    </cdr:from>
    <cdr:to>
      <cdr:x>0.27206</cdr:x>
      <cdr:y>0.9847</cdr:y>
    </cdr:to>
    <cdr:sp macro="" textlink="">
      <cdr:nvSpPr>
        <cdr:cNvPr id="2" name="Text Box 1"/>
        <cdr:cNvSpPr txBox="1">
          <a:spLocks xmlns:a="http://schemas.openxmlformats.org/drawingml/2006/main" noChangeArrowheads="1"/>
        </cdr:cNvSpPr>
      </cdr:nvSpPr>
      <cdr:spPr bwMode="auto">
        <a:xfrm xmlns:a="http://schemas.openxmlformats.org/drawingml/2006/main">
          <a:off x="-29046" y="6191629"/>
          <a:ext cx="2156937" cy="1778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 EnergyQuest and Woodside</a:t>
          </a:r>
        </a:p>
      </cdr:txBody>
    </cdr:sp>
  </cdr:relSizeAnchor>
</c:userShapes>
</file>

<file path=xl/drawings/drawing70.xml><?xml version="1.0" encoding="utf-8"?>
<c:userShapes xmlns:c="http://schemas.openxmlformats.org/drawingml/2006/chart">
  <cdr:relSizeAnchor xmlns:cdr="http://schemas.openxmlformats.org/drawingml/2006/chartDrawing">
    <cdr:from>
      <cdr:x>0.00814</cdr:x>
      <cdr:y>0.95168</cdr:y>
    </cdr:from>
    <cdr:to>
      <cdr:x>0.52724</cdr:x>
      <cdr:y>0.99979</cdr:y>
    </cdr:to>
    <cdr:sp macro="" textlink="">
      <cdr:nvSpPr>
        <cdr:cNvPr id="4097" name="Text Box 1"/>
        <cdr:cNvSpPr txBox="1">
          <a:spLocks xmlns:a="http://schemas.openxmlformats.org/drawingml/2006/main" noChangeArrowheads="1"/>
        </cdr:cNvSpPr>
      </cdr:nvSpPr>
      <cdr:spPr bwMode="auto">
        <a:xfrm xmlns:a="http://schemas.openxmlformats.org/drawingml/2006/main">
          <a:off x="46983" y="4574085"/>
          <a:ext cx="2996324" cy="23123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BP</a:t>
          </a:r>
        </a:p>
      </cdr:txBody>
    </cdr:sp>
  </cdr:relSizeAnchor>
</c:userShapes>
</file>

<file path=xl/drawings/drawing71.xml><?xml version="1.0" encoding="utf-8"?>
<c:userShapes xmlns:c="http://schemas.openxmlformats.org/drawingml/2006/chart">
  <cdr:relSizeAnchor xmlns:cdr="http://schemas.openxmlformats.org/drawingml/2006/chartDrawing">
    <cdr:from>
      <cdr:x>0.00471</cdr:x>
      <cdr:y>0.95005</cdr:y>
    </cdr:from>
    <cdr:to>
      <cdr:x>0.53141</cdr:x>
      <cdr:y>0.99524</cdr:y>
    </cdr:to>
    <cdr:sp macro="" textlink="">
      <cdr:nvSpPr>
        <cdr:cNvPr id="7169" name="Text Box 1"/>
        <cdr:cNvSpPr txBox="1">
          <a:spLocks xmlns:a="http://schemas.openxmlformats.org/drawingml/2006/main" noChangeArrowheads="1"/>
        </cdr:cNvSpPr>
      </cdr:nvSpPr>
      <cdr:spPr bwMode="auto">
        <a:xfrm xmlns:a="http://schemas.openxmlformats.org/drawingml/2006/main">
          <a:off x="27108" y="3891177"/>
          <a:ext cx="3030158" cy="18508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BP</a:t>
          </a:r>
        </a:p>
      </cdr:txBody>
    </cdr:sp>
  </cdr:relSizeAnchor>
</c:userShapes>
</file>

<file path=xl/drawings/drawing72.xml><?xml version="1.0" encoding="utf-8"?>
<c:userShapes xmlns:c="http://schemas.openxmlformats.org/drawingml/2006/chart">
  <cdr:relSizeAnchor xmlns:cdr="http://schemas.openxmlformats.org/drawingml/2006/chartDrawing">
    <cdr:from>
      <cdr:x>0.00836</cdr:x>
      <cdr:y>0.94752</cdr:y>
    </cdr:from>
    <cdr:to>
      <cdr:x>0.52876</cdr:x>
      <cdr:y>1</cdr:y>
    </cdr:to>
    <cdr:sp macro="" textlink="">
      <cdr:nvSpPr>
        <cdr:cNvPr id="9217" name="Text Box 1"/>
        <cdr:cNvSpPr txBox="1">
          <a:spLocks xmlns:a="http://schemas.openxmlformats.org/drawingml/2006/main" noChangeArrowheads="1"/>
        </cdr:cNvSpPr>
      </cdr:nvSpPr>
      <cdr:spPr bwMode="auto">
        <a:xfrm xmlns:a="http://schemas.openxmlformats.org/drawingml/2006/main">
          <a:off x="51911" y="5144323"/>
          <a:ext cx="3231840" cy="2849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BP</a:t>
          </a:r>
        </a:p>
      </cdr:txBody>
    </cdr:sp>
  </cdr:relSizeAnchor>
  <cdr:relSizeAnchor xmlns:cdr="http://schemas.openxmlformats.org/drawingml/2006/chartDrawing">
    <cdr:from>
      <cdr:x>0.33024</cdr:x>
      <cdr:y>0.07631</cdr:y>
    </cdr:from>
    <cdr:to>
      <cdr:x>0.77737</cdr:x>
      <cdr:y>0.14458</cdr:y>
    </cdr:to>
    <cdr:sp macro="" textlink="">
      <cdr:nvSpPr>
        <cdr:cNvPr id="3" name="TextBox 2"/>
        <cdr:cNvSpPr txBox="1"/>
      </cdr:nvSpPr>
      <cdr:spPr>
        <a:xfrm xmlns:a="http://schemas.openxmlformats.org/drawingml/2006/main">
          <a:off x="1356360" y="289560"/>
          <a:ext cx="1836420" cy="2590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400" b="1"/>
        </a:p>
      </cdr:txBody>
    </cdr:sp>
  </cdr:relSizeAnchor>
</c:userShapes>
</file>

<file path=xl/drawings/drawing73.xml><?xml version="1.0" encoding="utf-8"?>
<c:userShapes xmlns:c="http://schemas.openxmlformats.org/drawingml/2006/chart">
  <cdr:relSizeAnchor xmlns:cdr="http://schemas.openxmlformats.org/drawingml/2006/chartDrawing">
    <cdr:from>
      <cdr:x>0.00533</cdr:x>
      <cdr:y>0.94752</cdr:y>
    </cdr:from>
    <cdr:to>
      <cdr:x>0.52573</cdr:x>
      <cdr:y>1</cdr:y>
    </cdr:to>
    <cdr:sp macro="" textlink="">
      <cdr:nvSpPr>
        <cdr:cNvPr id="9217" name="Text Box 1"/>
        <cdr:cNvSpPr txBox="1">
          <a:spLocks xmlns:a="http://schemas.openxmlformats.org/drawingml/2006/main" noChangeArrowheads="1"/>
        </cdr:cNvSpPr>
      </cdr:nvSpPr>
      <cdr:spPr bwMode="auto">
        <a:xfrm xmlns:a="http://schemas.openxmlformats.org/drawingml/2006/main">
          <a:off x="33231" y="5541428"/>
          <a:ext cx="3246711" cy="30692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BP</a:t>
          </a:r>
        </a:p>
      </cdr:txBody>
    </cdr:sp>
  </cdr:relSizeAnchor>
</c:userShapes>
</file>

<file path=xl/drawings/drawing74.xml><?xml version="1.0" encoding="utf-8"?>
<xdr:wsDr xmlns:xdr="http://schemas.openxmlformats.org/drawingml/2006/spreadsheetDrawing" xmlns:a="http://schemas.openxmlformats.org/drawingml/2006/main">
  <xdr:twoCellAnchor>
    <xdr:from>
      <xdr:col>7</xdr:col>
      <xdr:colOff>38099</xdr:colOff>
      <xdr:row>20</xdr:row>
      <xdr:rowOff>119061</xdr:rowOff>
    </xdr:from>
    <xdr:to>
      <xdr:col>15</xdr:col>
      <xdr:colOff>514350</xdr:colOff>
      <xdr:row>41</xdr:row>
      <xdr:rowOff>161925</xdr:rowOff>
    </xdr:to>
    <xdr:grpSp>
      <xdr:nvGrpSpPr>
        <xdr:cNvPr id="7" name="Group 6">
          <a:extLst>
            <a:ext uri="{FF2B5EF4-FFF2-40B4-BE49-F238E27FC236}">
              <a16:creationId xmlns:a16="http://schemas.microsoft.com/office/drawing/2014/main" id="{00000000-0008-0000-2F00-000007000000}"/>
            </a:ext>
          </a:extLst>
        </xdr:cNvPr>
        <xdr:cNvGrpSpPr/>
      </xdr:nvGrpSpPr>
      <xdr:grpSpPr>
        <a:xfrm>
          <a:off x="5676899" y="4157661"/>
          <a:ext cx="5838826" cy="4233864"/>
          <a:chOff x="6010274" y="4024311"/>
          <a:chExt cx="5572125" cy="4433889"/>
        </a:xfrm>
      </xdr:grpSpPr>
      <xdr:graphicFrame macro="">
        <xdr:nvGraphicFramePr>
          <xdr:cNvPr id="4" name="Chart 3">
            <a:extLst>
              <a:ext uri="{FF2B5EF4-FFF2-40B4-BE49-F238E27FC236}">
                <a16:creationId xmlns:a16="http://schemas.microsoft.com/office/drawing/2014/main" id="{00000000-0008-0000-2F00-000004000000}"/>
              </a:ext>
            </a:extLst>
          </xdr:cNvPr>
          <xdr:cNvGraphicFramePr/>
        </xdr:nvGraphicFramePr>
        <xdr:xfrm>
          <a:off x="6010274" y="4024311"/>
          <a:ext cx="5572125" cy="4433889"/>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5" name="Picture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2"/>
          <a:stretch>
            <a:fillRect/>
          </a:stretch>
        </xdr:blipFill>
        <xdr:spPr>
          <a:xfrm>
            <a:off x="6619875" y="4695825"/>
            <a:ext cx="4315428" cy="181000"/>
          </a:xfrm>
          <a:prstGeom prst="rect">
            <a:avLst/>
          </a:prstGeom>
        </xdr:spPr>
      </xdr:pic>
    </xdr:grpSp>
    <xdr:clientData/>
  </xdr:twoCellAnchor>
  <xdr:twoCellAnchor>
    <xdr:from>
      <xdr:col>7</xdr:col>
      <xdr:colOff>0</xdr:colOff>
      <xdr:row>40</xdr:row>
      <xdr:rowOff>142875</xdr:rowOff>
    </xdr:from>
    <xdr:to>
      <xdr:col>10</xdr:col>
      <xdr:colOff>504825</xdr:colOff>
      <xdr:row>41</xdr:row>
      <xdr:rowOff>180975</xdr:rowOff>
    </xdr:to>
    <xdr:sp macro="" textlink="">
      <xdr:nvSpPr>
        <xdr:cNvPr id="8" name="TextBox 1">
          <a:extLst>
            <a:ext uri="{FF2B5EF4-FFF2-40B4-BE49-F238E27FC236}">
              <a16:creationId xmlns:a16="http://schemas.microsoft.com/office/drawing/2014/main" id="{00000000-0008-0000-2F00-000008000000}"/>
            </a:ext>
          </a:extLst>
        </xdr:cNvPr>
        <xdr:cNvSpPr txBox="1"/>
      </xdr:nvSpPr>
      <xdr:spPr>
        <a:xfrm>
          <a:off x="5638800" y="8181975"/>
          <a:ext cx="2390775" cy="2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900" b="1"/>
            <a:t>Source: </a:t>
          </a:r>
          <a:r>
            <a:rPr lang="en-AU" sz="900" b="1" baseline="0"/>
            <a:t> BP</a:t>
          </a:r>
        </a:p>
      </xdr:txBody>
    </xdr:sp>
    <xdr:clientData/>
  </xdr:twoCellAnchor>
  <xdr:twoCellAnchor editAs="oneCell">
    <xdr:from>
      <xdr:col>0</xdr:col>
      <xdr:colOff>0</xdr:colOff>
      <xdr:row>0</xdr:row>
      <xdr:rowOff>0</xdr:rowOff>
    </xdr:from>
    <xdr:to>
      <xdr:col>4</xdr:col>
      <xdr:colOff>676895</xdr:colOff>
      <xdr:row>3</xdr:row>
      <xdr:rowOff>181080</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6</xdr:col>
      <xdr:colOff>152400</xdr:colOff>
      <xdr:row>43</xdr:row>
      <xdr:rowOff>161924</xdr:rowOff>
    </xdr:from>
    <xdr:to>
      <xdr:col>15</xdr:col>
      <xdr:colOff>1104900</xdr:colOff>
      <xdr:row>65</xdr:row>
      <xdr:rowOff>200024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cdr:x>
      <cdr:y>0.94858</cdr:y>
    </cdr:from>
    <cdr:to>
      <cdr:x>0.40895</cdr:x>
      <cdr:y>1</cdr:y>
    </cdr:to>
    <cdr:sp macro="" textlink="">
      <cdr:nvSpPr>
        <cdr:cNvPr id="2" name="TextBox 1"/>
        <cdr:cNvSpPr txBox="1"/>
      </cdr:nvSpPr>
      <cdr:spPr>
        <a:xfrm xmlns:a="http://schemas.openxmlformats.org/drawingml/2006/main">
          <a:off x="0" y="4020666"/>
          <a:ext cx="2399445" cy="2179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BP</a:t>
          </a:r>
        </a:p>
      </cdr:txBody>
    </cdr:sp>
  </cdr:relSizeAnchor>
</c:userShapes>
</file>

<file path=xl/drawings/drawing76.xml><?xml version="1.0" encoding="utf-8"?>
<xdr:wsDr xmlns:xdr="http://schemas.openxmlformats.org/drawingml/2006/spreadsheetDrawing" xmlns:a="http://schemas.openxmlformats.org/drawingml/2006/main">
  <xdr:twoCellAnchor>
    <xdr:from>
      <xdr:col>8</xdr:col>
      <xdr:colOff>581025</xdr:colOff>
      <xdr:row>6</xdr:row>
      <xdr:rowOff>14286</xdr:rowOff>
    </xdr:from>
    <xdr:to>
      <xdr:col>20</xdr:col>
      <xdr:colOff>257175</xdr:colOff>
      <xdr:row>23</xdr:row>
      <xdr:rowOff>161924</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24</xdr:row>
      <xdr:rowOff>180975</xdr:rowOff>
    </xdr:from>
    <xdr:to>
      <xdr:col>20</xdr:col>
      <xdr:colOff>554131</xdr:colOff>
      <xdr:row>47</xdr:row>
      <xdr:rowOff>3361</xdr:rowOff>
    </xdr:to>
    <xdr:graphicFrame macro="">
      <xdr:nvGraphicFramePr>
        <xdr:cNvPr id="4" name="Chart 3">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381620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cdr:x>
      <cdr:y>0.94885</cdr:y>
    </cdr:from>
    <cdr:to>
      <cdr:x>0.28313</cdr:x>
      <cdr:y>0.99993</cdr:y>
    </cdr:to>
    <cdr:sp macro="" textlink="">
      <cdr:nvSpPr>
        <cdr:cNvPr id="4097" name="Text Box 1"/>
        <cdr:cNvSpPr txBox="1">
          <a:spLocks xmlns:a="http://schemas.openxmlformats.org/drawingml/2006/main" noChangeArrowheads="1"/>
        </cdr:cNvSpPr>
      </cdr:nvSpPr>
      <cdr:spPr bwMode="auto">
        <a:xfrm xmlns:a="http://schemas.openxmlformats.org/drawingml/2006/main">
          <a:off x="0" y="3595686"/>
          <a:ext cx="2238375" cy="19357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no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EnergyQuest and Woodside</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124445</xdr:colOff>
      <xdr:row>3</xdr:row>
      <xdr:rowOff>66780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odstore.internal.dom/OurDocs03/Users/Open/Users/Matt.WEBER/Digest%20Web%20Files/2016/000088.Matt.WEB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dstore.internal.dom/OurDocs01/Users/Open/Users/Hailey.ADAMS/Statistics%20and%20data/000271.Hailey.ADA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Sources"/>
      <sheetName val="How To Use"/>
      <sheetName val="Comparison 2014-15 and 2016"/>
      <sheetName val="US and A$"/>
      <sheetName val="Trade Weighted Index"/>
      <sheetName val="RBA spreadsheet of Comm prices"/>
      <sheetName val="Quick Resources Facts"/>
      <sheetName val="Exports"/>
      <sheetName val="WA vs Australia vs The World"/>
      <sheetName val="Mining Investment"/>
      <sheetName val="New Capital Expenditure"/>
      <sheetName val="Mineral Exploration"/>
      <sheetName val="Min. Expl. Major Commodities"/>
      <sheetName val="Mineral Exploration Drilling"/>
      <sheetName val="Petroleum Exploration"/>
      <sheetName val="Royalty Receipts - Latest"/>
      <sheetName val="Royalties - Historic"/>
      <sheetName val="Employment by Site - Minerals"/>
      <sheetName val="Employment by Site - Petroleum"/>
      <sheetName val="Employment Pie Graph"/>
      <sheetName val="Calendar Year Employment"/>
      <sheetName val="Financial Year Employment"/>
      <sheetName val="Historic Employment Monthly"/>
      <sheetName val="Cal. Year Employment Pre 2000"/>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e Data"/>
      <sheetName val="Monthly Report Data"/>
      <sheetName val="Monthly Report Graphs"/>
      <sheetName val="ABS Pricing Data"/>
      <sheetName val="Generated Quarter Averages"/>
      <sheetName val="Generated Calendar Averages"/>
      <sheetName val="Generated FY Averages"/>
      <sheetName val="Monthly Price Data Petroleum"/>
      <sheetName val="Monthly Price Data Petroleum GJ"/>
      <sheetName val="Generation - Digest Gas Graphs"/>
      <sheetName val="Generated Qtr Avgs Petroleum"/>
      <sheetName val="Generated Cal Avgs Petroleum"/>
      <sheetName val="Generated FY Avgs Petroleum"/>
      <sheetName val="Comparison AG"/>
      <sheetName val="Monthly Report Graphs (2)"/>
      <sheetName val="Commodity Price Graphs"/>
      <sheetName val="Data"/>
      <sheetName val="Superseded data"/>
    </sheetNames>
    <sheetDataSet>
      <sheetData sheetId="0"/>
      <sheetData sheetId="1"/>
      <sheetData sheetId="2"/>
      <sheetData sheetId="3"/>
      <sheetData sheetId="4">
        <row r="7">
          <cell r="E7" t="str">
            <v>Q11999</v>
          </cell>
        </row>
      </sheetData>
      <sheetData sheetId="5"/>
      <sheetData sheetId="6"/>
      <sheetData sheetId="7"/>
      <sheetData sheetId="8"/>
      <sheetData sheetId="9"/>
      <sheetData sheetId="10"/>
      <sheetData sheetId="11"/>
      <sheetData sheetId="12"/>
      <sheetData sheetId="13"/>
      <sheetData sheetId="14"/>
      <sheetData sheetId="15"/>
      <sheetData sheetId="16">
        <row r="3">
          <cell r="A3" t="str">
            <v>&gt;=</v>
          </cell>
        </row>
        <row r="4">
          <cell r="A4" t="str">
            <v>&lt;=</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www.energyquest.com.au/" TargetMode="External"/><Relationship Id="rId13" Type="http://schemas.openxmlformats.org/officeDocument/2006/relationships/hyperlink" Target="https://www.industry.gov.au/data-and-publications/resources-and-energy-quarterly-all" TargetMode="External"/><Relationship Id="rId18" Type="http://schemas.openxmlformats.org/officeDocument/2006/relationships/hyperlink" Target="http://stat.data.abs.gov.au/" TargetMode="External"/><Relationship Id="rId3" Type="http://schemas.openxmlformats.org/officeDocument/2006/relationships/hyperlink" Target="http://www.worldsteel.org/" TargetMode="External"/><Relationship Id="rId21" Type="http://schemas.openxmlformats.org/officeDocument/2006/relationships/hyperlink" Target="http://english.customs.gov.cn/" TargetMode="External"/><Relationship Id="rId7" Type="http://schemas.openxmlformats.org/officeDocument/2006/relationships/hyperlink" Target="http://www.uxc.com/" TargetMode="External"/><Relationship Id="rId12" Type="http://schemas.openxmlformats.org/officeDocument/2006/relationships/hyperlink" Target="https://www.industry.gov.au/data-and-publications/resources-and-energy-quarterly-all" TargetMode="External"/><Relationship Id="rId17" Type="http://schemas.openxmlformats.org/officeDocument/2006/relationships/hyperlink" Target="https://www.industry.gov.au/data-and-publications/resources-and-energy-quarterly-all" TargetMode="External"/><Relationship Id="rId25" Type="http://schemas.openxmlformats.org/officeDocument/2006/relationships/drawing" Target="../drawings/drawing2.xml"/><Relationship Id="rId2" Type="http://schemas.openxmlformats.org/officeDocument/2006/relationships/hyperlink" Target="http://www.energyquest.com.au/" TargetMode="External"/><Relationship Id="rId16" Type="http://schemas.openxmlformats.org/officeDocument/2006/relationships/hyperlink" Target="https://www.industry.gov.au/data-and-publications/resources-and-energy-quarterly-all" TargetMode="External"/><Relationship Id="rId20" Type="http://schemas.openxmlformats.org/officeDocument/2006/relationships/hyperlink" Target="https://www.watc.wa.gov.au/" TargetMode="External"/><Relationship Id="rId1" Type="http://schemas.openxmlformats.org/officeDocument/2006/relationships/hyperlink" Target="http://www.bp.com/en/global/corporate/energy-economics/statistical-review-of-world-energy.html" TargetMode="External"/><Relationship Id="rId6" Type="http://schemas.openxmlformats.org/officeDocument/2006/relationships/hyperlink" Target="https://metals.argusmedia.com/" TargetMode="External"/><Relationship Id="rId11" Type="http://schemas.openxmlformats.org/officeDocument/2006/relationships/hyperlink" Target="https://www.abs.gov.au/" TargetMode="External"/><Relationship Id="rId24" Type="http://schemas.openxmlformats.org/officeDocument/2006/relationships/printerSettings" Target="../printerSettings/printerSettings2.bin"/><Relationship Id="rId5" Type="http://schemas.openxmlformats.org/officeDocument/2006/relationships/hyperlink" Target="https://metals.argusmedia.com/" TargetMode="External"/><Relationship Id="rId15" Type="http://schemas.openxmlformats.org/officeDocument/2006/relationships/hyperlink" Target="https://www.industry.gov.au/data-and-publications/resources-and-energy-quarterly-all" TargetMode="External"/><Relationship Id="rId23" Type="http://schemas.openxmlformats.org/officeDocument/2006/relationships/hyperlink" Target="http://www.asianmetal.com/" TargetMode="External"/><Relationship Id="rId10" Type="http://schemas.openxmlformats.org/officeDocument/2006/relationships/hyperlink" Target="http://stat.data.abs.gov.au/" TargetMode="External"/><Relationship Id="rId19" Type="http://schemas.openxmlformats.org/officeDocument/2006/relationships/hyperlink" Target="http://www.bp.com/en/global/corporate/energy-economics/statistical-review-of-world-energy.html" TargetMode="External"/><Relationship Id="rId4" Type="http://schemas.openxmlformats.org/officeDocument/2006/relationships/hyperlink" Target="http://kitco.com/gold.londonfix.html" TargetMode="External"/><Relationship Id="rId9" Type="http://schemas.openxmlformats.org/officeDocument/2006/relationships/hyperlink" Target="https://www.abs.gov.au/" TargetMode="External"/><Relationship Id="rId14" Type="http://schemas.openxmlformats.org/officeDocument/2006/relationships/hyperlink" Target="https://www.industry.gov.au/data-and-publications/resources-and-energy-quarterly-all" TargetMode="External"/><Relationship Id="rId22" Type="http://schemas.openxmlformats.org/officeDocument/2006/relationships/hyperlink" Target="http://www.asianmetal.co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F64"/>
  <sheetViews>
    <sheetView showGridLines="0" tabSelected="1" zoomScaleNormal="100" workbookViewId="0"/>
  </sheetViews>
  <sheetFormatPr defaultRowHeight="15"/>
  <cols>
    <col min="1" max="1" width="20.7109375" customWidth="1"/>
    <col min="2" max="2" width="1.5703125" bestFit="1" customWidth="1"/>
    <col min="3" max="3" width="65.7109375" bestFit="1" customWidth="1"/>
    <col min="4" max="4" width="165" customWidth="1"/>
    <col min="5" max="5" width="2.140625" customWidth="1"/>
  </cols>
  <sheetData>
    <row r="1" spans="1:6">
      <c r="A1" s="446"/>
      <c r="D1" s="431"/>
    </row>
    <row r="2" spans="1:6">
      <c r="D2" s="431"/>
    </row>
    <row r="3" spans="1:6">
      <c r="D3" s="431"/>
    </row>
    <row r="4" spans="1:6">
      <c r="D4" s="431"/>
    </row>
    <row r="5" spans="1:6">
      <c r="C5" s="431"/>
      <c r="D5" s="431"/>
    </row>
    <row r="6" spans="1:6">
      <c r="A6" s="128" t="s">
        <v>588</v>
      </c>
      <c r="B6" s="128" t="s">
        <v>8</v>
      </c>
      <c r="C6" s="1928" t="s">
        <v>667</v>
      </c>
      <c r="D6" s="505" t="s">
        <v>519</v>
      </c>
    </row>
    <row r="7" spans="1:6">
      <c r="A7" s="128" t="s">
        <v>363</v>
      </c>
      <c r="B7" s="128" t="s">
        <v>8</v>
      </c>
      <c r="C7" s="1928" t="s">
        <v>730</v>
      </c>
      <c r="D7" s="373" t="s">
        <v>739</v>
      </c>
      <c r="F7" s="169"/>
    </row>
    <row r="8" spans="1:6">
      <c r="A8" s="128"/>
      <c r="B8" s="128" t="s">
        <v>8</v>
      </c>
      <c r="C8" s="1928" t="s">
        <v>670</v>
      </c>
      <c r="D8" s="373" t="s">
        <v>604</v>
      </c>
    </row>
    <row r="9" spans="1:6">
      <c r="A9" s="128"/>
      <c r="B9" s="128" t="s">
        <v>8</v>
      </c>
      <c r="C9" s="1928" t="s">
        <v>729</v>
      </c>
      <c r="D9" s="373" t="s">
        <v>605</v>
      </c>
    </row>
    <row r="10" spans="1:6" s="333" customFormat="1">
      <c r="A10" s="128"/>
      <c r="B10" s="128" t="s">
        <v>8</v>
      </c>
      <c r="C10" s="1928" t="s">
        <v>668</v>
      </c>
      <c r="D10" s="373" t="s">
        <v>606</v>
      </c>
      <c r="E10"/>
    </row>
    <row r="11" spans="1:6" s="333" customFormat="1">
      <c r="A11" s="128"/>
      <c r="B11" s="128" t="s">
        <v>8</v>
      </c>
      <c r="C11" s="1928" t="s">
        <v>669</v>
      </c>
      <c r="D11" s="373" t="s">
        <v>607</v>
      </c>
      <c r="E11"/>
    </row>
    <row r="12" spans="1:6">
      <c r="A12" s="141" t="s">
        <v>0</v>
      </c>
      <c r="B12" s="141" t="s">
        <v>8</v>
      </c>
      <c r="C12" s="1928" t="s">
        <v>548</v>
      </c>
      <c r="D12" s="141" t="s">
        <v>608</v>
      </c>
    </row>
    <row r="13" spans="1:6">
      <c r="A13" s="141"/>
      <c r="B13" s="141" t="s">
        <v>8</v>
      </c>
      <c r="C13" s="1928" t="s">
        <v>549</v>
      </c>
      <c r="D13" s="141" t="s">
        <v>609</v>
      </c>
    </row>
    <row r="14" spans="1:6" s="5" customFormat="1">
      <c r="A14" s="141"/>
      <c r="B14" s="141" t="s">
        <v>8</v>
      </c>
      <c r="C14" s="1928" t="s">
        <v>550</v>
      </c>
      <c r="D14" s="141" t="s">
        <v>610</v>
      </c>
      <c r="E14"/>
    </row>
    <row r="15" spans="1:6">
      <c r="A15" s="141"/>
      <c r="B15" s="141" t="s">
        <v>8</v>
      </c>
      <c r="C15" s="1928" t="s">
        <v>614</v>
      </c>
      <c r="D15" s="141" t="s">
        <v>545</v>
      </c>
    </row>
    <row r="16" spans="1:6">
      <c r="A16" s="142" t="s">
        <v>307</v>
      </c>
      <c r="B16" s="142" t="s">
        <v>8</v>
      </c>
      <c r="C16" s="1928" t="s">
        <v>377</v>
      </c>
      <c r="D16" s="142" t="s">
        <v>611</v>
      </c>
    </row>
    <row r="17" spans="1:5" s="106" customFormat="1">
      <c r="A17" s="142"/>
      <c r="B17" s="142" t="s">
        <v>8</v>
      </c>
      <c r="C17" s="1928" t="s">
        <v>378</v>
      </c>
      <c r="D17" s="142" t="s">
        <v>520</v>
      </c>
      <c r="E17"/>
    </row>
    <row r="18" spans="1:5" s="106" customFormat="1">
      <c r="A18" s="142"/>
      <c r="B18" s="142" t="s">
        <v>8</v>
      </c>
      <c r="C18" s="1928" t="s">
        <v>379</v>
      </c>
      <c r="D18" s="142" t="s">
        <v>380</v>
      </c>
      <c r="E18"/>
    </row>
    <row r="19" spans="1:5" s="106" customFormat="1">
      <c r="A19" s="142"/>
      <c r="B19" s="142" t="s">
        <v>8</v>
      </c>
      <c r="C19" s="1928" t="s">
        <v>615</v>
      </c>
      <c r="D19" s="142" t="s">
        <v>802</v>
      </c>
    </row>
    <row r="20" spans="1:5" s="36" customFormat="1">
      <c r="A20" s="144" t="s">
        <v>1</v>
      </c>
      <c r="B20" s="144" t="s">
        <v>8</v>
      </c>
      <c r="C20" s="1928" t="s">
        <v>147</v>
      </c>
      <c r="D20" s="144" t="s">
        <v>639</v>
      </c>
    </row>
    <row r="21" spans="1:5">
      <c r="A21" s="144"/>
      <c r="B21" s="144" t="s">
        <v>8</v>
      </c>
      <c r="C21" s="1928" t="s">
        <v>148</v>
      </c>
      <c r="D21" s="144" t="s">
        <v>317</v>
      </c>
    </row>
    <row r="22" spans="1:5" s="36" customFormat="1">
      <c r="A22" s="144"/>
      <c r="B22" s="144" t="s">
        <v>8</v>
      </c>
      <c r="C22" s="1928" t="s">
        <v>149</v>
      </c>
      <c r="D22" s="144" t="s">
        <v>318</v>
      </c>
    </row>
    <row r="23" spans="1:5" s="36" customFormat="1">
      <c r="A23" s="144"/>
      <c r="B23" s="144" t="s">
        <v>8</v>
      </c>
      <c r="C23" s="1928" t="s">
        <v>617</v>
      </c>
      <c r="D23" s="144" t="s">
        <v>803</v>
      </c>
    </row>
    <row r="24" spans="1:5" s="36" customFormat="1">
      <c r="A24" s="144"/>
      <c r="B24" s="144" t="s">
        <v>8</v>
      </c>
      <c r="C24" s="1928" t="s">
        <v>146</v>
      </c>
      <c r="D24" s="144" t="s">
        <v>697</v>
      </c>
    </row>
    <row r="25" spans="1:5">
      <c r="A25" s="146" t="s">
        <v>2</v>
      </c>
      <c r="B25" s="146" t="s">
        <v>8</v>
      </c>
      <c r="C25" s="1928" t="s">
        <v>150</v>
      </c>
      <c r="D25" s="508" t="s">
        <v>641</v>
      </c>
    </row>
    <row r="26" spans="1:5">
      <c r="A26" s="146"/>
      <c r="B26" s="146" t="s">
        <v>8</v>
      </c>
      <c r="C26" s="1928" t="s">
        <v>151</v>
      </c>
      <c r="D26" s="508" t="s">
        <v>356</v>
      </c>
    </row>
    <row r="27" spans="1:5" s="36" customFormat="1">
      <c r="A27" s="146"/>
      <c r="B27" s="146" t="s">
        <v>8</v>
      </c>
      <c r="C27" s="1928" t="s">
        <v>152</v>
      </c>
      <c r="D27" s="508" t="s">
        <v>357</v>
      </c>
    </row>
    <row r="28" spans="1:5" s="36" customFormat="1">
      <c r="A28" s="146"/>
      <c r="B28" s="146" t="s">
        <v>8</v>
      </c>
      <c r="C28" s="1928" t="s">
        <v>618</v>
      </c>
      <c r="D28" s="508" t="s">
        <v>804</v>
      </c>
    </row>
    <row r="29" spans="1:5" s="36" customFormat="1">
      <c r="A29" s="146"/>
      <c r="B29" s="146" t="s">
        <v>8</v>
      </c>
      <c r="C29" s="1928" t="s">
        <v>601</v>
      </c>
      <c r="D29" s="508" t="s">
        <v>602</v>
      </c>
      <c r="E29" s="169"/>
    </row>
    <row r="30" spans="1:5" s="386" customFormat="1">
      <c r="A30" s="146"/>
      <c r="B30" s="146" t="s">
        <v>8</v>
      </c>
      <c r="C30" s="1928" t="s">
        <v>600</v>
      </c>
      <c r="D30" s="508" t="s">
        <v>603</v>
      </c>
      <c r="E30" s="169"/>
    </row>
    <row r="31" spans="1:5" s="459" customFormat="1">
      <c r="A31" s="481" t="s">
        <v>574</v>
      </c>
      <c r="B31" s="481" t="s">
        <v>8</v>
      </c>
      <c r="C31" s="1928" t="s">
        <v>649</v>
      </c>
      <c r="D31" s="510" t="s">
        <v>653</v>
      </c>
    </row>
    <row r="32" spans="1:5" s="459" customFormat="1">
      <c r="A32" s="481"/>
      <c r="B32" s="481" t="s">
        <v>8</v>
      </c>
      <c r="C32" s="1928" t="s">
        <v>648</v>
      </c>
      <c r="D32" s="510" t="s">
        <v>698</v>
      </c>
    </row>
    <row r="33" spans="1:5" s="36" customFormat="1">
      <c r="A33" s="145" t="s">
        <v>457</v>
      </c>
      <c r="B33" s="145" t="s">
        <v>8</v>
      </c>
      <c r="C33" s="1928" t="s">
        <v>644</v>
      </c>
      <c r="D33" s="507" t="s">
        <v>640</v>
      </c>
    </row>
    <row r="34" spans="1:5" s="36" customFormat="1">
      <c r="A34" s="145"/>
      <c r="B34" s="145" t="s">
        <v>8</v>
      </c>
      <c r="C34" s="1928" t="s">
        <v>645</v>
      </c>
      <c r="D34" s="507" t="s">
        <v>461</v>
      </c>
      <c r="E34" s="492"/>
    </row>
    <row r="35" spans="1:5" s="36" customFormat="1">
      <c r="A35" s="145"/>
      <c r="B35" s="145" t="s">
        <v>8</v>
      </c>
      <c r="C35" s="1928" t="s">
        <v>646</v>
      </c>
      <c r="D35" s="507" t="s">
        <v>462</v>
      </c>
      <c r="E35" s="492"/>
    </row>
    <row r="36" spans="1:5" s="36" customFormat="1">
      <c r="A36" s="145"/>
      <c r="B36" s="145" t="s">
        <v>8</v>
      </c>
      <c r="C36" s="1928" t="s">
        <v>647</v>
      </c>
      <c r="D36" s="507" t="s">
        <v>805</v>
      </c>
    </row>
    <row r="37" spans="1:5" s="106" customFormat="1">
      <c r="A37" s="143" t="s">
        <v>3</v>
      </c>
      <c r="B37" s="143" t="s">
        <v>8</v>
      </c>
      <c r="C37" s="1928" t="s">
        <v>143</v>
      </c>
      <c r="D37" s="506" t="s">
        <v>638</v>
      </c>
    </row>
    <row r="38" spans="1:5" s="36" customFormat="1">
      <c r="A38" s="143"/>
      <c r="B38" s="143" t="s">
        <v>8</v>
      </c>
      <c r="C38" s="1928" t="s">
        <v>144</v>
      </c>
      <c r="D38" s="506" t="s">
        <v>315</v>
      </c>
    </row>
    <row r="39" spans="1:5" s="36" customFormat="1">
      <c r="A39" s="143"/>
      <c r="B39" s="143" t="s">
        <v>8</v>
      </c>
      <c r="C39" s="1928" t="s">
        <v>145</v>
      </c>
      <c r="D39" s="506" t="s">
        <v>316</v>
      </c>
    </row>
    <row r="40" spans="1:5" s="36" customFormat="1">
      <c r="A40" s="143"/>
      <c r="B40" s="143" t="s">
        <v>8</v>
      </c>
      <c r="C40" s="1928" t="s">
        <v>616</v>
      </c>
      <c r="D40" s="506" t="s">
        <v>806</v>
      </c>
    </row>
    <row r="41" spans="1:5">
      <c r="A41" s="331" t="s">
        <v>783</v>
      </c>
      <c r="B41" s="331" t="s">
        <v>8</v>
      </c>
      <c r="C41" s="1928" t="s">
        <v>784</v>
      </c>
      <c r="D41" s="509" t="s">
        <v>642</v>
      </c>
    </row>
    <row r="42" spans="1:5" s="163" customFormat="1">
      <c r="A42" s="147" t="s">
        <v>4</v>
      </c>
      <c r="B42" s="147" t="s">
        <v>8</v>
      </c>
      <c r="C42" s="1928" t="s">
        <v>354</v>
      </c>
      <c r="D42" s="511" t="s">
        <v>612</v>
      </c>
    </row>
    <row r="43" spans="1:5">
      <c r="A43" s="147"/>
      <c r="B43" s="147" t="s">
        <v>8</v>
      </c>
      <c r="C43" s="1928" t="s">
        <v>727</v>
      </c>
      <c r="D43" s="511" t="s">
        <v>613</v>
      </c>
    </row>
    <row r="44" spans="1:5" s="36" customFormat="1">
      <c r="A44" s="147"/>
      <c r="B44" s="147" t="s">
        <v>8</v>
      </c>
      <c r="C44" s="1928" t="s">
        <v>650</v>
      </c>
      <c r="D44" s="511" t="s">
        <v>365</v>
      </c>
      <c r="E44" s="169"/>
    </row>
    <row r="45" spans="1:5">
      <c r="A45" s="147"/>
      <c r="B45" s="147" t="s">
        <v>8</v>
      </c>
      <c r="C45" s="1928" t="s">
        <v>517</v>
      </c>
      <c r="D45" s="511" t="s">
        <v>546</v>
      </c>
    </row>
    <row r="46" spans="1:5">
      <c r="A46" s="147"/>
      <c r="B46" s="147" t="s">
        <v>8</v>
      </c>
      <c r="C46" s="1928" t="s">
        <v>313</v>
      </c>
      <c r="D46" s="511" t="s">
        <v>366</v>
      </c>
      <c r="E46" s="169"/>
    </row>
    <row r="47" spans="1:5">
      <c r="A47" s="147"/>
      <c r="B47" s="147" t="s">
        <v>8</v>
      </c>
      <c r="C47" s="1928" t="s">
        <v>314</v>
      </c>
      <c r="D47" s="511" t="s">
        <v>807</v>
      </c>
      <c r="E47" s="169"/>
    </row>
    <row r="48" spans="1:5">
      <c r="A48" s="147"/>
      <c r="B48" s="147" t="s">
        <v>8</v>
      </c>
      <c r="C48" s="1928" t="s">
        <v>395</v>
      </c>
      <c r="D48" s="511" t="s">
        <v>396</v>
      </c>
      <c r="E48" s="169"/>
    </row>
    <row r="49" spans="1:5" s="129" customFormat="1">
      <c r="A49" s="147"/>
      <c r="B49" s="147" t="s">
        <v>8</v>
      </c>
      <c r="C49" s="1928" t="s">
        <v>599</v>
      </c>
      <c r="D49" s="511" t="s">
        <v>367</v>
      </c>
      <c r="E49" s="169"/>
    </row>
    <row r="50" spans="1:5">
      <c r="A50" s="373" t="s">
        <v>515</v>
      </c>
      <c r="B50" s="373" t="s">
        <v>8</v>
      </c>
      <c r="C50" s="1928" t="s">
        <v>14</v>
      </c>
      <c r="D50" s="505" t="s">
        <v>364</v>
      </c>
    </row>
    <row r="51" spans="1:5">
      <c r="A51" s="373" t="s">
        <v>516</v>
      </c>
      <c r="B51" s="373" t="s">
        <v>8</v>
      </c>
      <c r="C51" s="1928" t="s">
        <v>516</v>
      </c>
      <c r="D51" s="505" t="s">
        <v>514</v>
      </c>
    </row>
    <row r="52" spans="1:5">
      <c r="C52" s="431"/>
    </row>
    <row r="56" spans="1:5">
      <c r="C56" s="431"/>
    </row>
    <row r="57" spans="1:5">
      <c r="C57" s="431"/>
    </row>
    <row r="58" spans="1:5">
      <c r="C58" s="431"/>
    </row>
    <row r="59" spans="1:5">
      <c r="C59" s="431"/>
    </row>
    <row r="60" spans="1:5">
      <c r="C60" s="431"/>
    </row>
    <row r="61" spans="1:5">
      <c r="C61" s="431"/>
    </row>
    <row r="62" spans="1:5">
      <c r="C62" s="431"/>
    </row>
    <row r="63" spans="1:5">
      <c r="C63" s="431"/>
    </row>
    <row r="64" spans="1:5">
      <c r="C64" s="431"/>
    </row>
  </sheetData>
  <hyperlinks>
    <hyperlink ref="C12" location="'Alumina - Q&amp;V'!A1" display="Alumina - Quantity and Value"/>
    <hyperlink ref="C13" location="'Alumina - Prices'!A1" display="Alumina - Prices"/>
    <hyperlink ref="C14" location="'Alumina - Exports'!A1" display="Alumina - Exports"/>
    <hyperlink ref="C15" location="'Alumina - WA vs Australia'!A1" display="Alumina - WA vs. Australia"/>
    <hyperlink ref="C37" location="'Nickel - Q&amp;V'!A1" display="Nickel - Quantity and Value"/>
    <hyperlink ref="C38" location="'Nickel - Prices'!A1" display="Nickel - Prices"/>
    <hyperlink ref="C39" location="'Nickel - Exports'!A1" display="Nickel - Exports"/>
    <hyperlink ref="C40" location="'Nickel - WA vs Australia'!A1" display="Nickel - WA vs. Australia"/>
    <hyperlink ref="C20" location="'Gold - Q&amp;V'!A1" display="Gold - Quantity and Value"/>
    <hyperlink ref="C21" location="'Gold - Prices'!A1" display="Gold - Prices"/>
    <hyperlink ref="C22" location="'Gold - Exports'!A1" display="Gold - Exports"/>
    <hyperlink ref="C23" location="'Gold - WA vs Australia'!A1" display="Gold - WA vs. Australia"/>
    <hyperlink ref="C24" location="'Gold - Prod. By Mineral Field'!A1" display="Gold - Cumulative Production"/>
    <hyperlink ref="C33" location="'Mineral Sands - Q&amp;V'!A1" display="Mineral Sands - Quantity and Value"/>
    <hyperlink ref="C35" location="'Mineral Sands - Exports'!A1" display="Mineral Sands - Exports"/>
    <hyperlink ref="C36" location="'Mineral Sands - WA vs Australia'!A1" display="Mineral Sands - WA vs Australia"/>
    <hyperlink ref="C25" location="'Iron Ore - Q&amp;V'!A1" display="Iron Ore - Quantity and Value"/>
    <hyperlink ref="C26" location="'Iron Ore - Prices'!A1" display="Iron Ore - Prices"/>
    <hyperlink ref="C27" location="'Iron Ore - Exports'!A1" display="Iron Ore - Exports"/>
    <hyperlink ref="C29" location="'China Steel Prod &amp; Iron Ore CY'!A1" display="China Crude Steel Production &amp; Iron Ore Imports (Calendar Year)"/>
    <hyperlink ref="C28" location="'Iron Ore - WA vs Australia'!A1" display="Iron Ore - WA vs. Australia"/>
    <hyperlink ref="C42" location="'Petroleum - Q&amp;V1'!A1" display="Petroleum - Quantity and Value (Crude Oil and Condensate)"/>
    <hyperlink ref="C44" location="'Petroleum - Oil Prices'!A1" display="Petroleum - Oil Prices"/>
    <hyperlink ref="C46" location="'Petroleum - Exports'!A1" display="Petroleum - Exports"/>
    <hyperlink ref="C47" location="'Petroleum - WA vs Australia'!A1" display="Petroleum - WA vs Australia"/>
    <hyperlink ref="C43" location="'Petroleum - Q&amp;V2'!A1" display="Petroleum - Quantity and Value (Natural Gas and Related)"/>
    <hyperlink ref="C6" location="'Commodity Prices'!A1" display="Commodity Prices"/>
    <hyperlink ref="C7" location="'Q&amp;V Summary 2-years'!A1" display="Q&amp;V Summary"/>
    <hyperlink ref="C8" location="'CY Q&amp;V 1886 to 2003'!A1" display="Calendar Year Q&amp;V 1886 to 2003"/>
    <hyperlink ref="C49" location="'Petroleum - Global Oil Reserves'!A1" display="Petroleum - Global Oil Reserves"/>
    <hyperlink ref="C16" location="'Base Metals - Q&amp;V'!A1" display="Base Metals - Quantity and Value"/>
    <hyperlink ref="C17" location="'Base Metals - Prices'!A1" display="Base Metals - Prices"/>
    <hyperlink ref="C18" location="'Base Metals - Exports'!A1" display="Base Metals - Exports"/>
    <hyperlink ref="C19" location="'Base Metals - WA vs Australia'!A1" display="Base Metals - WA vs. Australia"/>
    <hyperlink ref="C34" location="'Mineral Sands - Prices'!A1" display="Mineral Sands - Prices"/>
    <hyperlink ref="C48" location="'Petroleum - Global LNG Trade'!A1" display="Petroleum - Global LNG Trade"/>
    <hyperlink ref="C41" location="'Other Commodities - Q&amp;V'!A1" display="Other Commodities - Quantity and Value"/>
    <hyperlink ref="C10" location="'FY Q&amp;V 2003-04 to Now'!A1" display="Financial Year Q&amp;V 1984-85 to 2002-03"/>
    <hyperlink ref="C9" location="'CY Q&amp;V 2004 to Now'!A1" display="Financial Year Q&amp;V 2004 to Now"/>
    <hyperlink ref="C11" location="'FY Q&amp;V 2003-04 to Now'!A1" display="FY Q&amp;V 2003-04 to Now"/>
    <hyperlink ref="C50" location="'Data Sources'!A1" display="Sources"/>
    <hyperlink ref="C51" location="'How To Use'!A1" display="How to Use"/>
    <hyperlink ref="C45" location="'Petroleum - Gas Prices'!A1" display="Petroleum - Gas Prices"/>
    <hyperlink ref="C31" location="'Lithium - Q&amp;V'!A1" display="Battery Minerals - Quantity &amp; Value"/>
    <hyperlink ref="C32" location="'Lithium - Prices'!A1" display="Battery Minerals - Prices"/>
    <hyperlink ref="C30" location="'China Steel Prod &amp; Iron Ore FY'!A1" display="China Crude Steel Production &amp; Iron Ore Imports (Financial Year)"/>
  </hyperlinks>
  <pageMargins left="0.25" right="0.25" top="0.75" bottom="0.75" header="0.3" footer="0.3"/>
  <pageSetup paperSize="9" scale="95" fitToWidth="0" orientation="portrait" r:id="rId1"/>
  <drawing r:id="rId2"/>
  <legacyDrawing r:id="rId3"/>
  <oleObjects>
    <mc:AlternateContent xmlns:mc="http://schemas.openxmlformats.org/markup-compatibility/2006">
      <mc:Choice Requires="x14">
        <oleObject progId="Word.Document.12" shapeId="1025" r:id="rId4">
          <objectPr defaultSize="0" autoPict="0" r:id="rId5">
            <anchor moveWithCells="1">
              <from>
                <xdr:col>4</xdr:col>
                <xdr:colOff>38100</xdr:colOff>
                <xdr:row>5</xdr:row>
                <xdr:rowOff>19050</xdr:rowOff>
              </from>
              <to>
                <xdr:col>11</xdr:col>
                <xdr:colOff>409575</xdr:colOff>
                <xdr:row>22</xdr:row>
                <xdr:rowOff>104775</xdr:rowOff>
              </to>
            </anchor>
          </objectPr>
        </oleObject>
      </mc:Choice>
      <mc:Fallback>
        <oleObject progId="Word.Document.12"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1:Z366"/>
  <sheetViews>
    <sheetView showGridLines="0" zoomScaleNormal="100" workbookViewId="0">
      <pane ySplit="7" topLeftCell="A8" activePane="bottomLeft" state="frozen"/>
      <selection activeCell="V13" sqref="V13"/>
      <selection pane="bottomLeft" activeCell="G88" sqref="A88:G88"/>
    </sheetView>
  </sheetViews>
  <sheetFormatPr defaultRowHeight="15"/>
  <cols>
    <col min="1" max="1" width="11.28515625" customWidth="1"/>
    <col min="2" max="2" width="13.5703125" customWidth="1"/>
    <col min="3" max="3" width="17.42578125" bestFit="1" customWidth="1"/>
    <col min="4" max="4" width="15.42578125" style="431" customWidth="1"/>
    <col min="5" max="7" width="17.42578125" style="431" customWidth="1"/>
    <col min="8" max="9" width="13.85546875" style="25" hidden="1" customWidth="1"/>
    <col min="19" max="19" width="17.85546875" customWidth="1"/>
    <col min="20" max="20" width="15.140625" style="129" hidden="1" customWidth="1"/>
    <col min="21" max="22" width="17.85546875" customWidth="1"/>
  </cols>
  <sheetData>
    <row r="1" spans="1:22" s="5" customFormat="1">
      <c r="A1" s="118" t="s">
        <v>369</v>
      </c>
      <c r="D1" s="431"/>
      <c r="E1" s="431"/>
      <c r="F1" s="431"/>
      <c r="G1" s="431"/>
      <c r="H1" s="25"/>
      <c r="I1" s="25"/>
      <c r="T1" s="129"/>
    </row>
    <row r="2" spans="1:22" s="5" customFormat="1">
      <c r="A2" s="118" t="s">
        <v>382</v>
      </c>
      <c r="D2" s="431"/>
      <c r="E2" s="431"/>
      <c r="F2" s="431"/>
      <c r="G2" s="431"/>
      <c r="H2" s="25"/>
      <c r="I2" s="25"/>
      <c r="T2" s="129"/>
    </row>
    <row r="3" spans="1:22" s="5" customFormat="1" ht="29.25" customHeight="1">
      <c r="D3" s="431"/>
      <c r="E3" s="431"/>
      <c r="F3" s="431"/>
      <c r="G3" s="431"/>
      <c r="H3" s="25"/>
      <c r="I3" s="25"/>
      <c r="T3" s="129"/>
    </row>
    <row r="4" spans="1:22">
      <c r="A4" s="1971" t="s">
        <v>746</v>
      </c>
      <c r="B4" s="1971"/>
      <c r="C4" s="1971"/>
      <c r="D4" s="1971"/>
      <c r="E4" s="1971"/>
      <c r="F4" s="1971"/>
      <c r="G4" s="1971"/>
      <c r="H4" s="512"/>
      <c r="I4" s="512"/>
    </row>
    <row r="5" spans="1:22" ht="15.75" thickBot="1">
      <c r="A5" s="1972" t="s">
        <v>744</v>
      </c>
      <c r="B5" s="1972"/>
      <c r="C5" s="1972"/>
      <c r="D5" s="1972"/>
      <c r="E5" s="1972"/>
      <c r="F5" s="1972"/>
      <c r="G5" s="1972"/>
      <c r="H5" s="517"/>
      <c r="I5" s="517"/>
      <c r="S5" s="386"/>
      <c r="T5" s="386"/>
      <c r="U5" s="386"/>
      <c r="V5" s="386"/>
    </row>
    <row r="6" spans="1:22" s="492" customFormat="1">
      <c r="A6" s="1207" t="s">
        <v>547</v>
      </c>
      <c r="B6" s="1978" t="s">
        <v>0</v>
      </c>
      <c r="C6" s="1979"/>
      <c r="D6" s="1980" t="s">
        <v>551</v>
      </c>
      <c r="E6" s="1979"/>
      <c r="F6" s="1980" t="s">
        <v>114</v>
      </c>
      <c r="G6" s="1979"/>
      <c r="H6" s="513"/>
      <c r="I6" s="513"/>
    </row>
    <row r="7" spans="1:22" ht="15.75" thickBot="1">
      <c r="A7" s="934" t="s">
        <v>6</v>
      </c>
      <c r="B7" s="514" t="s">
        <v>7</v>
      </c>
      <c r="C7" s="722" t="s">
        <v>635</v>
      </c>
      <c r="D7" s="514" t="s">
        <v>7</v>
      </c>
      <c r="E7" s="515" t="s">
        <v>635</v>
      </c>
      <c r="F7" s="514" t="s">
        <v>7</v>
      </c>
      <c r="G7" s="653" t="s">
        <v>635</v>
      </c>
      <c r="H7" s="516"/>
      <c r="I7" s="516"/>
    </row>
    <row r="8" spans="1:22">
      <c r="A8" s="1313">
        <v>35855</v>
      </c>
      <c r="B8" s="700">
        <v>2.1120000000000001</v>
      </c>
      <c r="C8" s="699">
        <v>582.47</v>
      </c>
      <c r="D8" s="700">
        <v>0</v>
      </c>
      <c r="E8" s="699">
        <v>0</v>
      </c>
      <c r="F8" s="700">
        <f>SUM(B8+D8)</f>
        <v>2.1120000000000001</v>
      </c>
      <c r="G8" s="699">
        <f t="shared" ref="G8:G71" si="0">SUM(C8+E8)</f>
        <v>582.47</v>
      </c>
      <c r="H8" s="98">
        <f t="shared" ref="H8:H71" si="1">YEAR(A8)</f>
        <v>1998</v>
      </c>
      <c r="I8" s="98" t="str">
        <f t="shared" ref="I8:I71" si="2">IF(MONTH(A8)=3,"1",IF(MONTH(A8)=6,"2",IF(MONTH(A8)=9,"3","4")))</f>
        <v>1</v>
      </c>
      <c r="S8" s="1973" t="s">
        <v>745</v>
      </c>
      <c r="T8" s="1973"/>
      <c r="U8" s="1973"/>
      <c r="V8" s="1973"/>
    </row>
    <row r="9" spans="1:22" ht="15.75" thickBot="1">
      <c r="A9" s="1310">
        <v>35947</v>
      </c>
      <c r="B9" s="702">
        <v>2.1309999999999998</v>
      </c>
      <c r="C9" s="701">
        <v>588.75</v>
      </c>
      <c r="D9" s="702">
        <v>0</v>
      </c>
      <c r="E9" s="701">
        <v>0</v>
      </c>
      <c r="F9" s="702">
        <f t="shared" ref="F9:F72" si="3">SUM(B9+D9)</f>
        <v>2.1309999999999998</v>
      </c>
      <c r="G9" s="701">
        <f t="shared" si="0"/>
        <v>588.75</v>
      </c>
      <c r="H9" s="98">
        <f t="shared" si="1"/>
        <v>1998</v>
      </c>
      <c r="I9" s="98" t="str">
        <f t="shared" si="2"/>
        <v>2</v>
      </c>
      <c r="S9" s="1974" t="s">
        <v>43</v>
      </c>
      <c r="T9" s="1974"/>
      <c r="U9" s="1974"/>
      <c r="V9" s="1974"/>
    </row>
    <row r="10" spans="1:22">
      <c r="A10" s="1310">
        <v>36039</v>
      </c>
      <c r="B10" s="700">
        <v>2.0110000000000001</v>
      </c>
      <c r="C10" s="699">
        <v>562.38</v>
      </c>
      <c r="D10" s="700">
        <v>0</v>
      </c>
      <c r="E10" s="699">
        <v>0</v>
      </c>
      <c r="F10" s="700">
        <f t="shared" si="3"/>
        <v>2.0110000000000001</v>
      </c>
      <c r="G10" s="699">
        <f t="shared" si="0"/>
        <v>562.38</v>
      </c>
      <c r="H10" s="98">
        <f t="shared" si="1"/>
        <v>1998</v>
      </c>
      <c r="I10" s="98" t="str">
        <f t="shared" si="2"/>
        <v>3</v>
      </c>
      <c r="S10" s="719" t="s">
        <v>6</v>
      </c>
      <c r="T10" s="720"/>
      <c r="U10" s="721" t="s">
        <v>7</v>
      </c>
      <c r="V10" s="717" t="s">
        <v>635</v>
      </c>
    </row>
    <row r="11" spans="1:22">
      <c r="A11" s="1310">
        <v>36130</v>
      </c>
      <c r="B11" s="702">
        <v>2.4940000000000002</v>
      </c>
      <c r="C11" s="701">
        <v>696.1</v>
      </c>
      <c r="D11" s="702">
        <v>0</v>
      </c>
      <c r="E11" s="701">
        <v>0</v>
      </c>
      <c r="F11" s="702">
        <f t="shared" si="3"/>
        <v>2.4940000000000002</v>
      </c>
      <c r="G11" s="701">
        <f t="shared" si="0"/>
        <v>696.1</v>
      </c>
      <c r="H11" s="98">
        <f t="shared" si="1"/>
        <v>1998</v>
      </c>
      <c r="I11" s="98" t="str">
        <f t="shared" si="2"/>
        <v>4</v>
      </c>
      <c r="S11" s="1314">
        <f>LARGE(A$8:A$742,10)</f>
        <v>43525</v>
      </c>
      <c r="T11" s="605"/>
      <c r="U11" s="700">
        <f>SUMIF($A$8:$A$742,$S11,F$8:F$742)</f>
        <v>3.7422924799999997</v>
      </c>
      <c r="V11" s="699">
        <f>SUMIF($A$8:$A$742,$S11,G$8:G$742)</f>
        <v>1923.275007</v>
      </c>
    </row>
    <row r="12" spans="1:22">
      <c r="A12" s="1310">
        <v>36220</v>
      </c>
      <c r="B12" s="700">
        <v>2.0990000000000002</v>
      </c>
      <c r="C12" s="699">
        <v>544.82000000000005</v>
      </c>
      <c r="D12" s="700">
        <v>0</v>
      </c>
      <c r="E12" s="699">
        <v>0</v>
      </c>
      <c r="F12" s="700">
        <f t="shared" si="3"/>
        <v>2.0990000000000002</v>
      </c>
      <c r="G12" s="699">
        <f t="shared" si="0"/>
        <v>544.82000000000005</v>
      </c>
      <c r="H12" s="98">
        <f t="shared" si="1"/>
        <v>1999</v>
      </c>
      <c r="I12" s="98" t="str">
        <f t="shared" si="2"/>
        <v>1</v>
      </c>
      <c r="S12" s="1310">
        <f>LARGE(A$8:A$742,9)</f>
        <v>43617</v>
      </c>
      <c r="T12" s="104"/>
      <c r="U12" s="702">
        <f t="shared" ref="U12:U20" si="4">SUMIF($A$8:$A$742,$S12,F$8:F$742)</f>
        <v>4.0186735799999997</v>
      </c>
      <c r="V12" s="701">
        <f t="shared" ref="V12:V19" si="5">SUMIF($A$8:$A$742,$S12,G$8:G$742)</f>
        <v>1989.7029249999998</v>
      </c>
    </row>
    <row r="13" spans="1:22">
      <c r="A13" s="1310">
        <v>36312</v>
      </c>
      <c r="B13" s="702">
        <v>2.2599999999999998</v>
      </c>
      <c r="C13" s="701">
        <v>563.73</v>
      </c>
      <c r="D13" s="702">
        <v>0</v>
      </c>
      <c r="E13" s="701">
        <v>0</v>
      </c>
      <c r="F13" s="702">
        <f t="shared" si="3"/>
        <v>2.2599999999999998</v>
      </c>
      <c r="G13" s="701">
        <f t="shared" si="0"/>
        <v>563.73</v>
      </c>
      <c r="H13" s="98">
        <f t="shared" si="1"/>
        <v>1999</v>
      </c>
      <c r="I13" s="98" t="str">
        <f t="shared" si="2"/>
        <v>2</v>
      </c>
      <c r="S13" s="1310">
        <f>LARGE(A$8:A$742,8)</f>
        <v>43709</v>
      </c>
      <c r="T13" s="105"/>
      <c r="U13" s="700">
        <f t="shared" si="4"/>
        <v>3.9426898889999999</v>
      </c>
      <c r="V13" s="699">
        <f t="shared" si="5"/>
        <v>1757.021943</v>
      </c>
    </row>
    <row r="14" spans="1:22">
      <c r="A14" s="1310">
        <v>36404</v>
      </c>
      <c r="B14" s="700">
        <v>2.2810000000000001</v>
      </c>
      <c r="C14" s="699">
        <v>585.11</v>
      </c>
      <c r="D14" s="700">
        <v>0</v>
      </c>
      <c r="E14" s="699">
        <v>0</v>
      </c>
      <c r="F14" s="700">
        <f t="shared" si="3"/>
        <v>2.2810000000000001</v>
      </c>
      <c r="G14" s="699">
        <f t="shared" si="0"/>
        <v>585.11</v>
      </c>
      <c r="H14" s="98">
        <f t="shared" si="1"/>
        <v>1999</v>
      </c>
      <c r="I14" s="98" t="str">
        <f t="shared" si="2"/>
        <v>3</v>
      </c>
      <c r="S14" s="1310">
        <f>LARGE(A$8:A$742,7)</f>
        <v>43800</v>
      </c>
      <c r="T14" s="104"/>
      <c r="U14" s="702">
        <f t="shared" si="4"/>
        <v>4.176980564</v>
      </c>
      <c r="V14" s="701">
        <f t="shared" si="5"/>
        <v>1689.0102509999999</v>
      </c>
    </row>
    <row r="15" spans="1:22">
      <c r="A15" s="1310">
        <v>36495</v>
      </c>
      <c r="B15" s="702">
        <v>2.2909999999999999</v>
      </c>
      <c r="C15" s="701">
        <v>617.71</v>
      </c>
      <c r="D15" s="702">
        <v>0</v>
      </c>
      <c r="E15" s="701">
        <v>0</v>
      </c>
      <c r="F15" s="702">
        <f t="shared" si="3"/>
        <v>2.2909999999999999</v>
      </c>
      <c r="G15" s="701">
        <f t="shared" si="0"/>
        <v>617.71</v>
      </c>
      <c r="H15" s="98">
        <f t="shared" si="1"/>
        <v>1999</v>
      </c>
      <c r="I15" s="98" t="str">
        <f t="shared" si="2"/>
        <v>4</v>
      </c>
      <c r="S15" s="1310">
        <f>LARGE(A$8:A$742,6)</f>
        <v>43891</v>
      </c>
      <c r="T15" s="105"/>
      <c r="U15" s="700">
        <f t="shared" si="4"/>
        <v>3.8419108500000001</v>
      </c>
      <c r="V15" s="699">
        <f t="shared" si="5"/>
        <v>1529.2994430000001</v>
      </c>
    </row>
    <row r="16" spans="1:22">
      <c r="A16" s="1310">
        <v>36586</v>
      </c>
      <c r="B16" s="700">
        <v>2.3639999999999999</v>
      </c>
      <c r="C16" s="699">
        <v>703.47</v>
      </c>
      <c r="D16" s="700">
        <v>0</v>
      </c>
      <c r="E16" s="699">
        <v>0</v>
      </c>
      <c r="F16" s="700">
        <f t="shared" si="3"/>
        <v>2.3639999999999999</v>
      </c>
      <c r="G16" s="699">
        <f t="shared" si="0"/>
        <v>703.47</v>
      </c>
      <c r="H16" s="98">
        <f t="shared" si="1"/>
        <v>2000</v>
      </c>
      <c r="I16" s="98" t="str">
        <f t="shared" si="2"/>
        <v>1</v>
      </c>
      <c r="S16" s="1310">
        <f>LARGE(A$8:A$742,5)</f>
        <v>43983</v>
      </c>
      <c r="T16" s="104"/>
      <c r="U16" s="702">
        <f t="shared" si="4"/>
        <v>3.8424271399999999</v>
      </c>
      <c r="V16" s="701">
        <f t="shared" si="5"/>
        <v>1441.068</v>
      </c>
    </row>
    <row r="17" spans="1:22">
      <c r="A17" s="1310">
        <v>36678</v>
      </c>
      <c r="B17" s="702">
        <v>2.4180000000000001</v>
      </c>
      <c r="C17" s="701">
        <v>751.6</v>
      </c>
      <c r="D17" s="702">
        <v>0</v>
      </c>
      <c r="E17" s="701">
        <v>0</v>
      </c>
      <c r="F17" s="702">
        <f t="shared" si="3"/>
        <v>2.4180000000000001</v>
      </c>
      <c r="G17" s="701">
        <f t="shared" si="0"/>
        <v>751.6</v>
      </c>
      <c r="H17" s="98">
        <f t="shared" si="1"/>
        <v>2000</v>
      </c>
      <c r="I17" s="98" t="str">
        <f t="shared" si="2"/>
        <v>2</v>
      </c>
      <c r="S17" s="1310">
        <f>LARGE(A$8:A$742,4)</f>
        <v>44075</v>
      </c>
      <c r="T17" s="105"/>
      <c r="U17" s="700">
        <f t="shared" si="4"/>
        <v>4.2997635299999999</v>
      </c>
      <c r="V17" s="699">
        <f t="shared" si="5"/>
        <v>1466.2717329999998</v>
      </c>
    </row>
    <row r="18" spans="1:22">
      <c r="A18" s="1310">
        <v>36770</v>
      </c>
      <c r="B18" s="700">
        <v>2.5499999999999998</v>
      </c>
      <c r="C18" s="699">
        <v>791.53</v>
      </c>
      <c r="D18" s="700">
        <v>0</v>
      </c>
      <c r="E18" s="699">
        <v>0</v>
      </c>
      <c r="F18" s="700">
        <f t="shared" si="3"/>
        <v>2.5499999999999998</v>
      </c>
      <c r="G18" s="699">
        <f t="shared" si="0"/>
        <v>791.53</v>
      </c>
      <c r="H18" s="98">
        <f t="shared" si="1"/>
        <v>2000</v>
      </c>
      <c r="I18" s="98" t="str">
        <f t="shared" si="2"/>
        <v>3</v>
      </c>
      <c r="S18" s="1310">
        <f>LARGE(A$8:A$742,3)</f>
        <v>44166</v>
      </c>
      <c r="T18" s="104"/>
      <c r="U18" s="702">
        <f t="shared" si="4"/>
        <v>4.2143694700000003</v>
      </c>
      <c r="V18" s="701">
        <f t="shared" si="5"/>
        <v>1419.101146</v>
      </c>
    </row>
    <row r="19" spans="1:22">
      <c r="A19" s="1310">
        <v>36861</v>
      </c>
      <c r="B19" s="702">
        <v>2.67</v>
      </c>
      <c r="C19" s="701">
        <v>940.88</v>
      </c>
      <c r="D19" s="702">
        <v>0</v>
      </c>
      <c r="E19" s="701">
        <v>0</v>
      </c>
      <c r="F19" s="702">
        <f t="shared" si="3"/>
        <v>2.67</v>
      </c>
      <c r="G19" s="701">
        <f t="shared" si="0"/>
        <v>940.88</v>
      </c>
      <c r="H19" s="98">
        <f t="shared" si="1"/>
        <v>2000</v>
      </c>
      <c r="I19" s="98" t="str">
        <f t="shared" si="2"/>
        <v>4</v>
      </c>
      <c r="S19" s="1310">
        <f>LARGE(A$8:A$742,2)</f>
        <v>44256</v>
      </c>
      <c r="T19" s="105"/>
      <c r="U19" s="700">
        <f t="shared" si="4"/>
        <v>3.78502501</v>
      </c>
      <c r="V19" s="699">
        <f t="shared" si="5"/>
        <v>1338.498587</v>
      </c>
    </row>
    <row r="20" spans="1:22" ht="15.75" thickBot="1">
      <c r="A20" s="1310">
        <v>36951</v>
      </c>
      <c r="B20" s="700">
        <v>2.5990000000000002</v>
      </c>
      <c r="C20" s="699">
        <v>880.32</v>
      </c>
      <c r="D20" s="700">
        <v>0</v>
      </c>
      <c r="E20" s="699">
        <v>0</v>
      </c>
      <c r="F20" s="700">
        <f t="shared" si="3"/>
        <v>2.5990000000000002</v>
      </c>
      <c r="G20" s="699">
        <f t="shared" si="0"/>
        <v>880.32</v>
      </c>
      <c r="H20" s="98">
        <f t="shared" si="1"/>
        <v>2001</v>
      </c>
      <c r="I20" s="98" t="str">
        <f t="shared" si="2"/>
        <v>1</v>
      </c>
      <c r="S20" s="1315">
        <f>LARGE(A$8:A$742,1)</f>
        <v>44348</v>
      </c>
      <c r="T20" s="718"/>
      <c r="U20" s="784">
        <f t="shared" si="4"/>
        <v>3.9059542599999997</v>
      </c>
      <c r="V20" s="785">
        <f>SUMIF($A$8:$A$742,$S20,G$8:G$742)</f>
        <v>1341.149079</v>
      </c>
    </row>
    <row r="21" spans="1:22">
      <c r="A21" s="1310">
        <v>37043</v>
      </c>
      <c r="B21" s="702">
        <v>2.67</v>
      </c>
      <c r="C21" s="701">
        <v>987.94</v>
      </c>
      <c r="D21" s="702">
        <v>0</v>
      </c>
      <c r="E21" s="701">
        <v>0</v>
      </c>
      <c r="F21" s="702">
        <f t="shared" si="3"/>
        <v>2.67</v>
      </c>
      <c r="G21" s="701">
        <f t="shared" si="0"/>
        <v>987.94</v>
      </c>
      <c r="H21" s="98">
        <f t="shared" si="1"/>
        <v>2001</v>
      </c>
      <c r="I21" s="98" t="str">
        <f t="shared" si="2"/>
        <v>2</v>
      </c>
      <c r="S21" s="2"/>
      <c r="T21" s="2"/>
    </row>
    <row r="22" spans="1:22">
      <c r="A22" s="1310">
        <v>37135</v>
      </c>
      <c r="B22" s="700">
        <v>2.8039999999999998</v>
      </c>
      <c r="C22" s="699">
        <v>981.27</v>
      </c>
      <c r="D22" s="700">
        <v>0</v>
      </c>
      <c r="E22" s="699">
        <v>0</v>
      </c>
      <c r="F22" s="700">
        <f t="shared" si="3"/>
        <v>2.8039999999999998</v>
      </c>
      <c r="G22" s="699">
        <f t="shared" si="0"/>
        <v>981.27</v>
      </c>
      <c r="H22" s="98">
        <f t="shared" si="1"/>
        <v>2001</v>
      </c>
      <c r="I22" s="98" t="str">
        <f t="shared" si="2"/>
        <v>3</v>
      </c>
      <c r="S22" s="2"/>
      <c r="T22" s="2"/>
    </row>
    <row r="23" spans="1:22">
      <c r="A23" s="1310">
        <v>37226</v>
      </c>
      <c r="B23" s="702">
        <v>2.6850000000000001</v>
      </c>
      <c r="C23" s="701">
        <v>917.02</v>
      </c>
      <c r="D23" s="702">
        <v>0</v>
      </c>
      <c r="E23" s="701">
        <v>0</v>
      </c>
      <c r="F23" s="702">
        <f t="shared" si="3"/>
        <v>2.6850000000000001</v>
      </c>
      <c r="G23" s="701">
        <f t="shared" si="0"/>
        <v>917.02</v>
      </c>
      <c r="H23" s="98">
        <f t="shared" si="1"/>
        <v>2001</v>
      </c>
      <c r="I23" s="98" t="str">
        <f t="shared" si="2"/>
        <v>4</v>
      </c>
      <c r="S23" s="2"/>
      <c r="T23" s="2"/>
    </row>
    <row r="24" spans="1:22">
      <c r="A24" s="1310">
        <v>37316</v>
      </c>
      <c r="B24" s="700">
        <v>2.621</v>
      </c>
      <c r="C24" s="699">
        <v>837.87</v>
      </c>
      <c r="D24" s="700">
        <v>0</v>
      </c>
      <c r="E24" s="699">
        <v>0</v>
      </c>
      <c r="F24" s="700">
        <f t="shared" si="3"/>
        <v>2.621</v>
      </c>
      <c r="G24" s="699">
        <f t="shared" si="0"/>
        <v>837.87</v>
      </c>
      <c r="H24" s="98">
        <f t="shared" si="1"/>
        <v>2002</v>
      </c>
      <c r="I24" s="98" t="str">
        <f t="shared" si="2"/>
        <v>1</v>
      </c>
      <c r="S24" s="2"/>
      <c r="T24" s="2"/>
    </row>
    <row r="25" spans="1:22">
      <c r="A25" s="1310">
        <v>37408</v>
      </c>
      <c r="B25" s="702">
        <v>2.7469999999999999</v>
      </c>
      <c r="C25" s="701">
        <v>848.22</v>
      </c>
      <c r="D25" s="702">
        <v>0</v>
      </c>
      <c r="E25" s="701">
        <v>0</v>
      </c>
      <c r="F25" s="702">
        <f t="shared" si="3"/>
        <v>2.7469999999999999</v>
      </c>
      <c r="G25" s="701">
        <f t="shared" si="0"/>
        <v>848.22</v>
      </c>
      <c r="H25" s="98">
        <f t="shared" si="1"/>
        <v>2002</v>
      </c>
      <c r="I25" s="98" t="str">
        <f t="shared" si="2"/>
        <v>2</v>
      </c>
      <c r="S25" s="2"/>
      <c r="T25" s="2"/>
    </row>
    <row r="26" spans="1:22">
      <c r="A26" s="1310">
        <v>37500</v>
      </c>
      <c r="B26" s="700">
        <v>2.93</v>
      </c>
      <c r="C26" s="699">
        <v>867.88</v>
      </c>
      <c r="D26" s="700">
        <v>0</v>
      </c>
      <c r="E26" s="699">
        <v>0</v>
      </c>
      <c r="F26" s="700">
        <f t="shared" si="3"/>
        <v>2.93</v>
      </c>
      <c r="G26" s="699">
        <f t="shared" si="0"/>
        <v>867.88</v>
      </c>
      <c r="H26" s="98">
        <f t="shared" si="1"/>
        <v>2002</v>
      </c>
      <c r="I26" s="98" t="str">
        <f t="shared" si="2"/>
        <v>3</v>
      </c>
      <c r="S26" s="2"/>
      <c r="T26" s="2"/>
    </row>
    <row r="27" spans="1:22">
      <c r="A27" s="1310">
        <v>37591</v>
      </c>
      <c r="B27" s="702">
        <v>2.702</v>
      </c>
      <c r="C27" s="701">
        <v>785.28</v>
      </c>
      <c r="D27" s="702">
        <v>0</v>
      </c>
      <c r="E27" s="701">
        <v>0</v>
      </c>
      <c r="F27" s="702">
        <f t="shared" si="3"/>
        <v>2.702</v>
      </c>
      <c r="G27" s="701">
        <f t="shared" si="0"/>
        <v>785.28</v>
      </c>
      <c r="H27" s="98">
        <f t="shared" si="1"/>
        <v>2002</v>
      </c>
      <c r="I27" s="98" t="str">
        <f t="shared" si="2"/>
        <v>4</v>
      </c>
      <c r="S27" s="2"/>
      <c r="T27" s="2"/>
    </row>
    <row r="28" spans="1:22">
      <c r="A28" s="1310">
        <v>37681</v>
      </c>
      <c r="B28" s="700">
        <v>2.8679999999999999</v>
      </c>
      <c r="C28" s="699">
        <v>825.43</v>
      </c>
      <c r="D28" s="700">
        <v>0</v>
      </c>
      <c r="E28" s="699">
        <v>0</v>
      </c>
      <c r="F28" s="700">
        <f t="shared" si="3"/>
        <v>2.8679999999999999</v>
      </c>
      <c r="G28" s="699">
        <f t="shared" si="0"/>
        <v>825.43</v>
      </c>
      <c r="H28" s="98">
        <f t="shared" si="1"/>
        <v>2003</v>
      </c>
      <c r="I28" s="98" t="str">
        <f t="shared" si="2"/>
        <v>1</v>
      </c>
    </row>
    <row r="29" spans="1:22">
      <c r="A29" s="1310">
        <v>37773</v>
      </c>
      <c r="B29" s="702">
        <v>2.6309999999999998</v>
      </c>
      <c r="C29" s="701">
        <v>726.07</v>
      </c>
      <c r="D29" s="702">
        <v>0</v>
      </c>
      <c r="E29" s="701">
        <v>0</v>
      </c>
      <c r="F29" s="702">
        <f t="shared" si="3"/>
        <v>2.6309999999999998</v>
      </c>
      <c r="G29" s="701">
        <f t="shared" si="0"/>
        <v>726.07</v>
      </c>
      <c r="H29" s="98">
        <f t="shared" si="1"/>
        <v>2003</v>
      </c>
      <c r="I29" s="98" t="str">
        <f t="shared" si="2"/>
        <v>2</v>
      </c>
    </row>
    <row r="30" spans="1:22">
      <c r="A30" s="1310">
        <v>37865</v>
      </c>
      <c r="B30" s="700">
        <v>2.7226050000000002</v>
      </c>
      <c r="C30" s="699">
        <v>755.41628309999999</v>
      </c>
      <c r="D30" s="700">
        <v>0</v>
      </c>
      <c r="E30" s="699">
        <v>0</v>
      </c>
      <c r="F30" s="700">
        <f t="shared" si="3"/>
        <v>2.7226050000000002</v>
      </c>
      <c r="G30" s="699">
        <f t="shared" si="0"/>
        <v>755.41628309999999</v>
      </c>
      <c r="H30" s="98">
        <f t="shared" si="1"/>
        <v>2003</v>
      </c>
      <c r="I30" s="98" t="str">
        <f t="shared" si="2"/>
        <v>3</v>
      </c>
    </row>
    <row r="31" spans="1:22">
      <c r="A31" s="1310">
        <v>37956</v>
      </c>
      <c r="B31" s="702">
        <v>3.006259</v>
      </c>
      <c r="C31" s="701">
        <v>833.56663588000004</v>
      </c>
      <c r="D31" s="702">
        <v>0</v>
      </c>
      <c r="E31" s="701">
        <v>0</v>
      </c>
      <c r="F31" s="702">
        <f t="shared" si="3"/>
        <v>3.006259</v>
      </c>
      <c r="G31" s="701">
        <f t="shared" si="0"/>
        <v>833.56663588000004</v>
      </c>
      <c r="H31" s="98">
        <f t="shared" si="1"/>
        <v>2003</v>
      </c>
      <c r="I31" s="98" t="str">
        <f t="shared" si="2"/>
        <v>4</v>
      </c>
      <c r="S31" s="10"/>
      <c r="T31" s="128"/>
      <c r="U31" s="10"/>
      <c r="V31" s="10"/>
    </row>
    <row r="32" spans="1:22" ht="15.75" thickBot="1">
      <c r="A32" s="1310">
        <v>38047</v>
      </c>
      <c r="B32" s="700">
        <v>2.6839559999999998</v>
      </c>
      <c r="C32" s="699">
        <v>717.85749199999998</v>
      </c>
      <c r="D32" s="700">
        <v>0</v>
      </c>
      <c r="E32" s="699">
        <v>0</v>
      </c>
      <c r="F32" s="700">
        <f t="shared" si="3"/>
        <v>2.6839559999999998</v>
      </c>
      <c r="G32" s="699">
        <f t="shared" si="0"/>
        <v>717.85749199999998</v>
      </c>
      <c r="H32" s="98">
        <f t="shared" si="1"/>
        <v>2004</v>
      </c>
      <c r="I32" s="98" t="str">
        <f t="shared" si="2"/>
        <v>1</v>
      </c>
      <c r="S32" s="10"/>
      <c r="T32" s="128"/>
      <c r="U32" s="10"/>
      <c r="V32" s="10"/>
    </row>
    <row r="33" spans="1:23" ht="15.75" thickBot="1">
      <c r="A33" s="1310">
        <v>38139</v>
      </c>
      <c r="B33" s="702">
        <v>2.753015</v>
      </c>
      <c r="C33" s="701">
        <v>778.26961376999998</v>
      </c>
      <c r="D33" s="702">
        <v>0</v>
      </c>
      <c r="E33" s="701">
        <v>0</v>
      </c>
      <c r="F33" s="702">
        <f t="shared" si="3"/>
        <v>2.753015</v>
      </c>
      <c r="G33" s="701">
        <f t="shared" si="0"/>
        <v>778.26961376999998</v>
      </c>
      <c r="H33" s="98">
        <f t="shared" si="1"/>
        <v>2004</v>
      </c>
      <c r="I33" s="98" t="str">
        <f t="shared" si="2"/>
        <v>2</v>
      </c>
      <c r="S33" s="401" t="s">
        <v>383</v>
      </c>
      <c r="T33" s="400"/>
      <c r="U33" s="1949" t="s">
        <v>382</v>
      </c>
      <c r="V33" s="1950"/>
    </row>
    <row r="34" spans="1:23" ht="15.75" thickBot="1">
      <c r="A34" s="1310">
        <v>38231</v>
      </c>
      <c r="B34" s="700">
        <v>2.7297769999999999</v>
      </c>
      <c r="C34" s="699">
        <v>855.71650026999998</v>
      </c>
      <c r="D34" s="700">
        <v>0</v>
      </c>
      <c r="E34" s="699">
        <v>0</v>
      </c>
      <c r="F34" s="700">
        <f t="shared" si="3"/>
        <v>2.7297769999999999</v>
      </c>
      <c r="G34" s="699">
        <f t="shared" si="0"/>
        <v>855.71650026999998</v>
      </c>
      <c r="H34" s="98">
        <f t="shared" si="1"/>
        <v>2004</v>
      </c>
      <c r="I34" s="98" t="str">
        <f t="shared" si="2"/>
        <v>3</v>
      </c>
      <c r="S34" s="1975" t="str">
        <f>CONCATENATE(A4," Quantity and Value by Year")</f>
        <v>Alumina And Bauxite Quantity and Value by Year</v>
      </c>
      <c r="T34" s="1976"/>
      <c r="U34" s="1976"/>
      <c r="V34" s="1977"/>
    </row>
    <row r="35" spans="1:23" ht="15.75" thickBot="1">
      <c r="A35" s="1310">
        <v>38322</v>
      </c>
      <c r="B35" s="702">
        <v>2.8216380000000001</v>
      </c>
      <c r="C35" s="701">
        <v>827.10882674000004</v>
      </c>
      <c r="D35" s="702">
        <v>0</v>
      </c>
      <c r="E35" s="701">
        <v>0</v>
      </c>
      <c r="F35" s="702">
        <f t="shared" si="3"/>
        <v>2.8216380000000001</v>
      </c>
      <c r="G35" s="701">
        <f t="shared" si="0"/>
        <v>827.10882674000004</v>
      </c>
      <c r="H35" s="98">
        <f t="shared" si="1"/>
        <v>2004</v>
      </c>
      <c r="I35" s="98" t="str">
        <f t="shared" si="2"/>
        <v>4</v>
      </c>
      <c r="S35" s="672" t="s">
        <v>41</v>
      </c>
      <c r="T35" s="661"/>
      <c r="U35" s="662" t="str">
        <f>B7</f>
        <v>Quantity (Mt)</v>
      </c>
      <c r="V35" s="663" t="str">
        <f>C7</f>
        <v>Value ($ Million)</v>
      </c>
      <c r="W35" s="119"/>
    </row>
    <row r="36" spans="1:23">
      <c r="A36" s="1310">
        <v>38412</v>
      </c>
      <c r="B36" s="700">
        <v>2.7125240000000002</v>
      </c>
      <c r="C36" s="699">
        <v>825.33394757999997</v>
      </c>
      <c r="D36" s="700">
        <v>0</v>
      </c>
      <c r="E36" s="699">
        <v>0</v>
      </c>
      <c r="F36" s="700">
        <f t="shared" si="3"/>
        <v>2.7125240000000002</v>
      </c>
      <c r="G36" s="699">
        <f t="shared" si="0"/>
        <v>825.33394757999997</v>
      </c>
      <c r="H36" s="98">
        <f t="shared" si="1"/>
        <v>2005</v>
      </c>
      <c r="I36" s="98" t="str">
        <f t="shared" si="2"/>
        <v>1</v>
      </c>
      <c r="S36" s="1316" t="str">
        <f>IF($U$33="Calendar Year",YEAR(MIN($A$8:$A$250)),CONCATENATE(YEAR(MIN($A$8:$A$200)),"-",((YEAR(MIN($A$8:$A$200))+1))))</f>
        <v>1998-1999</v>
      </c>
      <c r="T36" s="317" t="s">
        <v>424</v>
      </c>
      <c r="U36" s="664">
        <f>IF($U$33="Calendar Year",SUMIF($H$8:$H$200,$S36,$F$8:$F$200),SUMIFS($F$8:$F$200,$H$8:$H$200,LEFT($S36,4),$I$8:$I$200,3)+SUMIFS($F$8:$F$200,$H$8:$H$200,LEFT($S36,4),$I$8:$I$200,4)+SUMIFS($F$9:$F$201,$H$8:$H$200,LEFT($S36,4)+1,$I$8:$I$200,1)+SUMIFS($F$8:$F$200,$H$8:$H$200,LEFT($S36,4)+1,$I$8:$I$200,2))</f>
        <v>9.0250000000000004</v>
      </c>
      <c r="V36" s="665">
        <f t="shared" ref="V36:V54" si="6">IF(S36="","",IF($U$33="Calendar Year",SUMIF($H$8:$H$200,$S36,$G$8:$G$200),SUMIFS($G$8:$G$200,$H$8:$H$200,LEFT($S36,4),$I$8:$I$200,3)+SUMIFS($G$8:$G$200,$H$8:$H$200,LEFT($S36,4),$I$8:$I$200,4)+SUMIFS($G$8:$G$200,$H$8:$H$200,LEFT($S36,4)+1,$I$8:$I$200,1)+SUMIFS($G$8:$G$200,$H$8:$H$200,LEFT($S36,4)+1,$I$8:$I$200,2)))</f>
        <v>2367.0300000000002</v>
      </c>
      <c r="W36" s="119"/>
    </row>
    <row r="37" spans="1:23">
      <c r="A37" s="1310">
        <v>38504</v>
      </c>
      <c r="B37" s="702">
        <v>2.8762400000000001</v>
      </c>
      <c r="C37" s="701">
        <v>922.53081992</v>
      </c>
      <c r="D37" s="702">
        <v>0</v>
      </c>
      <c r="E37" s="701">
        <v>0</v>
      </c>
      <c r="F37" s="702">
        <f t="shared" si="3"/>
        <v>2.8762400000000001</v>
      </c>
      <c r="G37" s="701">
        <f t="shared" si="0"/>
        <v>922.53081992</v>
      </c>
      <c r="H37" s="98">
        <f t="shared" si="1"/>
        <v>2005</v>
      </c>
      <c r="I37" s="98" t="str">
        <f t="shared" si="2"/>
        <v>2</v>
      </c>
      <c r="S37" s="1317" t="str">
        <f>IFERROR(IF(MAX('Commodity Prices'!$A$9:$A$1300)=VALUE(RIGHT(S36,4)),"",IF($U$33="Calendar Year",S36+1,CONCATENATE(LEFT(S36,4)+1,"-",RIGHT(S36,4)+1))),"")</f>
        <v>1999-2000</v>
      </c>
      <c r="T37" s="318" t="s">
        <v>425</v>
      </c>
      <c r="U37" s="666">
        <f>IF(S37="","",IF($U$33="Calendar Year",SUMIF($H$8:$H$200,$S37,$F$8:$F$200),SUMIFS($F$8:$F$200,$H$8:$H$200,LEFT($S37,4),$I$8:$I$200,3)+SUMIFS($F$8:$F$200,$H$8:$H$200,LEFT($S37,4),$I$8:$I$200,4)+SUMIFS($F$8:$F$200,$H$8:$H$200,LEFT($S37,4)+1,$I$8:$I$200,1)+SUMIFS($F$8:$F$200,$H$8:$H$200,LEFT($S37,4)+1,$I$8:$I$200,2)))</f>
        <v>9.3539999999999992</v>
      </c>
      <c r="V37" s="667">
        <f t="shared" si="6"/>
        <v>2657.8900000000003</v>
      </c>
      <c r="W37" s="119"/>
    </row>
    <row r="38" spans="1:23">
      <c r="A38" s="1310">
        <v>38596</v>
      </c>
      <c r="B38" s="700">
        <v>2.720275</v>
      </c>
      <c r="C38" s="699">
        <v>846.1177964200001</v>
      </c>
      <c r="D38" s="700">
        <v>0</v>
      </c>
      <c r="E38" s="699">
        <v>0</v>
      </c>
      <c r="F38" s="700">
        <f t="shared" si="3"/>
        <v>2.720275</v>
      </c>
      <c r="G38" s="699">
        <f t="shared" si="0"/>
        <v>846.1177964200001</v>
      </c>
      <c r="H38" s="98">
        <f t="shared" si="1"/>
        <v>2005</v>
      </c>
      <c r="I38" s="98" t="str">
        <f t="shared" si="2"/>
        <v>3</v>
      </c>
      <c r="S38" s="1317" t="str">
        <f>IFERROR(IF(MAX('Commodity Prices'!$A$9:$A$1300)=VALUE(RIGHT(S37,4)),"",IF($U$33="Calendar Year",S37+1,CONCATENATE(LEFT(S37,4)+1,"-",RIGHT(S37,4)+1))),"")</f>
        <v>2000-2001</v>
      </c>
      <c r="T38" s="318" t="s">
        <v>426</v>
      </c>
      <c r="U38" s="668">
        <f t="shared" ref="U38:U56" si="7">IF(S38="","",IF($U$33="Calendar Year",SUMIF($H$8:$H$200,$S38,$F$8:$F$200),SUMIFS($F$8:$F$200,$H$8:$H$200,LEFT($S38,4),$I$8:$I$200,3)+SUMIFS($F$8:$F$200,$H$8:$H$200,LEFT($S38,4),$I$8:$I$200,4)+SUMIFS($F$8:$F$200,$H$8:$H$200,LEFT($S38,4)+1,$I$8:$I$200,1)+SUMIFS($F$8:$F$200,$H$8:$H$200,LEFT($S38,4)+1,$I$8:$I$200,2)))</f>
        <v>10.489000000000001</v>
      </c>
      <c r="V38" s="669">
        <f t="shared" si="6"/>
        <v>3600.67</v>
      </c>
      <c r="W38" s="119"/>
    </row>
    <row r="39" spans="1:23">
      <c r="A39" s="1310">
        <v>38687</v>
      </c>
      <c r="B39" s="702">
        <v>3.0431439999999998</v>
      </c>
      <c r="C39" s="701">
        <v>1000.87492408</v>
      </c>
      <c r="D39" s="702">
        <v>0</v>
      </c>
      <c r="E39" s="701">
        <v>0</v>
      </c>
      <c r="F39" s="702">
        <f t="shared" si="3"/>
        <v>3.0431439999999998</v>
      </c>
      <c r="G39" s="701">
        <f t="shared" si="0"/>
        <v>1000.87492408</v>
      </c>
      <c r="H39" s="98">
        <f t="shared" si="1"/>
        <v>2005</v>
      </c>
      <c r="I39" s="98" t="str">
        <f t="shared" si="2"/>
        <v>4</v>
      </c>
      <c r="S39" s="1317" t="str">
        <f>IFERROR(IF(MAX('Commodity Prices'!$A$9:$A$1300)=VALUE(RIGHT(S38,4)),"",IF($U$33="Calendar Year",S38+1,CONCATENATE(LEFT(S38,4)+1,"-",RIGHT(S38,4)+1))),"")</f>
        <v>2001-2002</v>
      </c>
      <c r="T39" s="318" t="s">
        <v>427</v>
      </c>
      <c r="U39" s="666">
        <f t="shared" si="7"/>
        <v>10.856999999999999</v>
      </c>
      <c r="V39" s="667">
        <f t="shared" si="6"/>
        <v>3584.38</v>
      </c>
      <c r="W39" s="119"/>
    </row>
    <row r="40" spans="1:23">
      <c r="A40" s="1310">
        <v>38777</v>
      </c>
      <c r="B40" s="700">
        <v>2.8225227500000001</v>
      </c>
      <c r="C40" s="699">
        <v>1078.1791628400001</v>
      </c>
      <c r="D40" s="700">
        <v>0</v>
      </c>
      <c r="E40" s="699">
        <v>0</v>
      </c>
      <c r="F40" s="700">
        <f t="shared" si="3"/>
        <v>2.8225227500000001</v>
      </c>
      <c r="G40" s="699">
        <f t="shared" si="0"/>
        <v>1078.1791628400001</v>
      </c>
      <c r="H40" s="98">
        <f t="shared" si="1"/>
        <v>2006</v>
      </c>
      <c r="I40" s="98" t="str">
        <f t="shared" si="2"/>
        <v>1</v>
      </c>
      <c r="S40" s="1317" t="str">
        <f>IFERROR(IF(MAX('Commodity Prices'!$A$9:$A$1300)=VALUE(RIGHT(S39,4)),"",IF($U$33="Calendar Year",S39+1,CONCATENATE(LEFT(S39,4)+1,"-",RIGHT(S39,4)+1))),"")</f>
        <v>2002-2003</v>
      </c>
      <c r="T40" s="318" t="s">
        <v>428</v>
      </c>
      <c r="U40" s="668">
        <f t="shared" si="7"/>
        <v>11.131</v>
      </c>
      <c r="V40" s="669">
        <f t="shared" si="6"/>
        <v>3204.66</v>
      </c>
      <c r="W40" s="119"/>
    </row>
    <row r="41" spans="1:23">
      <c r="A41" s="1310">
        <v>38869</v>
      </c>
      <c r="B41" s="702">
        <v>2.8672520000000001</v>
      </c>
      <c r="C41" s="701">
        <v>1227.7717472100001</v>
      </c>
      <c r="D41" s="702">
        <v>0</v>
      </c>
      <c r="E41" s="701">
        <v>0</v>
      </c>
      <c r="F41" s="702">
        <f t="shared" si="3"/>
        <v>2.8672520000000001</v>
      </c>
      <c r="G41" s="701">
        <f t="shared" si="0"/>
        <v>1227.7717472100001</v>
      </c>
      <c r="H41" s="98">
        <f t="shared" si="1"/>
        <v>2006</v>
      </c>
      <c r="I41" s="98" t="str">
        <f t="shared" si="2"/>
        <v>2</v>
      </c>
      <c r="S41" s="1317" t="str">
        <f>IFERROR(IF(MAX('Commodity Prices'!$A$9:$A$1300)=VALUE(RIGHT(S40,4)),"",IF($U$33="Calendar Year",S40+1,CONCATENATE(LEFT(S40,4)+1,"-",RIGHT(S40,4)+1))),"")</f>
        <v>2003-2004</v>
      </c>
      <c r="T41" s="318" t="s">
        <v>429</v>
      </c>
      <c r="U41" s="666">
        <f t="shared" si="7"/>
        <v>11.165835</v>
      </c>
      <c r="V41" s="667">
        <f t="shared" si="6"/>
        <v>3085.1100247499999</v>
      </c>
      <c r="W41" s="119"/>
    </row>
    <row r="42" spans="1:23">
      <c r="A42" s="1310">
        <v>38961</v>
      </c>
      <c r="B42" s="700">
        <v>2.9137900000000001</v>
      </c>
      <c r="C42" s="699">
        <v>1244.1112385399999</v>
      </c>
      <c r="D42" s="700">
        <v>0</v>
      </c>
      <c r="E42" s="699">
        <v>0</v>
      </c>
      <c r="F42" s="700">
        <f t="shared" si="3"/>
        <v>2.9137900000000001</v>
      </c>
      <c r="G42" s="699">
        <f t="shared" si="0"/>
        <v>1244.1112385399999</v>
      </c>
      <c r="H42" s="98">
        <f t="shared" si="1"/>
        <v>2006</v>
      </c>
      <c r="I42" s="98" t="str">
        <f t="shared" si="2"/>
        <v>3</v>
      </c>
      <c r="S42" s="1318" t="str">
        <f>IFERROR(IF(MAX('Commodity Prices'!$A$9:$A$1300)=VALUE(RIGHT(S41,4)),"",IF($U$33="Calendar Year",S41+1,CONCATENATE(LEFT(S41,4)+1,"-",RIGHT(S41,4)+1))),"")</f>
        <v>2004-2005</v>
      </c>
      <c r="T42" s="318" t="s">
        <v>430</v>
      </c>
      <c r="U42" s="668">
        <f t="shared" si="7"/>
        <v>11.140179</v>
      </c>
      <c r="V42" s="669">
        <f t="shared" si="6"/>
        <v>3430.6900945099997</v>
      </c>
      <c r="W42" s="119"/>
    </row>
    <row r="43" spans="1:23">
      <c r="A43" s="1310">
        <v>39052</v>
      </c>
      <c r="B43" s="702">
        <v>3.2181829999999998</v>
      </c>
      <c r="C43" s="701">
        <v>1371.65936283</v>
      </c>
      <c r="D43" s="702">
        <v>0</v>
      </c>
      <c r="E43" s="701">
        <v>0</v>
      </c>
      <c r="F43" s="702">
        <f t="shared" si="3"/>
        <v>3.2181829999999998</v>
      </c>
      <c r="G43" s="701">
        <f t="shared" si="0"/>
        <v>1371.65936283</v>
      </c>
      <c r="H43" s="98">
        <f t="shared" si="1"/>
        <v>2006</v>
      </c>
      <c r="I43" s="98" t="str">
        <f t="shared" si="2"/>
        <v>4</v>
      </c>
      <c r="S43" s="1318" t="str">
        <f>IFERROR(IF(MAX('Commodity Prices'!$A$9:$A$1300)=VALUE(RIGHT(S42,4)),"",IF($U$33="Calendar Year",S42+1,CONCATENATE(LEFT(S42,4)+1,"-",RIGHT(S42,4)+1))),"")</f>
        <v>2005-2006</v>
      </c>
      <c r="T43" s="318" t="s">
        <v>431</v>
      </c>
      <c r="U43" s="666">
        <f t="shared" si="7"/>
        <v>11.453193750000001</v>
      </c>
      <c r="V43" s="667">
        <f t="shared" si="6"/>
        <v>4152.9436305500003</v>
      </c>
      <c r="W43" s="119"/>
    </row>
    <row r="44" spans="1:23">
      <c r="A44" s="1310">
        <v>39142</v>
      </c>
      <c r="B44" s="700">
        <v>2.8526566380000005</v>
      </c>
      <c r="C44" s="1304">
        <v>1260.64760548</v>
      </c>
      <c r="D44" s="700">
        <v>0</v>
      </c>
      <c r="E44" s="699">
        <v>0</v>
      </c>
      <c r="F44" s="700">
        <f t="shared" si="3"/>
        <v>2.8526566380000005</v>
      </c>
      <c r="G44" s="699">
        <f t="shared" si="0"/>
        <v>1260.64760548</v>
      </c>
      <c r="H44" s="98">
        <f t="shared" si="1"/>
        <v>2007</v>
      </c>
      <c r="I44" s="98" t="str">
        <f t="shared" si="2"/>
        <v>1</v>
      </c>
      <c r="S44" s="1318" t="str">
        <f>IFERROR(IF(MAX('Commodity Prices'!$A$9:$A$1300)=VALUE(RIGHT(S43,4)),"",IF($U$33="Calendar Year",S43+1,CONCATENATE(LEFT(S43,4)+1,"-",RIGHT(S43,4)+1))),"")</f>
        <v>2006-2007</v>
      </c>
      <c r="T44" s="318" t="s">
        <v>432</v>
      </c>
      <c r="U44" s="668">
        <f t="shared" si="7"/>
        <v>11.991247063000001</v>
      </c>
      <c r="V44" s="669">
        <f t="shared" si="6"/>
        <v>5151.2889824599997</v>
      </c>
      <c r="W44" s="119"/>
    </row>
    <row r="45" spans="1:23">
      <c r="A45" s="1310">
        <v>39234</v>
      </c>
      <c r="B45" s="702">
        <v>3.006617425</v>
      </c>
      <c r="C45" s="1305">
        <v>1274.8707756099998</v>
      </c>
      <c r="D45" s="702">
        <v>0</v>
      </c>
      <c r="E45" s="701">
        <v>0</v>
      </c>
      <c r="F45" s="702">
        <f t="shared" si="3"/>
        <v>3.006617425</v>
      </c>
      <c r="G45" s="701">
        <f t="shared" si="0"/>
        <v>1274.8707756099998</v>
      </c>
      <c r="H45" s="98">
        <f t="shared" si="1"/>
        <v>2007</v>
      </c>
      <c r="I45" s="98" t="str">
        <f t="shared" si="2"/>
        <v>2</v>
      </c>
      <c r="S45" s="1318" t="str">
        <f>IFERROR(IF(MAX('Commodity Prices'!$A$9:$A$1300)=VALUE(RIGHT(S44,4)),"",IF($U$33="Calendar Year",S44+1,CONCATENATE(LEFT(S44,4)+1,"-",RIGHT(S44,4)+1))),"")</f>
        <v>2007-2008</v>
      </c>
      <c r="T45" s="318" t="s">
        <v>433</v>
      </c>
      <c r="U45" s="666">
        <f t="shared" si="7"/>
        <v>12.321277792</v>
      </c>
      <c r="V45" s="667">
        <f t="shared" si="6"/>
        <v>4838.4174535100001</v>
      </c>
      <c r="W45" s="119"/>
    </row>
    <row r="46" spans="1:23">
      <c r="A46" s="1310">
        <v>39326</v>
      </c>
      <c r="B46" s="700">
        <v>3.137426526</v>
      </c>
      <c r="C46" s="1304">
        <v>1300.1445779999999</v>
      </c>
      <c r="D46" s="700">
        <v>0</v>
      </c>
      <c r="E46" s="699">
        <v>0</v>
      </c>
      <c r="F46" s="700">
        <f t="shared" si="3"/>
        <v>3.137426526</v>
      </c>
      <c r="G46" s="699">
        <f t="shared" si="0"/>
        <v>1300.1445779999999</v>
      </c>
      <c r="H46" s="98">
        <f t="shared" si="1"/>
        <v>2007</v>
      </c>
      <c r="I46" s="98" t="str">
        <f t="shared" si="2"/>
        <v>3</v>
      </c>
      <c r="S46" s="1318" t="str">
        <f>IFERROR(IF(MAX('Commodity Prices'!$A$9:$A$1300)=VALUE(RIGHT(S45,4)),"",IF($U$33="Calendar Year",S45+1,CONCATENATE(LEFT(S45,4)+1,"-",RIGHT(S45,4)+1))),"")</f>
        <v>2008-2009</v>
      </c>
      <c r="T46" s="318" t="s">
        <v>434</v>
      </c>
      <c r="U46" s="668">
        <f t="shared" si="7"/>
        <v>12.271552999999999</v>
      </c>
      <c r="V46" s="669">
        <f t="shared" si="6"/>
        <v>4352.6439503800002</v>
      </c>
      <c r="W46" s="119"/>
    </row>
    <row r="47" spans="1:23">
      <c r="A47" s="1310">
        <v>39417</v>
      </c>
      <c r="B47" s="702">
        <v>3.1969251700000001</v>
      </c>
      <c r="C47" s="1305">
        <v>1212.6869137599999</v>
      </c>
      <c r="D47" s="702">
        <v>0</v>
      </c>
      <c r="E47" s="701">
        <v>0</v>
      </c>
      <c r="F47" s="702">
        <f t="shared" si="3"/>
        <v>3.1969251700000001</v>
      </c>
      <c r="G47" s="701">
        <f t="shared" si="0"/>
        <v>1212.6869137599999</v>
      </c>
      <c r="H47" s="98">
        <f t="shared" si="1"/>
        <v>2007</v>
      </c>
      <c r="I47" s="98" t="str">
        <f t="shared" si="2"/>
        <v>4</v>
      </c>
      <c r="S47" s="1318" t="str">
        <f>IFERROR(IF(MAX('Commodity Prices'!$A$9:$A$1300)=VALUE(RIGHT(S46,4)),"",IF($U$33="Calendar Year",S46+1,CONCATENATE(LEFT(S46,4)+1,"-",RIGHT(S46,4)+1))),"")</f>
        <v>2009-2010</v>
      </c>
      <c r="T47" s="318" t="s">
        <v>435</v>
      </c>
      <c r="U47" s="666">
        <f t="shared" si="7"/>
        <v>12.643178000000001</v>
      </c>
      <c r="V47" s="667">
        <f t="shared" si="6"/>
        <v>3871.1918016600002</v>
      </c>
      <c r="W47" s="119"/>
    </row>
    <row r="48" spans="1:23">
      <c r="A48" s="1310">
        <v>39508</v>
      </c>
      <c r="B48" s="700">
        <v>3.0313540959999998</v>
      </c>
      <c r="C48" s="1304">
        <v>1133.7727281</v>
      </c>
      <c r="D48" s="700">
        <v>0</v>
      </c>
      <c r="E48" s="699">
        <v>0</v>
      </c>
      <c r="F48" s="700">
        <f t="shared" si="3"/>
        <v>3.0313540959999998</v>
      </c>
      <c r="G48" s="699">
        <f t="shared" si="0"/>
        <v>1133.7727281</v>
      </c>
      <c r="H48" s="98">
        <f t="shared" si="1"/>
        <v>2008</v>
      </c>
      <c r="I48" s="98" t="str">
        <f t="shared" si="2"/>
        <v>1</v>
      </c>
      <c r="S48" s="1318" t="str">
        <f>IFERROR(IF(MAX('Commodity Prices'!$A$9:$A$1300)=VALUE(RIGHT(S47,4)),"",IF($U$33="Calendar Year",S47+1,CONCATENATE(LEFT(S47,4)+1,"-",RIGHT(S47,4)+1))),"")</f>
        <v>2010-2011</v>
      </c>
      <c r="T48" s="318" t="s">
        <v>436</v>
      </c>
      <c r="U48" s="668">
        <f t="shared" si="7"/>
        <v>12.280629000000001</v>
      </c>
      <c r="V48" s="669">
        <f t="shared" si="6"/>
        <v>3990.3763751500001</v>
      </c>
      <c r="W48" s="119"/>
    </row>
    <row r="49" spans="1:26">
      <c r="A49" s="1310">
        <v>39600</v>
      </c>
      <c r="B49" s="702">
        <v>2.9555720000000001</v>
      </c>
      <c r="C49" s="1305">
        <v>1191.81323365</v>
      </c>
      <c r="D49" s="702">
        <v>0</v>
      </c>
      <c r="E49" s="701">
        <v>0</v>
      </c>
      <c r="F49" s="702">
        <f t="shared" si="3"/>
        <v>2.9555720000000001</v>
      </c>
      <c r="G49" s="701">
        <f t="shared" si="0"/>
        <v>1191.81323365</v>
      </c>
      <c r="H49" s="98">
        <f t="shared" si="1"/>
        <v>2008</v>
      </c>
      <c r="I49" s="98" t="str">
        <f t="shared" si="2"/>
        <v>2</v>
      </c>
      <c r="S49" s="1318" t="str">
        <f>IFERROR(IF(MAX('Commodity Prices'!$A$9:$A$1300)=VALUE(RIGHT(S48,4)),"",IF($U$33="Calendar Year",S48+1,CONCATENATE(LEFT(S48,4)+1,"-",RIGHT(S48,4)+1))),"")</f>
        <v>2011-2012</v>
      </c>
      <c r="T49" s="318" t="s">
        <v>437</v>
      </c>
      <c r="U49" s="666">
        <f t="shared" si="7"/>
        <v>12.424860330000001</v>
      </c>
      <c r="V49" s="667">
        <f t="shared" si="6"/>
        <v>4010.2193815799992</v>
      </c>
      <c r="W49" s="119"/>
    </row>
    <row r="50" spans="1:26">
      <c r="A50" s="1310">
        <v>39692</v>
      </c>
      <c r="B50" s="700">
        <v>3.143386</v>
      </c>
      <c r="C50" s="1304">
        <v>1236.8389339299999</v>
      </c>
      <c r="D50" s="700">
        <v>0</v>
      </c>
      <c r="E50" s="699">
        <v>0</v>
      </c>
      <c r="F50" s="700">
        <f t="shared" si="3"/>
        <v>3.143386</v>
      </c>
      <c r="G50" s="699">
        <f t="shared" si="0"/>
        <v>1236.8389339299999</v>
      </c>
      <c r="H50" s="98">
        <f t="shared" si="1"/>
        <v>2008</v>
      </c>
      <c r="I50" s="98" t="str">
        <f t="shared" si="2"/>
        <v>3</v>
      </c>
      <c r="S50" s="1318" t="str">
        <f>IFERROR(IF(MAX('Commodity Prices'!$A$9:$A$1300)=VALUE(RIGHT(S49,4)),"",IF($U$33="Calendar Year",S49+1,CONCATENATE(LEFT(S49,4)+1,"-",RIGHT(S49,4)+1))),"")</f>
        <v>2012-2013</v>
      </c>
      <c r="T50" s="318" t="s">
        <v>438</v>
      </c>
      <c r="U50" s="668">
        <f t="shared" si="7"/>
        <v>13.53075217</v>
      </c>
      <c r="V50" s="669">
        <f t="shared" si="6"/>
        <v>4027.8102172099998</v>
      </c>
      <c r="W50" s="119"/>
    </row>
    <row r="51" spans="1:26">
      <c r="A51" s="1310">
        <v>39783</v>
      </c>
      <c r="B51" s="702">
        <v>3.1154510000000002</v>
      </c>
      <c r="C51" s="1305">
        <v>1197.08605672</v>
      </c>
      <c r="D51" s="702">
        <v>0</v>
      </c>
      <c r="E51" s="701">
        <v>0</v>
      </c>
      <c r="F51" s="702">
        <f t="shared" si="3"/>
        <v>3.1154510000000002</v>
      </c>
      <c r="G51" s="701">
        <f t="shared" si="0"/>
        <v>1197.08605672</v>
      </c>
      <c r="H51" s="98">
        <f t="shared" si="1"/>
        <v>2008</v>
      </c>
      <c r="I51" s="98" t="str">
        <f t="shared" si="2"/>
        <v>4</v>
      </c>
      <c r="S51" s="1318" t="str">
        <f>IFERROR(IF(MAX('Commodity Prices'!$A$9:$A$1300)=VALUE(RIGHT(S50,4)),"",IF($U$33="Calendar Year",S50+1,CONCATENATE(LEFT(S50,4)+1,"-",RIGHT(S50,4)+1))),"")</f>
        <v>2013-2014</v>
      </c>
      <c r="T51" s="318" t="s">
        <v>439</v>
      </c>
      <c r="U51" s="666">
        <f t="shared" si="7"/>
        <v>13.717951679999999</v>
      </c>
      <c r="V51" s="667">
        <f t="shared" si="6"/>
        <v>4295.34869901</v>
      </c>
      <c r="W51" s="119"/>
    </row>
    <row r="52" spans="1:26">
      <c r="A52" s="1310">
        <v>39873</v>
      </c>
      <c r="B52" s="700">
        <v>2.9973230000000002</v>
      </c>
      <c r="C52" s="1304">
        <v>1003.55684931</v>
      </c>
      <c r="D52" s="700">
        <v>0</v>
      </c>
      <c r="E52" s="699">
        <v>0</v>
      </c>
      <c r="F52" s="700">
        <f t="shared" si="3"/>
        <v>2.9973230000000002</v>
      </c>
      <c r="G52" s="699">
        <f t="shared" si="0"/>
        <v>1003.55684931</v>
      </c>
      <c r="H52" s="98">
        <f t="shared" si="1"/>
        <v>2009</v>
      </c>
      <c r="I52" s="98" t="str">
        <f t="shared" si="2"/>
        <v>1</v>
      </c>
      <c r="S52" s="1318" t="str">
        <f>IFERROR(IF(MAX('Commodity Prices'!$A$9:$A$1300)=VALUE(RIGHT(S51,4)),"",IF($U$33="Calendar Year",S51+1,CONCATENATE(LEFT(S51,4)+1,"-",RIGHT(S51,4)+1))),"")</f>
        <v>2014-2015</v>
      </c>
      <c r="T52" s="318" t="s">
        <v>440</v>
      </c>
      <c r="U52" s="668">
        <f t="shared" si="7"/>
        <v>13.771412276</v>
      </c>
      <c r="V52" s="669">
        <f t="shared" si="6"/>
        <v>5022.7212179999997</v>
      </c>
      <c r="W52" s="119"/>
    </row>
    <row r="53" spans="1:26">
      <c r="A53" s="1310">
        <v>39965</v>
      </c>
      <c r="B53" s="702">
        <v>3.015393</v>
      </c>
      <c r="C53" s="1305">
        <v>915.16211041999998</v>
      </c>
      <c r="D53" s="702">
        <v>0</v>
      </c>
      <c r="E53" s="701">
        <v>0</v>
      </c>
      <c r="F53" s="702">
        <f t="shared" si="3"/>
        <v>3.015393</v>
      </c>
      <c r="G53" s="701">
        <f t="shared" si="0"/>
        <v>915.16211041999998</v>
      </c>
      <c r="H53" s="98">
        <f t="shared" si="1"/>
        <v>2009</v>
      </c>
      <c r="I53" s="98" t="str">
        <f t="shared" si="2"/>
        <v>2</v>
      </c>
      <c r="S53" s="1318" t="str">
        <f>IFERROR(IF(MAX('Commodity Prices'!$A$9:$A$1300)=VALUE(RIGHT(S52,4)),"",IF($U$33="Calendar Year",S52+1,CONCATENATE(LEFT(S52,4)+1,"-",RIGHT(S52,4)+1))),"")</f>
        <v>2015-2016</v>
      </c>
      <c r="T53" s="318" t="s">
        <v>441</v>
      </c>
      <c r="U53" s="666">
        <f t="shared" si="7"/>
        <v>13.941242519999999</v>
      </c>
      <c r="V53" s="667">
        <f t="shared" si="6"/>
        <v>4939.2324700000008</v>
      </c>
      <c r="W53" s="119"/>
    </row>
    <row r="54" spans="1:26">
      <c r="A54" s="1310">
        <v>40057</v>
      </c>
      <c r="B54" s="700">
        <v>3.1684800000000002</v>
      </c>
      <c r="C54" s="1304">
        <v>930.12488985000005</v>
      </c>
      <c r="D54" s="700">
        <v>0</v>
      </c>
      <c r="E54" s="699">
        <v>0</v>
      </c>
      <c r="F54" s="700">
        <f t="shared" si="3"/>
        <v>3.1684800000000002</v>
      </c>
      <c r="G54" s="699">
        <f t="shared" si="0"/>
        <v>930.12488985000005</v>
      </c>
      <c r="H54" s="98">
        <f t="shared" si="1"/>
        <v>2009</v>
      </c>
      <c r="I54" s="98" t="str">
        <f t="shared" si="2"/>
        <v>3</v>
      </c>
      <c r="N54" s="165"/>
      <c r="S54" s="1318" t="str">
        <f>IFERROR(IF(MAX('Commodity Prices'!$A$9:$A$1300)=VALUE(RIGHT(S53,4)),"",IF($U$33="Calendar Year",S53+1,CONCATENATE(LEFT(S53,4)+1,"-",RIGHT(S53,4)+1))),"")</f>
        <v>2016-2017</v>
      </c>
      <c r="T54" s="318" t="s">
        <v>442</v>
      </c>
      <c r="U54" s="668">
        <f t="shared" si="7"/>
        <v>14.165722300000001</v>
      </c>
      <c r="V54" s="669">
        <f t="shared" si="6"/>
        <v>5088.5593659999995</v>
      </c>
      <c r="W54" s="119"/>
    </row>
    <row r="55" spans="1:26">
      <c r="A55" s="1310">
        <v>40148</v>
      </c>
      <c r="B55" s="702">
        <v>3.240774</v>
      </c>
      <c r="C55" s="1305">
        <v>951.92965960000004</v>
      </c>
      <c r="D55" s="702">
        <v>0</v>
      </c>
      <c r="E55" s="701">
        <v>0</v>
      </c>
      <c r="F55" s="702">
        <f t="shared" si="3"/>
        <v>3.240774</v>
      </c>
      <c r="G55" s="701">
        <f t="shared" si="0"/>
        <v>951.92965960000004</v>
      </c>
      <c r="H55" s="98">
        <f t="shared" si="1"/>
        <v>2009</v>
      </c>
      <c r="I55" s="98" t="str">
        <f t="shared" si="2"/>
        <v>4</v>
      </c>
      <c r="S55" s="1318" t="str">
        <f>IFERROR(IF(MAX('Commodity Prices'!$A$9:$A$1300)=VALUE(RIGHT(S54,4)),"",IF($U$33="Calendar Year",S54+1,CONCATENATE(LEFT(S54,4)+1,"-",RIGHT(S54,4)+1))),"")</f>
        <v>2017-2018</v>
      </c>
      <c r="T55" s="318" t="s">
        <v>443</v>
      </c>
      <c r="U55" s="666">
        <f t="shared" si="7"/>
        <v>14.78678964</v>
      </c>
      <c r="V55" s="667">
        <f>IF(S55="","",IF($U$33="Calendar Year",SUMIF($H$8:$H$200,$S55,$G$8:$G$200),SUMIFS($G$8:$G$200,$H$8:$H$200,LEFT($S55,4),$I$8:$I$200,3)+SUMIFS($G$8:$G$200,$H$8:$H$200,LEFT($S55,4),$I$8:$I$200,4)+SUMIFS($G$8:$G$200,$H$8:$H$200,LEFT($S55,4)+1,$I$8:$I$200,1)+SUMIFS($G$8:$G$200,$H$8:$H$200,LEFT($S55,4)+1,$I$8:$I$200,2)))</f>
        <v>6643.5232760000008</v>
      </c>
      <c r="W55" s="119"/>
    </row>
    <row r="56" spans="1:26">
      <c r="A56" s="1310">
        <v>40238</v>
      </c>
      <c r="B56" s="700">
        <v>3.0067400000000002</v>
      </c>
      <c r="C56" s="1304">
        <v>951.88239245</v>
      </c>
      <c r="D56" s="700">
        <v>0</v>
      </c>
      <c r="E56" s="699">
        <v>0</v>
      </c>
      <c r="F56" s="700">
        <f t="shared" si="3"/>
        <v>3.0067400000000002</v>
      </c>
      <c r="G56" s="699">
        <f t="shared" si="0"/>
        <v>951.88239245</v>
      </c>
      <c r="H56" s="98">
        <f t="shared" si="1"/>
        <v>2010</v>
      </c>
      <c r="I56" s="98" t="str">
        <f t="shared" si="2"/>
        <v>1</v>
      </c>
      <c r="O56" s="169"/>
      <c r="S56" s="1318" t="str">
        <f>IFERROR(IF(MAX('Commodity Prices'!$A$9:$A$1300)=VALUE(RIGHT(S55,4)),"",IF($U$33="Calendar Year",S55+1,CONCATENATE(LEFT(S55,4)+1,"-",RIGHT(S55,4)+1))),"")</f>
        <v>2018-2019</v>
      </c>
      <c r="T56" s="318" t="s">
        <v>444</v>
      </c>
      <c r="U56" s="668">
        <f t="shared" si="7"/>
        <v>15.427533049999999</v>
      </c>
      <c r="V56" s="669">
        <f t="shared" ref="V56:V61" si="8">IF(S56="","",IF($U$33="Calendar Year",SUMIF($H$8:$H$200,$S56,$G$8:$G$200),SUMIFS($G$8:$G$200,$H$8:$H$200,LEFT($S56,4),$I$8:$I$200,3)+SUMIFS($G$8:$G$200,$H$8:$H$200,LEFT($S56,4),$I$8:$I$200,4)+SUMIFS($G$8:$G$200,$H$8:$H$200,LEFT($S56,4)+1,$I$8:$I$200,1)+SUMIFS($G$8:$G$200,$H$8:$H$200,LEFT($S56,4)+1,$I$8:$I$200,2)))</f>
        <v>8279.4404290000002</v>
      </c>
      <c r="W56" s="119"/>
    </row>
    <row r="57" spans="1:26">
      <c r="A57" s="1310">
        <v>40330</v>
      </c>
      <c r="B57" s="702">
        <v>3.2271839999999998</v>
      </c>
      <c r="C57" s="1305">
        <v>1037.25485976</v>
      </c>
      <c r="D57" s="702">
        <v>0</v>
      </c>
      <c r="E57" s="701">
        <v>0</v>
      </c>
      <c r="F57" s="702">
        <f t="shared" si="3"/>
        <v>3.2271839999999998</v>
      </c>
      <c r="G57" s="701">
        <f t="shared" si="0"/>
        <v>1037.25485976</v>
      </c>
      <c r="H57" s="98">
        <f t="shared" si="1"/>
        <v>2010</v>
      </c>
      <c r="I57" s="98" t="str">
        <f t="shared" si="2"/>
        <v>2</v>
      </c>
      <c r="S57" s="1318" t="str">
        <f>IFERROR(IF(MAX('Commodity Prices'!$A$9:$A$1300)=VALUE(RIGHT(S56,4)),"",IF($U$33="Calendar Year",S56+1,CONCATENATE(LEFT(S56,4)+1,"-",RIGHT(S56,4)+1))),"")</f>
        <v>2019-2020</v>
      </c>
      <c r="T57" s="318" t="s">
        <v>445</v>
      </c>
      <c r="U57" s="666">
        <f t="shared" ref="U57" si="9">IF(S57="","",IF($U$33="Calendar Year",SUMIF($H$8:$H$200,$S57,$F$8:$F$200),SUMIFS($F$8:$F$200,$H$8:$H$200,LEFT($S57,4),$I$8:$I$200,3)+SUMIFS($F$8:$F$200,$H$8:$H$200,LEFT($S57,4),$I$8:$I$200,4)+SUMIFS($F$8:$F$200,$H$8:$H$200,LEFT($S57,4)+1,$I$8:$I$200,1)+SUMIFS($F$8:$F$200,$H$8:$H$200,LEFT($S57,4)+1,$I$8:$I$200,2)))</f>
        <v>15.804008442999999</v>
      </c>
      <c r="V57" s="667">
        <f t="shared" ref="V57" si="10">IF(S57="","",IF($U$33="Calendar Year",SUMIF($H$8:$H$200,$S57,$G$8:$G$200),SUMIFS($G$8:$G$200,$H$8:$H$200,LEFT($S57,4),$I$8:$I$200,3)+SUMIFS($G$8:$G$200,$H$8:$H$200,LEFT($S57,4),$I$8:$I$200,4)+SUMIFS($G$8:$G$200,$H$8:$H$200,LEFT($S57,4)+1,$I$8:$I$200,1)+SUMIFS($G$8:$G$200,$H$8:$H$200,LEFT($S57,4)+1,$I$8:$I$200,2)))</f>
        <v>6416.3996370000004</v>
      </c>
      <c r="W57" s="119"/>
    </row>
    <row r="58" spans="1:26" ht="15.75" thickBot="1">
      <c r="A58" s="1310">
        <v>40422</v>
      </c>
      <c r="B58" s="700">
        <v>3.1595629999999999</v>
      </c>
      <c r="C58" s="1304">
        <v>971.95403041000009</v>
      </c>
      <c r="D58" s="700">
        <v>0</v>
      </c>
      <c r="E58" s="699">
        <v>0</v>
      </c>
      <c r="F58" s="700">
        <f t="shared" si="3"/>
        <v>3.1595629999999999</v>
      </c>
      <c r="G58" s="699">
        <f t="shared" si="0"/>
        <v>971.95403041000009</v>
      </c>
      <c r="H58" s="98">
        <f t="shared" si="1"/>
        <v>2010</v>
      </c>
      <c r="I58" s="98" t="str">
        <f t="shared" si="2"/>
        <v>3</v>
      </c>
      <c r="S58" s="1318" t="str">
        <f>IFERROR(IF(MAX('Commodity Prices'!$A$9:$A$1300)=VALUE(RIGHT(S57,4)),"",IF($U$33="Calendar Year",S57+1,CONCATENATE(LEFT(S57,4)+1,"-",RIGHT(S57,4)+1))),"")</f>
        <v>2020-2021</v>
      </c>
      <c r="T58" s="318" t="s">
        <v>446</v>
      </c>
      <c r="U58" s="1639">
        <f t="shared" ref="U58" si="11">IF(S58="","",IF($U$33="Calendar Year",SUMIF($H$8:$H$200,$S58,$F$8:$F$200),SUMIFS($F$8:$F$200,$H$8:$H$200,LEFT($S58,4),$I$8:$I$200,3)+SUMIFS($F$8:$F$200,$H$8:$H$200,LEFT($S58,4),$I$8:$I$200,4)+SUMIFS($F$8:$F$200,$H$8:$H$200,LEFT($S58,4)+1,$I$8:$I$200,1)+SUMIFS($F$8:$F$200,$H$8:$H$200,LEFT($S58,4)+1,$I$8:$I$200,2)))</f>
        <v>16.205112270000001</v>
      </c>
      <c r="V58" s="1640">
        <f t="shared" ref="V58" si="12">IF(S58="","",IF($U$33="Calendar Year",SUMIF($H$8:$H$200,$S58,$G$8:$G$200),SUMIFS($G$8:$G$200,$H$8:$H$200,LEFT($S58,4),$I$8:$I$200,3)+SUMIFS($G$8:$G$200,$H$8:$H$200,LEFT($S58,4),$I$8:$I$200,4)+SUMIFS($G$8:$G$200,$H$8:$H$200,LEFT($S58,4)+1,$I$8:$I$200,1)+SUMIFS($G$8:$G$200,$H$8:$H$200,LEFT($S58,4)+1,$I$8:$I$200,2)))</f>
        <v>5565.0205449999994</v>
      </c>
      <c r="W58" s="119"/>
      <c r="Z58" s="112"/>
    </row>
    <row r="59" spans="1:26">
      <c r="A59" s="1310">
        <v>40513</v>
      </c>
      <c r="B59" s="702">
        <v>3.1697980000000001</v>
      </c>
      <c r="C59" s="1305">
        <v>998.32346820999999</v>
      </c>
      <c r="D59" s="702">
        <v>0</v>
      </c>
      <c r="E59" s="701">
        <v>0</v>
      </c>
      <c r="F59" s="702">
        <f t="shared" si="3"/>
        <v>3.1697980000000001</v>
      </c>
      <c r="G59" s="701">
        <f t="shared" si="0"/>
        <v>998.32346820999999</v>
      </c>
      <c r="H59" s="98">
        <f t="shared" si="1"/>
        <v>2010</v>
      </c>
      <c r="I59" s="98" t="str">
        <f t="shared" si="2"/>
        <v>4</v>
      </c>
      <c r="S59" s="673" t="str">
        <f>IFERROR(IF(MAX('Commodity Prices'!$A$9:$A$1300)=VALUE(RIGHT(S58,4)),"",IF($U$33="Calendar Year",S58+1,CONCATENATE(LEFT(S58,4)+1,"-",RIGHT(S58,4)+1))),"")</f>
        <v/>
      </c>
      <c r="T59" s="658" t="s">
        <v>446</v>
      </c>
      <c r="U59" s="674" t="str">
        <f t="shared" ref="U59:U61" si="13">IF(S59="","",IF($U$33="Calendar Year",SUMIF($H$8:$H$200,$S59,$F$8:$F$200),SUMIFS($F$8:$F$200,$H$8:$H$200,LEFT($S59,4),$I$8:$I$200,3)+SUMIFS($F$8:$F$200,$H$8:$H$200,LEFT($S59,4),$I$8:$I$200,4)+SUMIFS($F$8:$F$200,$H$8:$H$200,LEFT($S59,4)+1,$I$8:$I$200,1)+SUMIFS($F$8:$F$200,$H$8:$H$200,LEFT($S59,4)+1,$I$8:$I$200,2)))</f>
        <v/>
      </c>
      <c r="V59" s="675" t="str">
        <f t="shared" si="8"/>
        <v/>
      </c>
      <c r="W59" s="119"/>
    </row>
    <row r="60" spans="1:26">
      <c r="A60" s="1310">
        <v>40603</v>
      </c>
      <c r="B60" s="700">
        <v>2.903823</v>
      </c>
      <c r="C60" s="1304">
        <v>984.45788801999993</v>
      </c>
      <c r="D60" s="700">
        <v>0</v>
      </c>
      <c r="E60" s="699">
        <v>0</v>
      </c>
      <c r="F60" s="700">
        <f t="shared" si="3"/>
        <v>2.903823</v>
      </c>
      <c r="G60" s="699">
        <f t="shared" si="0"/>
        <v>984.45788801999993</v>
      </c>
      <c r="H60" s="98">
        <f t="shared" si="1"/>
        <v>2011</v>
      </c>
      <c r="I60" s="98" t="str">
        <f t="shared" si="2"/>
        <v>1</v>
      </c>
      <c r="S60" s="659" t="str">
        <f>IFERROR(IF(MAX('Commodity Prices'!$A$9:$A$1300)=VALUE(RIGHT(S59,4)),"",IF($U$33="Calendar Year",S59+1,CONCATENATE(LEFT(S59,4)+1,"-",RIGHT(S59,4)+1))),"")</f>
        <v/>
      </c>
      <c r="T60" s="656" t="s">
        <v>447</v>
      </c>
      <c r="U60" s="657" t="str">
        <f t="shared" si="13"/>
        <v/>
      </c>
      <c r="V60" s="359" t="str">
        <f t="shared" si="8"/>
        <v/>
      </c>
    </row>
    <row r="61" spans="1:26">
      <c r="A61" s="1310">
        <v>40695</v>
      </c>
      <c r="B61" s="702">
        <v>3.0474450000000002</v>
      </c>
      <c r="C61" s="1305">
        <v>1035.6409885099999</v>
      </c>
      <c r="D61" s="702">
        <v>0</v>
      </c>
      <c r="E61" s="701">
        <v>0</v>
      </c>
      <c r="F61" s="702">
        <f t="shared" si="3"/>
        <v>3.0474450000000002</v>
      </c>
      <c r="G61" s="701">
        <f t="shared" si="0"/>
        <v>1035.6409885099999</v>
      </c>
      <c r="H61" s="98">
        <f t="shared" si="1"/>
        <v>2011</v>
      </c>
      <c r="I61" s="98" t="str">
        <f t="shared" si="2"/>
        <v>2</v>
      </c>
      <c r="S61" s="660" t="str">
        <f>IFERROR(IF(MAX('Commodity Prices'!$A$9:$A$1300)=VALUE(RIGHT(S60,4)),"",IF($U$33="Calendar Year",S60+1,CONCATENATE(LEFT(S60,4)+1,"-",RIGHT(S60,4)+1))),"")</f>
        <v/>
      </c>
      <c r="T61" s="656" t="s">
        <v>448</v>
      </c>
      <c r="U61" s="657" t="str">
        <f t="shared" si="13"/>
        <v/>
      </c>
      <c r="V61" s="359" t="str">
        <f t="shared" si="8"/>
        <v/>
      </c>
    </row>
    <row r="62" spans="1:26">
      <c r="A62" s="1310">
        <v>40787</v>
      </c>
      <c r="B62" s="700">
        <v>3.1583139999999998</v>
      </c>
      <c r="C62" s="1304">
        <v>1077.37941153</v>
      </c>
      <c r="D62" s="700">
        <v>0</v>
      </c>
      <c r="E62" s="699">
        <v>0</v>
      </c>
      <c r="F62" s="700">
        <f t="shared" si="3"/>
        <v>3.1583139999999998</v>
      </c>
      <c r="G62" s="699">
        <f t="shared" si="0"/>
        <v>1077.37941153</v>
      </c>
      <c r="H62" s="98">
        <f t="shared" si="1"/>
        <v>2011</v>
      </c>
      <c r="I62" s="98" t="str">
        <f t="shared" si="2"/>
        <v>3</v>
      </c>
      <c r="N62" s="333"/>
    </row>
    <row r="63" spans="1:26">
      <c r="A63" s="1310">
        <v>40878</v>
      </c>
      <c r="B63" s="702">
        <v>3.181902</v>
      </c>
      <c r="C63" s="1305">
        <v>1091.98739088</v>
      </c>
      <c r="D63" s="702">
        <v>0</v>
      </c>
      <c r="E63" s="701">
        <v>0</v>
      </c>
      <c r="F63" s="702">
        <f t="shared" si="3"/>
        <v>3.181902</v>
      </c>
      <c r="G63" s="701">
        <f t="shared" si="0"/>
        <v>1091.98739088</v>
      </c>
      <c r="H63" s="98">
        <f t="shared" si="1"/>
        <v>2011</v>
      </c>
      <c r="I63" s="98" t="str">
        <f t="shared" si="2"/>
        <v>4</v>
      </c>
    </row>
    <row r="64" spans="1:26">
      <c r="A64" s="1310">
        <v>40969</v>
      </c>
      <c r="B64" s="700">
        <v>3.13856044</v>
      </c>
      <c r="C64" s="1304">
        <v>954.67792485999985</v>
      </c>
      <c r="D64" s="700">
        <v>0</v>
      </c>
      <c r="E64" s="699">
        <v>0</v>
      </c>
      <c r="F64" s="700">
        <f t="shared" si="3"/>
        <v>3.13856044</v>
      </c>
      <c r="G64" s="699">
        <f t="shared" si="0"/>
        <v>954.67792485999985</v>
      </c>
      <c r="H64" s="98">
        <f t="shared" si="1"/>
        <v>2012</v>
      </c>
      <c r="I64" s="98" t="str">
        <f t="shared" si="2"/>
        <v>1</v>
      </c>
    </row>
    <row r="65" spans="1:12">
      <c r="A65" s="1310">
        <v>41061</v>
      </c>
      <c r="B65" s="702">
        <v>2.9460838900000001</v>
      </c>
      <c r="C65" s="1305">
        <v>886.17465431000005</v>
      </c>
      <c r="D65" s="702">
        <v>0</v>
      </c>
      <c r="E65" s="701">
        <v>0</v>
      </c>
      <c r="F65" s="702">
        <f t="shared" si="3"/>
        <v>2.9460838900000001</v>
      </c>
      <c r="G65" s="701">
        <f t="shared" si="0"/>
        <v>886.17465431000005</v>
      </c>
      <c r="H65" s="98">
        <f t="shared" si="1"/>
        <v>2012</v>
      </c>
      <c r="I65" s="98" t="str">
        <f t="shared" si="2"/>
        <v>2</v>
      </c>
    </row>
    <row r="66" spans="1:12">
      <c r="A66" s="1310">
        <v>41153</v>
      </c>
      <c r="B66" s="700">
        <v>3.3496731800000004</v>
      </c>
      <c r="C66" s="1304">
        <v>999.30645370000002</v>
      </c>
      <c r="D66" s="700">
        <v>0</v>
      </c>
      <c r="E66" s="699">
        <v>0</v>
      </c>
      <c r="F66" s="700">
        <f t="shared" si="3"/>
        <v>3.3496731800000004</v>
      </c>
      <c r="G66" s="699">
        <f t="shared" si="0"/>
        <v>999.30645370000002</v>
      </c>
      <c r="H66" s="98">
        <f t="shared" si="1"/>
        <v>2012</v>
      </c>
      <c r="I66" s="98" t="str">
        <f t="shared" si="2"/>
        <v>3</v>
      </c>
    </row>
    <row r="67" spans="1:12">
      <c r="A67" s="1310">
        <v>41244</v>
      </c>
      <c r="B67" s="702">
        <v>3.3772318800000001</v>
      </c>
      <c r="C67" s="1305">
        <v>990.98844001999998</v>
      </c>
      <c r="D67" s="702">
        <v>0</v>
      </c>
      <c r="E67" s="701">
        <v>0</v>
      </c>
      <c r="F67" s="702">
        <f t="shared" si="3"/>
        <v>3.3772318800000001</v>
      </c>
      <c r="G67" s="701">
        <f t="shared" si="0"/>
        <v>990.98844001999998</v>
      </c>
      <c r="H67" s="98">
        <f t="shared" si="1"/>
        <v>2012</v>
      </c>
      <c r="I67" s="98" t="str">
        <f t="shared" si="2"/>
        <v>4</v>
      </c>
    </row>
    <row r="68" spans="1:12">
      <c r="A68" s="1310">
        <v>41334</v>
      </c>
      <c r="B68" s="700">
        <v>3.3653829900000001</v>
      </c>
      <c r="C68" s="1304">
        <v>1004.88291427</v>
      </c>
      <c r="D68" s="700">
        <v>0</v>
      </c>
      <c r="E68" s="699">
        <v>0</v>
      </c>
      <c r="F68" s="700">
        <f t="shared" si="3"/>
        <v>3.3653829900000001</v>
      </c>
      <c r="G68" s="699">
        <f t="shared" si="0"/>
        <v>1004.88291427</v>
      </c>
      <c r="H68" s="98">
        <f t="shared" si="1"/>
        <v>2013</v>
      </c>
      <c r="I68" s="98" t="str">
        <f t="shared" si="2"/>
        <v>1</v>
      </c>
    </row>
    <row r="69" spans="1:12">
      <c r="A69" s="1310">
        <v>41426</v>
      </c>
      <c r="B69" s="702">
        <v>3.4384641199999999</v>
      </c>
      <c r="C69" s="1305">
        <v>1032.63240922</v>
      </c>
      <c r="D69" s="702">
        <v>0</v>
      </c>
      <c r="E69" s="701">
        <v>0</v>
      </c>
      <c r="F69" s="702">
        <f t="shared" si="3"/>
        <v>3.4384641199999999</v>
      </c>
      <c r="G69" s="701">
        <f t="shared" si="0"/>
        <v>1032.63240922</v>
      </c>
      <c r="H69" s="98">
        <f t="shared" si="1"/>
        <v>2013</v>
      </c>
      <c r="I69" s="98" t="str">
        <f t="shared" si="2"/>
        <v>2</v>
      </c>
    </row>
    <row r="70" spans="1:12">
      <c r="A70" s="1310">
        <v>41518</v>
      </c>
      <c r="B70" s="700">
        <v>3.3039522099999998</v>
      </c>
      <c r="C70" s="1304">
        <v>1029.30308724</v>
      </c>
      <c r="D70" s="700">
        <v>0</v>
      </c>
      <c r="E70" s="699">
        <v>0</v>
      </c>
      <c r="F70" s="700">
        <f t="shared" si="3"/>
        <v>3.3039522099999998</v>
      </c>
      <c r="G70" s="699">
        <f t="shared" si="0"/>
        <v>1029.30308724</v>
      </c>
      <c r="H70" s="98">
        <f t="shared" si="1"/>
        <v>2013</v>
      </c>
      <c r="I70" s="98" t="str">
        <f t="shared" si="2"/>
        <v>3</v>
      </c>
    </row>
    <row r="71" spans="1:12">
      <c r="A71" s="1310">
        <v>41609</v>
      </c>
      <c r="B71" s="702">
        <v>3.5179042099999998</v>
      </c>
      <c r="C71" s="1305">
        <v>1080.2324827699999</v>
      </c>
      <c r="D71" s="702">
        <v>0</v>
      </c>
      <c r="E71" s="701">
        <v>0</v>
      </c>
      <c r="F71" s="702">
        <f t="shared" si="3"/>
        <v>3.5179042099999998</v>
      </c>
      <c r="G71" s="701">
        <f t="shared" si="0"/>
        <v>1080.2324827699999</v>
      </c>
      <c r="H71" s="98">
        <f t="shared" si="1"/>
        <v>2013</v>
      </c>
      <c r="I71" s="98" t="str">
        <f t="shared" si="2"/>
        <v>4</v>
      </c>
    </row>
    <row r="72" spans="1:12">
      <c r="A72" s="1310">
        <v>41699</v>
      </c>
      <c r="B72" s="700">
        <v>3.4847233900000001</v>
      </c>
      <c r="C72" s="1304">
        <v>1117.855249</v>
      </c>
      <c r="D72" s="700">
        <v>0</v>
      </c>
      <c r="E72" s="699">
        <v>0</v>
      </c>
      <c r="F72" s="700">
        <f t="shared" si="3"/>
        <v>3.4847233900000001</v>
      </c>
      <c r="G72" s="699">
        <f t="shared" ref="G72:G87" si="14">SUM(C72+E72)</f>
        <v>1117.855249</v>
      </c>
      <c r="H72" s="98">
        <f t="shared" ref="H72:H135" si="15">YEAR(A72)</f>
        <v>2014</v>
      </c>
      <c r="I72" s="98" t="str">
        <f t="shared" ref="I72:I135" si="16">IF(MONTH(A72)=3,"1",IF(MONTH(A72)=6,"2",IF(MONTH(A72)=9,"3","4")))</f>
        <v>1</v>
      </c>
    </row>
    <row r="73" spans="1:12">
      <c r="A73" s="1310">
        <v>41791</v>
      </c>
      <c r="B73" s="702">
        <v>3.41137187</v>
      </c>
      <c r="C73" s="1305">
        <v>1067.9578799999999</v>
      </c>
      <c r="D73" s="702">
        <v>0</v>
      </c>
      <c r="E73" s="701">
        <v>0</v>
      </c>
      <c r="F73" s="702">
        <f t="shared" ref="F73:F87" si="17">SUM(B73+D73)</f>
        <v>3.41137187</v>
      </c>
      <c r="G73" s="701">
        <f t="shared" si="14"/>
        <v>1067.9578799999999</v>
      </c>
      <c r="H73" s="98">
        <f t="shared" si="15"/>
        <v>2014</v>
      </c>
      <c r="I73" s="98" t="str">
        <f t="shared" si="16"/>
        <v>2</v>
      </c>
    </row>
    <row r="74" spans="1:12">
      <c r="A74" s="1310">
        <v>41883</v>
      </c>
      <c r="B74" s="700">
        <v>3.379305</v>
      </c>
      <c r="C74" s="1304">
        <v>1081.011272</v>
      </c>
      <c r="D74" s="700">
        <v>0</v>
      </c>
      <c r="E74" s="699">
        <v>0</v>
      </c>
      <c r="F74" s="700">
        <f t="shared" si="17"/>
        <v>3.379305</v>
      </c>
      <c r="G74" s="699">
        <f t="shared" si="14"/>
        <v>1081.011272</v>
      </c>
      <c r="H74" s="98">
        <f t="shared" si="15"/>
        <v>2014</v>
      </c>
      <c r="I74" s="98" t="str">
        <f t="shared" si="16"/>
        <v>3</v>
      </c>
    </row>
    <row r="75" spans="1:12">
      <c r="A75" s="1310">
        <v>41974</v>
      </c>
      <c r="B75" s="702">
        <v>3.6014460000000001</v>
      </c>
      <c r="C75" s="1305">
        <v>1294.9147579999999</v>
      </c>
      <c r="D75" s="702">
        <v>0</v>
      </c>
      <c r="E75" s="701">
        <v>0</v>
      </c>
      <c r="F75" s="702">
        <f t="shared" si="17"/>
        <v>3.6014460000000001</v>
      </c>
      <c r="G75" s="701">
        <f t="shared" si="14"/>
        <v>1294.9147579999999</v>
      </c>
      <c r="H75" s="98">
        <f t="shared" si="15"/>
        <v>2014</v>
      </c>
      <c r="I75" s="98" t="str">
        <f t="shared" si="16"/>
        <v>4</v>
      </c>
    </row>
    <row r="76" spans="1:12">
      <c r="A76" s="1310">
        <v>42064</v>
      </c>
      <c r="B76" s="700">
        <v>3.2643786460000004</v>
      </c>
      <c r="C76" s="1304">
        <v>1275.4519760000001</v>
      </c>
      <c r="D76" s="700">
        <v>0</v>
      </c>
      <c r="E76" s="699">
        <v>0</v>
      </c>
      <c r="F76" s="700">
        <f t="shared" si="17"/>
        <v>3.2643786460000004</v>
      </c>
      <c r="G76" s="699">
        <f t="shared" si="14"/>
        <v>1275.4519760000001</v>
      </c>
      <c r="H76" s="98">
        <f t="shared" si="15"/>
        <v>2015</v>
      </c>
      <c r="I76" s="98" t="str">
        <f t="shared" si="16"/>
        <v>1</v>
      </c>
    </row>
    <row r="77" spans="1:12">
      <c r="A77" s="1310">
        <v>42156</v>
      </c>
      <c r="B77" s="702">
        <v>3.5262826299999999</v>
      </c>
      <c r="C77" s="1305">
        <v>1371.343212</v>
      </c>
      <c r="D77" s="702">
        <v>0</v>
      </c>
      <c r="E77" s="701">
        <v>0</v>
      </c>
      <c r="F77" s="702">
        <f t="shared" si="17"/>
        <v>3.5262826299999999</v>
      </c>
      <c r="G77" s="701">
        <f t="shared" si="14"/>
        <v>1371.343212</v>
      </c>
      <c r="H77" s="98">
        <f t="shared" si="15"/>
        <v>2015</v>
      </c>
      <c r="I77" s="98" t="str">
        <f t="shared" si="16"/>
        <v>2</v>
      </c>
    </row>
    <row r="78" spans="1:12">
      <c r="A78" s="1310">
        <v>42248</v>
      </c>
      <c r="B78" s="700">
        <v>3.4379360000000001</v>
      </c>
      <c r="C78" s="1304">
        <v>1375.346898</v>
      </c>
      <c r="D78" s="700">
        <v>0</v>
      </c>
      <c r="E78" s="699">
        <v>0</v>
      </c>
      <c r="F78" s="700">
        <f t="shared" si="17"/>
        <v>3.4379360000000001</v>
      </c>
      <c r="G78" s="699">
        <f t="shared" si="14"/>
        <v>1375.346898</v>
      </c>
      <c r="H78" s="98">
        <f t="shared" si="15"/>
        <v>2015</v>
      </c>
      <c r="I78" s="98" t="str">
        <f t="shared" si="16"/>
        <v>3</v>
      </c>
    </row>
    <row r="79" spans="1:12">
      <c r="A79" s="1311">
        <v>42339</v>
      </c>
      <c r="B79" s="704">
        <v>3.5498963100000003</v>
      </c>
      <c r="C79" s="1306">
        <v>1268.240526</v>
      </c>
      <c r="D79" s="704">
        <v>0</v>
      </c>
      <c r="E79" s="703">
        <v>0</v>
      </c>
      <c r="F79" s="704">
        <f t="shared" si="17"/>
        <v>3.5498963100000003</v>
      </c>
      <c r="G79" s="703">
        <f t="shared" si="14"/>
        <v>1268.240526</v>
      </c>
      <c r="H79" s="98">
        <f t="shared" si="15"/>
        <v>2015</v>
      </c>
      <c r="I79" s="98" t="str">
        <f t="shared" si="16"/>
        <v>4</v>
      </c>
      <c r="K79" s="87"/>
      <c r="L79" s="87"/>
    </row>
    <row r="80" spans="1:12">
      <c r="A80" s="1311">
        <v>42430</v>
      </c>
      <c r="B80" s="706">
        <v>3.4384387799999998</v>
      </c>
      <c r="C80" s="1307">
        <v>1095.57123</v>
      </c>
      <c r="D80" s="706">
        <v>0</v>
      </c>
      <c r="E80" s="705">
        <v>0</v>
      </c>
      <c r="F80" s="706">
        <f t="shared" si="17"/>
        <v>3.4384387799999998</v>
      </c>
      <c r="G80" s="705">
        <f t="shared" si="14"/>
        <v>1095.57123</v>
      </c>
      <c r="H80" s="98">
        <f t="shared" si="15"/>
        <v>2016</v>
      </c>
      <c r="I80" s="98" t="str">
        <f t="shared" si="16"/>
        <v>1</v>
      </c>
    </row>
    <row r="81" spans="1:9">
      <c r="A81" s="1311">
        <v>42522</v>
      </c>
      <c r="B81" s="704">
        <v>3.4672684300000003</v>
      </c>
      <c r="C81" s="1306">
        <v>1198.121216</v>
      </c>
      <c r="D81" s="704">
        <v>4.7703000000000002E-2</v>
      </c>
      <c r="E81" s="703">
        <v>1.9525999999999999</v>
      </c>
      <c r="F81" s="704">
        <f t="shared" si="17"/>
        <v>3.5149714300000001</v>
      </c>
      <c r="G81" s="703">
        <f t="shared" si="14"/>
        <v>1200.0738160000001</v>
      </c>
      <c r="H81" s="98">
        <f t="shared" si="15"/>
        <v>2016</v>
      </c>
      <c r="I81" s="98" t="str">
        <f t="shared" si="16"/>
        <v>2</v>
      </c>
    </row>
    <row r="82" spans="1:9">
      <c r="A82" s="1311">
        <v>42614</v>
      </c>
      <c r="B82" s="706">
        <v>3.4676228300000003</v>
      </c>
      <c r="C82" s="1307">
        <v>1120.4518909999999</v>
      </c>
      <c r="D82" s="706">
        <v>0</v>
      </c>
      <c r="E82" s="705">
        <v>0</v>
      </c>
      <c r="F82" s="706">
        <f t="shared" si="17"/>
        <v>3.4676228300000003</v>
      </c>
      <c r="G82" s="705">
        <f t="shared" si="14"/>
        <v>1120.4518909999999</v>
      </c>
      <c r="H82" s="98">
        <f t="shared" si="15"/>
        <v>2016</v>
      </c>
      <c r="I82" s="98" t="str">
        <f t="shared" si="16"/>
        <v>3</v>
      </c>
    </row>
    <row r="83" spans="1:9">
      <c r="A83" s="1311">
        <v>42705</v>
      </c>
      <c r="B83" s="704">
        <v>3.4564438499999999</v>
      </c>
      <c r="C83" s="1306">
        <v>1172.5128729999999</v>
      </c>
      <c r="D83" s="704">
        <v>4.4611999999999999E-2</v>
      </c>
      <c r="E83" s="703">
        <v>1.994435</v>
      </c>
      <c r="F83" s="704">
        <f t="shared" si="17"/>
        <v>3.5010558499999997</v>
      </c>
      <c r="G83" s="703">
        <f t="shared" si="14"/>
        <v>1174.507308</v>
      </c>
      <c r="H83" s="98">
        <f t="shared" si="15"/>
        <v>2016</v>
      </c>
      <c r="I83" s="98" t="str">
        <f t="shared" si="16"/>
        <v>4</v>
      </c>
    </row>
    <row r="84" spans="1:9">
      <c r="A84" s="1311">
        <v>42795</v>
      </c>
      <c r="B84" s="706">
        <v>3.4658780600000001</v>
      </c>
      <c r="C84" s="1307">
        <v>1423.05466</v>
      </c>
      <c r="D84" s="706">
        <v>8.9477000000000001E-2</v>
      </c>
      <c r="E84" s="705">
        <v>4.1782180000000002</v>
      </c>
      <c r="F84" s="706">
        <f t="shared" si="17"/>
        <v>3.5553550600000001</v>
      </c>
      <c r="G84" s="705">
        <f t="shared" si="14"/>
        <v>1427.232878</v>
      </c>
      <c r="H84" s="98">
        <f t="shared" si="15"/>
        <v>2017</v>
      </c>
      <c r="I84" s="98" t="str">
        <f t="shared" si="16"/>
        <v>1</v>
      </c>
    </row>
    <row r="85" spans="1:9">
      <c r="A85" s="1311">
        <v>42887</v>
      </c>
      <c r="B85" s="704">
        <v>3.4654370299999999</v>
      </c>
      <c r="C85" s="1306">
        <v>1357.9764729999999</v>
      </c>
      <c r="D85" s="704">
        <v>0.17625152999999999</v>
      </c>
      <c r="E85" s="703">
        <v>8.3908159999999992</v>
      </c>
      <c r="F85" s="704">
        <f t="shared" si="17"/>
        <v>3.64168856</v>
      </c>
      <c r="G85" s="703">
        <f t="shared" si="14"/>
        <v>1366.367289</v>
      </c>
      <c r="H85" s="98">
        <f t="shared" si="15"/>
        <v>2017</v>
      </c>
      <c r="I85" s="98" t="str">
        <f t="shared" si="16"/>
        <v>2</v>
      </c>
    </row>
    <row r="86" spans="1:9">
      <c r="A86" s="1311">
        <v>42979</v>
      </c>
      <c r="B86" s="706">
        <v>3.4844169599999999</v>
      </c>
      <c r="C86" s="1307">
        <v>1342.271626</v>
      </c>
      <c r="D86" s="706">
        <v>0.16675714000000003</v>
      </c>
      <c r="E86" s="705">
        <v>7.6937369999999996</v>
      </c>
      <c r="F86" s="706">
        <f t="shared" si="17"/>
        <v>3.6511741</v>
      </c>
      <c r="G86" s="705">
        <f t="shared" si="14"/>
        <v>1349.965363</v>
      </c>
      <c r="H86" s="98">
        <f t="shared" si="15"/>
        <v>2017</v>
      </c>
      <c r="I86" s="98" t="str">
        <f t="shared" si="16"/>
        <v>3</v>
      </c>
    </row>
    <row r="87" spans="1:9">
      <c r="A87" s="1312">
        <v>43070</v>
      </c>
      <c r="B87" s="715">
        <v>3.4312720099999998</v>
      </c>
      <c r="C87" s="1308">
        <v>1716.594476</v>
      </c>
      <c r="D87" s="707">
        <v>0.39151671999999998</v>
      </c>
      <c r="E87" s="708">
        <v>18.571061</v>
      </c>
      <c r="F87" s="704">
        <f t="shared" si="17"/>
        <v>3.8227887299999996</v>
      </c>
      <c r="G87" s="703">
        <f t="shared" si="14"/>
        <v>1735.1655370000001</v>
      </c>
      <c r="H87" s="98">
        <f t="shared" si="15"/>
        <v>2017</v>
      </c>
      <c r="I87" s="98" t="str">
        <f t="shared" si="16"/>
        <v>4</v>
      </c>
    </row>
    <row r="88" spans="1:9">
      <c r="A88" s="1312">
        <v>43160</v>
      </c>
      <c r="B88" s="716">
        <v>3.3520076800000003</v>
      </c>
      <c r="C88" s="1309">
        <v>1597.209987</v>
      </c>
      <c r="D88" s="709">
        <v>0.21968036999999999</v>
      </c>
      <c r="E88" s="710">
        <v>8.2947640000000007</v>
      </c>
      <c r="F88" s="706">
        <f>SUM(B88+D88)</f>
        <v>3.5716880500000001</v>
      </c>
      <c r="G88" s="705">
        <f t="shared" ref="G88:G89" si="18">SUM(C88+E88)</f>
        <v>1605.5047509999999</v>
      </c>
      <c r="H88" s="98">
        <f t="shared" si="15"/>
        <v>2018</v>
      </c>
      <c r="I88" s="98" t="str">
        <f t="shared" si="16"/>
        <v>1</v>
      </c>
    </row>
    <row r="89" spans="1:9">
      <c r="A89" s="1312">
        <v>43252</v>
      </c>
      <c r="B89" s="715">
        <v>3.4017702999999999</v>
      </c>
      <c r="C89" s="1308">
        <v>1940.742236</v>
      </c>
      <c r="D89" s="707">
        <v>0.33936846000000004</v>
      </c>
      <c r="E89" s="711">
        <v>12.145389</v>
      </c>
      <c r="F89" s="712">
        <f>SUM(B89+D89)</f>
        <v>3.7411387600000001</v>
      </c>
      <c r="G89" s="703">
        <f t="shared" si="18"/>
        <v>1952.8876250000001</v>
      </c>
      <c r="H89" s="98">
        <f t="shared" si="15"/>
        <v>2018</v>
      </c>
      <c r="I89" s="98" t="str">
        <f t="shared" si="16"/>
        <v>2</v>
      </c>
    </row>
    <row r="90" spans="1:9">
      <c r="A90" s="1312">
        <v>43344</v>
      </c>
      <c r="B90" s="716">
        <v>3.2432132500000002</v>
      </c>
      <c r="C90" s="1309">
        <v>2054.2811350000002</v>
      </c>
      <c r="D90" s="709">
        <v>0.37020375999999999</v>
      </c>
      <c r="E90" s="713">
        <v>13.896512</v>
      </c>
      <c r="F90" s="714">
        <f t="shared" ref="F90:F91" si="19">SUM(B90+D90)</f>
        <v>3.61341701</v>
      </c>
      <c r="G90" s="705">
        <f t="shared" ref="G90:G91" si="20">SUM(C90+E90)</f>
        <v>2068.177647</v>
      </c>
      <c r="H90" s="98">
        <f t="shared" si="15"/>
        <v>2018</v>
      </c>
      <c r="I90" s="98" t="str">
        <f t="shared" si="16"/>
        <v>3</v>
      </c>
    </row>
    <row r="91" spans="1:9">
      <c r="A91" s="1312">
        <v>43435</v>
      </c>
      <c r="B91" s="715">
        <v>3.5014398900000003</v>
      </c>
      <c r="C91" s="1308">
        <v>2276.7042529999999</v>
      </c>
      <c r="D91" s="707">
        <v>0.55171008999999993</v>
      </c>
      <c r="E91" s="708">
        <v>21.580597000000001</v>
      </c>
      <c r="F91" s="704">
        <f t="shared" si="19"/>
        <v>4.0531499800000006</v>
      </c>
      <c r="G91" s="703">
        <f t="shared" si="20"/>
        <v>2298.28485</v>
      </c>
      <c r="H91" s="98">
        <f t="shared" si="15"/>
        <v>2018</v>
      </c>
      <c r="I91" s="98" t="str">
        <f t="shared" si="16"/>
        <v>4</v>
      </c>
    </row>
    <row r="92" spans="1:9">
      <c r="A92" s="1312">
        <v>43525</v>
      </c>
      <c r="B92" s="716">
        <v>3.3998536699999997</v>
      </c>
      <c r="C92" s="1309">
        <v>1910.351537</v>
      </c>
      <c r="D92" s="709">
        <v>0.34243880999999998</v>
      </c>
      <c r="E92" s="713">
        <v>12.92347</v>
      </c>
      <c r="F92" s="714">
        <f t="shared" ref="F92:F93" si="21">SUM(B92+D92)</f>
        <v>3.7422924799999997</v>
      </c>
      <c r="G92" s="705">
        <f t="shared" ref="G92" si="22">SUM(C92+E92)</f>
        <v>1923.275007</v>
      </c>
      <c r="H92" s="98">
        <f t="shared" si="15"/>
        <v>2019</v>
      </c>
      <c r="I92" s="98" t="str">
        <f t="shared" si="16"/>
        <v>1</v>
      </c>
    </row>
    <row r="93" spans="1:9">
      <c r="A93" s="1311">
        <v>43617</v>
      </c>
      <c r="B93" s="715">
        <v>3.4989377899999998</v>
      </c>
      <c r="C93" s="1308">
        <v>1970.5268329999999</v>
      </c>
      <c r="D93" s="707">
        <v>0.51973579000000003</v>
      </c>
      <c r="E93" s="708">
        <v>19.176092000000001</v>
      </c>
      <c r="F93" s="704">
        <f t="shared" si="21"/>
        <v>4.0186735799999997</v>
      </c>
      <c r="G93" s="703">
        <f>SUM(C93+E93)</f>
        <v>1989.7029249999998</v>
      </c>
      <c r="H93" s="98">
        <f t="shared" si="15"/>
        <v>2019</v>
      </c>
      <c r="I93" s="98" t="str">
        <f t="shared" si="16"/>
        <v>2</v>
      </c>
    </row>
    <row r="94" spans="1:9">
      <c r="A94" s="1311">
        <v>43709</v>
      </c>
      <c r="B94" s="716">
        <v>3.4909009989999999</v>
      </c>
      <c r="C94" s="1309">
        <v>1739.5283019999999</v>
      </c>
      <c r="D94" s="709">
        <v>0.45178889</v>
      </c>
      <c r="E94" s="713">
        <v>17.493641</v>
      </c>
      <c r="F94" s="714">
        <f t="shared" ref="F94" si="23">SUM(B94+D94)</f>
        <v>3.9426898889999999</v>
      </c>
      <c r="G94" s="705">
        <f t="shared" ref="G94:G97" si="24">SUM(C94+E94)</f>
        <v>1757.021943</v>
      </c>
      <c r="H94" s="98">
        <f t="shared" si="15"/>
        <v>2019</v>
      </c>
      <c r="I94" s="98" t="str">
        <f t="shared" si="16"/>
        <v>3</v>
      </c>
    </row>
    <row r="95" spans="1:9">
      <c r="A95" s="1311">
        <v>43800</v>
      </c>
      <c r="B95" s="715">
        <v>3.6247780239999998</v>
      </c>
      <c r="C95" s="1308">
        <v>1668.697455</v>
      </c>
      <c r="D95" s="707">
        <v>0.55220254000000002</v>
      </c>
      <c r="E95" s="708">
        <v>20.312795999999999</v>
      </c>
      <c r="F95" s="704">
        <f>SUM(B95+D95)</f>
        <v>4.176980564</v>
      </c>
      <c r="G95" s="703">
        <f t="shared" si="24"/>
        <v>1689.0102509999999</v>
      </c>
      <c r="H95" s="98">
        <f t="shared" si="15"/>
        <v>2019</v>
      </c>
      <c r="I95" s="98" t="str">
        <f t="shared" si="16"/>
        <v>4</v>
      </c>
    </row>
    <row r="96" spans="1:9">
      <c r="A96" s="1311">
        <v>43891</v>
      </c>
      <c r="B96" s="716">
        <v>3.4033569100000003</v>
      </c>
      <c r="C96" s="1309">
        <v>1512.833613</v>
      </c>
      <c r="D96" s="709">
        <v>0.43855393999999998</v>
      </c>
      <c r="E96" s="710">
        <v>16.46583</v>
      </c>
      <c r="F96" s="706">
        <f t="shared" ref="F96:F97" si="25">SUM(B96+D96)</f>
        <v>3.8419108500000001</v>
      </c>
      <c r="G96" s="705">
        <f t="shared" si="24"/>
        <v>1529.2994430000001</v>
      </c>
      <c r="H96" s="98">
        <f t="shared" si="15"/>
        <v>2020</v>
      </c>
      <c r="I96" s="98" t="str">
        <f t="shared" si="16"/>
        <v>1</v>
      </c>
    </row>
    <row r="97" spans="1:9">
      <c r="A97" s="1311">
        <v>43983</v>
      </c>
      <c r="B97" s="715">
        <v>3.4961292999999998</v>
      </c>
      <c r="C97" s="1308">
        <v>1428.5100070000001</v>
      </c>
      <c r="D97" s="707">
        <v>0.34629784000000002</v>
      </c>
      <c r="E97" s="708">
        <v>12.557993</v>
      </c>
      <c r="F97" s="704">
        <f t="shared" si="25"/>
        <v>3.8424271399999999</v>
      </c>
      <c r="G97" s="703">
        <f t="shared" si="24"/>
        <v>1441.068</v>
      </c>
      <c r="H97" s="98">
        <f t="shared" si="15"/>
        <v>2020</v>
      </c>
      <c r="I97" s="98" t="str">
        <f t="shared" si="16"/>
        <v>2</v>
      </c>
    </row>
    <row r="98" spans="1:9">
      <c r="A98" s="1312">
        <v>44075</v>
      </c>
      <c r="B98" s="716">
        <v>3.6563031800000001</v>
      </c>
      <c r="C98" s="1309">
        <v>1444.9279429999999</v>
      </c>
      <c r="D98" s="709">
        <v>0.64346035000000001</v>
      </c>
      <c r="E98" s="710">
        <v>21.343789999999998</v>
      </c>
      <c r="F98" s="706">
        <f t="shared" ref="F98:F101" si="26">SUM(B98+D98)</f>
        <v>4.2997635299999999</v>
      </c>
      <c r="G98" s="705">
        <f t="shared" ref="G98:G101" si="27">SUM(C98+E98)</f>
        <v>1466.2717329999998</v>
      </c>
      <c r="H98" s="98">
        <f t="shared" si="15"/>
        <v>2020</v>
      </c>
      <c r="I98" s="98" t="str">
        <f t="shared" si="16"/>
        <v>3</v>
      </c>
    </row>
    <row r="99" spans="1:9">
      <c r="A99" s="1311">
        <v>44166</v>
      </c>
      <c r="B99" s="715">
        <v>3.6868202999999999</v>
      </c>
      <c r="C99" s="1308">
        <v>1402.0276289999999</v>
      </c>
      <c r="D99" s="707">
        <v>0.52754917000000001</v>
      </c>
      <c r="E99" s="711">
        <v>17.073516999999999</v>
      </c>
      <c r="F99" s="712">
        <f t="shared" si="26"/>
        <v>4.2143694700000003</v>
      </c>
      <c r="G99" s="703">
        <f t="shared" si="27"/>
        <v>1419.101146</v>
      </c>
      <c r="H99" s="98">
        <f t="shared" si="15"/>
        <v>2020</v>
      </c>
      <c r="I99" s="98" t="str">
        <f t="shared" si="16"/>
        <v>4</v>
      </c>
    </row>
    <row r="100" spans="1:9">
      <c r="A100" s="1311">
        <v>44256</v>
      </c>
      <c r="B100" s="716">
        <v>3.425103</v>
      </c>
      <c r="C100" s="1309">
        <v>1327.571355</v>
      </c>
      <c r="D100" s="709">
        <v>0.35992201000000001</v>
      </c>
      <c r="E100" s="710">
        <v>10.927232</v>
      </c>
      <c r="F100" s="714">
        <f t="shared" si="26"/>
        <v>3.78502501</v>
      </c>
      <c r="G100" s="705">
        <f t="shared" si="27"/>
        <v>1338.498587</v>
      </c>
      <c r="H100" s="98">
        <f t="shared" si="15"/>
        <v>2021</v>
      </c>
      <c r="I100" s="98" t="str">
        <f t="shared" si="16"/>
        <v>1</v>
      </c>
    </row>
    <row r="101" spans="1:9" ht="15.75" thickBot="1">
      <c r="A101" s="1311">
        <v>44348</v>
      </c>
      <c r="B101" s="1777">
        <v>3.5927959999999999</v>
      </c>
      <c r="C101" s="1778">
        <v>1331.690533</v>
      </c>
      <c r="D101" s="1779">
        <v>0.31315826000000002</v>
      </c>
      <c r="E101" s="1780">
        <v>9.4585460000000001</v>
      </c>
      <c r="F101" s="1694">
        <f t="shared" si="26"/>
        <v>3.9059542599999997</v>
      </c>
      <c r="G101" s="1695">
        <f t="shared" si="27"/>
        <v>1341.149079</v>
      </c>
      <c r="H101" s="98">
        <f t="shared" si="15"/>
        <v>2021</v>
      </c>
      <c r="I101" s="98" t="str">
        <f t="shared" si="16"/>
        <v>2</v>
      </c>
    </row>
    <row r="102" spans="1:9">
      <c r="C102" s="17"/>
      <c r="D102" s="98"/>
      <c r="E102" s="98"/>
      <c r="F102" s="98"/>
      <c r="G102" s="98"/>
      <c r="H102" s="98">
        <f t="shared" si="15"/>
        <v>1900</v>
      </c>
      <c r="I102" s="98" t="str">
        <f t="shared" si="16"/>
        <v>4</v>
      </c>
    </row>
    <row r="103" spans="1:9">
      <c r="C103" s="17"/>
      <c r="D103" s="98"/>
      <c r="E103" s="98"/>
      <c r="F103" s="98"/>
      <c r="G103" s="98"/>
      <c r="H103" s="98">
        <f t="shared" si="15"/>
        <v>1900</v>
      </c>
      <c r="I103" s="98" t="str">
        <f t="shared" si="16"/>
        <v>4</v>
      </c>
    </row>
    <row r="104" spans="1:9">
      <c r="C104" s="17"/>
      <c r="D104" s="98"/>
      <c r="E104" s="98"/>
      <c r="F104" s="98"/>
      <c r="G104" s="98"/>
      <c r="H104" s="98">
        <f t="shared" si="15"/>
        <v>1900</v>
      </c>
      <c r="I104" s="98" t="str">
        <f t="shared" si="16"/>
        <v>4</v>
      </c>
    </row>
    <row r="105" spans="1:9">
      <c r="C105" s="17"/>
      <c r="D105" s="98"/>
      <c r="E105" s="98"/>
      <c r="F105" s="98"/>
      <c r="G105" s="98"/>
      <c r="H105" s="98">
        <f t="shared" si="15"/>
        <v>1900</v>
      </c>
      <c r="I105" s="98" t="str">
        <f t="shared" si="16"/>
        <v>4</v>
      </c>
    </row>
    <row r="106" spans="1:9">
      <c r="C106" s="17"/>
      <c r="D106" s="98"/>
      <c r="E106" s="98"/>
      <c r="F106" s="98"/>
      <c r="G106" s="98"/>
      <c r="H106" s="98">
        <f t="shared" si="15"/>
        <v>1900</v>
      </c>
      <c r="I106" s="98" t="str">
        <f t="shared" si="16"/>
        <v>4</v>
      </c>
    </row>
    <row r="107" spans="1:9">
      <c r="C107" s="17"/>
      <c r="D107" s="98"/>
      <c r="E107" s="98"/>
      <c r="F107" s="98"/>
      <c r="G107" s="98"/>
      <c r="H107" s="98">
        <f t="shared" si="15"/>
        <v>1900</v>
      </c>
      <c r="I107" s="98" t="str">
        <f t="shared" si="16"/>
        <v>4</v>
      </c>
    </row>
    <row r="108" spans="1:9">
      <c r="C108" s="17"/>
      <c r="D108" s="98"/>
      <c r="E108" s="98"/>
      <c r="F108" s="98"/>
      <c r="G108" s="98"/>
      <c r="H108" s="98">
        <f t="shared" si="15"/>
        <v>1900</v>
      </c>
      <c r="I108" s="98" t="str">
        <f t="shared" si="16"/>
        <v>4</v>
      </c>
    </row>
    <row r="109" spans="1:9">
      <c r="C109" s="17"/>
      <c r="D109" s="98"/>
      <c r="E109" s="98"/>
      <c r="F109" s="98"/>
      <c r="G109" s="98"/>
      <c r="H109" s="98">
        <f t="shared" si="15"/>
        <v>1900</v>
      </c>
      <c r="I109" s="98" t="str">
        <f t="shared" si="16"/>
        <v>4</v>
      </c>
    </row>
    <row r="110" spans="1:9">
      <c r="C110" s="17"/>
      <c r="D110" s="98"/>
      <c r="E110" s="98"/>
      <c r="F110" s="98"/>
      <c r="G110" s="98"/>
      <c r="H110" s="98">
        <f t="shared" si="15"/>
        <v>1900</v>
      </c>
      <c r="I110" s="98" t="str">
        <f t="shared" si="16"/>
        <v>4</v>
      </c>
    </row>
    <row r="111" spans="1:9">
      <c r="C111" s="17"/>
      <c r="D111" s="98"/>
      <c r="E111" s="98"/>
      <c r="F111" s="98"/>
      <c r="G111" s="98"/>
      <c r="H111" s="98">
        <f t="shared" si="15"/>
        <v>1900</v>
      </c>
      <c r="I111" s="98" t="str">
        <f t="shared" si="16"/>
        <v>4</v>
      </c>
    </row>
    <row r="112" spans="1:9">
      <c r="C112" s="17"/>
      <c r="D112" s="98"/>
      <c r="E112" s="98"/>
      <c r="F112" s="98"/>
      <c r="G112" s="98"/>
      <c r="H112" s="98">
        <f t="shared" si="15"/>
        <v>1900</v>
      </c>
      <c r="I112" s="98" t="str">
        <f t="shared" si="16"/>
        <v>4</v>
      </c>
    </row>
    <row r="113" spans="3:9">
      <c r="C113" s="17"/>
      <c r="D113" s="98"/>
      <c r="E113" s="98"/>
      <c r="F113" s="98"/>
      <c r="G113" s="98"/>
      <c r="H113" s="98">
        <f t="shared" si="15"/>
        <v>1900</v>
      </c>
      <c r="I113" s="98" t="str">
        <f t="shared" si="16"/>
        <v>4</v>
      </c>
    </row>
    <row r="114" spans="3:9">
      <c r="C114" s="17"/>
      <c r="D114" s="98"/>
      <c r="E114" s="98"/>
      <c r="F114" s="98"/>
      <c r="G114" s="98"/>
      <c r="H114" s="98">
        <f t="shared" si="15"/>
        <v>1900</v>
      </c>
      <c r="I114" s="98" t="str">
        <f t="shared" si="16"/>
        <v>4</v>
      </c>
    </row>
    <row r="115" spans="3:9">
      <c r="C115" s="17"/>
      <c r="D115" s="98"/>
      <c r="E115" s="98"/>
      <c r="F115" s="98"/>
      <c r="G115" s="98"/>
      <c r="H115" s="98">
        <f t="shared" si="15"/>
        <v>1900</v>
      </c>
      <c r="I115" s="98" t="str">
        <f t="shared" si="16"/>
        <v>4</v>
      </c>
    </row>
    <row r="116" spans="3:9">
      <c r="C116" s="17"/>
      <c r="D116" s="98"/>
      <c r="E116" s="98"/>
      <c r="F116" s="98"/>
      <c r="G116" s="98"/>
      <c r="H116" s="98">
        <f t="shared" si="15"/>
        <v>1900</v>
      </c>
      <c r="I116" s="98" t="str">
        <f t="shared" si="16"/>
        <v>4</v>
      </c>
    </row>
    <row r="117" spans="3:9">
      <c r="C117" s="17"/>
      <c r="D117" s="98"/>
      <c r="E117" s="98"/>
      <c r="F117" s="98"/>
      <c r="G117" s="98"/>
      <c r="H117" s="98">
        <f t="shared" si="15"/>
        <v>1900</v>
      </c>
      <c r="I117" s="98" t="str">
        <f t="shared" si="16"/>
        <v>4</v>
      </c>
    </row>
    <row r="118" spans="3:9">
      <c r="C118" s="17"/>
      <c r="D118" s="98"/>
      <c r="E118" s="98"/>
      <c r="F118" s="98"/>
      <c r="G118" s="98"/>
      <c r="H118" s="98">
        <f t="shared" si="15"/>
        <v>1900</v>
      </c>
      <c r="I118" s="98" t="str">
        <f t="shared" si="16"/>
        <v>4</v>
      </c>
    </row>
    <row r="119" spans="3:9">
      <c r="C119" s="17"/>
      <c r="D119" s="98"/>
      <c r="E119" s="98"/>
      <c r="F119" s="98"/>
      <c r="G119" s="98"/>
      <c r="H119" s="98">
        <f t="shared" si="15"/>
        <v>1900</v>
      </c>
      <c r="I119" s="98" t="str">
        <f t="shared" si="16"/>
        <v>4</v>
      </c>
    </row>
    <row r="120" spans="3:9">
      <c r="C120" s="17"/>
      <c r="D120" s="98"/>
      <c r="E120" s="98"/>
      <c r="F120" s="98"/>
      <c r="G120" s="98"/>
      <c r="H120" s="98">
        <f t="shared" si="15"/>
        <v>1900</v>
      </c>
      <c r="I120" s="98" t="str">
        <f t="shared" si="16"/>
        <v>4</v>
      </c>
    </row>
    <row r="121" spans="3:9">
      <c r="C121" s="17"/>
      <c r="D121" s="98"/>
      <c r="E121" s="98"/>
      <c r="F121" s="98"/>
      <c r="G121" s="98"/>
      <c r="H121" s="98">
        <f t="shared" si="15"/>
        <v>1900</v>
      </c>
      <c r="I121" s="98" t="str">
        <f t="shared" si="16"/>
        <v>4</v>
      </c>
    </row>
    <row r="122" spans="3:9">
      <c r="C122" s="17"/>
      <c r="D122" s="98"/>
      <c r="E122" s="98"/>
      <c r="F122" s="98"/>
      <c r="G122" s="98"/>
      <c r="H122" s="98">
        <f t="shared" si="15"/>
        <v>1900</v>
      </c>
      <c r="I122" s="98" t="str">
        <f t="shared" si="16"/>
        <v>4</v>
      </c>
    </row>
    <row r="123" spans="3:9">
      <c r="C123" s="17"/>
      <c r="D123" s="98"/>
      <c r="E123" s="98"/>
      <c r="F123" s="98"/>
      <c r="G123" s="98"/>
      <c r="H123" s="98">
        <f t="shared" si="15"/>
        <v>1900</v>
      </c>
      <c r="I123" s="98" t="str">
        <f t="shared" si="16"/>
        <v>4</v>
      </c>
    </row>
    <row r="124" spans="3:9">
      <c r="C124" s="17"/>
      <c r="D124" s="98"/>
      <c r="E124" s="98"/>
      <c r="F124" s="98"/>
      <c r="G124" s="98"/>
      <c r="H124" s="98">
        <f t="shared" si="15"/>
        <v>1900</v>
      </c>
      <c r="I124" s="98" t="str">
        <f t="shared" si="16"/>
        <v>4</v>
      </c>
    </row>
    <row r="125" spans="3:9">
      <c r="C125" s="17"/>
      <c r="D125" s="98"/>
      <c r="E125" s="98"/>
      <c r="F125" s="98"/>
      <c r="G125" s="98"/>
      <c r="H125" s="98">
        <f t="shared" si="15"/>
        <v>1900</v>
      </c>
      <c r="I125" s="98" t="str">
        <f t="shared" si="16"/>
        <v>4</v>
      </c>
    </row>
    <row r="126" spans="3:9">
      <c r="C126" s="17"/>
      <c r="D126" s="98"/>
      <c r="E126" s="98"/>
      <c r="F126" s="98"/>
      <c r="G126" s="98"/>
      <c r="H126" s="98">
        <f t="shared" si="15"/>
        <v>1900</v>
      </c>
      <c r="I126" s="98" t="str">
        <f t="shared" si="16"/>
        <v>4</v>
      </c>
    </row>
    <row r="127" spans="3:9">
      <c r="C127" s="17"/>
      <c r="D127" s="98"/>
      <c r="E127" s="98"/>
      <c r="F127" s="98"/>
      <c r="G127" s="98"/>
      <c r="H127" s="98">
        <f t="shared" si="15"/>
        <v>1900</v>
      </c>
      <c r="I127" s="98" t="str">
        <f t="shared" si="16"/>
        <v>4</v>
      </c>
    </row>
    <row r="128" spans="3:9">
      <c r="C128" s="17"/>
      <c r="D128" s="98"/>
      <c r="E128" s="98"/>
      <c r="F128" s="98"/>
      <c r="G128" s="98"/>
      <c r="H128" s="98">
        <f t="shared" si="15"/>
        <v>1900</v>
      </c>
      <c r="I128" s="98" t="str">
        <f t="shared" si="16"/>
        <v>4</v>
      </c>
    </row>
    <row r="129" spans="3:9">
      <c r="C129" s="17"/>
      <c r="D129" s="98"/>
      <c r="E129" s="98"/>
      <c r="F129" s="98"/>
      <c r="G129" s="98"/>
      <c r="H129" s="98">
        <f t="shared" si="15"/>
        <v>1900</v>
      </c>
      <c r="I129" s="98" t="str">
        <f t="shared" si="16"/>
        <v>4</v>
      </c>
    </row>
    <row r="130" spans="3:9">
      <c r="C130" s="17"/>
      <c r="D130" s="98"/>
      <c r="E130" s="98"/>
      <c r="F130" s="98"/>
      <c r="G130" s="98"/>
      <c r="H130" s="98">
        <f t="shared" si="15"/>
        <v>1900</v>
      </c>
      <c r="I130" s="98" t="str">
        <f t="shared" si="16"/>
        <v>4</v>
      </c>
    </row>
    <row r="131" spans="3:9">
      <c r="C131" s="17"/>
      <c r="D131" s="98"/>
      <c r="E131" s="98"/>
      <c r="F131" s="98"/>
      <c r="G131" s="98"/>
      <c r="H131" s="98">
        <f t="shared" si="15"/>
        <v>1900</v>
      </c>
      <c r="I131" s="98" t="str">
        <f t="shared" si="16"/>
        <v>4</v>
      </c>
    </row>
    <row r="132" spans="3:9">
      <c r="C132" s="17"/>
      <c r="D132" s="98"/>
      <c r="E132" s="98"/>
      <c r="F132" s="98"/>
      <c r="G132" s="98"/>
      <c r="H132" s="98">
        <f t="shared" si="15"/>
        <v>1900</v>
      </c>
      <c r="I132" s="98" t="str">
        <f t="shared" si="16"/>
        <v>4</v>
      </c>
    </row>
    <row r="133" spans="3:9">
      <c r="C133" s="17"/>
      <c r="D133" s="98"/>
      <c r="E133" s="98"/>
      <c r="F133" s="98"/>
      <c r="G133" s="98"/>
      <c r="H133" s="98">
        <f t="shared" si="15"/>
        <v>1900</v>
      </c>
      <c r="I133" s="98" t="str">
        <f t="shared" si="16"/>
        <v>4</v>
      </c>
    </row>
    <row r="134" spans="3:9">
      <c r="C134" s="17"/>
      <c r="D134" s="98"/>
      <c r="E134" s="98"/>
      <c r="F134" s="98"/>
      <c r="G134" s="98"/>
      <c r="H134" s="98">
        <f t="shared" si="15"/>
        <v>1900</v>
      </c>
      <c r="I134" s="98" t="str">
        <f t="shared" si="16"/>
        <v>4</v>
      </c>
    </row>
    <row r="135" spans="3:9">
      <c r="C135" s="17"/>
      <c r="D135" s="98"/>
      <c r="E135" s="98"/>
      <c r="F135" s="98"/>
      <c r="G135" s="98"/>
      <c r="H135" s="98">
        <f t="shared" si="15"/>
        <v>1900</v>
      </c>
      <c r="I135" s="98" t="str">
        <f t="shared" si="16"/>
        <v>4</v>
      </c>
    </row>
    <row r="136" spans="3:9">
      <c r="C136" s="17"/>
      <c r="D136" s="98"/>
      <c r="E136" s="98"/>
      <c r="F136" s="98"/>
      <c r="G136" s="98"/>
      <c r="H136" s="98">
        <f t="shared" ref="H136:H199" si="28">YEAR(A136)</f>
        <v>1900</v>
      </c>
      <c r="I136" s="98" t="str">
        <f t="shared" ref="I136:I199" si="29">IF(MONTH(A136)=3,"1",IF(MONTH(A136)=6,"2",IF(MONTH(A136)=9,"3","4")))</f>
        <v>4</v>
      </c>
    </row>
    <row r="137" spans="3:9">
      <c r="C137" s="17"/>
      <c r="D137" s="98"/>
      <c r="E137" s="98"/>
      <c r="F137" s="98"/>
      <c r="G137" s="98"/>
      <c r="H137" s="98">
        <f t="shared" si="28"/>
        <v>1900</v>
      </c>
      <c r="I137" s="98" t="str">
        <f t="shared" si="29"/>
        <v>4</v>
      </c>
    </row>
    <row r="138" spans="3:9">
      <c r="C138" s="17"/>
      <c r="D138" s="98"/>
      <c r="E138" s="98"/>
      <c r="F138" s="98"/>
      <c r="G138" s="98"/>
      <c r="H138" s="98">
        <f t="shared" si="28"/>
        <v>1900</v>
      </c>
      <c r="I138" s="98" t="str">
        <f t="shared" si="29"/>
        <v>4</v>
      </c>
    </row>
    <row r="139" spans="3:9">
      <c r="C139" s="17"/>
      <c r="D139" s="98"/>
      <c r="E139" s="98"/>
      <c r="F139" s="98"/>
      <c r="G139" s="98"/>
      <c r="H139" s="98">
        <f t="shared" si="28"/>
        <v>1900</v>
      </c>
      <c r="I139" s="98" t="str">
        <f t="shared" si="29"/>
        <v>4</v>
      </c>
    </row>
    <row r="140" spans="3:9">
      <c r="C140" s="17"/>
      <c r="D140" s="98"/>
      <c r="E140" s="98"/>
      <c r="F140" s="98"/>
      <c r="G140" s="98"/>
      <c r="H140" s="98">
        <f t="shared" si="28"/>
        <v>1900</v>
      </c>
      <c r="I140" s="98" t="str">
        <f t="shared" si="29"/>
        <v>4</v>
      </c>
    </row>
    <row r="141" spans="3:9">
      <c r="C141" s="17"/>
      <c r="D141" s="98"/>
      <c r="E141" s="98"/>
      <c r="F141" s="98"/>
      <c r="G141" s="98"/>
      <c r="H141" s="98">
        <f t="shared" si="28"/>
        <v>1900</v>
      </c>
      <c r="I141" s="98" t="str">
        <f t="shared" si="29"/>
        <v>4</v>
      </c>
    </row>
    <row r="142" spans="3:9">
      <c r="C142" s="17"/>
      <c r="D142" s="98"/>
      <c r="E142" s="98"/>
      <c r="F142" s="98"/>
      <c r="G142" s="98"/>
      <c r="H142" s="98">
        <f t="shared" si="28"/>
        <v>1900</v>
      </c>
      <c r="I142" s="98" t="str">
        <f t="shared" si="29"/>
        <v>4</v>
      </c>
    </row>
    <row r="143" spans="3:9">
      <c r="C143" s="17"/>
      <c r="D143" s="98"/>
      <c r="E143" s="98"/>
      <c r="F143" s="98"/>
      <c r="G143" s="98"/>
      <c r="H143" s="98">
        <f t="shared" si="28"/>
        <v>1900</v>
      </c>
      <c r="I143" s="98" t="str">
        <f t="shared" si="29"/>
        <v>4</v>
      </c>
    </row>
    <row r="144" spans="3:9">
      <c r="C144" s="17"/>
      <c r="D144" s="98"/>
      <c r="E144" s="98"/>
      <c r="F144" s="98"/>
      <c r="G144" s="98"/>
      <c r="H144" s="98">
        <f t="shared" si="28"/>
        <v>1900</v>
      </c>
      <c r="I144" s="98" t="str">
        <f t="shared" si="29"/>
        <v>4</v>
      </c>
    </row>
    <row r="145" spans="3:9">
      <c r="C145" s="17"/>
      <c r="D145" s="98"/>
      <c r="E145" s="98"/>
      <c r="F145" s="98"/>
      <c r="G145" s="98"/>
      <c r="H145" s="98">
        <f t="shared" si="28"/>
        <v>1900</v>
      </c>
      <c r="I145" s="98" t="str">
        <f t="shared" si="29"/>
        <v>4</v>
      </c>
    </row>
    <row r="146" spans="3:9">
      <c r="C146" s="17"/>
      <c r="D146" s="98"/>
      <c r="E146" s="98"/>
      <c r="F146" s="98"/>
      <c r="G146" s="98"/>
      <c r="H146" s="98">
        <f t="shared" si="28"/>
        <v>1900</v>
      </c>
      <c r="I146" s="98" t="str">
        <f t="shared" si="29"/>
        <v>4</v>
      </c>
    </row>
    <row r="147" spans="3:9">
      <c r="C147" s="17"/>
      <c r="D147" s="98"/>
      <c r="E147" s="98"/>
      <c r="F147" s="98"/>
      <c r="G147" s="98"/>
      <c r="H147" s="98">
        <f t="shared" si="28"/>
        <v>1900</v>
      </c>
      <c r="I147" s="98" t="str">
        <f t="shared" si="29"/>
        <v>4</v>
      </c>
    </row>
    <row r="148" spans="3:9">
      <c r="C148" s="17"/>
      <c r="D148" s="98"/>
      <c r="E148" s="98"/>
      <c r="F148" s="98"/>
      <c r="G148" s="98"/>
      <c r="H148" s="98">
        <f t="shared" si="28"/>
        <v>1900</v>
      </c>
      <c r="I148" s="98" t="str">
        <f t="shared" si="29"/>
        <v>4</v>
      </c>
    </row>
    <row r="149" spans="3:9">
      <c r="C149" s="17"/>
      <c r="D149" s="98"/>
      <c r="E149" s="98"/>
      <c r="F149" s="98"/>
      <c r="G149" s="98"/>
      <c r="H149" s="98">
        <f t="shared" si="28"/>
        <v>1900</v>
      </c>
      <c r="I149" s="98" t="str">
        <f t="shared" si="29"/>
        <v>4</v>
      </c>
    </row>
    <row r="150" spans="3:9">
      <c r="C150" s="17"/>
      <c r="D150" s="98"/>
      <c r="E150" s="98"/>
      <c r="F150" s="98"/>
      <c r="G150" s="98"/>
      <c r="H150" s="98">
        <f t="shared" si="28"/>
        <v>1900</v>
      </c>
      <c r="I150" s="98" t="str">
        <f t="shared" si="29"/>
        <v>4</v>
      </c>
    </row>
    <row r="151" spans="3:9">
      <c r="C151" s="17"/>
      <c r="D151" s="98"/>
      <c r="E151" s="98"/>
      <c r="F151" s="98"/>
      <c r="G151" s="98"/>
      <c r="H151" s="98">
        <f t="shared" si="28"/>
        <v>1900</v>
      </c>
      <c r="I151" s="98" t="str">
        <f t="shared" si="29"/>
        <v>4</v>
      </c>
    </row>
    <row r="152" spans="3:9">
      <c r="C152" s="17"/>
      <c r="D152" s="98"/>
      <c r="E152" s="98"/>
      <c r="F152" s="98"/>
      <c r="G152" s="98"/>
      <c r="H152" s="98">
        <f t="shared" si="28"/>
        <v>1900</v>
      </c>
      <c r="I152" s="98" t="str">
        <f t="shared" si="29"/>
        <v>4</v>
      </c>
    </row>
    <row r="153" spans="3:9">
      <c r="C153" s="17"/>
      <c r="D153" s="98"/>
      <c r="E153" s="98"/>
      <c r="F153" s="98"/>
      <c r="G153" s="98"/>
      <c r="H153" s="98">
        <f t="shared" si="28"/>
        <v>1900</v>
      </c>
      <c r="I153" s="98" t="str">
        <f t="shared" si="29"/>
        <v>4</v>
      </c>
    </row>
    <row r="154" spans="3:9">
      <c r="C154" s="17"/>
      <c r="D154" s="98"/>
      <c r="E154" s="98"/>
      <c r="F154" s="98"/>
      <c r="G154" s="98"/>
      <c r="H154" s="98">
        <f t="shared" si="28"/>
        <v>1900</v>
      </c>
      <c r="I154" s="98" t="str">
        <f t="shared" si="29"/>
        <v>4</v>
      </c>
    </row>
    <row r="155" spans="3:9">
      <c r="C155" s="17"/>
      <c r="D155" s="98"/>
      <c r="E155" s="98"/>
      <c r="F155" s="98"/>
      <c r="G155" s="98"/>
      <c r="H155" s="98">
        <f t="shared" si="28"/>
        <v>1900</v>
      </c>
      <c r="I155" s="98" t="str">
        <f t="shared" si="29"/>
        <v>4</v>
      </c>
    </row>
    <row r="156" spans="3:9">
      <c r="C156" s="17"/>
      <c r="D156" s="98"/>
      <c r="E156" s="98"/>
      <c r="F156" s="98"/>
      <c r="G156" s="98"/>
      <c r="H156" s="98">
        <f t="shared" si="28"/>
        <v>1900</v>
      </c>
      <c r="I156" s="98" t="str">
        <f t="shared" si="29"/>
        <v>4</v>
      </c>
    </row>
    <row r="157" spans="3:9">
      <c r="C157" s="17"/>
      <c r="D157" s="98"/>
      <c r="E157" s="98"/>
      <c r="F157" s="98"/>
      <c r="G157" s="98"/>
      <c r="H157" s="98">
        <f t="shared" si="28"/>
        <v>1900</v>
      </c>
      <c r="I157" s="98" t="str">
        <f t="shared" si="29"/>
        <v>4</v>
      </c>
    </row>
    <row r="158" spans="3:9">
      <c r="C158" s="17"/>
      <c r="D158" s="98"/>
      <c r="E158" s="98"/>
      <c r="F158" s="98"/>
      <c r="G158" s="98"/>
      <c r="H158" s="98">
        <f t="shared" si="28"/>
        <v>1900</v>
      </c>
      <c r="I158" s="98" t="str">
        <f t="shared" si="29"/>
        <v>4</v>
      </c>
    </row>
    <row r="159" spans="3:9">
      <c r="C159" s="17"/>
      <c r="D159" s="98"/>
      <c r="E159" s="98"/>
      <c r="F159" s="98"/>
      <c r="G159" s="98"/>
      <c r="H159" s="98">
        <f t="shared" si="28"/>
        <v>1900</v>
      </c>
      <c r="I159" s="98" t="str">
        <f t="shared" si="29"/>
        <v>4</v>
      </c>
    </row>
    <row r="160" spans="3:9">
      <c r="C160" s="17"/>
      <c r="D160" s="98"/>
      <c r="E160" s="98"/>
      <c r="F160" s="98"/>
      <c r="G160" s="98"/>
      <c r="H160" s="98">
        <f t="shared" si="28"/>
        <v>1900</v>
      </c>
      <c r="I160" s="98" t="str">
        <f t="shared" si="29"/>
        <v>4</v>
      </c>
    </row>
    <row r="161" spans="3:9">
      <c r="C161" s="17"/>
      <c r="D161" s="98"/>
      <c r="E161" s="98"/>
      <c r="F161" s="98"/>
      <c r="G161" s="98"/>
      <c r="H161" s="98">
        <f t="shared" si="28"/>
        <v>1900</v>
      </c>
      <c r="I161" s="98" t="str">
        <f t="shared" si="29"/>
        <v>4</v>
      </c>
    </row>
    <row r="162" spans="3:9">
      <c r="C162" s="17"/>
      <c r="D162" s="98"/>
      <c r="E162" s="98"/>
      <c r="F162" s="98"/>
      <c r="G162" s="98"/>
      <c r="H162" s="98">
        <f t="shared" si="28"/>
        <v>1900</v>
      </c>
      <c r="I162" s="98" t="str">
        <f t="shared" si="29"/>
        <v>4</v>
      </c>
    </row>
    <row r="163" spans="3:9">
      <c r="C163" s="17"/>
      <c r="D163" s="98"/>
      <c r="E163" s="98"/>
      <c r="F163" s="98"/>
      <c r="G163" s="98"/>
      <c r="H163" s="98">
        <f t="shared" si="28"/>
        <v>1900</v>
      </c>
      <c r="I163" s="98" t="str">
        <f t="shared" si="29"/>
        <v>4</v>
      </c>
    </row>
    <row r="164" spans="3:9">
      <c r="C164" s="17"/>
      <c r="D164" s="98"/>
      <c r="E164" s="98"/>
      <c r="F164" s="98"/>
      <c r="G164" s="98"/>
      <c r="H164" s="98">
        <f t="shared" si="28"/>
        <v>1900</v>
      </c>
      <c r="I164" s="98" t="str">
        <f t="shared" si="29"/>
        <v>4</v>
      </c>
    </row>
    <row r="165" spans="3:9">
      <c r="C165" s="17"/>
      <c r="D165" s="98"/>
      <c r="E165" s="98"/>
      <c r="F165" s="98"/>
      <c r="G165" s="98"/>
      <c r="H165" s="98">
        <f t="shared" si="28"/>
        <v>1900</v>
      </c>
      <c r="I165" s="98" t="str">
        <f t="shared" si="29"/>
        <v>4</v>
      </c>
    </row>
    <row r="166" spans="3:9">
      <c r="C166" s="17"/>
      <c r="D166" s="98"/>
      <c r="E166" s="98"/>
      <c r="F166" s="98"/>
      <c r="G166" s="98"/>
      <c r="H166" s="98">
        <f t="shared" si="28"/>
        <v>1900</v>
      </c>
      <c r="I166" s="98" t="str">
        <f t="shared" si="29"/>
        <v>4</v>
      </c>
    </row>
    <row r="167" spans="3:9">
      <c r="C167" s="17"/>
      <c r="D167" s="98"/>
      <c r="E167" s="98"/>
      <c r="F167" s="98"/>
      <c r="G167" s="98"/>
      <c r="H167" s="98">
        <f t="shared" si="28"/>
        <v>1900</v>
      </c>
      <c r="I167" s="98" t="str">
        <f t="shared" si="29"/>
        <v>4</v>
      </c>
    </row>
    <row r="168" spans="3:9">
      <c r="C168" s="17"/>
      <c r="D168" s="98"/>
      <c r="E168" s="98"/>
      <c r="F168" s="98"/>
      <c r="G168" s="98"/>
      <c r="H168" s="98">
        <f t="shared" si="28"/>
        <v>1900</v>
      </c>
      <c r="I168" s="98" t="str">
        <f t="shared" si="29"/>
        <v>4</v>
      </c>
    </row>
    <row r="169" spans="3:9">
      <c r="C169" s="17"/>
      <c r="D169" s="98"/>
      <c r="E169" s="98"/>
      <c r="F169" s="98"/>
      <c r="G169" s="98"/>
      <c r="H169" s="98">
        <f t="shared" si="28"/>
        <v>1900</v>
      </c>
      <c r="I169" s="98" t="str">
        <f t="shared" si="29"/>
        <v>4</v>
      </c>
    </row>
    <row r="170" spans="3:9">
      <c r="C170" s="17"/>
      <c r="D170" s="98"/>
      <c r="E170" s="98"/>
      <c r="F170" s="98"/>
      <c r="G170" s="98"/>
      <c r="H170" s="98">
        <f t="shared" si="28"/>
        <v>1900</v>
      </c>
      <c r="I170" s="98" t="str">
        <f t="shared" si="29"/>
        <v>4</v>
      </c>
    </row>
    <row r="171" spans="3:9">
      <c r="C171" s="17"/>
      <c r="D171" s="98"/>
      <c r="E171" s="98"/>
      <c r="F171" s="98"/>
      <c r="G171" s="98"/>
      <c r="H171" s="98">
        <f t="shared" si="28"/>
        <v>1900</v>
      </c>
      <c r="I171" s="98" t="str">
        <f t="shared" si="29"/>
        <v>4</v>
      </c>
    </row>
    <row r="172" spans="3:9">
      <c r="C172" s="17"/>
      <c r="D172" s="98"/>
      <c r="E172" s="98"/>
      <c r="F172" s="98"/>
      <c r="G172" s="98"/>
      <c r="H172" s="98">
        <f t="shared" si="28"/>
        <v>1900</v>
      </c>
      <c r="I172" s="98" t="str">
        <f t="shared" si="29"/>
        <v>4</v>
      </c>
    </row>
    <row r="173" spans="3:9">
      <c r="C173" s="17"/>
      <c r="D173" s="98"/>
      <c r="E173" s="98"/>
      <c r="F173" s="98"/>
      <c r="G173" s="98"/>
      <c r="H173" s="98">
        <f t="shared" si="28"/>
        <v>1900</v>
      </c>
      <c r="I173" s="98" t="str">
        <f t="shared" si="29"/>
        <v>4</v>
      </c>
    </row>
    <row r="174" spans="3:9">
      <c r="C174" s="17"/>
      <c r="D174" s="98"/>
      <c r="E174" s="98"/>
      <c r="F174" s="98"/>
      <c r="G174" s="98"/>
      <c r="H174" s="98">
        <f t="shared" si="28"/>
        <v>1900</v>
      </c>
      <c r="I174" s="98" t="str">
        <f t="shared" si="29"/>
        <v>4</v>
      </c>
    </row>
    <row r="175" spans="3:9">
      <c r="C175" s="17"/>
      <c r="D175" s="98"/>
      <c r="E175" s="98"/>
      <c r="F175" s="98"/>
      <c r="G175" s="98"/>
      <c r="H175" s="98">
        <f t="shared" si="28"/>
        <v>1900</v>
      </c>
      <c r="I175" s="98" t="str">
        <f t="shared" si="29"/>
        <v>4</v>
      </c>
    </row>
    <row r="176" spans="3:9">
      <c r="C176" s="17"/>
      <c r="D176" s="98"/>
      <c r="E176" s="98"/>
      <c r="F176" s="98"/>
      <c r="G176" s="98"/>
      <c r="H176" s="98">
        <f t="shared" si="28"/>
        <v>1900</v>
      </c>
      <c r="I176" s="98" t="str">
        <f t="shared" si="29"/>
        <v>4</v>
      </c>
    </row>
    <row r="177" spans="3:9">
      <c r="C177" s="17"/>
      <c r="D177" s="98"/>
      <c r="E177" s="98"/>
      <c r="F177" s="98"/>
      <c r="G177" s="98"/>
      <c r="H177" s="98">
        <f t="shared" si="28"/>
        <v>1900</v>
      </c>
      <c r="I177" s="98" t="str">
        <f t="shared" si="29"/>
        <v>4</v>
      </c>
    </row>
    <row r="178" spans="3:9">
      <c r="C178" s="17"/>
      <c r="D178" s="98"/>
      <c r="E178" s="98"/>
      <c r="F178" s="98"/>
      <c r="G178" s="98"/>
      <c r="H178" s="98">
        <f t="shared" si="28"/>
        <v>1900</v>
      </c>
      <c r="I178" s="98" t="str">
        <f t="shared" si="29"/>
        <v>4</v>
      </c>
    </row>
    <row r="179" spans="3:9">
      <c r="C179" s="17"/>
      <c r="D179" s="98"/>
      <c r="E179" s="98"/>
      <c r="F179" s="98"/>
      <c r="G179" s="98"/>
      <c r="H179" s="98">
        <f t="shared" si="28"/>
        <v>1900</v>
      </c>
      <c r="I179" s="98" t="str">
        <f t="shared" si="29"/>
        <v>4</v>
      </c>
    </row>
    <row r="180" spans="3:9">
      <c r="C180" s="17"/>
      <c r="D180" s="98"/>
      <c r="E180" s="98"/>
      <c r="F180" s="98"/>
      <c r="G180" s="98"/>
      <c r="H180" s="98">
        <f t="shared" si="28"/>
        <v>1900</v>
      </c>
      <c r="I180" s="98" t="str">
        <f t="shared" si="29"/>
        <v>4</v>
      </c>
    </row>
    <row r="181" spans="3:9">
      <c r="C181" s="17"/>
      <c r="D181" s="98"/>
      <c r="E181" s="98"/>
      <c r="F181" s="98"/>
      <c r="G181" s="98"/>
      <c r="H181" s="98">
        <f t="shared" si="28"/>
        <v>1900</v>
      </c>
      <c r="I181" s="98" t="str">
        <f t="shared" si="29"/>
        <v>4</v>
      </c>
    </row>
    <row r="182" spans="3:9">
      <c r="C182" s="17"/>
      <c r="D182" s="98"/>
      <c r="E182" s="98"/>
      <c r="F182" s="98"/>
      <c r="G182" s="98"/>
      <c r="H182" s="98">
        <f t="shared" si="28"/>
        <v>1900</v>
      </c>
      <c r="I182" s="98" t="str">
        <f t="shared" si="29"/>
        <v>4</v>
      </c>
    </row>
    <row r="183" spans="3:9">
      <c r="C183" s="17"/>
      <c r="D183" s="98"/>
      <c r="E183" s="98"/>
      <c r="F183" s="98"/>
      <c r="G183" s="98"/>
      <c r="H183" s="98">
        <f t="shared" si="28"/>
        <v>1900</v>
      </c>
      <c r="I183" s="98" t="str">
        <f t="shared" si="29"/>
        <v>4</v>
      </c>
    </row>
    <row r="184" spans="3:9">
      <c r="C184" s="17"/>
      <c r="D184" s="98"/>
      <c r="E184" s="98"/>
      <c r="F184" s="98"/>
      <c r="G184" s="98"/>
      <c r="H184" s="98">
        <f t="shared" si="28"/>
        <v>1900</v>
      </c>
      <c r="I184" s="98" t="str">
        <f t="shared" si="29"/>
        <v>4</v>
      </c>
    </row>
    <row r="185" spans="3:9">
      <c r="C185" s="17"/>
      <c r="D185" s="98"/>
      <c r="E185" s="98"/>
      <c r="F185" s="98"/>
      <c r="G185" s="98"/>
      <c r="H185" s="98">
        <f t="shared" si="28"/>
        <v>1900</v>
      </c>
      <c r="I185" s="98" t="str">
        <f t="shared" si="29"/>
        <v>4</v>
      </c>
    </row>
    <row r="186" spans="3:9">
      <c r="C186" s="17"/>
      <c r="D186" s="98"/>
      <c r="E186" s="98"/>
      <c r="F186" s="98"/>
      <c r="G186" s="98"/>
      <c r="H186" s="98">
        <f t="shared" si="28"/>
        <v>1900</v>
      </c>
      <c r="I186" s="98" t="str">
        <f t="shared" si="29"/>
        <v>4</v>
      </c>
    </row>
    <row r="187" spans="3:9">
      <c r="C187" s="17"/>
      <c r="D187" s="98"/>
      <c r="E187" s="98"/>
      <c r="F187" s="98"/>
      <c r="G187" s="98"/>
      <c r="H187" s="98">
        <f t="shared" si="28"/>
        <v>1900</v>
      </c>
      <c r="I187" s="98" t="str">
        <f t="shared" si="29"/>
        <v>4</v>
      </c>
    </row>
    <row r="188" spans="3:9">
      <c r="C188" s="17"/>
      <c r="D188" s="98"/>
      <c r="E188" s="98"/>
      <c r="F188" s="98"/>
      <c r="G188" s="98"/>
      <c r="H188" s="98">
        <f t="shared" si="28"/>
        <v>1900</v>
      </c>
      <c r="I188" s="98" t="str">
        <f t="shared" si="29"/>
        <v>4</v>
      </c>
    </row>
    <row r="189" spans="3:9">
      <c r="C189" s="17"/>
      <c r="D189" s="98"/>
      <c r="E189" s="98"/>
      <c r="F189" s="98"/>
      <c r="G189" s="98"/>
      <c r="H189" s="98">
        <f t="shared" si="28"/>
        <v>1900</v>
      </c>
      <c r="I189" s="98" t="str">
        <f t="shared" si="29"/>
        <v>4</v>
      </c>
    </row>
    <row r="190" spans="3:9">
      <c r="C190" s="17"/>
      <c r="D190" s="98"/>
      <c r="E190" s="98"/>
      <c r="F190" s="98"/>
      <c r="G190" s="98"/>
      <c r="H190" s="98">
        <f t="shared" si="28"/>
        <v>1900</v>
      </c>
      <c r="I190" s="98" t="str">
        <f t="shared" si="29"/>
        <v>4</v>
      </c>
    </row>
    <row r="191" spans="3:9">
      <c r="C191" s="17"/>
      <c r="D191" s="98"/>
      <c r="E191" s="98"/>
      <c r="F191" s="98"/>
      <c r="G191" s="98"/>
      <c r="H191" s="98">
        <f t="shared" si="28"/>
        <v>1900</v>
      </c>
      <c r="I191" s="98" t="str">
        <f t="shared" si="29"/>
        <v>4</v>
      </c>
    </row>
    <row r="192" spans="3:9">
      <c r="C192" s="17"/>
      <c r="D192" s="98"/>
      <c r="E192" s="98"/>
      <c r="F192" s="98"/>
      <c r="G192" s="98"/>
      <c r="H192" s="98">
        <f t="shared" si="28"/>
        <v>1900</v>
      </c>
      <c r="I192" s="98" t="str">
        <f t="shared" si="29"/>
        <v>4</v>
      </c>
    </row>
    <row r="193" spans="3:9">
      <c r="C193" s="17"/>
      <c r="D193" s="98"/>
      <c r="E193" s="98"/>
      <c r="F193" s="98"/>
      <c r="G193" s="98"/>
      <c r="H193" s="98">
        <f t="shared" si="28"/>
        <v>1900</v>
      </c>
      <c r="I193" s="98" t="str">
        <f t="shared" si="29"/>
        <v>4</v>
      </c>
    </row>
    <row r="194" spans="3:9">
      <c r="C194" s="17"/>
      <c r="D194" s="98"/>
      <c r="E194" s="98"/>
      <c r="F194" s="98"/>
      <c r="G194" s="98"/>
      <c r="H194" s="98">
        <f t="shared" si="28"/>
        <v>1900</v>
      </c>
      <c r="I194" s="98" t="str">
        <f t="shared" si="29"/>
        <v>4</v>
      </c>
    </row>
    <row r="195" spans="3:9">
      <c r="C195" s="17"/>
      <c r="D195" s="98"/>
      <c r="E195" s="98"/>
      <c r="F195" s="98"/>
      <c r="G195" s="98"/>
      <c r="H195" s="98">
        <f t="shared" si="28"/>
        <v>1900</v>
      </c>
      <c r="I195" s="98" t="str">
        <f t="shared" si="29"/>
        <v>4</v>
      </c>
    </row>
    <row r="196" spans="3:9">
      <c r="C196" s="17"/>
      <c r="D196" s="98"/>
      <c r="E196" s="98"/>
      <c r="F196" s="98"/>
      <c r="G196" s="98"/>
      <c r="H196" s="98">
        <f t="shared" si="28"/>
        <v>1900</v>
      </c>
      <c r="I196" s="98" t="str">
        <f t="shared" si="29"/>
        <v>4</v>
      </c>
    </row>
    <row r="197" spans="3:9">
      <c r="C197" s="17"/>
      <c r="D197" s="98"/>
      <c r="E197" s="98"/>
      <c r="F197" s="98"/>
      <c r="G197" s="98"/>
      <c r="H197" s="98">
        <f t="shared" si="28"/>
        <v>1900</v>
      </c>
      <c r="I197" s="98" t="str">
        <f t="shared" si="29"/>
        <v>4</v>
      </c>
    </row>
    <row r="198" spans="3:9">
      <c r="C198" s="17"/>
      <c r="D198" s="98"/>
      <c r="E198" s="98"/>
      <c r="F198" s="98"/>
      <c r="G198" s="98"/>
      <c r="H198" s="98">
        <f t="shared" si="28"/>
        <v>1900</v>
      </c>
      <c r="I198" s="98" t="str">
        <f t="shared" si="29"/>
        <v>4</v>
      </c>
    </row>
    <row r="199" spans="3:9">
      <c r="C199" s="17"/>
      <c r="D199" s="98"/>
      <c r="E199" s="98"/>
      <c r="F199" s="98"/>
      <c r="G199" s="98"/>
      <c r="H199" s="98">
        <f t="shared" si="28"/>
        <v>1900</v>
      </c>
      <c r="I199" s="98" t="str">
        <f t="shared" si="29"/>
        <v>4</v>
      </c>
    </row>
    <row r="200" spans="3:9">
      <c r="C200" s="17"/>
      <c r="D200" s="98"/>
      <c r="E200" s="98"/>
      <c r="F200" s="98"/>
      <c r="G200" s="98"/>
      <c r="H200" s="98">
        <f t="shared" ref="H200:H250" si="30">YEAR(A200)</f>
        <v>1900</v>
      </c>
      <c r="I200" s="98" t="str">
        <f t="shared" ref="I200:I250" si="31">IF(MONTH(A200)=3,"1",IF(MONTH(A200)=6,"2",IF(MONTH(A200)=9,"3","4")))</f>
        <v>4</v>
      </c>
    </row>
    <row r="201" spans="3:9">
      <c r="C201" s="17"/>
      <c r="D201" s="98"/>
      <c r="E201" s="98"/>
      <c r="F201" s="98"/>
      <c r="G201" s="98"/>
      <c r="H201" s="98">
        <f t="shared" si="30"/>
        <v>1900</v>
      </c>
      <c r="I201" s="98" t="str">
        <f t="shared" si="31"/>
        <v>4</v>
      </c>
    </row>
    <row r="202" spans="3:9">
      <c r="C202" s="17"/>
      <c r="D202" s="98"/>
      <c r="E202" s="98"/>
      <c r="F202" s="98"/>
      <c r="G202" s="98"/>
      <c r="H202" s="98">
        <f t="shared" si="30"/>
        <v>1900</v>
      </c>
      <c r="I202" s="98" t="str">
        <f t="shared" si="31"/>
        <v>4</v>
      </c>
    </row>
    <row r="203" spans="3:9">
      <c r="C203" s="17"/>
      <c r="D203" s="98"/>
      <c r="E203" s="98"/>
      <c r="F203" s="98"/>
      <c r="G203" s="98"/>
      <c r="H203" s="98">
        <f t="shared" si="30"/>
        <v>1900</v>
      </c>
      <c r="I203" s="98" t="str">
        <f t="shared" si="31"/>
        <v>4</v>
      </c>
    </row>
    <row r="204" spans="3:9">
      <c r="C204" s="17"/>
      <c r="D204" s="98"/>
      <c r="E204" s="98"/>
      <c r="F204" s="98"/>
      <c r="G204" s="98"/>
      <c r="H204" s="98">
        <f t="shared" si="30"/>
        <v>1900</v>
      </c>
      <c r="I204" s="98" t="str">
        <f t="shared" si="31"/>
        <v>4</v>
      </c>
    </row>
    <row r="205" spans="3:9">
      <c r="C205" s="17"/>
      <c r="D205" s="98"/>
      <c r="E205" s="98"/>
      <c r="F205" s="98"/>
      <c r="G205" s="98"/>
      <c r="H205" s="98">
        <f t="shared" si="30"/>
        <v>1900</v>
      </c>
      <c r="I205" s="98" t="str">
        <f t="shared" si="31"/>
        <v>4</v>
      </c>
    </row>
    <row r="206" spans="3:9">
      <c r="C206" s="17"/>
      <c r="D206" s="98"/>
      <c r="E206" s="98"/>
      <c r="F206" s="98"/>
      <c r="G206" s="98"/>
      <c r="H206" s="98">
        <f t="shared" si="30"/>
        <v>1900</v>
      </c>
      <c r="I206" s="98" t="str">
        <f t="shared" si="31"/>
        <v>4</v>
      </c>
    </row>
    <row r="207" spans="3:9">
      <c r="C207" s="17"/>
      <c r="D207" s="98"/>
      <c r="E207" s="98"/>
      <c r="F207" s="98"/>
      <c r="G207" s="98"/>
      <c r="H207" s="98">
        <f t="shared" si="30"/>
        <v>1900</v>
      </c>
      <c r="I207" s="98" t="str">
        <f t="shared" si="31"/>
        <v>4</v>
      </c>
    </row>
    <row r="208" spans="3:9">
      <c r="C208" s="17"/>
      <c r="D208" s="98"/>
      <c r="E208" s="98"/>
      <c r="F208" s="98"/>
      <c r="G208" s="98"/>
      <c r="H208" s="98">
        <f t="shared" si="30"/>
        <v>1900</v>
      </c>
      <c r="I208" s="98" t="str">
        <f t="shared" si="31"/>
        <v>4</v>
      </c>
    </row>
    <row r="209" spans="3:9">
      <c r="C209" s="17"/>
      <c r="D209" s="98"/>
      <c r="E209" s="98"/>
      <c r="F209" s="98"/>
      <c r="G209" s="98"/>
      <c r="H209" s="98">
        <f t="shared" si="30"/>
        <v>1900</v>
      </c>
      <c r="I209" s="98" t="str">
        <f t="shared" si="31"/>
        <v>4</v>
      </c>
    </row>
    <row r="210" spans="3:9">
      <c r="C210" s="17"/>
      <c r="D210" s="98"/>
      <c r="E210" s="98"/>
      <c r="F210" s="98"/>
      <c r="G210" s="98"/>
      <c r="H210" s="98">
        <f t="shared" si="30"/>
        <v>1900</v>
      </c>
      <c r="I210" s="98" t="str">
        <f t="shared" si="31"/>
        <v>4</v>
      </c>
    </row>
    <row r="211" spans="3:9">
      <c r="C211" s="17"/>
      <c r="D211" s="98"/>
      <c r="E211" s="98"/>
      <c r="F211" s="98"/>
      <c r="G211" s="98"/>
      <c r="H211" s="98">
        <f t="shared" si="30"/>
        <v>1900</v>
      </c>
      <c r="I211" s="98" t="str">
        <f t="shared" si="31"/>
        <v>4</v>
      </c>
    </row>
    <row r="212" spans="3:9">
      <c r="C212" s="17"/>
      <c r="D212" s="98"/>
      <c r="E212" s="98"/>
      <c r="F212" s="98"/>
      <c r="G212" s="98"/>
      <c r="H212" s="98">
        <f t="shared" si="30"/>
        <v>1900</v>
      </c>
      <c r="I212" s="98" t="str">
        <f t="shared" si="31"/>
        <v>4</v>
      </c>
    </row>
    <row r="213" spans="3:9">
      <c r="C213" s="17"/>
      <c r="D213" s="98"/>
      <c r="E213" s="98"/>
      <c r="F213" s="98"/>
      <c r="G213" s="98"/>
      <c r="H213" s="98">
        <f t="shared" si="30"/>
        <v>1900</v>
      </c>
      <c r="I213" s="98" t="str">
        <f t="shared" si="31"/>
        <v>4</v>
      </c>
    </row>
    <row r="214" spans="3:9">
      <c r="C214" s="17"/>
      <c r="D214" s="98"/>
      <c r="E214" s="98"/>
      <c r="F214" s="98"/>
      <c r="G214" s="98"/>
      <c r="H214" s="98">
        <f t="shared" si="30"/>
        <v>1900</v>
      </c>
      <c r="I214" s="98" t="str">
        <f t="shared" si="31"/>
        <v>4</v>
      </c>
    </row>
    <row r="215" spans="3:9">
      <c r="C215" s="17"/>
      <c r="D215" s="98"/>
      <c r="E215" s="98"/>
      <c r="F215" s="98"/>
      <c r="G215" s="98"/>
      <c r="H215" s="98">
        <f t="shared" si="30"/>
        <v>1900</v>
      </c>
      <c r="I215" s="98" t="str">
        <f t="shared" si="31"/>
        <v>4</v>
      </c>
    </row>
    <row r="216" spans="3:9">
      <c r="C216" s="17"/>
      <c r="D216" s="98"/>
      <c r="E216" s="98"/>
      <c r="F216" s="98"/>
      <c r="G216" s="98"/>
      <c r="H216" s="98">
        <f t="shared" si="30"/>
        <v>1900</v>
      </c>
      <c r="I216" s="98" t="str">
        <f t="shared" si="31"/>
        <v>4</v>
      </c>
    </row>
    <row r="217" spans="3:9">
      <c r="C217" s="17"/>
      <c r="D217" s="98"/>
      <c r="E217" s="98"/>
      <c r="F217" s="98"/>
      <c r="G217" s="98"/>
      <c r="H217" s="98">
        <f t="shared" si="30"/>
        <v>1900</v>
      </c>
      <c r="I217" s="98" t="str">
        <f t="shared" si="31"/>
        <v>4</v>
      </c>
    </row>
    <row r="218" spans="3:9">
      <c r="C218" s="17"/>
      <c r="D218" s="98"/>
      <c r="E218" s="98"/>
      <c r="F218" s="98"/>
      <c r="G218" s="98"/>
      <c r="H218" s="98">
        <f t="shared" si="30"/>
        <v>1900</v>
      </c>
      <c r="I218" s="98" t="str">
        <f t="shared" si="31"/>
        <v>4</v>
      </c>
    </row>
    <row r="219" spans="3:9">
      <c r="C219" s="17"/>
      <c r="D219" s="98"/>
      <c r="E219" s="98"/>
      <c r="F219" s="98"/>
      <c r="G219" s="98"/>
      <c r="H219" s="98">
        <f t="shared" si="30"/>
        <v>1900</v>
      </c>
      <c r="I219" s="98" t="str">
        <f t="shared" si="31"/>
        <v>4</v>
      </c>
    </row>
    <row r="220" spans="3:9">
      <c r="C220" s="17"/>
      <c r="D220" s="98"/>
      <c r="E220" s="98"/>
      <c r="F220" s="98"/>
      <c r="G220" s="98"/>
      <c r="H220" s="98">
        <f t="shared" si="30"/>
        <v>1900</v>
      </c>
      <c r="I220" s="98" t="str">
        <f t="shared" si="31"/>
        <v>4</v>
      </c>
    </row>
    <row r="221" spans="3:9">
      <c r="C221" s="17"/>
      <c r="D221" s="98"/>
      <c r="E221" s="98"/>
      <c r="F221" s="98"/>
      <c r="G221" s="98"/>
      <c r="H221" s="98">
        <f t="shared" si="30"/>
        <v>1900</v>
      </c>
      <c r="I221" s="98" t="str">
        <f t="shared" si="31"/>
        <v>4</v>
      </c>
    </row>
    <row r="222" spans="3:9">
      <c r="C222" s="17"/>
      <c r="D222" s="98"/>
      <c r="E222" s="98"/>
      <c r="F222" s="98"/>
      <c r="G222" s="98"/>
      <c r="H222" s="98">
        <f t="shared" si="30"/>
        <v>1900</v>
      </c>
      <c r="I222" s="98" t="str">
        <f t="shared" si="31"/>
        <v>4</v>
      </c>
    </row>
    <row r="223" spans="3:9">
      <c r="C223" s="17"/>
      <c r="D223" s="98"/>
      <c r="E223" s="98"/>
      <c r="F223" s="98"/>
      <c r="G223" s="98"/>
      <c r="H223" s="98">
        <f t="shared" si="30"/>
        <v>1900</v>
      </c>
      <c r="I223" s="98" t="str">
        <f t="shared" si="31"/>
        <v>4</v>
      </c>
    </row>
    <row r="224" spans="3:9">
      <c r="C224" s="17"/>
      <c r="D224" s="98"/>
      <c r="E224" s="98"/>
      <c r="F224" s="98"/>
      <c r="G224" s="98"/>
      <c r="H224" s="98">
        <f t="shared" si="30"/>
        <v>1900</v>
      </c>
      <c r="I224" s="98" t="str">
        <f t="shared" si="31"/>
        <v>4</v>
      </c>
    </row>
    <row r="225" spans="3:9">
      <c r="C225" s="17"/>
      <c r="D225" s="98"/>
      <c r="E225" s="98"/>
      <c r="F225" s="98"/>
      <c r="G225" s="98"/>
      <c r="H225" s="98">
        <f t="shared" si="30"/>
        <v>1900</v>
      </c>
      <c r="I225" s="98" t="str">
        <f t="shared" si="31"/>
        <v>4</v>
      </c>
    </row>
    <row r="226" spans="3:9">
      <c r="C226" s="17"/>
      <c r="D226" s="98"/>
      <c r="E226" s="98"/>
      <c r="F226" s="98"/>
      <c r="G226" s="98"/>
      <c r="H226" s="98">
        <f t="shared" si="30"/>
        <v>1900</v>
      </c>
      <c r="I226" s="98" t="str">
        <f t="shared" si="31"/>
        <v>4</v>
      </c>
    </row>
    <row r="227" spans="3:9">
      <c r="C227" s="17"/>
      <c r="D227" s="98"/>
      <c r="E227" s="98"/>
      <c r="F227" s="98"/>
      <c r="G227" s="98"/>
      <c r="H227" s="98">
        <f t="shared" si="30"/>
        <v>1900</v>
      </c>
      <c r="I227" s="98" t="str">
        <f t="shared" si="31"/>
        <v>4</v>
      </c>
    </row>
    <row r="228" spans="3:9">
      <c r="C228" s="17"/>
      <c r="D228" s="98"/>
      <c r="E228" s="98"/>
      <c r="F228" s="98"/>
      <c r="G228" s="98"/>
      <c r="H228" s="98">
        <f t="shared" si="30"/>
        <v>1900</v>
      </c>
      <c r="I228" s="98" t="str">
        <f t="shared" si="31"/>
        <v>4</v>
      </c>
    </row>
    <row r="229" spans="3:9">
      <c r="C229" s="17"/>
      <c r="D229" s="98"/>
      <c r="E229" s="98"/>
      <c r="F229" s="98"/>
      <c r="G229" s="98"/>
      <c r="H229" s="98">
        <f t="shared" si="30"/>
        <v>1900</v>
      </c>
      <c r="I229" s="98" t="str">
        <f t="shared" si="31"/>
        <v>4</v>
      </c>
    </row>
    <row r="230" spans="3:9">
      <c r="C230" s="17"/>
      <c r="D230" s="98"/>
      <c r="E230" s="98"/>
      <c r="F230" s="98"/>
      <c r="G230" s="98"/>
      <c r="H230" s="98">
        <f t="shared" si="30"/>
        <v>1900</v>
      </c>
      <c r="I230" s="98" t="str">
        <f t="shared" si="31"/>
        <v>4</v>
      </c>
    </row>
    <row r="231" spans="3:9">
      <c r="C231" s="17"/>
      <c r="D231" s="98"/>
      <c r="E231" s="98"/>
      <c r="F231" s="98"/>
      <c r="G231" s="98"/>
      <c r="H231" s="98">
        <f t="shared" si="30"/>
        <v>1900</v>
      </c>
      <c r="I231" s="98" t="str">
        <f t="shared" si="31"/>
        <v>4</v>
      </c>
    </row>
    <row r="232" spans="3:9">
      <c r="C232" s="17"/>
      <c r="D232" s="98"/>
      <c r="E232" s="98"/>
      <c r="F232" s="98"/>
      <c r="G232" s="98"/>
      <c r="H232" s="98">
        <f t="shared" si="30"/>
        <v>1900</v>
      </c>
      <c r="I232" s="98" t="str">
        <f t="shared" si="31"/>
        <v>4</v>
      </c>
    </row>
    <row r="233" spans="3:9">
      <c r="C233" s="17"/>
      <c r="D233" s="98"/>
      <c r="E233" s="98"/>
      <c r="F233" s="98"/>
      <c r="G233" s="98"/>
      <c r="H233" s="98">
        <f t="shared" si="30"/>
        <v>1900</v>
      </c>
      <c r="I233" s="98" t="str">
        <f t="shared" si="31"/>
        <v>4</v>
      </c>
    </row>
    <row r="234" spans="3:9">
      <c r="C234" s="17"/>
      <c r="D234" s="98"/>
      <c r="E234" s="98"/>
      <c r="F234" s="98"/>
      <c r="G234" s="98"/>
      <c r="H234" s="98">
        <f t="shared" si="30"/>
        <v>1900</v>
      </c>
      <c r="I234" s="98" t="str">
        <f t="shared" si="31"/>
        <v>4</v>
      </c>
    </row>
    <row r="235" spans="3:9">
      <c r="C235" s="17"/>
      <c r="D235" s="98"/>
      <c r="E235" s="98"/>
      <c r="F235" s="98"/>
      <c r="G235" s="98"/>
      <c r="H235" s="98">
        <f t="shared" si="30"/>
        <v>1900</v>
      </c>
      <c r="I235" s="98" t="str">
        <f t="shared" si="31"/>
        <v>4</v>
      </c>
    </row>
    <row r="236" spans="3:9">
      <c r="C236" s="17"/>
      <c r="D236" s="98"/>
      <c r="E236" s="98"/>
      <c r="F236" s="98"/>
      <c r="G236" s="98"/>
      <c r="H236" s="98">
        <f t="shared" si="30"/>
        <v>1900</v>
      </c>
      <c r="I236" s="98" t="str">
        <f t="shared" si="31"/>
        <v>4</v>
      </c>
    </row>
    <row r="237" spans="3:9">
      <c r="C237" s="17"/>
      <c r="D237" s="98"/>
      <c r="E237" s="98"/>
      <c r="F237" s="98"/>
      <c r="G237" s="98"/>
      <c r="H237" s="98">
        <f t="shared" si="30"/>
        <v>1900</v>
      </c>
      <c r="I237" s="98" t="str">
        <f t="shared" si="31"/>
        <v>4</v>
      </c>
    </row>
    <row r="238" spans="3:9">
      <c r="C238" s="17"/>
      <c r="D238" s="98"/>
      <c r="E238" s="98"/>
      <c r="F238" s="98"/>
      <c r="G238" s="98"/>
      <c r="H238" s="98">
        <f t="shared" si="30"/>
        <v>1900</v>
      </c>
      <c r="I238" s="98" t="str">
        <f t="shared" si="31"/>
        <v>4</v>
      </c>
    </row>
    <row r="239" spans="3:9">
      <c r="C239" s="17"/>
      <c r="D239" s="98"/>
      <c r="E239" s="98"/>
      <c r="F239" s="98"/>
      <c r="G239" s="98"/>
      <c r="H239" s="98">
        <f t="shared" si="30"/>
        <v>1900</v>
      </c>
      <c r="I239" s="98" t="str">
        <f t="shared" si="31"/>
        <v>4</v>
      </c>
    </row>
    <row r="240" spans="3:9">
      <c r="C240" s="17"/>
      <c r="D240" s="98"/>
      <c r="E240" s="98"/>
      <c r="F240" s="98"/>
      <c r="G240" s="98"/>
      <c r="H240" s="98">
        <f t="shared" si="30"/>
        <v>1900</v>
      </c>
      <c r="I240" s="98" t="str">
        <f t="shared" si="31"/>
        <v>4</v>
      </c>
    </row>
    <row r="241" spans="3:9">
      <c r="C241" s="17"/>
      <c r="D241" s="98"/>
      <c r="E241" s="98"/>
      <c r="F241" s="98"/>
      <c r="G241" s="98"/>
      <c r="H241" s="98">
        <f t="shared" si="30"/>
        <v>1900</v>
      </c>
      <c r="I241" s="98" t="str">
        <f t="shared" si="31"/>
        <v>4</v>
      </c>
    </row>
    <row r="242" spans="3:9">
      <c r="C242" s="17"/>
      <c r="D242" s="98"/>
      <c r="E242" s="98"/>
      <c r="F242" s="98"/>
      <c r="G242" s="98"/>
      <c r="H242" s="98">
        <f t="shared" si="30"/>
        <v>1900</v>
      </c>
      <c r="I242" s="98" t="str">
        <f t="shared" si="31"/>
        <v>4</v>
      </c>
    </row>
    <row r="243" spans="3:9">
      <c r="C243" s="17"/>
      <c r="D243" s="98"/>
      <c r="E243" s="98"/>
      <c r="F243" s="98"/>
      <c r="G243" s="98"/>
      <c r="H243" s="98">
        <f t="shared" si="30"/>
        <v>1900</v>
      </c>
      <c r="I243" s="98" t="str">
        <f t="shared" si="31"/>
        <v>4</v>
      </c>
    </row>
    <row r="244" spans="3:9">
      <c r="C244" s="17"/>
      <c r="D244" s="98"/>
      <c r="E244" s="98"/>
      <c r="F244" s="98"/>
      <c r="G244" s="98"/>
      <c r="H244" s="98">
        <f t="shared" si="30"/>
        <v>1900</v>
      </c>
      <c r="I244" s="98" t="str">
        <f t="shared" si="31"/>
        <v>4</v>
      </c>
    </row>
    <row r="245" spans="3:9">
      <c r="C245" s="17"/>
      <c r="D245" s="98"/>
      <c r="E245" s="98"/>
      <c r="F245" s="98"/>
      <c r="G245" s="98"/>
      <c r="H245" s="98">
        <f t="shared" si="30"/>
        <v>1900</v>
      </c>
      <c r="I245" s="98" t="str">
        <f t="shared" si="31"/>
        <v>4</v>
      </c>
    </row>
    <row r="246" spans="3:9">
      <c r="C246" s="17"/>
      <c r="D246" s="98"/>
      <c r="E246" s="98"/>
      <c r="F246" s="98"/>
      <c r="G246" s="98"/>
      <c r="H246" s="98">
        <f t="shared" si="30"/>
        <v>1900</v>
      </c>
      <c r="I246" s="98" t="str">
        <f t="shared" si="31"/>
        <v>4</v>
      </c>
    </row>
    <row r="247" spans="3:9">
      <c r="C247" s="17"/>
      <c r="D247" s="98"/>
      <c r="E247" s="98"/>
      <c r="F247" s="98"/>
      <c r="G247" s="98"/>
      <c r="H247" s="98">
        <f t="shared" si="30"/>
        <v>1900</v>
      </c>
      <c r="I247" s="98" t="str">
        <f t="shared" si="31"/>
        <v>4</v>
      </c>
    </row>
    <row r="248" spans="3:9">
      <c r="C248" s="17"/>
      <c r="D248" s="98"/>
      <c r="E248" s="98"/>
      <c r="F248" s="98"/>
      <c r="G248" s="98"/>
      <c r="H248" s="98">
        <f t="shared" si="30"/>
        <v>1900</v>
      </c>
      <c r="I248" s="98" t="str">
        <f t="shared" si="31"/>
        <v>4</v>
      </c>
    </row>
    <row r="249" spans="3:9">
      <c r="C249" s="17"/>
      <c r="D249" s="98"/>
      <c r="E249" s="98"/>
      <c r="F249" s="98"/>
      <c r="G249" s="98"/>
      <c r="H249" s="98">
        <f t="shared" si="30"/>
        <v>1900</v>
      </c>
      <c r="I249" s="98" t="str">
        <f t="shared" si="31"/>
        <v>4</v>
      </c>
    </row>
    <row r="250" spans="3:9">
      <c r="C250" s="17"/>
      <c r="D250" s="98"/>
      <c r="E250" s="98"/>
      <c r="F250" s="98"/>
      <c r="G250" s="98"/>
      <c r="H250" s="98">
        <f t="shared" si="30"/>
        <v>1900</v>
      </c>
      <c r="I250" s="98" t="str">
        <f t="shared" si="31"/>
        <v>4</v>
      </c>
    </row>
    <row r="251" spans="3:9">
      <c r="C251" s="17"/>
      <c r="D251" s="99"/>
      <c r="E251" s="99"/>
      <c r="F251" s="99"/>
      <c r="G251" s="99"/>
      <c r="H251" s="99"/>
      <c r="I251" s="99"/>
    </row>
    <row r="252" spans="3:9">
      <c r="C252" s="17"/>
      <c r="D252" s="99"/>
      <c r="E252" s="99"/>
      <c r="F252" s="99"/>
      <c r="G252" s="99"/>
      <c r="H252" s="99"/>
      <c r="I252" s="99"/>
    </row>
    <row r="253" spans="3:9">
      <c r="C253" s="17"/>
      <c r="D253" s="99"/>
      <c r="E253" s="99"/>
      <c r="F253" s="99"/>
      <c r="G253" s="99"/>
      <c r="H253" s="99"/>
      <c r="I253" s="99"/>
    </row>
    <row r="254" spans="3:9">
      <c r="C254" s="17"/>
      <c r="D254" s="99"/>
      <c r="E254" s="99"/>
      <c r="F254" s="99"/>
      <c r="G254" s="99"/>
      <c r="H254" s="99"/>
      <c r="I254" s="99"/>
    </row>
    <row r="255" spans="3:9">
      <c r="C255" s="17"/>
      <c r="D255" s="99"/>
      <c r="E255" s="99"/>
      <c r="F255" s="99"/>
      <c r="G255" s="99"/>
      <c r="H255" s="99"/>
      <c r="I255" s="99"/>
    </row>
    <row r="256" spans="3:9">
      <c r="C256" s="17"/>
      <c r="D256" s="99"/>
      <c r="E256" s="99"/>
      <c r="F256" s="99"/>
      <c r="G256" s="99"/>
      <c r="H256" s="99"/>
      <c r="I256" s="99"/>
    </row>
    <row r="257" spans="3:9">
      <c r="C257" s="17"/>
      <c r="D257" s="99"/>
      <c r="E257" s="99"/>
      <c r="F257" s="99"/>
      <c r="G257" s="99"/>
      <c r="H257" s="99"/>
      <c r="I257" s="99"/>
    </row>
    <row r="258" spans="3:9">
      <c r="C258" s="17"/>
      <c r="D258" s="99"/>
      <c r="E258" s="99"/>
      <c r="F258" s="99"/>
      <c r="G258" s="99"/>
      <c r="H258" s="99"/>
      <c r="I258" s="99"/>
    </row>
    <row r="259" spans="3:9">
      <c r="C259" s="17"/>
      <c r="D259" s="99"/>
      <c r="E259" s="99"/>
      <c r="F259" s="99"/>
      <c r="G259" s="99"/>
      <c r="H259" s="99"/>
      <c r="I259" s="99"/>
    </row>
    <row r="260" spans="3:9">
      <c r="C260" s="17"/>
      <c r="D260" s="99"/>
      <c r="E260" s="99"/>
      <c r="F260" s="99"/>
      <c r="G260" s="99"/>
      <c r="H260" s="99"/>
      <c r="I260" s="99"/>
    </row>
    <row r="261" spans="3:9">
      <c r="C261" s="17"/>
      <c r="D261" s="99"/>
      <c r="E261" s="99"/>
      <c r="F261" s="99"/>
      <c r="G261" s="99"/>
      <c r="H261" s="99"/>
      <c r="I261" s="99"/>
    </row>
    <row r="262" spans="3:9">
      <c r="C262" s="17"/>
      <c r="D262" s="99"/>
      <c r="E262" s="99"/>
      <c r="F262" s="99"/>
      <c r="G262" s="99"/>
      <c r="H262" s="99"/>
      <c r="I262" s="99"/>
    </row>
    <row r="263" spans="3:9">
      <c r="C263" s="17"/>
      <c r="D263" s="99"/>
      <c r="E263" s="99"/>
      <c r="F263" s="99"/>
      <c r="G263" s="99"/>
      <c r="H263" s="99"/>
      <c r="I263" s="99"/>
    </row>
    <row r="264" spans="3:9">
      <c r="C264" s="17"/>
      <c r="D264" s="99"/>
      <c r="E264" s="99"/>
      <c r="F264" s="99"/>
      <c r="G264" s="99"/>
      <c r="H264" s="99"/>
      <c r="I264" s="99"/>
    </row>
    <row r="265" spans="3:9">
      <c r="C265" s="17"/>
      <c r="D265" s="99"/>
      <c r="E265" s="99"/>
      <c r="F265" s="99"/>
      <c r="G265" s="99"/>
      <c r="H265" s="99"/>
      <c r="I265" s="99"/>
    </row>
    <row r="266" spans="3:9">
      <c r="C266" s="17"/>
      <c r="D266" s="99"/>
      <c r="E266" s="99"/>
      <c r="F266" s="99"/>
      <c r="G266" s="99"/>
      <c r="H266" s="99"/>
      <c r="I266" s="99"/>
    </row>
    <row r="267" spans="3:9">
      <c r="C267" s="17"/>
      <c r="D267" s="99"/>
      <c r="E267" s="99"/>
      <c r="F267" s="99"/>
      <c r="G267" s="99"/>
      <c r="H267" s="99"/>
      <c r="I267" s="99"/>
    </row>
    <row r="268" spans="3:9">
      <c r="C268" s="17"/>
      <c r="D268" s="99"/>
      <c r="E268" s="99"/>
      <c r="F268" s="99"/>
      <c r="G268" s="99"/>
      <c r="H268" s="99"/>
      <c r="I268" s="99"/>
    </row>
    <row r="269" spans="3:9">
      <c r="C269" s="17"/>
      <c r="D269" s="99"/>
      <c r="E269" s="99"/>
      <c r="F269" s="99"/>
      <c r="G269" s="99"/>
      <c r="H269" s="99"/>
      <c r="I269" s="99"/>
    </row>
    <row r="270" spans="3:9">
      <c r="C270" s="17"/>
      <c r="D270" s="99"/>
      <c r="E270" s="99"/>
      <c r="F270" s="99"/>
      <c r="G270" s="99"/>
      <c r="H270" s="99"/>
      <c r="I270" s="99"/>
    </row>
    <row r="271" spans="3:9">
      <c r="C271" s="17"/>
      <c r="D271" s="99"/>
      <c r="E271" s="99"/>
      <c r="F271" s="99"/>
      <c r="G271" s="99"/>
      <c r="H271" s="99"/>
      <c r="I271" s="99"/>
    </row>
    <row r="272" spans="3:9">
      <c r="C272" s="17"/>
      <c r="D272" s="99"/>
      <c r="E272" s="99"/>
      <c r="F272" s="99"/>
      <c r="G272" s="99"/>
      <c r="H272" s="99"/>
      <c r="I272" s="99"/>
    </row>
    <row r="273" spans="3:9">
      <c r="C273" s="17"/>
      <c r="D273" s="99"/>
      <c r="E273" s="99"/>
      <c r="F273" s="99"/>
      <c r="G273" s="99"/>
      <c r="H273" s="99"/>
      <c r="I273" s="99"/>
    </row>
    <row r="274" spans="3:9">
      <c r="C274" s="17"/>
      <c r="D274" s="99"/>
      <c r="E274" s="99"/>
      <c r="F274" s="99"/>
      <c r="G274" s="99"/>
      <c r="H274" s="99"/>
      <c r="I274" s="99"/>
    </row>
    <row r="275" spans="3:9">
      <c r="C275" s="17"/>
      <c r="D275" s="99"/>
      <c r="E275" s="99"/>
      <c r="F275" s="99"/>
      <c r="G275" s="99"/>
      <c r="H275" s="99"/>
      <c r="I275" s="99"/>
    </row>
    <row r="276" spans="3:9">
      <c r="C276" s="17"/>
      <c r="D276" s="99"/>
      <c r="E276" s="99"/>
      <c r="F276" s="99"/>
      <c r="G276" s="99"/>
      <c r="H276" s="99"/>
      <c r="I276" s="99"/>
    </row>
    <row r="277" spans="3:9">
      <c r="C277" s="17"/>
      <c r="D277" s="99"/>
      <c r="E277" s="99"/>
      <c r="F277" s="99"/>
      <c r="G277" s="99"/>
      <c r="H277" s="99"/>
      <c r="I277" s="99"/>
    </row>
    <row r="278" spans="3:9">
      <c r="C278" s="17"/>
      <c r="D278" s="99"/>
      <c r="E278" s="99"/>
      <c r="F278" s="99"/>
      <c r="G278" s="99"/>
      <c r="H278" s="99"/>
      <c r="I278" s="99"/>
    </row>
    <row r="279" spans="3:9">
      <c r="C279" s="17"/>
      <c r="D279" s="99"/>
      <c r="E279" s="99"/>
      <c r="F279" s="99"/>
      <c r="G279" s="99"/>
      <c r="H279" s="99"/>
      <c r="I279" s="99"/>
    </row>
    <row r="280" spans="3:9">
      <c r="C280" s="17"/>
      <c r="D280" s="99"/>
      <c r="E280" s="99"/>
      <c r="F280" s="99"/>
      <c r="G280" s="99"/>
      <c r="H280" s="99"/>
      <c r="I280" s="99"/>
    </row>
    <row r="281" spans="3:9">
      <c r="C281" s="17"/>
      <c r="D281" s="99"/>
      <c r="E281" s="99"/>
      <c r="F281" s="99"/>
      <c r="G281" s="99"/>
      <c r="H281" s="99"/>
      <c r="I281" s="99"/>
    </row>
    <row r="282" spans="3:9">
      <c r="C282" s="17"/>
      <c r="D282" s="99"/>
      <c r="E282" s="99"/>
      <c r="F282" s="99"/>
      <c r="G282" s="99"/>
      <c r="H282" s="99"/>
      <c r="I282" s="99"/>
    </row>
    <row r="283" spans="3:9">
      <c r="C283" s="17"/>
      <c r="D283" s="99"/>
      <c r="E283" s="99"/>
      <c r="F283" s="99"/>
      <c r="G283" s="99"/>
      <c r="H283" s="99"/>
      <c r="I283" s="99"/>
    </row>
    <row r="284" spans="3:9">
      <c r="C284" s="17"/>
      <c r="D284" s="99"/>
      <c r="E284" s="99"/>
      <c r="F284" s="99"/>
      <c r="G284" s="99"/>
      <c r="H284" s="99"/>
      <c r="I284" s="99"/>
    </row>
    <row r="285" spans="3:9">
      <c r="C285" s="17"/>
      <c r="D285" s="99"/>
      <c r="E285" s="99"/>
      <c r="F285" s="99"/>
      <c r="G285" s="99"/>
      <c r="H285" s="99"/>
      <c r="I285" s="99"/>
    </row>
    <row r="286" spans="3:9">
      <c r="C286" s="17"/>
      <c r="D286" s="99"/>
      <c r="E286" s="99"/>
      <c r="F286" s="99"/>
      <c r="G286" s="99"/>
      <c r="H286" s="99"/>
      <c r="I286" s="99"/>
    </row>
    <row r="287" spans="3:9">
      <c r="C287" s="17"/>
      <c r="D287" s="99"/>
      <c r="E287" s="99"/>
      <c r="F287" s="99"/>
      <c r="G287" s="99"/>
      <c r="H287" s="99"/>
      <c r="I287" s="99"/>
    </row>
    <row r="288" spans="3:9">
      <c r="C288" s="17"/>
      <c r="D288" s="99"/>
      <c r="E288" s="99"/>
      <c r="F288" s="99"/>
      <c r="G288" s="99"/>
      <c r="H288" s="99"/>
      <c r="I288" s="99"/>
    </row>
    <row r="289" spans="3:9">
      <c r="C289" s="17"/>
      <c r="D289" s="99"/>
      <c r="E289" s="99"/>
      <c r="F289" s="99"/>
      <c r="G289" s="99"/>
      <c r="H289" s="99"/>
      <c r="I289" s="99"/>
    </row>
    <row r="290" spans="3:9">
      <c r="C290" s="17"/>
      <c r="D290" s="99"/>
      <c r="E290" s="99"/>
      <c r="F290" s="99"/>
      <c r="G290" s="99"/>
      <c r="H290" s="99"/>
      <c r="I290" s="99"/>
    </row>
    <row r="291" spans="3:9">
      <c r="C291" s="17"/>
      <c r="D291" s="99"/>
      <c r="E291" s="99"/>
      <c r="F291" s="99"/>
      <c r="G291" s="99"/>
      <c r="H291" s="99"/>
      <c r="I291" s="99"/>
    </row>
    <row r="292" spans="3:9">
      <c r="C292" s="17"/>
      <c r="D292" s="99"/>
      <c r="E292" s="99"/>
      <c r="F292" s="99"/>
      <c r="G292" s="99"/>
      <c r="H292" s="99"/>
      <c r="I292" s="99"/>
    </row>
    <row r="293" spans="3:9">
      <c r="C293" s="17"/>
      <c r="D293" s="99"/>
      <c r="E293" s="99"/>
      <c r="F293" s="99"/>
      <c r="G293" s="99"/>
      <c r="H293" s="99"/>
      <c r="I293" s="99"/>
    </row>
    <row r="294" spans="3:9">
      <c r="C294" s="17"/>
      <c r="D294" s="99"/>
      <c r="E294" s="99"/>
      <c r="F294" s="99"/>
      <c r="G294" s="99"/>
      <c r="H294" s="99"/>
      <c r="I294" s="99"/>
    </row>
    <row r="295" spans="3:9">
      <c r="C295" s="17"/>
      <c r="D295" s="99"/>
      <c r="E295" s="99"/>
      <c r="F295" s="99"/>
      <c r="G295" s="99"/>
      <c r="H295" s="99"/>
      <c r="I295" s="99"/>
    </row>
    <row r="296" spans="3:9">
      <c r="C296" s="17"/>
      <c r="D296" s="99"/>
      <c r="E296" s="99"/>
      <c r="F296" s="99"/>
      <c r="G296" s="99"/>
      <c r="H296" s="99"/>
      <c r="I296" s="99"/>
    </row>
    <row r="297" spans="3:9">
      <c r="C297" s="17"/>
      <c r="D297" s="99"/>
      <c r="E297" s="99"/>
      <c r="F297" s="99"/>
      <c r="G297" s="99"/>
      <c r="H297" s="99"/>
      <c r="I297" s="99"/>
    </row>
    <row r="298" spans="3:9">
      <c r="C298" s="17"/>
      <c r="D298" s="99"/>
      <c r="E298" s="99"/>
      <c r="F298" s="99"/>
      <c r="G298" s="99"/>
      <c r="H298" s="99"/>
      <c r="I298" s="99"/>
    </row>
    <row r="299" spans="3:9">
      <c r="C299" s="17"/>
      <c r="D299" s="99"/>
      <c r="E299" s="99"/>
      <c r="F299" s="99"/>
      <c r="G299" s="99"/>
      <c r="H299" s="99"/>
      <c r="I299" s="99"/>
    </row>
    <row r="300" spans="3:9">
      <c r="C300" s="17"/>
      <c r="D300" s="99"/>
      <c r="E300" s="99"/>
      <c r="F300" s="99"/>
      <c r="G300" s="99"/>
      <c r="H300" s="99"/>
      <c r="I300" s="99"/>
    </row>
    <row r="301" spans="3:9">
      <c r="C301" s="17"/>
      <c r="D301" s="99"/>
      <c r="E301" s="99"/>
      <c r="F301" s="99"/>
      <c r="G301" s="99"/>
      <c r="H301" s="99"/>
      <c r="I301" s="99"/>
    </row>
    <row r="302" spans="3:9">
      <c r="C302" s="17"/>
      <c r="D302" s="99"/>
      <c r="E302" s="99"/>
      <c r="F302" s="99"/>
      <c r="G302" s="99"/>
      <c r="H302" s="99"/>
      <c r="I302" s="99"/>
    </row>
    <row r="303" spans="3:9">
      <c r="C303" s="17"/>
      <c r="D303" s="99"/>
      <c r="E303" s="99"/>
      <c r="F303" s="99"/>
      <c r="G303" s="99"/>
      <c r="H303" s="99"/>
      <c r="I303" s="99"/>
    </row>
    <row r="304" spans="3:9">
      <c r="C304" s="17"/>
      <c r="D304" s="99"/>
      <c r="E304" s="99"/>
      <c r="F304" s="99"/>
      <c r="G304" s="99"/>
      <c r="H304" s="99"/>
      <c r="I304" s="99"/>
    </row>
    <row r="305" spans="3:9">
      <c r="C305" s="17"/>
      <c r="D305" s="99"/>
      <c r="E305" s="99"/>
      <c r="F305" s="99"/>
      <c r="G305" s="99"/>
      <c r="H305" s="99"/>
      <c r="I305" s="99"/>
    </row>
    <row r="306" spans="3:9">
      <c r="C306" s="17"/>
      <c r="D306" s="99"/>
      <c r="E306" s="99"/>
      <c r="F306" s="99"/>
      <c r="G306" s="99"/>
      <c r="H306" s="99"/>
      <c r="I306" s="99"/>
    </row>
    <row r="307" spans="3:9">
      <c r="C307" s="17"/>
      <c r="D307" s="99"/>
      <c r="E307" s="99"/>
      <c r="F307" s="99"/>
      <c r="G307" s="99"/>
      <c r="H307" s="99"/>
      <c r="I307" s="99"/>
    </row>
    <row r="308" spans="3:9">
      <c r="C308" s="17"/>
      <c r="D308" s="99"/>
      <c r="E308" s="99"/>
      <c r="F308" s="99"/>
      <c r="G308" s="99"/>
      <c r="H308" s="99"/>
      <c r="I308" s="99"/>
    </row>
    <row r="309" spans="3:9">
      <c r="C309" s="17"/>
      <c r="D309" s="99"/>
      <c r="E309" s="99"/>
      <c r="F309" s="99"/>
      <c r="G309" s="99"/>
      <c r="H309" s="99"/>
      <c r="I309" s="99"/>
    </row>
    <row r="310" spans="3:9">
      <c r="C310" s="17"/>
      <c r="D310" s="99"/>
      <c r="E310" s="99"/>
      <c r="F310" s="99"/>
      <c r="G310" s="99"/>
      <c r="H310" s="99"/>
      <c r="I310" s="99"/>
    </row>
    <row r="311" spans="3:9">
      <c r="C311" s="17"/>
      <c r="D311" s="99"/>
      <c r="E311" s="99"/>
      <c r="F311" s="99"/>
      <c r="G311" s="99"/>
      <c r="H311" s="99"/>
      <c r="I311" s="99"/>
    </row>
    <row r="312" spans="3:9">
      <c r="C312" s="17"/>
      <c r="D312" s="99"/>
      <c r="E312" s="99"/>
      <c r="F312" s="99"/>
      <c r="G312" s="99"/>
      <c r="H312" s="99"/>
      <c r="I312" s="99"/>
    </row>
    <row r="313" spans="3:9">
      <c r="C313" s="17"/>
      <c r="D313" s="99"/>
      <c r="E313" s="99"/>
      <c r="F313" s="99"/>
      <c r="G313" s="99"/>
      <c r="H313" s="99"/>
      <c r="I313" s="99"/>
    </row>
    <row r="314" spans="3:9">
      <c r="C314" s="17"/>
      <c r="D314" s="99"/>
      <c r="E314" s="99"/>
      <c r="F314" s="99"/>
      <c r="G314" s="99"/>
      <c r="H314" s="99"/>
      <c r="I314" s="99"/>
    </row>
    <row r="315" spans="3:9">
      <c r="C315" s="17"/>
      <c r="D315" s="99"/>
      <c r="E315" s="99"/>
      <c r="F315" s="99"/>
      <c r="G315" s="99"/>
      <c r="H315" s="99"/>
      <c r="I315" s="99"/>
    </row>
    <row r="316" spans="3:9">
      <c r="C316" s="17"/>
      <c r="D316" s="99"/>
      <c r="E316" s="99"/>
      <c r="F316" s="99"/>
      <c r="G316" s="99"/>
      <c r="H316" s="99"/>
      <c r="I316" s="99"/>
    </row>
    <row r="317" spans="3:9">
      <c r="C317" s="17"/>
      <c r="D317" s="99"/>
      <c r="E317" s="99"/>
      <c r="F317" s="99"/>
      <c r="G317" s="99"/>
      <c r="H317" s="99"/>
      <c r="I317" s="99"/>
    </row>
    <row r="318" spans="3:9">
      <c r="C318" s="17"/>
      <c r="D318" s="99"/>
      <c r="E318" s="99"/>
      <c r="F318" s="99"/>
      <c r="G318" s="99"/>
      <c r="H318" s="99"/>
      <c r="I318" s="99"/>
    </row>
    <row r="319" spans="3:9">
      <c r="C319" s="17"/>
      <c r="D319" s="99"/>
      <c r="E319" s="99"/>
      <c r="F319" s="99"/>
      <c r="G319" s="99"/>
      <c r="H319" s="99"/>
      <c r="I319" s="99"/>
    </row>
    <row r="320" spans="3:9">
      <c r="C320" s="17"/>
      <c r="D320" s="99"/>
      <c r="E320" s="99"/>
      <c r="F320" s="99"/>
      <c r="G320" s="99"/>
      <c r="H320" s="99"/>
      <c r="I320" s="99"/>
    </row>
    <row r="321" spans="3:9">
      <c r="C321" s="17"/>
      <c r="D321" s="99"/>
      <c r="E321" s="99"/>
      <c r="F321" s="99"/>
      <c r="G321" s="99"/>
      <c r="H321" s="99"/>
      <c r="I321" s="99"/>
    </row>
    <row r="322" spans="3:9">
      <c r="C322" s="17"/>
      <c r="D322" s="99"/>
      <c r="E322" s="99"/>
      <c r="F322" s="99"/>
      <c r="G322" s="99"/>
      <c r="H322" s="99"/>
      <c r="I322" s="99"/>
    </row>
    <row r="323" spans="3:9">
      <c r="C323" s="17"/>
      <c r="D323" s="99"/>
      <c r="E323" s="99"/>
      <c r="F323" s="99"/>
      <c r="G323" s="99"/>
      <c r="H323" s="99"/>
      <c r="I323" s="99"/>
    </row>
    <row r="324" spans="3:9">
      <c r="C324" s="17"/>
      <c r="D324" s="99"/>
      <c r="E324" s="99"/>
      <c r="F324" s="99"/>
      <c r="G324" s="99"/>
      <c r="H324" s="99"/>
      <c r="I324" s="99"/>
    </row>
    <row r="325" spans="3:9">
      <c r="C325" s="17"/>
      <c r="D325" s="99"/>
      <c r="E325" s="99"/>
      <c r="F325" s="99"/>
      <c r="G325" s="99"/>
      <c r="H325" s="99"/>
      <c r="I325" s="99"/>
    </row>
    <row r="326" spans="3:9">
      <c r="C326" s="17"/>
      <c r="D326" s="99"/>
      <c r="E326" s="99"/>
      <c r="F326" s="99"/>
      <c r="G326" s="99"/>
      <c r="H326" s="99"/>
      <c r="I326" s="99"/>
    </row>
    <row r="327" spans="3:9">
      <c r="C327" s="17"/>
      <c r="D327" s="99"/>
      <c r="E327" s="99"/>
      <c r="F327" s="99"/>
      <c r="G327" s="99"/>
      <c r="H327" s="99"/>
      <c r="I327" s="99"/>
    </row>
    <row r="328" spans="3:9">
      <c r="C328" s="17"/>
      <c r="D328" s="99"/>
      <c r="E328" s="99"/>
      <c r="F328" s="99"/>
      <c r="G328" s="99"/>
      <c r="H328" s="99"/>
      <c r="I328" s="99"/>
    </row>
    <row r="329" spans="3:9">
      <c r="C329" s="17"/>
      <c r="D329" s="99"/>
      <c r="E329" s="99"/>
      <c r="F329" s="99"/>
      <c r="G329" s="99"/>
      <c r="H329" s="99"/>
      <c r="I329" s="99"/>
    </row>
    <row r="330" spans="3:9">
      <c r="C330" s="17"/>
      <c r="D330" s="99"/>
      <c r="E330" s="99"/>
      <c r="F330" s="99"/>
      <c r="G330" s="99"/>
      <c r="H330" s="99"/>
      <c r="I330" s="99"/>
    </row>
    <row r="331" spans="3:9">
      <c r="C331" s="17"/>
      <c r="D331" s="99"/>
      <c r="E331" s="99"/>
      <c r="F331" s="99"/>
      <c r="G331" s="99"/>
      <c r="H331" s="99"/>
      <c r="I331" s="99"/>
    </row>
    <row r="332" spans="3:9">
      <c r="C332" s="17"/>
      <c r="D332" s="99"/>
      <c r="E332" s="99"/>
      <c r="F332" s="99"/>
      <c r="G332" s="99"/>
      <c r="H332" s="99"/>
      <c r="I332" s="99"/>
    </row>
    <row r="333" spans="3:9">
      <c r="C333" s="17"/>
      <c r="D333" s="99"/>
      <c r="E333" s="99"/>
      <c r="F333" s="99"/>
      <c r="G333" s="99"/>
      <c r="H333" s="99"/>
      <c r="I333" s="99"/>
    </row>
    <row r="334" spans="3:9">
      <c r="C334" s="17"/>
      <c r="D334" s="99"/>
      <c r="E334" s="99"/>
      <c r="F334" s="99"/>
      <c r="G334" s="99"/>
      <c r="H334" s="99"/>
      <c r="I334" s="99"/>
    </row>
    <row r="335" spans="3:9">
      <c r="C335" s="17"/>
      <c r="D335" s="99"/>
      <c r="E335" s="99"/>
      <c r="F335" s="99"/>
      <c r="G335" s="99"/>
      <c r="H335" s="99"/>
      <c r="I335" s="99"/>
    </row>
    <row r="336" spans="3:9">
      <c r="C336" s="17"/>
      <c r="D336" s="99"/>
      <c r="E336" s="99"/>
      <c r="F336" s="99"/>
      <c r="G336" s="99"/>
      <c r="H336" s="99"/>
      <c r="I336" s="99"/>
    </row>
    <row r="337" spans="3:9">
      <c r="C337" s="17"/>
      <c r="D337" s="99"/>
      <c r="E337" s="99"/>
      <c r="F337" s="99"/>
      <c r="G337" s="99"/>
      <c r="H337" s="99"/>
      <c r="I337" s="99"/>
    </row>
    <row r="338" spans="3:9">
      <c r="C338" s="17"/>
      <c r="D338" s="99"/>
      <c r="E338" s="99"/>
      <c r="F338" s="99"/>
      <c r="G338" s="99"/>
      <c r="H338" s="99"/>
      <c r="I338" s="99"/>
    </row>
    <row r="339" spans="3:9">
      <c r="C339" s="17"/>
      <c r="D339" s="99"/>
      <c r="E339" s="99"/>
      <c r="F339" s="99"/>
      <c r="G339" s="99"/>
      <c r="H339" s="99"/>
      <c r="I339" s="99"/>
    </row>
    <row r="340" spans="3:9">
      <c r="C340" s="17"/>
      <c r="D340" s="99"/>
      <c r="E340" s="99"/>
      <c r="F340" s="99"/>
      <c r="G340" s="99"/>
      <c r="H340" s="99"/>
      <c r="I340" s="99"/>
    </row>
    <row r="341" spans="3:9">
      <c r="C341" s="17"/>
      <c r="D341" s="99"/>
      <c r="E341" s="99"/>
      <c r="F341" s="99"/>
      <c r="G341" s="99"/>
      <c r="H341" s="99"/>
      <c r="I341" s="99"/>
    </row>
    <row r="342" spans="3:9">
      <c r="C342" s="17"/>
      <c r="D342" s="99"/>
      <c r="E342" s="99"/>
      <c r="F342" s="99"/>
      <c r="G342" s="99"/>
      <c r="H342" s="99"/>
      <c r="I342" s="99"/>
    </row>
    <row r="343" spans="3:9">
      <c r="C343" s="17"/>
      <c r="D343" s="99"/>
      <c r="E343" s="99"/>
      <c r="F343" s="99"/>
      <c r="G343" s="99"/>
      <c r="H343" s="99"/>
      <c r="I343" s="99"/>
    </row>
    <row r="344" spans="3:9">
      <c r="C344" s="17"/>
      <c r="D344" s="99"/>
      <c r="E344" s="99"/>
      <c r="F344" s="99"/>
      <c r="G344" s="99"/>
      <c r="H344" s="99"/>
      <c r="I344" s="99"/>
    </row>
    <row r="345" spans="3:9">
      <c r="C345" s="17"/>
      <c r="D345" s="99"/>
      <c r="E345" s="99"/>
      <c r="F345" s="99"/>
      <c r="G345" s="99"/>
      <c r="H345" s="99"/>
      <c r="I345" s="99"/>
    </row>
    <row r="346" spans="3:9">
      <c r="C346" s="17"/>
      <c r="D346" s="99"/>
      <c r="E346" s="99"/>
      <c r="F346" s="99"/>
      <c r="G346" s="99"/>
      <c r="H346" s="99"/>
      <c r="I346" s="99"/>
    </row>
    <row r="347" spans="3:9">
      <c r="C347" s="17"/>
      <c r="D347" s="99"/>
      <c r="E347" s="99"/>
      <c r="F347" s="99"/>
      <c r="G347" s="99"/>
      <c r="H347" s="99"/>
      <c r="I347" s="99"/>
    </row>
    <row r="348" spans="3:9">
      <c r="C348" s="17"/>
      <c r="D348" s="99"/>
      <c r="E348" s="99"/>
      <c r="F348" s="99"/>
      <c r="G348" s="99"/>
      <c r="H348" s="99"/>
      <c r="I348" s="99"/>
    </row>
    <row r="349" spans="3:9">
      <c r="C349" s="17"/>
      <c r="D349" s="99"/>
      <c r="E349" s="99"/>
      <c r="F349" s="99"/>
      <c r="G349" s="99"/>
      <c r="H349" s="99"/>
      <c r="I349" s="99"/>
    </row>
    <row r="350" spans="3:9">
      <c r="C350" s="17"/>
      <c r="D350" s="99"/>
      <c r="E350" s="99"/>
      <c r="F350" s="99"/>
      <c r="G350" s="99"/>
      <c r="H350" s="99"/>
      <c r="I350" s="99"/>
    </row>
    <row r="351" spans="3:9">
      <c r="C351" s="17"/>
      <c r="D351" s="99"/>
      <c r="E351" s="99"/>
      <c r="F351" s="99"/>
      <c r="G351" s="99"/>
      <c r="H351" s="99"/>
      <c r="I351" s="99"/>
    </row>
    <row r="352" spans="3:9">
      <c r="C352" s="17"/>
      <c r="D352" s="99"/>
      <c r="E352" s="99"/>
      <c r="F352" s="99"/>
      <c r="G352" s="99"/>
      <c r="H352" s="99"/>
      <c r="I352" s="99"/>
    </row>
    <row r="353" spans="3:9">
      <c r="C353" s="17"/>
      <c r="D353" s="99"/>
      <c r="E353" s="99"/>
      <c r="F353" s="99"/>
      <c r="G353" s="99"/>
      <c r="H353" s="99"/>
      <c r="I353" s="99"/>
    </row>
    <row r="354" spans="3:9">
      <c r="C354" s="17"/>
      <c r="D354" s="99"/>
      <c r="E354" s="99"/>
      <c r="F354" s="99"/>
      <c r="G354" s="99"/>
      <c r="H354" s="99"/>
      <c r="I354" s="99"/>
    </row>
    <row r="355" spans="3:9">
      <c r="C355" s="17"/>
      <c r="D355" s="99"/>
      <c r="E355" s="99"/>
      <c r="F355" s="99"/>
      <c r="G355" s="99"/>
      <c r="H355" s="99"/>
      <c r="I355" s="99"/>
    </row>
    <row r="356" spans="3:9">
      <c r="C356" s="17"/>
      <c r="D356" s="99"/>
      <c r="E356" s="99"/>
      <c r="F356" s="99"/>
      <c r="G356" s="99"/>
      <c r="H356" s="99"/>
      <c r="I356" s="99"/>
    </row>
    <row r="357" spans="3:9">
      <c r="C357" s="17"/>
      <c r="D357" s="99"/>
      <c r="E357" s="99"/>
      <c r="F357" s="99"/>
      <c r="G357" s="99"/>
      <c r="H357" s="99"/>
      <c r="I357" s="99"/>
    </row>
    <row r="358" spans="3:9">
      <c r="C358" s="17"/>
      <c r="D358" s="99"/>
      <c r="E358" s="99"/>
      <c r="F358" s="99"/>
      <c r="G358" s="99"/>
      <c r="H358" s="99"/>
      <c r="I358" s="99"/>
    </row>
    <row r="359" spans="3:9">
      <c r="C359" s="17"/>
      <c r="D359" s="99"/>
      <c r="E359" s="99"/>
      <c r="F359" s="99"/>
      <c r="G359" s="99"/>
      <c r="H359" s="99"/>
      <c r="I359" s="99"/>
    </row>
    <row r="360" spans="3:9">
      <c r="C360" s="17"/>
      <c r="D360" s="99"/>
      <c r="E360" s="99"/>
      <c r="F360" s="99"/>
      <c r="G360" s="99"/>
      <c r="H360" s="99"/>
      <c r="I360" s="99"/>
    </row>
    <row r="361" spans="3:9">
      <c r="C361" s="17"/>
      <c r="D361" s="99"/>
      <c r="E361" s="99"/>
      <c r="F361" s="99"/>
      <c r="G361" s="99"/>
      <c r="H361" s="99"/>
      <c r="I361" s="99"/>
    </row>
    <row r="362" spans="3:9">
      <c r="C362" s="17"/>
      <c r="D362" s="99"/>
      <c r="E362" s="99"/>
      <c r="F362" s="99"/>
      <c r="G362" s="99"/>
      <c r="H362" s="99"/>
      <c r="I362" s="99"/>
    </row>
    <row r="363" spans="3:9">
      <c r="C363" s="17"/>
      <c r="D363" s="99"/>
      <c r="E363" s="99"/>
      <c r="F363" s="99"/>
      <c r="G363" s="99"/>
      <c r="H363" s="99"/>
      <c r="I363" s="99"/>
    </row>
    <row r="364" spans="3:9">
      <c r="C364" s="17"/>
      <c r="D364" s="99"/>
      <c r="E364" s="99"/>
      <c r="F364" s="99"/>
      <c r="G364" s="99"/>
      <c r="H364" s="99"/>
      <c r="I364" s="99"/>
    </row>
    <row r="365" spans="3:9">
      <c r="C365" s="17"/>
      <c r="D365" s="99"/>
      <c r="E365" s="99"/>
      <c r="F365" s="99"/>
      <c r="G365" s="99"/>
      <c r="H365" s="99"/>
      <c r="I365" s="99"/>
    </row>
    <row r="366" spans="3:9">
      <c r="C366" s="17"/>
      <c r="D366" s="99"/>
      <c r="E366" s="99"/>
      <c r="F366" s="99"/>
      <c r="G366" s="99"/>
      <c r="H366" s="99"/>
      <c r="I366" s="99"/>
    </row>
  </sheetData>
  <mergeCells count="9">
    <mergeCell ref="A4:G4"/>
    <mergeCell ref="A5:G5"/>
    <mergeCell ref="S8:V8"/>
    <mergeCell ref="S9:V9"/>
    <mergeCell ref="S34:V34"/>
    <mergeCell ref="U33:V33"/>
    <mergeCell ref="B6:C6"/>
    <mergeCell ref="D6:E6"/>
    <mergeCell ref="F6:G6"/>
  </mergeCells>
  <dataValidations disablePrompts="1" count="1">
    <dataValidation type="list" allowBlank="1" showInputMessage="1" showErrorMessage="1" promptTitle="Select a Period:" prompt="Select Financial or Calendar years." sqref="U33:V33">
      <formula1>$A$1:$A$2</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Z70"/>
  <sheetViews>
    <sheetView showGridLines="0" workbookViewId="0">
      <selection activeCell="L52" sqref="L52"/>
    </sheetView>
  </sheetViews>
  <sheetFormatPr defaultRowHeight="15"/>
  <cols>
    <col min="2" max="2" width="19" bestFit="1" customWidth="1"/>
    <col min="4" max="5" width="9.140625" style="333" hidden="1" customWidth="1"/>
    <col min="6" max="6" width="11.28515625" customWidth="1"/>
    <col min="7" max="7" width="19" bestFit="1" customWidth="1"/>
    <col min="8" max="8" width="9.140625" hidden="1" customWidth="1"/>
  </cols>
  <sheetData>
    <row r="1" spans="1:26">
      <c r="Y1" s="342" t="s">
        <v>463</v>
      </c>
      <c r="Z1" s="341"/>
    </row>
    <row r="2" spans="1:26">
      <c r="Y2" s="342" t="s">
        <v>464</v>
      </c>
      <c r="Z2" s="341"/>
    </row>
    <row r="4" spans="1:26">
      <c r="J4" s="343"/>
    </row>
    <row r="5" spans="1:26" s="5" customFormat="1">
      <c r="A5" s="1981" t="s">
        <v>692</v>
      </c>
      <c r="B5" s="1981"/>
      <c r="C5" s="10"/>
      <c r="D5" s="128"/>
      <c r="E5" s="128"/>
      <c r="F5" s="1981" t="s">
        <v>693</v>
      </c>
      <c r="G5" s="1981"/>
    </row>
    <row r="6" spans="1:26" ht="15.75" thickBot="1">
      <c r="A6" s="1988" t="s">
        <v>703</v>
      </c>
      <c r="B6" s="1988"/>
      <c r="C6" s="10"/>
      <c r="D6" s="128"/>
      <c r="E6" s="128"/>
      <c r="F6" s="1981" t="str">
        <f>F46</f>
        <v>Historic Financial Year</v>
      </c>
      <c r="G6" s="1981"/>
    </row>
    <row r="7" spans="1:26">
      <c r="A7" s="1476" t="s">
        <v>676</v>
      </c>
      <c r="B7" s="1477" t="s">
        <v>683</v>
      </c>
      <c r="C7" s="10"/>
      <c r="D7" s="128"/>
      <c r="E7" s="128"/>
      <c r="F7" s="1478" t="s">
        <v>41</v>
      </c>
      <c r="G7" s="1477" t="s">
        <v>683</v>
      </c>
    </row>
    <row r="8" spans="1:26">
      <c r="A8" s="670">
        <f>LARGE('Commodity Prices'!C$159:C$902,60)</f>
        <v>42552</v>
      </c>
      <c r="B8" s="724">
        <f>SUMIF('Commodity Prices'!C$159:C$902,A8,'Commodity Prices'!D$159:D$902)</f>
        <v>318.33882244544691</v>
      </c>
      <c r="C8" s="10"/>
      <c r="D8" s="128">
        <v>1986</v>
      </c>
      <c r="E8" s="128">
        <v>1987</v>
      </c>
      <c r="F8" s="698" t="str">
        <f>IF($F$6="Historic Calendar Year",1986,CONCATENATE(D8,"-",RIGHT(E8,2)))</f>
        <v>1986-87</v>
      </c>
      <c r="G8" s="724">
        <f t="array" ref="G8">IF($F$6="Historic Calendar Year",IFERROR(AVERAGE(IF($F8=YEAR('Commodity Prices'!C$100:C$1000),'Commodity Prices'!D$100:D$1000)),"NA"),IFERROR(IF(H8=0,"NA",H8),"NA"))</f>
        <v>190.39912028055323</v>
      </c>
      <c r="H8">
        <f>(SUMIFS('Commodity Prices'!$D$9:$D$2500,'Commodity Prices'!$A$9:$A$2500,'Alumina - Prices'!D8,'Commodity Prices'!$B$9:$B$2500,3)+
SUMIFS('Commodity Prices'!$D$9:$D$2500,'Commodity Prices'!$A$9:$A$2500,'Alumina - Prices'!D8,'Commodity Prices'!$B$9:$B$2500,4)+
SUMIFS('Commodity Prices'!$D$9:$D$2500,'Commodity Prices'!$A$9:$A$2500,'Alumina - Prices'!E8,'Commodity Prices'!$B$9:$B$2500,1)+
SUMIFS('Commodity Prices'!$D$9:$D$2500,'Commodity Prices'!$A$9:$A$2500,'Alumina - Prices'!E8,'Commodity Prices'!$B$9:$B$2500,2))
/(COUNTIFS('Commodity Prices'!$A$9:$A$2500,'Alumina - Prices'!D8,'Commodity Prices'!$B$9:$B$2500,3)+
COUNTIFS('Commodity Prices'!$A$9:$A$2500,'Alumina - Prices'!D8,'Commodity Prices'!$B$9:$B$2500,4)+
COUNTIFS('Commodity Prices'!$A$9:$A$2500,'Alumina - Prices'!E8,'Commodity Prices'!$B$9:$B$2500,1)+
COUNTIFS('Commodity Prices'!$A$9:$A$2500,'Alumina - Prices'!E8,'Commodity Prices'!$B$9:$B$2500,2))</f>
        <v>190.39912028055323</v>
      </c>
    </row>
    <row r="9" spans="1:26">
      <c r="A9" s="671">
        <f>LARGE('Commodity Prices'!C$159:C$902,59)</f>
        <v>42583</v>
      </c>
      <c r="B9" s="723">
        <f>SUMIF('Commodity Prices'!C$159:C$902,A9,'Commodity Prices'!D$159:D$902)</f>
        <v>310.82907512588451</v>
      </c>
      <c r="C9" s="10"/>
      <c r="D9" s="128">
        <f>D8+1</f>
        <v>1987</v>
      </c>
      <c r="E9" s="128">
        <f>E8+1</f>
        <v>1988</v>
      </c>
      <c r="F9" s="697" t="str">
        <f t="shared" ref="F9:F42" si="0">IF($F$6="Historic Calendar Year",F8+1,CONCATENATE(D9,"-",RIGHT(E9,2)))</f>
        <v>1987-88</v>
      </c>
      <c r="G9" s="723">
        <f t="array" ref="G9">IF($F$6="Historic Calendar Year",IFERROR(AVERAGE(IF($F9=YEAR('Commodity Prices'!C$100:C$1000),'Commodity Prices'!D$100:D$1000)),"NA"),IFERROR(IF(H9=0,"NA",H9),"NA"))</f>
        <v>199.42451208219322</v>
      </c>
      <c r="H9">
        <f>(SUMIFS('Commodity Prices'!$D$9:$D$2500,'Commodity Prices'!$A$9:$A$2500,'Alumina - Prices'!D9,'Commodity Prices'!$B$9:$B$2500,3)+
SUMIFS('Commodity Prices'!$D$9:$D$2500,'Commodity Prices'!$A$9:$A$2500,'Alumina - Prices'!D9,'Commodity Prices'!$B$9:$B$2500,4)+
SUMIFS('Commodity Prices'!$D$9:$D$2500,'Commodity Prices'!$A$9:$A$2500,'Alumina - Prices'!E9,'Commodity Prices'!$B$9:$B$2500,1)+
SUMIFS('Commodity Prices'!$D$9:$D$2500,'Commodity Prices'!$A$9:$A$2500,'Alumina - Prices'!E9,'Commodity Prices'!$B$9:$B$2500,2))
/(COUNTIFS('Commodity Prices'!$A$9:$A$2500,'Alumina - Prices'!D9,'Commodity Prices'!$B$9:$B$2500,3)+
COUNTIFS('Commodity Prices'!$A$9:$A$2500,'Alumina - Prices'!D9,'Commodity Prices'!$B$9:$B$2500,4)+
COUNTIFS('Commodity Prices'!$A$9:$A$2500,'Alumina - Prices'!E9,'Commodity Prices'!$B$9:$B$2500,1)+
COUNTIFS('Commodity Prices'!$A$9:$A$2500,'Alumina - Prices'!E9,'Commodity Prices'!$B$9:$B$2500,2))</f>
        <v>199.42451208219322</v>
      </c>
    </row>
    <row r="10" spans="1:26">
      <c r="A10" s="670">
        <f>LARGE('Commodity Prices'!C$159:C$902,58)</f>
        <v>42614</v>
      </c>
      <c r="B10" s="724">
        <f>SUMIF('Commodity Prices'!C$159:C$902,A10,'Commodity Prices'!D$159:D$902)</f>
        <v>306.11480138035</v>
      </c>
      <c r="C10" s="10"/>
      <c r="D10" s="128">
        <f t="shared" ref="D10:D42" si="1">D9+1</f>
        <v>1988</v>
      </c>
      <c r="E10" s="128">
        <f t="shared" ref="E10:E42" si="2">E9+1</f>
        <v>1989</v>
      </c>
      <c r="F10" s="698" t="str">
        <f t="shared" si="0"/>
        <v>1988-89</v>
      </c>
      <c r="G10" s="724">
        <f t="array" ref="G10">IF($F$6="Historic Calendar Year",IFERROR(AVERAGE(IF($F10=YEAR('Commodity Prices'!C$100:C$1000),'Commodity Prices'!D$100:D$1000)),"NA"),IFERROR(IF(H10=0,"NA",H10),"NA"))</f>
        <v>268.61833333333334</v>
      </c>
      <c r="H10">
        <f>(SUMIFS('Commodity Prices'!$D$9:$D$2500,'Commodity Prices'!$A$9:$A$2500,'Alumina - Prices'!D10,'Commodity Prices'!$B$9:$B$2500,3)+
SUMIFS('Commodity Prices'!$D$9:$D$2500,'Commodity Prices'!$A$9:$A$2500,'Alumina - Prices'!D10,'Commodity Prices'!$B$9:$B$2500,4)+
SUMIFS('Commodity Prices'!$D$9:$D$2500,'Commodity Prices'!$A$9:$A$2500,'Alumina - Prices'!E10,'Commodity Prices'!$B$9:$B$2500,1)+
SUMIFS('Commodity Prices'!$D$9:$D$2500,'Commodity Prices'!$A$9:$A$2500,'Alumina - Prices'!E10,'Commodity Prices'!$B$9:$B$2500,2))
/(COUNTIFS('Commodity Prices'!$A$9:$A$2500,'Alumina - Prices'!D10,'Commodity Prices'!$B$9:$B$2500,3)+
COUNTIFS('Commodity Prices'!$A$9:$A$2500,'Alumina - Prices'!D10,'Commodity Prices'!$B$9:$B$2500,4)+
COUNTIFS('Commodity Prices'!$A$9:$A$2500,'Alumina - Prices'!E10,'Commodity Prices'!$B$9:$B$2500,1)+
COUNTIFS('Commodity Prices'!$A$9:$A$2500,'Alumina - Prices'!E10,'Commodity Prices'!$B$9:$B$2500,2))</f>
        <v>268.61833333333334</v>
      </c>
    </row>
    <row r="11" spans="1:26">
      <c r="A11" s="671">
        <f>LARGE('Commodity Prices'!C$159:C$902,57)</f>
        <v>42644</v>
      </c>
      <c r="B11" s="723">
        <f>SUMIF('Commodity Prices'!C$159:C$902,A11,'Commodity Prices'!D$159:D$902)</f>
        <v>301.89505520427042</v>
      </c>
      <c r="C11" s="10"/>
      <c r="D11" s="128">
        <f t="shared" si="1"/>
        <v>1989</v>
      </c>
      <c r="E11" s="128">
        <f t="shared" si="2"/>
        <v>1990</v>
      </c>
      <c r="F11" s="697" t="str">
        <f t="shared" si="0"/>
        <v>1989-90</v>
      </c>
      <c r="G11" s="723">
        <f t="array" ref="G11">IF($F$6="Historic Calendar Year",IFERROR(AVERAGE(IF($F11=YEAR('Commodity Prices'!C$100:C$1000),'Commodity Prices'!D$100:D$1000)),"NA"),IFERROR(IF(H11=0,"NA",H11),"NA"))</f>
        <v>329.86166666666668</v>
      </c>
      <c r="H11">
        <f>(SUMIFS('Commodity Prices'!$D$9:$D$2500,'Commodity Prices'!$A$9:$A$2500,'Alumina - Prices'!D11,'Commodity Prices'!$B$9:$B$2500,3)+
SUMIFS('Commodity Prices'!$D$9:$D$2500,'Commodity Prices'!$A$9:$A$2500,'Alumina - Prices'!D11,'Commodity Prices'!$B$9:$B$2500,4)+
SUMIFS('Commodity Prices'!$D$9:$D$2500,'Commodity Prices'!$A$9:$A$2500,'Alumina - Prices'!E11,'Commodity Prices'!$B$9:$B$2500,1)+
SUMIFS('Commodity Prices'!$D$9:$D$2500,'Commodity Prices'!$A$9:$A$2500,'Alumina - Prices'!E11,'Commodity Prices'!$B$9:$B$2500,2))
/(COUNTIFS('Commodity Prices'!$A$9:$A$2500,'Alumina - Prices'!D11,'Commodity Prices'!$B$9:$B$2500,3)+
COUNTIFS('Commodity Prices'!$A$9:$A$2500,'Alumina - Prices'!D11,'Commodity Prices'!$B$9:$B$2500,4)+
COUNTIFS('Commodity Prices'!$A$9:$A$2500,'Alumina - Prices'!E11,'Commodity Prices'!$B$9:$B$2500,1)+
COUNTIFS('Commodity Prices'!$A$9:$A$2500,'Alumina - Prices'!E11,'Commodity Prices'!$B$9:$B$2500,2))</f>
        <v>329.86166666666668</v>
      </c>
    </row>
    <row r="12" spans="1:26">
      <c r="A12" s="670">
        <f>LARGE('Commodity Prices'!C$159:C$902,56)</f>
        <v>42675</v>
      </c>
      <c r="B12" s="724">
        <f>SUMIF('Commodity Prices'!C$159:C$902,A12,'Commodity Prices'!D$159:D$902)</f>
        <v>340.72033058599879</v>
      </c>
      <c r="C12" s="10"/>
      <c r="D12" s="128">
        <f t="shared" si="1"/>
        <v>1990</v>
      </c>
      <c r="E12" s="128">
        <f t="shared" si="2"/>
        <v>1991</v>
      </c>
      <c r="F12" s="698" t="str">
        <f t="shared" si="0"/>
        <v>1990-91</v>
      </c>
      <c r="G12" s="724">
        <f t="array" ref="G12">IF($F$6="Historic Calendar Year",IFERROR(AVERAGE(IF($F12=YEAR('Commodity Prices'!C$100:C$1000),'Commodity Prices'!D$100:D$1000)),"NA"),IFERROR(IF(H12=0,"NA",H12),"NA"))</f>
        <v>307.38749999999999</v>
      </c>
      <c r="H12">
        <f>(SUMIFS('Commodity Prices'!$D$9:$D$2500,'Commodity Prices'!$A$9:$A$2500,'Alumina - Prices'!D12,'Commodity Prices'!$B$9:$B$2500,3)+
SUMIFS('Commodity Prices'!$D$9:$D$2500,'Commodity Prices'!$A$9:$A$2500,'Alumina - Prices'!D12,'Commodity Prices'!$B$9:$B$2500,4)+
SUMIFS('Commodity Prices'!$D$9:$D$2500,'Commodity Prices'!$A$9:$A$2500,'Alumina - Prices'!E12,'Commodity Prices'!$B$9:$B$2500,1)+
SUMIFS('Commodity Prices'!$D$9:$D$2500,'Commodity Prices'!$A$9:$A$2500,'Alumina - Prices'!E12,'Commodity Prices'!$B$9:$B$2500,2))
/(COUNTIFS('Commodity Prices'!$A$9:$A$2500,'Alumina - Prices'!D12,'Commodity Prices'!$B$9:$B$2500,3)+
COUNTIFS('Commodity Prices'!$A$9:$A$2500,'Alumina - Prices'!D12,'Commodity Prices'!$B$9:$B$2500,4)+
COUNTIFS('Commodity Prices'!$A$9:$A$2500,'Alumina - Prices'!E12,'Commodity Prices'!$B$9:$B$2500,1)+
COUNTIFS('Commodity Prices'!$A$9:$A$2500,'Alumina - Prices'!E12,'Commodity Prices'!$B$9:$B$2500,2))</f>
        <v>307.38749999999999</v>
      </c>
    </row>
    <row r="13" spans="1:26">
      <c r="A13" s="671">
        <f>LARGE('Commodity Prices'!C$159:C$902,55)</f>
        <v>42705</v>
      </c>
      <c r="B13" s="723">
        <f>SUMIF('Commodity Prices'!C$159:C$902,A13,'Commodity Prices'!D$159:D$902)</f>
        <v>389.74708282516639</v>
      </c>
      <c r="C13" s="10"/>
      <c r="D13" s="128">
        <f t="shared" si="1"/>
        <v>1991</v>
      </c>
      <c r="E13" s="128">
        <f t="shared" si="2"/>
        <v>1992</v>
      </c>
      <c r="F13" s="697" t="str">
        <f t="shared" si="0"/>
        <v>1991-92</v>
      </c>
      <c r="G13" s="723">
        <f t="array" ref="G13">IF($F$6="Historic Calendar Year",IFERROR(AVERAGE(IF($F13=YEAR('Commodity Prices'!C$100:C$1000),'Commodity Prices'!D$100:D$1000)),"NA"),IFERROR(IF(H13=0,"NA",H13),"NA"))</f>
        <v>242.09</v>
      </c>
      <c r="H13">
        <f>(SUMIFS('Commodity Prices'!$D$9:$D$2500,'Commodity Prices'!$A$9:$A$2500,'Alumina - Prices'!D13,'Commodity Prices'!$B$9:$B$2500,3)+
SUMIFS('Commodity Prices'!$D$9:$D$2500,'Commodity Prices'!$A$9:$A$2500,'Alumina - Prices'!D13,'Commodity Prices'!$B$9:$B$2500,4)+
SUMIFS('Commodity Prices'!$D$9:$D$2500,'Commodity Prices'!$A$9:$A$2500,'Alumina - Prices'!E13,'Commodity Prices'!$B$9:$B$2500,1)+
SUMIFS('Commodity Prices'!$D$9:$D$2500,'Commodity Prices'!$A$9:$A$2500,'Alumina - Prices'!E13,'Commodity Prices'!$B$9:$B$2500,2))
/(COUNTIFS('Commodity Prices'!$A$9:$A$2500,'Alumina - Prices'!D13,'Commodity Prices'!$B$9:$B$2500,3)+
COUNTIFS('Commodity Prices'!$A$9:$A$2500,'Alumina - Prices'!D13,'Commodity Prices'!$B$9:$B$2500,4)+
COUNTIFS('Commodity Prices'!$A$9:$A$2500,'Alumina - Prices'!E13,'Commodity Prices'!$B$9:$B$2500,1)+
COUNTIFS('Commodity Prices'!$A$9:$A$2500,'Alumina - Prices'!E13,'Commodity Prices'!$B$9:$B$2500,2))</f>
        <v>242.09</v>
      </c>
    </row>
    <row r="14" spans="1:26">
      <c r="A14" s="670">
        <f>LARGE('Commodity Prices'!C$159:C$902,54)</f>
        <v>42736</v>
      </c>
      <c r="B14" s="724">
        <f>SUMIF('Commodity Prices'!C$159:C$902,A14,'Commodity Prices'!D$159:D$902)</f>
        <v>432.42348666291423</v>
      </c>
      <c r="C14" s="10"/>
      <c r="D14" s="128">
        <f t="shared" si="1"/>
        <v>1992</v>
      </c>
      <c r="E14" s="128">
        <f t="shared" si="2"/>
        <v>1993</v>
      </c>
      <c r="F14" s="698" t="str">
        <f t="shared" si="0"/>
        <v>1992-93</v>
      </c>
      <c r="G14" s="724">
        <f t="array" ref="G14">IF($F$6="Historic Calendar Year",IFERROR(AVERAGE(IF($F14=YEAR('Commodity Prices'!C$100:C$1000),'Commodity Prices'!D$100:D$1000)),"NA"),IFERROR(IF(H14=0,"NA",H14),"NA"))</f>
        <v>242.42166666666665</v>
      </c>
      <c r="H14">
        <f>(SUMIFS('Commodity Prices'!$D$9:$D$2500,'Commodity Prices'!$A$9:$A$2500,'Alumina - Prices'!D14,'Commodity Prices'!$B$9:$B$2500,3)+
SUMIFS('Commodity Prices'!$D$9:$D$2500,'Commodity Prices'!$A$9:$A$2500,'Alumina - Prices'!D14,'Commodity Prices'!$B$9:$B$2500,4)+
SUMIFS('Commodity Prices'!$D$9:$D$2500,'Commodity Prices'!$A$9:$A$2500,'Alumina - Prices'!E14,'Commodity Prices'!$B$9:$B$2500,1)+
SUMIFS('Commodity Prices'!$D$9:$D$2500,'Commodity Prices'!$A$9:$A$2500,'Alumina - Prices'!E14,'Commodity Prices'!$B$9:$B$2500,2))
/(COUNTIFS('Commodity Prices'!$A$9:$A$2500,'Alumina - Prices'!D14,'Commodity Prices'!$B$9:$B$2500,3)+
COUNTIFS('Commodity Prices'!$A$9:$A$2500,'Alumina - Prices'!D14,'Commodity Prices'!$B$9:$B$2500,4)+
COUNTIFS('Commodity Prices'!$A$9:$A$2500,'Alumina - Prices'!E14,'Commodity Prices'!$B$9:$B$2500,1)+
COUNTIFS('Commodity Prices'!$A$9:$A$2500,'Alumina - Prices'!E14,'Commodity Prices'!$B$9:$B$2500,2))</f>
        <v>242.42166666666665</v>
      </c>
    </row>
    <row r="15" spans="1:26">
      <c r="A15" s="671">
        <f>LARGE('Commodity Prices'!C$159:C$902,53)</f>
        <v>42767</v>
      </c>
      <c r="B15" s="723">
        <f>SUMIF('Commodity Prices'!C$159:C$902,A15,'Commodity Prices'!D$159:D$902)</f>
        <v>403.19054536166158</v>
      </c>
      <c r="C15" s="10"/>
      <c r="D15" s="128">
        <f t="shared" si="1"/>
        <v>1993</v>
      </c>
      <c r="E15" s="128">
        <f t="shared" si="2"/>
        <v>1994</v>
      </c>
      <c r="F15" s="697" t="str">
        <f t="shared" si="0"/>
        <v>1993-94</v>
      </c>
      <c r="G15" s="723">
        <f t="array" ref="G15">IF($F$6="Historic Calendar Year",IFERROR(AVERAGE(IF($F15=YEAR('Commodity Prices'!C$100:C$1000),'Commodity Prices'!D$100:D$1000)),"NA"),IFERROR(IF(H15=0,"NA",H15),"NA"))</f>
        <v>225.2558333333333</v>
      </c>
      <c r="H15">
        <f>(SUMIFS('Commodity Prices'!$D$9:$D$2500,'Commodity Prices'!$A$9:$A$2500,'Alumina - Prices'!D15,'Commodity Prices'!$B$9:$B$2500,3)+
SUMIFS('Commodity Prices'!$D$9:$D$2500,'Commodity Prices'!$A$9:$A$2500,'Alumina - Prices'!D15,'Commodity Prices'!$B$9:$B$2500,4)+
SUMIFS('Commodity Prices'!$D$9:$D$2500,'Commodity Prices'!$A$9:$A$2500,'Alumina - Prices'!E15,'Commodity Prices'!$B$9:$B$2500,1)+
SUMIFS('Commodity Prices'!$D$9:$D$2500,'Commodity Prices'!$A$9:$A$2500,'Alumina - Prices'!E15,'Commodity Prices'!$B$9:$B$2500,2))
/(COUNTIFS('Commodity Prices'!$A$9:$A$2500,'Alumina - Prices'!D15,'Commodity Prices'!$B$9:$B$2500,3)+
COUNTIFS('Commodity Prices'!$A$9:$A$2500,'Alumina - Prices'!D15,'Commodity Prices'!$B$9:$B$2500,4)+
COUNTIFS('Commodity Prices'!$A$9:$A$2500,'Alumina - Prices'!E15,'Commodity Prices'!$B$9:$B$2500,1)+
COUNTIFS('Commodity Prices'!$A$9:$A$2500,'Alumina - Prices'!E15,'Commodity Prices'!$B$9:$B$2500,2))</f>
        <v>225.2558333333333</v>
      </c>
    </row>
    <row r="16" spans="1:26">
      <c r="A16" s="670">
        <f>LARGE('Commodity Prices'!C$159:C$902,52)</f>
        <v>42795</v>
      </c>
      <c r="B16" s="724">
        <f>SUMIF('Commodity Prices'!C$159:C$902,A16,'Commodity Prices'!D$159:D$902)</f>
        <v>427.91088146993945</v>
      </c>
      <c r="C16" s="10"/>
      <c r="D16" s="128">
        <f t="shared" si="1"/>
        <v>1994</v>
      </c>
      <c r="E16" s="128">
        <f t="shared" si="2"/>
        <v>1995</v>
      </c>
      <c r="F16" s="698" t="str">
        <f t="shared" si="0"/>
        <v>1994-95</v>
      </c>
      <c r="G16" s="724">
        <f t="array" ref="G16">IF($F$6="Historic Calendar Year",IFERROR(AVERAGE(IF($F16=YEAR('Commodity Prices'!C$100:C$1000),'Commodity Prices'!D$100:D$1000)),"NA"),IFERROR(IF(H16=0,"NA",H16),"NA"))</f>
        <v>216.24</v>
      </c>
      <c r="H16">
        <f>(SUMIFS('Commodity Prices'!$D$9:$D$2500,'Commodity Prices'!$A$9:$A$2500,'Alumina - Prices'!D16,'Commodity Prices'!$B$9:$B$2500,3)+
SUMIFS('Commodity Prices'!$D$9:$D$2500,'Commodity Prices'!$A$9:$A$2500,'Alumina - Prices'!D16,'Commodity Prices'!$B$9:$B$2500,4)+
SUMIFS('Commodity Prices'!$D$9:$D$2500,'Commodity Prices'!$A$9:$A$2500,'Alumina - Prices'!E16,'Commodity Prices'!$B$9:$B$2500,1)+
SUMIFS('Commodity Prices'!$D$9:$D$2500,'Commodity Prices'!$A$9:$A$2500,'Alumina - Prices'!E16,'Commodity Prices'!$B$9:$B$2500,2))
/(COUNTIFS('Commodity Prices'!$A$9:$A$2500,'Alumina - Prices'!D16,'Commodity Prices'!$B$9:$B$2500,3)+
COUNTIFS('Commodity Prices'!$A$9:$A$2500,'Alumina - Prices'!D16,'Commodity Prices'!$B$9:$B$2500,4)+
COUNTIFS('Commodity Prices'!$A$9:$A$2500,'Alumina - Prices'!E16,'Commodity Prices'!$B$9:$B$2500,1)+
COUNTIFS('Commodity Prices'!$A$9:$A$2500,'Alumina - Prices'!E16,'Commodity Prices'!$B$9:$B$2500,2))</f>
        <v>216.24</v>
      </c>
    </row>
    <row r="17" spans="1:20">
      <c r="A17" s="671">
        <f>LARGE('Commodity Prices'!C$159:C$902,51)</f>
        <v>42826</v>
      </c>
      <c r="B17" s="723">
        <f>SUMIF('Commodity Prices'!C$159:C$902,A17,'Commodity Prices'!D$159:D$902)</f>
        <v>413.89639603114728</v>
      </c>
      <c r="C17" s="10"/>
      <c r="D17" s="128">
        <f t="shared" si="1"/>
        <v>1995</v>
      </c>
      <c r="E17" s="128">
        <f t="shared" si="2"/>
        <v>1996</v>
      </c>
      <c r="F17" s="697" t="str">
        <f t="shared" si="0"/>
        <v>1995-96</v>
      </c>
      <c r="G17" s="723">
        <f t="array" ref="G17">IF($F$6="Historic Calendar Year",IFERROR(AVERAGE(IF($F17=YEAR('Commodity Prices'!C$100:C$1000),'Commodity Prices'!D$100:D$1000)),"NA"),IFERROR(IF(H17=0,"NA",H17),"NA"))</f>
        <v>247.58833333333334</v>
      </c>
      <c r="H17">
        <f>(SUMIFS('Commodity Prices'!$D$9:$D$2500,'Commodity Prices'!$A$9:$A$2500,'Alumina - Prices'!D17,'Commodity Prices'!$B$9:$B$2500,3)+
SUMIFS('Commodity Prices'!$D$9:$D$2500,'Commodity Prices'!$A$9:$A$2500,'Alumina - Prices'!D17,'Commodity Prices'!$B$9:$B$2500,4)+
SUMIFS('Commodity Prices'!$D$9:$D$2500,'Commodity Prices'!$A$9:$A$2500,'Alumina - Prices'!E17,'Commodity Prices'!$B$9:$B$2500,1)+
SUMIFS('Commodity Prices'!$D$9:$D$2500,'Commodity Prices'!$A$9:$A$2500,'Alumina - Prices'!E17,'Commodity Prices'!$B$9:$B$2500,2))
/(COUNTIFS('Commodity Prices'!$A$9:$A$2500,'Alumina - Prices'!D17,'Commodity Prices'!$B$9:$B$2500,3)+
COUNTIFS('Commodity Prices'!$A$9:$A$2500,'Alumina - Prices'!D17,'Commodity Prices'!$B$9:$B$2500,4)+
COUNTIFS('Commodity Prices'!$A$9:$A$2500,'Alumina - Prices'!E17,'Commodity Prices'!$B$9:$B$2500,1)+
COUNTIFS('Commodity Prices'!$A$9:$A$2500,'Alumina - Prices'!E17,'Commodity Prices'!$B$9:$B$2500,2))</f>
        <v>247.58833333333334</v>
      </c>
    </row>
    <row r="18" spans="1:20">
      <c r="A18" s="670">
        <f>LARGE('Commodity Prices'!C$159:C$902,50)</f>
        <v>42856</v>
      </c>
      <c r="B18" s="724">
        <f>SUMIF('Commodity Prices'!C$159:C$902,A18,'Commodity Prices'!D$159:D$902)</f>
        <v>404.56430605252069</v>
      </c>
      <c r="C18" s="10"/>
      <c r="D18" s="128">
        <f t="shared" si="1"/>
        <v>1996</v>
      </c>
      <c r="E18" s="128">
        <f t="shared" si="2"/>
        <v>1997</v>
      </c>
      <c r="F18" s="698" t="str">
        <f t="shared" si="0"/>
        <v>1996-97</v>
      </c>
      <c r="G18" s="724">
        <f t="array" ref="G18">IF($F$6="Historic Calendar Year",IFERROR(AVERAGE(IF($F18=YEAR('Commodity Prices'!C$100:C$1000),'Commodity Prices'!D$100:D$1000)),"NA"),IFERROR(IF(H18=0,"NA",H18),"NA"))</f>
        <v>236.29166666666666</v>
      </c>
      <c r="H18">
        <f>(SUMIFS('Commodity Prices'!$D$9:$D$2500,'Commodity Prices'!$A$9:$A$2500,'Alumina - Prices'!D18,'Commodity Prices'!$B$9:$B$2500,3)+
SUMIFS('Commodity Prices'!$D$9:$D$2500,'Commodity Prices'!$A$9:$A$2500,'Alumina - Prices'!D18,'Commodity Prices'!$B$9:$B$2500,4)+
SUMIFS('Commodity Prices'!$D$9:$D$2500,'Commodity Prices'!$A$9:$A$2500,'Alumina - Prices'!E18,'Commodity Prices'!$B$9:$B$2500,1)+
SUMIFS('Commodity Prices'!$D$9:$D$2500,'Commodity Prices'!$A$9:$A$2500,'Alumina - Prices'!E18,'Commodity Prices'!$B$9:$B$2500,2))
/(COUNTIFS('Commodity Prices'!$A$9:$A$2500,'Alumina - Prices'!D18,'Commodity Prices'!$B$9:$B$2500,3)+
COUNTIFS('Commodity Prices'!$A$9:$A$2500,'Alumina - Prices'!D18,'Commodity Prices'!$B$9:$B$2500,4)+
COUNTIFS('Commodity Prices'!$A$9:$A$2500,'Alumina - Prices'!E18,'Commodity Prices'!$B$9:$B$2500,1)+
COUNTIFS('Commodity Prices'!$A$9:$A$2500,'Alumina - Prices'!E18,'Commodity Prices'!$B$9:$B$2500,2))</f>
        <v>236.29166666666666</v>
      </c>
      <c r="S18" s="165"/>
    </row>
    <row r="19" spans="1:20">
      <c r="A19" s="671">
        <f>LARGE('Commodity Prices'!C$159:C$902,49)</f>
        <v>42887</v>
      </c>
      <c r="B19" s="723">
        <f>SUMIF('Commodity Prices'!C$159:C$902,A19,'Commodity Prices'!D$159:D$902)</f>
        <v>364.85176877963738</v>
      </c>
      <c r="C19" s="10"/>
      <c r="D19" s="128">
        <f t="shared" si="1"/>
        <v>1997</v>
      </c>
      <c r="E19" s="128">
        <f t="shared" si="2"/>
        <v>1998</v>
      </c>
      <c r="F19" s="697" t="str">
        <f t="shared" si="0"/>
        <v>1997-98</v>
      </c>
      <c r="G19" s="723">
        <f t="array" ref="G19">IF($F$6="Historic Calendar Year",IFERROR(AVERAGE(IF($F19=YEAR('Commodity Prices'!C$100:C$1000),'Commodity Prices'!D$100:D$1000)),"NA"),IFERROR(IF(H19=0,"NA",H19),"NA"))</f>
        <v>275.25154233905607</v>
      </c>
      <c r="H19">
        <f>(SUMIFS('Commodity Prices'!$D$9:$D$2500,'Commodity Prices'!$A$9:$A$2500,'Alumina - Prices'!D19,'Commodity Prices'!$B$9:$B$2500,3)+
SUMIFS('Commodity Prices'!$D$9:$D$2500,'Commodity Prices'!$A$9:$A$2500,'Alumina - Prices'!D19,'Commodity Prices'!$B$9:$B$2500,4)+
SUMIFS('Commodity Prices'!$D$9:$D$2500,'Commodity Prices'!$A$9:$A$2500,'Alumina - Prices'!E19,'Commodity Prices'!$B$9:$B$2500,1)+
SUMIFS('Commodity Prices'!$D$9:$D$2500,'Commodity Prices'!$A$9:$A$2500,'Alumina - Prices'!E19,'Commodity Prices'!$B$9:$B$2500,2))
/(COUNTIFS('Commodity Prices'!$A$9:$A$2500,'Alumina - Prices'!D19,'Commodity Prices'!$B$9:$B$2500,3)+
COUNTIFS('Commodity Prices'!$A$9:$A$2500,'Alumina - Prices'!D19,'Commodity Prices'!$B$9:$B$2500,4)+
COUNTIFS('Commodity Prices'!$A$9:$A$2500,'Alumina - Prices'!E19,'Commodity Prices'!$B$9:$B$2500,1)+
COUNTIFS('Commodity Prices'!$A$9:$A$2500,'Alumina - Prices'!E19,'Commodity Prices'!$B$9:$B$2500,2))</f>
        <v>275.25154233905607</v>
      </c>
    </row>
    <row r="20" spans="1:20">
      <c r="A20" s="670">
        <f>LARGE('Commodity Prices'!C$159:C$902,48)</f>
        <v>42917</v>
      </c>
      <c r="B20" s="724">
        <f>SUMIF('Commodity Prices'!C$159:C$902,A20,'Commodity Prices'!D$159:D$902)</f>
        <v>381.89378007066256</v>
      </c>
      <c r="C20" s="10"/>
      <c r="D20" s="128">
        <f t="shared" si="1"/>
        <v>1998</v>
      </c>
      <c r="E20" s="128">
        <f t="shared" si="2"/>
        <v>1999</v>
      </c>
      <c r="F20" s="698" t="str">
        <f t="shared" si="0"/>
        <v>1998-99</v>
      </c>
      <c r="G20" s="724">
        <f t="array" ref="G20">IF($F$6="Historic Calendar Year",IFERROR(AVERAGE(IF($F20=YEAR('Commodity Prices'!C$100:C$1000),'Commodity Prices'!D$100:D$1000)),"NA"),IFERROR(IF(H20=0,"NA",H20),"NA"))</f>
        <v>265.33234548247867</v>
      </c>
      <c r="H20">
        <f>(SUMIFS('Commodity Prices'!$D$9:$D$2500,'Commodity Prices'!$A$9:$A$2500,'Alumina - Prices'!D20,'Commodity Prices'!$B$9:$B$2500,3)+
SUMIFS('Commodity Prices'!$D$9:$D$2500,'Commodity Prices'!$A$9:$A$2500,'Alumina - Prices'!D20,'Commodity Prices'!$B$9:$B$2500,4)+
SUMIFS('Commodity Prices'!$D$9:$D$2500,'Commodity Prices'!$A$9:$A$2500,'Alumina - Prices'!E20,'Commodity Prices'!$B$9:$B$2500,1)+
SUMIFS('Commodity Prices'!$D$9:$D$2500,'Commodity Prices'!$A$9:$A$2500,'Alumina - Prices'!E20,'Commodity Prices'!$B$9:$B$2500,2))
/(COUNTIFS('Commodity Prices'!$A$9:$A$2500,'Alumina - Prices'!D20,'Commodity Prices'!$B$9:$B$2500,3)+
COUNTIFS('Commodity Prices'!$A$9:$A$2500,'Alumina - Prices'!D20,'Commodity Prices'!$B$9:$B$2500,4)+
COUNTIFS('Commodity Prices'!$A$9:$A$2500,'Alumina - Prices'!E20,'Commodity Prices'!$B$9:$B$2500,1)+
COUNTIFS('Commodity Prices'!$A$9:$A$2500,'Alumina - Prices'!E20,'Commodity Prices'!$B$9:$B$2500,2))</f>
        <v>265.33234548247867</v>
      </c>
    </row>
    <row r="21" spans="1:20">
      <c r="A21" s="671">
        <f>LARGE('Commodity Prices'!C$159:C$902,47)</f>
        <v>42948</v>
      </c>
      <c r="B21" s="723">
        <f>SUMIF('Commodity Prices'!C$159:C$902,A21,'Commodity Prices'!D$159:D$902)</f>
        <v>368.55134951417369</v>
      </c>
      <c r="C21" s="10"/>
      <c r="D21" s="128">
        <f t="shared" si="1"/>
        <v>1999</v>
      </c>
      <c r="E21" s="128">
        <f t="shared" si="2"/>
        <v>2000</v>
      </c>
      <c r="F21" s="697" t="str">
        <f t="shared" si="0"/>
        <v>1999-00</v>
      </c>
      <c r="G21" s="723">
        <f t="array" ref="G21">IF($F$6="Historic Calendar Year",IFERROR(AVERAGE(IF($F21=YEAR('Commodity Prices'!C$100:C$1000),'Commodity Prices'!D$100:D$1000)),"NA"),IFERROR(IF(H21=0,"NA",H21),"NA"))</f>
        <v>300.04666666666668</v>
      </c>
      <c r="H21">
        <f>(SUMIFS('Commodity Prices'!$D$9:$D$2500,'Commodity Prices'!$A$9:$A$2500,'Alumina - Prices'!D21,'Commodity Prices'!$B$9:$B$2500,3)+
SUMIFS('Commodity Prices'!$D$9:$D$2500,'Commodity Prices'!$A$9:$A$2500,'Alumina - Prices'!D21,'Commodity Prices'!$B$9:$B$2500,4)+
SUMIFS('Commodity Prices'!$D$9:$D$2500,'Commodity Prices'!$A$9:$A$2500,'Alumina - Prices'!E21,'Commodity Prices'!$B$9:$B$2500,1)+
SUMIFS('Commodity Prices'!$D$9:$D$2500,'Commodity Prices'!$A$9:$A$2500,'Alumina - Prices'!E21,'Commodity Prices'!$B$9:$B$2500,2))
/(COUNTIFS('Commodity Prices'!$A$9:$A$2500,'Alumina - Prices'!D21,'Commodity Prices'!$B$9:$B$2500,3)+
COUNTIFS('Commodity Prices'!$A$9:$A$2500,'Alumina - Prices'!D21,'Commodity Prices'!$B$9:$B$2500,4)+
COUNTIFS('Commodity Prices'!$A$9:$A$2500,'Alumina - Prices'!E21,'Commodity Prices'!$B$9:$B$2500,1)+
COUNTIFS('Commodity Prices'!$A$9:$A$2500,'Alumina - Prices'!E21,'Commodity Prices'!$B$9:$B$2500,2))</f>
        <v>300.04666666666668</v>
      </c>
    </row>
    <row r="22" spans="1:20">
      <c r="A22" s="670">
        <f>LARGE('Commodity Prices'!C$159:C$902,46)</f>
        <v>42979</v>
      </c>
      <c r="B22" s="724">
        <f>SUMIF('Commodity Prices'!C$159:C$902,A22,'Commodity Prices'!D$159:D$902)</f>
        <v>389.32141600849513</v>
      </c>
      <c r="C22" s="10"/>
      <c r="D22" s="128">
        <f t="shared" si="1"/>
        <v>2000</v>
      </c>
      <c r="E22" s="128">
        <f t="shared" si="2"/>
        <v>2001</v>
      </c>
      <c r="F22" s="698" t="str">
        <f t="shared" si="0"/>
        <v>2000-01</v>
      </c>
      <c r="G22" s="724">
        <f t="array" ref="G22">IF($F$6="Historic Calendar Year",IFERROR(AVERAGE(IF($F22=YEAR('Commodity Prices'!C$100:C$1000),'Commodity Prices'!D$100:D$1000)),"NA"),IFERROR(IF(H22=0,"NA",H22),"NA"))</f>
        <v>357.12916666666661</v>
      </c>
      <c r="H22">
        <f>(SUMIFS('Commodity Prices'!$D$9:$D$2500,'Commodity Prices'!$A$9:$A$2500,'Alumina - Prices'!D22,'Commodity Prices'!$B$9:$B$2500,3)+
SUMIFS('Commodity Prices'!$D$9:$D$2500,'Commodity Prices'!$A$9:$A$2500,'Alumina - Prices'!D22,'Commodity Prices'!$B$9:$B$2500,4)+
SUMIFS('Commodity Prices'!$D$9:$D$2500,'Commodity Prices'!$A$9:$A$2500,'Alumina - Prices'!E22,'Commodity Prices'!$B$9:$B$2500,1)+
SUMIFS('Commodity Prices'!$D$9:$D$2500,'Commodity Prices'!$A$9:$A$2500,'Alumina - Prices'!E22,'Commodity Prices'!$B$9:$B$2500,2))
/(COUNTIFS('Commodity Prices'!$A$9:$A$2500,'Alumina - Prices'!D22,'Commodity Prices'!$B$9:$B$2500,3)+
COUNTIFS('Commodity Prices'!$A$9:$A$2500,'Alumina - Prices'!D22,'Commodity Prices'!$B$9:$B$2500,4)+
COUNTIFS('Commodity Prices'!$A$9:$A$2500,'Alumina - Prices'!E22,'Commodity Prices'!$B$9:$B$2500,1)+
COUNTIFS('Commodity Prices'!$A$9:$A$2500,'Alumina - Prices'!E22,'Commodity Prices'!$B$9:$B$2500,2))</f>
        <v>357.12916666666661</v>
      </c>
      <c r="T22" s="169"/>
    </row>
    <row r="23" spans="1:20">
      <c r="A23" s="671">
        <f>LARGE('Commodity Prices'!C$159:C$902,45)</f>
        <v>43009</v>
      </c>
      <c r="B23" s="723">
        <f>SUMIF('Commodity Prices'!C$159:C$902,A23,'Commodity Prices'!D$159:D$902)</f>
        <v>441.99328511996094</v>
      </c>
      <c r="C23" s="10"/>
      <c r="D23" s="128">
        <f t="shared" si="1"/>
        <v>2001</v>
      </c>
      <c r="E23" s="128">
        <f t="shared" si="2"/>
        <v>2002</v>
      </c>
      <c r="F23" s="697" t="str">
        <f t="shared" si="0"/>
        <v>2001-02</v>
      </c>
      <c r="G23" s="723">
        <f t="array" ref="G23">IF($F$6="Historic Calendar Year",IFERROR(AVERAGE(IF($F23=YEAR('Commodity Prices'!C$100:C$1000),'Commodity Prices'!D$100:D$1000)),"NA"),IFERROR(IF(H23=0,"NA",H23),"NA"))</f>
        <v>314.74083333333334</v>
      </c>
      <c r="H23">
        <f>(SUMIFS('Commodity Prices'!$D$9:$D$2500,'Commodity Prices'!$A$9:$A$2500,'Alumina - Prices'!D23,'Commodity Prices'!$B$9:$B$2500,3)+
SUMIFS('Commodity Prices'!$D$9:$D$2500,'Commodity Prices'!$A$9:$A$2500,'Alumina - Prices'!D23,'Commodity Prices'!$B$9:$B$2500,4)+
SUMIFS('Commodity Prices'!$D$9:$D$2500,'Commodity Prices'!$A$9:$A$2500,'Alumina - Prices'!E23,'Commodity Prices'!$B$9:$B$2500,1)+
SUMIFS('Commodity Prices'!$D$9:$D$2500,'Commodity Prices'!$A$9:$A$2500,'Alumina - Prices'!E23,'Commodity Prices'!$B$9:$B$2500,2))
/(COUNTIFS('Commodity Prices'!$A$9:$A$2500,'Alumina - Prices'!D23,'Commodity Prices'!$B$9:$B$2500,3)+
COUNTIFS('Commodity Prices'!$A$9:$A$2500,'Alumina - Prices'!D23,'Commodity Prices'!$B$9:$B$2500,4)+
COUNTIFS('Commodity Prices'!$A$9:$A$2500,'Alumina - Prices'!E23,'Commodity Prices'!$B$9:$B$2500,1)+
COUNTIFS('Commodity Prices'!$A$9:$A$2500,'Alumina - Prices'!E23,'Commodity Prices'!$B$9:$B$2500,2))</f>
        <v>314.74083333333334</v>
      </c>
    </row>
    <row r="24" spans="1:20">
      <c r="A24" s="670">
        <f>LARGE('Commodity Prices'!C$159:C$902,44)</f>
        <v>43040</v>
      </c>
      <c r="B24" s="724">
        <f>SUMIF('Commodity Prices'!C$159:C$902,A24,'Commodity Prices'!D$159:D$902)</f>
        <v>549.05556823551399</v>
      </c>
      <c r="C24" s="10"/>
      <c r="D24" s="128">
        <f t="shared" si="1"/>
        <v>2002</v>
      </c>
      <c r="E24" s="128">
        <f t="shared" si="2"/>
        <v>2003</v>
      </c>
      <c r="F24" s="698" t="str">
        <f t="shared" si="0"/>
        <v>2002-03</v>
      </c>
      <c r="G24" s="724">
        <f t="array" ref="G24">IF($F$6="Historic Calendar Year",IFERROR(AVERAGE(IF($F24=YEAR('Commodity Prices'!C$100:C$1000),'Commodity Prices'!D$100:D$1000)),"NA"),IFERROR(IF(H24=0,"NA",H24),"NA"))</f>
        <v>280.05083333333334</v>
      </c>
      <c r="H24">
        <f>(SUMIFS('Commodity Prices'!$D$9:$D$2500,'Commodity Prices'!$A$9:$A$2500,'Alumina - Prices'!D24,'Commodity Prices'!$B$9:$B$2500,3)+
SUMIFS('Commodity Prices'!$D$9:$D$2500,'Commodity Prices'!$A$9:$A$2500,'Alumina - Prices'!D24,'Commodity Prices'!$B$9:$B$2500,4)+
SUMIFS('Commodity Prices'!$D$9:$D$2500,'Commodity Prices'!$A$9:$A$2500,'Alumina - Prices'!E24,'Commodity Prices'!$B$9:$B$2500,1)+
SUMIFS('Commodity Prices'!$D$9:$D$2500,'Commodity Prices'!$A$9:$A$2500,'Alumina - Prices'!E24,'Commodity Prices'!$B$9:$B$2500,2))
/(COUNTIFS('Commodity Prices'!$A$9:$A$2500,'Alumina - Prices'!D24,'Commodity Prices'!$B$9:$B$2500,3)+
COUNTIFS('Commodity Prices'!$A$9:$A$2500,'Alumina - Prices'!D24,'Commodity Prices'!$B$9:$B$2500,4)+
COUNTIFS('Commodity Prices'!$A$9:$A$2500,'Alumina - Prices'!E24,'Commodity Prices'!$B$9:$B$2500,1)+
COUNTIFS('Commodity Prices'!$A$9:$A$2500,'Alumina - Prices'!E24,'Commodity Prices'!$B$9:$B$2500,2))</f>
        <v>280.05083333333334</v>
      </c>
    </row>
    <row r="25" spans="1:20">
      <c r="A25" s="604">
        <f>LARGE('Commodity Prices'!C$159:C$902,43)</f>
        <v>43070</v>
      </c>
      <c r="B25" s="723">
        <f>SUMIF('Commodity Prices'!C$159:C$902,A25,'Commodity Prices'!D$159:D$902)</f>
        <v>544.07852812361705</v>
      </c>
      <c r="C25" s="10"/>
      <c r="D25" s="128">
        <f t="shared" si="1"/>
        <v>2003</v>
      </c>
      <c r="E25" s="128">
        <f t="shared" si="2"/>
        <v>2004</v>
      </c>
      <c r="F25" s="697" t="str">
        <f t="shared" si="0"/>
        <v>2003-04</v>
      </c>
      <c r="G25" s="723">
        <f t="array" ref="G25">IF($F$6="Historic Calendar Year",IFERROR(AVERAGE(IF($F25=YEAR('Commodity Prices'!C$100:C$1000),'Commodity Prices'!D$100:D$1000)),"NA"),IFERROR(IF(H25=0,"NA",H25),"NA"))</f>
        <v>278.39132656708955</v>
      </c>
      <c r="H25">
        <f>(SUMIFS('Commodity Prices'!$D$9:$D$2500,'Commodity Prices'!$A$9:$A$2500,'Alumina - Prices'!D25,'Commodity Prices'!$B$9:$B$2500,3)+
SUMIFS('Commodity Prices'!$D$9:$D$2500,'Commodity Prices'!$A$9:$A$2500,'Alumina - Prices'!D25,'Commodity Prices'!$B$9:$B$2500,4)+
SUMIFS('Commodity Prices'!$D$9:$D$2500,'Commodity Prices'!$A$9:$A$2500,'Alumina - Prices'!E25,'Commodity Prices'!$B$9:$B$2500,1)+
SUMIFS('Commodity Prices'!$D$9:$D$2500,'Commodity Prices'!$A$9:$A$2500,'Alumina - Prices'!E25,'Commodity Prices'!$B$9:$B$2500,2))
/(COUNTIFS('Commodity Prices'!$A$9:$A$2500,'Alumina - Prices'!D25,'Commodity Prices'!$B$9:$B$2500,3)+
COUNTIFS('Commodity Prices'!$A$9:$A$2500,'Alumina - Prices'!D25,'Commodity Prices'!$B$9:$B$2500,4)+
COUNTIFS('Commodity Prices'!$A$9:$A$2500,'Alumina - Prices'!E25,'Commodity Prices'!$B$9:$B$2500,1)+
COUNTIFS('Commodity Prices'!$A$9:$A$2500,'Alumina - Prices'!E25,'Commodity Prices'!$B$9:$B$2500,2))</f>
        <v>278.39132656708955</v>
      </c>
    </row>
    <row r="26" spans="1:20">
      <c r="A26" s="603">
        <f>LARGE('Commodity Prices'!C$159:C$902,42)</f>
        <v>43101</v>
      </c>
      <c r="B26" s="724">
        <f>SUMIF('Commodity Prices'!C$159:C$902,A26,'Commodity Prices'!D$159:D$902)</f>
        <v>491.47742085733648</v>
      </c>
      <c r="C26" s="10"/>
      <c r="D26" s="128">
        <f t="shared" si="1"/>
        <v>2004</v>
      </c>
      <c r="E26" s="128">
        <f t="shared" si="2"/>
        <v>2005</v>
      </c>
      <c r="F26" s="698" t="str">
        <f t="shared" si="0"/>
        <v>2004-05</v>
      </c>
      <c r="G26" s="724">
        <f t="array" ref="G26">IF($F$6="Historic Calendar Year",IFERROR(AVERAGE(IF($F26=YEAR('Commodity Prices'!C$100:C$1000),'Commodity Prices'!D$100:D$1000)),"NA"),IFERROR(IF(H26=0,"NA",H26),"NA"))</f>
        <v>310.72246656655381</v>
      </c>
      <c r="H26">
        <f>(SUMIFS('Commodity Prices'!$D$9:$D$2500,'Commodity Prices'!$A$9:$A$2500,'Alumina - Prices'!D26,'Commodity Prices'!$B$9:$B$2500,3)+
SUMIFS('Commodity Prices'!$D$9:$D$2500,'Commodity Prices'!$A$9:$A$2500,'Alumina - Prices'!D26,'Commodity Prices'!$B$9:$B$2500,4)+
SUMIFS('Commodity Prices'!$D$9:$D$2500,'Commodity Prices'!$A$9:$A$2500,'Alumina - Prices'!E26,'Commodity Prices'!$B$9:$B$2500,1)+
SUMIFS('Commodity Prices'!$D$9:$D$2500,'Commodity Prices'!$A$9:$A$2500,'Alumina - Prices'!E26,'Commodity Prices'!$B$9:$B$2500,2))
/(COUNTIFS('Commodity Prices'!$A$9:$A$2500,'Alumina - Prices'!D26,'Commodity Prices'!$B$9:$B$2500,3)+
COUNTIFS('Commodity Prices'!$A$9:$A$2500,'Alumina - Prices'!D26,'Commodity Prices'!$B$9:$B$2500,4)+
COUNTIFS('Commodity Prices'!$A$9:$A$2500,'Alumina - Prices'!E26,'Commodity Prices'!$B$9:$B$2500,1)+
COUNTIFS('Commodity Prices'!$A$9:$A$2500,'Alumina - Prices'!E26,'Commodity Prices'!$B$9:$B$2500,2))</f>
        <v>310.72246656655381</v>
      </c>
    </row>
    <row r="27" spans="1:20">
      <c r="A27" s="604">
        <f>LARGE('Commodity Prices'!C$159:C$902,41)</f>
        <v>43132</v>
      </c>
      <c r="B27" s="723">
        <f>SUMIF('Commodity Prices'!C$159:C$902,A27,'Commodity Prices'!D$159:D$902)</f>
        <v>490.26308556986919</v>
      </c>
      <c r="C27" s="10"/>
      <c r="D27" s="128">
        <f t="shared" si="1"/>
        <v>2005</v>
      </c>
      <c r="E27" s="128">
        <f t="shared" si="2"/>
        <v>2006</v>
      </c>
      <c r="F27" s="697" t="str">
        <f t="shared" si="0"/>
        <v>2005-06</v>
      </c>
      <c r="G27" s="723">
        <f t="array" ref="G27">IF($F$6="Historic Calendar Year",IFERROR(AVERAGE(IF($F27=YEAR('Commodity Prices'!C$100:C$1000),'Commodity Prices'!D$100:D$1000)),"NA"),IFERROR(IF(H27=0,"NA",H27),"NA"))</f>
        <v>364.84053547675597</v>
      </c>
      <c r="H27">
        <f>(SUMIFS('Commodity Prices'!$D$9:$D$2500,'Commodity Prices'!$A$9:$A$2500,'Alumina - Prices'!D27,'Commodity Prices'!$B$9:$B$2500,3)+
SUMIFS('Commodity Prices'!$D$9:$D$2500,'Commodity Prices'!$A$9:$A$2500,'Alumina - Prices'!D27,'Commodity Prices'!$B$9:$B$2500,4)+
SUMIFS('Commodity Prices'!$D$9:$D$2500,'Commodity Prices'!$A$9:$A$2500,'Alumina - Prices'!E27,'Commodity Prices'!$B$9:$B$2500,1)+
SUMIFS('Commodity Prices'!$D$9:$D$2500,'Commodity Prices'!$A$9:$A$2500,'Alumina - Prices'!E27,'Commodity Prices'!$B$9:$B$2500,2))
/(COUNTIFS('Commodity Prices'!$A$9:$A$2500,'Alumina - Prices'!D27,'Commodity Prices'!$B$9:$B$2500,3)+
COUNTIFS('Commodity Prices'!$A$9:$A$2500,'Alumina - Prices'!D27,'Commodity Prices'!$B$9:$B$2500,4)+
COUNTIFS('Commodity Prices'!$A$9:$A$2500,'Alumina - Prices'!E27,'Commodity Prices'!$B$9:$B$2500,1)+
COUNTIFS('Commodity Prices'!$A$9:$A$2500,'Alumina - Prices'!E27,'Commodity Prices'!$B$9:$B$2500,2))</f>
        <v>364.84053547675597</v>
      </c>
    </row>
    <row r="28" spans="1:20">
      <c r="A28" s="603">
        <f>LARGE('Commodity Prices'!C$159:C$902,40)</f>
        <v>43160</v>
      </c>
      <c r="B28" s="724">
        <f>SUMIF('Commodity Prices'!C$159:C$902,A28,'Commodity Prices'!D$159:D$902)</f>
        <v>480.22047303581974</v>
      </c>
      <c r="C28" s="10"/>
      <c r="D28" s="128">
        <f t="shared" si="1"/>
        <v>2006</v>
      </c>
      <c r="E28" s="128">
        <f t="shared" si="2"/>
        <v>2007</v>
      </c>
      <c r="F28" s="698" t="str">
        <f t="shared" si="0"/>
        <v>2006-07</v>
      </c>
      <c r="G28" s="724">
        <f t="array" ref="G28">IF($F$6="Historic Calendar Year",IFERROR(AVERAGE(IF($F28=YEAR('Commodity Prices'!C$100:C$1000),'Commodity Prices'!D$100:D$1000)),"NA"),IFERROR(IF(H28=0,"NA",H28),"NA"))</f>
        <v>404.26768488452268</v>
      </c>
      <c r="H28">
        <f>(SUMIFS('Commodity Prices'!$D$9:$D$2500,'Commodity Prices'!$A$9:$A$2500,'Alumina - Prices'!D28,'Commodity Prices'!$B$9:$B$2500,3)+
SUMIFS('Commodity Prices'!$D$9:$D$2500,'Commodity Prices'!$A$9:$A$2500,'Alumina - Prices'!D28,'Commodity Prices'!$B$9:$B$2500,4)+
SUMIFS('Commodity Prices'!$D$9:$D$2500,'Commodity Prices'!$A$9:$A$2500,'Alumina - Prices'!E28,'Commodity Prices'!$B$9:$B$2500,1)+
SUMIFS('Commodity Prices'!$D$9:$D$2500,'Commodity Prices'!$A$9:$A$2500,'Alumina - Prices'!E28,'Commodity Prices'!$B$9:$B$2500,2))
/(COUNTIFS('Commodity Prices'!$A$9:$A$2500,'Alumina - Prices'!D28,'Commodity Prices'!$B$9:$B$2500,3)+
COUNTIFS('Commodity Prices'!$A$9:$A$2500,'Alumina - Prices'!D28,'Commodity Prices'!$B$9:$B$2500,4)+
COUNTIFS('Commodity Prices'!$A$9:$A$2500,'Alumina - Prices'!E28,'Commodity Prices'!$B$9:$B$2500,1)+
COUNTIFS('Commodity Prices'!$A$9:$A$2500,'Alumina - Prices'!E28,'Commodity Prices'!$B$9:$B$2500,2))</f>
        <v>404.26768488452268</v>
      </c>
    </row>
    <row r="29" spans="1:20">
      <c r="A29" s="604">
        <f>LARGE('Commodity Prices'!C$159:C$902,39)</f>
        <v>43191</v>
      </c>
      <c r="B29" s="723">
        <f>SUMIF('Commodity Prices'!C$159:C$902,A29,'Commodity Prices'!D$159:D$902)</f>
        <v>480.11947310474034</v>
      </c>
      <c r="C29" s="10"/>
      <c r="D29" s="128">
        <f t="shared" si="1"/>
        <v>2007</v>
      </c>
      <c r="E29" s="128">
        <f t="shared" si="2"/>
        <v>2008</v>
      </c>
      <c r="F29" s="697" t="str">
        <f t="shared" si="0"/>
        <v>2007-08</v>
      </c>
      <c r="G29" s="723">
        <f t="array" ref="G29">IF($F$6="Historic Calendar Year",IFERROR(AVERAGE(IF($F29=YEAR('Commodity Prices'!C$100:C$1000),'Commodity Prices'!D$100:D$1000)),"NA"),IFERROR(IF(H29=0,"NA",H29),"NA"))</f>
        <v>367.91132611812577</v>
      </c>
      <c r="H29">
        <f>(SUMIFS('Commodity Prices'!$D$9:$D$2500,'Commodity Prices'!$A$9:$A$2500,'Alumina - Prices'!D29,'Commodity Prices'!$B$9:$B$2500,3)+
SUMIFS('Commodity Prices'!$D$9:$D$2500,'Commodity Prices'!$A$9:$A$2500,'Alumina - Prices'!D29,'Commodity Prices'!$B$9:$B$2500,4)+
SUMIFS('Commodity Prices'!$D$9:$D$2500,'Commodity Prices'!$A$9:$A$2500,'Alumina - Prices'!E29,'Commodity Prices'!$B$9:$B$2500,1)+
SUMIFS('Commodity Prices'!$D$9:$D$2500,'Commodity Prices'!$A$9:$A$2500,'Alumina - Prices'!E29,'Commodity Prices'!$B$9:$B$2500,2))
/(COUNTIFS('Commodity Prices'!$A$9:$A$2500,'Alumina - Prices'!D29,'Commodity Prices'!$B$9:$B$2500,3)+
COUNTIFS('Commodity Prices'!$A$9:$A$2500,'Alumina - Prices'!D29,'Commodity Prices'!$B$9:$B$2500,4)+
COUNTIFS('Commodity Prices'!$A$9:$A$2500,'Alumina - Prices'!E29,'Commodity Prices'!$B$9:$B$2500,1)+
COUNTIFS('Commodity Prices'!$A$9:$A$2500,'Alumina - Prices'!E29,'Commodity Prices'!$B$9:$B$2500,2))</f>
        <v>367.91132611812577</v>
      </c>
    </row>
    <row r="30" spans="1:20">
      <c r="A30" s="603">
        <f>LARGE('Commodity Prices'!C$159:C$902,38)</f>
        <v>43221</v>
      </c>
      <c r="B30" s="724">
        <f>SUMIF('Commodity Prices'!C$159:C$902,A30,'Commodity Prices'!D$159:D$902)</f>
        <v>609.17389773981392</v>
      </c>
      <c r="C30" s="10"/>
      <c r="D30" s="128">
        <f t="shared" si="1"/>
        <v>2008</v>
      </c>
      <c r="E30" s="128">
        <f t="shared" si="2"/>
        <v>2009</v>
      </c>
      <c r="F30" s="698" t="str">
        <f t="shared" si="0"/>
        <v>2008-09</v>
      </c>
      <c r="G30" s="724">
        <f t="array" ref="G30">IF($F$6="Historic Calendar Year",IFERROR(AVERAGE(IF($F30=YEAR('Commodity Prices'!C$100:C$1000),'Commodity Prices'!D$100:D$1000)),"NA"),IFERROR(IF(H30=0,"NA",H30),"NA"))</f>
        <v>368.6564883912045</v>
      </c>
      <c r="H30">
        <f>(SUMIFS('Commodity Prices'!$D$9:$D$2500,'Commodity Prices'!$A$9:$A$2500,'Alumina - Prices'!D30,'Commodity Prices'!$B$9:$B$2500,3)+
SUMIFS('Commodity Prices'!$D$9:$D$2500,'Commodity Prices'!$A$9:$A$2500,'Alumina - Prices'!D30,'Commodity Prices'!$B$9:$B$2500,4)+
SUMIFS('Commodity Prices'!$D$9:$D$2500,'Commodity Prices'!$A$9:$A$2500,'Alumina - Prices'!E30,'Commodity Prices'!$B$9:$B$2500,1)+
SUMIFS('Commodity Prices'!$D$9:$D$2500,'Commodity Prices'!$A$9:$A$2500,'Alumina - Prices'!E30,'Commodity Prices'!$B$9:$B$2500,2))
/(COUNTIFS('Commodity Prices'!$A$9:$A$2500,'Alumina - Prices'!D30,'Commodity Prices'!$B$9:$B$2500,3)+
COUNTIFS('Commodity Prices'!$A$9:$A$2500,'Alumina - Prices'!D30,'Commodity Prices'!$B$9:$B$2500,4)+
COUNTIFS('Commodity Prices'!$A$9:$A$2500,'Alumina - Prices'!E30,'Commodity Prices'!$B$9:$B$2500,1)+
COUNTIFS('Commodity Prices'!$A$9:$A$2500,'Alumina - Prices'!E30,'Commodity Prices'!$B$9:$B$2500,2))</f>
        <v>368.6564883912045</v>
      </c>
    </row>
    <row r="31" spans="1:20">
      <c r="A31" s="604">
        <f>LARGE('Commodity Prices'!C$159:C$902,37)</f>
        <v>43252</v>
      </c>
      <c r="B31" s="723">
        <f>SUMIF('Commodity Prices'!C$159:C$902,A31,'Commodity Prices'!D$159:D$902)</f>
        <v>643.76554106926437</v>
      </c>
      <c r="C31" s="10"/>
      <c r="D31" s="128">
        <f t="shared" si="1"/>
        <v>2009</v>
      </c>
      <c r="E31" s="128">
        <f t="shared" si="2"/>
        <v>2010</v>
      </c>
      <c r="F31" s="697" t="str">
        <f t="shared" si="0"/>
        <v>2009-10</v>
      </c>
      <c r="G31" s="723">
        <f t="array" ref="G31">IF($F$6="Historic Calendar Year",IFERROR(AVERAGE(IF($F31=YEAR('Commodity Prices'!C$100:C$1000),'Commodity Prices'!D$100:D$1000)),"NA"),IFERROR(IF(H31=0,"NA",H31),"NA"))</f>
        <v>301.05089307625826</v>
      </c>
      <c r="H31">
        <f>(SUMIFS('Commodity Prices'!$D$9:$D$2500,'Commodity Prices'!$A$9:$A$2500,'Alumina - Prices'!D31,'Commodity Prices'!$B$9:$B$2500,3)+
SUMIFS('Commodity Prices'!$D$9:$D$2500,'Commodity Prices'!$A$9:$A$2500,'Alumina - Prices'!D31,'Commodity Prices'!$B$9:$B$2500,4)+
SUMIFS('Commodity Prices'!$D$9:$D$2500,'Commodity Prices'!$A$9:$A$2500,'Alumina - Prices'!E31,'Commodity Prices'!$B$9:$B$2500,1)+
SUMIFS('Commodity Prices'!$D$9:$D$2500,'Commodity Prices'!$A$9:$A$2500,'Alumina - Prices'!E31,'Commodity Prices'!$B$9:$B$2500,2))
/(COUNTIFS('Commodity Prices'!$A$9:$A$2500,'Alumina - Prices'!D31,'Commodity Prices'!$B$9:$B$2500,3)+
COUNTIFS('Commodity Prices'!$A$9:$A$2500,'Alumina - Prices'!D31,'Commodity Prices'!$B$9:$B$2500,4)+
COUNTIFS('Commodity Prices'!$A$9:$A$2500,'Alumina - Prices'!E31,'Commodity Prices'!$B$9:$B$2500,1)+
COUNTIFS('Commodity Prices'!$A$9:$A$2500,'Alumina - Prices'!E31,'Commodity Prices'!$B$9:$B$2500,2))</f>
        <v>301.05089307625826</v>
      </c>
    </row>
    <row r="32" spans="1:20">
      <c r="A32" s="603">
        <f>LARGE('Commodity Prices'!C$159:C$902,36)</f>
        <v>43282</v>
      </c>
      <c r="B32" s="724">
        <f>SUMIF('Commodity Prices'!C$159:C$902,A32,'Commodity Prices'!D$159:D$902)</f>
        <v>614.83939372491841</v>
      </c>
      <c r="C32" s="10"/>
      <c r="D32" s="128">
        <f t="shared" si="1"/>
        <v>2010</v>
      </c>
      <c r="E32" s="128">
        <f t="shared" si="2"/>
        <v>2011</v>
      </c>
      <c r="F32" s="698" t="str">
        <f t="shared" si="0"/>
        <v>2010-11</v>
      </c>
      <c r="G32" s="724">
        <f t="array" ref="G32">IF($F$6="Historic Calendar Year",IFERROR(AVERAGE(IF($F32=YEAR('Commodity Prices'!C$100:C$1000),'Commodity Prices'!D$100:D$1000)),"NA"),IFERROR(IF(H32=0,"NA",H32),"NA"))</f>
        <v>326.01683719070633</v>
      </c>
      <c r="H32">
        <f>(SUMIFS('Commodity Prices'!$D$9:$D$2500,'Commodity Prices'!$A$9:$A$2500,'Alumina - Prices'!D32,'Commodity Prices'!$B$9:$B$2500,3)+
SUMIFS('Commodity Prices'!$D$9:$D$2500,'Commodity Prices'!$A$9:$A$2500,'Alumina - Prices'!D32,'Commodity Prices'!$B$9:$B$2500,4)+
SUMIFS('Commodity Prices'!$D$9:$D$2500,'Commodity Prices'!$A$9:$A$2500,'Alumina - Prices'!E32,'Commodity Prices'!$B$9:$B$2500,1)+
SUMIFS('Commodity Prices'!$D$9:$D$2500,'Commodity Prices'!$A$9:$A$2500,'Alumina - Prices'!E32,'Commodity Prices'!$B$9:$B$2500,2))
/(COUNTIFS('Commodity Prices'!$A$9:$A$2500,'Alumina - Prices'!D32,'Commodity Prices'!$B$9:$B$2500,3)+
COUNTIFS('Commodity Prices'!$A$9:$A$2500,'Alumina - Prices'!D32,'Commodity Prices'!$B$9:$B$2500,4)+
COUNTIFS('Commodity Prices'!$A$9:$A$2500,'Alumina - Prices'!E32,'Commodity Prices'!$B$9:$B$2500,1)+
COUNTIFS('Commodity Prices'!$A$9:$A$2500,'Alumina - Prices'!E32,'Commodity Prices'!$B$9:$B$2500,2))</f>
        <v>326.01683719070633</v>
      </c>
    </row>
    <row r="33" spans="1:8">
      <c r="A33" s="604">
        <f>LARGE('Commodity Prices'!C$159:C$902,35)</f>
        <v>43313</v>
      </c>
      <c r="B33" s="723">
        <f>SUMIF('Commodity Prices'!C$159:C$902,A33,'Commodity Prices'!D$159:D$902)</f>
        <v>600.19848496290138</v>
      </c>
      <c r="C33" s="10"/>
      <c r="D33" s="128">
        <f t="shared" si="1"/>
        <v>2011</v>
      </c>
      <c r="E33" s="128">
        <f t="shared" si="2"/>
        <v>2012</v>
      </c>
      <c r="F33" s="697" t="str">
        <f t="shared" si="0"/>
        <v>2011-12</v>
      </c>
      <c r="G33" s="723">
        <f t="array" ref="G33">IF($F$6="Historic Calendar Year",IFERROR(AVERAGE(IF($F33=YEAR('Commodity Prices'!C$100:C$1000),'Commodity Prices'!D$100:D$1000)),"NA"),IFERROR(IF(H33=0,"NA",H33),"NA"))</f>
        <v>314.07454261498447</v>
      </c>
      <c r="H33">
        <f>(SUMIFS('Commodity Prices'!$D$9:$D$2500,'Commodity Prices'!$A$9:$A$2500,'Alumina - Prices'!D33,'Commodity Prices'!$B$9:$B$2500,3)+
SUMIFS('Commodity Prices'!$D$9:$D$2500,'Commodity Prices'!$A$9:$A$2500,'Alumina - Prices'!D33,'Commodity Prices'!$B$9:$B$2500,4)+
SUMIFS('Commodity Prices'!$D$9:$D$2500,'Commodity Prices'!$A$9:$A$2500,'Alumina - Prices'!E33,'Commodity Prices'!$B$9:$B$2500,1)+
SUMIFS('Commodity Prices'!$D$9:$D$2500,'Commodity Prices'!$A$9:$A$2500,'Alumina - Prices'!E33,'Commodity Prices'!$B$9:$B$2500,2))
/(COUNTIFS('Commodity Prices'!$A$9:$A$2500,'Alumina - Prices'!D33,'Commodity Prices'!$B$9:$B$2500,3)+
COUNTIFS('Commodity Prices'!$A$9:$A$2500,'Alumina - Prices'!D33,'Commodity Prices'!$B$9:$B$2500,4)+
COUNTIFS('Commodity Prices'!$A$9:$A$2500,'Alumina - Prices'!E33,'Commodity Prices'!$B$9:$B$2500,1)+
COUNTIFS('Commodity Prices'!$A$9:$A$2500,'Alumina - Prices'!E33,'Commodity Prices'!$B$9:$B$2500,2))</f>
        <v>314.07454261498447</v>
      </c>
    </row>
    <row r="34" spans="1:8">
      <c r="A34" s="603">
        <f>LARGE('Commodity Prices'!C$159:C$902,34)</f>
        <v>43344</v>
      </c>
      <c r="B34" s="724">
        <f>SUMIF('Commodity Prices'!C$159:C$902,A34,'Commodity Prices'!D$159:D$902)</f>
        <v>697.52920842459241</v>
      </c>
      <c r="C34" s="10"/>
      <c r="D34" s="128">
        <f t="shared" si="1"/>
        <v>2012</v>
      </c>
      <c r="E34" s="128">
        <f t="shared" si="2"/>
        <v>2013</v>
      </c>
      <c r="F34" s="698" t="str">
        <f t="shared" si="0"/>
        <v>2012-13</v>
      </c>
      <c r="G34" s="724">
        <f t="array" ref="G34">IF($F$6="Historic Calendar Year",IFERROR(AVERAGE(IF($F34=YEAR('Commodity Prices'!C$100:C$1000),'Commodity Prices'!D$100:D$1000)),"NA"),IFERROR(IF(H34=0,"NA",H34),"NA"))</f>
        <v>284.92941229619743</v>
      </c>
      <c r="H34">
        <f>(SUMIFS('Commodity Prices'!$D$9:$D$2500,'Commodity Prices'!$A$9:$A$2500,'Alumina - Prices'!D34,'Commodity Prices'!$B$9:$B$2500,3)+
SUMIFS('Commodity Prices'!$D$9:$D$2500,'Commodity Prices'!$A$9:$A$2500,'Alumina - Prices'!D34,'Commodity Prices'!$B$9:$B$2500,4)+
SUMIFS('Commodity Prices'!$D$9:$D$2500,'Commodity Prices'!$A$9:$A$2500,'Alumina - Prices'!E34,'Commodity Prices'!$B$9:$B$2500,1)+
SUMIFS('Commodity Prices'!$D$9:$D$2500,'Commodity Prices'!$A$9:$A$2500,'Alumina - Prices'!E34,'Commodity Prices'!$B$9:$B$2500,2))
/(COUNTIFS('Commodity Prices'!$A$9:$A$2500,'Alumina - Prices'!D34,'Commodity Prices'!$B$9:$B$2500,3)+
COUNTIFS('Commodity Prices'!$A$9:$A$2500,'Alumina - Prices'!D34,'Commodity Prices'!$B$9:$B$2500,4)+
COUNTIFS('Commodity Prices'!$A$9:$A$2500,'Alumina - Prices'!E34,'Commodity Prices'!$B$9:$B$2500,1)+
COUNTIFS('Commodity Prices'!$A$9:$A$2500,'Alumina - Prices'!E34,'Commodity Prices'!$B$9:$B$2500,2))</f>
        <v>284.92941229619743</v>
      </c>
    </row>
    <row r="35" spans="1:8">
      <c r="A35" s="604">
        <f>LARGE('Commodity Prices'!C$159:C$902,33)</f>
        <v>43374</v>
      </c>
      <c r="B35" s="723">
        <f>SUMIF('Commodity Prices'!C$159:C$902,A35,'Commodity Prices'!D$159:D$902)</f>
        <v>730.88614178825844</v>
      </c>
      <c r="C35" s="10"/>
      <c r="D35" s="128">
        <f t="shared" si="1"/>
        <v>2013</v>
      </c>
      <c r="E35" s="128">
        <f t="shared" si="2"/>
        <v>2014</v>
      </c>
      <c r="F35" s="697" t="str">
        <f t="shared" si="0"/>
        <v>2013-14</v>
      </c>
      <c r="G35" s="723">
        <f t="array" ref="G35">IF($F$6="Historic Calendar Year",IFERROR(AVERAGE(IF($F35=YEAR('Commodity Prices'!C$100:C$1000),'Commodity Prices'!D$100:D$1000)),"NA"),IFERROR(IF(H35=0,"NA",H35),"NA"))</f>
        <v>310.49898273526401</v>
      </c>
      <c r="H35">
        <f>(SUMIFS('Commodity Prices'!$D$9:$D$2500,'Commodity Prices'!$A$9:$A$2500,'Alumina - Prices'!D35,'Commodity Prices'!$B$9:$B$2500,3)+
SUMIFS('Commodity Prices'!$D$9:$D$2500,'Commodity Prices'!$A$9:$A$2500,'Alumina - Prices'!D35,'Commodity Prices'!$B$9:$B$2500,4)+
SUMIFS('Commodity Prices'!$D$9:$D$2500,'Commodity Prices'!$A$9:$A$2500,'Alumina - Prices'!E35,'Commodity Prices'!$B$9:$B$2500,1)+
SUMIFS('Commodity Prices'!$D$9:$D$2500,'Commodity Prices'!$A$9:$A$2500,'Alumina - Prices'!E35,'Commodity Prices'!$B$9:$B$2500,2))
/(COUNTIFS('Commodity Prices'!$A$9:$A$2500,'Alumina - Prices'!D35,'Commodity Prices'!$B$9:$B$2500,3)+
COUNTIFS('Commodity Prices'!$A$9:$A$2500,'Alumina - Prices'!D35,'Commodity Prices'!$B$9:$B$2500,4)+
COUNTIFS('Commodity Prices'!$A$9:$A$2500,'Alumina - Prices'!E35,'Commodity Prices'!$B$9:$B$2500,1)+
COUNTIFS('Commodity Prices'!$A$9:$A$2500,'Alumina - Prices'!E35,'Commodity Prices'!$B$9:$B$2500,2))</f>
        <v>310.49898273526401</v>
      </c>
    </row>
    <row r="36" spans="1:8">
      <c r="A36" s="603">
        <f>LARGE('Commodity Prices'!C$159:C$902,32)</f>
        <v>43405</v>
      </c>
      <c r="B36" s="724">
        <f>SUMIF('Commodity Prices'!C$159:C$902,A36,'Commodity Prices'!D$159:D$902)</f>
        <v>669.2541659937059</v>
      </c>
      <c r="C36" s="10"/>
      <c r="D36" s="128">
        <f t="shared" si="1"/>
        <v>2014</v>
      </c>
      <c r="E36" s="128">
        <f t="shared" si="2"/>
        <v>2015</v>
      </c>
      <c r="F36" s="698" t="str">
        <f t="shared" si="0"/>
        <v>2014-15</v>
      </c>
      <c r="G36" s="724">
        <f t="array" ref="G36">IF($F$6="Historic Calendar Year",IFERROR(AVERAGE(IF($F36=YEAR('Commodity Prices'!C$100:C$1000),'Commodity Prices'!D$100:D$1000)),"NA"),IFERROR(IF(H36=0,"NA",H36),"NA"))</f>
        <v>366.15868018102066</v>
      </c>
      <c r="H36">
        <f>(SUMIFS('Commodity Prices'!$D$9:$D$2500,'Commodity Prices'!$A$9:$A$2500,'Alumina - Prices'!D36,'Commodity Prices'!$B$9:$B$2500,3)+
SUMIFS('Commodity Prices'!$D$9:$D$2500,'Commodity Prices'!$A$9:$A$2500,'Alumina - Prices'!D36,'Commodity Prices'!$B$9:$B$2500,4)+
SUMIFS('Commodity Prices'!$D$9:$D$2500,'Commodity Prices'!$A$9:$A$2500,'Alumina - Prices'!E36,'Commodity Prices'!$B$9:$B$2500,1)+
SUMIFS('Commodity Prices'!$D$9:$D$2500,'Commodity Prices'!$A$9:$A$2500,'Alumina - Prices'!E36,'Commodity Prices'!$B$9:$B$2500,2))
/(COUNTIFS('Commodity Prices'!$A$9:$A$2500,'Alumina - Prices'!D36,'Commodity Prices'!$B$9:$B$2500,3)+
COUNTIFS('Commodity Prices'!$A$9:$A$2500,'Alumina - Prices'!D36,'Commodity Prices'!$B$9:$B$2500,4)+
COUNTIFS('Commodity Prices'!$A$9:$A$2500,'Alumina - Prices'!E36,'Commodity Prices'!$B$9:$B$2500,1)+
COUNTIFS('Commodity Prices'!$A$9:$A$2500,'Alumina - Prices'!E36,'Commodity Prices'!$B$9:$B$2500,2))</f>
        <v>366.15868018102066</v>
      </c>
    </row>
    <row r="37" spans="1:8">
      <c r="A37" s="604">
        <f>LARGE('Commodity Prices'!C$159:C$902,31)</f>
        <v>43435</v>
      </c>
      <c r="B37" s="723">
        <f>SUMIF('Commodity Prices'!C$159:C$902,A37,'Commodity Prices'!D$159:D$902)</f>
        <v>592.35887609284578</v>
      </c>
      <c r="C37" s="10"/>
      <c r="D37" s="128">
        <f t="shared" si="1"/>
        <v>2015</v>
      </c>
      <c r="E37" s="128">
        <f t="shared" si="2"/>
        <v>2016</v>
      </c>
      <c r="F37" s="698" t="str">
        <f t="shared" si="0"/>
        <v>2015-16</v>
      </c>
      <c r="G37" s="723">
        <f t="array" ref="G37">IF($F$6="Historic Calendar Year",IFERROR(AVERAGE(IF($F37=YEAR('Commodity Prices'!C$100:C$1000),'Commodity Prices'!D$100:D$1000)),"NA"),IFERROR(IF(H37=0,"NA",H37),"NA"))</f>
        <v>346.11136046203586</v>
      </c>
      <c r="H37">
        <f>(SUMIFS('Commodity Prices'!$D$9:$D$2500,'Commodity Prices'!$A$9:$A$2500,'Alumina - Prices'!D37,'Commodity Prices'!$B$9:$B$2500,3)+
SUMIFS('Commodity Prices'!$D$9:$D$2500,'Commodity Prices'!$A$9:$A$2500,'Alumina - Prices'!D37,'Commodity Prices'!$B$9:$B$2500,4)+
SUMIFS('Commodity Prices'!$D$9:$D$2500,'Commodity Prices'!$A$9:$A$2500,'Alumina - Prices'!E37,'Commodity Prices'!$B$9:$B$2500,1)+
SUMIFS('Commodity Prices'!$D$9:$D$2500,'Commodity Prices'!$A$9:$A$2500,'Alumina - Prices'!E37,'Commodity Prices'!$B$9:$B$2500,2))
/(COUNTIFS('Commodity Prices'!$A$9:$A$2500,'Alumina - Prices'!D37,'Commodity Prices'!$B$9:$B$2500,3)+
COUNTIFS('Commodity Prices'!$A$9:$A$2500,'Alumina - Prices'!D37,'Commodity Prices'!$B$9:$B$2500,4)+
COUNTIFS('Commodity Prices'!$A$9:$A$2500,'Alumina - Prices'!E37,'Commodity Prices'!$B$9:$B$2500,1)+
COUNTIFS('Commodity Prices'!$A$9:$A$2500,'Alumina - Prices'!E37,'Commodity Prices'!$B$9:$B$2500,2))</f>
        <v>346.11136046203586</v>
      </c>
    </row>
    <row r="38" spans="1:8">
      <c r="A38" s="603">
        <f>LARGE('Commodity Prices'!C$159:C$902,30)</f>
        <v>43466</v>
      </c>
      <c r="B38" s="724">
        <f>SUMIF('Commodity Prices'!C$159:C$902,A38,'Commodity Prices'!D$159:D$902)</f>
        <v>563.4450303600637</v>
      </c>
      <c r="C38" s="10"/>
      <c r="D38" s="128">
        <f t="shared" si="1"/>
        <v>2016</v>
      </c>
      <c r="E38" s="128">
        <f t="shared" si="2"/>
        <v>2017</v>
      </c>
      <c r="F38" s="698" t="str">
        <f t="shared" si="0"/>
        <v>2016-17</v>
      </c>
      <c r="G38" s="724">
        <f t="array" ref="G38">IF($F$6="Historic Calendar Year",IFERROR(AVERAGE(IF($F38=YEAR('Commodity Prices'!C$100:C$1000),'Commodity Prices'!D$100:D$1000)),"NA"),IFERROR(IF(H38=0,"NA",H38),"NA"))</f>
        <v>367.87354599374476</v>
      </c>
      <c r="H38">
        <f>(SUMIFS('Commodity Prices'!$D$9:$D$2500,'Commodity Prices'!$A$9:$A$2500,'Alumina - Prices'!D38,'Commodity Prices'!$B$9:$B$2500,3)+
SUMIFS('Commodity Prices'!$D$9:$D$2500,'Commodity Prices'!$A$9:$A$2500,'Alumina - Prices'!D38,'Commodity Prices'!$B$9:$B$2500,4)+
SUMIFS('Commodity Prices'!$D$9:$D$2500,'Commodity Prices'!$A$9:$A$2500,'Alumina - Prices'!E38,'Commodity Prices'!$B$9:$B$2500,1)+
SUMIFS('Commodity Prices'!$D$9:$D$2500,'Commodity Prices'!$A$9:$A$2500,'Alumina - Prices'!E38,'Commodity Prices'!$B$9:$B$2500,2))
/(COUNTIFS('Commodity Prices'!$A$9:$A$2500,'Alumina - Prices'!D38,'Commodity Prices'!$B$9:$B$2500,3)+
COUNTIFS('Commodity Prices'!$A$9:$A$2500,'Alumina - Prices'!D38,'Commodity Prices'!$B$9:$B$2500,4)+
COUNTIFS('Commodity Prices'!$A$9:$A$2500,'Alumina - Prices'!E38,'Commodity Prices'!$B$9:$B$2500,1)+
COUNTIFS('Commodity Prices'!$A$9:$A$2500,'Alumina - Prices'!E38,'Commodity Prices'!$B$9:$B$2500,2))</f>
        <v>367.87354599374476</v>
      </c>
    </row>
    <row r="39" spans="1:8">
      <c r="A39" s="604">
        <f>LARGE('Commodity Prices'!C$159:C$902,29)</f>
        <v>43497</v>
      </c>
      <c r="B39" s="723">
        <f>SUMIF('Commodity Prices'!C$159:C$902,A39,'Commodity Prices'!D$159:D$902)</f>
        <v>538.66072981151183</v>
      </c>
      <c r="C39" s="10"/>
      <c r="D39" s="128">
        <f t="shared" si="1"/>
        <v>2017</v>
      </c>
      <c r="E39" s="128">
        <f t="shared" si="2"/>
        <v>2018</v>
      </c>
      <c r="F39" s="698" t="str">
        <f t="shared" si="0"/>
        <v>2017-18</v>
      </c>
      <c r="G39" s="723">
        <f t="array" ref="G39">IF($F$6="Historic Calendar Year",IFERROR(AVERAGE(IF($F39=YEAR('Commodity Prices'!C$100:C$1000),'Commodity Prices'!D$100:D$1000)),"NA"),IFERROR(IF(H39=0,"NA",H39),"NA"))</f>
        <v>489.1594848707723</v>
      </c>
      <c r="H39">
        <f>(SUMIFS('Commodity Prices'!$D$9:$D$2500,'Commodity Prices'!$A$9:$A$2500,'Alumina - Prices'!D39,'Commodity Prices'!$B$9:$B$2500,3)+
SUMIFS('Commodity Prices'!$D$9:$D$2500,'Commodity Prices'!$A$9:$A$2500,'Alumina - Prices'!D39,'Commodity Prices'!$B$9:$B$2500,4)+
SUMIFS('Commodity Prices'!$D$9:$D$2500,'Commodity Prices'!$A$9:$A$2500,'Alumina - Prices'!E39,'Commodity Prices'!$B$9:$B$2500,1)+
SUMIFS('Commodity Prices'!$D$9:$D$2500,'Commodity Prices'!$A$9:$A$2500,'Alumina - Prices'!E39,'Commodity Prices'!$B$9:$B$2500,2))
/(COUNTIFS('Commodity Prices'!$A$9:$A$2500,'Alumina - Prices'!D39,'Commodity Prices'!$B$9:$B$2500,3)+
COUNTIFS('Commodity Prices'!$A$9:$A$2500,'Alumina - Prices'!D39,'Commodity Prices'!$B$9:$B$2500,4)+
COUNTIFS('Commodity Prices'!$A$9:$A$2500,'Alumina - Prices'!E39,'Commodity Prices'!$B$9:$B$2500,1)+
COUNTIFS('Commodity Prices'!$A$9:$A$2500,'Alumina - Prices'!E39,'Commodity Prices'!$B$9:$B$2500,2))</f>
        <v>489.1594848707723</v>
      </c>
    </row>
    <row r="40" spans="1:8">
      <c r="A40" s="603">
        <f>LARGE('Commodity Prices'!C$159:C$902,28)</f>
        <v>43525</v>
      </c>
      <c r="B40" s="724">
        <f>SUMIF('Commodity Prices'!C$159:C$902,A40,'Commodity Prices'!D$159:D$902)</f>
        <v>534.13870236016885</v>
      </c>
      <c r="C40" s="10"/>
      <c r="D40" s="128">
        <f t="shared" si="1"/>
        <v>2018</v>
      </c>
      <c r="E40" s="128">
        <f t="shared" si="2"/>
        <v>2019</v>
      </c>
      <c r="F40" s="698" t="str">
        <f t="shared" si="0"/>
        <v>2018-19</v>
      </c>
      <c r="G40" s="724">
        <f t="array" ref="G40">IF($F$6="Historic Calendar Year",IFERROR(AVERAGE(IF($F40=YEAR('Commodity Prices'!C$100:C$1000),'Commodity Prices'!D$100:D$1000)),"NA"),IFERROR(IF(H40=0,"NA",H40),"NA"))</f>
        <v>591.47358499040206</v>
      </c>
      <c r="H40">
        <f>(SUMIFS('Commodity Prices'!$D$9:$D$2500,'Commodity Prices'!$A$9:$A$2500,'Alumina - Prices'!D40,'Commodity Prices'!$B$9:$B$2500,3)+
SUMIFS('Commodity Prices'!$D$9:$D$2500,'Commodity Prices'!$A$9:$A$2500,'Alumina - Prices'!D40,'Commodity Prices'!$B$9:$B$2500,4)+
SUMIFS('Commodity Prices'!$D$9:$D$2500,'Commodity Prices'!$A$9:$A$2500,'Alumina - Prices'!E40,'Commodity Prices'!$B$9:$B$2500,1)+
SUMIFS('Commodity Prices'!$D$9:$D$2500,'Commodity Prices'!$A$9:$A$2500,'Alumina - Prices'!E40,'Commodity Prices'!$B$9:$B$2500,2))
/(COUNTIFS('Commodity Prices'!$A$9:$A$2500,'Alumina - Prices'!D40,'Commodity Prices'!$B$9:$B$2500,3)+
COUNTIFS('Commodity Prices'!$A$9:$A$2500,'Alumina - Prices'!D40,'Commodity Prices'!$B$9:$B$2500,4)+
COUNTIFS('Commodity Prices'!$A$9:$A$2500,'Alumina - Prices'!E40,'Commodity Prices'!$B$9:$B$2500,1)+
COUNTIFS('Commodity Prices'!$A$9:$A$2500,'Alumina - Prices'!E40,'Commodity Prices'!$B$9:$B$2500,2))</f>
        <v>591.47358499040206</v>
      </c>
    </row>
    <row r="41" spans="1:8">
      <c r="A41" s="604">
        <f>LARGE('Commodity Prices'!C$159:C$902,27)</f>
        <v>43556</v>
      </c>
      <c r="B41" s="723">
        <f>SUMIF('Commodity Prices'!C$159:C$902,A41,'Commodity Prices'!D$159:D$902)</f>
        <v>526.33458904718032</v>
      </c>
      <c r="C41" s="10"/>
      <c r="D41" s="128">
        <f t="shared" si="1"/>
        <v>2019</v>
      </c>
      <c r="E41" s="128">
        <f t="shared" si="2"/>
        <v>2020</v>
      </c>
      <c r="F41" s="698" t="str">
        <f t="shared" si="0"/>
        <v>2019-20</v>
      </c>
      <c r="G41" s="723">
        <f t="array" ref="G41">IF($F$6="Historic Calendar Year",IFERROR(AVERAGE(IF($F41=YEAR('Commodity Prices'!C$100:C$1000),'Commodity Prices'!D$100:D$1000)),"NA"),IFERROR(IF(H41=0,"NA",H41),"NA"))</f>
        <v>419.20009927631628</v>
      </c>
      <c r="H41">
        <f>(SUMIFS('Commodity Prices'!$D$9:$D$2500,'Commodity Prices'!$A$9:$A$2500,'Alumina - Prices'!D41,'Commodity Prices'!$B$9:$B$2500,3)+
SUMIFS('Commodity Prices'!$D$9:$D$2500,'Commodity Prices'!$A$9:$A$2500,'Alumina - Prices'!D41,'Commodity Prices'!$B$9:$B$2500,4)+
SUMIFS('Commodity Prices'!$D$9:$D$2500,'Commodity Prices'!$A$9:$A$2500,'Alumina - Prices'!E41,'Commodity Prices'!$B$9:$B$2500,1)+
SUMIFS('Commodity Prices'!$D$9:$D$2500,'Commodity Prices'!$A$9:$A$2500,'Alumina - Prices'!E41,'Commodity Prices'!$B$9:$B$2500,2))
/(COUNTIFS('Commodity Prices'!$A$9:$A$2500,'Alumina - Prices'!D41,'Commodity Prices'!$B$9:$B$2500,3)+
COUNTIFS('Commodity Prices'!$A$9:$A$2500,'Alumina - Prices'!D41,'Commodity Prices'!$B$9:$B$2500,4)+
COUNTIFS('Commodity Prices'!$A$9:$A$2500,'Alumina - Prices'!E41,'Commodity Prices'!$B$9:$B$2500,1)+
COUNTIFS('Commodity Prices'!$A$9:$A$2500,'Alumina - Prices'!E41,'Commodity Prices'!$B$9:$B$2500,2))</f>
        <v>419.20009927631628</v>
      </c>
    </row>
    <row r="42" spans="1:8" ht="15.75" thickBot="1">
      <c r="A42" s="603">
        <f>LARGE('Commodity Prices'!C$159:C$902,26)</f>
        <v>43586</v>
      </c>
      <c r="B42" s="724">
        <f>SUMIF('Commodity Prices'!C$159:C$902,A42,'Commodity Prices'!D$159:D$902)</f>
        <v>525.19027525071203</v>
      </c>
      <c r="C42" s="10"/>
      <c r="D42" s="128">
        <f t="shared" si="1"/>
        <v>2020</v>
      </c>
      <c r="E42" s="128">
        <f t="shared" si="2"/>
        <v>2021</v>
      </c>
      <c r="F42" s="698" t="str">
        <f t="shared" si="0"/>
        <v>2020-21</v>
      </c>
      <c r="G42" s="724">
        <f t="array" ref="G42">IF($F$6="Historic Calendar Year",IFERROR(AVERAGE(IF($F42=YEAR('Commodity Prices'!C$100:C$1000),'Commodity Prices'!D$100:D$1000)),"NA"),IFERROR(IF(H42=0,"NA",H42),"NA"))</f>
        <v>377.844036966266</v>
      </c>
      <c r="H42">
        <f>(SUMIFS('Commodity Prices'!$D$9:$D$2500,'Commodity Prices'!$A$9:$A$2500,'Alumina - Prices'!D42,'Commodity Prices'!$B$9:$B$2500,3)+
SUMIFS('Commodity Prices'!$D$9:$D$2500,'Commodity Prices'!$A$9:$A$2500,'Alumina - Prices'!D42,'Commodity Prices'!$B$9:$B$2500,4)+
SUMIFS('Commodity Prices'!$D$9:$D$2500,'Commodity Prices'!$A$9:$A$2500,'Alumina - Prices'!E42,'Commodity Prices'!$B$9:$B$2500,1)+
SUMIFS('Commodity Prices'!$D$9:$D$2500,'Commodity Prices'!$A$9:$A$2500,'Alumina - Prices'!E42,'Commodity Prices'!$B$9:$B$2500,2))
/(COUNTIFS('Commodity Prices'!$A$9:$A$2500,'Alumina - Prices'!D42,'Commodity Prices'!$B$9:$B$2500,3)+
COUNTIFS('Commodity Prices'!$A$9:$A$2500,'Alumina - Prices'!D42,'Commodity Prices'!$B$9:$B$2500,4)+
COUNTIFS('Commodity Prices'!$A$9:$A$2500,'Alumina - Prices'!E42,'Commodity Prices'!$B$9:$B$2500,1)+
COUNTIFS('Commodity Prices'!$A$9:$A$2500,'Alumina - Prices'!E42,'Commodity Prices'!$B$9:$B$2500,2))</f>
        <v>377.844036966266</v>
      </c>
    </row>
    <row r="43" spans="1:8">
      <c r="A43" s="604">
        <f>LARGE('Commodity Prices'!C$159:C$902,25)</f>
        <v>43617</v>
      </c>
      <c r="B43" s="723">
        <f>SUMIF('Commodity Prices'!C$159:C$902,A43,'Commodity Prices'!D$159:D$902)</f>
        <v>504.84742206796523</v>
      </c>
      <c r="C43" s="10"/>
      <c r="D43" s="128"/>
      <c r="E43" s="128"/>
      <c r="F43" s="696" t="str">
        <f>IF($F$6="Historic Calendar Year",F42+1,CONCATENATE(D42,"-",RIGHT(E42,2)))</f>
        <v>2020-21</v>
      </c>
      <c r="G43" s="675">
        <f>IF($F$6="Historic Calendar Year",IFERROR(AVERAGE(IF($F43=YEAR('Commodity Prices'!C$100:C$1000),'Commodity Prices'!D$100:D$1000)),"N/A"),IFERROR(IF(H42=0,"N/A",H42),"N/A"))</f>
        <v>377.844036966266</v>
      </c>
    </row>
    <row r="44" spans="1:8" ht="15.75" thickBot="1">
      <c r="A44" s="603">
        <f>LARGE('Commodity Prices'!C$159:C$902,24)</f>
        <v>43647</v>
      </c>
      <c r="B44" s="724">
        <f>SUMIF('Commodity Prices'!C$159:C$902,A44,'Commodity Prices'!D$159:D$902)</f>
        <v>481.14046038368895</v>
      </c>
      <c r="C44" s="10"/>
      <c r="D44" s="128"/>
      <c r="E44" s="128"/>
      <c r="F44" s="10"/>
      <c r="G44" s="10"/>
    </row>
    <row r="45" spans="1:8" ht="15.75" thickBot="1">
      <c r="A45" s="604">
        <f>LARGE('Commodity Prices'!C$159:C$902,23)</f>
        <v>43678</v>
      </c>
      <c r="B45" s="723">
        <f>SUMIF('Commodity Prices'!C$159:C$902,A45,'Commodity Prices'!D$159:D$902)</f>
        <v>451.81703742651098</v>
      </c>
      <c r="C45" s="10"/>
      <c r="D45" s="128"/>
      <c r="E45" s="128"/>
      <c r="F45" s="1982" t="s">
        <v>506</v>
      </c>
      <c r="G45" s="1983"/>
    </row>
    <row r="46" spans="1:8" ht="15.75" thickBot="1">
      <c r="A46" s="603">
        <f>LARGE('Commodity Prices'!C$159:C$902,22)</f>
        <v>43709</v>
      </c>
      <c r="B46" s="724">
        <f>SUMIF('Commodity Prices'!C$159:C$902,A46,'Commodity Prices'!D$159:D$902)</f>
        <v>449.51272634315131</v>
      </c>
      <c r="C46" s="10"/>
      <c r="D46" s="128"/>
      <c r="E46" s="128"/>
      <c r="F46" s="1985" t="s">
        <v>464</v>
      </c>
      <c r="G46" s="1986"/>
    </row>
    <row r="47" spans="1:8">
      <c r="A47" s="604">
        <f>LARGE('Commodity Prices'!C$159:C$902,21)</f>
        <v>43739</v>
      </c>
      <c r="B47" s="723">
        <f>SUMIF('Commodity Prices'!C$159:C$902,A47,'Commodity Prices'!D$159:D$902)</f>
        <v>430.30145532716136</v>
      </c>
      <c r="C47" s="10"/>
      <c r="D47" s="128"/>
      <c r="E47" s="128"/>
      <c r="F47" s="1987" t="s">
        <v>507</v>
      </c>
      <c r="G47" s="1987"/>
    </row>
    <row r="48" spans="1:8">
      <c r="A48" s="603">
        <f>LARGE('Commodity Prices'!C$159:C$902,20)</f>
        <v>43770</v>
      </c>
      <c r="B48" s="724">
        <f>SUMIF('Commodity Prices'!C$159:C$902,A48,'Commodity Prices'!D$159:D$902)</f>
        <v>408.97919778067535</v>
      </c>
      <c r="C48" s="10"/>
      <c r="D48" s="128"/>
      <c r="E48" s="128"/>
      <c r="F48" s="10"/>
      <c r="G48" s="10"/>
    </row>
    <row r="49" spans="1:7">
      <c r="A49" s="604">
        <f>LARGE('Commodity Prices'!C$159:C$902,19)</f>
        <v>43800</v>
      </c>
      <c r="B49" s="723">
        <f>SUMIF('Commodity Prices'!C$159:C$902,A49,'Commodity Prices'!D$159:D$902)</f>
        <v>404.34495868376877</v>
      </c>
      <c r="C49" s="10"/>
      <c r="D49" s="128"/>
      <c r="E49" s="128"/>
      <c r="F49" s="10"/>
      <c r="G49" s="10"/>
    </row>
    <row r="50" spans="1:7">
      <c r="A50" s="603">
        <f>LARGE('Commodity Prices'!C$159:C$902,18)</f>
        <v>43831</v>
      </c>
      <c r="B50" s="724">
        <f>SUMIF('Commodity Prices'!C$159:C$902,A50,'Commodity Prices'!D$159:D$902)</f>
        <v>396.92532127169625</v>
      </c>
      <c r="C50" s="10"/>
      <c r="D50" s="128"/>
      <c r="E50" s="128"/>
      <c r="F50" s="1984"/>
      <c r="G50" s="1984"/>
    </row>
    <row r="51" spans="1:7">
      <c r="A51" s="604">
        <f>LARGE('Commodity Prices'!C$159:C$902,17)</f>
        <v>43862</v>
      </c>
      <c r="B51" s="723">
        <f>SUMIF('Commodity Prices'!C$159:C$902,A51,'Commodity Prices'!D$159:D$902)</f>
        <v>416.18601938251527</v>
      </c>
      <c r="C51" s="10"/>
      <c r="D51" s="128"/>
      <c r="E51" s="128"/>
      <c r="F51" s="1984"/>
      <c r="G51" s="1984"/>
    </row>
    <row r="52" spans="1:7">
      <c r="A52" s="603">
        <f>LARGE('Commodity Prices'!C$159:C$902,16)</f>
        <v>43891</v>
      </c>
      <c r="B52" s="724">
        <f>SUMIF('Commodity Prices'!C$159:C$902,A52,'Commodity Prices'!D$159:D$902)</f>
        <v>440.0715921396602</v>
      </c>
      <c r="C52" s="10"/>
      <c r="D52" s="128"/>
      <c r="E52" s="128"/>
      <c r="F52" s="1984"/>
      <c r="G52" s="1984"/>
    </row>
    <row r="53" spans="1:7">
      <c r="A53" s="604">
        <f>LARGE('Commodity Prices'!C$159:C$902,15)</f>
        <v>43922</v>
      </c>
      <c r="B53" s="723">
        <f>SUMIF('Commodity Prices'!C$159:C$902,A53,'Commodity Prices'!D$159:D$902)</f>
        <v>448.50304503326066</v>
      </c>
      <c r="C53" s="10"/>
      <c r="D53" s="128"/>
      <c r="E53" s="128"/>
      <c r="F53" s="10"/>
      <c r="G53" s="10"/>
    </row>
    <row r="54" spans="1:7">
      <c r="A54" s="603">
        <f>LARGE('Commodity Prices'!C$159:C$902,14)</f>
        <v>43952</v>
      </c>
      <c r="B54" s="724">
        <f>SUMIF('Commodity Prices'!C$159:C$902,A54,'Commodity Prices'!D$159:D$902)</f>
        <v>352.48516437550927</v>
      </c>
      <c r="C54" s="10"/>
      <c r="D54" s="128"/>
      <c r="E54" s="128"/>
      <c r="F54" s="10"/>
      <c r="G54" s="10"/>
    </row>
    <row r="55" spans="1:7">
      <c r="A55" s="604">
        <f>LARGE('Commodity Prices'!C$159:C$902,13)</f>
        <v>43983</v>
      </c>
      <c r="B55" s="723">
        <f>SUMIF('Commodity Prices'!C$159:C$902,A55,'Commodity Prices'!D$159:D$902)</f>
        <v>350.1342131681975</v>
      </c>
      <c r="C55" s="10"/>
      <c r="D55" s="128"/>
      <c r="E55" s="128"/>
      <c r="F55" s="10"/>
      <c r="G55" s="10"/>
    </row>
    <row r="56" spans="1:7">
      <c r="A56" s="603">
        <f>LARGE('Commodity Prices'!C$159:C$902,12)</f>
        <v>44013</v>
      </c>
      <c r="B56" s="724">
        <f>SUMIF('Commodity Prices'!C$159:C$902,A56,'Commodity Prices'!D$159:D$902)</f>
        <v>356.87814281045519</v>
      </c>
      <c r="C56" s="10"/>
      <c r="D56" s="128"/>
      <c r="E56" s="128"/>
      <c r="F56" s="10"/>
      <c r="G56" s="10"/>
    </row>
    <row r="57" spans="1:7">
      <c r="A57" s="604">
        <f>LARGE('Commodity Prices'!C$159:C$902,11)</f>
        <v>44044</v>
      </c>
      <c r="B57" s="723">
        <f>SUMIF('Commodity Prices'!C$159:C$902,A57,'Commodity Prices'!D$159:D$902)</f>
        <v>372.44613450102361</v>
      </c>
      <c r="C57" s="10"/>
      <c r="D57" s="128"/>
      <c r="E57" s="128"/>
      <c r="F57" s="10"/>
      <c r="G57" s="10"/>
    </row>
    <row r="58" spans="1:7">
      <c r="A58" s="603">
        <f>LARGE('Commodity Prices'!C$159:C$902,10)</f>
        <v>44075</v>
      </c>
      <c r="B58" s="724">
        <f>SUMIF('Commodity Prices'!C$159:C$902,A58,'Commodity Prices'!D$159:D$902)</f>
        <v>374.6944602262173</v>
      </c>
      <c r="C58" s="10"/>
      <c r="D58" s="128"/>
      <c r="E58" s="128"/>
      <c r="F58" s="10"/>
      <c r="G58" s="10"/>
    </row>
    <row r="59" spans="1:7">
      <c r="A59" s="604">
        <f>LARGE('Commodity Prices'!C$159:C$902,9)</f>
        <v>44105</v>
      </c>
      <c r="B59" s="723">
        <f>SUMIF('Commodity Prices'!C$159:C$902,A59,'Commodity Prices'!D$159:D$902)</f>
        <v>378.71733743229407</v>
      </c>
      <c r="C59" s="10"/>
      <c r="D59" s="128"/>
      <c r="E59" s="128"/>
      <c r="F59" s="10"/>
      <c r="G59" s="10"/>
    </row>
    <row r="60" spans="1:7">
      <c r="A60" s="603">
        <f>LARGE('Commodity Prices'!C$159:C$902,8)</f>
        <v>44136</v>
      </c>
      <c r="B60" s="724">
        <f>SUMIF('Commodity Prices'!C$159:C$902,A60,'Commodity Prices'!D$159:D$902)</f>
        <v>373.37707268862522</v>
      </c>
      <c r="C60" s="10"/>
      <c r="D60" s="128"/>
      <c r="E60" s="128"/>
      <c r="F60" s="10"/>
      <c r="G60" s="10"/>
    </row>
    <row r="61" spans="1:7">
      <c r="A61" s="604">
        <f>LARGE('Commodity Prices'!C$159:C$902,7)</f>
        <v>44166</v>
      </c>
      <c r="B61" s="723">
        <f>SUMIF('Commodity Prices'!C$159:C$902,A61,'Commodity Prices'!D$159:D$902)</f>
        <v>369.11537463760158</v>
      </c>
      <c r="C61" s="10"/>
      <c r="D61" s="128"/>
      <c r="E61" s="128"/>
      <c r="F61" s="10"/>
      <c r="G61" s="10"/>
    </row>
    <row r="62" spans="1:7">
      <c r="A62" s="603">
        <f>LARGE('Commodity Prices'!C$159:C$902,6)</f>
        <v>44197</v>
      </c>
      <c r="B62" s="724">
        <f>SUMIF('Commodity Prices'!C$159:C$902,A62,'Commodity Prices'!D$159:D$902)</f>
        <v>369.11537463760158</v>
      </c>
      <c r="C62" s="10"/>
      <c r="D62" s="128"/>
      <c r="E62" s="128"/>
      <c r="F62" s="10"/>
      <c r="G62" s="10"/>
    </row>
    <row r="63" spans="1:7">
      <c r="A63" s="604">
        <f>LARGE('Commodity Prices'!C$159:C$902,5)</f>
        <v>44228</v>
      </c>
      <c r="B63" s="723">
        <f>SUMIF('Commodity Prices'!C$159:C$902,A63,'Commodity Prices'!D$159:D$902)</f>
        <v>375.80225148839173</v>
      </c>
      <c r="C63" s="10"/>
      <c r="D63" s="128"/>
      <c r="E63" s="128"/>
      <c r="F63" s="10"/>
      <c r="G63" s="10"/>
    </row>
    <row r="64" spans="1:7">
      <c r="A64" s="603">
        <f>LARGE('Commodity Prices'!C$159:C$902,4)</f>
        <v>44256</v>
      </c>
      <c r="B64" s="724">
        <f>SUMIF('Commodity Prices'!C$159:C$902,A64,'Commodity Prices'!D$159:D$902)</f>
        <v>384.0978329304437</v>
      </c>
      <c r="C64" s="10"/>
      <c r="D64" s="128"/>
      <c r="E64" s="128"/>
      <c r="F64" s="10"/>
      <c r="G64" s="10"/>
    </row>
    <row r="65" spans="1:7">
      <c r="A65" s="603">
        <f>LARGE('Commodity Prices'!C$159:C$902,3)</f>
        <v>44287</v>
      </c>
      <c r="B65" s="723">
        <f>SUMIF('Commodity Prices'!C$159:C$902,A65,'Commodity Prices'!D$159:D$902)</f>
        <v>398.32071225827769</v>
      </c>
      <c r="C65" s="10"/>
      <c r="D65" s="128"/>
      <c r="E65" s="128"/>
      <c r="F65" s="10"/>
      <c r="G65" s="10"/>
    </row>
    <row r="66" spans="1:7">
      <c r="A66" s="603">
        <f>LARGE('Commodity Prices'!C$159:C$902,2)</f>
        <v>44317</v>
      </c>
      <c r="B66" s="806">
        <f>SUMIF('Commodity Prices'!C$159:C$902,A66,'Commodity Prices'!D$159:D$902)</f>
        <v>398.32071225827769</v>
      </c>
      <c r="C66" s="10"/>
      <c r="D66" s="128"/>
      <c r="E66" s="128"/>
      <c r="F66" s="10"/>
      <c r="G66" s="10"/>
    </row>
    <row r="67" spans="1:7" ht="15.75" thickBot="1">
      <c r="A67" s="1690">
        <f>LARGE('Commodity Prices'!C$159:C$902,1)</f>
        <v>44348</v>
      </c>
      <c r="B67" s="1617">
        <f>SUMIF('Commodity Prices'!C$159:C$902,A67,'Commodity Prices'!D$159:D$902)</f>
        <v>383.24303772598245</v>
      </c>
      <c r="C67" s="10"/>
      <c r="D67" s="128"/>
      <c r="E67" s="128"/>
      <c r="F67" s="10"/>
      <c r="G67" s="10"/>
    </row>
    <row r="68" spans="1:7">
      <c r="A68" s="1672"/>
      <c r="F68" s="10"/>
      <c r="G68" s="10"/>
    </row>
    <row r="69" spans="1:7">
      <c r="A69" s="1672"/>
    </row>
    <row r="70" spans="1:7">
      <c r="A70" s="1672"/>
    </row>
  </sheetData>
  <mergeCells count="8">
    <mergeCell ref="F5:G5"/>
    <mergeCell ref="A5:B5"/>
    <mergeCell ref="F45:G45"/>
    <mergeCell ref="F50:G52"/>
    <mergeCell ref="F46:G46"/>
    <mergeCell ref="F47:G47"/>
    <mergeCell ref="A6:B6"/>
    <mergeCell ref="F6:G6"/>
  </mergeCells>
  <dataValidations count="1">
    <dataValidation type="list" allowBlank="1" showInputMessage="1" showErrorMessage="1" promptTitle="Select a Period:" prompt="Select Financial or Calendar years." sqref="F46:G46">
      <formula1>$Y$1:$Y$2</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39997558519241921"/>
  </sheetPr>
  <dimension ref="A1:AW81"/>
  <sheetViews>
    <sheetView showGridLines="0" workbookViewId="0"/>
  </sheetViews>
  <sheetFormatPr defaultRowHeight="15"/>
  <cols>
    <col min="1" max="1" width="24.42578125" customWidth="1"/>
    <col min="2" max="2" width="5.28515625" bestFit="1" customWidth="1"/>
    <col min="3" max="3" width="16" customWidth="1"/>
    <col min="4" max="4" width="15.140625" bestFit="1" customWidth="1"/>
    <col min="5" max="8" width="15.42578125" customWidth="1"/>
    <col min="9" max="9" width="18" bestFit="1" customWidth="1"/>
    <col min="10" max="10" width="15.42578125" customWidth="1"/>
    <col min="11" max="11" width="16.28515625" bestFit="1" customWidth="1"/>
    <col min="12" max="14" width="15.42578125" customWidth="1"/>
    <col min="23" max="23" width="17.85546875" customWidth="1"/>
  </cols>
  <sheetData>
    <row r="1" spans="1:49">
      <c r="V1" s="426" t="s">
        <v>0</v>
      </c>
      <c r="W1" s="426" t="str">
        <f>"Alumina And Bauxite Exports "&amp;B6&amp;CHAR(10)&amp;"Total Value: $"&amp;TEXT(C21,"#,###")</f>
        <v>Alumina And Bauxite Exports 2020-21
Total Value: $5,668,047,437</v>
      </c>
      <c r="X1" s="426" t="s">
        <v>369</v>
      </c>
      <c r="Y1" s="426" t="str">
        <f>IF($B$5="Calendar Year",MAX('Commodity Prices'!$AJ$9:$AJ$3502),CONCATENATE(MAX('Commodity Prices'!$AV$9:$AV$3487),"-",VALUE(RIGHT(MAX('Commodity Prices'!$AV$9:$AV$3487),2))+1))</f>
        <v>2020-21</v>
      </c>
      <c r="Z1" s="426">
        <f t="array" ref="Z1">MIN(IF('Commodity Prices'!$AI$9:$AI$3502=V1,'Commodity Prices'!$AJ$9:$AJ$3502))</f>
        <v>2007</v>
      </c>
      <c r="AP1" s="1665"/>
    </row>
    <row r="2" spans="1:49">
      <c r="W2" s="426" t="str">
        <f>IF($B$5=X1,IF(RIGHT(LEFT(B6,5),1)="-","Mismatch Error",""),IF(LEN(B6)=4,"Mismatch Error",""))</f>
        <v/>
      </c>
      <c r="X2" s="426" t="s">
        <v>382</v>
      </c>
      <c r="Y2" s="426" t="str">
        <f>IFERROR(IF($B$5=$X$1,IF($Z$1&lt;=(Y1-1),Y1-1,""),IF($Z$1=VALUE(LEFT(Y1,4)),"",CONCATENATE(VALUE(LEFT(Y1,4))-1,"-",RIGHT(LEFT(Y1,4),2)))),"")</f>
        <v>2019-20</v>
      </c>
      <c r="Z2" s="386"/>
      <c r="AI2" s="140"/>
      <c r="AJ2" s="140"/>
      <c r="AK2" s="140"/>
      <c r="AL2" s="140"/>
      <c r="AM2" s="237"/>
      <c r="AN2" s="237"/>
      <c r="AO2" s="237"/>
      <c r="AP2" s="237"/>
      <c r="AQ2" s="237"/>
      <c r="AR2" s="237"/>
      <c r="AS2" s="237"/>
      <c r="AT2" s="237"/>
      <c r="AU2" s="237"/>
      <c r="AV2" s="237"/>
      <c r="AW2" s="140"/>
    </row>
    <row r="3" spans="1:49">
      <c r="W3" s="426"/>
      <c r="X3" s="426"/>
      <c r="Y3" s="426" t="str">
        <f t="shared" ref="Y3:Y25" si="0">IFERROR(IF($B$5=$X$1,IF($Z$1&lt;=(Y2-1),Y2-1,""),IF($Z$1=VALUE(LEFT(Y2,4)),"",CONCATENATE(VALUE(LEFT(Y2,4))-1,"-",RIGHT(LEFT(Y2,4),2)))),"")</f>
        <v>2018-19</v>
      </c>
      <c r="AI3" s="140"/>
      <c r="AJ3" s="140"/>
      <c r="AK3" s="140"/>
      <c r="AL3" s="140"/>
      <c r="AM3" s="237"/>
      <c r="AN3" s="237"/>
      <c r="AO3" s="237"/>
      <c r="AP3" s="237"/>
      <c r="AQ3" s="237"/>
      <c r="AR3" s="237"/>
      <c r="AS3" s="237"/>
      <c r="AT3" s="237"/>
      <c r="AU3" s="237"/>
      <c r="AV3" s="237"/>
      <c r="AW3" s="140"/>
    </row>
    <row r="4" spans="1:49" s="5" customFormat="1" ht="22.5" customHeight="1" thickBot="1">
      <c r="W4" s="426"/>
      <c r="X4" s="426"/>
      <c r="Y4" s="426" t="str">
        <f t="shared" si="0"/>
        <v>2017-18</v>
      </c>
      <c r="AI4" s="140"/>
      <c r="AJ4" s="140"/>
      <c r="AK4" s="140"/>
      <c r="AL4" s="140"/>
      <c r="AM4" s="237"/>
      <c r="AN4" s="237"/>
      <c r="AO4" s="237"/>
      <c r="AP4" s="237"/>
      <c r="AQ4" s="237"/>
      <c r="AR4" s="237"/>
      <c r="AS4" s="237"/>
      <c r="AT4" s="237"/>
      <c r="AU4" s="237"/>
      <c r="AV4" s="237"/>
      <c r="AW4" s="140"/>
    </row>
    <row r="5" spans="1:49" s="386" customFormat="1" ht="15.75" thickBot="1">
      <c r="A5" s="9" t="s">
        <v>383</v>
      </c>
      <c r="B5" s="1989" t="s">
        <v>382</v>
      </c>
      <c r="C5" s="1949"/>
      <c r="D5" s="1950"/>
      <c r="E5" s="425"/>
      <c r="W5" s="426"/>
      <c r="X5" s="426"/>
      <c r="Y5" s="426" t="str">
        <f t="shared" si="0"/>
        <v>2016-17</v>
      </c>
      <c r="AI5" s="140"/>
      <c r="AJ5" s="140"/>
      <c r="AK5" s="140"/>
      <c r="AL5" s="140"/>
      <c r="AM5" s="237"/>
      <c r="AN5" s="237"/>
      <c r="AO5" s="237"/>
      <c r="AP5" s="237"/>
      <c r="AQ5" s="237"/>
      <c r="AR5" s="237"/>
      <c r="AS5" s="237"/>
      <c r="AT5" s="237"/>
      <c r="AU5" s="237"/>
      <c r="AV5" s="237"/>
      <c r="AW5" s="140"/>
    </row>
    <row r="6" spans="1:49" s="386" customFormat="1" ht="15.75" thickBot="1">
      <c r="A6" s="9" t="s">
        <v>383</v>
      </c>
      <c r="B6" s="1989" t="s">
        <v>808</v>
      </c>
      <c r="C6" s="1949"/>
      <c r="D6" s="1950"/>
      <c r="E6" s="425"/>
      <c r="W6" s="426"/>
      <c r="X6" s="426"/>
      <c r="Y6" s="426" t="str">
        <f t="shared" si="0"/>
        <v>2015-16</v>
      </c>
      <c r="AI6" s="140"/>
      <c r="AJ6" s="140"/>
      <c r="AK6" s="140"/>
      <c r="AL6" s="140"/>
      <c r="AM6" s="237"/>
      <c r="AN6" s="237"/>
      <c r="AO6" s="237"/>
      <c r="AP6" s="237"/>
      <c r="AQ6" s="237"/>
      <c r="AR6" s="237"/>
      <c r="AS6" s="237"/>
      <c r="AT6" s="237"/>
      <c r="AU6" s="237"/>
      <c r="AV6" s="237"/>
      <c r="AW6" s="140"/>
    </row>
    <row r="7" spans="1:49" s="386" customFormat="1">
      <c r="W7" s="426"/>
      <c r="X7" s="426"/>
      <c r="Y7" s="426" t="str">
        <f t="shared" si="0"/>
        <v>2014-15</v>
      </c>
      <c r="AI7" s="140"/>
      <c r="AJ7" s="140"/>
      <c r="AK7" s="140"/>
      <c r="AL7" s="140"/>
      <c r="AM7" s="237"/>
      <c r="AN7" s="237"/>
      <c r="AO7" s="237"/>
      <c r="AP7" s="237"/>
      <c r="AQ7" s="237"/>
      <c r="AR7" s="237"/>
      <c r="AS7" s="237"/>
      <c r="AT7" s="237"/>
      <c r="AU7" s="237"/>
      <c r="AV7" s="237"/>
      <c r="AW7" s="140"/>
    </row>
    <row r="8" spans="1:49" ht="15.75" thickBot="1">
      <c r="A8" s="1981" t="str">
        <f>IF($B$6="Click here to select an option","Select a year above for display.",CONCATENATE("Alumina And Bauxite Exports ",B6))</f>
        <v>Alumina And Bauxite Exports 2020-21</v>
      </c>
      <c r="B8" s="1981"/>
      <c r="C8" s="1981"/>
      <c r="D8" s="1981"/>
      <c r="W8" s="426"/>
      <c r="X8" s="426"/>
      <c r="Y8" s="426" t="str">
        <f t="shared" si="0"/>
        <v>2013-14</v>
      </c>
      <c r="AI8" s="140"/>
      <c r="AJ8" s="140"/>
      <c r="AK8" s="140"/>
      <c r="AL8" s="140"/>
      <c r="AM8" s="237"/>
      <c r="AN8" s="237"/>
      <c r="AO8" s="237"/>
      <c r="AP8" s="237"/>
      <c r="AQ8" s="237"/>
      <c r="AR8" s="237"/>
      <c r="AS8" s="237"/>
      <c r="AT8" s="237"/>
      <c r="AU8" s="237"/>
      <c r="AV8" s="237"/>
      <c r="AW8" s="140"/>
    </row>
    <row r="9" spans="1:49" ht="15.75" thickBot="1">
      <c r="A9" s="401" t="s">
        <v>37</v>
      </c>
      <c r="B9" s="727" t="s">
        <v>38</v>
      </c>
      <c r="C9" s="727" t="s">
        <v>678</v>
      </c>
      <c r="D9" s="788" t="s">
        <v>40</v>
      </c>
      <c r="W9" s="426"/>
      <c r="X9" s="426"/>
      <c r="Y9" s="426" t="str">
        <f t="shared" si="0"/>
        <v>2012-13</v>
      </c>
      <c r="AI9" s="140"/>
      <c r="AJ9" s="140"/>
      <c r="AK9" s="140"/>
      <c r="AL9" s="140"/>
      <c r="AM9" s="237"/>
      <c r="AN9" s="237"/>
      <c r="AO9" s="237"/>
      <c r="AP9" s="237"/>
      <c r="AQ9" s="237"/>
      <c r="AR9" s="237"/>
      <c r="AS9" s="237"/>
      <c r="AT9" s="237"/>
      <c r="AU9" s="237"/>
      <c r="AV9" s="237"/>
      <c r="AW9" s="140"/>
    </row>
    <row r="10" spans="1:49">
      <c r="A10" s="786" t="str">
        <f t="array" ref="A10">IF($W$2="Mismatch Error","Mismatch Error",IF($B$5=$X$1,INDEX('Commodity Prices'!$AI$9:$AN$3502,MATCH(1,(('Commodity Prices'!$AI$9:$AI$3502)="Alumina")*(('Commodity Prices'!$AJ$9:$AJ$3502)=$B$6)*(('Commodity Prices'!$AL$9:$AL$3502)=B10),0),3),INDEX('Commodity Prices'!$AP$9:$AU$3487,MATCH(1,(('Commodity Prices'!$AP$9:$AP$3487)="Alumina")*(('Commodity Prices'!$AQ$9:$AQ$3487)=$B$6)*(('Commodity Prices'!$AS$9:$AS$3487)=B10),0),3)))</f>
        <v>Bahrain</v>
      </c>
      <c r="B10" s="789">
        <v>1</v>
      </c>
      <c r="C10" s="1239">
        <f t="array" ref="C10">IF($W$2="Mismatch Error","",IF($B$5=$X$1,INDEX('Commodity Prices'!$AI$9:$AN$3502,MATCH(1,(('Commodity Prices'!$AI$9:$AI$3502)="Alumina")*(('Commodity Prices'!$AJ$9:$AJ$3502)=$B$6)*(('Commodity Prices'!$AL$9:$AL$3502)=B10),0),5),INDEX('Commodity Prices'!$AP$9:$AU$3487,MATCH(1,(('Commodity Prices'!$AP$9:$AP$3487)="Alumina")*(('Commodity Prices'!$AQ$9:$AQ$3487)=$B$6)*(('Commodity Prices'!$AS$9:$AS$3487)=B10),0),5)))</f>
        <v>1054643125.9399999</v>
      </c>
      <c r="D10" s="790">
        <f>IF($W$2="Mismatch Error","",C10/$C$21)</f>
        <v>0.18606815446650138</v>
      </c>
      <c r="W10" s="426"/>
      <c r="X10" s="426"/>
      <c r="Y10" s="426" t="str">
        <f t="shared" si="0"/>
        <v>2011-12</v>
      </c>
      <c r="AI10" s="140"/>
      <c r="AJ10" s="140"/>
      <c r="AK10" s="140"/>
      <c r="AL10" s="140"/>
      <c r="AM10" s="237"/>
      <c r="AN10" s="237"/>
      <c r="AO10" s="237"/>
      <c r="AP10" s="237"/>
      <c r="AQ10" s="237"/>
      <c r="AR10" s="237"/>
      <c r="AS10" s="237"/>
      <c r="AT10" s="237"/>
      <c r="AU10" s="237"/>
      <c r="AV10" s="237"/>
      <c r="AW10" s="140"/>
    </row>
    <row r="11" spans="1:49">
      <c r="A11" s="580" t="str">
        <f t="array" ref="A11">IF($W$2="Mismatch Error","",IF($B$5=$X$1,INDEX('Commodity Prices'!$AI$9:$AN$3502,MATCH(1,(('Commodity Prices'!$AI$9:$AI$3502)="Alumina")*(('Commodity Prices'!$AJ$9:$AJ$3502)=$B$6)*(('Commodity Prices'!$AL$9:$AL$3502)=B11),0),3),INDEX('Commodity Prices'!$AP$9:$AU$3487,MATCH(1,(('Commodity Prices'!$AP$9:$AP$3487)="Alumina")*(('Commodity Prices'!$AQ$9:$AQ$3487)=$B$6)*(('Commodity Prices'!$AS$9:$AS$3487)=B11),0),3)))</f>
        <v>United Arab Emirates</v>
      </c>
      <c r="B11" s="791">
        <v>2</v>
      </c>
      <c r="C11" s="1240">
        <f t="array" ref="C11">IF($W$2="Mismatch Error","",IF($B$5=$X$1,INDEX('Commodity Prices'!$AI$9:$AN$3502,MATCH(1,(('Commodity Prices'!$AI$9:$AI$3502)="Alumina")*(('Commodity Prices'!$AJ$9:$AJ$3502)=$B$6)*(('Commodity Prices'!$AL$9:$AL$3502)=B11),0),5),INDEX('Commodity Prices'!$AP$9:$AU$3487,MATCH(1,(('Commodity Prices'!$AP$9:$AP$3487)="Alumina")*(('Commodity Prices'!$AQ$9:$AQ$3487)=$B$6)*(('Commodity Prices'!$AS$9:$AS$3487)=B11),0),5)))</f>
        <v>848125326.12</v>
      </c>
      <c r="D11" s="792">
        <f t="shared" ref="D11:D20" si="1">IF($W$2="Mismatch Error","",C11/$C$21)</f>
        <v>0.14963271490229768</v>
      </c>
      <c r="W11" s="426"/>
      <c r="X11" s="426"/>
      <c r="Y11" s="426" t="str">
        <f t="shared" si="0"/>
        <v>2010-11</v>
      </c>
      <c r="AI11" s="140"/>
      <c r="AJ11" s="140"/>
      <c r="AK11" s="140"/>
      <c r="AL11" s="140"/>
      <c r="AM11" s="237"/>
      <c r="AN11" s="237"/>
      <c r="AO11" s="237"/>
      <c r="AP11" s="237"/>
      <c r="AQ11" s="237"/>
      <c r="AR11" s="237"/>
      <c r="AS11" s="237"/>
      <c r="AT11" s="237"/>
      <c r="AU11" s="237"/>
      <c r="AV11" s="237"/>
      <c r="AW11" s="140"/>
    </row>
    <row r="12" spans="1:49">
      <c r="A12" s="786" t="str">
        <f t="array" ref="A12">IF($W$2="Mismatch Error","",IF($B$5=$X$1,INDEX('Commodity Prices'!$AI$9:$AN$3502,MATCH(1,(('Commodity Prices'!$AI$9:$AI$3502)="Alumina")*(('Commodity Prices'!$AJ$9:$AJ$3502)=$B$6)*(('Commodity Prices'!$AL$9:$AL$3502)=B12),0),3),INDEX('Commodity Prices'!$AP$9:$AU$3487,MATCH(1,(('Commodity Prices'!$AP$9:$AP$3487)="Alumina")*(('Commodity Prices'!$AQ$9:$AQ$3487)=$B$6)*(('Commodity Prices'!$AS$9:$AS$3487)=B12),0),3)))</f>
        <v>China</v>
      </c>
      <c r="B12" s="789">
        <v>3</v>
      </c>
      <c r="C12" s="1239">
        <f t="array" ref="C12">IF($W$2="Mismatch Error","",IF($B$5=$X$1,INDEX('Commodity Prices'!$AI$9:$AN$3502,MATCH(1,(('Commodity Prices'!$AI$9:$AI$3502)="Alumina")*(('Commodity Prices'!$AJ$9:$AJ$3502)=$B$6)*(('Commodity Prices'!$AL$9:$AL$3502)=B12),0),5),INDEX('Commodity Prices'!$AP$9:$AU$3487,MATCH(1,(('Commodity Prices'!$AP$9:$AP$3487)="Alumina")*(('Commodity Prices'!$AQ$9:$AQ$3487)=$B$6)*(('Commodity Prices'!$AS$9:$AS$3487)=B12),0),5)))</f>
        <v>649071666.27999997</v>
      </c>
      <c r="D12" s="790">
        <f t="shared" si="1"/>
        <v>0.11451415563304712</v>
      </c>
      <c r="W12" s="426"/>
      <c r="X12" s="426"/>
      <c r="Y12" s="426" t="str">
        <f t="shared" si="0"/>
        <v>2009-10</v>
      </c>
      <c r="AI12" s="140"/>
      <c r="AJ12" s="140"/>
      <c r="AK12" s="140"/>
      <c r="AL12" s="140"/>
      <c r="AM12" s="237"/>
      <c r="AN12" s="237"/>
      <c r="AO12" s="237"/>
      <c r="AP12" s="237"/>
      <c r="AQ12" s="237"/>
      <c r="AR12" s="237"/>
      <c r="AS12" s="237"/>
      <c r="AT12" s="237"/>
      <c r="AU12" s="237"/>
      <c r="AV12" s="237"/>
      <c r="AW12" s="140"/>
    </row>
    <row r="13" spans="1:49">
      <c r="A13" s="580" t="str">
        <f t="array" ref="A13">IF($W$2="Mismatch Error","",IF($B$5=$X$1,INDEX('Commodity Prices'!$AI$9:$AN$3502,MATCH(1,(('Commodity Prices'!$AI$9:$AI$3502)="Alumina")*(('Commodity Prices'!$AJ$9:$AJ$3502)=$B$6)*(('Commodity Prices'!$AL$9:$AL$3502)=B13),0),3),INDEX('Commodity Prices'!$AP$9:$AU$3487,MATCH(1,(('Commodity Prices'!$AP$9:$AP$3487)="Alumina")*(('Commodity Prices'!$AQ$9:$AQ$3487)=$B$6)*(('Commodity Prices'!$AS$9:$AS$3487)=B13),0),3)))</f>
        <v>South Africa</v>
      </c>
      <c r="B13" s="791">
        <v>4</v>
      </c>
      <c r="C13" s="1240">
        <f t="array" ref="C13">IF($W$2="Mismatch Error","",IF($B$5=$X$1,INDEX('Commodity Prices'!$AI$9:$AN$3502,MATCH(1,(('Commodity Prices'!$AI$9:$AI$3502)="Alumina")*(('Commodity Prices'!$AJ$9:$AJ$3502)=$B$6)*(('Commodity Prices'!$AL$9:$AL$3502)=B13),0),5),INDEX('Commodity Prices'!$AP$9:$AU$3487,MATCH(1,(('Commodity Prices'!$AP$9:$AP$3487)="Alumina")*(('Commodity Prices'!$AQ$9:$AQ$3487)=$B$6)*(('Commodity Prices'!$AS$9:$AS$3487)=B13),0),5)))</f>
        <v>606515305.56999993</v>
      </c>
      <c r="D13" s="792">
        <f t="shared" si="1"/>
        <v>0.10700603909261758</v>
      </c>
      <c r="Y13" s="426" t="str">
        <f t="shared" si="0"/>
        <v>2008-09</v>
      </c>
      <c r="AI13" s="140"/>
      <c r="AJ13" s="140"/>
      <c r="AK13" s="140"/>
      <c r="AL13" s="140"/>
      <c r="AM13" s="237"/>
      <c r="AN13" s="237"/>
      <c r="AO13" s="237"/>
      <c r="AP13" s="237"/>
      <c r="AQ13" s="237"/>
      <c r="AR13" s="237"/>
      <c r="AS13" s="237"/>
      <c r="AT13" s="237"/>
      <c r="AU13" s="237"/>
      <c r="AV13" s="237"/>
      <c r="AW13" s="140"/>
    </row>
    <row r="14" spans="1:49">
      <c r="A14" s="786" t="str">
        <f t="array" ref="A14">IF($W$2="Mismatch Error","",IF($B$5=$X$1,INDEX('Commodity Prices'!$AI$9:$AN$3502,MATCH(1,(('Commodity Prices'!$AI$9:$AI$3502)="Alumina")*(('Commodity Prices'!$AJ$9:$AJ$3502)=$B$6)*(('Commodity Prices'!$AL$9:$AL$3502)=B14),0),3),INDEX('Commodity Prices'!$AP$9:$AU$3487,MATCH(1,(('Commodity Prices'!$AP$9:$AP$3487)="Alumina")*(('Commodity Prices'!$AQ$9:$AQ$3487)=$B$6)*(('Commodity Prices'!$AS$9:$AS$3487)=B14),0),3)))</f>
        <v>Mozambique</v>
      </c>
      <c r="B14" s="789">
        <v>5</v>
      </c>
      <c r="C14" s="1239">
        <f t="array" ref="C14">IF($W$2="Mismatch Error","",IF($B$5=$X$1,INDEX('Commodity Prices'!$AI$9:$AN$3502,MATCH(1,(('Commodity Prices'!$AI$9:$AI$3502)="Alumina")*(('Commodity Prices'!$AJ$9:$AJ$3502)=$B$6)*(('Commodity Prices'!$AL$9:$AL$3502)=B14),0),5),INDEX('Commodity Prices'!$AP$9:$AU$3487,MATCH(1,(('Commodity Prices'!$AP$9:$AP$3487)="Alumina")*(('Commodity Prices'!$AQ$9:$AQ$3487)=$B$6)*(('Commodity Prices'!$AS$9:$AS$3487)=B14),0),5)))</f>
        <v>494147508.14000005</v>
      </c>
      <c r="D14" s="790">
        <f t="shared" si="1"/>
        <v>8.7181258391913291E-2</v>
      </c>
      <c r="Y14" s="426" t="str">
        <f t="shared" si="0"/>
        <v>2007-08</v>
      </c>
      <c r="AI14" s="140"/>
      <c r="AJ14" s="140"/>
      <c r="AK14" s="140"/>
      <c r="AL14" s="140"/>
      <c r="AM14" s="237"/>
      <c r="AN14" s="237"/>
      <c r="AO14" s="237"/>
      <c r="AP14" s="237"/>
      <c r="AQ14" s="237"/>
      <c r="AR14" s="237"/>
      <c r="AS14" s="237"/>
      <c r="AT14" s="237"/>
      <c r="AU14" s="237"/>
      <c r="AV14" s="237"/>
      <c r="AW14" s="140"/>
    </row>
    <row r="15" spans="1:49">
      <c r="A15" s="580" t="str">
        <f t="array" ref="A15">IF($W$2="Mismatch Error","",IF($B$5=$X$1,INDEX('Commodity Prices'!$AI$9:$AN$3502,MATCH(1,(('Commodity Prices'!$AI$9:$AI$3502)="Alumina")*(('Commodity Prices'!$AJ$9:$AJ$3502)=$B$6)*(('Commodity Prices'!$AL$9:$AL$3502)=B15),0),3),INDEX('Commodity Prices'!$AP$9:$AU$3487,MATCH(1,(('Commodity Prices'!$AP$9:$AP$3487)="Alumina")*(('Commodity Prices'!$AQ$9:$AQ$3487)=$B$6)*(('Commodity Prices'!$AS$9:$AS$3487)=B15),0),3)))</f>
        <v>Malaysia</v>
      </c>
      <c r="B15" s="791">
        <v>6</v>
      </c>
      <c r="C15" s="1240">
        <f t="array" ref="C15">IF($W$2="Mismatch Error","",IF($B$5=$X$1,INDEX('Commodity Prices'!$AI$9:$AN$3502,MATCH(1,(('Commodity Prices'!$AI$9:$AI$3502)="Alumina")*(('Commodity Prices'!$AJ$9:$AJ$3502)=$B$6)*(('Commodity Prices'!$AL$9:$AL$3502)=B15),0),5),INDEX('Commodity Prices'!$AP$9:$AU$3487,MATCH(1,(('Commodity Prices'!$AP$9:$AP$3487)="Alumina")*(('Commodity Prices'!$AQ$9:$AQ$3487)=$B$6)*(('Commodity Prices'!$AS$9:$AS$3487)=B15),0),5)))</f>
        <v>402630686.25</v>
      </c>
      <c r="D15" s="792">
        <f t="shared" si="1"/>
        <v>7.1035165241650253E-2</v>
      </c>
      <c r="Y15" s="426" t="str">
        <f t="shared" si="0"/>
        <v/>
      </c>
      <c r="AI15" s="140"/>
      <c r="AJ15" s="140"/>
      <c r="AK15" s="140"/>
      <c r="AL15" s="140"/>
      <c r="AM15" s="237"/>
      <c r="AN15" s="237"/>
      <c r="AO15" s="237"/>
      <c r="AP15" s="237"/>
      <c r="AQ15" s="237"/>
      <c r="AR15" s="237"/>
      <c r="AS15" s="237"/>
      <c r="AT15" s="237"/>
      <c r="AU15" s="237"/>
      <c r="AV15" s="237"/>
      <c r="AW15" s="140"/>
    </row>
    <row r="16" spans="1:49">
      <c r="A16" s="786" t="str">
        <f t="array" ref="A16">IF($W$2="Mismatch Error","",IF($B$5=$X$1,INDEX('Commodity Prices'!$AI$9:$AN$3502,MATCH(1,(('Commodity Prices'!$AI$9:$AI$3502)="Alumina")*(('Commodity Prices'!$AJ$9:$AJ$3502)=$B$6)*(('Commodity Prices'!$AL$9:$AL$3502)=B16),0),3),INDEX('Commodity Prices'!$AP$9:$AU$3487,MATCH(1,(('Commodity Prices'!$AP$9:$AP$3487)="Alumina")*(('Commodity Prices'!$AQ$9:$AQ$3487)=$B$6)*(('Commodity Prices'!$AS$9:$AS$3487)=B16),0),3)))</f>
        <v>India</v>
      </c>
      <c r="B16" s="789">
        <v>7</v>
      </c>
      <c r="C16" s="1239">
        <f t="array" ref="C16">IF($W$2="Mismatch Error","",IF($B$5=$X$1,INDEX('Commodity Prices'!$AI$9:$AN$3502,MATCH(1,(('Commodity Prices'!$AI$9:$AI$3502)="Alumina")*(('Commodity Prices'!$AJ$9:$AJ$3502)=$B$6)*(('Commodity Prices'!$AL$9:$AL$3502)=B16),0),5),INDEX('Commodity Prices'!$AP$9:$AU$3487,MATCH(1,(('Commodity Prices'!$AP$9:$AP$3487)="Alumina")*(('Commodity Prices'!$AQ$9:$AQ$3487)=$B$6)*(('Commodity Prices'!$AS$9:$AS$3487)=B16),0),5)))</f>
        <v>394443551.61000001</v>
      </c>
      <c r="D16" s="790">
        <f t="shared" si="1"/>
        <v>6.9590728734774246E-2</v>
      </c>
      <c r="Y16" s="426" t="str">
        <f t="shared" si="0"/>
        <v/>
      </c>
      <c r="AI16" s="140"/>
      <c r="AJ16" s="140"/>
      <c r="AK16" s="140"/>
      <c r="AL16" s="140"/>
      <c r="AM16" s="237"/>
      <c r="AN16" s="237"/>
      <c r="AO16" s="237"/>
      <c r="AP16" s="237"/>
      <c r="AQ16" s="237"/>
      <c r="AR16" s="237"/>
      <c r="AS16" s="237"/>
      <c r="AT16" s="237"/>
      <c r="AU16" s="237"/>
      <c r="AV16" s="237"/>
      <c r="AW16" s="140"/>
    </row>
    <row r="17" spans="1:49">
      <c r="A17" s="580" t="str">
        <f t="array" ref="A17">IF($W$2="Mismatch Error","",IF($B$5=$X$1,INDEX('Commodity Prices'!$AI$9:$AN$3502,MATCH(1,(('Commodity Prices'!$AI$9:$AI$3502)="Alumina")*(('Commodity Prices'!$AJ$9:$AJ$3502)=$B$6)*(('Commodity Prices'!$AL$9:$AL$3502)=B17),0),3),INDEX('Commodity Prices'!$AP$9:$AU$3487,MATCH(1,(('Commodity Prices'!$AP$9:$AP$3487)="Alumina")*(('Commodity Prices'!$AQ$9:$AQ$3487)=$B$6)*(('Commodity Prices'!$AS$9:$AS$3487)=B17),0),3)))</f>
        <v>Qatar</v>
      </c>
      <c r="B17" s="791">
        <v>8</v>
      </c>
      <c r="C17" s="1240">
        <f t="array" ref="C17">IF($W$2="Mismatch Error","",IF($B$5=$X$1,INDEX('Commodity Prices'!$AI$9:$AN$3502,MATCH(1,(('Commodity Prices'!$AI$9:$AI$3502)="Alumina")*(('Commodity Prices'!$AJ$9:$AJ$3502)=$B$6)*(('Commodity Prices'!$AL$9:$AL$3502)=B17),0),5),INDEX('Commodity Prices'!$AP$9:$AU$3487,MATCH(1,(('Commodity Prices'!$AP$9:$AP$3487)="Alumina")*(('Commodity Prices'!$AQ$9:$AQ$3487)=$B$6)*(('Commodity Prices'!$AS$9:$AS$3487)=B17),0),5)))</f>
        <v>275365489.21000004</v>
      </c>
      <c r="D17" s="792">
        <f t="shared" si="1"/>
        <v>4.8582072097045022E-2</v>
      </c>
      <c r="Y17" s="426" t="str">
        <f t="shared" si="0"/>
        <v/>
      </c>
      <c r="AI17" s="140"/>
      <c r="AJ17" s="140"/>
      <c r="AK17" s="140"/>
      <c r="AL17" s="140"/>
      <c r="AM17" s="237"/>
      <c r="AN17" s="237"/>
      <c r="AO17" s="237"/>
      <c r="AP17" s="237"/>
      <c r="AQ17" s="237"/>
      <c r="AR17" s="237"/>
      <c r="AS17" s="237"/>
      <c r="AT17" s="237"/>
      <c r="AU17" s="237"/>
      <c r="AV17" s="237"/>
      <c r="AW17" s="140"/>
    </row>
    <row r="18" spans="1:49">
      <c r="A18" s="786" t="str">
        <f t="array" ref="A18">IF($W$2="Mismatch Error","",IF($B$5=$X$1,INDEX('Commodity Prices'!$AI$9:$AN$3502,MATCH(1,(('Commodity Prices'!$AI$9:$AI$3502)="Alumina")*(('Commodity Prices'!$AJ$9:$AJ$3502)=$B$6)*(('Commodity Prices'!$AL$9:$AL$3502)=B18),0),3),INDEX('Commodity Prices'!$AP$9:$AU$3487,MATCH(1,(('Commodity Prices'!$AP$9:$AP$3487)="Alumina")*(('Commodity Prices'!$AQ$9:$AQ$3487)=$B$6)*(('Commodity Prices'!$AS$9:$AS$3487)=B18),0),3)))</f>
        <v>Indonesia</v>
      </c>
      <c r="B18" s="789">
        <v>9</v>
      </c>
      <c r="C18" s="1239">
        <f t="array" ref="C18">IF($W$2="Mismatch Error","",IF($B$5=$X$1,INDEX('Commodity Prices'!$AI$9:$AN$3502,MATCH(1,(('Commodity Prices'!$AI$9:$AI$3502)="Alumina")*(('Commodity Prices'!$AJ$9:$AJ$3502)=$B$6)*(('Commodity Prices'!$AL$9:$AL$3502)=B18),0),5),INDEX('Commodity Prices'!$AP$9:$AU$3487,MATCH(1,(('Commodity Prices'!$AP$9:$AP$3487)="Alumina")*(('Commodity Prices'!$AQ$9:$AQ$3487)=$B$6)*(('Commodity Prices'!$AS$9:$AS$3487)=B18),0),5)))</f>
        <v>176256150.48999998</v>
      </c>
      <c r="D18" s="790">
        <f t="shared" si="1"/>
        <v>3.1096449432421579E-2</v>
      </c>
      <c r="Y18" s="426" t="str">
        <f t="shared" si="0"/>
        <v/>
      </c>
      <c r="AI18" s="140"/>
      <c r="AJ18" s="140"/>
      <c r="AK18" s="140"/>
      <c r="AL18" s="140"/>
      <c r="AM18" s="237"/>
      <c r="AN18" s="237"/>
      <c r="AO18" s="237"/>
      <c r="AP18" s="237"/>
      <c r="AQ18" s="237"/>
      <c r="AR18" s="237"/>
      <c r="AS18" s="237"/>
      <c r="AT18" s="237"/>
      <c r="AU18" s="237"/>
      <c r="AV18" s="237"/>
      <c r="AW18" s="140"/>
    </row>
    <row r="19" spans="1:49">
      <c r="A19" s="580" t="str">
        <f t="array" ref="A19">IF($W$2="Mismatch Error","",IF($B$5=$X$1,INDEX('Commodity Prices'!$AI$9:$AN$3502,MATCH(1,(('Commodity Prices'!$AI$9:$AI$3502)="Alumina")*(('Commodity Prices'!$AJ$9:$AJ$3502)=$B$6)*(('Commodity Prices'!$AL$9:$AL$3502)=B19),0),3),INDEX('Commodity Prices'!$AP$9:$AU$3487,MATCH(1,(('Commodity Prices'!$AP$9:$AP$3487)="Alumina")*(('Commodity Prices'!$AQ$9:$AQ$3487)=$B$6)*(('Commodity Prices'!$AS$9:$AS$3487)=B19),0),3)))</f>
        <v>Russian Federation</v>
      </c>
      <c r="B19" s="791">
        <v>10</v>
      </c>
      <c r="C19" s="1240">
        <f t="array" ref="C19">IF($W$2="Mismatch Error","",IF($B$5=$X$1,INDEX('Commodity Prices'!$AI$9:$AN$3502,MATCH(1,(('Commodity Prices'!$AI$9:$AI$3502)="Alumina")*(('Commodity Prices'!$AJ$9:$AJ$3502)=$B$6)*(('Commodity Prices'!$AL$9:$AL$3502)=B19),0),5),INDEX('Commodity Prices'!$AP$9:$AU$3487,MATCH(1,(('Commodity Prices'!$AP$9:$AP$3487)="Alumina")*(('Commodity Prices'!$AQ$9:$AQ$3487)=$B$6)*(('Commodity Prices'!$AS$9:$AS$3487)=B19),0),5)))</f>
        <v>173935891.63000003</v>
      </c>
      <c r="D19" s="792">
        <f t="shared" si="1"/>
        <v>3.0687091732792195E-2</v>
      </c>
      <c r="Y19" s="426" t="str">
        <f t="shared" si="0"/>
        <v/>
      </c>
      <c r="AI19" s="140"/>
      <c r="AJ19" s="140"/>
      <c r="AK19" s="140"/>
      <c r="AL19" s="140"/>
      <c r="AM19" s="237"/>
      <c r="AN19" s="237"/>
      <c r="AO19" s="237"/>
      <c r="AP19" s="237"/>
      <c r="AQ19" s="237"/>
      <c r="AR19" s="237"/>
      <c r="AS19" s="237"/>
      <c r="AT19" s="237"/>
      <c r="AU19" s="237"/>
      <c r="AV19" s="237"/>
      <c r="AW19" s="140"/>
    </row>
    <row r="20" spans="1:49" ht="15.75" thickBot="1">
      <c r="A20" s="786" t="str">
        <f>IF($W$2="Mismatch Error","","Other")</f>
        <v>Other</v>
      </c>
      <c r="B20" s="789"/>
      <c r="C20" s="1239">
        <f>IF($W$2="Mismatch Error","",IF($B$5=$X$1,SUMIFS('Commodity Prices'!$AM$9:$AM$3502,'Commodity Prices'!$AI$9:$AI$3502,"Alumina",'Commodity Prices'!$AJ$9:$AJ$3502,$B$6,'Commodity Prices'!$AK$9:$AK$3502,"TOTAL")-SUM($C$10:$C$19),SUMIFS('Commodity Prices'!$AT$9:$AT$3487,'Commodity Prices'!$AP$9:$AP$3487,"Alumina",'Commodity Prices'!$AQ$9:$AQ$3487,$B$6,'Commodity Prices'!$AR$9:$AR$3487,"TOTAL")-SUM($C$10:$C$19)))</f>
        <v>592912735.27000046</v>
      </c>
      <c r="D20" s="790">
        <f t="shared" si="1"/>
        <v>0.10460617027493968</v>
      </c>
      <c r="Y20" s="426" t="str">
        <f t="shared" si="0"/>
        <v/>
      </c>
      <c r="AI20" s="140"/>
      <c r="AJ20" s="140"/>
      <c r="AK20" s="140"/>
      <c r="AL20" s="140"/>
      <c r="AM20" s="237"/>
      <c r="AN20" s="237"/>
      <c r="AO20" s="237"/>
      <c r="AP20" s="237"/>
      <c r="AQ20" s="237"/>
      <c r="AR20" s="237"/>
      <c r="AS20" s="237"/>
      <c r="AT20" s="237"/>
      <c r="AU20" s="237"/>
      <c r="AV20" s="237"/>
      <c r="AW20" s="140"/>
    </row>
    <row r="21" spans="1:49" ht="15.75" thickBot="1">
      <c r="A21" s="793" t="str">
        <f>IF($W$2="Mismatch Error","","Grand Total")</f>
        <v>Grand Total</v>
      </c>
      <c r="B21" s="794"/>
      <c r="C21" s="795">
        <f>IF($W$2="Mismatch Error","",IF($B$5=$X$1,SUMIFS('Commodity Prices'!$AM$9:$AM$3502,'Commodity Prices'!$AI$9:$AI$3502,"Alumina",'Commodity Prices'!$AJ$9:$AJ$3502,$B$6,'Commodity Prices'!$AK$9:$AK$3502,"TOTAL"),SUMIFS('Commodity Prices'!$AT$9:$AT$3487,'Commodity Prices'!$AP$9:$AP$3487,"Alumina",'Commodity Prices'!$AQ$9:$AQ$3487,$B$6,'Commodity Prices'!$AR$9:$AR$3487,"TOTAL")))</f>
        <v>5668047436.5100002</v>
      </c>
      <c r="D21" s="796"/>
      <c r="E21" s="169"/>
      <c r="Y21" s="426" t="str">
        <f t="shared" si="0"/>
        <v/>
      </c>
      <c r="AI21" s="140"/>
      <c r="AJ21" s="140"/>
      <c r="AK21" s="140"/>
      <c r="AL21" s="140"/>
      <c r="AM21" s="237"/>
      <c r="AN21" s="237"/>
      <c r="AO21" s="237"/>
      <c r="AP21" s="237"/>
      <c r="AQ21" s="237"/>
      <c r="AR21" s="237"/>
      <c r="AS21" s="237"/>
      <c r="AT21" s="237"/>
      <c r="AU21" s="237"/>
      <c r="AV21" s="237"/>
      <c r="AW21" s="140"/>
    </row>
    <row r="22" spans="1:49" s="5" customFormat="1">
      <c r="Y22" s="426" t="str">
        <f t="shared" si="0"/>
        <v/>
      </c>
      <c r="AI22" s="140"/>
      <c r="AJ22" s="140"/>
      <c r="AK22" s="140"/>
      <c r="AL22" s="140"/>
      <c r="AM22" s="237"/>
      <c r="AN22" s="237"/>
      <c r="AO22" s="237"/>
      <c r="AP22" s="237"/>
      <c r="AQ22" s="237"/>
      <c r="AR22" s="237"/>
      <c r="AS22" s="237"/>
      <c r="AT22" s="237"/>
      <c r="AU22" s="237"/>
      <c r="AV22" s="237"/>
      <c r="AW22" s="140"/>
    </row>
    <row r="23" spans="1:49" s="5" customFormat="1">
      <c r="A23" s="1990" t="str">
        <f>IF(A10="Mismatch Error","You have selected an incompatible year or year type. Change one or the other to display data.","")</f>
        <v/>
      </c>
      <c r="B23" s="1990"/>
      <c r="C23" s="1990"/>
      <c r="D23" s="1990"/>
      <c r="Y23" s="426" t="str">
        <f t="shared" si="0"/>
        <v/>
      </c>
      <c r="AI23" s="140"/>
      <c r="AJ23" s="140"/>
      <c r="AK23" s="140"/>
      <c r="AL23" s="140"/>
      <c r="AM23" s="237"/>
      <c r="AN23" s="237"/>
      <c r="AO23" s="237"/>
      <c r="AP23" s="237"/>
      <c r="AQ23" s="237"/>
      <c r="AR23" s="237"/>
      <c r="AS23" s="237"/>
      <c r="AT23" s="237"/>
      <c r="AU23" s="237"/>
      <c r="AV23" s="237"/>
      <c r="AW23" s="140"/>
    </row>
    <row r="24" spans="1:49" s="5" customFormat="1">
      <c r="A24" s="1990"/>
      <c r="B24" s="1990"/>
      <c r="C24" s="1990"/>
      <c r="D24" s="1990"/>
      <c r="Y24" s="426" t="str">
        <f t="shared" si="0"/>
        <v/>
      </c>
      <c r="AI24" s="140"/>
      <c r="AJ24" s="140"/>
      <c r="AK24" s="140"/>
      <c r="AL24" s="140"/>
      <c r="AM24" s="237"/>
      <c r="AN24" s="237"/>
      <c r="AO24" s="237"/>
      <c r="AP24" s="237"/>
      <c r="AQ24" s="237"/>
      <c r="AR24" s="237"/>
      <c r="AS24" s="237"/>
      <c r="AT24" s="237"/>
      <c r="AU24" s="237"/>
      <c r="AV24" s="237"/>
      <c r="AW24" s="140"/>
    </row>
    <row r="25" spans="1:49" s="5" customFormat="1" ht="15" customHeight="1">
      <c r="A25" s="1991"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91"/>
      <c r="C25" s="1991"/>
      <c r="D25" s="1991"/>
      <c r="Y25" s="426" t="str">
        <f t="shared" si="0"/>
        <v/>
      </c>
      <c r="AI25" s="140"/>
      <c r="AJ25" s="140"/>
      <c r="AK25" s="140"/>
      <c r="AL25" s="140"/>
      <c r="AM25" s="237"/>
      <c r="AN25" s="237"/>
      <c r="AO25" s="237"/>
      <c r="AP25" s="237"/>
      <c r="AQ25" s="237"/>
      <c r="AR25" s="237"/>
      <c r="AS25" s="237"/>
      <c r="AT25" s="237"/>
      <c r="AU25" s="237"/>
      <c r="AV25" s="237"/>
      <c r="AW25" s="140"/>
    </row>
    <row r="26" spans="1:49" s="5" customFormat="1">
      <c r="A26" s="1991"/>
      <c r="B26" s="1991"/>
      <c r="C26" s="1991"/>
      <c r="D26" s="1991"/>
      <c r="K26" s="495"/>
      <c r="Y26" s="426"/>
      <c r="AI26" s="140"/>
      <c r="AJ26" s="140"/>
      <c r="AK26" s="140"/>
      <c r="AL26" s="140"/>
      <c r="AM26" s="237"/>
      <c r="AN26" s="237"/>
      <c r="AO26" s="237"/>
      <c r="AP26" s="237"/>
      <c r="AQ26" s="237"/>
      <c r="AR26" s="237"/>
      <c r="AS26" s="237"/>
      <c r="AT26" s="237"/>
      <c r="AU26" s="237"/>
      <c r="AV26" s="237"/>
      <c r="AW26" s="140"/>
    </row>
    <row r="27" spans="1:49" s="5" customFormat="1">
      <c r="A27" s="1991"/>
      <c r="B27" s="1991"/>
      <c r="C27" s="1991"/>
      <c r="D27" s="1991"/>
      <c r="K27" s="495"/>
      <c r="Y27" s="426"/>
      <c r="AI27" s="140"/>
      <c r="AJ27" s="140"/>
      <c r="AK27" s="140"/>
      <c r="AL27" s="140"/>
      <c r="AM27" s="237"/>
      <c r="AN27" s="237"/>
      <c r="AO27" s="237"/>
      <c r="AP27" s="237"/>
      <c r="AQ27" s="237"/>
      <c r="AR27" s="237"/>
      <c r="AS27" s="237"/>
      <c r="AT27" s="237"/>
      <c r="AU27" s="237"/>
      <c r="AV27" s="237"/>
      <c r="AW27" s="140"/>
    </row>
    <row r="28" spans="1:49" s="5" customFormat="1">
      <c r="A28" s="1991"/>
      <c r="B28" s="1991"/>
      <c r="C28" s="1991"/>
      <c r="D28" s="1991"/>
      <c r="I28" s="494"/>
      <c r="J28" s="494"/>
      <c r="K28" s="495"/>
      <c r="Y28" s="426"/>
      <c r="AI28" s="140"/>
      <c r="AJ28" s="140"/>
      <c r="AK28" s="140"/>
      <c r="AL28" s="140"/>
      <c r="AM28" s="237"/>
      <c r="AN28" s="237"/>
      <c r="AO28" s="237"/>
      <c r="AP28" s="237"/>
      <c r="AQ28" s="237"/>
      <c r="AR28" s="237"/>
      <c r="AS28" s="237"/>
      <c r="AT28" s="237"/>
      <c r="AU28" s="237"/>
      <c r="AV28" s="237"/>
      <c r="AW28" s="140"/>
    </row>
    <row r="29" spans="1:49" s="5" customFormat="1">
      <c r="I29" s="494"/>
      <c r="J29" s="494"/>
      <c r="K29" s="495"/>
      <c r="Y29" s="426"/>
      <c r="AI29" s="140"/>
      <c r="AJ29" s="140"/>
      <c r="AK29" s="140"/>
      <c r="AL29" s="140"/>
      <c r="AM29" s="237"/>
      <c r="AN29" s="237"/>
      <c r="AO29" s="237"/>
      <c r="AP29" s="237"/>
      <c r="AQ29" s="237"/>
      <c r="AR29" s="237"/>
      <c r="AS29" s="237"/>
      <c r="AT29" s="237"/>
      <c r="AU29" s="237"/>
      <c r="AV29" s="237"/>
      <c r="AW29" s="140"/>
    </row>
    <row r="30" spans="1:49" s="5" customFormat="1">
      <c r="Y30" s="426"/>
      <c r="AI30" s="140"/>
      <c r="AJ30" s="140"/>
      <c r="AK30" s="140"/>
      <c r="AL30" s="140"/>
      <c r="AM30" s="237"/>
      <c r="AN30" s="237"/>
      <c r="AO30" s="237"/>
      <c r="AP30" s="237"/>
      <c r="AQ30" s="237"/>
      <c r="AR30" s="237"/>
      <c r="AS30" s="237"/>
      <c r="AT30" s="237"/>
      <c r="AU30" s="237"/>
      <c r="AV30" s="237"/>
      <c r="AW30" s="140"/>
    </row>
    <row r="31" spans="1:49" s="5" customFormat="1">
      <c r="A31"/>
      <c r="B31"/>
      <c r="C31"/>
      <c r="D31"/>
      <c r="Y31" s="426"/>
      <c r="AI31" s="140"/>
      <c r="AJ31" s="140"/>
      <c r="AK31" s="140"/>
      <c r="AL31" s="140"/>
      <c r="AM31" s="237"/>
      <c r="AN31" s="237"/>
      <c r="AO31" s="237"/>
      <c r="AP31" s="237"/>
      <c r="AQ31" s="237"/>
      <c r="AR31" s="237"/>
      <c r="AS31" s="237"/>
      <c r="AT31" s="237"/>
      <c r="AU31" s="237"/>
      <c r="AV31" s="237"/>
      <c r="AW31" s="140"/>
    </row>
    <row r="32" spans="1:49">
      <c r="E32" s="7"/>
      <c r="F32" s="5"/>
      <c r="Y32" s="426"/>
      <c r="AI32" s="140"/>
      <c r="AJ32" s="140"/>
      <c r="AK32" s="140"/>
      <c r="AL32" s="140"/>
      <c r="AM32" s="237"/>
      <c r="AN32" s="237"/>
      <c r="AO32" s="237"/>
      <c r="AP32" s="237"/>
      <c r="AQ32" s="237"/>
      <c r="AR32" s="237"/>
      <c r="AS32" s="237"/>
      <c r="AT32" s="237"/>
      <c r="AU32" s="237"/>
      <c r="AV32" s="237"/>
      <c r="AW32" s="140"/>
    </row>
    <row r="33" spans="5:49">
      <c r="E33" s="7"/>
      <c r="F33" s="5"/>
      <c r="Y33" s="426"/>
      <c r="AI33" s="140"/>
      <c r="AJ33" s="140"/>
      <c r="AK33" s="140"/>
      <c r="AL33" s="140"/>
      <c r="AM33" s="237"/>
      <c r="AN33" s="237"/>
      <c r="AO33" s="237"/>
      <c r="AP33" s="237"/>
      <c r="AQ33" s="237"/>
      <c r="AR33" s="237"/>
      <c r="AS33" s="237"/>
      <c r="AT33" s="237"/>
      <c r="AU33" s="237"/>
      <c r="AV33" s="237"/>
      <c r="AW33" s="140"/>
    </row>
    <row r="34" spans="5:49">
      <c r="E34" s="7"/>
      <c r="F34" s="5"/>
      <c r="I34" s="106"/>
      <c r="J34" s="106"/>
      <c r="Y34" s="426"/>
      <c r="AI34" s="140"/>
      <c r="AJ34" s="140"/>
      <c r="AK34" s="140"/>
      <c r="AL34" s="140"/>
      <c r="AM34" s="237"/>
      <c r="AN34" s="237"/>
      <c r="AO34" s="237"/>
      <c r="AP34" s="237"/>
      <c r="AQ34" s="237"/>
      <c r="AR34" s="237"/>
      <c r="AS34" s="237"/>
      <c r="AT34" s="237"/>
      <c r="AU34" s="237"/>
      <c r="AV34" s="237"/>
      <c r="AW34" s="140"/>
    </row>
    <row r="35" spans="5:49">
      <c r="E35" s="7"/>
      <c r="F35" s="5"/>
      <c r="I35" s="106"/>
      <c r="J35" s="106"/>
      <c r="Y35" s="426"/>
      <c r="AI35" s="140"/>
      <c r="AJ35" s="140"/>
      <c r="AK35" s="140"/>
      <c r="AL35" s="140"/>
      <c r="AM35" s="237"/>
      <c r="AN35" s="237"/>
      <c r="AO35" s="237"/>
      <c r="AP35" s="237"/>
      <c r="AQ35" s="237"/>
      <c r="AR35" s="237"/>
      <c r="AS35" s="237"/>
      <c r="AT35" s="237"/>
      <c r="AU35" s="237"/>
      <c r="AV35" s="237"/>
      <c r="AW35" s="140"/>
    </row>
    <row r="36" spans="5:49">
      <c r="E36" s="7"/>
      <c r="F36" s="5"/>
      <c r="I36" s="106"/>
      <c r="J36" s="106"/>
      <c r="Y36" s="426"/>
      <c r="AM36" s="237"/>
      <c r="AN36" s="237"/>
      <c r="AO36" s="237"/>
      <c r="AP36" s="237"/>
      <c r="AQ36" s="237"/>
      <c r="AR36" s="237"/>
      <c r="AS36" s="237"/>
      <c r="AT36" s="237"/>
      <c r="AU36" s="237"/>
      <c r="AV36" s="237"/>
    </row>
    <row r="37" spans="5:49">
      <c r="E37" s="7"/>
      <c r="F37" s="5"/>
      <c r="I37" s="106"/>
      <c r="J37" s="106"/>
      <c r="Y37" s="426"/>
      <c r="AM37" s="237"/>
      <c r="AN37" s="237"/>
      <c r="AO37" s="237"/>
      <c r="AP37" s="237"/>
      <c r="AQ37" s="237"/>
      <c r="AR37" s="237"/>
      <c r="AS37" s="237"/>
      <c r="AT37" s="237"/>
      <c r="AU37" s="237"/>
      <c r="AV37" s="237"/>
    </row>
    <row r="38" spans="5:49">
      <c r="E38" s="7"/>
      <c r="F38" s="5"/>
      <c r="I38" s="106"/>
      <c r="J38" s="106"/>
      <c r="Y38" s="426"/>
      <c r="AM38" s="237"/>
      <c r="AN38" s="237"/>
      <c r="AO38" s="237"/>
      <c r="AP38" s="237"/>
      <c r="AQ38" s="237"/>
      <c r="AR38" s="237"/>
      <c r="AS38" s="237"/>
      <c r="AT38" s="237"/>
      <c r="AU38" s="237"/>
      <c r="AV38" s="237"/>
    </row>
    <row r="39" spans="5:49">
      <c r="E39" s="7"/>
      <c r="F39" s="5"/>
      <c r="I39" s="106"/>
      <c r="J39" s="106"/>
      <c r="Y39" s="426"/>
      <c r="AM39" s="237"/>
      <c r="AN39" s="237"/>
      <c r="AO39" s="237"/>
      <c r="AP39" s="237"/>
      <c r="AQ39" s="237"/>
      <c r="AR39" s="237"/>
      <c r="AS39" s="237"/>
      <c r="AT39" s="237"/>
      <c r="AU39" s="237"/>
      <c r="AV39" s="237"/>
    </row>
    <row r="40" spans="5:49">
      <c r="E40" s="7"/>
      <c r="F40" s="5"/>
      <c r="I40" s="106"/>
      <c r="J40" s="106"/>
      <c r="Y40" s="426"/>
      <c r="AM40" s="237"/>
      <c r="AN40" s="237"/>
      <c r="AO40" s="237"/>
      <c r="AP40" s="237"/>
      <c r="AQ40" s="237"/>
      <c r="AR40" s="237"/>
      <c r="AS40" s="237"/>
      <c r="AT40" s="237"/>
      <c r="AU40" s="237"/>
      <c r="AV40" s="237"/>
    </row>
    <row r="41" spans="5:49">
      <c r="E41" s="7"/>
      <c r="F41" s="5"/>
      <c r="I41" s="106"/>
      <c r="J41" s="106"/>
      <c r="Y41" s="426"/>
      <c r="AM41" s="237"/>
      <c r="AN41" s="237"/>
      <c r="AO41" s="237"/>
      <c r="AP41" s="237"/>
      <c r="AQ41" s="237"/>
      <c r="AR41" s="237"/>
      <c r="AS41" s="237"/>
      <c r="AT41" s="237"/>
      <c r="AU41" s="237"/>
      <c r="AV41" s="237"/>
    </row>
    <row r="42" spans="5:49">
      <c r="E42" s="7"/>
      <c r="F42" s="5"/>
      <c r="I42" s="106"/>
      <c r="J42" s="106"/>
      <c r="Y42" s="426"/>
      <c r="AM42" s="237"/>
      <c r="AN42" s="237"/>
      <c r="AO42" s="237"/>
      <c r="AP42" s="237"/>
      <c r="AQ42" s="237"/>
      <c r="AR42" s="237"/>
      <c r="AS42" s="237"/>
      <c r="AT42" s="237"/>
      <c r="AU42" s="237"/>
      <c r="AV42" s="237"/>
    </row>
    <row r="43" spans="5:49">
      <c r="E43" s="7"/>
      <c r="F43" s="5"/>
      <c r="I43" s="106"/>
      <c r="J43" s="106"/>
      <c r="Y43" s="426"/>
      <c r="AM43" s="237"/>
      <c r="AN43" s="237"/>
      <c r="AO43" s="237"/>
      <c r="AP43" s="237"/>
      <c r="AQ43" s="237"/>
      <c r="AR43" s="237"/>
      <c r="AS43" s="237"/>
      <c r="AT43" s="237"/>
      <c r="AU43" s="237"/>
      <c r="AV43" s="237"/>
    </row>
    <row r="44" spans="5:49">
      <c r="E44" s="7"/>
      <c r="F44" s="5"/>
      <c r="I44" s="106"/>
      <c r="J44" s="106"/>
      <c r="Y44" s="426"/>
    </row>
    <row r="45" spans="5:49">
      <c r="E45" s="7"/>
      <c r="F45" s="5"/>
      <c r="I45" s="106"/>
      <c r="J45" s="106"/>
      <c r="Y45" s="426"/>
    </row>
    <row r="46" spans="5:49">
      <c r="E46" s="7"/>
      <c r="F46" s="5"/>
      <c r="I46" s="106"/>
      <c r="J46" s="106"/>
      <c r="Y46" s="426"/>
    </row>
    <row r="47" spans="5:49">
      <c r="E47" s="7"/>
      <c r="F47" s="5"/>
      <c r="Y47" s="426"/>
    </row>
    <row r="48" spans="5:49">
      <c r="E48" s="7"/>
      <c r="F48" s="5"/>
      <c r="Y48" s="426"/>
    </row>
    <row r="49" spans="1:25">
      <c r="E49" s="7"/>
      <c r="F49" s="5"/>
      <c r="Y49" s="426"/>
    </row>
    <row r="50" spans="1:25" s="129" customFormat="1">
      <c r="A50"/>
      <c r="B50"/>
      <c r="C50"/>
      <c r="D50"/>
      <c r="E50" s="7"/>
      <c r="Y50" s="426"/>
    </row>
    <row r="51" spans="1:25" s="129" customFormat="1">
      <c r="A51"/>
      <c r="B51"/>
      <c r="C51"/>
      <c r="D51"/>
      <c r="E51" s="7"/>
    </row>
    <row r="52" spans="1:25" s="129" customFormat="1">
      <c r="A52"/>
      <c r="B52"/>
      <c r="C52"/>
      <c r="D52"/>
      <c r="E52" s="7"/>
    </row>
    <row r="53" spans="1:25" s="129" customFormat="1">
      <c r="A53"/>
      <c r="B53"/>
      <c r="C53"/>
      <c r="D53"/>
      <c r="E53" s="7"/>
    </row>
    <row r="54" spans="1:25" s="129" customFormat="1">
      <c r="A54"/>
      <c r="B54"/>
      <c r="C54"/>
      <c r="D54"/>
      <c r="E54" s="7"/>
    </row>
    <row r="55" spans="1:25" s="129" customFormat="1">
      <c r="A55"/>
      <c r="B55"/>
      <c r="C55"/>
      <c r="D55"/>
      <c r="E55" s="7"/>
    </row>
    <row r="56" spans="1:25" s="129" customFormat="1">
      <c r="A56"/>
      <c r="B56"/>
      <c r="C56"/>
      <c r="D56"/>
      <c r="E56" s="7"/>
    </row>
    <row r="57" spans="1:25" s="129" customFormat="1">
      <c r="A57"/>
      <c r="B57"/>
      <c r="C57"/>
      <c r="D57"/>
      <c r="E57" s="7"/>
    </row>
    <row r="58" spans="1:25" s="129" customFormat="1">
      <c r="A58"/>
      <c r="B58"/>
      <c r="C58"/>
      <c r="D58"/>
      <c r="E58" s="7"/>
    </row>
    <row r="59" spans="1:25" s="129" customFormat="1">
      <c r="A59"/>
      <c r="B59"/>
      <c r="C59"/>
      <c r="D59"/>
      <c r="E59" s="7"/>
    </row>
    <row r="60" spans="1:25" s="129" customFormat="1">
      <c r="A60"/>
      <c r="B60"/>
      <c r="C60"/>
      <c r="D60"/>
      <c r="E60" s="7"/>
    </row>
    <row r="61" spans="1:25" s="129" customFormat="1">
      <c r="A61"/>
      <c r="B61"/>
      <c r="C61"/>
      <c r="D61"/>
      <c r="E61" s="7"/>
    </row>
    <row r="62" spans="1:25" s="129" customFormat="1">
      <c r="A62"/>
      <c r="B62"/>
      <c r="C62"/>
      <c r="D62"/>
      <c r="E62" s="7"/>
    </row>
    <row r="63" spans="1:25" s="129" customFormat="1">
      <c r="A63"/>
      <c r="B63"/>
      <c r="C63"/>
      <c r="D63"/>
      <c r="E63" s="7"/>
    </row>
    <row r="64" spans="1:25" s="129" customFormat="1">
      <c r="A64"/>
      <c r="B64"/>
      <c r="C64"/>
      <c r="D64"/>
      <c r="E64" s="7"/>
    </row>
    <row r="67" spans="1:5" s="129" customFormat="1">
      <c r="A67"/>
      <c r="B67"/>
      <c r="C67"/>
      <c r="D67"/>
      <c r="E67" s="7"/>
    </row>
    <row r="68" spans="1:5" s="129" customFormat="1">
      <c r="A68"/>
      <c r="B68"/>
      <c r="C68"/>
      <c r="D68"/>
      <c r="E68" s="7"/>
    </row>
    <row r="69" spans="1:5" s="129" customFormat="1">
      <c r="A69"/>
      <c r="B69"/>
      <c r="C69"/>
      <c r="D69"/>
      <c r="E69" s="7"/>
    </row>
    <row r="70" spans="1:5" s="129" customFormat="1">
      <c r="A70"/>
      <c r="B70"/>
      <c r="C70"/>
      <c r="D70"/>
      <c r="E70" s="7"/>
    </row>
    <row r="71" spans="1:5" s="129" customFormat="1">
      <c r="A71"/>
      <c r="B71"/>
      <c r="C71"/>
      <c r="D71"/>
      <c r="E71" s="7"/>
    </row>
    <row r="72" spans="1:5" s="129" customFormat="1">
      <c r="A72"/>
      <c r="B72"/>
      <c r="C72"/>
      <c r="D72"/>
      <c r="E72" s="7"/>
    </row>
    <row r="73" spans="1:5" s="129" customFormat="1">
      <c r="A73"/>
      <c r="B73"/>
      <c r="C73"/>
      <c r="D73"/>
      <c r="E73" s="7"/>
    </row>
    <row r="74" spans="1:5" s="129" customFormat="1">
      <c r="A74"/>
      <c r="B74"/>
      <c r="C74"/>
      <c r="D74"/>
      <c r="E74" s="7"/>
    </row>
    <row r="75" spans="1:5" s="129" customFormat="1">
      <c r="A75"/>
      <c r="B75"/>
      <c r="C75"/>
      <c r="D75"/>
      <c r="E75" s="7"/>
    </row>
    <row r="76" spans="1:5" s="129" customFormat="1">
      <c r="A76"/>
      <c r="B76"/>
      <c r="C76"/>
      <c r="D76"/>
      <c r="E76" s="7"/>
    </row>
    <row r="77" spans="1:5" s="129" customFormat="1">
      <c r="A77"/>
      <c r="B77"/>
      <c r="C77"/>
      <c r="D77"/>
      <c r="E77" s="7"/>
    </row>
    <row r="78" spans="1:5" s="129" customFormat="1">
      <c r="A78"/>
      <c r="B78"/>
      <c r="C78"/>
      <c r="D78"/>
      <c r="E78" s="7"/>
    </row>
    <row r="79" spans="1:5" s="129" customFormat="1">
      <c r="A79"/>
      <c r="B79"/>
      <c r="C79"/>
      <c r="D79"/>
      <c r="E79" s="7"/>
    </row>
    <row r="80" spans="1:5" s="129" customFormat="1">
      <c r="A80"/>
      <c r="B80"/>
      <c r="C80"/>
      <c r="D80"/>
      <c r="E80" s="7"/>
    </row>
    <row r="81" spans="1:5" s="129" customFormat="1">
      <c r="A81"/>
      <c r="B81"/>
      <c r="C81"/>
      <c r="D81"/>
      <c r="E81" s="7"/>
    </row>
  </sheetData>
  <sortState ref="A130:D139">
    <sortCondition descending="1" ref="C130:C139"/>
  </sortState>
  <mergeCells count="5">
    <mergeCell ref="B5:D5"/>
    <mergeCell ref="B6:D6"/>
    <mergeCell ref="A8:D8"/>
    <mergeCell ref="A23:D24"/>
    <mergeCell ref="A25:D28"/>
  </mergeCells>
  <conditionalFormatting sqref="A10">
    <cfRule type="containsText" dxfId="6" priority="3" operator="containsText" text="Mismatch Error">
      <formula>NOT(ISERROR(SEARCH("Mismatch Error",A10)))</formula>
    </cfRule>
  </conditionalFormatting>
  <conditionalFormatting sqref="A12 A14 A16 A18 A20">
    <cfRule type="containsText" dxfId="5" priority="1" operator="containsText" text="Mismatch Error">
      <formula>NOT(ISERROR(SEARCH("Mismatch Error",A12)))</formula>
    </cfRule>
  </conditionalFormatting>
  <dataValidations xWindow="437" yWindow="325" count="4">
    <dataValidation allowBlank="1" promptTitle="Select a Display Factor:" prompt="Clicking here will bring up a message describing the selections you can make." sqref="E5"/>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 allowBlank="1" promptTitle="Select a Display Factor:" prompt="Clicking here will bring up a message describing the selections you can make." sqref="E6"/>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39997558519241921"/>
  </sheetPr>
  <dimension ref="A2:U67"/>
  <sheetViews>
    <sheetView showGridLines="0" zoomScaleNormal="100" workbookViewId="0">
      <selection activeCell="U23" sqref="U23"/>
    </sheetView>
  </sheetViews>
  <sheetFormatPr defaultRowHeight="15"/>
  <cols>
    <col min="1" max="1" width="9.7109375" customWidth="1"/>
    <col min="2" max="2" width="21.85546875" bestFit="1" customWidth="1"/>
    <col min="3" max="3" width="20.140625" bestFit="1" customWidth="1"/>
    <col min="4" max="4" width="3" customWidth="1"/>
    <col min="5" max="5" width="2.28515625" customWidth="1"/>
    <col min="18" max="18" width="4.5703125" customWidth="1"/>
    <col min="19" max="19" width="9.28515625" customWidth="1"/>
    <col min="20" max="20" width="22.140625" customWidth="1"/>
    <col min="21" max="21" width="19.140625" customWidth="1"/>
  </cols>
  <sheetData>
    <row r="2" spans="1:20">
      <c r="G2" s="579"/>
    </row>
    <row r="5" spans="1:20" ht="15.75" thickBot="1">
      <c r="A5" s="1992" t="s">
        <v>677</v>
      </c>
      <c r="B5" s="1992"/>
      <c r="C5" s="1992"/>
    </row>
    <row r="6" spans="1:20">
      <c r="A6" s="1473" t="s">
        <v>41</v>
      </c>
      <c r="B6" s="1474" t="s">
        <v>48</v>
      </c>
      <c r="C6" s="1475" t="s">
        <v>49</v>
      </c>
    </row>
    <row r="7" spans="1:20">
      <c r="A7" s="601">
        <v>1960</v>
      </c>
      <c r="B7" s="728">
        <v>0</v>
      </c>
      <c r="C7" s="729">
        <v>2.9801000000000001E-2</v>
      </c>
    </row>
    <row r="8" spans="1:20">
      <c r="A8" s="601">
        <v>1961</v>
      </c>
      <c r="B8" s="730">
        <v>0</v>
      </c>
      <c r="C8" s="731">
        <v>2.9468000000000001E-2</v>
      </c>
    </row>
    <row r="9" spans="1:20">
      <c r="A9" s="601">
        <v>1962</v>
      </c>
      <c r="B9" s="728">
        <v>0</v>
      </c>
      <c r="C9" s="729">
        <v>0.01</v>
      </c>
    </row>
    <row r="10" spans="1:20">
      <c r="A10" s="601">
        <v>1963</v>
      </c>
      <c r="B10" s="730">
        <v>0</v>
      </c>
      <c r="C10" s="731">
        <v>7.1437E-2</v>
      </c>
      <c r="T10" s="420" t="str">
        <f>"Australian and Western Australian Alumina Production "&amp;MAX(A7:A199)</f>
        <v>Australian and Western Australian Alumina Production 2020</v>
      </c>
    </row>
    <row r="11" spans="1:20">
      <c r="A11" s="601">
        <v>1964</v>
      </c>
      <c r="B11" s="728">
        <v>0.119613</v>
      </c>
      <c r="C11" s="729">
        <v>4.1045230000000002E-2</v>
      </c>
    </row>
    <row r="12" spans="1:20">
      <c r="A12" s="601">
        <v>1965</v>
      </c>
      <c r="B12" s="730">
        <v>0.1508504</v>
      </c>
      <c r="C12" s="731">
        <v>5.1594839999999996E-2</v>
      </c>
    </row>
    <row r="13" spans="1:20">
      <c r="A13" s="601">
        <v>1966</v>
      </c>
      <c r="B13" s="728">
        <v>0.24705370000000001</v>
      </c>
      <c r="C13" s="729">
        <v>5.9915239999999995E-2</v>
      </c>
    </row>
    <row r="14" spans="1:20">
      <c r="A14" s="601">
        <v>1967</v>
      </c>
      <c r="B14" s="730">
        <v>0.41172740000000002</v>
      </c>
      <c r="C14" s="731">
        <v>0.44268940000000001</v>
      </c>
    </row>
    <row r="15" spans="1:20">
      <c r="A15" s="601">
        <v>1968</v>
      </c>
      <c r="B15" s="728">
        <v>0.4885832</v>
      </c>
      <c r="C15" s="729">
        <v>0.82087299999999996</v>
      </c>
    </row>
    <row r="16" spans="1:20">
      <c r="A16" s="601">
        <v>1969</v>
      </c>
      <c r="B16" s="730">
        <v>0.77114260000000001</v>
      </c>
      <c r="C16" s="731">
        <v>1.1598729999999999</v>
      </c>
    </row>
    <row r="17" spans="1:21">
      <c r="A17" s="601">
        <v>1970</v>
      </c>
      <c r="B17" s="728">
        <v>0.9652309</v>
      </c>
      <c r="C17" s="729">
        <v>1.186992</v>
      </c>
    </row>
    <row r="18" spans="1:21">
      <c r="A18" s="601">
        <v>1971</v>
      </c>
      <c r="B18" s="730">
        <v>1.2753509999999999</v>
      </c>
      <c r="C18" s="731">
        <v>1.3944049999999999</v>
      </c>
    </row>
    <row r="19" spans="1:21">
      <c r="A19" s="601">
        <v>1972</v>
      </c>
      <c r="B19" s="728">
        <v>1.435859</v>
      </c>
      <c r="C19" s="729">
        <v>1.6322190000000001</v>
      </c>
    </row>
    <row r="20" spans="1:21">
      <c r="A20" s="601">
        <v>1973</v>
      </c>
      <c r="B20" s="730">
        <v>1.7291289999999999</v>
      </c>
      <c r="C20" s="731">
        <v>2.3597670000000002</v>
      </c>
    </row>
    <row r="21" spans="1:21">
      <c r="A21" s="601">
        <v>1974</v>
      </c>
      <c r="B21" s="728">
        <v>1.9812050000000001</v>
      </c>
      <c r="C21" s="729">
        <v>2.9182839999999999</v>
      </c>
    </row>
    <row r="22" spans="1:21">
      <c r="A22" s="601">
        <v>1975</v>
      </c>
      <c r="B22" s="730">
        <v>2.2302550000000001</v>
      </c>
      <c r="C22" s="731">
        <v>2.2837450000000001</v>
      </c>
    </row>
    <row r="23" spans="1:21">
      <c r="A23" s="601">
        <v>1976</v>
      </c>
      <c r="B23" s="728">
        <v>3.1200570000000001</v>
      </c>
      <c r="C23" s="729">
        <v>2.7349429999999999</v>
      </c>
    </row>
    <row r="24" spans="1:21">
      <c r="A24" s="601">
        <v>1977</v>
      </c>
      <c r="B24" s="730">
        <v>3.4569869999999998</v>
      </c>
      <c r="C24" s="731">
        <v>2.6140129999999999</v>
      </c>
    </row>
    <row r="25" spans="1:21">
      <c r="A25" s="601">
        <v>1978</v>
      </c>
      <c r="B25" s="728">
        <v>3.47038</v>
      </c>
      <c r="C25" s="729">
        <v>2.77962</v>
      </c>
    </row>
    <row r="26" spans="1:21">
      <c r="A26" s="601">
        <v>1979</v>
      </c>
      <c r="B26" s="730">
        <v>3.9454449999999999</v>
      </c>
      <c r="C26" s="731">
        <v>3.4691610000000002</v>
      </c>
    </row>
    <row r="27" spans="1:21">
      <c r="A27" s="601">
        <v>1980</v>
      </c>
      <c r="B27" s="728">
        <v>3.6639889999999999</v>
      </c>
      <c r="C27" s="729">
        <v>3.5825100000000001</v>
      </c>
    </row>
    <row r="28" spans="1:21">
      <c r="A28" s="601">
        <v>1981</v>
      </c>
      <c r="B28" s="730">
        <v>3.67848</v>
      </c>
      <c r="C28" s="731">
        <v>3.4005290000000001</v>
      </c>
    </row>
    <row r="29" spans="1:21">
      <c r="A29" s="601">
        <v>1982</v>
      </c>
      <c r="B29" s="728">
        <v>3.6763849999999998</v>
      </c>
      <c r="C29" s="729">
        <v>2.9541219999999999</v>
      </c>
      <c r="S29" s="1981" t="s">
        <v>677</v>
      </c>
      <c r="T29" s="1981"/>
      <c r="U29" s="1981"/>
    </row>
    <row r="30" spans="1:21" ht="15.75" thickBot="1">
      <c r="A30" s="601">
        <v>1983</v>
      </c>
      <c r="B30" s="730">
        <v>3.983098</v>
      </c>
      <c r="C30" s="731">
        <v>3.2474280000000002</v>
      </c>
      <c r="S30" s="1993" t="s">
        <v>710</v>
      </c>
      <c r="T30" s="1993"/>
      <c r="U30" s="1993"/>
    </row>
    <row r="31" spans="1:21" ht="15.75" thickBot="1">
      <c r="A31" s="601">
        <v>1984</v>
      </c>
      <c r="B31" s="728">
        <v>5.004988</v>
      </c>
      <c r="C31" s="729">
        <v>3.7757139999999998</v>
      </c>
      <c r="S31" s="736" t="s">
        <v>41</v>
      </c>
      <c r="T31" s="737" t="str">
        <f>B6</f>
        <v>Western Australia (Mt)</v>
      </c>
      <c r="U31" s="648" t="str">
        <f>C6</f>
        <v>Rest of Australia (Mt)</v>
      </c>
    </row>
    <row r="32" spans="1:21">
      <c r="A32" s="601">
        <v>1985</v>
      </c>
      <c r="B32" s="730">
        <v>5.4196229999999996</v>
      </c>
      <c r="C32" s="731">
        <v>3.3718780000000002</v>
      </c>
      <c r="S32" s="600">
        <f>LARGE(A$7:A$90,10)</f>
        <v>2011</v>
      </c>
      <c r="T32" s="738">
        <f t="shared" ref="T32:T41" si="0">SUMIF($A$7:$A$95,$S32,B$7:B$95)</f>
        <v>12.291484000000001</v>
      </c>
      <c r="U32" s="739">
        <f t="shared" ref="U32:U41" si="1">SUMIF($A$7:$A$95,$S32,C$7:C$95)</f>
        <v>7.1075160000000004</v>
      </c>
    </row>
    <row r="33" spans="1:21">
      <c r="A33" s="601">
        <v>1986</v>
      </c>
      <c r="B33" s="728">
        <v>5.4427899999999996</v>
      </c>
      <c r="C33" s="729">
        <v>3.9804300000000001</v>
      </c>
      <c r="S33" s="601">
        <f>LARGE(A$7:A$90,9)</f>
        <v>2012</v>
      </c>
      <c r="T33" s="740">
        <f t="shared" si="0"/>
        <v>12.81154939</v>
      </c>
      <c r="U33" s="741">
        <f t="shared" si="1"/>
        <v>8.5454506099999996</v>
      </c>
    </row>
    <row r="34" spans="1:21">
      <c r="A34" s="601">
        <v>1987</v>
      </c>
      <c r="B34" s="730">
        <v>5.928763</v>
      </c>
      <c r="C34" s="731">
        <v>4.1805269999999997</v>
      </c>
      <c r="S34" s="601">
        <f>LARGE(A$7:A$90,8)</f>
        <v>2013</v>
      </c>
      <c r="T34" s="742">
        <f t="shared" si="0"/>
        <v>13.625703529999999</v>
      </c>
      <c r="U34" s="743">
        <f t="shared" si="1"/>
        <v>7.9025564700000004</v>
      </c>
    </row>
    <row r="35" spans="1:21">
      <c r="A35" s="601">
        <v>1988</v>
      </c>
      <c r="B35" s="728">
        <v>6.1764140000000003</v>
      </c>
      <c r="C35" s="729">
        <v>4.3341000000000003</v>
      </c>
      <c r="S35" s="601">
        <f>LARGE(A$7:A$90,7)</f>
        <v>2014</v>
      </c>
      <c r="T35" s="740">
        <f t="shared" si="0"/>
        <v>13.876846260000001</v>
      </c>
      <c r="U35" s="741">
        <f t="shared" si="1"/>
        <v>6.5986737399999988</v>
      </c>
    </row>
    <row r="36" spans="1:21">
      <c r="A36" s="601">
        <v>1989</v>
      </c>
      <c r="B36" s="730">
        <v>6.3847959999999997</v>
      </c>
      <c r="C36" s="731">
        <v>4.42</v>
      </c>
      <c r="S36" s="601">
        <f>LARGE(A$7:A$90,6)</f>
        <v>2015</v>
      </c>
      <c r="T36" s="742">
        <f t="shared" si="0"/>
        <v>13.778493586</v>
      </c>
      <c r="U36" s="743">
        <f t="shared" si="1"/>
        <v>6.3186864140000019</v>
      </c>
    </row>
    <row r="37" spans="1:21">
      <c r="A37" s="601">
        <v>1990</v>
      </c>
      <c r="B37" s="728">
        <v>6.7222920000000004</v>
      </c>
      <c r="C37" s="729">
        <v>4.5090000000000003</v>
      </c>
      <c r="S37" s="601">
        <f>LARGE(A$7:A$90,5)</f>
        <v>2016</v>
      </c>
      <c r="T37" s="740">
        <f t="shared" si="0"/>
        <v>13.82977389</v>
      </c>
      <c r="U37" s="741">
        <f t="shared" si="1"/>
        <v>6.85105611</v>
      </c>
    </row>
    <row r="38" spans="1:21">
      <c r="A38" s="601">
        <v>1991</v>
      </c>
      <c r="B38" s="730">
        <v>7.0091840000000003</v>
      </c>
      <c r="C38" s="731">
        <v>4.7039999999999997</v>
      </c>
      <c r="S38" s="601">
        <f>LARGE(A$7:A$90,4)</f>
        <v>2017</v>
      </c>
      <c r="T38" s="742">
        <f t="shared" si="0"/>
        <v>13.84700406</v>
      </c>
      <c r="U38" s="743">
        <f t="shared" si="1"/>
        <v>6.638765939999999</v>
      </c>
    </row>
    <row r="39" spans="1:21">
      <c r="A39" s="601">
        <v>1992</v>
      </c>
      <c r="B39" s="728">
        <v>7.0927569999999998</v>
      </c>
      <c r="C39" s="729">
        <v>4.6892430000000003</v>
      </c>
      <c r="S39" s="601">
        <f>LARGE(A$7:A$90,3)</f>
        <v>2018</v>
      </c>
      <c r="T39" s="740">
        <f t="shared" si="0"/>
        <v>13.498431120000001</v>
      </c>
      <c r="U39" s="741">
        <f t="shared" si="1"/>
        <v>6.563368879999997</v>
      </c>
    </row>
    <row r="40" spans="1:21">
      <c r="A40" s="601">
        <v>1993</v>
      </c>
      <c r="B40" s="730">
        <v>7.8012740000000003</v>
      </c>
      <c r="C40" s="731">
        <v>4.7737259999999999</v>
      </c>
      <c r="S40" s="601">
        <f>LARGE(A$7:A$90,2)</f>
        <v>2019</v>
      </c>
      <c r="T40" s="742">
        <f t="shared" si="0"/>
        <v>14.014470482999998</v>
      </c>
      <c r="U40" s="743">
        <f t="shared" si="1"/>
        <v>6.2247295170000019</v>
      </c>
    </row>
    <row r="41" spans="1:21" ht="15.75" thickBot="1">
      <c r="A41" s="601">
        <v>1994</v>
      </c>
      <c r="B41" s="728">
        <v>7.9333210000000003</v>
      </c>
      <c r="C41" s="729">
        <v>4.9586790000000001</v>
      </c>
      <c r="S41" s="602">
        <f>LARGE(A$7:A$90,1)</f>
        <v>2020</v>
      </c>
      <c r="T41" s="744">
        <f t="shared" si="0"/>
        <v>14.242609690000002</v>
      </c>
      <c r="U41" s="745">
        <f t="shared" si="1"/>
        <v>6.5936903099999959</v>
      </c>
    </row>
    <row r="42" spans="1:21">
      <c r="A42" s="601">
        <v>1995</v>
      </c>
      <c r="B42" s="730">
        <v>8.06738</v>
      </c>
      <c r="C42" s="731">
        <v>5.0796200000000002</v>
      </c>
    </row>
    <row r="43" spans="1:21">
      <c r="A43" s="601">
        <v>1996</v>
      </c>
      <c r="B43" s="728">
        <v>8.2496600000000004</v>
      </c>
      <c r="C43" s="729">
        <v>5.0683400000000001</v>
      </c>
    </row>
    <row r="44" spans="1:21">
      <c r="A44" s="601">
        <v>1997</v>
      </c>
      <c r="B44" s="730">
        <v>8.4818949999999997</v>
      </c>
      <c r="C44" s="731">
        <v>4.9050000000000002</v>
      </c>
    </row>
    <row r="45" spans="1:21">
      <c r="A45" s="601">
        <v>1998</v>
      </c>
      <c r="B45" s="728">
        <f>SUMIF('Alumina - Q&amp;V'!$H$8:$H$200,'Alumina - WA vs Australia'!A45,'Alumina - Q&amp;V'!$B$8:$B$200)</f>
        <v>8.7480000000000011</v>
      </c>
      <c r="C45" s="729">
        <v>5.1029999999999998</v>
      </c>
    </row>
    <row r="46" spans="1:21">
      <c r="A46" s="601">
        <v>1999</v>
      </c>
      <c r="B46" s="730">
        <f>SUMIF('Alumina - Q&amp;V'!$H$8:$H$200,'Alumina - WA vs Australia'!A46,'Alumina - Q&amp;V'!$B$8:$B$200)</f>
        <v>8.9310000000000009</v>
      </c>
      <c r="C46" s="731">
        <v>5.6</v>
      </c>
    </row>
    <row r="47" spans="1:21">
      <c r="A47" s="601">
        <v>2000</v>
      </c>
      <c r="B47" s="728">
        <f>SUMIF('Alumina - Q&amp;V'!$H$8:$H$200,'Alumina - WA vs Australia'!A47,'Alumina - Q&amp;V'!$B$8:$B$200)</f>
        <v>10.001999999999999</v>
      </c>
      <c r="C47" s="729">
        <v>5.681</v>
      </c>
    </row>
    <row r="48" spans="1:21">
      <c r="A48" s="601">
        <v>2001</v>
      </c>
      <c r="B48" s="730">
        <f>SUMIF('Alumina - Q&amp;V'!$H$8:$H$200,'Alumina - WA vs Australia'!A48,'Alumina - Q&amp;V'!$B$8:$B$200)</f>
        <v>10.758000000000001</v>
      </c>
      <c r="C48" s="731">
        <v>5.35</v>
      </c>
    </row>
    <row r="49" spans="1:10">
      <c r="A49" s="601">
        <v>2002</v>
      </c>
      <c r="B49" s="728">
        <f>SUMIF('Alumina - Q&amp;V'!$H$8:$H$200,'Alumina - WA vs Australia'!A49,'Alumina - Q&amp;V'!$B$8:$B$200)</f>
        <v>11</v>
      </c>
      <c r="C49" s="729">
        <v>5.3819860000000013</v>
      </c>
    </row>
    <row r="50" spans="1:10">
      <c r="A50" s="601">
        <v>2003</v>
      </c>
      <c r="B50" s="730">
        <f>SUMIF('Alumina - Q&amp;V'!$H$8:$H$200,'Alumina - WA vs Australia'!A50,'Alumina - Q&amp;V'!$B$8:$B$200)</f>
        <v>11.227864</v>
      </c>
      <c r="C50" s="731">
        <v>4.9242849999999994</v>
      </c>
    </row>
    <row r="51" spans="1:10">
      <c r="A51" s="601">
        <v>2004</v>
      </c>
      <c r="B51" s="728">
        <f>SUMIF('Alumina - Q&amp;V'!$H$8:$H$200,'Alumina - WA vs Australia'!A51,'Alumina - Q&amp;V'!$B$8:$B$200)</f>
        <v>10.988386</v>
      </c>
      <c r="C51" s="729">
        <v>5.5366139999999984</v>
      </c>
    </row>
    <row r="52" spans="1:10">
      <c r="A52" s="601">
        <v>2005</v>
      </c>
      <c r="B52" s="730">
        <f>SUMIF('Alumina - Q&amp;V'!$H$8:$H$200,'Alumina - WA vs Australia'!A52,'Alumina - Q&amp;V'!$B$8:$B$200)</f>
        <v>11.352183</v>
      </c>
      <c r="C52" s="731">
        <v>6.3500370000000004</v>
      </c>
    </row>
    <row r="53" spans="1:10">
      <c r="A53" s="601">
        <v>2006</v>
      </c>
      <c r="B53" s="728">
        <f>SUMIF('Alumina - Q&amp;V'!$H$8:$H$200,'Alumina - WA vs Australia'!A53,'Alumina - Q&amp;V'!$B$8:$B$200)</f>
        <v>11.82174775</v>
      </c>
      <c r="C53" s="729">
        <v>6.708000000000002</v>
      </c>
    </row>
    <row r="54" spans="1:10">
      <c r="A54" s="601">
        <v>2007</v>
      </c>
      <c r="B54" s="730">
        <f>SUMIF('Alumina - Q&amp;V'!$H$8:$H$200,'Alumina - WA vs Australia'!A54,'Alumina - Q&amp;V'!$B$8:$B$200)</f>
        <v>12.193625759000001</v>
      </c>
      <c r="C54" s="731">
        <v>6.6770000000000014</v>
      </c>
    </row>
    <row r="55" spans="1:10">
      <c r="A55" s="601">
        <v>2008</v>
      </c>
      <c r="B55" s="728">
        <f>SUMIF('Alumina - Q&amp;V'!$H$8:$H$200,'Alumina - WA vs Australia'!A55,'Alumina - Q&amp;V'!$B$8:$B$200)</f>
        <v>12.245763095999999</v>
      </c>
      <c r="C55" s="729">
        <v>7.200489000000001</v>
      </c>
    </row>
    <row r="56" spans="1:10">
      <c r="A56" s="601">
        <v>2009</v>
      </c>
      <c r="B56" s="730">
        <f>SUMIF('Alumina - Q&amp;V'!$H$8:$H$200,'Alumina - WA vs Australia'!A56,'Alumina - Q&amp;V'!$B$8:$B$200)</f>
        <v>12.42197</v>
      </c>
      <c r="C56" s="731">
        <v>7.5180300000000013</v>
      </c>
      <c r="J56" s="126"/>
    </row>
    <row r="57" spans="1:10">
      <c r="A57" s="601">
        <v>2010</v>
      </c>
      <c r="B57" s="728">
        <f>SUMIF('Alumina - Q&amp;V'!$H$8:$H$200,'Alumina - WA vs Australia'!A57,'Alumina - Q&amp;V'!$B$8:$B$200)</f>
        <v>12.563285</v>
      </c>
      <c r="C57" s="729">
        <v>7.426714999999998</v>
      </c>
      <c r="H57" s="535"/>
      <c r="J57" s="126"/>
    </row>
    <row r="58" spans="1:10">
      <c r="A58" s="601">
        <v>2011</v>
      </c>
      <c r="B58" s="730">
        <f>SUMIF('Alumina - Q&amp;V'!$H$8:$H$200,'Alumina - WA vs Australia'!A58,'Alumina - Q&amp;V'!$B$8:$B$200)</f>
        <v>12.291484000000001</v>
      </c>
      <c r="C58" s="731">
        <v>7.1075160000000004</v>
      </c>
      <c r="F58" s="431"/>
      <c r="G58" s="431"/>
      <c r="H58" s="431"/>
      <c r="I58" s="431"/>
      <c r="J58" s="126"/>
    </row>
    <row r="59" spans="1:10">
      <c r="A59" s="601">
        <v>2012</v>
      </c>
      <c r="B59" s="728">
        <f>SUMIF('Alumina - Q&amp;V'!$H$8:$H$200,'Alumina - WA vs Australia'!A59,'Alumina - Q&amp;V'!$B$8:$B$200)</f>
        <v>12.81154939</v>
      </c>
      <c r="C59" s="729">
        <f>(21357/1000)-B59</f>
        <v>8.5454506099999996</v>
      </c>
      <c r="F59" s="168"/>
      <c r="G59" s="564"/>
      <c r="H59" s="431"/>
      <c r="I59" s="431"/>
      <c r="J59" s="126"/>
    </row>
    <row r="60" spans="1:10">
      <c r="A60" s="601">
        <v>2013</v>
      </c>
      <c r="B60" s="730">
        <f>SUMIF('Alumina - Q&amp;V'!$H$8:$H$200,'Alumina - WA vs Australia'!A60,'Alumina - Q&amp;V'!$B$8:$B$200)</f>
        <v>13.625703529999999</v>
      </c>
      <c r="C60" s="731">
        <f>(21528.26/1000)-B60</f>
        <v>7.9025564700000004</v>
      </c>
      <c r="F60" s="168"/>
      <c r="G60" s="564"/>
      <c r="H60" s="431"/>
      <c r="I60" s="431"/>
      <c r="J60" s="126"/>
    </row>
    <row r="61" spans="1:10">
      <c r="A61" s="601">
        <v>2014</v>
      </c>
      <c r="B61" s="728">
        <f>SUMIF('Alumina - Q&amp;V'!$H$8:$H$200,'Alumina - WA vs Australia'!A61,'Alumina - Q&amp;V'!$B$8:$B$200)</f>
        <v>13.876846260000001</v>
      </c>
      <c r="C61" s="729">
        <f>20475.52/1000-B61</f>
        <v>6.5986737399999988</v>
      </c>
      <c r="F61" s="168"/>
      <c r="G61" s="564"/>
      <c r="H61" s="431"/>
      <c r="I61" s="431"/>
      <c r="J61" s="126"/>
    </row>
    <row r="62" spans="1:10">
      <c r="A62" s="601">
        <v>2015</v>
      </c>
      <c r="B62" s="730">
        <f>SUMIF('Alumina - Q&amp;V'!$H$8:$H$200,'Alumina - WA vs Australia'!A62,'Alumina - Q&amp;V'!$B$8:$B$200)</f>
        <v>13.778493586</v>
      </c>
      <c r="C62" s="731">
        <f>(20097.18/1000)-B62</f>
        <v>6.3186864140000019</v>
      </c>
      <c r="F62" s="168"/>
      <c r="G62" s="564"/>
      <c r="H62" s="431"/>
      <c r="I62" s="431"/>
      <c r="J62" s="126"/>
    </row>
    <row r="63" spans="1:10">
      <c r="A63" s="601">
        <v>2016</v>
      </c>
      <c r="B63" s="728">
        <f>SUMIF('Alumina - Q&amp;V'!$H$8:$H$200,'Alumina - WA vs Australia'!A63,'Alumina - Q&amp;V'!$B$8:$B$200)</f>
        <v>13.82977389</v>
      </c>
      <c r="C63" s="729">
        <f>(20680.83/1000)-B63</f>
        <v>6.85105611</v>
      </c>
      <c r="F63" s="168"/>
      <c r="G63" s="564"/>
      <c r="H63" s="431"/>
      <c r="I63" s="431"/>
      <c r="J63" s="126"/>
    </row>
    <row r="64" spans="1:10">
      <c r="A64" s="1319">
        <v>2017</v>
      </c>
      <c r="B64" s="732">
        <f>SUMIF('Alumina - Q&amp;V'!$H$8:$H$200,'Alumina - WA vs Australia'!A64,'Alumina - Q&amp;V'!$B$8:$B$200)</f>
        <v>13.84700406</v>
      </c>
      <c r="C64" s="733">
        <f>(20485.77/1000)-B64</f>
        <v>6.638765939999999</v>
      </c>
      <c r="D64" s="102"/>
      <c r="F64" s="168"/>
      <c r="G64" s="564"/>
      <c r="H64" s="431"/>
      <c r="I64" s="431"/>
      <c r="J64" s="126"/>
    </row>
    <row r="65" spans="1:10">
      <c r="A65" s="1319">
        <v>2018</v>
      </c>
      <c r="B65" s="734">
        <f>SUMIF('Alumina - Q&amp;V'!$H$8:$H$200,'Alumina - WA vs Australia'!A65,'Alumina - Q&amp;V'!$B$8:$B$200)</f>
        <v>13.498431120000001</v>
      </c>
      <c r="C65" s="735">
        <f>(20061.8/1000)-B65</f>
        <v>6.563368879999997</v>
      </c>
      <c r="F65" s="168"/>
      <c r="G65" s="564"/>
      <c r="H65" s="431"/>
      <c r="I65" s="431"/>
      <c r="J65" s="126"/>
    </row>
    <row r="66" spans="1:10">
      <c r="A66" s="1319">
        <v>2019</v>
      </c>
      <c r="B66" s="732">
        <f>SUMIF('Alumina - Q&amp;V'!$H$8:$H$200,'Alumina - WA vs Australia'!A66,'Alumina - Q&amp;V'!$B$8:$B$200)</f>
        <v>14.014470482999998</v>
      </c>
      <c r="C66" s="733">
        <f>(20239.2/1000)-B66</f>
        <v>6.2247295170000019</v>
      </c>
      <c r="F66" s="168"/>
      <c r="G66" s="564"/>
      <c r="H66" s="431"/>
      <c r="I66" s="431"/>
    </row>
    <row r="67" spans="1:10" ht="15.75" thickBot="1">
      <c r="A67" s="1618">
        <v>2020</v>
      </c>
      <c r="B67" s="1619">
        <f>SUMIF('Alumina - Q&amp;V'!$H$8:$H$200,'Alumina - WA vs Australia'!A67,'Alumina - Q&amp;V'!$B$8:$B$200)</f>
        <v>14.242609690000002</v>
      </c>
      <c r="C67" s="1620">
        <f>(20836.3/1000)-B67</f>
        <v>6.5936903099999959</v>
      </c>
    </row>
  </sheetData>
  <mergeCells count="3">
    <mergeCell ref="A5:C5"/>
    <mergeCell ref="S30:U30"/>
    <mergeCell ref="S29:U29"/>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6B4E8"/>
  </sheetPr>
  <dimension ref="A1:AH366"/>
  <sheetViews>
    <sheetView showGridLines="0" zoomScaleNormal="100" workbookViewId="0">
      <selection activeCell="N36" sqref="N36"/>
    </sheetView>
  </sheetViews>
  <sheetFormatPr defaultRowHeight="15"/>
  <cols>
    <col min="1" max="1" width="14.85546875" style="106" bestFit="1" customWidth="1"/>
    <col min="2" max="3" width="17.42578125" style="106" bestFit="1" customWidth="1"/>
    <col min="4" max="4" width="12.5703125" style="106" bestFit="1" customWidth="1"/>
    <col min="5" max="5" width="17.42578125" style="106" bestFit="1" customWidth="1"/>
    <col min="6" max="6" width="12.5703125" style="106" bestFit="1" customWidth="1"/>
    <col min="7" max="7" width="17.85546875" style="106" customWidth="1"/>
    <col min="8" max="8" width="6.85546875" style="25" hidden="1" customWidth="1"/>
    <col min="9" max="9" width="5.140625" style="25" hidden="1" customWidth="1"/>
    <col min="10" max="10" width="2.42578125" style="106" customWidth="1"/>
    <col min="11" max="11" width="13.42578125" style="106" bestFit="1" customWidth="1"/>
    <col min="12" max="12" width="13.7109375" style="106" customWidth="1"/>
    <col min="13" max="13" width="17.42578125" style="106" bestFit="1" customWidth="1"/>
    <col min="14" max="14" width="14.28515625" style="106" customWidth="1"/>
    <col min="15" max="15" width="17.42578125" style="106" bestFit="1" customWidth="1"/>
    <col min="16" max="16" width="14" style="106" customWidth="1"/>
    <col min="17" max="17" width="17.42578125" style="106" bestFit="1" customWidth="1"/>
    <col min="18" max="19" width="9.140625" style="106"/>
    <col min="20" max="20" width="4.85546875" style="106" customWidth="1"/>
    <col min="21" max="21" width="15.140625" style="106" customWidth="1"/>
    <col min="22" max="22" width="11.85546875" style="106" customWidth="1"/>
    <col min="23" max="23" width="17.42578125" style="106" customWidth="1"/>
    <col min="24" max="24" width="11.85546875" style="106" customWidth="1"/>
    <col min="25" max="25" width="17.42578125" style="106" customWidth="1"/>
    <col min="26" max="26" width="11.85546875" style="106" customWidth="1"/>
    <col min="27" max="27" width="17.42578125" style="106" customWidth="1"/>
    <col min="28" max="16384" width="9.140625" style="106"/>
  </cols>
  <sheetData>
    <row r="1" spans="1:34">
      <c r="A1" s="118" t="s">
        <v>369</v>
      </c>
    </row>
    <row r="2" spans="1:34">
      <c r="A2" s="118" t="s">
        <v>382</v>
      </c>
    </row>
    <row r="3" spans="1:34">
      <c r="L3" s="165"/>
    </row>
    <row r="5" spans="1:34">
      <c r="A5" s="1971" t="s">
        <v>307</v>
      </c>
      <c r="B5" s="1971"/>
      <c r="C5" s="1971"/>
      <c r="D5" s="1971"/>
      <c r="E5" s="1971"/>
      <c r="F5" s="1971"/>
      <c r="G5" s="1971"/>
      <c r="H5" s="100"/>
      <c r="I5" s="100"/>
    </row>
    <row r="6" spans="1:34" ht="15.75" thickBot="1">
      <c r="A6" s="1972" t="s">
        <v>744</v>
      </c>
      <c r="B6" s="1972"/>
      <c r="C6" s="1972"/>
      <c r="D6" s="1972"/>
      <c r="E6" s="1972"/>
      <c r="F6" s="1972"/>
      <c r="G6" s="1972"/>
      <c r="H6" s="101"/>
      <c r="I6" s="101"/>
    </row>
    <row r="7" spans="1:34">
      <c r="A7" s="577"/>
      <c r="B7" s="1995" t="s">
        <v>375</v>
      </c>
      <c r="C7" s="1996"/>
      <c r="D7" s="1997" t="s">
        <v>374</v>
      </c>
      <c r="E7" s="1998"/>
      <c r="F7" s="1995" t="s">
        <v>376</v>
      </c>
      <c r="G7" s="1996"/>
      <c r="H7" s="94"/>
      <c r="I7" s="94"/>
      <c r="K7" s="1973" t="s">
        <v>747</v>
      </c>
      <c r="L7" s="1973"/>
      <c r="M7" s="1973"/>
      <c r="N7" s="1973"/>
      <c r="O7" s="1973"/>
      <c r="P7" s="1973"/>
      <c r="Q7" s="1973"/>
    </row>
    <row r="8" spans="1:34" ht="15.75" thickBot="1">
      <c r="A8" s="1469" t="s">
        <v>6</v>
      </c>
      <c r="B8" s="1470" t="s">
        <v>47</v>
      </c>
      <c r="C8" s="1471" t="s">
        <v>635</v>
      </c>
      <c r="D8" s="1470" t="s">
        <v>47</v>
      </c>
      <c r="E8" s="1471" t="s">
        <v>635</v>
      </c>
      <c r="F8" s="1470" t="s">
        <v>47</v>
      </c>
      <c r="G8" s="1472" t="s">
        <v>635</v>
      </c>
      <c r="H8" s="98"/>
      <c r="I8" s="98"/>
      <c r="K8" s="1994" t="s">
        <v>43</v>
      </c>
      <c r="L8" s="1994"/>
      <c r="M8" s="1994"/>
      <c r="N8" s="1994"/>
      <c r="O8" s="1994"/>
      <c r="P8" s="1994"/>
      <c r="Q8" s="1994"/>
    </row>
    <row r="9" spans="1:34">
      <c r="A9" s="1320">
        <v>36586</v>
      </c>
      <c r="B9" s="700">
        <v>7.681</v>
      </c>
      <c r="C9" s="699">
        <v>18.056524</v>
      </c>
      <c r="D9" s="700">
        <v>13.048999999999999</v>
      </c>
      <c r="E9" s="699">
        <v>4.2357139999999998</v>
      </c>
      <c r="F9" s="700">
        <v>62.015999999999998</v>
      </c>
      <c r="G9" s="699">
        <v>67.439318999999998</v>
      </c>
      <c r="H9" s="98">
        <f>YEAR(A9)</f>
        <v>2000</v>
      </c>
      <c r="I9" s="98" t="str">
        <f>IF(MONTH(A9)=3,"1",IF(MONTH(A9)=6,"2",IF(MONTH(A9)=9,"3","4")))</f>
        <v>1</v>
      </c>
      <c r="K9" s="577"/>
      <c r="L9" s="1995" t="s">
        <v>375</v>
      </c>
      <c r="M9" s="1996"/>
      <c r="N9" s="1997" t="s">
        <v>374</v>
      </c>
      <c r="O9" s="1998"/>
      <c r="P9" s="1995" t="s">
        <v>376</v>
      </c>
      <c r="Q9" s="1996"/>
      <c r="AC9" s="112"/>
      <c r="AD9" s="112"/>
      <c r="AE9" s="112"/>
      <c r="AF9" s="112"/>
      <c r="AG9" s="112"/>
      <c r="AH9" s="112"/>
    </row>
    <row r="10" spans="1:34">
      <c r="A10" s="1320">
        <v>36678</v>
      </c>
      <c r="B10" s="764">
        <v>8.0039999999999996</v>
      </c>
      <c r="C10" s="765">
        <v>17.899384000000001</v>
      </c>
      <c r="D10" s="764">
        <v>22.609000000000002</v>
      </c>
      <c r="E10" s="765">
        <v>6.6396030000000001</v>
      </c>
      <c r="F10" s="764">
        <v>55.244999999999997</v>
      </c>
      <c r="G10" s="765">
        <v>60.587583000000002</v>
      </c>
      <c r="H10" s="98">
        <f t="shared" ref="H10:H73" si="0">YEAR(A10)</f>
        <v>2000</v>
      </c>
      <c r="I10" s="98" t="str">
        <f t="shared" ref="I10:I73" si="1">IF(MONTH(A10)=3,"1",IF(MONTH(A10)=6,"2",IF(MONTH(A10)=9,"3","4")))</f>
        <v>2</v>
      </c>
      <c r="K10" s="1469" t="s">
        <v>6</v>
      </c>
      <c r="L10" s="1470" t="s">
        <v>47</v>
      </c>
      <c r="M10" s="1471" t="s">
        <v>635</v>
      </c>
      <c r="N10" s="1470" t="s">
        <v>47</v>
      </c>
      <c r="O10" s="1471" t="s">
        <v>635</v>
      </c>
      <c r="P10" s="1470" t="s">
        <v>47</v>
      </c>
      <c r="Q10" s="1472" t="s">
        <v>635</v>
      </c>
      <c r="AC10" s="112"/>
      <c r="AD10" s="112"/>
      <c r="AE10" s="112"/>
      <c r="AF10" s="112"/>
      <c r="AG10" s="112"/>
      <c r="AH10" s="112"/>
    </row>
    <row r="11" spans="1:34">
      <c r="A11" s="1320">
        <v>36770</v>
      </c>
      <c r="B11" s="700">
        <v>9.2100000000000009</v>
      </c>
      <c r="C11" s="699">
        <v>22.628861000000001</v>
      </c>
      <c r="D11" s="700">
        <v>17.123000000000001</v>
      </c>
      <c r="E11" s="699">
        <v>5.8403790000000004</v>
      </c>
      <c r="F11" s="700">
        <v>59.823</v>
      </c>
      <c r="G11" s="699">
        <v>74.251819999999995</v>
      </c>
      <c r="H11" s="98">
        <f t="shared" si="0"/>
        <v>2000</v>
      </c>
      <c r="I11" s="98" t="str">
        <f t="shared" si="1"/>
        <v>3</v>
      </c>
      <c r="K11" s="1320">
        <f>LARGE(A$9:A$735,10)</f>
        <v>43525</v>
      </c>
      <c r="L11" s="758">
        <f t="shared" ref="L11:L20" si="2">SUMIF($A$9:$A$735,$K11,B$9:B$735)</f>
        <v>43.993460999999996</v>
      </c>
      <c r="M11" s="759">
        <f t="shared" ref="M11:M20" si="3">SUMIF($A$9:$A$735,$K11,C$9:C$735)</f>
        <v>365.41811200000001</v>
      </c>
      <c r="N11" s="760">
        <f t="shared" ref="N11:N20" si="4">SUMIF($A$9:$A$735,$K11,D$9:D$735)</f>
        <v>1.516</v>
      </c>
      <c r="O11" s="759">
        <f t="shared" ref="O11:O20" si="5">SUMIF($A$9:$A$735,$K11,E$9:E$735)</f>
        <v>4.2015500000000001</v>
      </c>
      <c r="P11" s="760">
        <f t="shared" ref="P11:P20" si="6">SUMIF($A$9:$A$735,$K11,F$9:F$735)</f>
        <v>17.548237</v>
      </c>
      <c r="Q11" s="759">
        <f t="shared" ref="Q11:Q19" si="7">SUMIF($A$9:$A$735,$K11,G$9:G$735)</f>
        <v>68.160379000000006</v>
      </c>
      <c r="AC11" s="112"/>
      <c r="AD11" s="112"/>
      <c r="AE11" s="112"/>
      <c r="AF11" s="112"/>
      <c r="AG11" s="112"/>
      <c r="AH11" s="112"/>
    </row>
    <row r="12" spans="1:34">
      <c r="A12" s="1320">
        <v>36861</v>
      </c>
      <c r="B12" s="764">
        <v>9.1430000000000007</v>
      </c>
      <c r="C12" s="765">
        <v>24.024092</v>
      </c>
      <c r="D12" s="764">
        <v>20.3</v>
      </c>
      <c r="E12" s="765">
        <v>9.0457520000000002</v>
      </c>
      <c r="F12" s="764">
        <v>80.628</v>
      </c>
      <c r="G12" s="765">
        <v>87.835560999999998</v>
      </c>
      <c r="H12" s="98">
        <f t="shared" si="0"/>
        <v>2000</v>
      </c>
      <c r="I12" s="98" t="str">
        <f t="shared" si="1"/>
        <v>4</v>
      </c>
      <c r="K12" s="1320">
        <f>LARGE(A$9:A$735,9)</f>
        <v>43617</v>
      </c>
      <c r="L12" s="755">
        <f t="shared" si="2"/>
        <v>39.062270999999996</v>
      </c>
      <c r="M12" s="756">
        <f t="shared" si="3"/>
        <v>319.20206000000002</v>
      </c>
      <c r="N12" s="757">
        <f t="shared" si="4"/>
        <v>0</v>
      </c>
      <c r="O12" s="756">
        <f t="shared" si="5"/>
        <v>0</v>
      </c>
      <c r="P12" s="757">
        <f t="shared" si="6"/>
        <v>19.393622000000001</v>
      </c>
      <c r="Q12" s="756">
        <f t="shared" si="7"/>
        <v>64.667732999999998</v>
      </c>
      <c r="AC12" s="112"/>
      <c r="AD12" s="112"/>
      <c r="AE12" s="112"/>
      <c r="AF12" s="112"/>
      <c r="AG12" s="112"/>
      <c r="AH12" s="112"/>
    </row>
    <row r="13" spans="1:34">
      <c r="A13" s="1320">
        <v>36951</v>
      </c>
      <c r="B13" s="700">
        <v>9.9540000000000006</v>
      </c>
      <c r="C13" s="699">
        <v>28.795444</v>
      </c>
      <c r="D13" s="700">
        <v>23.103000000000002</v>
      </c>
      <c r="E13" s="699">
        <v>11.693618000000001</v>
      </c>
      <c r="F13" s="700">
        <v>45.084000000000003</v>
      </c>
      <c r="G13" s="699">
        <v>57.100099</v>
      </c>
      <c r="H13" s="98">
        <f t="shared" si="0"/>
        <v>2001</v>
      </c>
      <c r="I13" s="98" t="str">
        <f t="shared" si="1"/>
        <v>1</v>
      </c>
      <c r="K13" s="1320">
        <f>LARGE(A$9:A$735,8)</f>
        <v>43709</v>
      </c>
      <c r="L13" s="758">
        <f t="shared" si="2"/>
        <v>44.801301000000002</v>
      </c>
      <c r="M13" s="759">
        <f t="shared" si="3"/>
        <v>361.19518799999997</v>
      </c>
      <c r="N13" s="760">
        <f t="shared" si="4"/>
        <v>1.4008</v>
      </c>
      <c r="O13" s="759">
        <f t="shared" si="5"/>
        <v>4.1491009999999999</v>
      </c>
      <c r="P13" s="760">
        <f t="shared" si="6"/>
        <v>12.879391</v>
      </c>
      <c r="Q13" s="759">
        <f t="shared" si="7"/>
        <v>44.668489999999998</v>
      </c>
      <c r="AC13" s="112"/>
      <c r="AD13" s="112"/>
      <c r="AE13" s="112"/>
      <c r="AF13" s="112"/>
      <c r="AG13" s="112"/>
      <c r="AH13" s="112"/>
    </row>
    <row r="14" spans="1:34">
      <c r="A14" s="1320">
        <v>37043</v>
      </c>
      <c r="B14" s="764">
        <v>13.672000000000001</v>
      </c>
      <c r="C14" s="765">
        <v>34.115588000000002</v>
      </c>
      <c r="D14" s="764">
        <v>21.8</v>
      </c>
      <c r="E14" s="765">
        <v>10.72903</v>
      </c>
      <c r="F14" s="764">
        <v>50.554000000000002</v>
      </c>
      <c r="G14" s="765">
        <v>61.052177999999998</v>
      </c>
      <c r="H14" s="98">
        <f t="shared" si="0"/>
        <v>2001</v>
      </c>
      <c r="I14" s="98" t="str">
        <f t="shared" si="1"/>
        <v>2</v>
      </c>
      <c r="K14" s="1320">
        <f>LARGE(A$9:A$735,7)</f>
        <v>43800</v>
      </c>
      <c r="L14" s="755">
        <f t="shared" si="2"/>
        <v>44.257337999999997</v>
      </c>
      <c r="M14" s="756">
        <f t="shared" si="3"/>
        <v>369.23292700000002</v>
      </c>
      <c r="N14" s="757">
        <f t="shared" si="4"/>
        <v>0</v>
      </c>
      <c r="O14" s="756">
        <f t="shared" si="5"/>
        <v>0</v>
      </c>
      <c r="P14" s="757">
        <f t="shared" si="6"/>
        <v>27.99802</v>
      </c>
      <c r="Q14" s="756">
        <f t="shared" si="7"/>
        <v>85.059471000000002</v>
      </c>
      <c r="AC14" s="112"/>
      <c r="AD14" s="112"/>
      <c r="AE14" s="112"/>
      <c r="AF14" s="112"/>
      <c r="AG14" s="112"/>
      <c r="AH14" s="112"/>
    </row>
    <row r="15" spans="1:34">
      <c r="A15" s="1320">
        <v>37135</v>
      </c>
      <c r="B15" s="700">
        <v>10.818</v>
      </c>
      <c r="C15" s="699">
        <v>25.455144000000001</v>
      </c>
      <c r="D15" s="700">
        <v>16.63</v>
      </c>
      <c r="E15" s="699">
        <v>8.1511069999999997</v>
      </c>
      <c r="F15" s="700">
        <v>59.197000000000003</v>
      </c>
      <c r="G15" s="699">
        <v>40.097408999999999</v>
      </c>
      <c r="H15" s="98">
        <f t="shared" si="0"/>
        <v>2001</v>
      </c>
      <c r="I15" s="98" t="str">
        <f t="shared" si="1"/>
        <v>3</v>
      </c>
      <c r="K15" s="1320">
        <f>LARGE(A$9:A$735,6)</f>
        <v>43891</v>
      </c>
      <c r="L15" s="758">
        <f t="shared" si="2"/>
        <v>38.036341</v>
      </c>
      <c r="M15" s="759">
        <f t="shared" si="3"/>
        <v>286.74106699999999</v>
      </c>
      <c r="N15" s="760">
        <f t="shared" si="4"/>
        <v>0</v>
      </c>
      <c r="O15" s="759">
        <f t="shared" si="5"/>
        <v>0</v>
      </c>
      <c r="P15" s="760">
        <f t="shared" si="6"/>
        <v>8.3514820000000007</v>
      </c>
      <c r="Q15" s="759">
        <f t="shared" si="7"/>
        <v>24.541041</v>
      </c>
      <c r="AC15" s="112"/>
      <c r="AD15" s="112"/>
      <c r="AE15" s="112"/>
      <c r="AF15" s="112"/>
      <c r="AG15" s="112"/>
      <c r="AH15" s="112"/>
    </row>
    <row r="16" spans="1:34">
      <c r="A16" s="1320">
        <v>37226</v>
      </c>
      <c r="B16" s="764">
        <v>15.792999999999999</v>
      </c>
      <c r="C16" s="765">
        <v>32.344365000000003</v>
      </c>
      <c r="D16" s="764">
        <v>29.85</v>
      </c>
      <c r="E16" s="765">
        <v>14.329164</v>
      </c>
      <c r="F16" s="764">
        <v>56.002000000000002</v>
      </c>
      <c r="G16" s="765">
        <v>50.467827999999997</v>
      </c>
      <c r="H16" s="98">
        <f t="shared" si="0"/>
        <v>2001</v>
      </c>
      <c r="I16" s="98" t="str">
        <f t="shared" si="1"/>
        <v>4</v>
      </c>
      <c r="K16" s="1320">
        <f>LARGE(A$9:A$735,5)</f>
        <v>43983</v>
      </c>
      <c r="L16" s="755">
        <f t="shared" si="2"/>
        <v>44.288210000000007</v>
      </c>
      <c r="M16" s="756">
        <f t="shared" si="3"/>
        <v>369.59310399999998</v>
      </c>
      <c r="N16" s="757">
        <f t="shared" si="4"/>
        <v>1.3745150000000002</v>
      </c>
      <c r="O16" s="756">
        <f t="shared" si="5"/>
        <v>3.3216389999999998</v>
      </c>
      <c r="P16" s="757">
        <f t="shared" si="6"/>
        <v>22.541713000000001</v>
      </c>
      <c r="Q16" s="756">
        <f t="shared" si="7"/>
        <v>69.052575000000004</v>
      </c>
      <c r="AC16" s="112"/>
      <c r="AD16" s="112"/>
      <c r="AE16" s="112"/>
      <c r="AF16" s="112"/>
      <c r="AG16" s="112"/>
      <c r="AH16" s="112"/>
    </row>
    <row r="17" spans="1:34">
      <c r="A17" s="1320">
        <v>37316</v>
      </c>
      <c r="B17" s="700">
        <v>18.728000000000002</v>
      </c>
      <c r="C17" s="699">
        <v>39.500411</v>
      </c>
      <c r="D17" s="700">
        <v>11.782999999999999</v>
      </c>
      <c r="E17" s="699">
        <v>6.8930600000000002</v>
      </c>
      <c r="F17" s="700">
        <v>48.823999999999998</v>
      </c>
      <c r="G17" s="699">
        <v>37.999014000000003</v>
      </c>
      <c r="H17" s="98">
        <f t="shared" si="0"/>
        <v>2002</v>
      </c>
      <c r="I17" s="98" t="str">
        <f t="shared" si="1"/>
        <v>1</v>
      </c>
      <c r="K17" s="1320">
        <f>LARGE(A$9:A$735,4)</f>
        <v>44075</v>
      </c>
      <c r="L17" s="758">
        <f t="shared" si="2"/>
        <v>31.628375999999999</v>
      </c>
      <c r="M17" s="759">
        <f t="shared" si="3"/>
        <v>289.57364000000001</v>
      </c>
      <c r="N17" s="760">
        <f t="shared" si="4"/>
        <v>0</v>
      </c>
      <c r="O17" s="759">
        <f t="shared" si="5"/>
        <v>0</v>
      </c>
      <c r="P17" s="760">
        <f t="shared" si="6"/>
        <v>14.529898999999999</v>
      </c>
      <c r="Q17" s="759">
        <f t="shared" si="7"/>
        <v>50.971170000000001</v>
      </c>
      <c r="AC17" s="112"/>
      <c r="AD17" s="112"/>
      <c r="AE17" s="112"/>
      <c r="AF17" s="112"/>
      <c r="AG17" s="112"/>
      <c r="AH17" s="112"/>
    </row>
    <row r="18" spans="1:34">
      <c r="A18" s="1320">
        <v>37408</v>
      </c>
      <c r="B18" s="764">
        <v>12.295999999999999</v>
      </c>
      <c r="C18" s="765">
        <v>29.750125000000001</v>
      </c>
      <c r="D18" s="764">
        <v>16.812999999999999</v>
      </c>
      <c r="E18" s="765">
        <v>7.3497880000000002</v>
      </c>
      <c r="F18" s="764">
        <v>59.646000000000001</v>
      </c>
      <c r="G18" s="765">
        <v>45.251676000000003</v>
      </c>
      <c r="H18" s="98">
        <f t="shared" si="0"/>
        <v>2002</v>
      </c>
      <c r="I18" s="98" t="str">
        <f t="shared" si="1"/>
        <v>2</v>
      </c>
      <c r="K18" s="1320">
        <f>LARGE(A$9:A$735,3)</f>
        <v>44166</v>
      </c>
      <c r="L18" s="755">
        <f t="shared" si="2"/>
        <v>34.198582000000002</v>
      </c>
      <c r="M18" s="756">
        <f t="shared" si="3"/>
        <v>365.24592200000001</v>
      </c>
      <c r="N18" s="757">
        <f t="shared" si="4"/>
        <v>0</v>
      </c>
      <c r="O18" s="756">
        <f t="shared" si="5"/>
        <v>0</v>
      </c>
      <c r="P18" s="757">
        <f t="shared" si="6"/>
        <v>20.849048000000003</v>
      </c>
      <c r="Q18" s="756">
        <f t="shared" si="7"/>
        <v>75.297866999999997</v>
      </c>
      <c r="AC18" s="112"/>
      <c r="AD18" s="112"/>
      <c r="AE18" s="112"/>
      <c r="AF18" s="112"/>
      <c r="AG18" s="112"/>
      <c r="AH18" s="112"/>
    </row>
    <row r="19" spans="1:34">
      <c r="A19" s="1320">
        <v>37500</v>
      </c>
      <c r="B19" s="700">
        <v>17.913</v>
      </c>
      <c r="C19" s="699">
        <v>41.170180000000002</v>
      </c>
      <c r="D19" s="700">
        <v>16.065000000000001</v>
      </c>
      <c r="E19" s="699">
        <v>7.3971</v>
      </c>
      <c r="F19" s="700">
        <v>58.856999999999999</v>
      </c>
      <c r="G19" s="699">
        <v>45.744605999999997</v>
      </c>
      <c r="H19" s="98">
        <f t="shared" si="0"/>
        <v>2002</v>
      </c>
      <c r="I19" s="98" t="str">
        <f t="shared" si="1"/>
        <v>3</v>
      </c>
      <c r="K19" s="1320">
        <f>LARGE(A$9:A$735,2)</f>
        <v>44256</v>
      </c>
      <c r="L19" s="758">
        <f t="shared" si="2"/>
        <v>37.496062999999999</v>
      </c>
      <c r="M19" s="759">
        <f t="shared" si="3"/>
        <v>434.23915599999998</v>
      </c>
      <c r="N19" s="760">
        <f t="shared" si="4"/>
        <v>0</v>
      </c>
      <c r="O19" s="759">
        <f t="shared" si="5"/>
        <v>0</v>
      </c>
      <c r="P19" s="760">
        <f t="shared" si="6"/>
        <v>16.339684000000002</v>
      </c>
      <c r="Q19" s="759">
        <f t="shared" si="7"/>
        <v>57.654603000000002</v>
      </c>
      <c r="AC19" s="112"/>
      <c r="AD19" s="112"/>
      <c r="AE19" s="112"/>
      <c r="AF19" s="112"/>
      <c r="AG19" s="112"/>
      <c r="AH19" s="112"/>
    </row>
    <row r="20" spans="1:34" ht="15.75" thickBot="1">
      <c r="A20" s="1320">
        <v>37591</v>
      </c>
      <c r="B20" s="764">
        <v>15.35</v>
      </c>
      <c r="C20" s="765">
        <v>35.069124000000002</v>
      </c>
      <c r="D20" s="764">
        <v>25.736000000000001</v>
      </c>
      <c r="E20" s="765">
        <v>11.050075</v>
      </c>
      <c r="F20" s="764">
        <v>51.475999999999999</v>
      </c>
      <c r="G20" s="765">
        <v>44.068821</v>
      </c>
      <c r="H20" s="98">
        <f t="shared" si="0"/>
        <v>2002</v>
      </c>
      <c r="I20" s="98" t="str">
        <f t="shared" si="1"/>
        <v>4</v>
      </c>
      <c r="K20" s="1321">
        <f>LARGE(A$9:A$735,1)</f>
        <v>44348</v>
      </c>
      <c r="L20" s="761">
        <f t="shared" si="2"/>
        <v>42.529713000000001</v>
      </c>
      <c r="M20" s="762">
        <f t="shared" si="3"/>
        <v>396.08542199999999</v>
      </c>
      <c r="N20" s="763">
        <f t="shared" si="4"/>
        <v>0.85125099999999998</v>
      </c>
      <c r="O20" s="762">
        <f t="shared" si="5"/>
        <v>2.18669666</v>
      </c>
      <c r="P20" s="763">
        <f t="shared" si="6"/>
        <v>12.500456</v>
      </c>
      <c r="Q20" s="762">
        <f>SUMIF($A$9:$A$735,$K20,G$9:G$735)</f>
        <v>45.266267510000006</v>
      </c>
      <c r="AC20" s="112"/>
      <c r="AD20" s="112"/>
      <c r="AE20" s="112"/>
      <c r="AF20" s="112"/>
      <c r="AG20" s="112"/>
      <c r="AH20" s="112"/>
    </row>
    <row r="21" spans="1:34">
      <c r="A21" s="1320">
        <v>37681</v>
      </c>
      <c r="B21" s="700">
        <v>11.138</v>
      </c>
      <c r="C21" s="699">
        <v>26.82959</v>
      </c>
      <c r="D21" s="700">
        <v>11.25</v>
      </c>
      <c r="E21" s="699">
        <v>6.67</v>
      </c>
      <c r="F21" s="700">
        <v>33.770000000000003</v>
      </c>
      <c r="G21" s="699">
        <v>35.200000000000003</v>
      </c>
      <c r="H21" s="98">
        <f t="shared" si="0"/>
        <v>2003</v>
      </c>
      <c r="I21" s="98" t="str">
        <f t="shared" si="1"/>
        <v>1</v>
      </c>
      <c r="K21" s="1604"/>
      <c r="L21" s="1603"/>
      <c r="M21" s="1603"/>
      <c r="N21" s="1603"/>
      <c r="O21" s="1603"/>
      <c r="P21" s="1603"/>
      <c r="Q21" s="1603"/>
      <c r="U21" s="2"/>
      <c r="AC21" s="112"/>
      <c r="AD21" s="112"/>
      <c r="AE21" s="112"/>
      <c r="AF21" s="112"/>
      <c r="AG21" s="112"/>
      <c r="AH21" s="112"/>
    </row>
    <row r="22" spans="1:34" ht="15.75" thickBot="1">
      <c r="A22" s="1320">
        <v>37773</v>
      </c>
      <c r="B22" s="764">
        <v>15.023999999999999</v>
      </c>
      <c r="C22" s="765">
        <v>35.565981999999998</v>
      </c>
      <c r="D22" s="764">
        <v>15.18</v>
      </c>
      <c r="E22" s="765">
        <v>8.35</v>
      </c>
      <c r="F22" s="764">
        <v>38.11</v>
      </c>
      <c r="G22" s="765">
        <v>35.26</v>
      </c>
      <c r="H22" s="98">
        <f t="shared" si="0"/>
        <v>2003</v>
      </c>
      <c r="I22" s="98" t="str">
        <f t="shared" si="1"/>
        <v>2</v>
      </c>
      <c r="U22" s="2"/>
      <c r="AC22" s="112"/>
      <c r="AD22" s="112"/>
      <c r="AE22" s="112"/>
      <c r="AF22" s="112"/>
      <c r="AG22" s="112"/>
      <c r="AH22" s="112"/>
    </row>
    <row r="23" spans="1:34" ht="15.75" thickBot="1">
      <c r="A23" s="1320">
        <v>37865</v>
      </c>
      <c r="B23" s="700">
        <v>20.244250000000001</v>
      </c>
      <c r="C23" s="699">
        <v>48.337485280000003</v>
      </c>
      <c r="D23" s="700">
        <v>17.481000000000002</v>
      </c>
      <c r="E23" s="699">
        <v>8.2900741</v>
      </c>
      <c r="F23" s="700">
        <v>37.886850000000003</v>
      </c>
      <c r="G23" s="699">
        <v>30.06951887</v>
      </c>
      <c r="H23" s="98">
        <f t="shared" si="0"/>
        <v>2003</v>
      </c>
      <c r="I23" s="98" t="str">
        <f t="shared" si="1"/>
        <v>3</v>
      </c>
      <c r="K23" s="578" t="s">
        <v>383</v>
      </c>
      <c r="L23" s="1999" t="s">
        <v>382</v>
      </c>
      <c r="M23" s="1999"/>
      <c r="N23" s="1999"/>
      <c r="O23" s="1999"/>
      <c r="P23" s="1999"/>
      <c r="Q23" s="2000"/>
      <c r="U23" s="2"/>
      <c r="AC23" s="112"/>
      <c r="AD23" s="112"/>
      <c r="AE23" s="112"/>
      <c r="AF23" s="112"/>
      <c r="AG23" s="112"/>
      <c r="AH23" s="112"/>
    </row>
    <row r="24" spans="1:34" ht="15.75" thickBot="1">
      <c r="A24" s="1320">
        <v>37956</v>
      </c>
      <c r="B24" s="764">
        <v>13.76984</v>
      </c>
      <c r="C24" s="765">
        <v>38.777166459999997</v>
      </c>
      <c r="D24" s="764">
        <v>5.9119999999999999</v>
      </c>
      <c r="E24" s="765">
        <v>3.6816138199999999</v>
      </c>
      <c r="F24" s="764">
        <v>39.073090000000001</v>
      </c>
      <c r="G24" s="765">
        <v>33.125015990000001</v>
      </c>
      <c r="H24" s="98">
        <f t="shared" si="0"/>
        <v>2003</v>
      </c>
      <c r="I24" s="98" t="str">
        <f t="shared" si="1"/>
        <v>4</v>
      </c>
      <c r="K24" s="1975" t="str">
        <f>CONCATENATE(A5," Quantity And Value By Year")</f>
        <v>Base Metals Quantity And Value By Year</v>
      </c>
      <c r="L24" s="1976"/>
      <c r="M24" s="1976"/>
      <c r="N24" s="1976"/>
      <c r="O24" s="1976"/>
      <c r="P24" s="1976"/>
      <c r="Q24" s="1977"/>
      <c r="U24" s="2"/>
      <c r="AC24" s="112"/>
      <c r="AD24" s="112"/>
      <c r="AE24" s="112"/>
      <c r="AF24" s="112"/>
      <c r="AG24" s="112"/>
      <c r="AH24" s="112"/>
    </row>
    <row r="25" spans="1:34">
      <c r="A25" s="1320">
        <v>38047</v>
      </c>
      <c r="B25" s="700">
        <v>9.4638200000000001</v>
      </c>
      <c r="C25" s="699">
        <v>32.519124169999998</v>
      </c>
      <c r="D25" s="700">
        <v>0</v>
      </c>
      <c r="E25" s="699">
        <v>0</v>
      </c>
      <c r="F25" s="700">
        <v>24.983440000000002</v>
      </c>
      <c r="G25" s="699">
        <v>33.018951549999997</v>
      </c>
      <c r="H25" s="98">
        <f t="shared" si="0"/>
        <v>2004</v>
      </c>
      <c r="I25" s="98" t="str">
        <f t="shared" si="1"/>
        <v>1</v>
      </c>
      <c r="K25" s="577"/>
      <c r="L25" s="1995" t="str">
        <f>B7</f>
        <v>Copper</v>
      </c>
      <c r="M25" s="1996"/>
      <c r="N25" s="1995" t="str">
        <f>D7</f>
        <v>Lead</v>
      </c>
      <c r="O25" s="1996"/>
      <c r="P25" s="1995" t="str">
        <f>F7</f>
        <v>Zinc</v>
      </c>
      <c r="Q25" s="1996"/>
      <c r="U25" s="2"/>
      <c r="AC25" s="112"/>
      <c r="AD25" s="112"/>
      <c r="AE25" s="112"/>
      <c r="AF25" s="112"/>
      <c r="AG25" s="112"/>
      <c r="AH25" s="112"/>
    </row>
    <row r="26" spans="1:34">
      <c r="A26" s="1320">
        <v>38139</v>
      </c>
      <c r="B26" s="764">
        <v>11.466984</v>
      </c>
      <c r="C26" s="765">
        <v>47.288723140000002</v>
      </c>
      <c r="D26" s="764">
        <v>0</v>
      </c>
      <c r="E26" s="765">
        <v>0</v>
      </c>
      <c r="F26" s="764">
        <v>4.5332499999999998</v>
      </c>
      <c r="G26" s="765">
        <v>6.6091462600000002</v>
      </c>
      <c r="H26" s="98">
        <f t="shared" si="0"/>
        <v>2004</v>
      </c>
      <c r="I26" s="98" t="str">
        <f t="shared" si="1"/>
        <v>2</v>
      </c>
      <c r="K26" s="1469" t="s">
        <v>41</v>
      </c>
      <c r="L26" s="1470" t="str">
        <f>B8</f>
        <v>Quantity (Kt)</v>
      </c>
      <c r="M26" s="1471" t="str">
        <f>C8</f>
        <v>Value ($ Million)</v>
      </c>
      <c r="N26" s="1470" t="str">
        <f>D8</f>
        <v>Quantity (Kt)</v>
      </c>
      <c r="O26" s="1471" t="str">
        <f>E8</f>
        <v>Value ($ Million)</v>
      </c>
      <c r="P26" s="1470" t="str">
        <f>F8</f>
        <v>Quantity (Kt)</v>
      </c>
      <c r="Q26" s="1472" t="str">
        <f>G8</f>
        <v>Value ($ Million)</v>
      </c>
      <c r="U26" s="2"/>
      <c r="AC26" s="112"/>
      <c r="AD26" s="112"/>
      <c r="AE26" s="112"/>
      <c r="AF26" s="112"/>
      <c r="AG26" s="112"/>
      <c r="AH26" s="112"/>
    </row>
    <row r="27" spans="1:34">
      <c r="A27" s="1320">
        <v>38231</v>
      </c>
      <c r="B27" s="700">
        <v>8.9878099999999996</v>
      </c>
      <c r="C27" s="699">
        <v>36.506440849999997</v>
      </c>
      <c r="D27" s="700">
        <v>1.1747399999999999</v>
      </c>
      <c r="E27" s="699">
        <v>1.5446158400000001</v>
      </c>
      <c r="F27" s="700">
        <v>12.29382</v>
      </c>
      <c r="G27" s="699">
        <v>17.24516753</v>
      </c>
      <c r="H27" s="98">
        <f t="shared" si="0"/>
        <v>2004</v>
      </c>
      <c r="I27" s="98" t="str">
        <f t="shared" si="1"/>
        <v>3</v>
      </c>
      <c r="K27" s="1322" t="str">
        <f>IF($L$23="Calendar Year",YEAR(MIN($A$8:$A$200)),CONCATENATE(YEAR(MIN($A$8:$A$200)),"-",((YEAR(MIN($A$8:$A$200))+1))))</f>
        <v>2000-2001</v>
      </c>
      <c r="L27" s="771">
        <f>IF($L$23="Calendar Year",SUMIF($H$9:$H$201,$K27,$B$9:$B$201),SUMIFS($B$9:$B$201,$H$9:$H$201,LEFT($K27,4),$I$9:$I$201,3)+SUMIFS($B$9:$B$201,$H$9:$H$201,LEFT($K27,4),$I$9:$I$201,4)+SUMIFS($B$9:$B$201,$H$9:$H$201,LEFT($K27,4)+1,$I$9:$I$201,1)+SUMIFS($B$9:$B$201,$H$9:$H$201,LEFT($K27,4)+1,$I$9:$I$201,2))</f>
        <v>41.978999999999999</v>
      </c>
      <c r="M27" s="772">
        <f>IF($L$23="Calendar Year",SUMIF($H$9:$H$201,$K27,$C$9:$C$201),SUMIFS($C$9:$C$201,$H$9:$H$201,LEFT($K27,4),$I$9:$I$201,3)+SUMIFS($C$9:$C$201,$H$9:$H$201,LEFT($K27,4),$I$9:$I$201,4)+SUMIFS($C$9:$C$201,$H$9:$H$201,LEFT($K27,4)+1,$I$9:$I$201,1)+SUMIFS($C$9:$C$201,$H$9:$H$201,LEFT($K27,4)+1,$I$9:$I$201,2))</f>
        <v>109.563985</v>
      </c>
      <c r="N27" s="771">
        <f>IF($L$23="Calendar Year",SUMIF($H$9:$H$201,$K27,$D$9:$D$201),SUMIFS($D$9:$D$201,$H$9:$H$201,LEFT($K27,4),$I$9:$I$201,3)+SUMIFS($D$9:$D$201,$H$9:$H$201,LEFT($K27,4),$I$9:$I$201,4)+SUMIFS($D$9:$D$201,$H$9:$H$201,LEFT($K27,4)+1,$I$9:$I$201,1)+SUMIFS($D$9:$D$201,$H$9:$H$201,LEFT($K27,4)+1,$I$9:$I$201,2))</f>
        <v>82.326000000000008</v>
      </c>
      <c r="O27" s="772">
        <f>IF($L$23="Calendar Year",SUMIF($H$9:$H$201,$K27,$E$9:$E$201),SUMIFS($E$9:$E$201,$H$9:$H$201,LEFT($K27,4),$I$9:$I$201,3)+SUMIFS($E$9:$E$201,$H$9:$H$201,LEFT($K27,4),$I$9:$I$201,4)+SUMIFS($E$9:$E$201,$H$9:$H$201,LEFT($K27,4)+1,$I$9:$I$201,1)+SUMIFS($E$9:$E$201,$H$9:$H$201,LEFT($K27,4)+1,$I$9:$I$201,2))</f>
        <v>37.308779000000001</v>
      </c>
      <c r="P27" s="771">
        <f>IF($L$23="Calendar Year",SUMIF($H$9:$H$201,$K27,$F$9:$F$201),SUMIFS($F$9:$F$201,$H$9:$H$201,LEFT($K27,4),$I$9:$I$201,3)+SUMIFS($F$9:$F$201,$H$9:$H$201,LEFT($K27,4),$I$9:$I$201,4)+SUMIFS($F$9:$F$201,$H$9:$H$201,LEFT($K27,4)+1,$I$9:$I$201,1)+SUMIFS($F$9:$F$201,$H$9:$H$201,LEFT($K27,4)+1,$I$9:$I$201,2))</f>
        <v>236.089</v>
      </c>
      <c r="Q27" s="772">
        <f>IF($L$23="Calendar Year",SUMIF($H$9:$H$201,$K27,$G$9:$G$201),SUMIFS($G$9:$G$201,$H$9:$H$201,LEFT($K27,4),$I$9:$I$201,3)+SUMIFS($G$9:$G$201,$H$9:$H$201,LEFT($K27,4),$I$9:$I$201,4)+SUMIFS($G$9:$G$201,$H$9:$H$201,LEFT($K27,4)+1,$I$9:$I$201,1)+SUMIFS($G$9:$G$201,$H$9:$H$201,LEFT($K27,4)+1,$I$9:$I$201,2))</f>
        <v>280.23965799999996</v>
      </c>
      <c r="U27" s="2"/>
      <c r="AC27" s="112"/>
      <c r="AD27" s="112"/>
      <c r="AE27" s="112"/>
      <c r="AF27" s="112"/>
      <c r="AG27" s="112"/>
      <c r="AH27" s="112"/>
    </row>
    <row r="28" spans="1:34">
      <c r="A28" s="1320">
        <v>38322</v>
      </c>
      <c r="B28" s="764">
        <v>12.341480000000001</v>
      </c>
      <c r="C28" s="765">
        <v>51.820087790000002</v>
      </c>
      <c r="D28" s="764">
        <v>0</v>
      </c>
      <c r="E28" s="765">
        <v>0</v>
      </c>
      <c r="F28" s="764">
        <v>9.9733599999999996</v>
      </c>
      <c r="G28" s="765">
        <v>14.29507703</v>
      </c>
      <c r="H28" s="98">
        <f t="shared" si="0"/>
        <v>2004</v>
      </c>
      <c r="I28" s="98" t="str">
        <f t="shared" si="1"/>
        <v>4</v>
      </c>
      <c r="K28" s="1322" t="str">
        <f>IFERROR(IF(YEAR(MAX('Commodity Prices'!$C$9:$C4984))=VALUE(RIGHT(K27,4)),"",IF($L$23="Calendar Year",K27+1,CONCATENATE(LEFT(K27,4)+1,"-",RIGHT(K27,4)+1))),"")</f>
        <v>2001-2002</v>
      </c>
      <c r="L28" s="769">
        <f t="shared" ref="L28:L52" si="8">IF(K28="","",IF($L$23="Calendar Year",SUMIF($H$9:$H$201,$K28,$B$9:$B$201),SUMIFS($B$9:$B$201,$H$9:$H$201,LEFT($K28,4),$I$9:$I$201,3)+SUMIFS($B$9:$B$201,$H$9:$H$201,LEFT($K28,4),$I$9:$I$201,4)+SUMIFS($B$9:$B$201,$H$9:$H$201,LEFT($K28,4)+1,$I$9:$I$201,1)+SUMIFS($B$9:$B$201,$H$9:$H$201,LEFT($K28,4)+1,$I$9:$I$201,2)))</f>
        <v>57.634999999999998</v>
      </c>
      <c r="M28" s="770">
        <f t="shared" ref="M28:M52" si="9">IF(K28="","",IF($L$23="Calendar Year",SUMIF($H$9:$H$201,$K28,$C$9:$C$201),SUMIFS($C$9:$C$201,$H$9:$H$201,LEFT($K28,4),$I$9:$I$201,3)+SUMIFS($C$9:$C$201,$H$9:$H$201,LEFT($K28,4),$I$9:$I$201,4)+SUMIFS($C$9:$C$201,$H$9:$H$201,LEFT($K28,4)+1,$I$9:$I$201,1)+SUMIFS($C$9:$C$201,$H$9:$H$201,LEFT($K28,4)+1,$I$9:$I$201,2)))</f>
        <v>127.050045</v>
      </c>
      <c r="N28" s="769">
        <f t="shared" ref="N28:N52" si="10">IF(K28="","",IF($L$23="Calendar Year",SUMIF($H$9:$H$201,$K28,$D$9:$D$201),SUMIFS($D$9:$D$201,$H$9:$H$201,LEFT($K28,4),$I$9:$I$201,3)+SUMIFS($D$9:$D$201,$H$9:$H$201,LEFT($K28,4),$I$9:$I$201,4)+SUMIFS($D$9:$D$201,$H$9:$H$201,LEFT($K28,4)+1,$I$9:$I$201,1)+SUMIFS($D$9:$D$201,$H$9:$H$201,LEFT($K28,4)+1,$I$9:$I$201,2)))</f>
        <v>75.076000000000008</v>
      </c>
      <c r="O28" s="770">
        <f t="shared" ref="O28:O52" si="11">IF(K28="","",IF($L$23="Calendar Year",SUMIF($H$9:$H$201,$K28,$E$9:$E$201),SUMIFS($E$9:$E$201,$H$9:$H$201,LEFT($K28,4),$I$9:$I$201,3)+SUMIFS($E$9:$E$201,$H$9:$H$201,LEFT($K28,4),$I$9:$I$201,4)+SUMIFS($E$9:$E$201,$H$9:$H$201,LEFT($K28,4)+1,$I$9:$I$201,1)+SUMIFS($E$9:$E$201,$H$9:$H$201,LEFT($K28,4)+1,$I$9:$I$201,2)))</f>
        <v>36.723118999999997</v>
      </c>
      <c r="P28" s="769">
        <f t="shared" ref="P28:P52" si="12">IF(K28="","",IF($L$23="Calendar Year",SUMIF($H$9:$H$201,$K28,$F$9:$F$201),SUMIFS($F$9:$F$201,$H$9:$H$201,LEFT($K28,4),$I$9:$I$201,3)+SUMIFS($F$9:$F$201,$H$9:$H$201,LEFT($K28,4),$I$9:$I$201,4)+SUMIFS($F$9:$F$201,$H$9:$H$201,LEFT($K28,4)+1,$I$9:$I$201,1)+SUMIFS($F$9:$F$201,$H$9:$H$201,LEFT($K28,4)+1,$I$9:$I$201,2)))</f>
        <v>223.66900000000004</v>
      </c>
      <c r="Q28" s="770">
        <f t="shared" ref="Q28:Q52" si="13">IF(K28="","",IF($L$23="Calendar Year",SUMIF($H$9:$H$201,$K28,$G$9:$G$201),SUMIFS($G$9:$G$201,$H$9:$H$201,LEFT($K28,4),$I$9:$I$201,3)+SUMIFS($G$9:$G$201,$H$9:$H$201,LEFT($K28,4),$I$9:$I$201,4)+SUMIFS($G$9:$G$201,$H$9:$H$201,LEFT($K28,4)+1,$I$9:$I$201,1)+SUMIFS($G$9:$G$201,$H$9:$H$201,LEFT($K28,4)+1,$I$9:$I$201,2)))</f>
        <v>173.81592700000002</v>
      </c>
      <c r="AC28" s="112"/>
      <c r="AD28" s="112"/>
      <c r="AE28" s="112"/>
      <c r="AF28" s="112"/>
      <c r="AG28" s="112"/>
      <c r="AH28" s="112"/>
    </row>
    <row r="29" spans="1:34">
      <c r="A29" s="1320">
        <v>38412</v>
      </c>
      <c r="B29" s="700">
        <v>10.86936</v>
      </c>
      <c r="C29" s="699">
        <v>46.321934990000003</v>
      </c>
      <c r="D29" s="700">
        <v>1.1496</v>
      </c>
      <c r="E29" s="699">
        <v>1.4617513799999999</v>
      </c>
      <c r="F29" s="700">
        <v>13.123620000000001</v>
      </c>
      <c r="G29" s="699">
        <v>19.535581140000001</v>
      </c>
      <c r="H29" s="98">
        <f t="shared" si="0"/>
        <v>2005</v>
      </c>
      <c r="I29" s="98" t="str">
        <f t="shared" si="1"/>
        <v>1</v>
      </c>
      <c r="K29" s="1322" t="str">
        <f>IFERROR(IF(YEAR(MAX('Commodity Prices'!$C$9:$C4985))=VALUE(RIGHT(K28,4)),"",IF($L$23="Calendar Year",K28+1,CONCATENATE(LEFT(K28,4)+1,"-",RIGHT(K28,4)+1))),"")</f>
        <v>2002-2003</v>
      </c>
      <c r="L29" s="771">
        <f t="shared" si="8"/>
        <v>59.424999999999997</v>
      </c>
      <c r="M29" s="772">
        <f t="shared" si="9"/>
        <v>138.63487599999999</v>
      </c>
      <c r="N29" s="771">
        <f t="shared" si="10"/>
        <v>68.230999999999995</v>
      </c>
      <c r="O29" s="772">
        <f t="shared" si="11"/>
        <v>33.467175000000005</v>
      </c>
      <c r="P29" s="771">
        <f t="shared" si="12"/>
        <v>182.21300000000002</v>
      </c>
      <c r="Q29" s="772">
        <f t="shared" si="13"/>
        <v>160.273427</v>
      </c>
      <c r="AC29" s="112"/>
      <c r="AD29" s="112"/>
      <c r="AE29" s="112"/>
      <c r="AF29" s="112"/>
      <c r="AG29" s="112"/>
      <c r="AH29" s="112"/>
    </row>
    <row r="30" spans="1:34">
      <c r="A30" s="1320">
        <v>38504</v>
      </c>
      <c r="B30" s="764">
        <v>28.512177000000001</v>
      </c>
      <c r="C30" s="765">
        <v>133.03050275999999</v>
      </c>
      <c r="D30" s="764">
        <v>0</v>
      </c>
      <c r="E30" s="765">
        <v>0</v>
      </c>
      <c r="F30" s="764">
        <v>13.01009</v>
      </c>
      <c r="G30" s="765">
        <v>21.44047909</v>
      </c>
      <c r="H30" s="98">
        <f t="shared" si="0"/>
        <v>2005</v>
      </c>
      <c r="I30" s="98" t="str">
        <f t="shared" si="1"/>
        <v>2</v>
      </c>
      <c r="K30" s="1322" t="str">
        <f>IFERROR(IF(YEAR(MAX('Commodity Prices'!$C$9:$C4986))=VALUE(RIGHT(K29,4)),"",IF($L$23="Calendar Year",K29+1,CONCATENATE(LEFT(K29,4)+1,"-",RIGHT(K29,4)+1))),"")</f>
        <v>2003-2004</v>
      </c>
      <c r="L30" s="769">
        <f t="shared" si="8"/>
        <v>54.944894000000005</v>
      </c>
      <c r="M30" s="770">
        <f t="shared" si="9"/>
        <v>166.92249905</v>
      </c>
      <c r="N30" s="769">
        <f t="shared" si="10"/>
        <v>23.393000000000001</v>
      </c>
      <c r="O30" s="770">
        <f t="shared" si="11"/>
        <v>11.971687920000001</v>
      </c>
      <c r="P30" s="769">
        <f t="shared" si="12"/>
        <v>106.47663</v>
      </c>
      <c r="Q30" s="770">
        <f t="shared" si="13"/>
        <v>102.82263267</v>
      </c>
      <c r="AC30" s="112"/>
      <c r="AD30" s="112"/>
      <c r="AE30" s="112"/>
      <c r="AF30" s="112"/>
      <c r="AG30" s="112"/>
      <c r="AH30" s="112"/>
    </row>
    <row r="31" spans="1:34">
      <c r="A31" s="1320">
        <v>38596</v>
      </c>
      <c r="B31" s="700">
        <v>23.733232000000001</v>
      </c>
      <c r="C31" s="699">
        <v>130.06300292</v>
      </c>
      <c r="D31" s="700">
        <v>8.9459370000000007</v>
      </c>
      <c r="E31" s="699">
        <v>10.864582990000001</v>
      </c>
      <c r="F31" s="700">
        <v>12.67141</v>
      </c>
      <c r="G31" s="699">
        <v>22.451677100000001</v>
      </c>
      <c r="H31" s="98">
        <f t="shared" si="0"/>
        <v>2005</v>
      </c>
      <c r="I31" s="98" t="str">
        <f t="shared" si="1"/>
        <v>3</v>
      </c>
      <c r="K31" s="1322" t="str">
        <f>IFERROR(IF(YEAR(MAX('Commodity Prices'!$C$9:$C4987))=VALUE(RIGHT(K30,4)),"",IF($L$23="Calendar Year",K30+1,CONCATENATE(LEFT(K30,4)+1,"-",RIGHT(K30,4)+1))),"")</f>
        <v>2004-2005</v>
      </c>
      <c r="L31" s="771">
        <f t="shared" si="8"/>
        <v>60.710827000000002</v>
      </c>
      <c r="M31" s="772">
        <f t="shared" si="9"/>
        <v>267.67896638999997</v>
      </c>
      <c r="N31" s="771">
        <f t="shared" si="10"/>
        <v>2.3243399999999999</v>
      </c>
      <c r="O31" s="772">
        <f t="shared" si="11"/>
        <v>3.00636722</v>
      </c>
      <c r="P31" s="771">
        <f t="shared" si="12"/>
        <v>48.400889999999997</v>
      </c>
      <c r="Q31" s="772">
        <f t="shared" si="13"/>
        <v>72.516304789999992</v>
      </c>
      <c r="AC31" s="112"/>
      <c r="AD31" s="112"/>
      <c r="AE31" s="112"/>
      <c r="AF31" s="112"/>
      <c r="AG31" s="112"/>
      <c r="AH31" s="112"/>
    </row>
    <row r="32" spans="1:34">
      <c r="A32" s="1320">
        <v>38687</v>
      </c>
      <c r="B32" s="764">
        <v>22.105712</v>
      </c>
      <c r="C32" s="765">
        <v>161.79295521</v>
      </c>
      <c r="D32" s="764">
        <v>18.499777999999999</v>
      </c>
      <c r="E32" s="765">
        <v>27.44674947</v>
      </c>
      <c r="F32" s="764">
        <v>20.29926</v>
      </c>
      <c r="G32" s="765">
        <v>63.467582290000003</v>
      </c>
      <c r="H32" s="98">
        <f t="shared" si="0"/>
        <v>2005</v>
      </c>
      <c r="I32" s="98" t="str">
        <f t="shared" si="1"/>
        <v>4</v>
      </c>
      <c r="K32" s="1322" t="str">
        <f>IFERROR(IF(YEAR(MAX('Commodity Prices'!$C$9:$C4988))=VALUE(RIGHT(K31,4)),"",IF($L$23="Calendar Year",K31+1,CONCATENATE(LEFT(K31,4)+1,"-",RIGHT(K31,4)+1))),"")</f>
        <v>2005-2006</v>
      </c>
      <c r="L32" s="769">
        <f t="shared" si="8"/>
        <v>84.673216999999994</v>
      </c>
      <c r="M32" s="770">
        <f t="shared" si="9"/>
        <v>611.11370989</v>
      </c>
      <c r="N32" s="769">
        <f t="shared" si="10"/>
        <v>57.265385999999999</v>
      </c>
      <c r="O32" s="770">
        <f t="shared" si="11"/>
        <v>84.970520390000004</v>
      </c>
      <c r="P32" s="769">
        <f t="shared" si="12"/>
        <v>80.007272999999998</v>
      </c>
      <c r="Q32" s="770">
        <f t="shared" si="13"/>
        <v>274.24483553000005</v>
      </c>
      <c r="AC32" s="112"/>
      <c r="AD32" s="112"/>
      <c r="AE32" s="112"/>
      <c r="AF32" s="112"/>
      <c r="AG32" s="112"/>
      <c r="AH32" s="112"/>
    </row>
    <row r="33" spans="1:34">
      <c r="A33" s="1320">
        <v>38777</v>
      </c>
      <c r="B33" s="700">
        <v>12.024084999999999</v>
      </c>
      <c r="C33" s="699">
        <v>90.567247140000006</v>
      </c>
      <c r="D33" s="700">
        <v>14.169449</v>
      </c>
      <c r="E33" s="699">
        <v>22.678185710000001</v>
      </c>
      <c r="F33" s="700">
        <v>27.308706000000001</v>
      </c>
      <c r="G33" s="699">
        <v>99.958763950000005</v>
      </c>
      <c r="H33" s="98">
        <f t="shared" si="0"/>
        <v>2006</v>
      </c>
      <c r="I33" s="98" t="str">
        <f t="shared" si="1"/>
        <v>1</v>
      </c>
      <c r="K33" s="1322" t="str">
        <f>IFERROR(IF(YEAR(MAX('Commodity Prices'!$C$9:$C4989))=VALUE(RIGHT(K32,4)),"",IF($L$23="Calendar Year",K32+1,CONCATENATE(LEFT(K32,4)+1,"-",RIGHT(K32,4)+1))),"")</f>
        <v>2006-2007</v>
      </c>
      <c r="L33" s="771">
        <f t="shared" si="8"/>
        <v>108.677836</v>
      </c>
      <c r="M33" s="772">
        <f t="shared" si="9"/>
        <v>951.65671581999993</v>
      </c>
      <c r="N33" s="771">
        <f t="shared" si="10"/>
        <v>59.563003999999999</v>
      </c>
      <c r="O33" s="772">
        <f t="shared" si="11"/>
        <v>127.75976598</v>
      </c>
      <c r="P33" s="771">
        <f t="shared" si="12"/>
        <v>122.96492499999999</v>
      </c>
      <c r="Q33" s="772">
        <f t="shared" si="13"/>
        <v>539.95478370000001</v>
      </c>
      <c r="AC33" s="112"/>
      <c r="AD33" s="112"/>
      <c r="AE33" s="112"/>
      <c r="AF33" s="112"/>
      <c r="AG33" s="112"/>
      <c r="AH33" s="112"/>
    </row>
    <row r="34" spans="1:34">
      <c r="A34" s="1320">
        <v>38869</v>
      </c>
      <c r="B34" s="764">
        <v>26.810188</v>
      </c>
      <c r="C34" s="765">
        <v>228.69050462000001</v>
      </c>
      <c r="D34" s="764">
        <v>15.650221999999999</v>
      </c>
      <c r="E34" s="765">
        <v>23.981002220000001</v>
      </c>
      <c r="F34" s="764">
        <v>19.727896999999999</v>
      </c>
      <c r="G34" s="765">
        <v>88.366812190000005</v>
      </c>
      <c r="H34" s="98">
        <f t="shared" si="0"/>
        <v>2006</v>
      </c>
      <c r="I34" s="98" t="str">
        <f t="shared" si="1"/>
        <v>2</v>
      </c>
      <c r="K34" s="1322" t="str">
        <f>IFERROR(IF(YEAR(MAX('Commodity Prices'!$C$9:$C4990))=VALUE(RIGHT(K33,4)),"",IF($L$23="Calendar Year",K33+1,CONCATENATE(LEFT(K33,4)+1,"-",RIGHT(K33,4)+1))),"")</f>
        <v>2007-2008</v>
      </c>
      <c r="L34" s="769">
        <f t="shared" si="8"/>
        <v>123.36158999999999</v>
      </c>
      <c r="M34" s="770">
        <f t="shared" si="9"/>
        <v>1031.13508914</v>
      </c>
      <c r="N34" s="769">
        <f t="shared" si="10"/>
        <v>25.851064999999998</v>
      </c>
      <c r="O34" s="770">
        <f t="shared" si="11"/>
        <v>63.313165580000003</v>
      </c>
      <c r="P34" s="769">
        <f t="shared" si="12"/>
        <v>216.01826</v>
      </c>
      <c r="Q34" s="770">
        <f t="shared" si="13"/>
        <v>415.93240148999996</v>
      </c>
      <c r="AC34" s="112"/>
      <c r="AD34" s="112"/>
      <c r="AE34" s="112"/>
      <c r="AF34" s="112"/>
      <c r="AG34" s="112"/>
      <c r="AH34" s="112"/>
    </row>
    <row r="35" spans="1:34">
      <c r="A35" s="1320">
        <v>38961</v>
      </c>
      <c r="B35" s="700">
        <v>24.652287000000001</v>
      </c>
      <c r="C35" s="699">
        <v>230.93300636999999</v>
      </c>
      <c r="D35" s="700">
        <v>19.155919000000001</v>
      </c>
      <c r="E35" s="699">
        <v>33.62997712</v>
      </c>
      <c r="F35" s="700">
        <v>30.505755000000001</v>
      </c>
      <c r="G35" s="699">
        <v>155.48276697</v>
      </c>
      <c r="H35" s="98">
        <f t="shared" si="0"/>
        <v>2006</v>
      </c>
      <c r="I35" s="98" t="str">
        <f t="shared" si="1"/>
        <v>3</v>
      </c>
      <c r="K35" s="1322" t="str">
        <f>IFERROR(IF(YEAR(MAX('Commodity Prices'!$C$9:$C4991))=VALUE(RIGHT(K34,4)),"",IF($L$23="Calendar Year",K34+1,CONCATENATE(LEFT(K34,4)+1,"-",RIGHT(K34,4)+1))),"")</f>
        <v>2008-2009</v>
      </c>
      <c r="L35" s="771">
        <f t="shared" si="8"/>
        <v>128.23243400000001</v>
      </c>
      <c r="M35" s="772">
        <f t="shared" si="9"/>
        <v>656.71831856000006</v>
      </c>
      <c r="N35" s="771">
        <f t="shared" si="10"/>
        <v>25.203105000000001</v>
      </c>
      <c r="O35" s="772">
        <f t="shared" si="11"/>
        <v>42.115327649999998</v>
      </c>
      <c r="P35" s="771">
        <f t="shared" si="12"/>
        <v>142.61024599999999</v>
      </c>
      <c r="Q35" s="772">
        <f t="shared" si="13"/>
        <v>232.60352829000001</v>
      </c>
      <c r="AC35" s="112"/>
      <c r="AD35" s="112"/>
      <c r="AE35" s="112"/>
      <c r="AF35" s="112"/>
      <c r="AG35" s="112"/>
      <c r="AH35" s="112"/>
    </row>
    <row r="36" spans="1:34">
      <c r="A36" s="1320">
        <v>39052</v>
      </c>
      <c r="B36" s="764">
        <v>35.755910999999998</v>
      </c>
      <c r="C36" s="765">
        <v>314.80943589999998</v>
      </c>
      <c r="D36" s="764">
        <v>21.977899000000001</v>
      </c>
      <c r="E36" s="765">
        <v>47.56537548</v>
      </c>
      <c r="F36" s="764">
        <v>31.521032999999999</v>
      </c>
      <c r="G36" s="765">
        <v>147.27212675999999</v>
      </c>
      <c r="H36" s="98">
        <f t="shared" si="0"/>
        <v>2006</v>
      </c>
      <c r="I36" s="98" t="str">
        <f t="shared" si="1"/>
        <v>4</v>
      </c>
      <c r="K36" s="1322" t="str">
        <f>IFERROR(IF(YEAR(MAX('Commodity Prices'!$C$9:$C4992))=VALUE(RIGHT(K35,4)),"",IF($L$23="Calendar Year",K35+1,CONCATENATE(LEFT(K35,4)+1,"-",RIGHT(K35,4)+1))),"")</f>
        <v>2009-2010</v>
      </c>
      <c r="L36" s="769">
        <f t="shared" si="8"/>
        <v>151.96334899999999</v>
      </c>
      <c r="M36" s="770">
        <f t="shared" si="9"/>
        <v>1172.47645076</v>
      </c>
      <c r="N36" s="769">
        <f t="shared" si="10"/>
        <v>26.011457999999998</v>
      </c>
      <c r="O36" s="770">
        <f t="shared" si="11"/>
        <v>61.554965920000001</v>
      </c>
      <c r="P36" s="769">
        <f t="shared" si="12"/>
        <v>87.558924000000005</v>
      </c>
      <c r="Q36" s="770">
        <f t="shared" si="13"/>
        <v>210.11873643000001</v>
      </c>
      <c r="AC36" s="112"/>
      <c r="AD36" s="112"/>
      <c r="AE36" s="112"/>
      <c r="AF36" s="112"/>
      <c r="AG36" s="112"/>
      <c r="AH36" s="112"/>
    </row>
    <row r="37" spans="1:34">
      <c r="A37" s="1320">
        <v>39142</v>
      </c>
      <c r="B37" s="700">
        <v>20.220680000000002</v>
      </c>
      <c r="C37" s="699">
        <v>168.79466108</v>
      </c>
      <c r="D37" s="700">
        <v>15.126576999999999</v>
      </c>
      <c r="E37" s="699">
        <v>36.63672519</v>
      </c>
      <c r="F37" s="700">
        <v>28.006328</v>
      </c>
      <c r="G37" s="699">
        <v>125.448381</v>
      </c>
      <c r="H37" s="98">
        <f t="shared" si="0"/>
        <v>2007</v>
      </c>
      <c r="I37" s="98" t="str">
        <f t="shared" si="1"/>
        <v>1</v>
      </c>
      <c r="K37" s="1322" t="str">
        <f>IFERROR(IF(YEAR(MAX('Commodity Prices'!$C$9:$C4993))=VALUE(RIGHT(K36,4)),"",IF($L$23="Calendar Year",K36+1,CONCATENATE(LEFT(K36,4)+1,"-",RIGHT(K36,4)+1))),"")</f>
        <v>2010-2011</v>
      </c>
      <c r="L37" s="771">
        <f t="shared" si="8"/>
        <v>150.03032099999999</v>
      </c>
      <c r="M37" s="772">
        <f t="shared" si="9"/>
        <v>1332.3561502299999</v>
      </c>
      <c r="N37" s="771">
        <f t="shared" si="10"/>
        <v>40.763701000000005</v>
      </c>
      <c r="O37" s="772">
        <f t="shared" si="11"/>
        <v>100.06846913</v>
      </c>
      <c r="P37" s="771">
        <f t="shared" si="12"/>
        <v>70.53654499999999</v>
      </c>
      <c r="Q37" s="772">
        <f t="shared" si="13"/>
        <v>162.10826453999999</v>
      </c>
      <c r="AC37" s="112"/>
      <c r="AD37" s="112"/>
      <c r="AE37" s="112"/>
      <c r="AF37" s="112"/>
      <c r="AG37" s="112"/>
      <c r="AH37" s="112"/>
    </row>
    <row r="38" spans="1:34">
      <c r="A38" s="1320">
        <v>39234</v>
      </c>
      <c r="B38" s="764">
        <v>28.048957999999999</v>
      </c>
      <c r="C38" s="765">
        <v>237.11961246999999</v>
      </c>
      <c r="D38" s="764">
        <v>3.3026089999999999</v>
      </c>
      <c r="E38" s="765">
        <v>9.9276881899999996</v>
      </c>
      <c r="F38" s="764">
        <v>32.931809000000001</v>
      </c>
      <c r="G38" s="765">
        <v>111.75150897</v>
      </c>
      <c r="H38" s="98">
        <f t="shared" si="0"/>
        <v>2007</v>
      </c>
      <c r="I38" s="98" t="str">
        <f t="shared" si="1"/>
        <v>2</v>
      </c>
      <c r="K38" s="1322" t="str">
        <f>IFERROR(IF(YEAR(MAX('Commodity Prices'!$C$9:$C4994))=VALUE(RIGHT(K37,4)),"",IF($L$23="Calendar Year",K37+1,CONCATENATE(LEFT(K37,4)+1,"-",RIGHT(K37,4)+1))),"")</f>
        <v>2011-2012</v>
      </c>
      <c r="L38" s="769">
        <f t="shared" si="8"/>
        <v>159.171311952</v>
      </c>
      <c r="M38" s="770">
        <f t="shared" si="9"/>
        <v>1180.77969936</v>
      </c>
      <c r="N38" s="769">
        <f t="shared" si="10"/>
        <v>6.9217059999999995</v>
      </c>
      <c r="O38" s="770">
        <f t="shared" si="11"/>
        <v>13.83983063</v>
      </c>
      <c r="P38" s="769">
        <f t="shared" si="12"/>
        <v>63.503200999999997</v>
      </c>
      <c r="Q38" s="770">
        <f t="shared" si="13"/>
        <v>121.98420999999999</v>
      </c>
      <c r="AC38" s="112"/>
      <c r="AD38" s="112"/>
      <c r="AE38" s="112"/>
      <c r="AF38" s="112"/>
      <c r="AG38" s="112"/>
      <c r="AH38" s="112"/>
    </row>
    <row r="39" spans="1:34">
      <c r="A39" s="1320">
        <v>39326</v>
      </c>
      <c r="B39" s="700">
        <v>33.598118999999997</v>
      </c>
      <c r="C39" s="699">
        <v>283.00854938999998</v>
      </c>
      <c r="D39" s="700">
        <v>4.5670000000000002</v>
      </c>
      <c r="E39" s="699">
        <v>15.013902440000001</v>
      </c>
      <c r="F39" s="700">
        <v>50.316916999999997</v>
      </c>
      <c r="G39" s="699">
        <v>108.15036569</v>
      </c>
      <c r="H39" s="98">
        <f t="shared" si="0"/>
        <v>2007</v>
      </c>
      <c r="I39" s="98" t="str">
        <f t="shared" si="1"/>
        <v>3</v>
      </c>
      <c r="K39" s="1322" t="str">
        <f>IFERROR(IF(YEAR(MAX('Commodity Prices'!$C$9:$C4995))=VALUE(RIGHT(K38,4)),"",IF($L$23="Calendar Year",K38+1,CONCATENATE(LEFT(K38,4)+1,"-",RIGHT(K38,4)+1))),"")</f>
        <v>2012-2013</v>
      </c>
      <c r="L39" s="771">
        <f t="shared" si="8"/>
        <v>209.266334817</v>
      </c>
      <c r="M39" s="772">
        <f t="shared" si="9"/>
        <v>1423.0435544100001</v>
      </c>
      <c r="N39" s="771">
        <f t="shared" si="10"/>
        <v>16.640839999999997</v>
      </c>
      <c r="O39" s="772">
        <f t="shared" si="11"/>
        <v>35.049524680000005</v>
      </c>
      <c r="P39" s="771">
        <f t="shared" si="12"/>
        <v>55.847680000000004</v>
      </c>
      <c r="Q39" s="772">
        <f t="shared" si="13"/>
        <v>103.86791280999999</v>
      </c>
      <c r="AC39" s="112"/>
      <c r="AD39" s="112"/>
      <c r="AE39" s="112"/>
      <c r="AF39" s="112"/>
      <c r="AG39" s="112"/>
      <c r="AH39" s="112"/>
    </row>
    <row r="40" spans="1:34">
      <c r="A40" s="1320">
        <v>39417</v>
      </c>
      <c r="B40" s="764">
        <v>23.537229</v>
      </c>
      <c r="C40" s="765">
        <v>196.65996236000001</v>
      </c>
      <c r="D40" s="764">
        <v>14.095338999999999</v>
      </c>
      <c r="E40" s="765">
        <v>35.203163519999997</v>
      </c>
      <c r="F40" s="764">
        <v>62.082746</v>
      </c>
      <c r="G40" s="765">
        <v>137.53442192</v>
      </c>
      <c r="H40" s="98">
        <f t="shared" si="0"/>
        <v>2007</v>
      </c>
      <c r="I40" s="98" t="str">
        <f t="shared" si="1"/>
        <v>4</v>
      </c>
      <c r="K40" s="1322" t="str">
        <f>IFERROR(IF(YEAR(MAX('Commodity Prices'!$C$9:$C4996))=VALUE(RIGHT(K39,4)),"",IF($L$23="Calendar Year",K39+1,CONCATENATE(LEFT(K39,4)+1,"-",RIGHT(K39,4)+1))),"")</f>
        <v>2013-2014</v>
      </c>
      <c r="L40" s="769">
        <f t="shared" si="8"/>
        <v>211.18632200000002</v>
      </c>
      <c r="M40" s="770">
        <f t="shared" si="9"/>
        <v>1559.56560984</v>
      </c>
      <c r="N40" s="769">
        <f t="shared" si="10"/>
        <v>78.650710000000004</v>
      </c>
      <c r="O40" s="770">
        <f t="shared" si="11"/>
        <v>178.76405846</v>
      </c>
      <c r="P40" s="769">
        <f t="shared" si="12"/>
        <v>54.060290000000002</v>
      </c>
      <c r="Q40" s="770">
        <f t="shared" si="13"/>
        <v>118.26157629999999</v>
      </c>
      <c r="AC40" s="112"/>
      <c r="AD40" s="112"/>
      <c r="AE40" s="112"/>
      <c r="AF40" s="112"/>
      <c r="AG40" s="112"/>
      <c r="AH40" s="112"/>
    </row>
    <row r="41" spans="1:34">
      <c r="A41" s="1320">
        <v>39508</v>
      </c>
      <c r="B41" s="700">
        <v>33.965018999999998</v>
      </c>
      <c r="C41" s="699">
        <v>281.65695162999998</v>
      </c>
      <c r="D41" s="700">
        <v>3.9412419999999999</v>
      </c>
      <c r="E41" s="699">
        <v>8.3185494999999996</v>
      </c>
      <c r="F41" s="700">
        <v>34.518994999999997</v>
      </c>
      <c r="G41" s="699">
        <v>64.190742040000003</v>
      </c>
      <c r="H41" s="98">
        <f t="shared" si="0"/>
        <v>2008</v>
      </c>
      <c r="I41" s="98" t="str">
        <f t="shared" si="1"/>
        <v>1</v>
      </c>
      <c r="K41" s="1322" t="str">
        <f>IFERROR(IF(YEAR(MAX('Commodity Prices'!$C$9:$C4997))=VALUE(RIGHT(K40,4)),"",IF($L$23="Calendar Year",K40+1,CONCATENATE(LEFT(K40,4)+1,"-",RIGHT(K40,4)+1))),"")</f>
        <v>2014-2015</v>
      </c>
      <c r="L41" s="771">
        <f t="shared" si="8"/>
        <v>184.49489700000004</v>
      </c>
      <c r="M41" s="772">
        <f t="shared" si="9"/>
        <v>1283.046797</v>
      </c>
      <c r="N41" s="771">
        <f t="shared" si="10"/>
        <v>59.248420000000003</v>
      </c>
      <c r="O41" s="772">
        <f t="shared" si="11"/>
        <v>136.94966200000002</v>
      </c>
      <c r="P41" s="771">
        <f t="shared" si="12"/>
        <v>77.830909999999989</v>
      </c>
      <c r="Q41" s="772">
        <f t="shared" si="13"/>
        <v>197.04040600000002</v>
      </c>
      <c r="AC41" s="112"/>
      <c r="AD41" s="112"/>
      <c r="AE41" s="112"/>
      <c r="AF41" s="112"/>
      <c r="AG41" s="112"/>
      <c r="AH41" s="112"/>
    </row>
    <row r="42" spans="1:34">
      <c r="A42" s="1320">
        <v>39600</v>
      </c>
      <c r="B42" s="764">
        <v>32.261223000000001</v>
      </c>
      <c r="C42" s="765">
        <v>269.80962576000002</v>
      </c>
      <c r="D42" s="764">
        <v>3.247484</v>
      </c>
      <c r="E42" s="765">
        <v>4.7775501199999999</v>
      </c>
      <c r="F42" s="764">
        <v>69.099602000000004</v>
      </c>
      <c r="G42" s="765">
        <v>106.05687184</v>
      </c>
      <c r="H42" s="98">
        <f t="shared" si="0"/>
        <v>2008</v>
      </c>
      <c r="I42" s="98" t="str">
        <f t="shared" si="1"/>
        <v>2</v>
      </c>
      <c r="K42" s="1322" t="str">
        <f>IFERROR(IF(YEAR(MAX('Commodity Prices'!$C$9:$C4998))=VALUE(RIGHT(K41,4)),"",IF($L$23="Calendar Year",K41+1,CONCATENATE(LEFT(K41,4)+1,"-",RIGHT(K41,4)+1))),"")</f>
        <v>2015-2016</v>
      </c>
      <c r="L42" s="769">
        <f t="shared" si="8"/>
        <v>190.274756</v>
      </c>
      <c r="M42" s="770">
        <f t="shared" si="9"/>
        <v>1181.2620870000001</v>
      </c>
      <c r="N42" s="769">
        <f t="shared" si="10"/>
        <v>5.9879999999999995</v>
      </c>
      <c r="O42" s="770">
        <f t="shared" si="11"/>
        <v>14.810594999999999</v>
      </c>
      <c r="P42" s="769">
        <f t="shared" si="12"/>
        <v>82.675939999999997</v>
      </c>
      <c r="Q42" s="770">
        <f t="shared" si="13"/>
        <v>195.49445300000002</v>
      </c>
      <c r="AC42" s="112"/>
      <c r="AD42" s="112"/>
      <c r="AE42" s="112"/>
      <c r="AF42" s="112"/>
      <c r="AG42" s="112"/>
      <c r="AH42" s="112"/>
    </row>
    <row r="43" spans="1:34">
      <c r="A43" s="1320">
        <v>39692</v>
      </c>
      <c r="B43" s="700">
        <v>32.756293999999997</v>
      </c>
      <c r="C43" s="699">
        <v>188.16778449</v>
      </c>
      <c r="D43" s="700">
        <v>6.5189919999999999</v>
      </c>
      <c r="E43" s="699">
        <v>6.9632501600000003</v>
      </c>
      <c r="F43" s="700">
        <v>50.435758999999997</v>
      </c>
      <c r="G43" s="699">
        <v>62.002122460000002</v>
      </c>
      <c r="H43" s="98">
        <f t="shared" si="0"/>
        <v>2008</v>
      </c>
      <c r="I43" s="98" t="str">
        <f t="shared" si="1"/>
        <v>3</v>
      </c>
      <c r="K43" s="1322" t="str">
        <f>IFERROR(IF(YEAR(MAX('Commodity Prices'!$C$9:$C4999))=VALUE(RIGHT(K42,4)),"",IF($L$23="Calendar Year",K42+1,CONCATENATE(LEFT(K42,4)+1,"-",RIGHT(K42,4)+1))),"")</f>
        <v>2016-2017</v>
      </c>
      <c r="L43" s="771">
        <f t="shared" si="8"/>
        <v>170.73021500000002</v>
      </c>
      <c r="M43" s="772">
        <f t="shared" si="9"/>
        <v>1240.528049</v>
      </c>
      <c r="N43" s="771">
        <f t="shared" si="10"/>
        <v>3.5074799999999997</v>
      </c>
      <c r="O43" s="772">
        <f t="shared" si="11"/>
        <v>10.146717000000001</v>
      </c>
      <c r="P43" s="771">
        <f t="shared" si="12"/>
        <v>82.942660000000004</v>
      </c>
      <c r="Q43" s="772">
        <f t="shared" si="13"/>
        <v>204.16125900000003</v>
      </c>
      <c r="AC43" s="112"/>
      <c r="AD43" s="112"/>
      <c r="AE43" s="112"/>
      <c r="AF43" s="112"/>
      <c r="AG43" s="112"/>
      <c r="AH43" s="112"/>
    </row>
    <row r="44" spans="1:34">
      <c r="A44" s="1320">
        <v>39783</v>
      </c>
      <c r="B44" s="764">
        <v>20.073412000000001</v>
      </c>
      <c r="C44" s="765">
        <v>92.880791799999997</v>
      </c>
      <c r="D44" s="764">
        <v>4.8311099999999998</v>
      </c>
      <c r="E44" s="765">
        <v>8.7560701699999992</v>
      </c>
      <c r="F44" s="764">
        <v>35.757596999999997</v>
      </c>
      <c r="G44" s="765">
        <v>61.242743869999998</v>
      </c>
      <c r="H44" s="98">
        <f t="shared" si="0"/>
        <v>2008</v>
      </c>
      <c r="I44" s="98" t="str">
        <f t="shared" si="1"/>
        <v>4</v>
      </c>
      <c r="K44" s="1322" t="str">
        <f>IFERROR(IF(YEAR(MAX('Commodity Prices'!$C$9:$C5000))=VALUE(RIGHT(K43,4)),"",IF($L$23="Calendar Year",K43+1,CONCATENATE(LEFT(K43,4)+1,"-",RIGHT(K43,4)+1))),"")</f>
        <v>2017-2018</v>
      </c>
      <c r="L44" s="769">
        <f t="shared" si="8"/>
        <v>174.073623</v>
      </c>
      <c r="M44" s="770">
        <f t="shared" si="9"/>
        <v>1347.7983709999999</v>
      </c>
      <c r="N44" s="769">
        <f t="shared" si="10"/>
        <v>7.3972800000000003</v>
      </c>
      <c r="O44" s="770">
        <f t="shared" si="11"/>
        <v>22.799222999999998</v>
      </c>
      <c r="P44" s="769">
        <f t="shared" si="12"/>
        <v>93.373287000000005</v>
      </c>
      <c r="Q44" s="770">
        <f t="shared" si="13"/>
        <v>323.50439800000004</v>
      </c>
      <c r="AC44" s="112"/>
      <c r="AD44" s="112"/>
      <c r="AE44" s="112"/>
      <c r="AF44" s="112"/>
      <c r="AG44" s="112"/>
      <c r="AH44" s="112"/>
    </row>
    <row r="45" spans="1:34">
      <c r="A45" s="1320">
        <v>39873</v>
      </c>
      <c r="B45" s="700">
        <v>40.978549000000001</v>
      </c>
      <c r="C45" s="699">
        <v>136.36955429</v>
      </c>
      <c r="D45" s="700">
        <v>7.1936819999999999</v>
      </c>
      <c r="E45" s="699">
        <v>12.657921869999999</v>
      </c>
      <c r="F45" s="700">
        <v>47.770938999999998</v>
      </c>
      <c r="G45" s="699">
        <v>92.671081389999998</v>
      </c>
      <c r="H45" s="98">
        <f t="shared" si="0"/>
        <v>2009</v>
      </c>
      <c r="I45" s="98" t="str">
        <f t="shared" si="1"/>
        <v>1</v>
      </c>
      <c r="K45" s="1322" t="str">
        <f>IFERROR(IF(YEAR(MAX('Commodity Prices'!$C$9:$C5001))=VALUE(RIGHT(K44,4)),"",IF($L$23="Calendar Year",K44+1,CONCATENATE(LEFT(K44,4)+1,"-",RIGHT(K44,4)+1))),"")</f>
        <v>2018-2019</v>
      </c>
      <c r="L45" s="771">
        <f t="shared" ref="L45:L47" si="14">IF(K45="","",IF($L$23="Calendar Year",SUMIF($H$9:$H$201,$K45,$B$9:$B$201),SUMIFS($B$9:$B$201,$H$9:$H$201,LEFT($K45,4),$I$9:$I$201,3)+SUMIFS($B$9:$B$201,$H$9:$H$201,LEFT($K45,4),$I$9:$I$201,4)+SUMIFS($B$9:$B$201,$H$9:$H$201,LEFT($K45,4)+1,$I$9:$I$201,1)+SUMIFS($B$9:$B$201,$H$9:$H$201,LEFT($K45,4)+1,$I$9:$I$201,2)))</f>
        <v>162.483295</v>
      </c>
      <c r="M45" s="772">
        <f t="shared" ref="M45:M47" si="15">IF(K45="","",IF($L$23="Calendar Year",SUMIF($H$9:$H$201,$K45,$C$9:$C$201),SUMIFS($C$9:$C$201,$H$9:$H$201,LEFT($K45,4),$I$9:$I$201,3)+SUMIFS($C$9:$C$201,$H$9:$H$201,LEFT($K45,4),$I$9:$I$201,4)+SUMIFS($C$9:$C$201,$H$9:$H$201,LEFT($K45,4)+1,$I$9:$I$201,1)+SUMIFS($C$9:$C$201,$H$9:$H$201,LEFT($K45,4)+1,$I$9:$I$201,2)))</f>
        <v>1321.630656</v>
      </c>
      <c r="N45" s="771">
        <f t="shared" ref="N45:N47" si="16">IF(K45="","",IF($L$23="Calendar Year",SUMIF($H$9:$H$201,$K45,$D$9:$D$201),SUMIFS($D$9:$D$201,$H$9:$H$201,LEFT($K45,4),$I$9:$I$201,3)+SUMIFS($D$9:$D$201,$H$9:$H$201,LEFT($K45,4),$I$9:$I$201,4)+SUMIFS($D$9:$D$201,$H$9:$H$201,LEFT($K45,4)+1,$I$9:$I$201,1)+SUMIFS($D$9:$D$201,$H$9:$H$201,LEFT($K45,4)+1,$I$9:$I$201,2)))</f>
        <v>4.8520099999999999</v>
      </c>
      <c r="O45" s="772">
        <f t="shared" ref="O45:O47" si="17">IF(K45="","",IF($L$23="Calendar Year",SUMIF($H$9:$H$201,$K45,$E$9:$E$201),SUMIFS($E$9:$E$201,$H$9:$H$201,LEFT($K45,4),$I$9:$I$201,3)+SUMIFS($E$9:$E$201,$H$9:$H$201,LEFT($K45,4),$I$9:$I$201,4)+SUMIFS($E$9:$E$201,$H$9:$H$201,LEFT($K45,4)+1,$I$9:$I$201,1)+SUMIFS($E$9:$E$201,$H$9:$H$201,LEFT($K45,4)+1,$I$9:$I$201,2)))</f>
        <v>13.344177000000002</v>
      </c>
      <c r="P45" s="771">
        <f t="shared" ref="P45:P47" si="18">IF(K45="","",IF($L$23="Calendar Year",SUMIF($H$9:$H$201,$K45,$F$9:$F$201),SUMIFS($F$9:$F$201,$H$9:$H$201,LEFT($K45,4),$I$9:$I$201,3)+SUMIFS($F$9:$F$201,$H$9:$H$201,LEFT($K45,4),$I$9:$I$201,4)+SUMIFS($F$9:$F$201,$H$9:$H$201,LEFT($K45,4)+1,$I$9:$I$201,1)+SUMIFS($F$9:$F$201,$H$9:$H$201,LEFT($K45,4)+1,$I$9:$I$201,2)))</f>
        <v>71.404652999999996</v>
      </c>
      <c r="Q45" s="772">
        <f t="shared" ref="Q45:Q47" si="19">IF(K45="","",IF($L$23="Calendar Year",SUMIF($H$9:$H$201,$K45,$G$9:$G$201),SUMIFS($G$9:$G$201,$H$9:$H$201,LEFT($K45,4),$I$9:$I$201,3)+SUMIFS($G$9:$G$201,$H$9:$H$201,LEFT($K45,4),$I$9:$I$201,4)+SUMIFS($G$9:$G$201,$H$9:$H$201,LEFT($K45,4)+1,$I$9:$I$201,1)+SUMIFS($G$9:$G$201,$H$9:$H$201,LEFT($K45,4)+1,$I$9:$I$201,2)))</f>
        <v>263.16270299999996</v>
      </c>
      <c r="AC45" s="112"/>
      <c r="AD45" s="112"/>
      <c r="AE45" s="112"/>
      <c r="AF45" s="112"/>
      <c r="AG45" s="112"/>
      <c r="AH45" s="112"/>
    </row>
    <row r="46" spans="1:34">
      <c r="A46" s="1320">
        <v>39965</v>
      </c>
      <c r="B46" s="764">
        <v>34.424179000000002</v>
      </c>
      <c r="C46" s="765">
        <v>239.30018798</v>
      </c>
      <c r="D46" s="764">
        <v>6.6593210000000003</v>
      </c>
      <c r="E46" s="765">
        <v>13.73808545</v>
      </c>
      <c r="F46" s="764">
        <v>8.6459510000000002</v>
      </c>
      <c r="G46" s="765">
        <v>16.687580570000002</v>
      </c>
      <c r="H46" s="98">
        <f t="shared" si="0"/>
        <v>2009</v>
      </c>
      <c r="I46" s="98" t="str">
        <f t="shared" si="1"/>
        <v>2</v>
      </c>
      <c r="K46" s="1322" t="str">
        <f>IFERROR(IF(YEAR(MAX('Commodity Prices'!$C$9:$C5002))=VALUE(RIGHT(K45,4)),"",IF($L$23="Calendar Year",K45+1,CONCATENATE(LEFT(K45,4)+1,"-",RIGHT(K45,4)+1))),"")</f>
        <v>2019-2020</v>
      </c>
      <c r="L46" s="769">
        <f t="shared" si="14"/>
        <v>171.38319000000001</v>
      </c>
      <c r="M46" s="770">
        <f t="shared" si="15"/>
        <v>1386.7622859999999</v>
      </c>
      <c r="N46" s="769">
        <f t="shared" si="16"/>
        <v>2.775315</v>
      </c>
      <c r="O46" s="770">
        <f t="shared" si="17"/>
        <v>7.4707399999999993</v>
      </c>
      <c r="P46" s="769">
        <f t="shared" si="18"/>
        <v>71.770606000000001</v>
      </c>
      <c r="Q46" s="770">
        <f t="shared" si="19"/>
        <v>223.32157699999999</v>
      </c>
      <c r="AC46" s="112"/>
      <c r="AD46" s="112"/>
      <c r="AE46" s="112"/>
      <c r="AF46" s="112"/>
      <c r="AG46" s="112"/>
      <c r="AH46" s="112"/>
    </row>
    <row r="47" spans="1:34" ht="15.75" thickBot="1">
      <c r="A47" s="1320">
        <v>40057</v>
      </c>
      <c r="B47" s="700">
        <v>29.808917999999998</v>
      </c>
      <c r="C47" s="699">
        <v>227.63924206999999</v>
      </c>
      <c r="D47" s="700">
        <v>0.28944799999999998</v>
      </c>
      <c r="E47" s="699">
        <v>0.78659206000000004</v>
      </c>
      <c r="F47" s="700">
        <v>16.88036</v>
      </c>
      <c r="G47" s="699">
        <v>42.378443079999997</v>
      </c>
      <c r="H47" s="98">
        <f t="shared" si="0"/>
        <v>2009</v>
      </c>
      <c r="I47" s="98" t="str">
        <f t="shared" si="1"/>
        <v>3</v>
      </c>
      <c r="K47" s="1322" t="str">
        <f>IFERROR(IF(YEAR(MAX('Commodity Prices'!$C$9:$C5003))=VALUE(RIGHT(K46,4)),"",IF($L$23="Calendar Year",K46+1,CONCATENATE(LEFT(K46,4)+1,"-",RIGHT(K46,4)+1))),"")</f>
        <v>2020-2021</v>
      </c>
      <c r="L47" s="771">
        <f t="shared" si="14"/>
        <v>145.852734</v>
      </c>
      <c r="M47" s="772">
        <f t="shared" si="15"/>
        <v>1485.1441399999999</v>
      </c>
      <c r="N47" s="771">
        <f t="shared" si="16"/>
        <v>0.85125099999999998</v>
      </c>
      <c r="O47" s="772">
        <f t="shared" si="17"/>
        <v>2.18669666</v>
      </c>
      <c r="P47" s="771">
        <f t="shared" si="18"/>
        <v>64.219087000000002</v>
      </c>
      <c r="Q47" s="772">
        <f t="shared" si="19"/>
        <v>229.18990751000001</v>
      </c>
      <c r="AC47" s="112"/>
      <c r="AD47" s="112"/>
      <c r="AE47" s="112"/>
      <c r="AF47" s="112"/>
      <c r="AG47" s="112"/>
      <c r="AH47" s="112"/>
    </row>
    <row r="48" spans="1:34">
      <c r="A48" s="1320">
        <v>40148</v>
      </c>
      <c r="B48" s="764">
        <v>46.284787999999999</v>
      </c>
      <c r="C48" s="765">
        <v>329.81430060000002</v>
      </c>
      <c r="D48" s="764">
        <v>8.6129820000000006</v>
      </c>
      <c r="E48" s="765">
        <v>21.692189840000001</v>
      </c>
      <c r="F48" s="764">
        <v>26.514446</v>
      </c>
      <c r="G48" s="765">
        <v>64.187405799999993</v>
      </c>
      <c r="H48" s="98">
        <f t="shared" si="0"/>
        <v>2009</v>
      </c>
      <c r="I48" s="98" t="str">
        <f t="shared" si="1"/>
        <v>4</v>
      </c>
      <c r="K48" s="749" t="str">
        <f>IFERROR(IF(YEAR(MAX('Commodity Prices'!$C$9:$C5003))=VALUE(RIGHT(K47,4)),"",IF($L$23="Calendar Year",K47+1,CONCATENATE(LEFT(K47,4)+1,"-",RIGHT(K47,4)+1))),"")</f>
        <v/>
      </c>
      <c r="L48" s="674" t="str">
        <f t="shared" si="8"/>
        <v/>
      </c>
      <c r="M48" s="750" t="str">
        <f t="shared" si="9"/>
        <v/>
      </c>
      <c r="N48" s="674" t="str">
        <f t="shared" si="10"/>
        <v/>
      </c>
      <c r="O48" s="750" t="str">
        <f t="shared" si="11"/>
        <v/>
      </c>
      <c r="P48" s="674" t="str">
        <f t="shared" si="12"/>
        <v/>
      </c>
      <c r="Q48" s="750" t="str">
        <f t="shared" si="13"/>
        <v/>
      </c>
      <c r="AC48" s="112"/>
      <c r="AD48" s="112"/>
      <c r="AE48" s="112"/>
      <c r="AF48" s="112"/>
      <c r="AG48" s="112"/>
      <c r="AH48" s="112"/>
    </row>
    <row r="49" spans="1:34">
      <c r="A49" s="1320">
        <v>40238</v>
      </c>
      <c r="B49" s="700">
        <v>39.983745999999996</v>
      </c>
      <c r="C49" s="699">
        <v>322.31750172</v>
      </c>
      <c r="D49" s="700">
        <v>7.012308</v>
      </c>
      <c r="E49" s="699">
        <v>17.37599844</v>
      </c>
      <c r="F49" s="700">
        <v>8.6564560000000004</v>
      </c>
      <c r="G49" s="699">
        <v>22.647604449999999</v>
      </c>
      <c r="H49" s="98">
        <f t="shared" si="0"/>
        <v>2010</v>
      </c>
      <c r="I49" s="98" t="str">
        <f t="shared" si="1"/>
        <v>1</v>
      </c>
      <c r="K49" s="656" t="str">
        <f>IFERROR(IF(YEAR(MAX('Commodity Prices'!$C$9:$C5004))=VALUE(RIGHT(K48,4)),"",IF($L$23="Calendar Year",K48+1,CONCATENATE(LEFT(K48,4)+1,"-",RIGHT(K48,4)+1))),"")</f>
        <v/>
      </c>
      <c r="L49" s="748" t="str">
        <f t="shared" si="8"/>
        <v/>
      </c>
      <c r="M49" s="654" t="str">
        <f t="shared" si="9"/>
        <v/>
      </c>
      <c r="N49" s="748" t="str">
        <f t="shared" si="10"/>
        <v/>
      </c>
      <c r="O49" s="654" t="str">
        <f t="shared" si="11"/>
        <v/>
      </c>
      <c r="P49" s="748" t="str">
        <f t="shared" si="12"/>
        <v/>
      </c>
      <c r="Q49" s="654" t="str">
        <f t="shared" si="13"/>
        <v/>
      </c>
      <c r="AC49" s="112"/>
      <c r="AD49" s="112"/>
      <c r="AE49" s="112"/>
      <c r="AF49" s="112"/>
      <c r="AG49" s="112"/>
      <c r="AH49" s="112"/>
    </row>
    <row r="50" spans="1:34">
      <c r="A50" s="1320">
        <v>40330</v>
      </c>
      <c r="B50" s="764">
        <v>35.885897</v>
      </c>
      <c r="C50" s="765">
        <v>292.70540636999999</v>
      </c>
      <c r="D50" s="764">
        <v>10.096719999999999</v>
      </c>
      <c r="E50" s="765">
        <v>21.700185579999999</v>
      </c>
      <c r="F50" s="764">
        <v>35.507662000000003</v>
      </c>
      <c r="G50" s="765">
        <v>80.905283100000005</v>
      </c>
      <c r="H50" s="98">
        <f t="shared" si="0"/>
        <v>2010</v>
      </c>
      <c r="I50" s="98" t="str">
        <f t="shared" si="1"/>
        <v>2</v>
      </c>
      <c r="K50" s="656" t="str">
        <f>IFERROR(IF(YEAR(MAX('Commodity Prices'!$C$9:$C5005))=VALUE(RIGHT(K49,4)),"",IF($L$23="Calendar Year",K49+1,CONCATENATE(LEFT(K49,4)+1,"-",RIGHT(K49,4)+1))),"")</f>
        <v/>
      </c>
      <c r="L50" s="748" t="str">
        <f t="shared" si="8"/>
        <v/>
      </c>
      <c r="M50" s="654" t="str">
        <f t="shared" si="9"/>
        <v/>
      </c>
      <c r="N50" s="748" t="str">
        <f t="shared" si="10"/>
        <v/>
      </c>
      <c r="O50" s="654" t="str">
        <f t="shared" si="11"/>
        <v/>
      </c>
      <c r="P50" s="748" t="str">
        <f t="shared" si="12"/>
        <v/>
      </c>
      <c r="Q50" s="654" t="str">
        <f t="shared" si="13"/>
        <v/>
      </c>
      <c r="AC50" s="112"/>
      <c r="AD50" s="112"/>
      <c r="AE50" s="112"/>
      <c r="AF50" s="112"/>
      <c r="AG50" s="112"/>
      <c r="AH50" s="112"/>
    </row>
    <row r="51" spans="1:34">
      <c r="A51" s="1320">
        <v>40422</v>
      </c>
      <c r="B51" s="700">
        <v>36.742528999999998</v>
      </c>
      <c r="C51" s="699">
        <v>292.37399484999997</v>
      </c>
      <c r="D51" s="700">
        <v>18.800816999999999</v>
      </c>
      <c r="E51" s="699">
        <v>45.276855220000002</v>
      </c>
      <c r="F51" s="700">
        <v>17.518726999999998</v>
      </c>
      <c r="G51" s="699">
        <v>42.093774359999998</v>
      </c>
      <c r="H51" s="98">
        <f t="shared" si="0"/>
        <v>2010</v>
      </c>
      <c r="I51" s="98" t="str">
        <f t="shared" si="1"/>
        <v>3</v>
      </c>
      <c r="K51" s="656" t="str">
        <f>IFERROR(IF(YEAR(MAX('Commodity Prices'!$C$9:$C5006))=VALUE(RIGHT(K50,4)),"",IF($L$23="Calendar Year",K50+1,CONCATENATE(LEFT(K50,4)+1,"-",RIGHT(K50,4)+1))),"")</f>
        <v/>
      </c>
      <c r="L51" s="748" t="str">
        <f t="shared" si="8"/>
        <v/>
      </c>
      <c r="M51" s="654" t="str">
        <f t="shared" si="9"/>
        <v/>
      </c>
      <c r="N51" s="748" t="str">
        <f t="shared" si="10"/>
        <v/>
      </c>
      <c r="O51" s="654" t="str">
        <f t="shared" si="11"/>
        <v/>
      </c>
      <c r="P51" s="748" t="str">
        <f t="shared" si="12"/>
        <v/>
      </c>
      <c r="Q51" s="654" t="str">
        <f t="shared" si="13"/>
        <v/>
      </c>
      <c r="AC51" s="112"/>
      <c r="AD51" s="112"/>
      <c r="AE51" s="112"/>
      <c r="AF51" s="112"/>
      <c r="AG51" s="112"/>
      <c r="AH51" s="112"/>
    </row>
    <row r="52" spans="1:34">
      <c r="A52" s="1320">
        <v>40513</v>
      </c>
      <c r="B52" s="764">
        <v>43.038508999999998</v>
      </c>
      <c r="C52" s="765">
        <v>394.75118314000002</v>
      </c>
      <c r="D52" s="764">
        <v>17.013083999999999</v>
      </c>
      <c r="E52" s="765">
        <v>42.291723079999997</v>
      </c>
      <c r="F52" s="764">
        <v>19.832374999999999</v>
      </c>
      <c r="G52" s="765">
        <v>46.23747281</v>
      </c>
      <c r="H52" s="98">
        <f t="shared" si="0"/>
        <v>2010</v>
      </c>
      <c r="I52" s="98" t="str">
        <f t="shared" si="1"/>
        <v>4</v>
      </c>
      <c r="K52" s="656" t="str">
        <f>IFERROR(IF(YEAR(MAX('Commodity Prices'!$C$9:$C5007))=VALUE(RIGHT(K51,4)),"",IF($L$23="Calendar Year",K51+1,CONCATENATE(LEFT(K51,4)+1,"-",RIGHT(K51,4)+1))),"")</f>
        <v/>
      </c>
      <c r="L52" s="748" t="str">
        <f t="shared" si="8"/>
        <v/>
      </c>
      <c r="M52" s="654" t="str">
        <f t="shared" si="9"/>
        <v/>
      </c>
      <c r="N52" s="748" t="str">
        <f t="shared" si="10"/>
        <v/>
      </c>
      <c r="O52" s="654" t="str">
        <f t="shared" si="11"/>
        <v/>
      </c>
      <c r="P52" s="748" t="str">
        <f t="shared" si="12"/>
        <v/>
      </c>
      <c r="Q52" s="654" t="str">
        <f t="shared" si="13"/>
        <v/>
      </c>
      <c r="AC52" s="112"/>
      <c r="AD52" s="112"/>
      <c r="AE52" s="112"/>
      <c r="AF52" s="112"/>
      <c r="AG52" s="112"/>
      <c r="AH52" s="112"/>
    </row>
    <row r="53" spans="1:34">
      <c r="A53" s="1320">
        <v>40603</v>
      </c>
      <c r="B53" s="700">
        <v>36.091535</v>
      </c>
      <c r="C53" s="699">
        <v>356.02338121000003</v>
      </c>
      <c r="D53" s="700">
        <v>2.5361099999999999</v>
      </c>
      <c r="E53" s="699">
        <v>6.5025722000000004</v>
      </c>
      <c r="F53" s="700">
        <v>15.705038999999999</v>
      </c>
      <c r="G53" s="699">
        <v>37.563437639999997</v>
      </c>
      <c r="H53" s="98">
        <f t="shared" si="0"/>
        <v>2011</v>
      </c>
      <c r="I53" s="98" t="str">
        <f t="shared" si="1"/>
        <v>1</v>
      </c>
      <c r="AC53" s="112"/>
      <c r="AD53" s="112"/>
      <c r="AE53" s="112"/>
      <c r="AF53" s="112"/>
      <c r="AG53" s="112"/>
      <c r="AH53" s="112"/>
    </row>
    <row r="54" spans="1:34">
      <c r="A54" s="1320">
        <v>40695</v>
      </c>
      <c r="B54" s="764">
        <v>34.157747999999998</v>
      </c>
      <c r="C54" s="765">
        <v>289.20759103</v>
      </c>
      <c r="D54" s="764">
        <v>2.4136899999999999</v>
      </c>
      <c r="E54" s="765">
        <v>5.9973186299999997</v>
      </c>
      <c r="F54" s="764">
        <v>17.480404</v>
      </c>
      <c r="G54" s="765">
        <v>36.213579729999999</v>
      </c>
      <c r="H54" s="98">
        <f t="shared" si="0"/>
        <v>2011</v>
      </c>
      <c r="I54" s="98" t="str">
        <f t="shared" si="1"/>
        <v>2</v>
      </c>
      <c r="AC54" s="112"/>
      <c r="AD54" s="112"/>
      <c r="AE54" s="112"/>
      <c r="AF54" s="112"/>
      <c r="AG54" s="112"/>
      <c r="AH54" s="112"/>
    </row>
    <row r="55" spans="1:34">
      <c r="A55" s="1320">
        <v>40787</v>
      </c>
      <c r="B55" s="700">
        <v>39.834222885000003</v>
      </c>
      <c r="C55" s="699">
        <v>306.99842307</v>
      </c>
      <c r="D55" s="700">
        <v>0</v>
      </c>
      <c r="E55" s="699">
        <v>0</v>
      </c>
      <c r="F55" s="700">
        <v>15.565058000000001</v>
      </c>
      <c r="G55" s="699">
        <v>30.27872494</v>
      </c>
      <c r="H55" s="98">
        <f t="shared" si="0"/>
        <v>2011</v>
      </c>
      <c r="I55" s="98" t="str">
        <f t="shared" si="1"/>
        <v>3</v>
      </c>
      <c r="AC55" s="112"/>
      <c r="AD55" s="112"/>
      <c r="AE55" s="112"/>
      <c r="AF55" s="112"/>
      <c r="AG55" s="112"/>
      <c r="AH55" s="112"/>
    </row>
    <row r="56" spans="1:34">
      <c r="A56" s="1320">
        <v>40878</v>
      </c>
      <c r="B56" s="764">
        <v>34.874541946999997</v>
      </c>
      <c r="C56" s="765">
        <v>242.99421294999999</v>
      </c>
      <c r="D56" s="764">
        <v>3.393122</v>
      </c>
      <c r="E56" s="765">
        <v>7.0765762900000002</v>
      </c>
      <c r="F56" s="764">
        <v>25.650236</v>
      </c>
      <c r="G56" s="765">
        <v>48.985388149999999</v>
      </c>
      <c r="H56" s="98">
        <f t="shared" si="0"/>
        <v>2011</v>
      </c>
      <c r="I56" s="98" t="str">
        <f t="shared" si="1"/>
        <v>4</v>
      </c>
      <c r="AC56" s="112"/>
      <c r="AD56" s="112"/>
      <c r="AE56" s="112"/>
      <c r="AF56" s="112"/>
      <c r="AG56" s="112"/>
      <c r="AH56" s="112"/>
    </row>
    <row r="57" spans="1:34">
      <c r="A57" s="1320">
        <v>40969</v>
      </c>
      <c r="B57" s="700">
        <v>41.897940028999997</v>
      </c>
      <c r="C57" s="699">
        <v>305.30757376000003</v>
      </c>
      <c r="D57" s="700">
        <v>1.789914</v>
      </c>
      <c r="E57" s="699">
        <v>3.49851972</v>
      </c>
      <c r="F57" s="700">
        <v>15.587477</v>
      </c>
      <c r="G57" s="699">
        <v>29.91564674</v>
      </c>
      <c r="H57" s="98">
        <f t="shared" si="0"/>
        <v>2012</v>
      </c>
      <c r="I57" s="98" t="str">
        <f t="shared" si="1"/>
        <v>1</v>
      </c>
      <c r="AC57" s="112"/>
      <c r="AD57" s="112"/>
      <c r="AE57" s="112"/>
      <c r="AF57" s="112"/>
      <c r="AG57" s="112"/>
      <c r="AH57" s="112"/>
    </row>
    <row r="58" spans="1:34">
      <c r="A58" s="1320">
        <v>41061</v>
      </c>
      <c r="B58" s="764">
        <v>42.564607090999999</v>
      </c>
      <c r="C58" s="765">
        <v>325.47948958000001</v>
      </c>
      <c r="D58" s="764">
        <v>1.7386699999999999</v>
      </c>
      <c r="E58" s="765">
        <v>3.26473462</v>
      </c>
      <c r="F58" s="764">
        <v>6.7004299999999999</v>
      </c>
      <c r="G58" s="765">
        <v>12.804450170000001</v>
      </c>
      <c r="H58" s="98">
        <f t="shared" si="0"/>
        <v>2012</v>
      </c>
      <c r="I58" s="98" t="str">
        <f t="shared" si="1"/>
        <v>2</v>
      </c>
      <c r="AC58" s="112"/>
      <c r="AD58" s="112"/>
      <c r="AE58" s="112"/>
      <c r="AF58" s="112"/>
      <c r="AG58" s="112"/>
      <c r="AH58" s="112"/>
    </row>
    <row r="59" spans="1:34">
      <c r="A59" s="1320">
        <v>41153</v>
      </c>
      <c r="B59" s="700">
        <v>43.906038315000004</v>
      </c>
      <c r="C59" s="699">
        <v>302.55236682999998</v>
      </c>
      <c r="D59" s="700">
        <v>1.63544</v>
      </c>
      <c r="E59" s="699">
        <v>3.39103544</v>
      </c>
      <c r="F59" s="700">
        <v>23.52028</v>
      </c>
      <c r="G59" s="699">
        <v>43.076269709999998</v>
      </c>
      <c r="H59" s="98">
        <f t="shared" si="0"/>
        <v>2012</v>
      </c>
      <c r="I59" s="98" t="str">
        <f t="shared" si="1"/>
        <v>3</v>
      </c>
      <c r="M59" s="333"/>
      <c r="N59" s="333"/>
      <c r="AC59" s="112"/>
      <c r="AD59" s="112"/>
      <c r="AE59" s="112"/>
      <c r="AF59" s="112"/>
      <c r="AG59" s="112"/>
      <c r="AH59" s="112"/>
    </row>
    <row r="60" spans="1:34">
      <c r="A60" s="1320">
        <v>41244</v>
      </c>
      <c r="B60" s="764">
        <v>57.381434501999998</v>
      </c>
      <c r="C60" s="765">
        <v>437.11067219</v>
      </c>
      <c r="D60" s="764">
        <v>2.9712700000000001</v>
      </c>
      <c r="E60" s="765">
        <v>6.3801334299999999</v>
      </c>
      <c r="F60" s="764">
        <v>11.304489999999999</v>
      </c>
      <c r="G60" s="765">
        <v>21.506106880000001</v>
      </c>
      <c r="H60" s="98">
        <f t="shared" si="0"/>
        <v>2012</v>
      </c>
      <c r="I60" s="98" t="str">
        <f t="shared" si="1"/>
        <v>4</v>
      </c>
      <c r="AC60" s="112"/>
      <c r="AD60" s="112"/>
      <c r="AE60" s="112"/>
      <c r="AF60" s="112"/>
      <c r="AG60" s="112"/>
      <c r="AH60" s="112"/>
    </row>
    <row r="61" spans="1:34">
      <c r="A61" s="1320">
        <v>41334</v>
      </c>
      <c r="B61" s="700">
        <v>63.868406999999998</v>
      </c>
      <c r="C61" s="699">
        <v>384.64021300000002</v>
      </c>
      <c r="D61" s="700">
        <v>0</v>
      </c>
      <c r="E61" s="699">
        <v>0</v>
      </c>
      <c r="F61" s="700">
        <v>10.36923</v>
      </c>
      <c r="G61" s="699">
        <v>19.329680150000002</v>
      </c>
      <c r="H61" s="98">
        <f t="shared" si="0"/>
        <v>2013</v>
      </c>
      <c r="I61" s="98" t="str">
        <f t="shared" si="1"/>
        <v>1</v>
      </c>
      <c r="AC61" s="112"/>
      <c r="AD61" s="112"/>
      <c r="AE61" s="112"/>
      <c r="AF61" s="112"/>
      <c r="AG61" s="112"/>
      <c r="AH61" s="112"/>
    </row>
    <row r="62" spans="1:34">
      <c r="A62" s="1320">
        <v>41426</v>
      </c>
      <c r="B62" s="764">
        <v>44.110455000000002</v>
      </c>
      <c r="C62" s="765">
        <v>298.74030239000001</v>
      </c>
      <c r="D62" s="764">
        <v>12.034129999999999</v>
      </c>
      <c r="E62" s="765">
        <v>25.278355810000001</v>
      </c>
      <c r="F62" s="764">
        <v>10.65368</v>
      </c>
      <c r="G62" s="765">
        <v>19.955856069999999</v>
      </c>
      <c r="H62" s="98">
        <f t="shared" si="0"/>
        <v>2013</v>
      </c>
      <c r="I62" s="98" t="str">
        <f t="shared" si="1"/>
        <v>2</v>
      </c>
      <c r="AC62" s="112"/>
      <c r="AD62" s="112"/>
      <c r="AE62" s="112"/>
      <c r="AF62" s="112"/>
      <c r="AG62" s="112"/>
      <c r="AH62" s="112"/>
    </row>
    <row r="63" spans="1:34">
      <c r="A63" s="1320">
        <v>41518</v>
      </c>
      <c r="B63" s="700">
        <v>59.303640999999999</v>
      </c>
      <c r="C63" s="699">
        <v>441.96587915999999</v>
      </c>
      <c r="D63" s="700">
        <v>19.257619999999999</v>
      </c>
      <c r="E63" s="699">
        <v>44.064206650000003</v>
      </c>
      <c r="F63" s="700">
        <v>9.9487000000000005</v>
      </c>
      <c r="G63" s="699">
        <v>20.48916023</v>
      </c>
      <c r="H63" s="98">
        <f t="shared" si="0"/>
        <v>2013</v>
      </c>
      <c r="I63" s="98" t="str">
        <f t="shared" si="1"/>
        <v>3</v>
      </c>
      <c r="AC63" s="112"/>
      <c r="AD63" s="112"/>
      <c r="AE63" s="112"/>
      <c r="AF63" s="112"/>
      <c r="AG63" s="112"/>
      <c r="AH63" s="112"/>
    </row>
    <row r="64" spans="1:34">
      <c r="A64" s="1320">
        <v>41609</v>
      </c>
      <c r="B64" s="764">
        <v>48.774112000000002</v>
      </c>
      <c r="C64" s="765">
        <v>367.41804167999999</v>
      </c>
      <c r="D64" s="764">
        <v>20.969760000000001</v>
      </c>
      <c r="E64" s="765">
        <v>46.714115810000003</v>
      </c>
      <c r="F64" s="764">
        <v>17.01399</v>
      </c>
      <c r="G64" s="765">
        <v>36.506639069999999</v>
      </c>
      <c r="H64" s="98">
        <f t="shared" si="0"/>
        <v>2013</v>
      </c>
      <c r="I64" s="98" t="str">
        <f t="shared" si="1"/>
        <v>4</v>
      </c>
      <c r="AC64" s="112"/>
      <c r="AD64" s="112"/>
      <c r="AE64" s="112"/>
      <c r="AF64" s="112"/>
      <c r="AG64" s="112"/>
      <c r="AH64" s="112"/>
    </row>
    <row r="65" spans="1:34">
      <c r="A65" s="1320">
        <v>41699</v>
      </c>
      <c r="B65" s="700">
        <v>55.770699</v>
      </c>
      <c r="C65" s="699">
        <v>415.81929000000002</v>
      </c>
      <c r="D65" s="700">
        <v>16.971529999999998</v>
      </c>
      <c r="E65" s="699">
        <v>39.460067000000002</v>
      </c>
      <c r="F65" s="700">
        <v>14.580270000000001</v>
      </c>
      <c r="G65" s="699">
        <v>33.067428999999997</v>
      </c>
      <c r="H65" s="98">
        <f t="shared" si="0"/>
        <v>2014</v>
      </c>
      <c r="I65" s="98" t="str">
        <f t="shared" si="1"/>
        <v>1</v>
      </c>
      <c r="AC65" s="112"/>
      <c r="AD65" s="112"/>
      <c r="AE65" s="112"/>
      <c r="AF65" s="112"/>
      <c r="AG65" s="112"/>
      <c r="AH65" s="112"/>
    </row>
    <row r="66" spans="1:34">
      <c r="A66" s="1320">
        <v>41791</v>
      </c>
      <c r="B66" s="764">
        <v>47.337870000000002</v>
      </c>
      <c r="C66" s="765">
        <v>334.36239899999998</v>
      </c>
      <c r="D66" s="764">
        <v>21.451799999999999</v>
      </c>
      <c r="E66" s="765">
        <v>48.525669000000001</v>
      </c>
      <c r="F66" s="764">
        <v>12.517329999999999</v>
      </c>
      <c r="G66" s="765">
        <v>28.198347999999999</v>
      </c>
      <c r="H66" s="98">
        <f t="shared" si="0"/>
        <v>2014</v>
      </c>
      <c r="I66" s="98" t="str">
        <f t="shared" si="1"/>
        <v>2</v>
      </c>
      <c r="AC66" s="112"/>
      <c r="AD66" s="112"/>
      <c r="AE66" s="112"/>
      <c r="AF66" s="112"/>
      <c r="AG66" s="112"/>
      <c r="AH66" s="112"/>
    </row>
    <row r="67" spans="1:34">
      <c r="A67" s="1320">
        <v>41883</v>
      </c>
      <c r="B67" s="700">
        <v>37.452018000000002</v>
      </c>
      <c r="C67" s="699">
        <v>266.114981</v>
      </c>
      <c r="D67" s="700">
        <v>18.383560000000003</v>
      </c>
      <c r="E67" s="699">
        <v>41.064086000000003</v>
      </c>
      <c r="F67" s="700">
        <v>12.253399999999999</v>
      </c>
      <c r="G67" s="699">
        <v>30.285149000000001</v>
      </c>
      <c r="H67" s="98">
        <f t="shared" si="0"/>
        <v>2014</v>
      </c>
      <c r="I67" s="98" t="str">
        <f t="shared" si="1"/>
        <v>3</v>
      </c>
      <c r="AC67" s="112"/>
      <c r="AD67" s="112"/>
      <c r="AE67" s="112"/>
      <c r="AF67" s="112"/>
      <c r="AG67" s="112"/>
      <c r="AH67" s="112"/>
    </row>
    <row r="68" spans="1:34">
      <c r="A68" s="1320">
        <v>41974</v>
      </c>
      <c r="B68" s="764">
        <v>56.520130999999999</v>
      </c>
      <c r="C68" s="765">
        <v>385.30898100000002</v>
      </c>
      <c r="D68" s="764">
        <v>24.081610000000001</v>
      </c>
      <c r="E68" s="765">
        <v>55.612603</v>
      </c>
      <c r="F68" s="764">
        <v>33.412529999999997</v>
      </c>
      <c r="G68" s="765">
        <v>81.450952999999998</v>
      </c>
      <c r="H68" s="98">
        <f t="shared" si="0"/>
        <v>2014</v>
      </c>
      <c r="I68" s="98" t="str">
        <f t="shared" si="1"/>
        <v>4</v>
      </c>
      <c r="AC68" s="112"/>
      <c r="AD68" s="112"/>
      <c r="AE68" s="112"/>
      <c r="AF68" s="112"/>
      <c r="AG68" s="112"/>
      <c r="AH68" s="112"/>
    </row>
    <row r="69" spans="1:34">
      <c r="A69" s="1320">
        <v>42064</v>
      </c>
      <c r="B69" s="700">
        <v>38.671419</v>
      </c>
      <c r="C69" s="699">
        <v>273.34245900000002</v>
      </c>
      <c r="D69" s="700">
        <v>15.08001</v>
      </c>
      <c r="E69" s="699">
        <v>36.501576</v>
      </c>
      <c r="F69" s="700">
        <v>8.1486499999999999</v>
      </c>
      <c r="G69" s="699">
        <v>22.29665</v>
      </c>
      <c r="H69" s="98">
        <f t="shared" si="0"/>
        <v>2015</v>
      </c>
      <c r="I69" s="98" t="str">
        <f t="shared" si="1"/>
        <v>1</v>
      </c>
      <c r="AC69" s="112"/>
      <c r="AD69" s="112"/>
      <c r="AE69" s="112"/>
      <c r="AF69" s="112"/>
      <c r="AG69" s="112"/>
      <c r="AH69" s="112"/>
    </row>
    <row r="70" spans="1:34">
      <c r="A70" s="1320">
        <v>42156</v>
      </c>
      <c r="B70" s="764">
        <v>51.851329000000007</v>
      </c>
      <c r="C70" s="765">
        <v>358.28037599999999</v>
      </c>
      <c r="D70" s="764">
        <v>1.7032400000000001</v>
      </c>
      <c r="E70" s="765">
        <v>3.7713969999999999</v>
      </c>
      <c r="F70" s="764">
        <v>24.016330000000004</v>
      </c>
      <c r="G70" s="765">
        <v>63.007654000000002</v>
      </c>
      <c r="H70" s="98">
        <f t="shared" si="0"/>
        <v>2015</v>
      </c>
      <c r="I70" s="98" t="str">
        <f t="shared" si="1"/>
        <v>2</v>
      </c>
      <c r="AC70" s="112"/>
      <c r="AD70" s="112"/>
      <c r="AE70" s="112"/>
      <c r="AF70" s="112"/>
      <c r="AG70" s="112"/>
      <c r="AH70" s="112"/>
    </row>
    <row r="71" spans="1:34">
      <c r="A71" s="1320">
        <v>42248</v>
      </c>
      <c r="B71" s="700">
        <v>47.839148999999999</v>
      </c>
      <c r="C71" s="699">
        <v>308.55401000000001</v>
      </c>
      <c r="D71" s="700">
        <v>1.8742699999999999</v>
      </c>
      <c r="E71" s="699">
        <v>4.3930509999999998</v>
      </c>
      <c r="F71" s="700">
        <v>20.545400000000001</v>
      </c>
      <c r="G71" s="699">
        <v>49.244045999999997</v>
      </c>
      <c r="H71" s="98">
        <f t="shared" si="0"/>
        <v>2015</v>
      </c>
      <c r="I71" s="98" t="str">
        <f t="shared" si="1"/>
        <v>3</v>
      </c>
      <c r="AC71" s="112"/>
      <c r="AD71" s="112"/>
      <c r="AE71" s="112"/>
      <c r="AF71" s="112"/>
      <c r="AG71" s="112"/>
      <c r="AH71" s="112"/>
    </row>
    <row r="72" spans="1:34">
      <c r="A72" s="1320">
        <v>42339</v>
      </c>
      <c r="B72" s="764">
        <v>50.844124000000001</v>
      </c>
      <c r="C72" s="765">
        <v>304.25034199999999</v>
      </c>
      <c r="D72" s="764">
        <v>1.60151</v>
      </c>
      <c r="E72" s="765">
        <v>4.0191949999999999</v>
      </c>
      <c r="F72" s="764">
        <v>24.467940000000002</v>
      </c>
      <c r="G72" s="765">
        <v>50.671028999999997</v>
      </c>
      <c r="H72" s="98">
        <f t="shared" si="0"/>
        <v>2015</v>
      </c>
      <c r="I72" s="98" t="str">
        <f t="shared" si="1"/>
        <v>4</v>
      </c>
      <c r="AC72" s="112"/>
      <c r="AD72" s="112"/>
      <c r="AE72" s="112"/>
      <c r="AF72" s="112"/>
      <c r="AG72" s="112"/>
      <c r="AH72" s="112"/>
    </row>
    <row r="73" spans="1:34">
      <c r="A73" s="1320">
        <v>42430</v>
      </c>
      <c r="B73" s="700">
        <v>49.264921000000001</v>
      </c>
      <c r="C73" s="699">
        <v>313.77903400000002</v>
      </c>
      <c r="D73" s="700">
        <v>1.2788199999999998</v>
      </c>
      <c r="E73" s="699">
        <v>3.204637</v>
      </c>
      <c r="F73" s="700">
        <v>20.972740000000002</v>
      </c>
      <c r="G73" s="699">
        <v>50.677760999999997</v>
      </c>
      <c r="H73" s="98">
        <f t="shared" si="0"/>
        <v>2016</v>
      </c>
      <c r="I73" s="98" t="str">
        <f t="shared" si="1"/>
        <v>1</v>
      </c>
      <c r="AD73" s="17"/>
      <c r="AF73" s="17"/>
      <c r="AH73" s="17"/>
    </row>
    <row r="74" spans="1:34">
      <c r="A74" s="1320">
        <v>42522</v>
      </c>
      <c r="B74" s="764">
        <v>42.326561999999996</v>
      </c>
      <c r="C74" s="765">
        <v>254.67870099999999</v>
      </c>
      <c r="D74" s="764">
        <v>1.2334000000000001</v>
      </c>
      <c r="E74" s="765">
        <v>3.1937120000000001</v>
      </c>
      <c r="F74" s="764">
        <v>16.689859999999999</v>
      </c>
      <c r="G74" s="765">
        <v>44.901617000000002</v>
      </c>
      <c r="H74" s="98">
        <f t="shared" ref="H74:H137" si="20">YEAR(A74)</f>
        <v>2016</v>
      </c>
      <c r="I74" s="98" t="str">
        <f t="shared" ref="I74:I137" si="21">IF(MONTH(A74)=3,"1",IF(MONTH(A74)=6,"2",IF(MONTH(A74)=9,"3","4")))</f>
        <v>2</v>
      </c>
      <c r="AD74" s="17"/>
      <c r="AF74" s="17"/>
      <c r="AH74" s="17"/>
    </row>
    <row r="75" spans="1:34">
      <c r="A75" s="1320">
        <v>42614</v>
      </c>
      <c r="B75" s="700">
        <v>39.905644000000002</v>
      </c>
      <c r="C75" s="699">
        <v>251.52089699999999</v>
      </c>
      <c r="D75" s="700">
        <v>1.00857</v>
      </c>
      <c r="E75" s="699">
        <v>2.7969390000000001</v>
      </c>
      <c r="F75" s="700">
        <v>17.261869999999998</v>
      </c>
      <c r="G75" s="699">
        <v>36.058556000000003</v>
      </c>
      <c r="H75" s="98">
        <f t="shared" si="20"/>
        <v>2016</v>
      </c>
      <c r="I75" s="98" t="str">
        <f t="shared" si="21"/>
        <v>3</v>
      </c>
      <c r="AD75" s="17"/>
      <c r="AF75" s="17"/>
      <c r="AH75" s="17"/>
    </row>
    <row r="76" spans="1:34">
      <c r="A76" s="1320">
        <v>42705</v>
      </c>
      <c r="B76" s="764">
        <v>50.038906000000019</v>
      </c>
      <c r="C76" s="765">
        <v>368.47425600000003</v>
      </c>
      <c r="D76" s="764">
        <v>1.2401199999999999</v>
      </c>
      <c r="E76" s="765">
        <v>3.5877020000000002</v>
      </c>
      <c r="F76" s="764">
        <v>40.039070000000002</v>
      </c>
      <c r="G76" s="765">
        <v>72.886042000000003</v>
      </c>
      <c r="H76" s="98">
        <f t="shared" si="20"/>
        <v>2016</v>
      </c>
      <c r="I76" s="98" t="str">
        <f t="shared" si="21"/>
        <v>4</v>
      </c>
      <c r="AD76" s="17"/>
      <c r="AF76" s="17"/>
      <c r="AH76" s="17"/>
    </row>
    <row r="77" spans="1:34">
      <c r="A77" s="1320">
        <v>42795</v>
      </c>
      <c r="B77" s="700">
        <v>37.568610999999997</v>
      </c>
      <c r="C77" s="699">
        <v>272.32097399999998</v>
      </c>
      <c r="D77" s="700">
        <v>1.2587899999999999</v>
      </c>
      <c r="E77" s="699">
        <v>3.762076</v>
      </c>
      <c r="F77" s="700">
        <v>13.381470000000002</v>
      </c>
      <c r="G77" s="699">
        <v>47.819059000000003</v>
      </c>
      <c r="H77" s="98">
        <f t="shared" si="20"/>
        <v>2017</v>
      </c>
      <c r="I77" s="98" t="str">
        <f t="shared" si="21"/>
        <v>1</v>
      </c>
      <c r="AD77" s="17"/>
      <c r="AF77" s="17"/>
      <c r="AH77" s="17"/>
    </row>
    <row r="78" spans="1:34">
      <c r="A78" s="1320">
        <v>42887</v>
      </c>
      <c r="B78" s="764">
        <v>43.217053999999997</v>
      </c>
      <c r="C78" s="765">
        <v>348.21192200000002</v>
      </c>
      <c r="D78" s="764">
        <v>0</v>
      </c>
      <c r="E78" s="765">
        <v>0</v>
      </c>
      <c r="F78" s="764">
        <v>12.260249999999999</v>
      </c>
      <c r="G78" s="765">
        <v>47.397601999999999</v>
      </c>
      <c r="H78" s="98">
        <f t="shared" si="20"/>
        <v>2017</v>
      </c>
      <c r="I78" s="98" t="str">
        <f t="shared" si="21"/>
        <v>2</v>
      </c>
      <c r="AD78" s="17"/>
      <c r="AF78" s="17"/>
      <c r="AH78" s="17"/>
    </row>
    <row r="79" spans="1:34">
      <c r="A79" s="1320">
        <v>42979</v>
      </c>
      <c r="B79" s="700">
        <v>37.138071000000004</v>
      </c>
      <c r="C79" s="699">
        <v>293.21190100000001</v>
      </c>
      <c r="D79" s="700">
        <v>1.1292500000000001</v>
      </c>
      <c r="E79" s="699">
        <v>3.5253899999999998</v>
      </c>
      <c r="F79" s="700">
        <v>16.669619999999998</v>
      </c>
      <c r="G79" s="699">
        <v>68.630502000000007</v>
      </c>
      <c r="H79" s="98">
        <f t="shared" si="20"/>
        <v>2017</v>
      </c>
      <c r="I79" s="98" t="str">
        <f t="shared" si="21"/>
        <v>3</v>
      </c>
      <c r="X79" s="114"/>
      <c r="Y79" s="114"/>
      <c r="AD79" s="17"/>
      <c r="AF79" s="17"/>
      <c r="AH79" s="17"/>
    </row>
    <row r="80" spans="1:34">
      <c r="A80" s="1320">
        <v>43070</v>
      </c>
      <c r="B80" s="764">
        <v>47.778112</v>
      </c>
      <c r="C80" s="765">
        <v>341.89442000000003</v>
      </c>
      <c r="D80" s="764">
        <v>3.5130400000000002</v>
      </c>
      <c r="E80" s="765">
        <v>11.261267999999999</v>
      </c>
      <c r="F80" s="764">
        <v>42.342468000000004</v>
      </c>
      <c r="G80" s="765">
        <v>128.275802</v>
      </c>
      <c r="H80" s="98">
        <f t="shared" si="20"/>
        <v>2017</v>
      </c>
      <c r="I80" s="98" t="str">
        <f t="shared" si="21"/>
        <v>4</v>
      </c>
      <c r="U80" s="114"/>
      <c r="V80" s="114"/>
      <c r="W80" s="114"/>
      <c r="X80" s="114"/>
      <c r="Y80" s="114"/>
      <c r="AD80" s="17"/>
      <c r="AF80" s="17"/>
      <c r="AH80" s="17"/>
    </row>
    <row r="81" spans="1:34">
      <c r="A81" s="1320">
        <v>43160</v>
      </c>
      <c r="B81" s="700">
        <v>38.299224000000002</v>
      </c>
      <c r="C81" s="699">
        <v>319.68186700000001</v>
      </c>
      <c r="D81" s="700">
        <v>1.4896500000000001</v>
      </c>
      <c r="E81" s="699">
        <v>4.653346</v>
      </c>
      <c r="F81" s="700">
        <v>13.238009999999999</v>
      </c>
      <c r="G81" s="699">
        <v>53.165086000000002</v>
      </c>
      <c r="H81" s="98">
        <f t="shared" si="20"/>
        <v>2018</v>
      </c>
      <c r="I81" s="98" t="str">
        <f t="shared" si="21"/>
        <v>1</v>
      </c>
      <c r="R81" s="114"/>
      <c r="S81" s="114"/>
      <c r="T81" s="114"/>
      <c r="U81" s="115"/>
      <c r="V81" s="113"/>
      <c r="W81" s="113"/>
      <c r="X81" s="114"/>
      <c r="Y81" s="114"/>
      <c r="AD81" s="17"/>
      <c r="AF81" s="17"/>
      <c r="AH81" s="17"/>
    </row>
    <row r="82" spans="1:34">
      <c r="A82" s="1320">
        <v>43252</v>
      </c>
      <c r="B82" s="764">
        <v>50.858215999999999</v>
      </c>
      <c r="C82" s="765">
        <v>393.01018299999998</v>
      </c>
      <c r="D82" s="766">
        <v>1.2653399999999999</v>
      </c>
      <c r="E82" s="765">
        <v>3.359219</v>
      </c>
      <c r="F82" s="766">
        <v>21.123189</v>
      </c>
      <c r="G82" s="767">
        <v>73.433008000000001</v>
      </c>
      <c r="H82" s="98">
        <f t="shared" si="20"/>
        <v>2018</v>
      </c>
      <c r="I82" s="98" t="str">
        <f t="shared" si="21"/>
        <v>2</v>
      </c>
      <c r="R82" s="114"/>
      <c r="S82" s="114"/>
      <c r="T82" s="114"/>
      <c r="U82" s="115"/>
      <c r="V82" s="114"/>
      <c r="W82" s="114"/>
      <c r="X82" s="114"/>
      <c r="Y82" s="114"/>
      <c r="AD82" s="17"/>
      <c r="AF82" s="17"/>
      <c r="AH82" s="17"/>
    </row>
    <row r="83" spans="1:34">
      <c r="A83" s="1320">
        <v>43344</v>
      </c>
      <c r="B83" s="700">
        <v>32.559367000000002</v>
      </c>
      <c r="C83" s="768">
        <v>256.02528999999998</v>
      </c>
      <c r="D83" s="700">
        <v>1.6848399999999999</v>
      </c>
      <c r="E83" s="768">
        <v>4.6596440000000001</v>
      </c>
      <c r="F83" s="700">
        <v>16.817429000000001</v>
      </c>
      <c r="G83" s="699">
        <v>60.621699</v>
      </c>
      <c r="H83" s="98">
        <f t="shared" si="20"/>
        <v>2018</v>
      </c>
      <c r="I83" s="98" t="str">
        <f t="shared" si="21"/>
        <v>3</v>
      </c>
      <c r="K83" s="114"/>
      <c r="L83" s="114"/>
      <c r="M83" s="114"/>
      <c r="N83" s="114"/>
      <c r="O83" s="114"/>
      <c r="P83" s="114"/>
      <c r="Q83" s="114"/>
      <c r="R83" s="114"/>
      <c r="S83" s="114"/>
      <c r="T83" s="114"/>
      <c r="U83" s="115"/>
      <c r="V83" s="114"/>
      <c r="W83" s="114"/>
      <c r="X83" s="114"/>
      <c r="Y83" s="114"/>
      <c r="AD83" s="17"/>
      <c r="AF83" s="17"/>
      <c r="AH83" s="17"/>
    </row>
    <row r="84" spans="1:34">
      <c r="A84" s="1320">
        <v>43435</v>
      </c>
      <c r="B84" s="764">
        <v>46.868195999999998</v>
      </c>
      <c r="C84" s="765">
        <v>380.98519399999998</v>
      </c>
      <c r="D84" s="766">
        <v>1.65117</v>
      </c>
      <c r="E84" s="765">
        <v>4.4829829999999999</v>
      </c>
      <c r="F84" s="766">
        <v>17.645365000000002</v>
      </c>
      <c r="G84" s="767">
        <v>69.712891999999997</v>
      </c>
      <c r="H84" s="98">
        <f t="shared" si="20"/>
        <v>2018</v>
      </c>
      <c r="I84" s="98" t="str">
        <f t="shared" si="21"/>
        <v>4</v>
      </c>
      <c r="K84" s="114"/>
      <c r="L84" s="114"/>
      <c r="M84" s="114"/>
      <c r="N84" s="114"/>
      <c r="O84" s="114"/>
      <c r="P84" s="114"/>
      <c r="Q84" s="114"/>
      <c r="R84" s="114"/>
      <c r="S84" s="114"/>
      <c r="T84" s="114"/>
      <c r="U84" s="114"/>
      <c r="V84" s="114"/>
      <c r="W84" s="114"/>
      <c r="X84" s="114"/>
      <c r="Y84" s="114"/>
      <c r="AD84" s="17"/>
      <c r="AF84" s="17"/>
      <c r="AH84" s="17"/>
    </row>
    <row r="85" spans="1:34">
      <c r="A85" s="1320">
        <v>43525</v>
      </c>
      <c r="B85" s="700">
        <v>43.993460999999996</v>
      </c>
      <c r="C85" s="768">
        <v>365.41811200000001</v>
      </c>
      <c r="D85" s="700">
        <v>1.516</v>
      </c>
      <c r="E85" s="768">
        <v>4.2015500000000001</v>
      </c>
      <c r="F85" s="700">
        <v>17.548237</v>
      </c>
      <c r="G85" s="699">
        <v>68.160379000000006</v>
      </c>
      <c r="H85" s="98">
        <f t="shared" si="20"/>
        <v>2019</v>
      </c>
      <c r="I85" s="98" t="str">
        <f t="shared" si="21"/>
        <v>1</v>
      </c>
      <c r="K85" s="114"/>
      <c r="L85" s="114"/>
      <c r="M85" s="114"/>
      <c r="N85" s="114"/>
      <c r="O85" s="114"/>
      <c r="P85" s="114"/>
      <c r="Q85" s="114"/>
      <c r="R85" s="114"/>
      <c r="S85" s="114"/>
      <c r="T85" s="114"/>
      <c r="U85" s="114"/>
      <c r="V85" s="114"/>
      <c r="W85" s="114"/>
      <c r="X85" s="114"/>
      <c r="Y85" s="114"/>
      <c r="AD85" s="17"/>
      <c r="AF85" s="17"/>
      <c r="AH85" s="17"/>
    </row>
    <row r="86" spans="1:34">
      <c r="A86" s="1320">
        <v>43617</v>
      </c>
      <c r="B86" s="764">
        <v>39.062270999999996</v>
      </c>
      <c r="C86" s="765">
        <v>319.20206000000002</v>
      </c>
      <c r="D86" s="766">
        <v>0</v>
      </c>
      <c r="E86" s="765">
        <v>0</v>
      </c>
      <c r="F86" s="766">
        <v>19.393622000000001</v>
      </c>
      <c r="G86" s="767">
        <v>64.667732999999998</v>
      </c>
      <c r="H86" s="98">
        <f t="shared" si="20"/>
        <v>2019</v>
      </c>
      <c r="I86" s="98" t="str">
        <f t="shared" si="21"/>
        <v>2</v>
      </c>
      <c r="K86" s="114"/>
      <c r="L86" s="114"/>
      <c r="M86" s="114"/>
      <c r="N86" s="114"/>
      <c r="O86" s="114"/>
      <c r="P86" s="114"/>
      <c r="Q86" s="114"/>
      <c r="R86" s="114"/>
      <c r="S86" s="114"/>
      <c r="T86" s="114"/>
      <c r="U86" s="114"/>
      <c r="V86" s="114"/>
      <c r="W86" s="114"/>
      <c r="X86" s="114"/>
      <c r="Y86" s="114"/>
      <c r="AD86" s="17"/>
      <c r="AF86" s="17"/>
      <c r="AH86" s="17"/>
    </row>
    <row r="87" spans="1:34">
      <c r="A87" s="1320">
        <v>43709</v>
      </c>
      <c r="B87" s="700">
        <v>44.801301000000002</v>
      </c>
      <c r="C87" s="768">
        <v>361.19518799999997</v>
      </c>
      <c r="D87" s="700">
        <v>1.4008</v>
      </c>
      <c r="E87" s="768">
        <v>4.1491009999999999</v>
      </c>
      <c r="F87" s="700">
        <v>12.879391</v>
      </c>
      <c r="G87" s="699">
        <v>44.668489999999998</v>
      </c>
      <c r="H87" s="98">
        <f t="shared" si="20"/>
        <v>2019</v>
      </c>
      <c r="I87" s="98" t="str">
        <f t="shared" si="21"/>
        <v>3</v>
      </c>
      <c r="K87" s="114"/>
      <c r="L87" s="114"/>
      <c r="M87" s="114"/>
      <c r="N87" s="114"/>
      <c r="O87" s="114"/>
      <c r="P87" s="114"/>
      <c r="Q87" s="114"/>
      <c r="R87" s="114"/>
      <c r="S87" s="114"/>
      <c r="T87" s="114"/>
      <c r="U87" s="114"/>
      <c r="V87" s="114"/>
      <c r="W87" s="114"/>
      <c r="X87" s="114"/>
      <c r="Y87" s="114"/>
      <c r="AD87" s="17"/>
      <c r="AF87" s="17"/>
      <c r="AH87" s="17"/>
    </row>
    <row r="88" spans="1:34">
      <c r="A88" s="1323">
        <v>43800</v>
      </c>
      <c r="B88" s="764">
        <v>44.257337999999997</v>
      </c>
      <c r="C88" s="765">
        <v>369.23292700000002</v>
      </c>
      <c r="D88" s="766">
        <v>0</v>
      </c>
      <c r="E88" s="765">
        <v>0</v>
      </c>
      <c r="F88" s="766">
        <v>27.99802</v>
      </c>
      <c r="G88" s="767">
        <v>85.059471000000002</v>
      </c>
      <c r="H88" s="98">
        <f t="shared" si="20"/>
        <v>2019</v>
      </c>
      <c r="I88" s="98" t="str">
        <f t="shared" si="21"/>
        <v>4</v>
      </c>
      <c r="K88" s="114"/>
      <c r="L88" s="114"/>
      <c r="M88" s="114"/>
      <c r="N88" s="114"/>
      <c r="O88" s="114"/>
      <c r="P88" s="114"/>
      <c r="Q88" s="114"/>
      <c r="R88" s="115"/>
      <c r="S88" s="115"/>
      <c r="T88" s="115"/>
      <c r="U88" s="114"/>
      <c r="V88" s="114"/>
      <c r="W88" s="114"/>
      <c r="X88" s="114"/>
      <c r="Y88" s="114"/>
      <c r="AD88" s="17"/>
      <c r="AF88" s="17"/>
      <c r="AH88" s="17"/>
    </row>
    <row r="89" spans="1:34">
      <c r="A89" s="1320">
        <v>43891</v>
      </c>
      <c r="B89" s="700">
        <v>38.036341</v>
      </c>
      <c r="C89" s="699">
        <v>286.74106699999999</v>
      </c>
      <c r="D89" s="1771">
        <v>0</v>
      </c>
      <c r="E89" s="699">
        <v>0</v>
      </c>
      <c r="F89" s="1771">
        <v>8.3514820000000007</v>
      </c>
      <c r="G89" s="768">
        <v>24.541041</v>
      </c>
      <c r="H89" s="98">
        <f t="shared" si="20"/>
        <v>2020</v>
      </c>
      <c r="I89" s="98" t="str">
        <f t="shared" si="21"/>
        <v>1</v>
      </c>
      <c r="K89" s="114"/>
      <c r="L89" s="116"/>
      <c r="M89" s="116"/>
      <c r="N89" s="114"/>
      <c r="O89" s="114"/>
      <c r="P89" s="114"/>
      <c r="Q89" s="114"/>
      <c r="R89" s="115"/>
      <c r="S89" s="115"/>
      <c r="T89" s="115"/>
      <c r="U89" s="114"/>
      <c r="V89" s="114"/>
      <c r="W89" s="114"/>
      <c r="X89" s="114"/>
      <c r="Y89" s="114"/>
      <c r="AD89" s="17"/>
      <c r="AF89" s="17"/>
      <c r="AH89" s="17"/>
    </row>
    <row r="90" spans="1:34">
      <c r="A90" s="1320">
        <v>43983</v>
      </c>
      <c r="B90" s="764">
        <v>44.288210000000007</v>
      </c>
      <c r="C90" s="765">
        <v>369.59310399999998</v>
      </c>
      <c r="D90" s="766">
        <v>1.3745150000000002</v>
      </c>
      <c r="E90" s="765">
        <v>3.3216389999999998</v>
      </c>
      <c r="F90" s="766">
        <v>22.541713000000001</v>
      </c>
      <c r="G90" s="767">
        <v>69.052575000000004</v>
      </c>
      <c r="H90" s="98">
        <f t="shared" si="20"/>
        <v>2020</v>
      </c>
      <c r="I90" s="98" t="str">
        <f t="shared" si="21"/>
        <v>2</v>
      </c>
      <c r="K90" s="114"/>
      <c r="L90" s="117"/>
      <c r="M90" s="117"/>
      <c r="N90" s="115"/>
      <c r="O90" s="115"/>
      <c r="P90" s="115"/>
      <c r="Q90" s="115"/>
      <c r="R90" s="115"/>
      <c r="S90" s="115"/>
      <c r="T90" s="115"/>
      <c r="U90" s="114"/>
      <c r="V90" s="114"/>
      <c r="W90" s="114"/>
      <c r="X90" s="114"/>
      <c r="Y90" s="114"/>
      <c r="AD90" s="17"/>
      <c r="AF90" s="17"/>
      <c r="AH90" s="17"/>
    </row>
    <row r="91" spans="1:34">
      <c r="A91" s="1320">
        <v>44075</v>
      </c>
      <c r="B91" s="700">
        <v>31.628375999999999</v>
      </c>
      <c r="C91" s="699">
        <v>289.57364000000001</v>
      </c>
      <c r="D91" s="1771">
        <v>0</v>
      </c>
      <c r="E91" s="699">
        <v>0</v>
      </c>
      <c r="F91" s="1771">
        <v>14.529898999999999</v>
      </c>
      <c r="G91" s="768">
        <v>50.971170000000001</v>
      </c>
      <c r="H91" s="98">
        <f t="shared" si="20"/>
        <v>2020</v>
      </c>
      <c r="I91" s="98" t="str">
        <f t="shared" si="21"/>
        <v>3</v>
      </c>
      <c r="K91" s="114"/>
      <c r="L91" s="117"/>
      <c r="M91" s="117"/>
      <c r="N91" s="115"/>
      <c r="O91" s="115"/>
      <c r="P91" s="115"/>
      <c r="Q91" s="115"/>
      <c r="R91" s="114"/>
      <c r="S91" s="114"/>
      <c r="T91" s="114"/>
      <c r="U91" s="114"/>
      <c r="V91" s="114"/>
      <c r="W91" s="114"/>
      <c r="X91" s="114"/>
      <c r="Y91" s="114"/>
      <c r="AD91" s="17"/>
      <c r="AF91" s="17"/>
      <c r="AH91" s="17"/>
    </row>
    <row r="92" spans="1:34">
      <c r="A92" s="1320">
        <v>44166</v>
      </c>
      <c r="B92" s="1772">
        <v>34.198582000000002</v>
      </c>
      <c r="C92" s="767">
        <v>365.24592200000001</v>
      </c>
      <c r="D92" s="764">
        <v>0</v>
      </c>
      <c r="E92" s="767">
        <v>0</v>
      </c>
      <c r="F92" s="764">
        <v>20.849048000000003</v>
      </c>
      <c r="G92" s="765">
        <v>75.297866999999997</v>
      </c>
      <c r="H92" s="98">
        <f t="shared" si="20"/>
        <v>2020</v>
      </c>
      <c r="I92" s="98" t="str">
        <f t="shared" si="21"/>
        <v>4</v>
      </c>
      <c r="K92" s="114"/>
      <c r="L92" s="117"/>
      <c r="M92" s="117"/>
      <c r="N92" s="115"/>
      <c r="O92" s="115"/>
      <c r="P92" s="115"/>
      <c r="Q92" s="115"/>
      <c r="R92" s="114"/>
      <c r="S92" s="114"/>
      <c r="T92" s="114"/>
      <c r="U92" s="114"/>
      <c r="V92" s="114"/>
      <c r="W92" s="114"/>
      <c r="X92" s="114"/>
      <c r="Y92" s="114"/>
      <c r="AD92" s="17"/>
      <c r="AF92" s="17"/>
      <c r="AH92" s="17"/>
    </row>
    <row r="93" spans="1:34">
      <c r="A93" s="1320">
        <v>44256</v>
      </c>
      <c r="B93" s="700">
        <v>37.496062999999999</v>
      </c>
      <c r="C93" s="699">
        <v>434.23915599999998</v>
      </c>
      <c r="D93" s="1771">
        <v>0</v>
      </c>
      <c r="E93" s="699">
        <v>0</v>
      </c>
      <c r="F93" s="1771">
        <v>16.339684000000002</v>
      </c>
      <c r="G93" s="768">
        <v>57.654603000000002</v>
      </c>
      <c r="H93" s="98">
        <f t="shared" si="20"/>
        <v>2021</v>
      </c>
      <c r="I93" s="98" t="str">
        <f t="shared" si="21"/>
        <v>1</v>
      </c>
      <c r="K93" s="114"/>
      <c r="L93" s="114"/>
      <c r="M93" s="114"/>
      <c r="N93" s="114"/>
      <c r="O93" s="114"/>
      <c r="P93" s="114"/>
      <c r="Q93" s="114"/>
      <c r="R93" s="114"/>
      <c r="S93" s="114"/>
      <c r="T93" s="114"/>
      <c r="U93" s="114"/>
      <c r="V93" s="114"/>
      <c r="W93" s="114"/>
      <c r="X93" s="114"/>
      <c r="Y93" s="114"/>
      <c r="AD93" s="17"/>
      <c r="AF93" s="17"/>
      <c r="AH93" s="17"/>
    </row>
    <row r="94" spans="1:34" ht="15.75" thickBot="1">
      <c r="A94" s="1321">
        <v>44348</v>
      </c>
      <c r="B94" s="1773">
        <v>42.529713000000001</v>
      </c>
      <c r="C94" s="1774">
        <v>396.08542199999999</v>
      </c>
      <c r="D94" s="1775">
        <v>0.85125099999999998</v>
      </c>
      <c r="E94" s="1774">
        <v>2.18669666</v>
      </c>
      <c r="F94" s="1775">
        <v>12.500456</v>
      </c>
      <c r="G94" s="1776">
        <v>45.266267510000006</v>
      </c>
      <c r="H94" s="98">
        <f t="shared" si="20"/>
        <v>2021</v>
      </c>
      <c r="I94" s="98" t="str">
        <f t="shared" si="21"/>
        <v>2</v>
      </c>
      <c r="K94" s="114"/>
      <c r="L94" s="114"/>
      <c r="M94" s="114"/>
      <c r="N94" s="114"/>
      <c r="O94" s="114"/>
      <c r="P94" s="114"/>
      <c r="Q94" s="114"/>
      <c r="R94" s="114"/>
      <c r="S94" s="114"/>
      <c r="T94" s="114"/>
      <c r="U94" s="114"/>
      <c r="V94" s="114"/>
      <c r="W94" s="114"/>
      <c r="X94" s="114"/>
      <c r="Y94" s="114"/>
      <c r="AD94" s="17"/>
      <c r="AF94" s="17"/>
      <c r="AH94" s="17"/>
    </row>
    <row r="95" spans="1:34">
      <c r="C95" s="17"/>
      <c r="D95" s="126"/>
      <c r="E95" s="17"/>
      <c r="F95" s="126"/>
      <c r="G95" s="17"/>
      <c r="H95" s="98">
        <f t="shared" si="20"/>
        <v>1900</v>
      </c>
      <c r="I95" s="98" t="str">
        <f t="shared" si="21"/>
        <v>4</v>
      </c>
      <c r="K95" s="114"/>
      <c r="L95" s="114"/>
      <c r="M95" s="114"/>
      <c r="N95" s="114"/>
      <c r="O95" s="114"/>
      <c r="P95" s="114"/>
      <c r="Q95" s="114"/>
      <c r="R95" s="114"/>
      <c r="S95" s="114"/>
      <c r="T95" s="114"/>
      <c r="U95" s="114"/>
      <c r="V95" s="114"/>
      <c r="W95" s="114"/>
      <c r="X95" s="114"/>
      <c r="Y95" s="114"/>
      <c r="AD95" s="17"/>
      <c r="AF95" s="17"/>
      <c r="AH95" s="17"/>
    </row>
    <row r="96" spans="1:34">
      <c r="C96" s="17"/>
      <c r="D96" s="126"/>
      <c r="E96" s="17"/>
      <c r="F96" s="126"/>
      <c r="G96" s="17"/>
      <c r="H96" s="98">
        <f t="shared" si="20"/>
        <v>1900</v>
      </c>
      <c r="I96" s="98" t="str">
        <f t="shared" si="21"/>
        <v>4</v>
      </c>
      <c r="K96" s="114"/>
      <c r="L96" s="114"/>
      <c r="M96" s="114"/>
      <c r="N96" s="114"/>
      <c r="O96" s="114"/>
      <c r="P96" s="114"/>
      <c r="Q96" s="114"/>
      <c r="R96" s="114"/>
      <c r="S96" s="114"/>
      <c r="T96" s="114"/>
      <c r="U96" s="114"/>
      <c r="V96" s="114"/>
      <c r="W96" s="114"/>
      <c r="X96" s="114"/>
      <c r="Y96" s="114"/>
      <c r="AD96" s="17"/>
      <c r="AF96" s="17"/>
      <c r="AH96" s="17"/>
    </row>
    <row r="97" spans="3:34">
      <c r="C97" s="17"/>
      <c r="D97" s="126"/>
      <c r="E97" s="17"/>
      <c r="F97" s="126"/>
      <c r="G97" s="17"/>
      <c r="H97" s="98">
        <f t="shared" si="20"/>
        <v>1900</v>
      </c>
      <c r="I97" s="98" t="str">
        <f t="shared" si="21"/>
        <v>4</v>
      </c>
      <c r="K97" s="114"/>
      <c r="L97" s="114"/>
      <c r="M97" s="114"/>
      <c r="N97" s="114"/>
      <c r="O97" s="114"/>
      <c r="P97" s="114"/>
      <c r="Q97" s="114"/>
      <c r="U97" s="114"/>
      <c r="V97" s="114"/>
      <c r="W97" s="114"/>
      <c r="AD97" s="17"/>
      <c r="AF97" s="17"/>
      <c r="AH97" s="17"/>
    </row>
    <row r="98" spans="3:34">
      <c r="C98" s="17"/>
      <c r="D98" s="126"/>
      <c r="E98" s="17"/>
      <c r="F98" s="126"/>
      <c r="G98" s="17"/>
      <c r="H98" s="98">
        <f t="shared" si="20"/>
        <v>1900</v>
      </c>
      <c r="I98" s="98" t="str">
        <f t="shared" si="21"/>
        <v>4</v>
      </c>
      <c r="K98" s="114"/>
      <c r="L98" s="114"/>
      <c r="M98" s="114"/>
      <c r="N98" s="114"/>
      <c r="O98" s="114"/>
      <c r="P98" s="114"/>
      <c r="Q98" s="114"/>
      <c r="AD98" s="17"/>
      <c r="AF98" s="17"/>
      <c r="AH98" s="17"/>
    </row>
    <row r="99" spans="3:34">
      <c r="C99" s="17"/>
      <c r="D99" s="126"/>
      <c r="E99" s="17"/>
      <c r="F99" s="126"/>
      <c r="G99" s="17"/>
      <c r="H99" s="98">
        <f t="shared" si="20"/>
        <v>1900</v>
      </c>
      <c r="I99" s="98" t="str">
        <f t="shared" si="21"/>
        <v>4</v>
      </c>
      <c r="AD99" s="17"/>
      <c r="AF99" s="17"/>
      <c r="AH99" s="17"/>
    </row>
    <row r="100" spans="3:34">
      <c r="C100" s="17"/>
      <c r="D100" s="126"/>
      <c r="E100" s="17"/>
      <c r="F100" s="126"/>
      <c r="G100" s="17"/>
      <c r="H100" s="98">
        <f t="shared" si="20"/>
        <v>1900</v>
      </c>
      <c r="I100" s="98" t="str">
        <f t="shared" si="21"/>
        <v>4</v>
      </c>
      <c r="AD100" s="17"/>
      <c r="AF100" s="17"/>
      <c r="AH100" s="17"/>
    </row>
    <row r="101" spans="3:34">
      <c r="C101" s="17"/>
      <c r="D101" s="126"/>
      <c r="E101" s="17"/>
      <c r="F101" s="126"/>
      <c r="G101" s="17"/>
      <c r="H101" s="98">
        <f t="shared" si="20"/>
        <v>1900</v>
      </c>
      <c r="I101" s="98" t="str">
        <f t="shared" si="21"/>
        <v>4</v>
      </c>
      <c r="AD101" s="17"/>
      <c r="AF101" s="17"/>
      <c r="AH101" s="17"/>
    </row>
    <row r="102" spans="3:34">
      <c r="C102" s="17"/>
      <c r="D102" s="126"/>
      <c r="E102" s="17"/>
      <c r="F102" s="126"/>
      <c r="G102" s="17"/>
      <c r="H102" s="98">
        <f t="shared" si="20"/>
        <v>1900</v>
      </c>
      <c r="I102" s="98" t="str">
        <f t="shared" si="21"/>
        <v>4</v>
      </c>
      <c r="AD102" s="17"/>
      <c r="AF102" s="17"/>
      <c r="AH102" s="17"/>
    </row>
    <row r="103" spans="3:34">
      <c r="C103" s="17"/>
      <c r="D103" s="126"/>
      <c r="E103" s="17"/>
      <c r="F103" s="126"/>
      <c r="G103" s="17"/>
      <c r="H103" s="98">
        <f t="shared" si="20"/>
        <v>1900</v>
      </c>
      <c r="I103" s="98" t="str">
        <f t="shared" si="21"/>
        <v>4</v>
      </c>
      <c r="AD103" s="17"/>
      <c r="AF103" s="17"/>
      <c r="AH103" s="17"/>
    </row>
    <row r="104" spans="3:34">
      <c r="C104" s="17"/>
      <c r="D104" s="126"/>
      <c r="E104" s="17"/>
      <c r="F104" s="126"/>
      <c r="G104" s="17"/>
      <c r="H104" s="98">
        <f t="shared" si="20"/>
        <v>1900</v>
      </c>
      <c r="I104" s="98" t="str">
        <f t="shared" si="21"/>
        <v>4</v>
      </c>
      <c r="AD104" s="17"/>
      <c r="AF104" s="17"/>
      <c r="AH104" s="17"/>
    </row>
    <row r="105" spans="3:34">
      <c r="C105" s="17"/>
      <c r="D105" s="126"/>
      <c r="E105" s="17"/>
      <c r="F105" s="126"/>
      <c r="G105" s="17"/>
      <c r="H105" s="98">
        <f t="shared" si="20"/>
        <v>1900</v>
      </c>
      <c r="I105" s="98" t="str">
        <f t="shared" si="21"/>
        <v>4</v>
      </c>
      <c r="AD105" s="17"/>
      <c r="AF105" s="17"/>
      <c r="AH105" s="17"/>
    </row>
    <row r="106" spans="3:34">
      <c r="C106" s="17"/>
      <c r="D106" s="126"/>
      <c r="E106" s="17"/>
      <c r="F106" s="126"/>
      <c r="G106" s="17"/>
      <c r="H106" s="98">
        <f t="shared" si="20"/>
        <v>1900</v>
      </c>
      <c r="I106" s="98" t="str">
        <f t="shared" si="21"/>
        <v>4</v>
      </c>
      <c r="AD106" s="17"/>
      <c r="AF106" s="17"/>
      <c r="AH106" s="17"/>
    </row>
    <row r="107" spans="3:34">
      <c r="C107" s="17"/>
      <c r="D107" s="126"/>
      <c r="E107" s="17"/>
      <c r="F107" s="126"/>
      <c r="G107" s="17"/>
      <c r="H107" s="98">
        <f t="shared" si="20"/>
        <v>1900</v>
      </c>
      <c r="I107" s="98" t="str">
        <f t="shared" si="21"/>
        <v>4</v>
      </c>
      <c r="AD107" s="17"/>
      <c r="AF107" s="17"/>
      <c r="AH107" s="17"/>
    </row>
    <row r="108" spans="3:34">
      <c r="C108" s="17"/>
      <c r="D108" s="126"/>
      <c r="E108" s="17"/>
      <c r="F108" s="126"/>
      <c r="G108" s="17"/>
      <c r="H108" s="98">
        <f t="shared" si="20"/>
        <v>1900</v>
      </c>
      <c r="I108" s="98" t="str">
        <f t="shared" si="21"/>
        <v>4</v>
      </c>
      <c r="AD108" s="17"/>
      <c r="AF108" s="17"/>
      <c r="AH108" s="17"/>
    </row>
    <row r="109" spans="3:34">
      <c r="C109" s="17"/>
      <c r="D109" s="126"/>
      <c r="E109" s="17"/>
      <c r="F109" s="126"/>
      <c r="G109" s="17"/>
      <c r="H109" s="98">
        <f t="shared" si="20"/>
        <v>1900</v>
      </c>
      <c r="I109" s="98" t="str">
        <f t="shared" si="21"/>
        <v>4</v>
      </c>
      <c r="AD109" s="17"/>
      <c r="AF109" s="17"/>
      <c r="AH109" s="17"/>
    </row>
    <row r="110" spans="3:34">
      <c r="C110" s="17"/>
      <c r="D110" s="126"/>
      <c r="E110" s="17"/>
      <c r="F110" s="126"/>
      <c r="G110" s="17"/>
      <c r="H110" s="98">
        <f t="shared" si="20"/>
        <v>1900</v>
      </c>
      <c r="I110" s="98" t="str">
        <f t="shared" si="21"/>
        <v>4</v>
      </c>
      <c r="AD110" s="17"/>
      <c r="AF110" s="17"/>
      <c r="AH110" s="17"/>
    </row>
    <row r="111" spans="3:34">
      <c r="C111" s="17"/>
      <c r="D111" s="126"/>
      <c r="E111" s="17"/>
      <c r="F111" s="126"/>
      <c r="G111" s="17"/>
      <c r="H111" s="98">
        <f t="shared" si="20"/>
        <v>1900</v>
      </c>
      <c r="I111" s="98" t="str">
        <f t="shared" si="21"/>
        <v>4</v>
      </c>
      <c r="AD111" s="17"/>
      <c r="AF111" s="17"/>
      <c r="AH111" s="17"/>
    </row>
    <row r="112" spans="3:34">
      <c r="C112" s="17"/>
      <c r="D112" s="126"/>
      <c r="E112" s="17"/>
      <c r="F112" s="126"/>
      <c r="G112" s="17"/>
      <c r="H112" s="98">
        <f t="shared" si="20"/>
        <v>1900</v>
      </c>
      <c r="I112" s="98" t="str">
        <f t="shared" si="21"/>
        <v>4</v>
      </c>
      <c r="AD112" s="17"/>
      <c r="AF112" s="17"/>
      <c r="AH112" s="17"/>
    </row>
    <row r="113" spans="3:34">
      <c r="C113" s="17"/>
      <c r="D113" s="126"/>
      <c r="E113" s="17"/>
      <c r="F113" s="126"/>
      <c r="G113" s="17"/>
      <c r="H113" s="98">
        <f t="shared" si="20"/>
        <v>1900</v>
      </c>
      <c r="I113" s="98" t="str">
        <f t="shared" si="21"/>
        <v>4</v>
      </c>
      <c r="AD113" s="17"/>
      <c r="AF113" s="17"/>
      <c r="AH113" s="17"/>
    </row>
    <row r="114" spans="3:34">
      <c r="C114" s="17"/>
      <c r="D114" s="126"/>
      <c r="E114" s="17"/>
      <c r="F114" s="126"/>
      <c r="G114" s="17"/>
      <c r="H114" s="98">
        <f t="shared" si="20"/>
        <v>1900</v>
      </c>
      <c r="I114" s="98" t="str">
        <f t="shared" si="21"/>
        <v>4</v>
      </c>
      <c r="AD114" s="17"/>
      <c r="AF114" s="17"/>
      <c r="AH114" s="17"/>
    </row>
    <row r="115" spans="3:34">
      <c r="C115" s="17"/>
      <c r="D115" s="126"/>
      <c r="E115" s="17"/>
      <c r="F115" s="126"/>
      <c r="G115" s="17"/>
      <c r="H115" s="98">
        <f t="shared" si="20"/>
        <v>1900</v>
      </c>
      <c r="I115" s="98" t="str">
        <f t="shared" si="21"/>
        <v>4</v>
      </c>
      <c r="AD115" s="17"/>
      <c r="AF115" s="17"/>
      <c r="AH115" s="17"/>
    </row>
    <row r="116" spans="3:34">
      <c r="C116" s="17"/>
      <c r="D116" s="126"/>
      <c r="E116" s="17"/>
      <c r="F116" s="126"/>
      <c r="G116" s="17"/>
      <c r="H116" s="98">
        <f t="shared" si="20"/>
        <v>1900</v>
      </c>
      <c r="I116" s="98" t="str">
        <f t="shared" si="21"/>
        <v>4</v>
      </c>
      <c r="AD116" s="17"/>
      <c r="AF116" s="17"/>
      <c r="AH116" s="17"/>
    </row>
    <row r="117" spans="3:34">
      <c r="C117" s="17"/>
      <c r="D117" s="126"/>
      <c r="E117" s="17"/>
      <c r="F117" s="126"/>
      <c r="G117" s="17"/>
      <c r="H117" s="98">
        <f t="shared" si="20"/>
        <v>1900</v>
      </c>
      <c r="I117" s="98" t="str">
        <f t="shared" si="21"/>
        <v>4</v>
      </c>
      <c r="AD117" s="17"/>
      <c r="AF117" s="17"/>
      <c r="AH117" s="17"/>
    </row>
    <row r="118" spans="3:34">
      <c r="C118" s="17"/>
      <c r="D118" s="126"/>
      <c r="E118" s="17"/>
      <c r="F118" s="126"/>
      <c r="G118" s="17"/>
      <c r="H118" s="98">
        <f t="shared" si="20"/>
        <v>1900</v>
      </c>
      <c r="I118" s="98" t="str">
        <f t="shared" si="21"/>
        <v>4</v>
      </c>
      <c r="AD118" s="17"/>
      <c r="AF118" s="17"/>
      <c r="AH118" s="17"/>
    </row>
    <row r="119" spans="3:34">
      <c r="C119" s="17"/>
      <c r="D119" s="126"/>
      <c r="E119" s="17"/>
      <c r="F119" s="126"/>
      <c r="G119" s="17"/>
      <c r="H119" s="98">
        <f t="shared" si="20"/>
        <v>1900</v>
      </c>
      <c r="I119" s="98" t="str">
        <f t="shared" si="21"/>
        <v>4</v>
      </c>
      <c r="AD119" s="17"/>
      <c r="AF119" s="17"/>
      <c r="AH119" s="17"/>
    </row>
    <row r="120" spans="3:34">
      <c r="C120" s="17"/>
      <c r="D120" s="126"/>
      <c r="E120" s="17"/>
      <c r="F120" s="126"/>
      <c r="G120" s="17"/>
      <c r="H120" s="98">
        <f t="shared" si="20"/>
        <v>1900</v>
      </c>
      <c r="I120" s="98" t="str">
        <f t="shared" si="21"/>
        <v>4</v>
      </c>
      <c r="AD120" s="17"/>
      <c r="AF120" s="17"/>
      <c r="AH120" s="17"/>
    </row>
    <row r="121" spans="3:34">
      <c r="C121" s="17"/>
      <c r="D121" s="126"/>
      <c r="E121" s="17"/>
      <c r="F121" s="126"/>
      <c r="G121" s="17"/>
      <c r="H121" s="98">
        <f t="shared" si="20"/>
        <v>1900</v>
      </c>
      <c r="I121" s="98" t="str">
        <f t="shared" si="21"/>
        <v>4</v>
      </c>
      <c r="AD121" s="17"/>
      <c r="AF121" s="17"/>
      <c r="AH121" s="17"/>
    </row>
    <row r="122" spans="3:34">
      <c r="C122" s="17"/>
      <c r="D122" s="126"/>
      <c r="E122" s="17"/>
      <c r="F122" s="126"/>
      <c r="G122" s="17"/>
      <c r="H122" s="98">
        <f t="shared" si="20"/>
        <v>1900</v>
      </c>
      <c r="I122" s="98" t="str">
        <f t="shared" si="21"/>
        <v>4</v>
      </c>
      <c r="AD122" s="17"/>
      <c r="AF122" s="17"/>
      <c r="AH122" s="17"/>
    </row>
    <row r="123" spans="3:34">
      <c r="C123" s="17"/>
      <c r="D123" s="126"/>
      <c r="E123" s="17"/>
      <c r="F123" s="126"/>
      <c r="G123" s="17"/>
      <c r="H123" s="98">
        <f t="shared" si="20"/>
        <v>1900</v>
      </c>
      <c r="I123" s="98" t="str">
        <f t="shared" si="21"/>
        <v>4</v>
      </c>
      <c r="AD123" s="17"/>
      <c r="AF123" s="17"/>
      <c r="AH123" s="17"/>
    </row>
    <row r="124" spans="3:34">
      <c r="C124" s="17"/>
      <c r="D124" s="126"/>
      <c r="E124" s="17"/>
      <c r="F124" s="126"/>
      <c r="G124" s="17"/>
      <c r="H124" s="98">
        <f t="shared" si="20"/>
        <v>1900</v>
      </c>
      <c r="I124" s="98" t="str">
        <f t="shared" si="21"/>
        <v>4</v>
      </c>
      <c r="AD124" s="17"/>
      <c r="AF124" s="17"/>
      <c r="AH124" s="17"/>
    </row>
    <row r="125" spans="3:34">
      <c r="C125" s="17"/>
      <c r="D125" s="126"/>
      <c r="E125" s="17"/>
      <c r="F125" s="126"/>
      <c r="G125" s="17"/>
      <c r="H125" s="98">
        <f t="shared" si="20"/>
        <v>1900</v>
      </c>
      <c r="I125" s="98" t="str">
        <f t="shared" si="21"/>
        <v>4</v>
      </c>
      <c r="AD125" s="17"/>
      <c r="AF125" s="17"/>
      <c r="AH125" s="17"/>
    </row>
    <row r="126" spans="3:34">
      <c r="C126" s="17"/>
      <c r="D126" s="126"/>
      <c r="E126" s="17"/>
      <c r="F126" s="126"/>
      <c r="G126" s="17"/>
      <c r="H126" s="98">
        <f t="shared" si="20"/>
        <v>1900</v>
      </c>
      <c r="I126" s="98" t="str">
        <f t="shared" si="21"/>
        <v>4</v>
      </c>
      <c r="AD126" s="17"/>
      <c r="AF126" s="17"/>
      <c r="AH126" s="17"/>
    </row>
    <row r="127" spans="3:34">
      <c r="C127" s="17"/>
      <c r="D127" s="126"/>
      <c r="E127" s="17"/>
      <c r="F127" s="126"/>
      <c r="G127" s="17"/>
      <c r="H127" s="98">
        <f t="shared" si="20"/>
        <v>1900</v>
      </c>
      <c r="I127" s="98" t="str">
        <f t="shared" si="21"/>
        <v>4</v>
      </c>
      <c r="AD127" s="17"/>
      <c r="AF127" s="17"/>
      <c r="AH127" s="17"/>
    </row>
    <row r="128" spans="3:34">
      <c r="C128" s="17"/>
      <c r="D128" s="126"/>
      <c r="E128" s="17"/>
      <c r="F128" s="126"/>
      <c r="G128" s="17"/>
      <c r="H128" s="98">
        <f t="shared" si="20"/>
        <v>1900</v>
      </c>
      <c r="I128" s="98" t="str">
        <f t="shared" si="21"/>
        <v>4</v>
      </c>
      <c r="AD128" s="17"/>
      <c r="AF128" s="17"/>
      <c r="AH128" s="17"/>
    </row>
    <row r="129" spans="3:34">
      <c r="C129" s="17"/>
      <c r="D129" s="126"/>
      <c r="E129" s="17"/>
      <c r="F129" s="126"/>
      <c r="G129" s="17"/>
      <c r="H129" s="98">
        <f t="shared" si="20"/>
        <v>1900</v>
      </c>
      <c r="I129" s="98" t="str">
        <f t="shared" si="21"/>
        <v>4</v>
      </c>
      <c r="AD129" s="17"/>
      <c r="AF129" s="17"/>
      <c r="AH129" s="17"/>
    </row>
    <row r="130" spans="3:34">
      <c r="C130" s="17"/>
      <c r="D130" s="126"/>
      <c r="E130" s="17"/>
      <c r="F130" s="126"/>
      <c r="G130" s="17"/>
      <c r="H130" s="98">
        <f t="shared" si="20"/>
        <v>1900</v>
      </c>
      <c r="I130" s="98" t="str">
        <f t="shared" si="21"/>
        <v>4</v>
      </c>
      <c r="AD130" s="17"/>
      <c r="AF130" s="17"/>
      <c r="AH130" s="17"/>
    </row>
    <row r="131" spans="3:34">
      <c r="C131" s="17"/>
      <c r="D131" s="126"/>
      <c r="E131" s="17"/>
      <c r="F131" s="126"/>
      <c r="G131" s="17"/>
      <c r="H131" s="98">
        <f t="shared" si="20"/>
        <v>1900</v>
      </c>
      <c r="I131" s="98" t="str">
        <f t="shared" si="21"/>
        <v>4</v>
      </c>
      <c r="AD131" s="17"/>
      <c r="AF131" s="17"/>
      <c r="AH131" s="17"/>
    </row>
    <row r="132" spans="3:34">
      <c r="C132" s="17"/>
      <c r="D132" s="126"/>
      <c r="E132" s="17"/>
      <c r="F132" s="126"/>
      <c r="G132" s="17"/>
      <c r="H132" s="98">
        <f t="shared" si="20"/>
        <v>1900</v>
      </c>
      <c r="I132" s="98" t="str">
        <f t="shared" si="21"/>
        <v>4</v>
      </c>
      <c r="AD132" s="17"/>
      <c r="AF132" s="17"/>
      <c r="AH132" s="17"/>
    </row>
    <row r="133" spans="3:34">
      <c r="C133" s="17"/>
      <c r="D133" s="126"/>
      <c r="E133" s="17"/>
      <c r="F133" s="126"/>
      <c r="G133" s="17"/>
      <c r="H133" s="98">
        <f t="shared" si="20"/>
        <v>1900</v>
      </c>
      <c r="I133" s="98" t="str">
        <f t="shared" si="21"/>
        <v>4</v>
      </c>
      <c r="AD133" s="17"/>
      <c r="AF133" s="17"/>
      <c r="AH133" s="17"/>
    </row>
    <row r="134" spans="3:34">
      <c r="C134" s="17"/>
      <c r="D134" s="126"/>
      <c r="E134" s="17"/>
      <c r="F134" s="126"/>
      <c r="G134" s="17"/>
      <c r="H134" s="98">
        <f t="shared" si="20"/>
        <v>1900</v>
      </c>
      <c r="I134" s="98" t="str">
        <f t="shared" si="21"/>
        <v>4</v>
      </c>
      <c r="AD134" s="17"/>
      <c r="AF134" s="17"/>
      <c r="AH134" s="17"/>
    </row>
    <row r="135" spans="3:34">
      <c r="C135" s="17"/>
      <c r="D135" s="126"/>
      <c r="E135" s="17"/>
      <c r="F135" s="126"/>
      <c r="G135" s="17"/>
      <c r="H135" s="98">
        <f t="shared" si="20"/>
        <v>1900</v>
      </c>
      <c r="I135" s="98" t="str">
        <f t="shared" si="21"/>
        <v>4</v>
      </c>
      <c r="AD135" s="17"/>
      <c r="AF135" s="17"/>
      <c r="AH135" s="17"/>
    </row>
    <row r="136" spans="3:34">
      <c r="C136" s="17"/>
      <c r="D136" s="126"/>
      <c r="E136" s="17"/>
      <c r="F136" s="126"/>
      <c r="G136" s="17"/>
      <c r="H136" s="98">
        <f t="shared" si="20"/>
        <v>1900</v>
      </c>
      <c r="I136" s="98" t="str">
        <f t="shared" si="21"/>
        <v>4</v>
      </c>
      <c r="AD136" s="17"/>
      <c r="AF136" s="17"/>
      <c r="AH136" s="17"/>
    </row>
    <row r="137" spans="3:34">
      <c r="C137" s="17"/>
      <c r="D137" s="126"/>
      <c r="E137" s="17"/>
      <c r="F137" s="126"/>
      <c r="G137" s="17"/>
      <c r="H137" s="98">
        <f t="shared" si="20"/>
        <v>1900</v>
      </c>
      <c r="I137" s="98" t="str">
        <f t="shared" si="21"/>
        <v>4</v>
      </c>
      <c r="AD137" s="17"/>
      <c r="AF137" s="17"/>
      <c r="AH137" s="17"/>
    </row>
    <row r="138" spans="3:34">
      <c r="C138" s="17"/>
      <c r="D138" s="126"/>
      <c r="E138" s="17"/>
      <c r="F138" s="126"/>
      <c r="G138" s="17"/>
      <c r="H138" s="98">
        <f t="shared" ref="H138:H201" si="22">YEAR(A138)</f>
        <v>1900</v>
      </c>
      <c r="I138" s="98" t="str">
        <f t="shared" ref="I138:I201" si="23">IF(MONTH(A138)=3,"1",IF(MONTH(A138)=6,"2",IF(MONTH(A138)=9,"3","4")))</f>
        <v>4</v>
      </c>
      <c r="AD138" s="17"/>
      <c r="AF138" s="17"/>
      <c r="AH138" s="17"/>
    </row>
    <row r="139" spans="3:34">
      <c r="C139" s="17"/>
      <c r="D139" s="126"/>
      <c r="E139" s="17"/>
      <c r="F139" s="126"/>
      <c r="G139" s="17"/>
      <c r="H139" s="98">
        <f t="shared" si="22"/>
        <v>1900</v>
      </c>
      <c r="I139" s="98" t="str">
        <f t="shared" si="23"/>
        <v>4</v>
      </c>
      <c r="AD139" s="17"/>
      <c r="AF139" s="17"/>
      <c r="AH139" s="17"/>
    </row>
    <row r="140" spans="3:34">
      <c r="C140" s="17"/>
      <c r="D140" s="126"/>
      <c r="E140" s="17"/>
      <c r="F140" s="17"/>
      <c r="G140" s="17"/>
      <c r="H140" s="98">
        <f t="shared" si="22"/>
        <v>1900</v>
      </c>
      <c r="I140" s="98" t="str">
        <f t="shared" si="23"/>
        <v>4</v>
      </c>
      <c r="AD140" s="17"/>
      <c r="AF140" s="17"/>
      <c r="AH140" s="17"/>
    </row>
    <row r="141" spans="3:34">
      <c r="C141" s="17"/>
      <c r="D141" s="126"/>
      <c r="E141" s="17"/>
      <c r="F141" s="17"/>
      <c r="G141" s="17"/>
      <c r="H141" s="98">
        <f t="shared" si="22"/>
        <v>1900</v>
      </c>
      <c r="I141" s="98" t="str">
        <f t="shared" si="23"/>
        <v>4</v>
      </c>
      <c r="AD141" s="17"/>
      <c r="AF141" s="17"/>
      <c r="AH141" s="17"/>
    </row>
    <row r="142" spans="3:34">
      <c r="C142" s="17"/>
      <c r="D142" s="126"/>
      <c r="E142" s="17"/>
      <c r="F142" s="17"/>
      <c r="G142" s="17"/>
      <c r="H142" s="98">
        <f t="shared" si="22"/>
        <v>1900</v>
      </c>
      <c r="I142" s="98" t="str">
        <f t="shared" si="23"/>
        <v>4</v>
      </c>
      <c r="AD142" s="17"/>
      <c r="AF142" s="17"/>
      <c r="AH142" s="17"/>
    </row>
    <row r="143" spans="3:34">
      <c r="C143" s="17"/>
      <c r="D143" s="126"/>
      <c r="E143" s="17"/>
      <c r="F143" s="17"/>
      <c r="G143" s="17"/>
      <c r="H143" s="98">
        <f t="shared" si="22"/>
        <v>1900</v>
      </c>
      <c r="I143" s="98" t="str">
        <f t="shared" si="23"/>
        <v>4</v>
      </c>
      <c r="AD143" s="17"/>
      <c r="AF143" s="17"/>
      <c r="AH143" s="17"/>
    </row>
    <row r="144" spans="3:34">
      <c r="C144" s="17"/>
      <c r="D144" s="126"/>
      <c r="E144" s="17"/>
      <c r="F144" s="17"/>
      <c r="G144" s="17"/>
      <c r="H144" s="98">
        <f t="shared" si="22"/>
        <v>1900</v>
      </c>
      <c r="I144" s="98" t="str">
        <f t="shared" si="23"/>
        <v>4</v>
      </c>
      <c r="AD144" s="17"/>
      <c r="AF144" s="17"/>
      <c r="AH144" s="17"/>
    </row>
    <row r="145" spans="3:34">
      <c r="C145" s="17"/>
      <c r="D145" s="126"/>
      <c r="E145" s="17"/>
      <c r="F145" s="17"/>
      <c r="G145" s="17"/>
      <c r="H145" s="98">
        <f t="shared" si="22"/>
        <v>1900</v>
      </c>
      <c r="I145" s="98" t="str">
        <f t="shared" si="23"/>
        <v>4</v>
      </c>
      <c r="AD145" s="17"/>
      <c r="AF145" s="17"/>
      <c r="AH145" s="17"/>
    </row>
    <row r="146" spans="3:34">
      <c r="C146" s="17"/>
      <c r="D146" s="126"/>
      <c r="E146" s="17"/>
      <c r="F146" s="17"/>
      <c r="G146" s="17"/>
      <c r="H146" s="98">
        <f t="shared" si="22"/>
        <v>1900</v>
      </c>
      <c r="I146" s="98" t="str">
        <f t="shared" si="23"/>
        <v>4</v>
      </c>
      <c r="AD146" s="17"/>
      <c r="AF146" s="17"/>
      <c r="AH146" s="17"/>
    </row>
    <row r="147" spans="3:34">
      <c r="C147" s="17"/>
      <c r="D147" s="126"/>
      <c r="E147" s="17"/>
      <c r="F147" s="17"/>
      <c r="G147" s="17"/>
      <c r="H147" s="98">
        <f t="shared" si="22"/>
        <v>1900</v>
      </c>
      <c r="I147" s="98" t="str">
        <f t="shared" si="23"/>
        <v>4</v>
      </c>
      <c r="AD147" s="17"/>
      <c r="AF147" s="17"/>
      <c r="AH147" s="17"/>
    </row>
    <row r="148" spans="3:34">
      <c r="C148" s="17"/>
      <c r="D148" s="126"/>
      <c r="E148" s="17"/>
      <c r="F148" s="17"/>
      <c r="G148" s="17"/>
      <c r="H148" s="98">
        <f t="shared" si="22"/>
        <v>1900</v>
      </c>
      <c r="I148" s="98" t="str">
        <f t="shared" si="23"/>
        <v>4</v>
      </c>
      <c r="AD148" s="17"/>
      <c r="AF148" s="17"/>
      <c r="AH148" s="17"/>
    </row>
    <row r="149" spans="3:34">
      <c r="C149" s="17"/>
      <c r="D149" s="126"/>
      <c r="E149" s="17"/>
      <c r="F149" s="17"/>
      <c r="G149" s="17"/>
      <c r="H149" s="98">
        <f t="shared" si="22"/>
        <v>1900</v>
      </c>
      <c r="I149" s="98" t="str">
        <f t="shared" si="23"/>
        <v>4</v>
      </c>
      <c r="AD149" s="17"/>
      <c r="AF149" s="17"/>
      <c r="AH149" s="17"/>
    </row>
    <row r="150" spans="3:34">
      <c r="C150" s="17"/>
      <c r="D150" s="126"/>
      <c r="E150" s="17"/>
      <c r="F150" s="17"/>
      <c r="G150" s="17"/>
      <c r="H150" s="98">
        <f t="shared" si="22"/>
        <v>1900</v>
      </c>
      <c r="I150" s="98" t="str">
        <f t="shared" si="23"/>
        <v>4</v>
      </c>
      <c r="AD150" s="17"/>
      <c r="AF150" s="17"/>
      <c r="AH150" s="17"/>
    </row>
    <row r="151" spans="3:34">
      <c r="C151" s="17"/>
      <c r="D151" s="126"/>
      <c r="E151" s="17"/>
      <c r="F151" s="17"/>
      <c r="G151" s="17"/>
      <c r="H151" s="98">
        <f t="shared" si="22"/>
        <v>1900</v>
      </c>
      <c r="I151" s="98" t="str">
        <f t="shared" si="23"/>
        <v>4</v>
      </c>
      <c r="AD151" s="17"/>
      <c r="AF151" s="17"/>
      <c r="AH151" s="17"/>
    </row>
    <row r="152" spans="3:34">
      <c r="C152" s="17"/>
      <c r="D152" s="126"/>
      <c r="E152" s="17"/>
      <c r="F152" s="17"/>
      <c r="G152" s="17"/>
      <c r="H152" s="98">
        <f t="shared" si="22"/>
        <v>1900</v>
      </c>
      <c r="I152" s="98" t="str">
        <f t="shared" si="23"/>
        <v>4</v>
      </c>
      <c r="AD152" s="17"/>
      <c r="AF152" s="17"/>
      <c r="AH152" s="17"/>
    </row>
    <row r="153" spans="3:34">
      <c r="C153" s="17"/>
      <c r="D153" s="126"/>
      <c r="E153" s="17"/>
      <c r="F153" s="17"/>
      <c r="G153" s="17"/>
      <c r="H153" s="98">
        <f t="shared" si="22"/>
        <v>1900</v>
      </c>
      <c r="I153" s="98" t="str">
        <f t="shared" si="23"/>
        <v>4</v>
      </c>
      <c r="AD153" s="17"/>
      <c r="AF153" s="17"/>
      <c r="AH153" s="17"/>
    </row>
    <row r="154" spans="3:34">
      <c r="C154" s="17"/>
      <c r="D154" s="126"/>
      <c r="E154" s="17"/>
      <c r="F154" s="17"/>
      <c r="G154" s="17"/>
      <c r="H154" s="98">
        <f t="shared" si="22"/>
        <v>1900</v>
      </c>
      <c r="I154" s="98" t="str">
        <f t="shared" si="23"/>
        <v>4</v>
      </c>
      <c r="AD154" s="17"/>
      <c r="AF154" s="17"/>
      <c r="AH154" s="17"/>
    </row>
    <row r="155" spans="3:34">
      <c r="C155" s="17"/>
      <c r="D155" s="126"/>
      <c r="E155" s="17"/>
      <c r="F155" s="17"/>
      <c r="G155" s="17"/>
      <c r="H155" s="98">
        <f t="shared" si="22"/>
        <v>1900</v>
      </c>
      <c r="I155" s="98" t="str">
        <f t="shared" si="23"/>
        <v>4</v>
      </c>
      <c r="AD155" s="17"/>
      <c r="AF155" s="17"/>
      <c r="AH155" s="17"/>
    </row>
    <row r="156" spans="3:34">
      <c r="C156" s="17"/>
      <c r="D156" s="126"/>
      <c r="E156" s="17"/>
      <c r="F156" s="17"/>
      <c r="G156" s="17"/>
      <c r="H156" s="98">
        <f t="shared" si="22"/>
        <v>1900</v>
      </c>
      <c r="I156" s="98" t="str">
        <f t="shared" si="23"/>
        <v>4</v>
      </c>
      <c r="AD156" s="17"/>
      <c r="AF156" s="17"/>
      <c r="AH156" s="17"/>
    </row>
    <row r="157" spans="3:34">
      <c r="C157" s="17"/>
      <c r="D157" s="126"/>
      <c r="E157" s="17"/>
      <c r="F157" s="17"/>
      <c r="G157" s="17"/>
      <c r="H157" s="98">
        <f t="shared" si="22"/>
        <v>1900</v>
      </c>
      <c r="I157" s="98" t="str">
        <f t="shared" si="23"/>
        <v>4</v>
      </c>
      <c r="AD157" s="17"/>
      <c r="AF157" s="17"/>
      <c r="AH157" s="17"/>
    </row>
    <row r="158" spans="3:34">
      <c r="C158" s="17"/>
      <c r="D158" s="126"/>
      <c r="E158" s="17"/>
      <c r="F158" s="17"/>
      <c r="G158" s="17"/>
      <c r="H158" s="98">
        <f t="shared" si="22"/>
        <v>1900</v>
      </c>
      <c r="I158" s="98" t="str">
        <f t="shared" si="23"/>
        <v>4</v>
      </c>
      <c r="AD158" s="17"/>
      <c r="AF158" s="17"/>
      <c r="AH158" s="17"/>
    </row>
    <row r="159" spans="3:34">
      <c r="C159" s="17"/>
      <c r="D159" s="126"/>
      <c r="E159" s="17"/>
      <c r="F159" s="17"/>
      <c r="G159" s="17"/>
      <c r="H159" s="98">
        <f t="shared" si="22"/>
        <v>1900</v>
      </c>
      <c r="I159" s="98" t="str">
        <f t="shared" si="23"/>
        <v>4</v>
      </c>
      <c r="AD159" s="17"/>
      <c r="AF159" s="17"/>
      <c r="AH159" s="17"/>
    </row>
    <row r="160" spans="3:34">
      <c r="C160" s="17"/>
      <c r="D160" s="126"/>
      <c r="E160" s="17"/>
      <c r="F160" s="17"/>
      <c r="G160" s="17"/>
      <c r="H160" s="98">
        <f t="shared" si="22"/>
        <v>1900</v>
      </c>
      <c r="I160" s="98" t="str">
        <f t="shared" si="23"/>
        <v>4</v>
      </c>
      <c r="AD160" s="17"/>
      <c r="AF160" s="17"/>
      <c r="AH160" s="17"/>
    </row>
    <row r="161" spans="3:34">
      <c r="C161" s="17"/>
      <c r="D161" s="126"/>
      <c r="E161" s="17"/>
      <c r="F161" s="17"/>
      <c r="G161" s="17"/>
      <c r="H161" s="98">
        <f t="shared" si="22"/>
        <v>1900</v>
      </c>
      <c r="I161" s="98" t="str">
        <f t="shared" si="23"/>
        <v>4</v>
      </c>
      <c r="AD161" s="17"/>
      <c r="AF161" s="17"/>
      <c r="AH161" s="17"/>
    </row>
    <row r="162" spans="3:34">
      <c r="C162" s="17"/>
      <c r="D162" s="126"/>
      <c r="E162" s="17"/>
      <c r="F162" s="17"/>
      <c r="G162" s="17"/>
      <c r="H162" s="98">
        <f t="shared" si="22"/>
        <v>1900</v>
      </c>
      <c r="I162" s="98" t="str">
        <f t="shared" si="23"/>
        <v>4</v>
      </c>
      <c r="AD162" s="17"/>
      <c r="AF162" s="17"/>
      <c r="AH162" s="17"/>
    </row>
    <row r="163" spans="3:34">
      <c r="C163" s="17"/>
      <c r="D163" s="126"/>
      <c r="E163" s="17"/>
      <c r="F163" s="17"/>
      <c r="G163" s="17"/>
      <c r="H163" s="98">
        <f t="shared" si="22"/>
        <v>1900</v>
      </c>
      <c r="I163" s="98" t="str">
        <f t="shared" si="23"/>
        <v>4</v>
      </c>
      <c r="AD163" s="17"/>
      <c r="AF163" s="17"/>
      <c r="AH163" s="17"/>
    </row>
    <row r="164" spans="3:34">
      <c r="C164" s="17"/>
      <c r="D164" s="126"/>
      <c r="E164" s="17"/>
      <c r="F164" s="17"/>
      <c r="G164" s="17"/>
      <c r="H164" s="98">
        <f t="shared" si="22"/>
        <v>1900</v>
      </c>
      <c r="I164" s="98" t="str">
        <f t="shared" si="23"/>
        <v>4</v>
      </c>
      <c r="AD164" s="17"/>
      <c r="AF164" s="17"/>
      <c r="AH164" s="17"/>
    </row>
    <row r="165" spans="3:34">
      <c r="C165" s="17"/>
      <c r="D165" s="126"/>
      <c r="E165" s="17"/>
      <c r="F165" s="17"/>
      <c r="G165" s="17"/>
      <c r="H165" s="98">
        <f t="shared" si="22"/>
        <v>1900</v>
      </c>
      <c r="I165" s="98" t="str">
        <f t="shared" si="23"/>
        <v>4</v>
      </c>
    </row>
    <row r="166" spans="3:34">
      <c r="C166" s="17"/>
      <c r="D166" s="126"/>
      <c r="E166" s="17"/>
      <c r="F166" s="17"/>
      <c r="G166" s="17"/>
      <c r="H166" s="98">
        <f t="shared" si="22"/>
        <v>1900</v>
      </c>
      <c r="I166" s="98" t="str">
        <f t="shared" si="23"/>
        <v>4</v>
      </c>
    </row>
    <row r="167" spans="3:34">
      <c r="C167" s="17"/>
      <c r="D167" s="126"/>
      <c r="E167" s="17"/>
      <c r="F167" s="17"/>
      <c r="G167" s="17"/>
      <c r="H167" s="98">
        <f t="shared" si="22"/>
        <v>1900</v>
      </c>
      <c r="I167" s="98" t="str">
        <f t="shared" si="23"/>
        <v>4</v>
      </c>
    </row>
    <row r="168" spans="3:34">
      <c r="C168" s="17"/>
      <c r="D168" s="126"/>
      <c r="E168" s="17"/>
      <c r="F168" s="17"/>
      <c r="G168" s="17"/>
      <c r="H168" s="98">
        <f t="shared" si="22"/>
        <v>1900</v>
      </c>
      <c r="I168" s="98" t="str">
        <f t="shared" si="23"/>
        <v>4</v>
      </c>
    </row>
    <row r="169" spans="3:34">
      <c r="C169" s="17"/>
      <c r="D169" s="126"/>
      <c r="E169" s="17"/>
      <c r="F169" s="17"/>
      <c r="G169" s="17"/>
      <c r="H169" s="98">
        <f t="shared" si="22"/>
        <v>1900</v>
      </c>
      <c r="I169" s="98" t="str">
        <f t="shared" si="23"/>
        <v>4</v>
      </c>
    </row>
    <row r="170" spans="3:34">
      <c r="C170" s="17"/>
      <c r="D170" s="126"/>
      <c r="E170" s="17"/>
      <c r="F170" s="17"/>
      <c r="G170" s="17"/>
      <c r="H170" s="98">
        <f t="shared" si="22"/>
        <v>1900</v>
      </c>
      <c r="I170" s="98" t="str">
        <f t="shared" si="23"/>
        <v>4</v>
      </c>
    </row>
    <row r="171" spans="3:34">
      <c r="C171" s="17"/>
      <c r="D171" s="126"/>
      <c r="E171" s="17"/>
      <c r="F171" s="17"/>
      <c r="G171" s="17"/>
      <c r="H171" s="98">
        <f t="shared" si="22"/>
        <v>1900</v>
      </c>
      <c r="I171" s="98" t="str">
        <f t="shared" si="23"/>
        <v>4</v>
      </c>
    </row>
    <row r="172" spans="3:34">
      <c r="C172" s="17"/>
      <c r="D172" s="126"/>
      <c r="E172" s="17"/>
      <c r="F172" s="17"/>
      <c r="G172" s="17"/>
      <c r="H172" s="98">
        <f t="shared" si="22"/>
        <v>1900</v>
      </c>
      <c r="I172" s="98" t="str">
        <f t="shared" si="23"/>
        <v>4</v>
      </c>
    </row>
    <row r="173" spans="3:34">
      <c r="C173" s="17"/>
      <c r="D173" s="126"/>
      <c r="E173" s="17"/>
      <c r="F173" s="17"/>
      <c r="G173" s="17"/>
      <c r="H173" s="98">
        <f t="shared" si="22"/>
        <v>1900</v>
      </c>
      <c r="I173" s="98" t="str">
        <f t="shared" si="23"/>
        <v>4</v>
      </c>
    </row>
    <row r="174" spans="3:34">
      <c r="C174" s="17"/>
      <c r="D174" s="126"/>
      <c r="E174" s="17"/>
      <c r="F174" s="17"/>
      <c r="G174" s="17"/>
      <c r="H174" s="98">
        <f t="shared" si="22"/>
        <v>1900</v>
      </c>
      <c r="I174" s="98" t="str">
        <f t="shared" si="23"/>
        <v>4</v>
      </c>
    </row>
    <row r="175" spans="3:34">
      <c r="C175" s="17"/>
      <c r="D175" s="126"/>
      <c r="E175" s="17"/>
      <c r="F175" s="17"/>
      <c r="G175" s="17"/>
      <c r="H175" s="98">
        <f t="shared" si="22"/>
        <v>1900</v>
      </c>
      <c r="I175" s="98" t="str">
        <f t="shared" si="23"/>
        <v>4</v>
      </c>
    </row>
    <row r="176" spans="3:34">
      <c r="C176" s="17"/>
      <c r="D176" s="126"/>
      <c r="E176" s="17"/>
      <c r="F176" s="17"/>
      <c r="G176" s="17"/>
      <c r="H176" s="98">
        <f t="shared" si="22"/>
        <v>1900</v>
      </c>
      <c r="I176" s="98" t="str">
        <f t="shared" si="23"/>
        <v>4</v>
      </c>
    </row>
    <row r="177" spans="3:9">
      <c r="C177" s="17"/>
      <c r="D177" s="126"/>
      <c r="E177" s="17"/>
      <c r="F177" s="17"/>
      <c r="G177" s="17"/>
      <c r="H177" s="98">
        <f t="shared" si="22"/>
        <v>1900</v>
      </c>
      <c r="I177" s="98" t="str">
        <f t="shared" si="23"/>
        <v>4</v>
      </c>
    </row>
    <row r="178" spans="3:9">
      <c r="C178" s="17"/>
      <c r="D178" s="126"/>
      <c r="E178" s="17"/>
      <c r="F178" s="17"/>
      <c r="G178" s="17"/>
      <c r="H178" s="98">
        <f t="shared" si="22"/>
        <v>1900</v>
      </c>
      <c r="I178" s="98" t="str">
        <f t="shared" si="23"/>
        <v>4</v>
      </c>
    </row>
    <row r="179" spans="3:9">
      <c r="C179" s="17"/>
      <c r="D179" s="126"/>
      <c r="E179" s="17"/>
      <c r="F179" s="17"/>
      <c r="G179" s="17"/>
      <c r="H179" s="98">
        <f t="shared" si="22"/>
        <v>1900</v>
      </c>
      <c r="I179" s="98" t="str">
        <f t="shared" si="23"/>
        <v>4</v>
      </c>
    </row>
    <row r="180" spans="3:9">
      <c r="C180" s="17"/>
      <c r="D180" s="126"/>
      <c r="E180" s="17"/>
      <c r="F180" s="17"/>
      <c r="G180" s="17"/>
      <c r="H180" s="98">
        <f t="shared" si="22"/>
        <v>1900</v>
      </c>
      <c r="I180" s="98" t="str">
        <f t="shared" si="23"/>
        <v>4</v>
      </c>
    </row>
    <row r="181" spans="3:9">
      <c r="C181" s="17"/>
      <c r="D181" s="126"/>
      <c r="E181" s="17"/>
      <c r="F181" s="17"/>
      <c r="G181" s="17"/>
      <c r="H181" s="98">
        <f t="shared" si="22"/>
        <v>1900</v>
      </c>
      <c r="I181" s="98" t="str">
        <f t="shared" si="23"/>
        <v>4</v>
      </c>
    </row>
    <row r="182" spans="3:9">
      <c r="C182" s="17"/>
      <c r="D182" s="126"/>
      <c r="E182" s="17"/>
      <c r="F182" s="17"/>
      <c r="G182" s="17"/>
      <c r="H182" s="98">
        <f t="shared" si="22"/>
        <v>1900</v>
      </c>
      <c r="I182" s="98" t="str">
        <f t="shared" si="23"/>
        <v>4</v>
      </c>
    </row>
    <row r="183" spans="3:9">
      <c r="C183" s="17"/>
      <c r="D183" s="126"/>
      <c r="E183" s="17"/>
      <c r="F183" s="17"/>
      <c r="G183" s="17"/>
      <c r="H183" s="98">
        <f t="shared" si="22"/>
        <v>1900</v>
      </c>
      <c r="I183" s="98" t="str">
        <f t="shared" si="23"/>
        <v>4</v>
      </c>
    </row>
    <row r="184" spans="3:9">
      <c r="C184" s="17"/>
      <c r="D184" s="126"/>
      <c r="E184" s="17"/>
      <c r="F184" s="17"/>
      <c r="G184" s="17"/>
      <c r="H184" s="98">
        <f t="shared" si="22"/>
        <v>1900</v>
      </c>
      <c r="I184" s="98" t="str">
        <f t="shared" si="23"/>
        <v>4</v>
      </c>
    </row>
    <row r="185" spans="3:9">
      <c r="C185" s="17"/>
      <c r="D185" s="126"/>
      <c r="E185" s="17"/>
      <c r="F185" s="17"/>
      <c r="G185" s="17"/>
      <c r="H185" s="98">
        <f t="shared" si="22"/>
        <v>1900</v>
      </c>
      <c r="I185" s="98" t="str">
        <f t="shared" si="23"/>
        <v>4</v>
      </c>
    </row>
    <row r="186" spans="3:9">
      <c r="C186" s="17"/>
      <c r="D186" s="126"/>
      <c r="E186" s="17"/>
      <c r="F186" s="17"/>
      <c r="G186" s="17"/>
      <c r="H186" s="98">
        <f t="shared" si="22"/>
        <v>1900</v>
      </c>
      <c r="I186" s="98" t="str">
        <f t="shared" si="23"/>
        <v>4</v>
      </c>
    </row>
    <row r="187" spans="3:9">
      <c r="C187" s="17"/>
      <c r="D187" s="126"/>
      <c r="E187" s="17"/>
      <c r="F187" s="17"/>
      <c r="G187" s="17"/>
      <c r="H187" s="98">
        <f t="shared" si="22"/>
        <v>1900</v>
      </c>
      <c r="I187" s="98" t="str">
        <f t="shared" si="23"/>
        <v>4</v>
      </c>
    </row>
    <row r="188" spans="3:9">
      <c r="C188" s="17"/>
      <c r="D188" s="126"/>
      <c r="E188" s="17"/>
      <c r="F188" s="17"/>
      <c r="G188" s="17"/>
      <c r="H188" s="98">
        <f t="shared" si="22"/>
        <v>1900</v>
      </c>
      <c r="I188" s="98" t="str">
        <f t="shared" si="23"/>
        <v>4</v>
      </c>
    </row>
    <row r="189" spans="3:9">
      <c r="C189" s="17"/>
      <c r="D189" s="126"/>
      <c r="E189" s="17"/>
      <c r="F189" s="17"/>
      <c r="G189" s="17"/>
      <c r="H189" s="98">
        <f t="shared" si="22"/>
        <v>1900</v>
      </c>
      <c r="I189" s="98" t="str">
        <f t="shared" si="23"/>
        <v>4</v>
      </c>
    </row>
    <row r="190" spans="3:9">
      <c r="C190" s="17"/>
      <c r="D190" s="126"/>
      <c r="E190" s="17"/>
      <c r="F190" s="17"/>
      <c r="G190" s="17"/>
      <c r="H190" s="98">
        <f t="shared" si="22"/>
        <v>1900</v>
      </c>
      <c r="I190" s="98" t="str">
        <f t="shared" si="23"/>
        <v>4</v>
      </c>
    </row>
    <row r="191" spans="3:9">
      <c r="C191" s="17"/>
      <c r="D191" s="126"/>
      <c r="E191" s="17"/>
      <c r="F191" s="17"/>
      <c r="G191" s="17"/>
      <c r="H191" s="98">
        <f t="shared" si="22"/>
        <v>1900</v>
      </c>
      <c r="I191" s="98" t="str">
        <f t="shared" si="23"/>
        <v>4</v>
      </c>
    </row>
    <row r="192" spans="3:9">
      <c r="C192" s="17"/>
      <c r="D192" s="126"/>
      <c r="E192" s="17"/>
      <c r="F192" s="17"/>
      <c r="G192" s="17"/>
      <c r="H192" s="98">
        <f t="shared" si="22"/>
        <v>1900</v>
      </c>
      <c r="I192" s="98" t="str">
        <f t="shared" si="23"/>
        <v>4</v>
      </c>
    </row>
    <row r="193" spans="3:9">
      <c r="C193" s="17"/>
      <c r="D193" s="126"/>
      <c r="E193" s="17"/>
      <c r="F193" s="17"/>
      <c r="G193" s="17"/>
      <c r="H193" s="98">
        <f t="shared" si="22"/>
        <v>1900</v>
      </c>
      <c r="I193" s="98" t="str">
        <f t="shared" si="23"/>
        <v>4</v>
      </c>
    </row>
    <row r="194" spans="3:9">
      <c r="C194" s="17"/>
      <c r="D194" s="126"/>
      <c r="E194" s="17"/>
      <c r="F194" s="17"/>
      <c r="G194" s="17"/>
      <c r="H194" s="98">
        <f t="shared" si="22"/>
        <v>1900</v>
      </c>
      <c r="I194" s="98" t="str">
        <f t="shared" si="23"/>
        <v>4</v>
      </c>
    </row>
    <row r="195" spans="3:9">
      <c r="C195" s="17"/>
      <c r="D195" s="126"/>
      <c r="E195" s="17"/>
      <c r="F195" s="17"/>
      <c r="G195" s="17"/>
      <c r="H195" s="98">
        <f t="shared" si="22"/>
        <v>1900</v>
      </c>
      <c r="I195" s="98" t="str">
        <f t="shared" si="23"/>
        <v>4</v>
      </c>
    </row>
    <row r="196" spans="3:9">
      <c r="C196" s="17"/>
      <c r="D196" s="126"/>
      <c r="E196" s="17"/>
      <c r="F196" s="17"/>
      <c r="G196" s="17"/>
      <c r="H196" s="98">
        <f t="shared" si="22"/>
        <v>1900</v>
      </c>
      <c r="I196" s="98" t="str">
        <f t="shared" si="23"/>
        <v>4</v>
      </c>
    </row>
    <row r="197" spans="3:9">
      <c r="C197" s="17"/>
      <c r="D197" s="126"/>
      <c r="E197" s="17"/>
      <c r="F197" s="17"/>
      <c r="G197" s="17"/>
      <c r="H197" s="98">
        <f t="shared" si="22"/>
        <v>1900</v>
      </c>
      <c r="I197" s="98" t="str">
        <f t="shared" si="23"/>
        <v>4</v>
      </c>
    </row>
    <row r="198" spans="3:9">
      <c r="C198" s="17"/>
      <c r="D198" s="126"/>
      <c r="E198" s="17"/>
      <c r="F198" s="17"/>
      <c r="G198" s="17"/>
      <c r="H198" s="98">
        <f t="shared" si="22"/>
        <v>1900</v>
      </c>
      <c r="I198" s="98" t="str">
        <f t="shared" si="23"/>
        <v>4</v>
      </c>
    </row>
    <row r="199" spans="3:9">
      <c r="C199" s="17"/>
      <c r="D199" s="126"/>
      <c r="E199" s="17"/>
      <c r="F199" s="17"/>
      <c r="G199" s="17"/>
      <c r="H199" s="98">
        <f t="shared" si="22"/>
        <v>1900</v>
      </c>
      <c r="I199" s="98" t="str">
        <f t="shared" si="23"/>
        <v>4</v>
      </c>
    </row>
    <row r="200" spans="3:9">
      <c r="C200" s="17"/>
      <c r="D200" s="126"/>
      <c r="E200" s="17"/>
      <c r="F200" s="17"/>
      <c r="G200" s="17"/>
      <c r="H200" s="98">
        <f t="shared" si="22"/>
        <v>1900</v>
      </c>
      <c r="I200" s="98" t="str">
        <f t="shared" si="23"/>
        <v>4</v>
      </c>
    </row>
    <row r="201" spans="3:9">
      <c r="C201" s="17"/>
      <c r="D201" s="126"/>
      <c r="E201" s="17"/>
      <c r="F201" s="17"/>
      <c r="G201" s="17"/>
      <c r="H201" s="98">
        <f t="shared" si="22"/>
        <v>1900</v>
      </c>
      <c r="I201" s="98" t="str">
        <f t="shared" si="23"/>
        <v>4</v>
      </c>
    </row>
    <row r="202" spans="3:9">
      <c r="C202" s="17"/>
      <c r="D202" s="126"/>
      <c r="E202" s="17"/>
      <c r="F202" s="17"/>
      <c r="G202" s="17"/>
      <c r="H202" s="98">
        <f t="shared" ref="H202:H250" si="24">YEAR(A202)</f>
        <v>1900</v>
      </c>
      <c r="I202" s="98" t="str">
        <f t="shared" ref="I202:I250" si="25">IF(MONTH(A202)=3,"1",IF(MONTH(A202)=6,"2",IF(MONTH(A202)=9,"3","4")))</f>
        <v>4</v>
      </c>
    </row>
    <row r="203" spans="3:9">
      <c r="C203" s="17"/>
      <c r="D203" s="126"/>
      <c r="E203" s="17"/>
      <c r="F203" s="17"/>
      <c r="G203" s="17"/>
      <c r="H203" s="98">
        <f t="shared" si="24"/>
        <v>1900</v>
      </c>
      <c r="I203" s="98" t="str">
        <f t="shared" si="25"/>
        <v>4</v>
      </c>
    </row>
    <row r="204" spans="3:9">
      <c r="C204" s="17"/>
      <c r="D204" s="126"/>
      <c r="E204" s="17"/>
      <c r="F204" s="17"/>
      <c r="G204" s="17"/>
      <c r="H204" s="98">
        <f t="shared" si="24"/>
        <v>1900</v>
      </c>
      <c r="I204" s="98" t="str">
        <f t="shared" si="25"/>
        <v>4</v>
      </c>
    </row>
    <row r="205" spans="3:9">
      <c r="C205" s="17"/>
      <c r="D205" s="126"/>
      <c r="E205" s="17"/>
      <c r="F205" s="17"/>
      <c r="G205" s="17"/>
      <c r="H205" s="98">
        <f t="shared" si="24"/>
        <v>1900</v>
      </c>
      <c r="I205" s="98" t="str">
        <f t="shared" si="25"/>
        <v>4</v>
      </c>
    </row>
    <row r="206" spans="3:9">
      <c r="C206" s="17"/>
      <c r="D206" s="126"/>
      <c r="E206" s="17"/>
      <c r="F206" s="17"/>
      <c r="G206" s="17"/>
      <c r="H206" s="98">
        <f t="shared" si="24"/>
        <v>1900</v>
      </c>
      <c r="I206" s="98" t="str">
        <f t="shared" si="25"/>
        <v>4</v>
      </c>
    </row>
    <row r="207" spans="3:9">
      <c r="C207" s="17"/>
      <c r="D207" s="126"/>
      <c r="E207" s="17"/>
      <c r="F207" s="17"/>
      <c r="G207" s="17"/>
      <c r="H207" s="98">
        <f t="shared" si="24"/>
        <v>1900</v>
      </c>
      <c r="I207" s="98" t="str">
        <f t="shared" si="25"/>
        <v>4</v>
      </c>
    </row>
    <row r="208" spans="3:9">
      <c r="C208" s="17"/>
      <c r="D208" s="126"/>
      <c r="E208" s="17"/>
      <c r="F208" s="17"/>
      <c r="G208" s="17"/>
      <c r="H208" s="98">
        <f t="shared" si="24"/>
        <v>1900</v>
      </c>
      <c r="I208" s="98" t="str">
        <f t="shared" si="25"/>
        <v>4</v>
      </c>
    </row>
    <row r="209" spans="3:9">
      <c r="C209" s="17"/>
      <c r="D209" s="126"/>
      <c r="E209" s="17"/>
      <c r="F209" s="17"/>
      <c r="G209" s="17"/>
      <c r="H209" s="98">
        <f t="shared" si="24"/>
        <v>1900</v>
      </c>
      <c r="I209" s="98" t="str">
        <f t="shared" si="25"/>
        <v>4</v>
      </c>
    </row>
    <row r="210" spans="3:9">
      <c r="C210" s="17"/>
      <c r="D210" s="126"/>
      <c r="E210" s="17"/>
      <c r="F210" s="17"/>
      <c r="G210" s="17"/>
      <c r="H210" s="98">
        <f t="shared" si="24"/>
        <v>1900</v>
      </c>
      <c r="I210" s="98" t="str">
        <f t="shared" si="25"/>
        <v>4</v>
      </c>
    </row>
    <row r="211" spans="3:9">
      <c r="C211" s="17"/>
      <c r="D211" s="126"/>
      <c r="E211" s="17"/>
      <c r="F211" s="17"/>
      <c r="G211" s="17"/>
      <c r="H211" s="98">
        <f t="shared" si="24"/>
        <v>1900</v>
      </c>
      <c r="I211" s="98" t="str">
        <f t="shared" si="25"/>
        <v>4</v>
      </c>
    </row>
    <row r="212" spans="3:9">
      <c r="C212" s="17"/>
      <c r="D212" s="126"/>
      <c r="E212" s="17"/>
      <c r="F212" s="17"/>
      <c r="G212" s="17"/>
      <c r="H212" s="98">
        <f t="shared" si="24"/>
        <v>1900</v>
      </c>
      <c r="I212" s="98" t="str">
        <f t="shared" si="25"/>
        <v>4</v>
      </c>
    </row>
    <row r="213" spans="3:9">
      <c r="C213" s="17"/>
      <c r="D213" s="126"/>
      <c r="E213" s="17"/>
      <c r="F213" s="17"/>
      <c r="G213" s="17"/>
      <c r="H213" s="98">
        <f t="shared" si="24"/>
        <v>1900</v>
      </c>
      <c r="I213" s="98" t="str">
        <f t="shared" si="25"/>
        <v>4</v>
      </c>
    </row>
    <row r="214" spans="3:9">
      <c r="C214" s="17"/>
      <c r="D214" s="126"/>
      <c r="E214" s="17"/>
      <c r="F214" s="17"/>
      <c r="G214" s="17"/>
      <c r="H214" s="98">
        <f t="shared" si="24"/>
        <v>1900</v>
      </c>
      <c r="I214" s="98" t="str">
        <f t="shared" si="25"/>
        <v>4</v>
      </c>
    </row>
    <row r="215" spans="3:9">
      <c r="C215" s="17"/>
      <c r="D215" s="126"/>
      <c r="E215" s="17"/>
      <c r="F215" s="17"/>
      <c r="G215" s="17"/>
      <c r="H215" s="98">
        <f t="shared" si="24"/>
        <v>1900</v>
      </c>
      <c r="I215" s="98" t="str">
        <f t="shared" si="25"/>
        <v>4</v>
      </c>
    </row>
    <row r="216" spans="3:9">
      <c r="C216" s="17"/>
      <c r="D216" s="126"/>
      <c r="E216" s="17"/>
      <c r="F216" s="17"/>
      <c r="G216" s="17"/>
      <c r="H216" s="98">
        <f t="shared" si="24"/>
        <v>1900</v>
      </c>
      <c r="I216" s="98" t="str">
        <f t="shared" si="25"/>
        <v>4</v>
      </c>
    </row>
    <row r="217" spans="3:9">
      <c r="C217" s="17"/>
      <c r="D217" s="126"/>
      <c r="E217" s="17"/>
      <c r="F217" s="17"/>
      <c r="G217" s="17"/>
      <c r="H217" s="98">
        <f t="shared" si="24"/>
        <v>1900</v>
      </c>
      <c r="I217" s="98" t="str">
        <f t="shared" si="25"/>
        <v>4</v>
      </c>
    </row>
    <row r="218" spans="3:9">
      <c r="C218" s="17"/>
      <c r="D218" s="126"/>
      <c r="E218" s="17"/>
      <c r="F218" s="17"/>
      <c r="G218" s="17"/>
      <c r="H218" s="98">
        <f t="shared" si="24"/>
        <v>1900</v>
      </c>
      <c r="I218" s="98" t="str">
        <f t="shared" si="25"/>
        <v>4</v>
      </c>
    </row>
    <row r="219" spans="3:9">
      <c r="C219" s="17"/>
      <c r="D219" s="17"/>
      <c r="E219" s="17"/>
      <c r="F219" s="17"/>
      <c r="G219" s="17"/>
      <c r="H219" s="98">
        <f t="shared" si="24"/>
        <v>1900</v>
      </c>
      <c r="I219" s="98" t="str">
        <f t="shared" si="25"/>
        <v>4</v>
      </c>
    </row>
    <row r="220" spans="3:9">
      <c r="C220" s="17"/>
      <c r="D220" s="17"/>
      <c r="E220" s="17"/>
      <c r="F220" s="17"/>
      <c r="G220" s="17"/>
      <c r="H220" s="98">
        <f t="shared" si="24"/>
        <v>1900</v>
      </c>
      <c r="I220" s="98" t="str">
        <f t="shared" si="25"/>
        <v>4</v>
      </c>
    </row>
    <row r="221" spans="3:9">
      <c r="C221" s="17"/>
      <c r="D221" s="17"/>
      <c r="E221" s="17"/>
      <c r="F221" s="17"/>
      <c r="G221" s="17"/>
      <c r="H221" s="98">
        <f t="shared" si="24"/>
        <v>1900</v>
      </c>
      <c r="I221" s="98" t="str">
        <f t="shared" si="25"/>
        <v>4</v>
      </c>
    </row>
    <row r="222" spans="3:9">
      <c r="C222" s="17"/>
      <c r="D222" s="17"/>
      <c r="E222" s="17"/>
      <c r="F222" s="17"/>
      <c r="G222" s="17"/>
      <c r="H222" s="98">
        <f t="shared" si="24"/>
        <v>1900</v>
      </c>
      <c r="I222" s="98" t="str">
        <f t="shared" si="25"/>
        <v>4</v>
      </c>
    </row>
    <row r="223" spans="3:9">
      <c r="C223" s="17"/>
      <c r="D223" s="17"/>
      <c r="E223" s="17"/>
      <c r="F223" s="17"/>
      <c r="G223" s="17"/>
      <c r="H223" s="98">
        <f t="shared" si="24"/>
        <v>1900</v>
      </c>
      <c r="I223" s="98" t="str">
        <f t="shared" si="25"/>
        <v>4</v>
      </c>
    </row>
    <row r="224" spans="3:9">
      <c r="C224" s="17"/>
      <c r="D224" s="17"/>
      <c r="E224" s="17"/>
      <c r="F224" s="17"/>
      <c r="G224" s="17"/>
      <c r="H224" s="98">
        <f t="shared" si="24"/>
        <v>1900</v>
      </c>
      <c r="I224" s="98" t="str">
        <f t="shared" si="25"/>
        <v>4</v>
      </c>
    </row>
    <row r="225" spans="3:9">
      <c r="C225" s="17"/>
      <c r="D225" s="17"/>
      <c r="E225" s="17"/>
      <c r="F225" s="17"/>
      <c r="G225" s="17"/>
      <c r="H225" s="98">
        <f t="shared" si="24"/>
        <v>1900</v>
      </c>
      <c r="I225" s="98" t="str">
        <f t="shared" si="25"/>
        <v>4</v>
      </c>
    </row>
    <row r="226" spans="3:9">
      <c r="C226" s="17"/>
      <c r="D226" s="17"/>
      <c r="E226" s="17"/>
      <c r="F226" s="17"/>
      <c r="G226" s="17"/>
      <c r="H226" s="98">
        <f t="shared" si="24"/>
        <v>1900</v>
      </c>
      <c r="I226" s="98" t="str">
        <f t="shared" si="25"/>
        <v>4</v>
      </c>
    </row>
    <row r="227" spans="3:9">
      <c r="C227" s="17"/>
      <c r="D227" s="17"/>
      <c r="E227" s="17"/>
      <c r="F227" s="17"/>
      <c r="G227" s="17"/>
      <c r="H227" s="98">
        <f t="shared" si="24"/>
        <v>1900</v>
      </c>
      <c r="I227" s="98" t="str">
        <f t="shared" si="25"/>
        <v>4</v>
      </c>
    </row>
    <row r="228" spans="3:9">
      <c r="C228" s="17"/>
      <c r="D228" s="17"/>
      <c r="E228" s="17"/>
      <c r="F228" s="17"/>
      <c r="G228" s="17"/>
      <c r="H228" s="98">
        <f t="shared" si="24"/>
        <v>1900</v>
      </c>
      <c r="I228" s="98" t="str">
        <f t="shared" si="25"/>
        <v>4</v>
      </c>
    </row>
    <row r="229" spans="3:9">
      <c r="C229" s="17"/>
      <c r="D229" s="17"/>
      <c r="E229" s="17"/>
      <c r="F229" s="17"/>
      <c r="G229" s="17"/>
      <c r="H229" s="98">
        <f t="shared" si="24"/>
        <v>1900</v>
      </c>
      <c r="I229" s="98" t="str">
        <f t="shared" si="25"/>
        <v>4</v>
      </c>
    </row>
    <row r="230" spans="3:9">
      <c r="C230" s="17"/>
      <c r="D230" s="17"/>
      <c r="E230" s="17"/>
      <c r="F230" s="17"/>
      <c r="G230" s="17"/>
      <c r="H230" s="98">
        <f t="shared" si="24"/>
        <v>1900</v>
      </c>
      <c r="I230" s="98" t="str">
        <f t="shared" si="25"/>
        <v>4</v>
      </c>
    </row>
    <row r="231" spans="3:9">
      <c r="C231" s="17"/>
      <c r="D231" s="17"/>
      <c r="E231" s="17"/>
      <c r="F231" s="17"/>
      <c r="G231" s="17"/>
      <c r="H231" s="98">
        <f t="shared" si="24"/>
        <v>1900</v>
      </c>
      <c r="I231" s="98" t="str">
        <f t="shared" si="25"/>
        <v>4</v>
      </c>
    </row>
    <row r="232" spans="3:9">
      <c r="C232" s="17"/>
      <c r="D232" s="17"/>
      <c r="E232" s="17"/>
      <c r="F232" s="17"/>
      <c r="G232" s="17"/>
      <c r="H232" s="98">
        <f t="shared" si="24"/>
        <v>1900</v>
      </c>
      <c r="I232" s="98" t="str">
        <f t="shared" si="25"/>
        <v>4</v>
      </c>
    </row>
    <row r="233" spans="3:9">
      <c r="C233" s="17"/>
      <c r="D233" s="17"/>
      <c r="E233" s="17"/>
      <c r="F233" s="17"/>
      <c r="G233" s="17"/>
      <c r="H233" s="98">
        <f t="shared" si="24"/>
        <v>1900</v>
      </c>
      <c r="I233" s="98" t="str">
        <f t="shared" si="25"/>
        <v>4</v>
      </c>
    </row>
    <row r="234" spans="3:9">
      <c r="C234" s="17"/>
      <c r="D234" s="17"/>
      <c r="E234" s="17"/>
      <c r="F234" s="17"/>
      <c r="G234" s="17"/>
      <c r="H234" s="98">
        <f t="shared" si="24"/>
        <v>1900</v>
      </c>
      <c r="I234" s="98" t="str">
        <f t="shared" si="25"/>
        <v>4</v>
      </c>
    </row>
    <row r="235" spans="3:9">
      <c r="C235" s="17"/>
      <c r="D235" s="17"/>
      <c r="E235" s="17"/>
      <c r="F235" s="17"/>
      <c r="G235" s="17"/>
      <c r="H235" s="98">
        <f t="shared" si="24"/>
        <v>1900</v>
      </c>
      <c r="I235" s="98" t="str">
        <f t="shared" si="25"/>
        <v>4</v>
      </c>
    </row>
    <row r="236" spans="3:9">
      <c r="C236" s="17"/>
      <c r="D236" s="17"/>
      <c r="E236" s="17"/>
      <c r="F236" s="17"/>
      <c r="G236" s="17"/>
      <c r="H236" s="98">
        <f t="shared" si="24"/>
        <v>1900</v>
      </c>
      <c r="I236" s="98" t="str">
        <f t="shared" si="25"/>
        <v>4</v>
      </c>
    </row>
    <row r="237" spans="3:9">
      <c r="C237" s="17"/>
      <c r="D237" s="17"/>
      <c r="E237" s="17"/>
      <c r="F237" s="17"/>
      <c r="G237" s="17"/>
      <c r="H237" s="98">
        <f t="shared" si="24"/>
        <v>1900</v>
      </c>
      <c r="I237" s="98" t="str">
        <f t="shared" si="25"/>
        <v>4</v>
      </c>
    </row>
    <row r="238" spans="3:9">
      <c r="C238" s="17"/>
      <c r="D238" s="17"/>
      <c r="E238" s="17"/>
      <c r="F238" s="17"/>
      <c r="G238" s="17"/>
      <c r="H238" s="98">
        <f t="shared" si="24"/>
        <v>1900</v>
      </c>
      <c r="I238" s="98" t="str">
        <f t="shared" si="25"/>
        <v>4</v>
      </c>
    </row>
    <row r="239" spans="3:9">
      <c r="C239" s="17"/>
      <c r="D239" s="17"/>
      <c r="E239" s="17"/>
      <c r="F239" s="17"/>
      <c r="G239" s="17"/>
      <c r="H239" s="98">
        <f t="shared" si="24"/>
        <v>1900</v>
      </c>
      <c r="I239" s="98" t="str">
        <f t="shared" si="25"/>
        <v>4</v>
      </c>
    </row>
    <row r="240" spans="3:9">
      <c r="C240" s="17"/>
      <c r="D240" s="17"/>
      <c r="E240" s="17"/>
      <c r="F240" s="17"/>
      <c r="G240" s="17"/>
      <c r="H240" s="98">
        <f t="shared" si="24"/>
        <v>1900</v>
      </c>
      <c r="I240" s="98" t="str">
        <f t="shared" si="25"/>
        <v>4</v>
      </c>
    </row>
    <row r="241" spans="3:9">
      <c r="C241" s="17"/>
      <c r="D241" s="17"/>
      <c r="E241" s="17"/>
      <c r="F241" s="17"/>
      <c r="G241" s="17"/>
      <c r="H241" s="98">
        <f t="shared" si="24"/>
        <v>1900</v>
      </c>
      <c r="I241" s="98" t="str">
        <f t="shared" si="25"/>
        <v>4</v>
      </c>
    </row>
    <row r="242" spans="3:9">
      <c r="C242" s="17"/>
      <c r="D242" s="17"/>
      <c r="E242" s="17"/>
      <c r="F242" s="17"/>
      <c r="G242" s="17"/>
      <c r="H242" s="98">
        <f t="shared" si="24"/>
        <v>1900</v>
      </c>
      <c r="I242" s="98" t="str">
        <f t="shared" si="25"/>
        <v>4</v>
      </c>
    </row>
    <row r="243" spans="3:9">
      <c r="C243" s="17"/>
      <c r="D243" s="17"/>
      <c r="E243" s="17"/>
      <c r="F243" s="17"/>
      <c r="G243" s="17"/>
      <c r="H243" s="98">
        <f t="shared" si="24"/>
        <v>1900</v>
      </c>
      <c r="I243" s="98" t="str">
        <f t="shared" si="25"/>
        <v>4</v>
      </c>
    </row>
    <row r="244" spans="3:9">
      <c r="C244" s="17"/>
      <c r="D244" s="17"/>
      <c r="E244" s="17"/>
      <c r="F244" s="17"/>
      <c r="G244" s="17"/>
      <c r="H244" s="98">
        <f t="shared" si="24"/>
        <v>1900</v>
      </c>
      <c r="I244" s="98" t="str">
        <f t="shared" si="25"/>
        <v>4</v>
      </c>
    </row>
    <row r="245" spans="3:9">
      <c r="C245" s="17"/>
      <c r="D245" s="17"/>
      <c r="E245" s="17"/>
      <c r="F245" s="17"/>
      <c r="G245" s="17"/>
      <c r="H245" s="98">
        <f t="shared" si="24"/>
        <v>1900</v>
      </c>
      <c r="I245" s="98" t="str">
        <f t="shared" si="25"/>
        <v>4</v>
      </c>
    </row>
    <row r="246" spans="3:9">
      <c r="C246" s="17"/>
      <c r="D246" s="17"/>
      <c r="E246" s="17"/>
      <c r="F246" s="17"/>
      <c r="G246" s="17"/>
      <c r="H246" s="98">
        <f t="shared" si="24"/>
        <v>1900</v>
      </c>
      <c r="I246" s="98" t="str">
        <f t="shared" si="25"/>
        <v>4</v>
      </c>
    </row>
    <row r="247" spans="3:9">
      <c r="C247" s="17"/>
      <c r="D247" s="17"/>
      <c r="E247" s="17"/>
      <c r="F247" s="17"/>
      <c r="G247" s="17"/>
      <c r="H247" s="98">
        <f t="shared" si="24"/>
        <v>1900</v>
      </c>
      <c r="I247" s="98" t="str">
        <f t="shared" si="25"/>
        <v>4</v>
      </c>
    </row>
    <row r="248" spans="3:9">
      <c r="C248" s="17"/>
      <c r="D248" s="17"/>
      <c r="E248" s="17"/>
      <c r="F248" s="17"/>
      <c r="G248" s="17"/>
      <c r="H248" s="98">
        <f t="shared" si="24"/>
        <v>1900</v>
      </c>
      <c r="I248" s="98" t="str">
        <f t="shared" si="25"/>
        <v>4</v>
      </c>
    </row>
    <row r="249" spans="3:9">
      <c r="C249" s="17"/>
      <c r="D249" s="17"/>
      <c r="E249" s="17"/>
      <c r="F249" s="17"/>
      <c r="G249" s="17"/>
      <c r="H249" s="98">
        <f t="shared" si="24"/>
        <v>1900</v>
      </c>
      <c r="I249" s="98" t="str">
        <f t="shared" si="25"/>
        <v>4</v>
      </c>
    </row>
    <row r="250" spans="3:9">
      <c r="C250" s="17"/>
      <c r="D250" s="17"/>
      <c r="E250" s="17"/>
      <c r="F250" s="17"/>
      <c r="G250" s="17"/>
      <c r="H250" s="98">
        <f t="shared" si="24"/>
        <v>1900</v>
      </c>
      <c r="I250" s="98" t="str">
        <f t="shared" si="25"/>
        <v>4</v>
      </c>
    </row>
    <row r="251" spans="3:9">
      <c r="C251" s="17"/>
      <c r="D251" s="17"/>
      <c r="E251" s="17"/>
      <c r="F251" s="17"/>
      <c r="G251" s="17"/>
      <c r="H251" s="99"/>
      <c r="I251" s="99"/>
    </row>
    <row r="252" spans="3:9">
      <c r="C252" s="17"/>
      <c r="D252" s="17"/>
      <c r="E252" s="17"/>
      <c r="F252" s="17"/>
      <c r="G252" s="17"/>
      <c r="H252" s="99"/>
      <c r="I252" s="99"/>
    </row>
    <row r="253" spans="3:9">
      <c r="C253" s="17"/>
      <c r="D253" s="17"/>
      <c r="E253" s="17"/>
      <c r="F253" s="17"/>
      <c r="G253" s="17"/>
      <c r="H253" s="99"/>
      <c r="I253" s="99"/>
    </row>
    <row r="254" spans="3:9">
      <c r="C254" s="17"/>
      <c r="D254" s="17"/>
      <c r="E254" s="17"/>
      <c r="F254" s="17"/>
      <c r="G254" s="17"/>
      <c r="H254" s="99"/>
      <c r="I254" s="99"/>
    </row>
    <row r="255" spans="3:9">
      <c r="C255" s="17"/>
      <c r="D255" s="17"/>
      <c r="E255" s="17"/>
      <c r="F255" s="17"/>
      <c r="G255" s="17"/>
      <c r="H255" s="99"/>
      <c r="I255" s="99"/>
    </row>
    <row r="256" spans="3:9">
      <c r="C256" s="17"/>
      <c r="D256" s="17"/>
      <c r="E256" s="17"/>
      <c r="F256" s="17"/>
      <c r="G256" s="17"/>
      <c r="H256" s="99"/>
      <c r="I256" s="99"/>
    </row>
    <row r="257" spans="3:9">
      <c r="C257" s="17"/>
      <c r="D257" s="17"/>
      <c r="E257" s="17"/>
      <c r="F257" s="17"/>
      <c r="G257" s="17"/>
      <c r="H257" s="99"/>
      <c r="I257" s="99"/>
    </row>
    <row r="258" spans="3:9">
      <c r="C258" s="17"/>
      <c r="D258" s="17"/>
      <c r="E258" s="17"/>
      <c r="F258" s="17"/>
      <c r="G258" s="17"/>
      <c r="H258" s="99"/>
      <c r="I258" s="99"/>
    </row>
    <row r="259" spans="3:9">
      <c r="C259" s="17"/>
      <c r="D259" s="17"/>
      <c r="E259" s="17"/>
      <c r="F259" s="17"/>
      <c r="G259" s="17"/>
      <c r="H259" s="99"/>
      <c r="I259" s="99"/>
    </row>
    <row r="260" spans="3:9">
      <c r="C260" s="17"/>
      <c r="D260" s="17"/>
      <c r="E260" s="17"/>
      <c r="F260" s="17"/>
      <c r="G260" s="17"/>
      <c r="H260" s="99"/>
      <c r="I260" s="99"/>
    </row>
    <row r="261" spans="3:9">
      <c r="C261" s="17"/>
      <c r="D261" s="17"/>
      <c r="E261" s="17"/>
      <c r="F261" s="17"/>
      <c r="G261" s="17"/>
      <c r="H261" s="99"/>
      <c r="I261" s="99"/>
    </row>
    <row r="262" spans="3:9">
      <c r="C262" s="17"/>
      <c r="D262" s="17"/>
      <c r="E262" s="17"/>
      <c r="F262" s="17"/>
      <c r="G262" s="17"/>
      <c r="H262" s="99"/>
      <c r="I262" s="99"/>
    </row>
    <row r="263" spans="3:9">
      <c r="C263" s="17"/>
      <c r="D263" s="17"/>
      <c r="E263" s="17"/>
      <c r="F263" s="17"/>
      <c r="G263" s="17"/>
      <c r="H263" s="99"/>
      <c r="I263" s="99"/>
    </row>
    <row r="264" spans="3:9">
      <c r="C264" s="17"/>
      <c r="D264" s="17"/>
      <c r="E264" s="17"/>
      <c r="F264" s="17"/>
      <c r="G264" s="17"/>
      <c r="H264" s="99"/>
      <c r="I264" s="99"/>
    </row>
    <row r="265" spans="3:9">
      <c r="C265" s="17"/>
      <c r="D265" s="17"/>
      <c r="E265" s="17"/>
      <c r="F265" s="17"/>
      <c r="G265" s="17"/>
      <c r="H265" s="99"/>
      <c r="I265" s="99"/>
    </row>
    <row r="266" spans="3:9">
      <c r="C266" s="17"/>
      <c r="D266" s="17"/>
      <c r="E266" s="17"/>
      <c r="F266" s="17"/>
      <c r="G266" s="17"/>
      <c r="H266" s="99"/>
      <c r="I266" s="99"/>
    </row>
    <row r="267" spans="3:9">
      <c r="C267" s="17"/>
      <c r="D267" s="17"/>
      <c r="E267" s="17"/>
      <c r="F267" s="17"/>
      <c r="G267" s="17"/>
      <c r="H267" s="99"/>
      <c r="I267" s="99"/>
    </row>
    <row r="268" spans="3:9">
      <c r="C268" s="17"/>
      <c r="D268" s="17"/>
      <c r="E268" s="17"/>
      <c r="F268" s="17"/>
      <c r="G268" s="17"/>
      <c r="H268" s="99"/>
      <c r="I268" s="99"/>
    </row>
    <row r="269" spans="3:9">
      <c r="C269" s="17"/>
      <c r="D269" s="17"/>
      <c r="E269" s="17"/>
      <c r="F269" s="17"/>
      <c r="G269" s="17"/>
      <c r="H269" s="99"/>
      <c r="I269" s="99"/>
    </row>
    <row r="270" spans="3:9">
      <c r="C270" s="17"/>
      <c r="D270" s="17"/>
      <c r="E270" s="17"/>
      <c r="F270" s="17"/>
      <c r="G270" s="17"/>
      <c r="H270" s="99"/>
      <c r="I270" s="99"/>
    </row>
    <row r="271" spans="3:9">
      <c r="C271" s="17"/>
      <c r="D271" s="17"/>
      <c r="E271" s="17"/>
      <c r="F271" s="17"/>
      <c r="G271" s="17"/>
      <c r="H271" s="99"/>
      <c r="I271" s="99"/>
    </row>
    <row r="272" spans="3:9">
      <c r="C272" s="17"/>
      <c r="D272" s="17"/>
      <c r="E272" s="17"/>
      <c r="F272" s="17"/>
      <c r="G272" s="17"/>
      <c r="H272" s="99"/>
      <c r="I272" s="99"/>
    </row>
    <row r="273" spans="3:9">
      <c r="C273" s="17"/>
      <c r="D273" s="17"/>
      <c r="E273" s="17"/>
      <c r="F273" s="17"/>
      <c r="G273" s="17"/>
      <c r="H273" s="99"/>
      <c r="I273" s="99"/>
    </row>
    <row r="274" spans="3:9">
      <c r="C274" s="17"/>
      <c r="D274" s="17"/>
      <c r="E274" s="17"/>
      <c r="F274" s="17"/>
      <c r="G274" s="17"/>
      <c r="H274" s="99"/>
      <c r="I274" s="99"/>
    </row>
    <row r="275" spans="3:9">
      <c r="C275" s="17"/>
      <c r="D275" s="17"/>
      <c r="E275" s="17"/>
      <c r="F275" s="17"/>
      <c r="G275" s="17"/>
      <c r="H275" s="99"/>
      <c r="I275" s="99"/>
    </row>
    <row r="276" spans="3:9">
      <c r="C276" s="17"/>
      <c r="D276" s="17"/>
      <c r="E276" s="17"/>
      <c r="F276" s="17"/>
      <c r="G276" s="17"/>
      <c r="H276" s="99"/>
      <c r="I276" s="99"/>
    </row>
    <row r="277" spans="3:9">
      <c r="C277" s="17"/>
      <c r="D277" s="17"/>
      <c r="E277" s="17"/>
      <c r="F277" s="17"/>
      <c r="G277" s="17"/>
      <c r="H277" s="99"/>
      <c r="I277" s="99"/>
    </row>
    <row r="278" spans="3:9">
      <c r="C278" s="17"/>
      <c r="D278" s="17"/>
      <c r="E278" s="17"/>
      <c r="F278" s="17"/>
      <c r="G278" s="17"/>
      <c r="H278" s="99"/>
      <c r="I278" s="99"/>
    </row>
    <row r="279" spans="3:9">
      <c r="C279" s="17"/>
      <c r="D279" s="17"/>
      <c r="E279" s="17"/>
      <c r="F279" s="17"/>
      <c r="G279" s="17"/>
      <c r="H279" s="99"/>
      <c r="I279" s="99"/>
    </row>
    <row r="280" spans="3:9">
      <c r="C280" s="17"/>
      <c r="D280" s="17"/>
      <c r="E280" s="17"/>
      <c r="F280" s="17"/>
      <c r="G280" s="17"/>
      <c r="H280" s="99"/>
      <c r="I280" s="99"/>
    </row>
    <row r="281" spans="3:9">
      <c r="C281" s="17"/>
      <c r="D281" s="17"/>
      <c r="E281" s="17"/>
      <c r="F281" s="17"/>
      <c r="G281" s="17"/>
      <c r="H281" s="99"/>
      <c r="I281" s="99"/>
    </row>
    <row r="282" spans="3:9">
      <c r="C282" s="17"/>
      <c r="D282" s="17"/>
      <c r="E282" s="17"/>
      <c r="F282" s="17"/>
      <c r="G282" s="17"/>
      <c r="H282" s="99"/>
      <c r="I282" s="99"/>
    </row>
    <row r="283" spans="3:9">
      <c r="C283" s="17"/>
      <c r="D283" s="17"/>
      <c r="E283" s="17"/>
      <c r="F283" s="17"/>
      <c r="G283" s="17"/>
      <c r="H283" s="99"/>
      <c r="I283" s="99"/>
    </row>
    <row r="284" spans="3:9">
      <c r="C284" s="17"/>
      <c r="D284" s="17"/>
      <c r="E284" s="17"/>
      <c r="F284" s="17"/>
      <c r="G284" s="17"/>
      <c r="H284" s="99"/>
      <c r="I284" s="99"/>
    </row>
    <row r="285" spans="3:9">
      <c r="C285" s="17"/>
      <c r="D285" s="17"/>
      <c r="E285" s="17"/>
      <c r="F285" s="17"/>
      <c r="G285" s="17"/>
      <c r="H285" s="99"/>
      <c r="I285" s="99"/>
    </row>
    <row r="286" spans="3:9">
      <c r="C286" s="17"/>
      <c r="D286" s="17"/>
      <c r="E286" s="17"/>
      <c r="F286" s="17"/>
      <c r="G286" s="17"/>
      <c r="H286" s="99"/>
      <c r="I286" s="99"/>
    </row>
    <row r="287" spans="3:9">
      <c r="C287" s="17"/>
      <c r="D287" s="17"/>
      <c r="E287" s="17"/>
      <c r="F287" s="17"/>
      <c r="G287" s="17"/>
      <c r="H287" s="99"/>
      <c r="I287" s="99"/>
    </row>
    <row r="288" spans="3:9">
      <c r="C288" s="17"/>
      <c r="D288" s="17"/>
      <c r="E288" s="17"/>
      <c r="F288" s="17"/>
      <c r="G288" s="17"/>
      <c r="H288" s="99"/>
      <c r="I288" s="99"/>
    </row>
    <row r="289" spans="3:9">
      <c r="C289" s="17"/>
      <c r="D289" s="17"/>
      <c r="E289" s="17"/>
      <c r="F289" s="17"/>
      <c r="G289" s="17"/>
      <c r="H289" s="99"/>
      <c r="I289" s="99"/>
    </row>
    <row r="290" spans="3:9">
      <c r="C290" s="17"/>
      <c r="D290" s="17"/>
      <c r="E290" s="17"/>
      <c r="F290" s="17"/>
      <c r="G290" s="17"/>
      <c r="H290" s="99"/>
      <c r="I290" s="99"/>
    </row>
    <row r="291" spans="3:9">
      <c r="C291" s="17"/>
      <c r="D291" s="17"/>
      <c r="E291" s="17"/>
      <c r="F291" s="17"/>
      <c r="G291" s="17"/>
      <c r="H291" s="99"/>
      <c r="I291" s="99"/>
    </row>
    <row r="292" spans="3:9">
      <c r="C292" s="17"/>
      <c r="D292" s="17"/>
      <c r="E292" s="17"/>
      <c r="F292" s="17"/>
      <c r="G292" s="17"/>
      <c r="H292" s="99"/>
      <c r="I292" s="99"/>
    </row>
    <row r="293" spans="3:9">
      <c r="C293" s="17"/>
      <c r="D293" s="17"/>
      <c r="E293" s="17"/>
      <c r="F293" s="17"/>
      <c r="G293" s="17"/>
      <c r="H293" s="99"/>
      <c r="I293" s="99"/>
    </row>
    <row r="294" spans="3:9">
      <c r="C294" s="17"/>
      <c r="D294" s="17"/>
      <c r="E294" s="17"/>
      <c r="F294" s="17"/>
      <c r="G294" s="17"/>
      <c r="H294" s="99"/>
      <c r="I294" s="99"/>
    </row>
    <row r="295" spans="3:9">
      <c r="C295" s="17"/>
      <c r="D295" s="17"/>
      <c r="E295" s="17"/>
      <c r="F295" s="17"/>
      <c r="G295" s="17"/>
      <c r="H295" s="99"/>
      <c r="I295" s="99"/>
    </row>
    <row r="296" spans="3:9">
      <c r="C296" s="17"/>
      <c r="D296" s="17"/>
      <c r="E296" s="17"/>
      <c r="F296" s="17"/>
      <c r="G296" s="17"/>
      <c r="H296" s="99"/>
      <c r="I296" s="99"/>
    </row>
    <row r="297" spans="3:9">
      <c r="C297" s="17"/>
      <c r="D297" s="17"/>
      <c r="E297" s="17"/>
      <c r="F297" s="17"/>
      <c r="G297" s="17"/>
      <c r="H297" s="99"/>
      <c r="I297" s="99"/>
    </row>
    <row r="298" spans="3:9">
      <c r="C298" s="17"/>
      <c r="D298" s="17"/>
      <c r="E298" s="17"/>
      <c r="F298" s="17"/>
      <c r="G298" s="17"/>
      <c r="H298" s="99"/>
      <c r="I298" s="99"/>
    </row>
    <row r="299" spans="3:9">
      <c r="C299" s="17"/>
      <c r="D299" s="17"/>
      <c r="E299" s="17"/>
      <c r="F299" s="17"/>
      <c r="G299" s="17"/>
      <c r="H299" s="99"/>
      <c r="I299" s="99"/>
    </row>
    <row r="300" spans="3:9">
      <c r="C300" s="17"/>
      <c r="D300" s="17"/>
      <c r="E300" s="17"/>
      <c r="F300" s="17"/>
      <c r="G300" s="17"/>
      <c r="H300" s="99"/>
      <c r="I300" s="99"/>
    </row>
    <row r="301" spans="3:9">
      <c r="C301" s="17"/>
      <c r="D301" s="17"/>
      <c r="E301" s="17"/>
      <c r="F301" s="17"/>
      <c r="G301" s="17"/>
      <c r="H301" s="99"/>
      <c r="I301" s="99"/>
    </row>
    <row r="302" spans="3:9">
      <c r="C302" s="17"/>
      <c r="D302" s="17"/>
      <c r="E302" s="17"/>
      <c r="F302" s="17"/>
      <c r="G302" s="17"/>
      <c r="H302" s="99"/>
      <c r="I302" s="99"/>
    </row>
    <row r="303" spans="3:9">
      <c r="C303" s="17"/>
      <c r="D303" s="17"/>
      <c r="E303" s="17"/>
      <c r="F303" s="17"/>
      <c r="G303" s="17"/>
      <c r="H303" s="99"/>
      <c r="I303" s="99"/>
    </row>
    <row r="304" spans="3:9">
      <c r="C304" s="17"/>
      <c r="D304" s="17"/>
      <c r="E304" s="17"/>
      <c r="F304" s="17"/>
      <c r="G304" s="17"/>
      <c r="H304" s="99"/>
      <c r="I304" s="99"/>
    </row>
    <row r="305" spans="3:9">
      <c r="C305" s="17"/>
      <c r="D305" s="17"/>
      <c r="E305" s="17"/>
      <c r="F305" s="17"/>
      <c r="G305" s="17"/>
      <c r="H305" s="99"/>
      <c r="I305" s="99"/>
    </row>
    <row r="306" spans="3:9">
      <c r="C306" s="17"/>
      <c r="D306" s="17"/>
      <c r="E306" s="17"/>
      <c r="F306" s="17"/>
      <c r="G306" s="17"/>
      <c r="H306" s="99"/>
      <c r="I306" s="99"/>
    </row>
    <row r="307" spans="3:9">
      <c r="C307" s="17"/>
      <c r="D307" s="17"/>
      <c r="E307" s="17"/>
      <c r="F307" s="17"/>
      <c r="G307" s="17"/>
      <c r="H307" s="99"/>
      <c r="I307" s="99"/>
    </row>
    <row r="308" spans="3:9">
      <c r="C308" s="17"/>
      <c r="D308" s="17"/>
      <c r="E308" s="17"/>
      <c r="F308" s="17"/>
      <c r="G308" s="17"/>
      <c r="H308" s="99"/>
      <c r="I308" s="99"/>
    </row>
    <row r="309" spans="3:9">
      <c r="C309" s="17"/>
      <c r="D309" s="17"/>
      <c r="E309" s="17"/>
      <c r="F309" s="17"/>
      <c r="G309" s="17"/>
      <c r="H309" s="99"/>
      <c r="I309" s="99"/>
    </row>
    <row r="310" spans="3:9">
      <c r="C310" s="17"/>
      <c r="D310" s="17"/>
      <c r="E310" s="17"/>
      <c r="F310" s="17"/>
      <c r="G310" s="17"/>
      <c r="H310" s="99"/>
      <c r="I310" s="99"/>
    </row>
    <row r="311" spans="3:9">
      <c r="C311" s="17"/>
      <c r="D311" s="17"/>
      <c r="E311" s="17"/>
      <c r="F311" s="17"/>
      <c r="G311" s="17"/>
      <c r="H311" s="99"/>
      <c r="I311" s="99"/>
    </row>
    <row r="312" spans="3:9">
      <c r="C312" s="17"/>
      <c r="D312" s="17"/>
      <c r="E312" s="17"/>
      <c r="F312" s="17"/>
      <c r="G312" s="17"/>
      <c r="H312" s="99"/>
      <c r="I312" s="99"/>
    </row>
    <row r="313" spans="3:9">
      <c r="C313" s="17"/>
      <c r="D313" s="17"/>
      <c r="E313" s="17"/>
      <c r="F313" s="17"/>
      <c r="G313" s="17"/>
      <c r="H313" s="99"/>
      <c r="I313" s="99"/>
    </row>
    <row r="314" spans="3:9">
      <c r="C314" s="17"/>
      <c r="D314" s="17"/>
      <c r="E314" s="17"/>
      <c r="F314" s="17"/>
      <c r="G314" s="17"/>
      <c r="H314" s="99"/>
      <c r="I314" s="99"/>
    </row>
    <row r="315" spans="3:9">
      <c r="C315" s="17"/>
      <c r="D315" s="17"/>
      <c r="E315" s="17"/>
      <c r="F315" s="17"/>
      <c r="G315" s="17"/>
      <c r="H315" s="99"/>
      <c r="I315" s="99"/>
    </row>
    <row r="316" spans="3:9">
      <c r="C316" s="17"/>
      <c r="D316" s="17"/>
      <c r="E316" s="17"/>
      <c r="F316" s="17"/>
      <c r="G316" s="17"/>
      <c r="H316" s="99"/>
      <c r="I316" s="99"/>
    </row>
    <row r="317" spans="3:9">
      <c r="C317" s="17"/>
      <c r="D317" s="17"/>
      <c r="E317" s="17"/>
      <c r="F317" s="17"/>
      <c r="G317" s="17"/>
      <c r="H317" s="99"/>
      <c r="I317" s="99"/>
    </row>
    <row r="318" spans="3:9">
      <c r="C318" s="17"/>
      <c r="D318" s="17"/>
      <c r="E318" s="17"/>
      <c r="F318" s="17"/>
      <c r="G318" s="17"/>
      <c r="H318" s="99"/>
      <c r="I318" s="99"/>
    </row>
    <row r="319" spans="3:9">
      <c r="C319" s="17"/>
      <c r="D319" s="17"/>
      <c r="E319" s="17"/>
      <c r="F319" s="17"/>
      <c r="G319" s="17"/>
      <c r="H319" s="99"/>
      <c r="I319" s="99"/>
    </row>
    <row r="320" spans="3:9">
      <c r="C320" s="17"/>
      <c r="D320" s="17"/>
      <c r="E320" s="17"/>
      <c r="F320" s="17"/>
      <c r="G320" s="17"/>
      <c r="H320" s="99"/>
      <c r="I320" s="99"/>
    </row>
    <row r="321" spans="3:9">
      <c r="C321" s="17"/>
      <c r="D321" s="17"/>
      <c r="E321" s="17"/>
      <c r="F321" s="17"/>
      <c r="G321" s="17"/>
      <c r="H321" s="99"/>
      <c r="I321" s="99"/>
    </row>
    <row r="322" spans="3:9">
      <c r="C322" s="17"/>
      <c r="D322" s="17"/>
      <c r="E322" s="17"/>
      <c r="F322" s="17"/>
      <c r="G322" s="17"/>
      <c r="H322" s="99"/>
      <c r="I322" s="99"/>
    </row>
    <row r="323" spans="3:9">
      <c r="C323" s="17"/>
      <c r="D323" s="17"/>
      <c r="E323" s="17"/>
      <c r="F323" s="17"/>
      <c r="G323" s="17"/>
      <c r="H323" s="99"/>
      <c r="I323" s="99"/>
    </row>
    <row r="324" spans="3:9">
      <c r="C324" s="17"/>
      <c r="D324" s="17"/>
      <c r="E324" s="17"/>
      <c r="F324" s="17"/>
      <c r="G324" s="17"/>
      <c r="H324" s="99"/>
      <c r="I324" s="99"/>
    </row>
    <row r="325" spans="3:9">
      <c r="C325" s="17"/>
      <c r="D325" s="17"/>
      <c r="E325" s="17"/>
      <c r="F325" s="17"/>
      <c r="G325" s="17"/>
      <c r="H325" s="99"/>
      <c r="I325" s="99"/>
    </row>
    <row r="326" spans="3:9">
      <c r="C326" s="17"/>
      <c r="D326" s="17"/>
      <c r="E326" s="17"/>
      <c r="F326" s="17"/>
      <c r="G326" s="17"/>
      <c r="H326" s="99"/>
      <c r="I326" s="99"/>
    </row>
    <row r="327" spans="3:9">
      <c r="C327" s="17"/>
      <c r="D327" s="17"/>
      <c r="E327" s="17"/>
      <c r="F327" s="17"/>
      <c r="G327" s="17"/>
      <c r="H327" s="99"/>
      <c r="I327" s="99"/>
    </row>
    <row r="328" spans="3:9">
      <c r="C328" s="17"/>
      <c r="D328" s="17"/>
      <c r="E328" s="17"/>
      <c r="F328" s="17"/>
      <c r="G328" s="17"/>
      <c r="H328" s="99"/>
      <c r="I328" s="99"/>
    </row>
    <row r="329" spans="3:9">
      <c r="C329" s="17"/>
      <c r="D329" s="17"/>
      <c r="E329" s="17"/>
      <c r="F329" s="17"/>
      <c r="G329" s="17"/>
      <c r="H329" s="99"/>
      <c r="I329" s="99"/>
    </row>
    <row r="330" spans="3:9">
      <c r="C330" s="17"/>
      <c r="D330" s="17"/>
      <c r="E330" s="17"/>
      <c r="F330" s="17"/>
      <c r="G330" s="17"/>
      <c r="H330" s="99"/>
      <c r="I330" s="99"/>
    </row>
    <row r="331" spans="3:9">
      <c r="C331" s="17"/>
      <c r="D331" s="17"/>
      <c r="E331" s="17"/>
      <c r="F331" s="17"/>
      <c r="G331" s="17"/>
      <c r="H331" s="99"/>
      <c r="I331" s="99"/>
    </row>
    <row r="332" spans="3:9">
      <c r="C332" s="17"/>
      <c r="D332" s="17"/>
      <c r="E332" s="17"/>
      <c r="F332" s="17"/>
      <c r="G332" s="17"/>
      <c r="H332" s="99"/>
      <c r="I332" s="99"/>
    </row>
    <row r="333" spans="3:9">
      <c r="C333" s="17"/>
      <c r="D333" s="17"/>
      <c r="E333" s="17"/>
      <c r="F333" s="17"/>
      <c r="G333" s="17"/>
      <c r="H333" s="99"/>
      <c r="I333" s="99"/>
    </row>
    <row r="334" spans="3:9">
      <c r="C334" s="17"/>
      <c r="D334" s="17"/>
      <c r="E334" s="17"/>
      <c r="F334" s="17"/>
      <c r="G334" s="17"/>
      <c r="H334" s="99"/>
      <c r="I334" s="99"/>
    </row>
    <row r="335" spans="3:9">
      <c r="C335" s="17"/>
      <c r="D335" s="17"/>
      <c r="E335" s="17"/>
      <c r="F335" s="17"/>
      <c r="G335" s="17"/>
      <c r="H335" s="99"/>
      <c r="I335" s="99"/>
    </row>
    <row r="336" spans="3:9">
      <c r="C336" s="17"/>
      <c r="D336" s="17"/>
      <c r="E336" s="17"/>
      <c r="F336" s="17"/>
      <c r="G336" s="17"/>
      <c r="H336" s="99"/>
      <c r="I336" s="99"/>
    </row>
    <row r="337" spans="3:9">
      <c r="C337" s="17"/>
      <c r="D337" s="17"/>
      <c r="E337" s="17"/>
      <c r="F337" s="17"/>
      <c r="G337" s="17"/>
      <c r="H337" s="99"/>
      <c r="I337" s="99"/>
    </row>
    <row r="338" spans="3:9">
      <c r="C338" s="17"/>
      <c r="D338" s="17"/>
      <c r="E338" s="17"/>
      <c r="F338" s="17"/>
      <c r="G338" s="17"/>
      <c r="H338" s="99"/>
      <c r="I338" s="99"/>
    </row>
    <row r="339" spans="3:9">
      <c r="C339" s="17"/>
      <c r="D339" s="17"/>
      <c r="E339" s="17"/>
      <c r="F339" s="17"/>
      <c r="G339" s="17"/>
      <c r="H339" s="99"/>
      <c r="I339" s="99"/>
    </row>
    <row r="340" spans="3:9">
      <c r="C340" s="17"/>
      <c r="D340" s="17"/>
      <c r="E340" s="17"/>
      <c r="F340" s="17"/>
      <c r="G340" s="17"/>
      <c r="H340" s="99"/>
      <c r="I340" s="99"/>
    </row>
    <row r="341" spans="3:9">
      <c r="C341" s="17"/>
      <c r="D341" s="17"/>
      <c r="E341" s="17"/>
      <c r="F341" s="17"/>
      <c r="G341" s="17"/>
      <c r="H341" s="99"/>
      <c r="I341" s="99"/>
    </row>
    <row r="342" spans="3:9">
      <c r="C342" s="17"/>
      <c r="D342" s="17"/>
      <c r="E342" s="17"/>
      <c r="F342" s="17"/>
      <c r="G342" s="17"/>
      <c r="H342" s="99"/>
      <c r="I342" s="99"/>
    </row>
    <row r="343" spans="3:9">
      <c r="C343" s="17"/>
      <c r="D343" s="17"/>
      <c r="E343" s="17"/>
      <c r="F343" s="17"/>
      <c r="G343" s="17"/>
      <c r="H343" s="99"/>
      <c r="I343" s="99"/>
    </row>
    <row r="344" spans="3:9">
      <c r="C344" s="17"/>
      <c r="D344" s="17"/>
      <c r="E344" s="17"/>
      <c r="F344" s="17"/>
      <c r="G344" s="17"/>
      <c r="H344" s="99"/>
      <c r="I344" s="99"/>
    </row>
    <row r="345" spans="3:9">
      <c r="C345" s="17"/>
      <c r="D345" s="17"/>
      <c r="E345" s="17"/>
      <c r="F345" s="17"/>
      <c r="G345" s="17"/>
      <c r="H345" s="99"/>
      <c r="I345" s="99"/>
    </row>
    <row r="346" spans="3:9">
      <c r="C346" s="17"/>
      <c r="D346" s="17"/>
      <c r="E346" s="17"/>
      <c r="F346" s="17"/>
      <c r="G346" s="17"/>
      <c r="H346" s="99"/>
      <c r="I346" s="99"/>
    </row>
    <row r="347" spans="3:9">
      <c r="C347" s="17"/>
      <c r="D347" s="17"/>
      <c r="E347" s="17"/>
      <c r="F347" s="17"/>
      <c r="G347" s="17"/>
      <c r="H347" s="99"/>
      <c r="I347" s="99"/>
    </row>
    <row r="348" spans="3:9">
      <c r="C348" s="17"/>
      <c r="D348" s="17"/>
      <c r="E348" s="17"/>
      <c r="F348" s="17"/>
      <c r="G348" s="17"/>
      <c r="H348" s="99"/>
      <c r="I348" s="99"/>
    </row>
    <row r="349" spans="3:9">
      <c r="C349" s="17"/>
      <c r="D349" s="17"/>
      <c r="E349" s="17"/>
      <c r="F349" s="17"/>
      <c r="G349" s="17"/>
      <c r="H349" s="99"/>
      <c r="I349" s="99"/>
    </row>
    <row r="350" spans="3:9">
      <c r="C350" s="17"/>
      <c r="D350" s="17"/>
      <c r="E350" s="17"/>
      <c r="F350" s="17"/>
      <c r="G350" s="17"/>
      <c r="H350" s="99"/>
      <c r="I350" s="99"/>
    </row>
    <row r="351" spans="3:9">
      <c r="C351" s="17"/>
      <c r="D351" s="17"/>
      <c r="E351" s="17"/>
      <c r="F351" s="17"/>
      <c r="G351" s="17"/>
      <c r="H351" s="99"/>
      <c r="I351" s="99"/>
    </row>
    <row r="352" spans="3:9">
      <c r="C352" s="17"/>
      <c r="D352" s="17"/>
      <c r="E352" s="17"/>
      <c r="F352" s="17"/>
      <c r="G352" s="17"/>
      <c r="H352" s="99"/>
      <c r="I352" s="99"/>
    </row>
    <row r="353" spans="3:9">
      <c r="C353" s="17"/>
      <c r="D353" s="17"/>
      <c r="E353" s="17"/>
      <c r="F353" s="17"/>
      <c r="G353" s="17"/>
      <c r="H353" s="99"/>
      <c r="I353" s="99"/>
    </row>
    <row r="354" spans="3:9">
      <c r="C354" s="17"/>
      <c r="D354" s="17"/>
      <c r="E354" s="17"/>
      <c r="F354" s="17"/>
      <c r="G354" s="17"/>
      <c r="H354" s="99"/>
      <c r="I354" s="99"/>
    </row>
    <row r="355" spans="3:9">
      <c r="C355" s="17"/>
      <c r="D355" s="17"/>
      <c r="E355" s="17"/>
      <c r="F355" s="17"/>
      <c r="G355" s="17"/>
      <c r="H355" s="99"/>
      <c r="I355" s="99"/>
    </row>
    <row r="356" spans="3:9">
      <c r="C356" s="17"/>
      <c r="D356" s="17"/>
      <c r="E356" s="17"/>
      <c r="F356" s="17"/>
      <c r="G356" s="17"/>
      <c r="H356" s="99"/>
      <c r="I356" s="99"/>
    </row>
    <row r="357" spans="3:9">
      <c r="C357" s="17"/>
      <c r="D357" s="17"/>
      <c r="E357" s="17"/>
      <c r="F357" s="17"/>
      <c r="G357" s="17"/>
      <c r="H357" s="99"/>
      <c r="I357" s="99"/>
    </row>
    <row r="358" spans="3:9">
      <c r="C358" s="17"/>
      <c r="D358" s="17"/>
      <c r="E358" s="17"/>
      <c r="F358" s="17"/>
      <c r="G358" s="17"/>
      <c r="H358" s="99"/>
      <c r="I358" s="99"/>
    </row>
    <row r="359" spans="3:9">
      <c r="C359" s="17"/>
      <c r="D359" s="17"/>
      <c r="E359" s="17"/>
      <c r="F359" s="17"/>
      <c r="G359" s="17"/>
      <c r="H359" s="99"/>
      <c r="I359" s="99"/>
    </row>
    <row r="360" spans="3:9">
      <c r="H360" s="99"/>
      <c r="I360" s="99"/>
    </row>
    <row r="361" spans="3:9">
      <c r="H361" s="99"/>
      <c r="I361" s="99"/>
    </row>
    <row r="362" spans="3:9">
      <c r="H362" s="99"/>
      <c r="I362" s="99"/>
    </row>
    <row r="363" spans="3:9">
      <c r="H363" s="99"/>
      <c r="I363" s="99"/>
    </row>
    <row r="364" spans="3:9">
      <c r="H364" s="99"/>
      <c r="I364" s="99"/>
    </row>
    <row r="365" spans="3:9">
      <c r="H365" s="99"/>
      <c r="I365" s="99"/>
    </row>
    <row r="366" spans="3:9">
      <c r="H366" s="99"/>
      <c r="I366" s="99"/>
    </row>
  </sheetData>
  <mergeCells count="15">
    <mergeCell ref="K24:Q24"/>
    <mergeCell ref="L25:M25"/>
    <mergeCell ref="N25:O25"/>
    <mergeCell ref="P25:Q25"/>
    <mergeCell ref="L9:M9"/>
    <mergeCell ref="N9:O9"/>
    <mergeCell ref="P9:Q9"/>
    <mergeCell ref="L23:Q23"/>
    <mergeCell ref="K7:Q7"/>
    <mergeCell ref="K8:Q8"/>
    <mergeCell ref="A5:G5"/>
    <mergeCell ref="A6:G6"/>
    <mergeCell ref="B7:C7"/>
    <mergeCell ref="D7:E7"/>
    <mergeCell ref="F7:G7"/>
  </mergeCells>
  <dataValidations count="1">
    <dataValidation type="list" allowBlank="1" showInputMessage="1" showErrorMessage="1" promptTitle="Select a Period:" prompt="Select Financial or Calendar years." sqref="L23:Q23">
      <formula1>$A$1:$A$2</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6B4E8"/>
  </sheetPr>
  <dimension ref="A1:AA68"/>
  <sheetViews>
    <sheetView showGridLines="0" zoomScaleNormal="100" workbookViewId="0">
      <selection activeCell="V56" sqref="V56"/>
    </sheetView>
  </sheetViews>
  <sheetFormatPr defaultRowHeight="15"/>
  <cols>
    <col min="1" max="1" width="9.28515625" style="106" customWidth="1"/>
    <col min="2" max="2" width="14.85546875" style="106" customWidth="1"/>
    <col min="3" max="3" width="15.42578125" style="106" customWidth="1"/>
    <col min="4" max="4" width="14" style="106" customWidth="1"/>
    <col min="5" max="5" width="7.85546875" style="106" customWidth="1"/>
    <col min="6" max="7" width="7.85546875" style="333" hidden="1" customWidth="1"/>
    <col min="8" max="8" width="12.42578125" style="106" customWidth="1"/>
    <col min="9" max="11" width="19.7109375" style="106" customWidth="1"/>
    <col min="12" max="14" width="0" style="106" hidden="1" customWidth="1"/>
    <col min="15" max="16384" width="9.140625" style="106"/>
  </cols>
  <sheetData>
    <row r="1" spans="1:27">
      <c r="AA1" s="342" t="s">
        <v>463</v>
      </c>
    </row>
    <row r="2" spans="1:27">
      <c r="AA2" s="342" t="s">
        <v>464</v>
      </c>
    </row>
    <row r="3" spans="1:27">
      <c r="J3" s="343"/>
    </row>
    <row r="5" spans="1:27">
      <c r="A5" s="1981" t="s">
        <v>701</v>
      </c>
      <c r="B5" s="1981"/>
      <c r="C5" s="1981"/>
      <c r="D5" s="1981"/>
      <c r="E5" s="10"/>
      <c r="F5" s="128"/>
      <c r="G5" s="128"/>
      <c r="H5" s="1981" t="s">
        <v>702</v>
      </c>
      <c r="I5" s="1981"/>
      <c r="J5" s="1981"/>
      <c r="K5" s="1981"/>
    </row>
    <row r="6" spans="1:27" ht="15.75" thickBot="1">
      <c r="A6" s="1988" t="s">
        <v>703</v>
      </c>
      <c r="B6" s="1988"/>
      <c r="C6" s="1988"/>
      <c r="D6" s="1988"/>
      <c r="E6" s="10"/>
      <c r="F6" s="128"/>
      <c r="G6" s="128"/>
      <c r="H6" s="1981" t="str">
        <f>H46</f>
        <v>Historic Financial Year</v>
      </c>
      <c r="I6" s="1981"/>
      <c r="J6" s="1981"/>
      <c r="K6" s="1981"/>
    </row>
    <row r="7" spans="1:27">
      <c r="A7" s="109"/>
      <c r="B7" s="108" t="s">
        <v>375</v>
      </c>
      <c r="C7" s="108" t="s">
        <v>374</v>
      </c>
      <c r="D7" s="111" t="s">
        <v>376</v>
      </c>
      <c r="E7" s="10"/>
      <c r="F7" s="128"/>
      <c r="G7" s="128"/>
      <c r="H7" s="109"/>
      <c r="I7" s="108" t="s">
        <v>375</v>
      </c>
      <c r="J7" s="108" t="s">
        <v>374</v>
      </c>
      <c r="K7" s="111" t="s">
        <v>376</v>
      </c>
    </row>
    <row r="8" spans="1:27" s="777" customFormat="1" ht="15.75" thickBot="1">
      <c r="A8" s="1466" t="s">
        <v>676</v>
      </c>
      <c r="B8" s="110" t="s">
        <v>683</v>
      </c>
      <c r="C8" s="110" t="s">
        <v>683</v>
      </c>
      <c r="D8" s="125" t="s">
        <v>683</v>
      </c>
      <c r="E8" s="776"/>
      <c r="F8" s="776"/>
      <c r="G8" s="776"/>
      <c r="H8" s="1466" t="s">
        <v>41</v>
      </c>
      <c r="I8" s="110" t="s">
        <v>683</v>
      </c>
      <c r="J8" s="110" t="s">
        <v>683</v>
      </c>
      <c r="K8" s="110" t="s">
        <v>683</v>
      </c>
    </row>
    <row r="9" spans="1:27">
      <c r="A9" s="599">
        <f>LARGE('Commodity Prices'!C$159:C$902,60)</f>
        <v>42552</v>
      </c>
      <c r="B9" s="778">
        <f>SUMIF('Commodity Prices'!$C$159:$C$902,$A9,'Commodity Prices'!N$159:N$902)</f>
        <v>6448.59</v>
      </c>
      <c r="C9" s="778">
        <f>SUMIF('Commodity Prices'!$C$159:$C$902,$A9,'Commodity Prices'!O$159:O$902)</f>
        <v>2436.7600000000002</v>
      </c>
      <c r="D9" s="779">
        <f>SUMIF('Commodity Prices'!$C$159:$C$902,$A9,'Commodity Prices'!P$159:P$902)</f>
        <v>2901.51</v>
      </c>
      <c r="E9" s="10"/>
      <c r="F9" s="128">
        <v>1986</v>
      </c>
      <c r="G9" s="128">
        <v>1987</v>
      </c>
      <c r="H9" s="775" t="str">
        <f>IF($H$6="Historic Calendar Year",1986,CONCATENATE(F9,"-",RIGHT(G9,2)))</f>
        <v>1986-87</v>
      </c>
      <c r="I9" s="726">
        <f t="array" ref="I9">IF($H$6="Historic Calendar Year",IFERROR(AVERAGE(IF($H9=YEAR('Commodity Prices'!C$100:C$1000),'Commodity Prices'!N$100:N$1000)),"NA"),IFERROR(IF(L9=0,"NA",L9),"NA"))</f>
        <v>2098.4100000000003</v>
      </c>
      <c r="J9" s="726">
        <f t="array" ref="J9">IF($H$6="Historic Calendar Year",IFERROR(AVERAGE(IF($H9=YEAR('Commodity Prices'!C$100:C$1000),'Commodity Prices'!O$100:O$1000)),"NA"),IFERROR(IF(M9=0,"NA",M9),"NA"))</f>
        <v>734.63038583970717</v>
      </c>
      <c r="K9" s="726">
        <f t="array" ref="K9">IF($H$6="Historic Calendar Year",IFERROR(AVERAGE(IF($H9=YEAR('Commodity Prices'!C$100:C$1000),'Commodity Prices'!P$100:P$1000)),"NA"),IFERROR(IF(N9=0,"NA",N9),"NA"))</f>
        <v>1223.1027656720946</v>
      </c>
      <c r="L9" s="106">
        <f>(SUMIFS('Commodity Prices'!$N$9:$N$2500,'Commodity Prices'!$A$9:$A$2500,'Alumina - Prices'!D8,'Commodity Prices'!$B$9:$B$2500,3)+
SUMIFS('Commodity Prices'!$N$9:$N$2500,'Commodity Prices'!$A$9:$A$2500,'Alumina - Prices'!D8,'Commodity Prices'!$B$9:$B$2500,4)+
SUMIFS('Commodity Prices'!$N$9:$N$2500,'Commodity Prices'!$A$9:$A$2500,'Alumina - Prices'!E8,'Commodity Prices'!$B$9:$B$2500,1)+
SUMIFS('Commodity Prices'!$N$9:$N$2500,'Commodity Prices'!$A$9:$A$2500,'Alumina - Prices'!E8,'Commodity Prices'!$B$9:$B$2500,2))
/(COUNTIFS('Commodity Prices'!$A$9:$A$2500,'Alumina - Prices'!D8,'Commodity Prices'!$B$9:$B$2500,3)+
COUNTIFS('Commodity Prices'!$A$9:$A$2500,'Alumina - Prices'!D8,'Commodity Prices'!$B$9:$B$2500,4)+
COUNTIFS('Commodity Prices'!$A$9:$A$2500,'Alumina - Prices'!E8,'Commodity Prices'!$B$9:$B$2500,1)+
COUNTIFS('Commodity Prices'!$A$9:$A$2500,'Alumina - Prices'!E8,'Commodity Prices'!$B$9:$B$2500,2))</f>
        <v>2098.4100000000003</v>
      </c>
      <c r="M9" s="106">
        <f>(SUMIFS('Commodity Prices'!$O$9:$O$2500,'Commodity Prices'!$A$9:$A$2500,'Alumina - Prices'!D8,'Commodity Prices'!$B$9:$B$2500,3)+
SUMIFS('Commodity Prices'!$O$9:$O$2500,'Commodity Prices'!$A$9:$A$2500,'Alumina - Prices'!D8,'Commodity Prices'!$B$9:$B$2500,4)+
SUMIFS('Commodity Prices'!$O$9:$O$2500,'Commodity Prices'!$A$9:$A$2500,'Alumina - Prices'!E8,'Commodity Prices'!$B$9:$B$2500,1)+
SUMIFS('Commodity Prices'!$O$9:$O$2500,'Commodity Prices'!$A$9:$A$2500,'Alumina - Prices'!E8,'Commodity Prices'!$B$9:$B$2500,2))
/(COUNTIFS('Commodity Prices'!$A$9:$A$2500,'Alumina - Prices'!D8,'Commodity Prices'!$B$9:$B$2500,3)+
COUNTIFS('Commodity Prices'!$A$9:$A$2500,'Alumina - Prices'!D8,'Commodity Prices'!$B$9:$B$2500,4)+
COUNTIFS('Commodity Prices'!$A$9:$A$2500,'Alumina - Prices'!E8,'Commodity Prices'!$B$9:$B$2500,1)+
COUNTIFS('Commodity Prices'!$A$9:$A$2500,'Alumina - Prices'!E8,'Commodity Prices'!$B$9:$B$2500,2))</f>
        <v>734.63038583970717</v>
      </c>
      <c r="N9" s="106">
        <f>(SUMIFS('Commodity Prices'!$P$9:$P$2500,'Commodity Prices'!$A$9:$A$2500,'Alumina - Prices'!D8,'Commodity Prices'!$B$9:$B$2500,3)+
SUMIFS('Commodity Prices'!$P$9:$P$2500,'Commodity Prices'!$A$9:$A$2500,'Alumina - Prices'!D8,'Commodity Prices'!$B$9:$B$2500,4)+
SUMIFS('Commodity Prices'!$P$9:$P$2500,'Commodity Prices'!$A$9:$A$2500,'Alumina - Prices'!E8,'Commodity Prices'!$B$9:$B$2500,1)+
SUMIFS('Commodity Prices'!$P$9:$P$2500,'Commodity Prices'!$A$9:$A$2500,'Alumina - Prices'!E8,'Commodity Prices'!$B$9:$B$2500,2))
/(COUNTIFS('Commodity Prices'!$A$9:$A$2500,'Alumina - Prices'!D8,'Commodity Prices'!$B$9:$B$2500,3)+
COUNTIFS('Commodity Prices'!$A$9:$A$2500,'Alumina - Prices'!D8,'Commodity Prices'!$B$9:$B$2500,4)+
COUNTIFS('Commodity Prices'!$A$9:$A$2500,'Alumina - Prices'!E8,'Commodity Prices'!$B$9:$B$2500,1)+
COUNTIFS('Commodity Prices'!$A$9:$A$2500,'Alumina - Prices'!E8,'Commodity Prices'!$B$9:$B$2500,2))</f>
        <v>1223.1027656720946</v>
      </c>
    </row>
    <row r="10" spans="1:27">
      <c r="A10" s="562">
        <f>LARGE('Commodity Prices'!C$159:C$902,59)</f>
        <v>42583</v>
      </c>
      <c r="B10" s="780">
        <f>SUMIF('Commodity Prices'!$C$159:$C$902,$A10,'Commodity Prices'!N$159:N$902)</f>
        <v>6241.91</v>
      </c>
      <c r="C10" s="780">
        <f>SUMIF('Commodity Prices'!$C$159:$C$902,$A10,'Commodity Prices'!O$159:O$902)</f>
        <v>2412.29</v>
      </c>
      <c r="D10" s="724">
        <f>SUMIF('Commodity Prices'!$C$159:$C$902,$A10,'Commodity Prices'!P$159:P$902)</f>
        <v>2994.59</v>
      </c>
      <c r="E10" s="10"/>
      <c r="F10" s="128">
        <f>F9+1</f>
        <v>1987</v>
      </c>
      <c r="G10" s="128">
        <f>G9+1</f>
        <v>1988</v>
      </c>
      <c r="H10" s="774" t="str">
        <f t="shared" ref="H10:H42" si="0">IF($H$6="Historic Calendar Year",H9+1,CONCATENATE(F10,"-",RIGHT(G10,2)))</f>
        <v>1987-88</v>
      </c>
      <c r="I10" s="781">
        <f t="array" ref="I10">IF($H$6="Historic Calendar Year",IFERROR(AVERAGE(IF($H10=YEAR('Commodity Prices'!C$100:C$1000),'Commodity Prices'!N$100:N$1000)),"NA"),IFERROR(IF(L10=0,"NA",L10),"NA"))</f>
        <v>3093.1</v>
      </c>
      <c r="J10" s="781">
        <f t="array" ref="J10">IF($H$6="Historic Calendar Year",IFERROR(AVERAGE(IF($H10=YEAR('Commodity Prices'!C$100:C$1000),'Commodity Prices'!O$100:O$1000)),"NA"),IFERROR(IF(M10=0,"NA",M10),"NA"))</f>
        <v>890.89775845354472</v>
      </c>
      <c r="K10" s="781">
        <f t="array" ref="K10">IF($H$6="Historic Calendar Year",IFERROR(AVERAGE(IF($H10=YEAR('Commodity Prices'!C$100:C$1000),'Commodity Prices'!P$100:P$1000)),"NA"),IFERROR(IF(N10=0,"NA",N10),"NA"))</f>
        <v>1286.4465668009154</v>
      </c>
      <c r="L10" s="333">
        <f>(SUMIFS('Commodity Prices'!$N$9:$N$2500,'Commodity Prices'!$A$9:$A$2500,'Alumina - Prices'!D9,'Commodity Prices'!$B$9:$B$2500,3)+
SUMIFS('Commodity Prices'!$N$9:$N$2500,'Commodity Prices'!$A$9:$A$2500,'Alumina - Prices'!D9,'Commodity Prices'!$B$9:$B$2500,4)+
SUMIFS('Commodity Prices'!$N$9:$N$2500,'Commodity Prices'!$A$9:$A$2500,'Alumina - Prices'!E9,'Commodity Prices'!$B$9:$B$2500,1)+
SUMIFS('Commodity Prices'!$N$9:$N$2500,'Commodity Prices'!$A$9:$A$2500,'Alumina - Prices'!E9,'Commodity Prices'!$B$9:$B$2500,2))
/(COUNTIFS('Commodity Prices'!$A$9:$A$2500,'Alumina - Prices'!D9,'Commodity Prices'!$B$9:$B$2500,3)+
COUNTIFS('Commodity Prices'!$A$9:$A$2500,'Alumina - Prices'!D9,'Commodity Prices'!$B$9:$B$2500,4)+
COUNTIFS('Commodity Prices'!$A$9:$A$2500,'Alumina - Prices'!E9,'Commodity Prices'!$B$9:$B$2500,1)+
COUNTIFS('Commodity Prices'!$A$9:$A$2500,'Alumina - Prices'!E9,'Commodity Prices'!$B$9:$B$2500,2))</f>
        <v>3093.1</v>
      </c>
      <c r="M10" s="333">
        <f>(SUMIFS('Commodity Prices'!$O$9:$O$2500,'Commodity Prices'!$A$9:$A$2500,'Alumina - Prices'!D9,'Commodity Prices'!$B$9:$B$2500,3)+
SUMIFS('Commodity Prices'!$O$9:$O$2500,'Commodity Prices'!$A$9:$A$2500,'Alumina - Prices'!D9,'Commodity Prices'!$B$9:$B$2500,4)+
SUMIFS('Commodity Prices'!$O$9:$O$2500,'Commodity Prices'!$A$9:$A$2500,'Alumina - Prices'!E9,'Commodity Prices'!$B$9:$B$2500,1)+
SUMIFS('Commodity Prices'!$O$9:$O$2500,'Commodity Prices'!$A$9:$A$2500,'Alumina - Prices'!E9,'Commodity Prices'!$B$9:$B$2500,2))
/(COUNTIFS('Commodity Prices'!$A$9:$A$2500,'Alumina - Prices'!D9,'Commodity Prices'!$B$9:$B$2500,3)+
COUNTIFS('Commodity Prices'!$A$9:$A$2500,'Alumina - Prices'!D9,'Commodity Prices'!$B$9:$B$2500,4)+
COUNTIFS('Commodity Prices'!$A$9:$A$2500,'Alumina - Prices'!E9,'Commodity Prices'!$B$9:$B$2500,1)+
COUNTIFS('Commodity Prices'!$A$9:$A$2500,'Alumina - Prices'!E9,'Commodity Prices'!$B$9:$B$2500,2))</f>
        <v>890.89775845354472</v>
      </c>
      <c r="N10" s="333">
        <f>(SUMIFS('Commodity Prices'!$P$9:$P$2500,'Commodity Prices'!$A$9:$A$2500,'Alumina - Prices'!D9,'Commodity Prices'!$B$9:$B$2500,3)+
SUMIFS('Commodity Prices'!$P$9:$P$2500,'Commodity Prices'!$A$9:$A$2500,'Alumina - Prices'!D9,'Commodity Prices'!$B$9:$B$2500,4)+
SUMIFS('Commodity Prices'!$P$9:$P$2500,'Commodity Prices'!$A$9:$A$2500,'Alumina - Prices'!E9,'Commodity Prices'!$B$9:$B$2500,1)+
SUMIFS('Commodity Prices'!$P$9:$P$2500,'Commodity Prices'!$A$9:$A$2500,'Alumina - Prices'!E9,'Commodity Prices'!$B$9:$B$2500,2))
/(COUNTIFS('Commodity Prices'!$A$9:$A$2500,'Alumina - Prices'!D9,'Commodity Prices'!$B$9:$B$2500,3)+
COUNTIFS('Commodity Prices'!$A$9:$A$2500,'Alumina - Prices'!D9,'Commodity Prices'!$B$9:$B$2500,4)+
COUNTIFS('Commodity Prices'!$A$9:$A$2500,'Alumina - Prices'!E9,'Commodity Prices'!$B$9:$B$2500,1)+
COUNTIFS('Commodity Prices'!$A$9:$A$2500,'Alumina - Prices'!E9,'Commodity Prices'!$B$9:$B$2500,2))</f>
        <v>1286.4465668009154</v>
      </c>
    </row>
    <row r="11" spans="1:27">
      <c r="A11" s="599">
        <f>LARGE('Commodity Prices'!C$159:C$902,58)</f>
        <v>42614</v>
      </c>
      <c r="B11" s="778">
        <f>SUMIF('Commodity Prices'!$C$159:$C$902,$A11,'Commodity Prices'!N$159:N$902)</f>
        <v>6200.19</v>
      </c>
      <c r="C11" s="778">
        <f>SUMIF('Commodity Prices'!$C$159:$C$902,$A11,'Commodity Prices'!O$159:O$902)</f>
        <v>2557.9899999999998</v>
      </c>
      <c r="D11" s="781">
        <f>SUMIF('Commodity Prices'!$C$159:$C$902,$A11,'Commodity Prices'!P$159:P$902)</f>
        <v>3020.02</v>
      </c>
      <c r="E11" s="10"/>
      <c r="F11" s="128">
        <f t="shared" ref="F11:G26" si="1">F10+1</f>
        <v>1988</v>
      </c>
      <c r="G11" s="128">
        <f t="shared" si="1"/>
        <v>1989</v>
      </c>
      <c r="H11" s="775" t="str">
        <f t="shared" si="0"/>
        <v>1988-89</v>
      </c>
      <c r="I11" s="724">
        <f t="array" ref="I11">IF($H$6="Historic Calendar Year",IFERROR(AVERAGE(IF($H11=YEAR('Commodity Prices'!C$100:C$1000),'Commodity Prices'!N$100:N$1000)),"NA"),IFERROR(IF(L11=0,"NA",L11),"NA"))</f>
        <v>3558.0791666666664</v>
      </c>
      <c r="J11" s="724">
        <f t="array" ref="J11">IF($H$6="Historic Calendar Year",IFERROR(AVERAGE(IF($H11=YEAR('Commodity Prices'!C$100:C$1000),'Commodity Prices'!O$100:O$1000)),"NA"),IFERROR(IF(M11=0,"NA",M11),"NA"))</f>
        <v>791.94769018105308</v>
      </c>
      <c r="K11" s="724">
        <f t="array" ref="K11">IF($H$6="Historic Calendar Year",IFERROR(AVERAGE(IF($H11=YEAR('Commodity Prices'!C$100:C$1000),'Commodity Prices'!P$100:P$1000)),"NA"),IFERROR(IF(N11=0,"NA",N11),"NA"))</f>
        <v>1990.6952349438488</v>
      </c>
      <c r="L11" s="333">
        <f>(SUMIFS('Commodity Prices'!$N$9:$N$2500,'Commodity Prices'!$A$9:$A$2500,'Alumina - Prices'!D10,'Commodity Prices'!$B$9:$B$2500,3)+
SUMIFS('Commodity Prices'!$N$9:$N$2500,'Commodity Prices'!$A$9:$A$2500,'Alumina - Prices'!D10,'Commodity Prices'!$B$9:$B$2500,4)+
SUMIFS('Commodity Prices'!$N$9:$N$2500,'Commodity Prices'!$A$9:$A$2500,'Alumina - Prices'!E10,'Commodity Prices'!$B$9:$B$2500,1)+
SUMIFS('Commodity Prices'!$N$9:$N$2500,'Commodity Prices'!$A$9:$A$2500,'Alumina - Prices'!E10,'Commodity Prices'!$B$9:$B$2500,2))
/(COUNTIFS('Commodity Prices'!$A$9:$A$2500,'Alumina - Prices'!D10,'Commodity Prices'!$B$9:$B$2500,3)+
COUNTIFS('Commodity Prices'!$A$9:$A$2500,'Alumina - Prices'!D10,'Commodity Prices'!$B$9:$B$2500,4)+
COUNTIFS('Commodity Prices'!$A$9:$A$2500,'Alumina - Prices'!E10,'Commodity Prices'!$B$9:$B$2500,1)+
COUNTIFS('Commodity Prices'!$A$9:$A$2500,'Alumina - Prices'!E10,'Commodity Prices'!$B$9:$B$2500,2))</f>
        <v>3558.0791666666664</v>
      </c>
      <c r="M11" s="333">
        <f>(SUMIFS('Commodity Prices'!$O$9:$O$2500,'Commodity Prices'!$A$9:$A$2500,'Alumina - Prices'!D10,'Commodity Prices'!$B$9:$B$2500,3)+
SUMIFS('Commodity Prices'!$O$9:$O$2500,'Commodity Prices'!$A$9:$A$2500,'Alumina - Prices'!D10,'Commodity Prices'!$B$9:$B$2500,4)+
SUMIFS('Commodity Prices'!$O$9:$O$2500,'Commodity Prices'!$A$9:$A$2500,'Alumina - Prices'!E10,'Commodity Prices'!$B$9:$B$2500,1)+
SUMIFS('Commodity Prices'!$O$9:$O$2500,'Commodity Prices'!$A$9:$A$2500,'Alumina - Prices'!E10,'Commodity Prices'!$B$9:$B$2500,2))
/(COUNTIFS('Commodity Prices'!$A$9:$A$2500,'Alumina - Prices'!D10,'Commodity Prices'!$B$9:$B$2500,3)+
COUNTIFS('Commodity Prices'!$A$9:$A$2500,'Alumina - Prices'!D10,'Commodity Prices'!$B$9:$B$2500,4)+
COUNTIFS('Commodity Prices'!$A$9:$A$2500,'Alumina - Prices'!E10,'Commodity Prices'!$B$9:$B$2500,1)+
COUNTIFS('Commodity Prices'!$A$9:$A$2500,'Alumina - Prices'!E10,'Commodity Prices'!$B$9:$B$2500,2))</f>
        <v>791.94769018105308</v>
      </c>
      <c r="N11" s="333">
        <f>(SUMIFS('Commodity Prices'!$P$9:$P$2500,'Commodity Prices'!$A$9:$A$2500,'Alumina - Prices'!D10,'Commodity Prices'!$B$9:$B$2500,3)+
SUMIFS('Commodity Prices'!$P$9:$P$2500,'Commodity Prices'!$A$9:$A$2500,'Alumina - Prices'!D10,'Commodity Prices'!$B$9:$B$2500,4)+
SUMIFS('Commodity Prices'!$P$9:$P$2500,'Commodity Prices'!$A$9:$A$2500,'Alumina - Prices'!E10,'Commodity Prices'!$B$9:$B$2500,1)+
SUMIFS('Commodity Prices'!$P$9:$P$2500,'Commodity Prices'!$A$9:$A$2500,'Alumina - Prices'!E10,'Commodity Prices'!$B$9:$B$2500,2))
/(COUNTIFS('Commodity Prices'!$A$9:$A$2500,'Alumina - Prices'!D10,'Commodity Prices'!$B$9:$B$2500,3)+
COUNTIFS('Commodity Prices'!$A$9:$A$2500,'Alumina - Prices'!D10,'Commodity Prices'!$B$9:$B$2500,4)+
COUNTIFS('Commodity Prices'!$A$9:$A$2500,'Alumina - Prices'!E10,'Commodity Prices'!$B$9:$B$2500,1)+
COUNTIFS('Commodity Prices'!$A$9:$A$2500,'Alumina - Prices'!E10,'Commodity Prices'!$B$9:$B$2500,2))</f>
        <v>1990.6952349438488</v>
      </c>
    </row>
    <row r="12" spans="1:27">
      <c r="A12" s="562">
        <f>LARGE('Commodity Prices'!C$159:C$902,57)</f>
        <v>42644</v>
      </c>
      <c r="B12" s="780">
        <f>SUMIF('Commodity Prices'!$C$159:$C$902,$A12,'Commodity Prices'!N$159:N$902)</f>
        <v>6213.42</v>
      </c>
      <c r="C12" s="780">
        <f>SUMIF('Commodity Prices'!$C$159:$C$902,$A12,'Commodity Prices'!O$159:O$902)</f>
        <v>2678.48</v>
      </c>
      <c r="D12" s="724">
        <f>SUMIF('Commodity Prices'!$C$159:$C$902,$A12,'Commodity Prices'!P$159:P$902)</f>
        <v>3038.53</v>
      </c>
      <c r="E12" s="10"/>
      <c r="F12" s="128">
        <f t="shared" si="1"/>
        <v>1989</v>
      </c>
      <c r="G12" s="128">
        <f t="shared" si="1"/>
        <v>1990</v>
      </c>
      <c r="H12" s="774" t="str">
        <f t="shared" si="0"/>
        <v>1989-90</v>
      </c>
      <c r="I12" s="781">
        <f t="array" ref="I12">IF($H$6="Historic Calendar Year",IFERROR(AVERAGE(IF($H12=YEAR('Commodity Prices'!C$100:C$1000),'Commodity Prices'!N$100:N$1000)),"NA"),IFERROR(IF(L12=0,"NA",L12),"NA"))</f>
        <v>3373.2724999999996</v>
      </c>
      <c r="J12" s="781">
        <f t="array" ref="J12">IF($H$6="Historic Calendar Year",IFERROR(AVERAGE(IF($H12=YEAR('Commodity Prices'!C$100:C$1000),'Commodity Prices'!O$100:O$1000)),"NA"),IFERROR(IF(M12=0,"NA",M12),"NA"))</f>
        <v>1009.5389070088927</v>
      </c>
      <c r="K12" s="781">
        <f t="array" ref="K12">IF($H$6="Historic Calendar Year",IFERROR(AVERAGE(IF($H12=YEAR('Commodity Prices'!C$100:C$1000),'Commodity Prices'!P$100:P$1000)),"NA"),IFERROR(IF(N12=0,"NA",N12),"NA"))</f>
        <v>2083.1229081035444</v>
      </c>
      <c r="L12" s="333">
        <f>(SUMIFS('Commodity Prices'!$N$9:$N$2500,'Commodity Prices'!$A$9:$A$2500,'Alumina - Prices'!D11,'Commodity Prices'!$B$9:$B$2500,3)+
SUMIFS('Commodity Prices'!$N$9:$N$2500,'Commodity Prices'!$A$9:$A$2500,'Alumina - Prices'!D11,'Commodity Prices'!$B$9:$B$2500,4)+
SUMIFS('Commodity Prices'!$N$9:$N$2500,'Commodity Prices'!$A$9:$A$2500,'Alumina - Prices'!E11,'Commodity Prices'!$B$9:$B$2500,1)+
SUMIFS('Commodity Prices'!$N$9:$N$2500,'Commodity Prices'!$A$9:$A$2500,'Alumina - Prices'!E11,'Commodity Prices'!$B$9:$B$2500,2))
/(COUNTIFS('Commodity Prices'!$A$9:$A$2500,'Alumina - Prices'!D11,'Commodity Prices'!$B$9:$B$2500,3)+
COUNTIFS('Commodity Prices'!$A$9:$A$2500,'Alumina - Prices'!D11,'Commodity Prices'!$B$9:$B$2500,4)+
COUNTIFS('Commodity Prices'!$A$9:$A$2500,'Alumina - Prices'!E11,'Commodity Prices'!$B$9:$B$2500,1)+
COUNTIFS('Commodity Prices'!$A$9:$A$2500,'Alumina - Prices'!E11,'Commodity Prices'!$B$9:$B$2500,2))</f>
        <v>3373.2724999999996</v>
      </c>
      <c r="M12" s="333">
        <f>(SUMIFS('Commodity Prices'!$O$9:$O$2500,'Commodity Prices'!$A$9:$A$2500,'Alumina - Prices'!D11,'Commodity Prices'!$B$9:$B$2500,3)+
SUMIFS('Commodity Prices'!$O$9:$O$2500,'Commodity Prices'!$A$9:$A$2500,'Alumina - Prices'!D11,'Commodity Prices'!$B$9:$B$2500,4)+
SUMIFS('Commodity Prices'!$O$9:$O$2500,'Commodity Prices'!$A$9:$A$2500,'Alumina - Prices'!E11,'Commodity Prices'!$B$9:$B$2500,1)+
SUMIFS('Commodity Prices'!$O$9:$O$2500,'Commodity Prices'!$A$9:$A$2500,'Alumina - Prices'!E11,'Commodity Prices'!$B$9:$B$2500,2))
/(COUNTIFS('Commodity Prices'!$A$9:$A$2500,'Alumina - Prices'!D11,'Commodity Prices'!$B$9:$B$2500,3)+
COUNTIFS('Commodity Prices'!$A$9:$A$2500,'Alumina - Prices'!D11,'Commodity Prices'!$B$9:$B$2500,4)+
COUNTIFS('Commodity Prices'!$A$9:$A$2500,'Alumina - Prices'!E11,'Commodity Prices'!$B$9:$B$2500,1)+
COUNTIFS('Commodity Prices'!$A$9:$A$2500,'Alumina - Prices'!E11,'Commodity Prices'!$B$9:$B$2500,2))</f>
        <v>1009.5389070088927</v>
      </c>
      <c r="N12" s="333">
        <f>(SUMIFS('Commodity Prices'!$P$9:$P$2500,'Commodity Prices'!$A$9:$A$2500,'Alumina - Prices'!D11,'Commodity Prices'!$B$9:$B$2500,3)+
SUMIFS('Commodity Prices'!$P$9:$P$2500,'Commodity Prices'!$A$9:$A$2500,'Alumina - Prices'!D11,'Commodity Prices'!$B$9:$B$2500,4)+
SUMIFS('Commodity Prices'!$P$9:$P$2500,'Commodity Prices'!$A$9:$A$2500,'Alumina - Prices'!E11,'Commodity Prices'!$B$9:$B$2500,1)+
SUMIFS('Commodity Prices'!$P$9:$P$2500,'Commodity Prices'!$A$9:$A$2500,'Alumina - Prices'!E11,'Commodity Prices'!$B$9:$B$2500,2))
/(COUNTIFS('Commodity Prices'!$A$9:$A$2500,'Alumina - Prices'!D11,'Commodity Prices'!$B$9:$B$2500,3)+
COUNTIFS('Commodity Prices'!$A$9:$A$2500,'Alumina - Prices'!D11,'Commodity Prices'!$B$9:$B$2500,4)+
COUNTIFS('Commodity Prices'!$A$9:$A$2500,'Alumina - Prices'!E11,'Commodity Prices'!$B$9:$B$2500,1)+
COUNTIFS('Commodity Prices'!$A$9:$A$2500,'Alumina - Prices'!E11,'Commodity Prices'!$B$9:$B$2500,2))</f>
        <v>2083.1229081035444</v>
      </c>
    </row>
    <row r="13" spans="1:27">
      <c r="A13" s="599">
        <f>LARGE('Commodity Prices'!C$159:C$902,56)</f>
        <v>42675</v>
      </c>
      <c r="B13" s="778">
        <f>SUMIF('Commodity Prices'!$C$159:$C$902,$A13,'Commodity Prices'!N$159:N$902)</f>
        <v>7229.71</v>
      </c>
      <c r="C13" s="778">
        <f>SUMIF('Commodity Prices'!$C$159:$C$902,$A13,'Commodity Prices'!O$159:O$902)</f>
        <v>2893.93</v>
      </c>
      <c r="D13" s="781">
        <f>SUMIF('Commodity Prices'!$C$159:$C$902,$A13,'Commodity Prices'!P$159:P$902)</f>
        <v>3411.93</v>
      </c>
      <c r="E13" s="10"/>
      <c r="F13" s="128">
        <f t="shared" si="1"/>
        <v>1990</v>
      </c>
      <c r="G13" s="128">
        <f t="shared" si="1"/>
        <v>1991</v>
      </c>
      <c r="H13" s="775" t="str">
        <f t="shared" si="0"/>
        <v>1990-91</v>
      </c>
      <c r="I13" s="724">
        <f t="array" ref="I13">IF($H$6="Historic Calendar Year",IFERROR(AVERAGE(IF($H13=YEAR('Commodity Prices'!C$100:C$1000),'Commodity Prices'!N$100:N$1000)),"NA"),IFERROR(IF(L13=0,"NA",L13),"NA"))</f>
        <v>3277.8591666666666</v>
      </c>
      <c r="J13" s="724">
        <f t="array" ref="J13">IF($H$6="Historic Calendar Year",IFERROR(AVERAGE(IF($H13=YEAR('Commodity Prices'!C$100:C$1000),'Commodity Prices'!O$100:O$1000)),"NA"),IFERROR(IF(M13=0,"NA",M13),"NA"))</f>
        <v>866.0578893296896</v>
      </c>
      <c r="K13" s="724">
        <f t="array" ref="K13">IF($H$6="Historic Calendar Year",IFERROR(AVERAGE(IF($H13=YEAR('Commodity Prices'!C$100:C$1000),'Commodity Prices'!P$100:P$1000)),"NA"),IFERROR(IF(N13=0,"NA",N13),"NA"))</f>
        <v>1662.4683064632829</v>
      </c>
      <c r="L13" s="333">
        <f>(SUMIFS('Commodity Prices'!$N$9:$N$2500,'Commodity Prices'!$A$9:$A$2500,'Alumina - Prices'!D12,'Commodity Prices'!$B$9:$B$2500,3)+
SUMIFS('Commodity Prices'!$N$9:$N$2500,'Commodity Prices'!$A$9:$A$2500,'Alumina - Prices'!D12,'Commodity Prices'!$B$9:$B$2500,4)+
SUMIFS('Commodity Prices'!$N$9:$N$2500,'Commodity Prices'!$A$9:$A$2500,'Alumina - Prices'!E12,'Commodity Prices'!$B$9:$B$2500,1)+
SUMIFS('Commodity Prices'!$N$9:$N$2500,'Commodity Prices'!$A$9:$A$2500,'Alumina - Prices'!E12,'Commodity Prices'!$B$9:$B$2500,2))
/(COUNTIFS('Commodity Prices'!$A$9:$A$2500,'Alumina - Prices'!D12,'Commodity Prices'!$B$9:$B$2500,3)+
COUNTIFS('Commodity Prices'!$A$9:$A$2500,'Alumina - Prices'!D12,'Commodity Prices'!$B$9:$B$2500,4)+
COUNTIFS('Commodity Prices'!$A$9:$A$2500,'Alumina - Prices'!E12,'Commodity Prices'!$B$9:$B$2500,1)+
COUNTIFS('Commodity Prices'!$A$9:$A$2500,'Alumina - Prices'!E12,'Commodity Prices'!$B$9:$B$2500,2))</f>
        <v>3277.8591666666666</v>
      </c>
      <c r="M13" s="333">
        <f>(SUMIFS('Commodity Prices'!$O$9:$O$2500,'Commodity Prices'!$A$9:$A$2500,'Alumina - Prices'!D12,'Commodity Prices'!$B$9:$B$2500,3)+
SUMIFS('Commodity Prices'!$O$9:$O$2500,'Commodity Prices'!$A$9:$A$2500,'Alumina - Prices'!D12,'Commodity Prices'!$B$9:$B$2500,4)+
SUMIFS('Commodity Prices'!$O$9:$O$2500,'Commodity Prices'!$A$9:$A$2500,'Alumina - Prices'!E12,'Commodity Prices'!$B$9:$B$2500,1)+
SUMIFS('Commodity Prices'!$O$9:$O$2500,'Commodity Prices'!$A$9:$A$2500,'Alumina - Prices'!E12,'Commodity Prices'!$B$9:$B$2500,2))
/(COUNTIFS('Commodity Prices'!$A$9:$A$2500,'Alumina - Prices'!D12,'Commodity Prices'!$B$9:$B$2500,3)+
COUNTIFS('Commodity Prices'!$A$9:$A$2500,'Alumina - Prices'!D12,'Commodity Prices'!$B$9:$B$2500,4)+
COUNTIFS('Commodity Prices'!$A$9:$A$2500,'Alumina - Prices'!E12,'Commodity Prices'!$B$9:$B$2500,1)+
COUNTIFS('Commodity Prices'!$A$9:$A$2500,'Alumina - Prices'!E12,'Commodity Prices'!$B$9:$B$2500,2))</f>
        <v>866.0578893296896</v>
      </c>
      <c r="N13" s="333">
        <f>(SUMIFS('Commodity Prices'!$P$9:$P$2500,'Commodity Prices'!$A$9:$A$2500,'Alumina - Prices'!D12,'Commodity Prices'!$B$9:$B$2500,3)+
SUMIFS('Commodity Prices'!$P$9:$P$2500,'Commodity Prices'!$A$9:$A$2500,'Alumina - Prices'!D12,'Commodity Prices'!$B$9:$B$2500,4)+
SUMIFS('Commodity Prices'!$P$9:$P$2500,'Commodity Prices'!$A$9:$A$2500,'Alumina - Prices'!E12,'Commodity Prices'!$B$9:$B$2500,1)+
SUMIFS('Commodity Prices'!$P$9:$P$2500,'Commodity Prices'!$A$9:$A$2500,'Alumina - Prices'!E12,'Commodity Prices'!$B$9:$B$2500,2))
/(COUNTIFS('Commodity Prices'!$A$9:$A$2500,'Alumina - Prices'!D12,'Commodity Prices'!$B$9:$B$2500,3)+
COUNTIFS('Commodity Prices'!$A$9:$A$2500,'Alumina - Prices'!D12,'Commodity Prices'!$B$9:$B$2500,4)+
COUNTIFS('Commodity Prices'!$A$9:$A$2500,'Alumina - Prices'!E12,'Commodity Prices'!$B$9:$B$2500,1)+
COUNTIFS('Commodity Prices'!$A$9:$A$2500,'Alumina - Prices'!E12,'Commodity Prices'!$B$9:$B$2500,2))</f>
        <v>1662.4683064632829</v>
      </c>
    </row>
    <row r="14" spans="1:27">
      <c r="A14" s="562">
        <f>LARGE('Commodity Prices'!C$159:C$902,55)</f>
        <v>42705</v>
      </c>
      <c r="B14" s="780">
        <f>SUMIF('Commodity Prices'!$C$159:$C$902,$A14,'Commodity Prices'!N$159:N$902)</f>
        <v>7724.95</v>
      </c>
      <c r="C14" s="780">
        <f>SUMIF('Commodity Prices'!$C$159:$C$902,$A14,'Commodity Prices'!O$159:O$902)</f>
        <v>3041.34</v>
      </c>
      <c r="D14" s="724">
        <f>SUMIF('Commodity Prices'!$C$159:$C$902,$A14,'Commodity Prices'!P$159:P$902)</f>
        <v>3642.4</v>
      </c>
      <c r="E14" s="10"/>
      <c r="F14" s="128">
        <f t="shared" si="1"/>
        <v>1991</v>
      </c>
      <c r="G14" s="128">
        <f t="shared" si="1"/>
        <v>1992</v>
      </c>
      <c r="H14" s="774" t="str">
        <f t="shared" si="0"/>
        <v>1991-92</v>
      </c>
      <c r="I14" s="781">
        <f t="array" ref="I14">IF($H$6="Historic Calendar Year",IFERROR(AVERAGE(IF($H14=YEAR('Commodity Prices'!C$100:C$1000),'Commodity Prices'!N$100:N$1000)),"NA"),IFERROR(IF(L14=0,"NA",L14),"NA"))</f>
        <v>2925.0533333333333</v>
      </c>
      <c r="J14" s="781">
        <f t="array" ref="J14">IF($H$6="Historic Calendar Year",IFERROR(AVERAGE(IF($H14=YEAR('Commodity Prices'!C$100:C$1000),'Commodity Prices'!O$100:O$1000)),"NA"),IFERROR(IF(M14=0,"NA",M14),"NA"))</f>
        <v>684.86606136320222</v>
      </c>
      <c r="K14" s="781">
        <f t="array" ref="K14">IF($H$6="Historic Calendar Year",IFERROR(AVERAGE(IF($H14=YEAR('Commodity Prices'!C$100:C$1000),'Commodity Prices'!P$100:P$1000)),"NA"),IFERROR(IF(N14=0,"NA",N14),"NA"))</f>
        <v>1514.2492900257009</v>
      </c>
      <c r="L14" s="333">
        <f>(SUMIFS('Commodity Prices'!$N$9:$N$2500,'Commodity Prices'!$A$9:$A$2500,'Alumina - Prices'!D13,'Commodity Prices'!$B$9:$B$2500,3)+
SUMIFS('Commodity Prices'!$N$9:$N$2500,'Commodity Prices'!$A$9:$A$2500,'Alumina - Prices'!D13,'Commodity Prices'!$B$9:$B$2500,4)+
SUMIFS('Commodity Prices'!$N$9:$N$2500,'Commodity Prices'!$A$9:$A$2500,'Alumina - Prices'!E13,'Commodity Prices'!$B$9:$B$2500,1)+
SUMIFS('Commodity Prices'!$N$9:$N$2500,'Commodity Prices'!$A$9:$A$2500,'Alumina - Prices'!E13,'Commodity Prices'!$B$9:$B$2500,2))
/(COUNTIFS('Commodity Prices'!$A$9:$A$2500,'Alumina - Prices'!D13,'Commodity Prices'!$B$9:$B$2500,3)+
COUNTIFS('Commodity Prices'!$A$9:$A$2500,'Alumina - Prices'!D13,'Commodity Prices'!$B$9:$B$2500,4)+
COUNTIFS('Commodity Prices'!$A$9:$A$2500,'Alumina - Prices'!E13,'Commodity Prices'!$B$9:$B$2500,1)+
COUNTIFS('Commodity Prices'!$A$9:$A$2500,'Alumina - Prices'!E13,'Commodity Prices'!$B$9:$B$2500,2))</f>
        <v>2925.0533333333333</v>
      </c>
      <c r="M14" s="333">
        <f>(SUMIFS('Commodity Prices'!$O$9:$O$2500,'Commodity Prices'!$A$9:$A$2500,'Alumina - Prices'!D13,'Commodity Prices'!$B$9:$B$2500,3)+
SUMIFS('Commodity Prices'!$O$9:$O$2500,'Commodity Prices'!$A$9:$A$2500,'Alumina - Prices'!D13,'Commodity Prices'!$B$9:$B$2500,4)+
SUMIFS('Commodity Prices'!$O$9:$O$2500,'Commodity Prices'!$A$9:$A$2500,'Alumina - Prices'!E13,'Commodity Prices'!$B$9:$B$2500,1)+
SUMIFS('Commodity Prices'!$O$9:$O$2500,'Commodity Prices'!$A$9:$A$2500,'Alumina - Prices'!E13,'Commodity Prices'!$B$9:$B$2500,2))
/(COUNTIFS('Commodity Prices'!$A$9:$A$2500,'Alumina - Prices'!D13,'Commodity Prices'!$B$9:$B$2500,3)+
COUNTIFS('Commodity Prices'!$A$9:$A$2500,'Alumina - Prices'!D13,'Commodity Prices'!$B$9:$B$2500,4)+
COUNTIFS('Commodity Prices'!$A$9:$A$2500,'Alumina - Prices'!E13,'Commodity Prices'!$B$9:$B$2500,1)+
COUNTIFS('Commodity Prices'!$A$9:$A$2500,'Alumina - Prices'!E13,'Commodity Prices'!$B$9:$B$2500,2))</f>
        <v>684.86606136320222</v>
      </c>
      <c r="N14" s="333">
        <f>(SUMIFS('Commodity Prices'!$P$9:$P$2500,'Commodity Prices'!$A$9:$A$2500,'Alumina - Prices'!D13,'Commodity Prices'!$B$9:$B$2500,3)+
SUMIFS('Commodity Prices'!$P$9:$P$2500,'Commodity Prices'!$A$9:$A$2500,'Alumina - Prices'!D13,'Commodity Prices'!$B$9:$B$2500,4)+
SUMIFS('Commodity Prices'!$P$9:$P$2500,'Commodity Prices'!$A$9:$A$2500,'Alumina - Prices'!E13,'Commodity Prices'!$B$9:$B$2500,1)+
SUMIFS('Commodity Prices'!$P$9:$P$2500,'Commodity Prices'!$A$9:$A$2500,'Alumina - Prices'!E13,'Commodity Prices'!$B$9:$B$2500,2))
/(COUNTIFS('Commodity Prices'!$A$9:$A$2500,'Alumina - Prices'!D13,'Commodity Prices'!$B$9:$B$2500,3)+
COUNTIFS('Commodity Prices'!$A$9:$A$2500,'Alumina - Prices'!D13,'Commodity Prices'!$B$9:$B$2500,4)+
COUNTIFS('Commodity Prices'!$A$9:$A$2500,'Alumina - Prices'!E13,'Commodity Prices'!$B$9:$B$2500,1)+
COUNTIFS('Commodity Prices'!$A$9:$A$2500,'Alumina - Prices'!E13,'Commodity Prices'!$B$9:$B$2500,2))</f>
        <v>1514.2492900257009</v>
      </c>
    </row>
    <row r="15" spans="1:27">
      <c r="A15" s="599">
        <f>LARGE('Commodity Prices'!C$159:C$902,54)</f>
        <v>42736</v>
      </c>
      <c r="B15" s="778">
        <f>SUMIF('Commodity Prices'!$C$159:$C$902,$A15,'Commodity Prices'!N$159:N$902)</f>
        <v>7691.95</v>
      </c>
      <c r="C15" s="778">
        <f>SUMIF('Commodity Prices'!$C$159:$C$902,$A15,'Commodity Prices'!O$159:O$902)</f>
        <v>2998.65</v>
      </c>
      <c r="D15" s="781">
        <f>SUMIF('Commodity Prices'!$C$159:$C$902,$A15,'Commodity Prices'!P$159:P$902)</f>
        <v>3637.22</v>
      </c>
      <c r="E15" s="10"/>
      <c r="F15" s="128">
        <f t="shared" si="1"/>
        <v>1992</v>
      </c>
      <c r="G15" s="128">
        <f t="shared" si="1"/>
        <v>1993</v>
      </c>
      <c r="H15" s="775" t="str">
        <f t="shared" si="0"/>
        <v>1992-93</v>
      </c>
      <c r="I15" s="724">
        <f t="array" ref="I15">IF($H$6="Historic Calendar Year",IFERROR(AVERAGE(IF($H15=YEAR('Commodity Prices'!C$100:C$1000),'Commodity Prices'!N$100:N$1000)),"NA"),IFERROR(IF(L15=0,"NA",L15),"NA"))</f>
        <v>3159.936666666667</v>
      </c>
      <c r="J15" s="724">
        <f t="array" ref="J15">IF($H$6="Historic Calendar Year",IFERROR(AVERAGE(IF($H15=YEAR('Commodity Prices'!C$100:C$1000),'Commodity Prices'!O$100:O$1000)),"NA"),IFERROR(IF(M15=0,"NA",M15),"NA"))</f>
        <v>701.02235529724078</v>
      </c>
      <c r="K15" s="724">
        <f t="array" ref="K15">IF($H$6="Historic Calendar Year",IFERROR(AVERAGE(IF($H15=YEAR('Commodity Prices'!C$100:C$1000),'Commodity Prices'!P$100:P$1000)),"NA"),IFERROR(IF(N15=0,"NA",N15),"NA"))</f>
        <v>1604.4551429414589</v>
      </c>
      <c r="L15" s="333">
        <f>(SUMIFS('Commodity Prices'!$N$9:$N$2500,'Commodity Prices'!$A$9:$A$2500,'Alumina - Prices'!D14,'Commodity Prices'!$B$9:$B$2500,3)+
SUMIFS('Commodity Prices'!$N$9:$N$2500,'Commodity Prices'!$A$9:$A$2500,'Alumina - Prices'!D14,'Commodity Prices'!$B$9:$B$2500,4)+
SUMIFS('Commodity Prices'!$N$9:$N$2500,'Commodity Prices'!$A$9:$A$2500,'Alumina - Prices'!E14,'Commodity Prices'!$B$9:$B$2500,1)+
SUMIFS('Commodity Prices'!$N$9:$N$2500,'Commodity Prices'!$A$9:$A$2500,'Alumina - Prices'!E14,'Commodity Prices'!$B$9:$B$2500,2))
/(COUNTIFS('Commodity Prices'!$A$9:$A$2500,'Alumina - Prices'!D14,'Commodity Prices'!$B$9:$B$2500,3)+
COUNTIFS('Commodity Prices'!$A$9:$A$2500,'Alumina - Prices'!D14,'Commodity Prices'!$B$9:$B$2500,4)+
COUNTIFS('Commodity Prices'!$A$9:$A$2500,'Alumina - Prices'!E14,'Commodity Prices'!$B$9:$B$2500,1)+
COUNTIFS('Commodity Prices'!$A$9:$A$2500,'Alumina - Prices'!E14,'Commodity Prices'!$B$9:$B$2500,2))</f>
        <v>3159.936666666667</v>
      </c>
      <c r="M15" s="333">
        <f>(SUMIFS('Commodity Prices'!$O$9:$O$2500,'Commodity Prices'!$A$9:$A$2500,'Alumina - Prices'!D14,'Commodity Prices'!$B$9:$B$2500,3)+
SUMIFS('Commodity Prices'!$O$9:$O$2500,'Commodity Prices'!$A$9:$A$2500,'Alumina - Prices'!D14,'Commodity Prices'!$B$9:$B$2500,4)+
SUMIFS('Commodity Prices'!$O$9:$O$2500,'Commodity Prices'!$A$9:$A$2500,'Alumina - Prices'!E14,'Commodity Prices'!$B$9:$B$2500,1)+
SUMIFS('Commodity Prices'!$O$9:$O$2500,'Commodity Prices'!$A$9:$A$2500,'Alumina - Prices'!E14,'Commodity Prices'!$B$9:$B$2500,2))
/(COUNTIFS('Commodity Prices'!$A$9:$A$2500,'Alumina - Prices'!D14,'Commodity Prices'!$B$9:$B$2500,3)+
COUNTIFS('Commodity Prices'!$A$9:$A$2500,'Alumina - Prices'!D14,'Commodity Prices'!$B$9:$B$2500,4)+
COUNTIFS('Commodity Prices'!$A$9:$A$2500,'Alumina - Prices'!E14,'Commodity Prices'!$B$9:$B$2500,1)+
COUNTIFS('Commodity Prices'!$A$9:$A$2500,'Alumina - Prices'!E14,'Commodity Prices'!$B$9:$B$2500,2))</f>
        <v>701.02235529724078</v>
      </c>
      <c r="N15" s="333">
        <f>(SUMIFS('Commodity Prices'!$P$9:$P$2500,'Commodity Prices'!$A$9:$A$2500,'Alumina - Prices'!D14,'Commodity Prices'!$B$9:$B$2500,3)+
SUMIFS('Commodity Prices'!$P$9:$P$2500,'Commodity Prices'!$A$9:$A$2500,'Alumina - Prices'!D14,'Commodity Prices'!$B$9:$B$2500,4)+
SUMIFS('Commodity Prices'!$P$9:$P$2500,'Commodity Prices'!$A$9:$A$2500,'Alumina - Prices'!E14,'Commodity Prices'!$B$9:$B$2500,1)+
SUMIFS('Commodity Prices'!$P$9:$P$2500,'Commodity Prices'!$A$9:$A$2500,'Alumina - Prices'!E14,'Commodity Prices'!$B$9:$B$2500,2))
/(COUNTIFS('Commodity Prices'!$A$9:$A$2500,'Alumina - Prices'!D14,'Commodity Prices'!$B$9:$B$2500,3)+
COUNTIFS('Commodity Prices'!$A$9:$A$2500,'Alumina - Prices'!D14,'Commodity Prices'!$B$9:$B$2500,4)+
COUNTIFS('Commodity Prices'!$A$9:$A$2500,'Alumina - Prices'!E14,'Commodity Prices'!$B$9:$B$2500,1)+
COUNTIFS('Commodity Prices'!$A$9:$A$2500,'Alumina - Prices'!E14,'Commodity Prices'!$B$9:$B$2500,2))</f>
        <v>1604.4551429414589</v>
      </c>
    </row>
    <row r="16" spans="1:27">
      <c r="A16" s="562">
        <f>LARGE('Commodity Prices'!C$159:C$902,53)</f>
        <v>42767</v>
      </c>
      <c r="B16" s="780">
        <f>SUMIF('Commodity Prices'!$C$159:$C$902,$A16,'Commodity Prices'!N$159:N$902)</f>
        <v>7750.52</v>
      </c>
      <c r="C16" s="780">
        <f>SUMIF('Commodity Prices'!$C$159:$C$902,$A16,'Commodity Prices'!O$159:O$902)</f>
        <v>3028.6</v>
      </c>
      <c r="D16" s="724">
        <f>SUMIF('Commodity Prices'!$C$159:$C$902,$A16,'Commodity Prices'!P$159:P$902)</f>
        <v>3715.66</v>
      </c>
      <c r="E16" s="10"/>
      <c r="F16" s="128">
        <f t="shared" si="1"/>
        <v>1993</v>
      </c>
      <c r="G16" s="128">
        <f t="shared" si="1"/>
        <v>1994</v>
      </c>
      <c r="H16" s="774" t="str">
        <f t="shared" si="0"/>
        <v>1993-94</v>
      </c>
      <c r="I16" s="781">
        <f t="array" ref="I16">IF($H$6="Historic Calendar Year",IFERROR(AVERAGE(IF($H16=YEAR('Commodity Prices'!C$100:C$1000),'Commodity Prices'!N$100:N$1000)),"NA"),IFERROR(IF(L16=0,"NA",L16),"NA"))</f>
        <v>2731.8033333333333</v>
      </c>
      <c r="J16" s="781">
        <f t="array" ref="J16">IF($H$6="Historic Calendar Year",IFERROR(AVERAGE(IF($H16=YEAR('Commodity Prices'!C$100:C$1000),'Commodity Prices'!O$100:O$1000)),"NA"),IFERROR(IF(M16=0,"NA",M16),"NA"))</f>
        <v>632.25839968034154</v>
      </c>
      <c r="K16" s="781">
        <f t="array" ref="K16">IF($H$6="Historic Calendar Year",IFERROR(AVERAGE(IF($H16=YEAR('Commodity Prices'!C$100:C$1000),'Commodity Prices'!P$100:P$1000)),"NA"),IFERROR(IF(N16=0,"NA",N16),"NA"))</f>
        <v>1355.4671257836906</v>
      </c>
      <c r="L16" s="333">
        <f>(SUMIFS('Commodity Prices'!$N$9:$N$2500,'Commodity Prices'!$A$9:$A$2500,'Alumina - Prices'!D15,'Commodity Prices'!$B$9:$B$2500,3)+
SUMIFS('Commodity Prices'!$N$9:$N$2500,'Commodity Prices'!$A$9:$A$2500,'Alumina - Prices'!D15,'Commodity Prices'!$B$9:$B$2500,4)+
SUMIFS('Commodity Prices'!$N$9:$N$2500,'Commodity Prices'!$A$9:$A$2500,'Alumina - Prices'!E15,'Commodity Prices'!$B$9:$B$2500,1)+
SUMIFS('Commodity Prices'!$N$9:$N$2500,'Commodity Prices'!$A$9:$A$2500,'Alumina - Prices'!E15,'Commodity Prices'!$B$9:$B$2500,2))
/(COUNTIFS('Commodity Prices'!$A$9:$A$2500,'Alumina - Prices'!D15,'Commodity Prices'!$B$9:$B$2500,3)+
COUNTIFS('Commodity Prices'!$A$9:$A$2500,'Alumina - Prices'!D15,'Commodity Prices'!$B$9:$B$2500,4)+
COUNTIFS('Commodity Prices'!$A$9:$A$2500,'Alumina - Prices'!E15,'Commodity Prices'!$B$9:$B$2500,1)+
COUNTIFS('Commodity Prices'!$A$9:$A$2500,'Alumina - Prices'!E15,'Commodity Prices'!$B$9:$B$2500,2))</f>
        <v>2731.8033333333333</v>
      </c>
      <c r="M16" s="333">
        <f>(SUMIFS('Commodity Prices'!$O$9:$O$2500,'Commodity Prices'!$A$9:$A$2500,'Alumina - Prices'!D15,'Commodity Prices'!$B$9:$B$2500,3)+
SUMIFS('Commodity Prices'!$O$9:$O$2500,'Commodity Prices'!$A$9:$A$2500,'Alumina - Prices'!D15,'Commodity Prices'!$B$9:$B$2500,4)+
SUMIFS('Commodity Prices'!$O$9:$O$2500,'Commodity Prices'!$A$9:$A$2500,'Alumina - Prices'!E15,'Commodity Prices'!$B$9:$B$2500,1)+
SUMIFS('Commodity Prices'!$O$9:$O$2500,'Commodity Prices'!$A$9:$A$2500,'Alumina - Prices'!E15,'Commodity Prices'!$B$9:$B$2500,2))
/(COUNTIFS('Commodity Prices'!$A$9:$A$2500,'Alumina - Prices'!D15,'Commodity Prices'!$B$9:$B$2500,3)+
COUNTIFS('Commodity Prices'!$A$9:$A$2500,'Alumina - Prices'!D15,'Commodity Prices'!$B$9:$B$2500,4)+
COUNTIFS('Commodity Prices'!$A$9:$A$2500,'Alumina - Prices'!E15,'Commodity Prices'!$B$9:$B$2500,1)+
COUNTIFS('Commodity Prices'!$A$9:$A$2500,'Alumina - Prices'!E15,'Commodity Prices'!$B$9:$B$2500,2))</f>
        <v>632.25839968034154</v>
      </c>
      <c r="N16" s="333">
        <f>(SUMIFS('Commodity Prices'!$P$9:$P$2500,'Commodity Prices'!$A$9:$A$2500,'Alumina - Prices'!D15,'Commodity Prices'!$B$9:$B$2500,3)+
SUMIFS('Commodity Prices'!$P$9:$P$2500,'Commodity Prices'!$A$9:$A$2500,'Alumina - Prices'!D15,'Commodity Prices'!$B$9:$B$2500,4)+
SUMIFS('Commodity Prices'!$P$9:$P$2500,'Commodity Prices'!$A$9:$A$2500,'Alumina - Prices'!E15,'Commodity Prices'!$B$9:$B$2500,1)+
SUMIFS('Commodity Prices'!$P$9:$P$2500,'Commodity Prices'!$A$9:$A$2500,'Alumina - Prices'!E15,'Commodity Prices'!$B$9:$B$2500,2))
/(COUNTIFS('Commodity Prices'!$A$9:$A$2500,'Alumina - Prices'!D15,'Commodity Prices'!$B$9:$B$2500,3)+
COUNTIFS('Commodity Prices'!$A$9:$A$2500,'Alumina - Prices'!D15,'Commodity Prices'!$B$9:$B$2500,4)+
COUNTIFS('Commodity Prices'!$A$9:$A$2500,'Alumina - Prices'!E15,'Commodity Prices'!$B$9:$B$2500,1)+
COUNTIFS('Commodity Prices'!$A$9:$A$2500,'Alumina - Prices'!E15,'Commodity Prices'!$B$9:$B$2500,2))</f>
        <v>1355.4671257836906</v>
      </c>
    </row>
    <row r="17" spans="1:14">
      <c r="A17" s="599">
        <f>LARGE('Commodity Prices'!C$159:C$902,52)</f>
        <v>42795</v>
      </c>
      <c r="B17" s="778">
        <f>SUMIF('Commodity Prices'!$C$159:$C$902,$A17,'Commodity Prices'!N$159:N$902)</f>
        <v>7635.78</v>
      </c>
      <c r="C17" s="778">
        <f>SUMIF('Commodity Prices'!$C$159:$C$902,$A17,'Commodity Prices'!O$159:O$902)</f>
        <v>2987.02</v>
      </c>
      <c r="D17" s="781">
        <f>SUMIF('Commodity Prices'!$C$159:$C$902,$A17,'Commodity Prices'!P$159:P$902)</f>
        <v>3648.66</v>
      </c>
      <c r="E17" s="10"/>
      <c r="F17" s="128">
        <f t="shared" si="1"/>
        <v>1994</v>
      </c>
      <c r="G17" s="128">
        <f t="shared" si="1"/>
        <v>1995</v>
      </c>
      <c r="H17" s="775" t="str">
        <f t="shared" si="0"/>
        <v>1994-95</v>
      </c>
      <c r="I17" s="724">
        <f t="array" ref="I17">IF($H$6="Historic Calendar Year",IFERROR(AVERAGE(IF($H17=YEAR('Commodity Prices'!C$100:C$1000),'Commodity Prices'!N$100:N$1000)),"NA"),IFERROR(IF(L17=0,"NA",L17),"NA"))</f>
        <v>3738.0425</v>
      </c>
      <c r="J17" s="724">
        <f t="array" ref="J17">IF($H$6="Historic Calendar Year",IFERROR(AVERAGE(IF($H17=YEAR('Commodity Prices'!C$100:C$1000),'Commodity Prices'!O$100:O$1000)),"NA"),IFERROR(IF(M17=0,"NA",M17),"NA"))</f>
        <v>827.95069241330464</v>
      </c>
      <c r="K17" s="724">
        <f t="array" ref="K17">IF($H$6="Historic Calendar Year",IFERROR(AVERAGE(IF($H17=YEAR('Commodity Prices'!C$100:C$1000),'Commodity Prices'!P$100:P$1000)),"NA"),IFERROR(IF(N17=0,"NA",N17),"NA"))</f>
        <v>1411.6127692247683</v>
      </c>
      <c r="L17" s="333">
        <f>(SUMIFS('Commodity Prices'!$N$9:$N$2500,'Commodity Prices'!$A$9:$A$2500,'Alumina - Prices'!D16,'Commodity Prices'!$B$9:$B$2500,3)+
SUMIFS('Commodity Prices'!$N$9:$N$2500,'Commodity Prices'!$A$9:$A$2500,'Alumina - Prices'!D16,'Commodity Prices'!$B$9:$B$2500,4)+
SUMIFS('Commodity Prices'!$N$9:$N$2500,'Commodity Prices'!$A$9:$A$2500,'Alumina - Prices'!E16,'Commodity Prices'!$B$9:$B$2500,1)+
SUMIFS('Commodity Prices'!$N$9:$N$2500,'Commodity Prices'!$A$9:$A$2500,'Alumina - Prices'!E16,'Commodity Prices'!$B$9:$B$2500,2))
/(COUNTIFS('Commodity Prices'!$A$9:$A$2500,'Alumina - Prices'!D16,'Commodity Prices'!$B$9:$B$2500,3)+
COUNTIFS('Commodity Prices'!$A$9:$A$2500,'Alumina - Prices'!D16,'Commodity Prices'!$B$9:$B$2500,4)+
COUNTIFS('Commodity Prices'!$A$9:$A$2500,'Alumina - Prices'!E16,'Commodity Prices'!$B$9:$B$2500,1)+
COUNTIFS('Commodity Prices'!$A$9:$A$2500,'Alumina - Prices'!E16,'Commodity Prices'!$B$9:$B$2500,2))</f>
        <v>3738.0425</v>
      </c>
      <c r="M17" s="333">
        <f>(SUMIFS('Commodity Prices'!$O$9:$O$2500,'Commodity Prices'!$A$9:$A$2500,'Alumina - Prices'!D16,'Commodity Prices'!$B$9:$B$2500,3)+
SUMIFS('Commodity Prices'!$O$9:$O$2500,'Commodity Prices'!$A$9:$A$2500,'Alumina - Prices'!D16,'Commodity Prices'!$B$9:$B$2500,4)+
SUMIFS('Commodity Prices'!$O$9:$O$2500,'Commodity Prices'!$A$9:$A$2500,'Alumina - Prices'!E16,'Commodity Prices'!$B$9:$B$2500,1)+
SUMIFS('Commodity Prices'!$O$9:$O$2500,'Commodity Prices'!$A$9:$A$2500,'Alumina - Prices'!E16,'Commodity Prices'!$B$9:$B$2500,2))
/(COUNTIFS('Commodity Prices'!$A$9:$A$2500,'Alumina - Prices'!D16,'Commodity Prices'!$B$9:$B$2500,3)+
COUNTIFS('Commodity Prices'!$A$9:$A$2500,'Alumina - Prices'!D16,'Commodity Prices'!$B$9:$B$2500,4)+
COUNTIFS('Commodity Prices'!$A$9:$A$2500,'Alumina - Prices'!E16,'Commodity Prices'!$B$9:$B$2500,1)+
COUNTIFS('Commodity Prices'!$A$9:$A$2500,'Alumina - Prices'!E16,'Commodity Prices'!$B$9:$B$2500,2))</f>
        <v>827.95069241330464</v>
      </c>
      <c r="N17" s="333">
        <f>(SUMIFS('Commodity Prices'!$P$9:$P$2500,'Commodity Prices'!$A$9:$A$2500,'Alumina - Prices'!D16,'Commodity Prices'!$B$9:$B$2500,3)+
SUMIFS('Commodity Prices'!$P$9:$P$2500,'Commodity Prices'!$A$9:$A$2500,'Alumina - Prices'!D16,'Commodity Prices'!$B$9:$B$2500,4)+
SUMIFS('Commodity Prices'!$P$9:$P$2500,'Commodity Prices'!$A$9:$A$2500,'Alumina - Prices'!E16,'Commodity Prices'!$B$9:$B$2500,1)+
SUMIFS('Commodity Prices'!$P$9:$P$2500,'Commodity Prices'!$A$9:$A$2500,'Alumina - Prices'!E16,'Commodity Prices'!$B$9:$B$2500,2))
/(COUNTIFS('Commodity Prices'!$A$9:$A$2500,'Alumina - Prices'!D16,'Commodity Prices'!$B$9:$B$2500,3)+
COUNTIFS('Commodity Prices'!$A$9:$A$2500,'Alumina - Prices'!D16,'Commodity Prices'!$B$9:$B$2500,4)+
COUNTIFS('Commodity Prices'!$A$9:$A$2500,'Alumina - Prices'!E16,'Commodity Prices'!$B$9:$B$2500,1)+
COUNTIFS('Commodity Prices'!$A$9:$A$2500,'Alumina - Prices'!E16,'Commodity Prices'!$B$9:$B$2500,2))</f>
        <v>1411.6127692247683</v>
      </c>
    </row>
    <row r="18" spans="1:14">
      <c r="A18" s="562">
        <f>LARGE('Commodity Prices'!C$159:C$902,51)</f>
        <v>42826</v>
      </c>
      <c r="B18" s="780">
        <f>SUMIF('Commodity Prices'!$C$159:$C$902,$A18,'Commodity Prices'!N$159:N$902)</f>
        <v>7561.6</v>
      </c>
      <c r="C18" s="780">
        <f>SUMIF('Commodity Prices'!$C$159:$C$902,$A18,'Commodity Prices'!O$159:O$902)</f>
        <v>2961.25</v>
      </c>
      <c r="D18" s="724">
        <f>SUMIF('Commodity Prices'!$C$159:$C$902,$A18,'Commodity Prices'!P$159:P$902)</f>
        <v>3494.4</v>
      </c>
      <c r="E18" s="10"/>
      <c r="F18" s="128">
        <f t="shared" si="1"/>
        <v>1995</v>
      </c>
      <c r="G18" s="128">
        <f t="shared" si="1"/>
        <v>1996</v>
      </c>
      <c r="H18" s="774" t="str">
        <f t="shared" si="0"/>
        <v>1995-96</v>
      </c>
      <c r="I18" s="781">
        <f t="array" ref="I18">IF($H$6="Historic Calendar Year",IFERROR(AVERAGE(IF($H18=YEAR('Commodity Prices'!C$100:C$1000),'Commodity Prices'!N$100:N$1000)),"NA"),IFERROR(IF(L18=0,"NA",L18),"NA"))</f>
        <v>3601.1216666666664</v>
      </c>
      <c r="J18" s="781">
        <f t="array" ref="J18">IF($H$6="Historic Calendar Year",IFERROR(AVERAGE(IF($H18=YEAR('Commodity Prices'!C$100:C$1000),'Commodity Prices'!O$100:O$1000)),"NA"),IFERROR(IF(M18=0,"NA",M18),"NA"))</f>
        <v>948.38663795516652</v>
      </c>
      <c r="K18" s="781">
        <f t="array" ref="K18">IF($H$6="Historic Calendar Year",IFERROR(AVERAGE(IF($H18=YEAR('Commodity Prices'!C$100:C$1000),'Commodity Prices'!P$100:P$1000)),"NA"),IFERROR(IF(N18=0,"NA",N18),"NA"))</f>
        <v>1341.0567194865105</v>
      </c>
      <c r="L18" s="333">
        <f>(SUMIFS('Commodity Prices'!$N$9:$N$2500,'Commodity Prices'!$A$9:$A$2500,'Alumina - Prices'!D17,'Commodity Prices'!$B$9:$B$2500,3)+
SUMIFS('Commodity Prices'!$N$9:$N$2500,'Commodity Prices'!$A$9:$A$2500,'Alumina - Prices'!D17,'Commodity Prices'!$B$9:$B$2500,4)+
SUMIFS('Commodity Prices'!$N$9:$N$2500,'Commodity Prices'!$A$9:$A$2500,'Alumina - Prices'!E17,'Commodity Prices'!$B$9:$B$2500,1)+
SUMIFS('Commodity Prices'!$N$9:$N$2500,'Commodity Prices'!$A$9:$A$2500,'Alumina - Prices'!E17,'Commodity Prices'!$B$9:$B$2500,2))
/(COUNTIFS('Commodity Prices'!$A$9:$A$2500,'Alumina - Prices'!D17,'Commodity Prices'!$B$9:$B$2500,3)+
COUNTIFS('Commodity Prices'!$A$9:$A$2500,'Alumina - Prices'!D17,'Commodity Prices'!$B$9:$B$2500,4)+
COUNTIFS('Commodity Prices'!$A$9:$A$2500,'Alumina - Prices'!E17,'Commodity Prices'!$B$9:$B$2500,1)+
COUNTIFS('Commodity Prices'!$A$9:$A$2500,'Alumina - Prices'!E17,'Commodity Prices'!$B$9:$B$2500,2))</f>
        <v>3601.1216666666664</v>
      </c>
      <c r="M18" s="333">
        <f>(SUMIFS('Commodity Prices'!$O$9:$O$2500,'Commodity Prices'!$A$9:$A$2500,'Alumina - Prices'!D17,'Commodity Prices'!$B$9:$B$2500,3)+
SUMIFS('Commodity Prices'!$O$9:$O$2500,'Commodity Prices'!$A$9:$A$2500,'Alumina - Prices'!D17,'Commodity Prices'!$B$9:$B$2500,4)+
SUMIFS('Commodity Prices'!$O$9:$O$2500,'Commodity Prices'!$A$9:$A$2500,'Alumina - Prices'!E17,'Commodity Prices'!$B$9:$B$2500,1)+
SUMIFS('Commodity Prices'!$O$9:$O$2500,'Commodity Prices'!$A$9:$A$2500,'Alumina - Prices'!E17,'Commodity Prices'!$B$9:$B$2500,2))
/(COUNTIFS('Commodity Prices'!$A$9:$A$2500,'Alumina - Prices'!D17,'Commodity Prices'!$B$9:$B$2500,3)+
COUNTIFS('Commodity Prices'!$A$9:$A$2500,'Alumina - Prices'!D17,'Commodity Prices'!$B$9:$B$2500,4)+
COUNTIFS('Commodity Prices'!$A$9:$A$2500,'Alumina - Prices'!E17,'Commodity Prices'!$B$9:$B$2500,1)+
COUNTIFS('Commodity Prices'!$A$9:$A$2500,'Alumina - Prices'!E17,'Commodity Prices'!$B$9:$B$2500,2))</f>
        <v>948.38663795516652</v>
      </c>
      <c r="N18" s="333">
        <f>(SUMIFS('Commodity Prices'!$P$9:$P$2500,'Commodity Prices'!$A$9:$A$2500,'Alumina - Prices'!D17,'Commodity Prices'!$B$9:$B$2500,3)+
SUMIFS('Commodity Prices'!$P$9:$P$2500,'Commodity Prices'!$A$9:$A$2500,'Alumina - Prices'!D17,'Commodity Prices'!$B$9:$B$2500,4)+
SUMIFS('Commodity Prices'!$P$9:$P$2500,'Commodity Prices'!$A$9:$A$2500,'Alumina - Prices'!E17,'Commodity Prices'!$B$9:$B$2500,1)+
SUMIFS('Commodity Prices'!$P$9:$P$2500,'Commodity Prices'!$A$9:$A$2500,'Alumina - Prices'!E17,'Commodity Prices'!$B$9:$B$2500,2))
/(COUNTIFS('Commodity Prices'!$A$9:$A$2500,'Alumina - Prices'!D17,'Commodity Prices'!$B$9:$B$2500,3)+
COUNTIFS('Commodity Prices'!$A$9:$A$2500,'Alumina - Prices'!D17,'Commodity Prices'!$B$9:$B$2500,4)+
COUNTIFS('Commodity Prices'!$A$9:$A$2500,'Alumina - Prices'!E17,'Commodity Prices'!$B$9:$B$2500,1)+
COUNTIFS('Commodity Prices'!$A$9:$A$2500,'Alumina - Prices'!E17,'Commodity Prices'!$B$9:$B$2500,2))</f>
        <v>1341.0567194865105</v>
      </c>
    </row>
    <row r="19" spans="1:14">
      <c r="A19" s="599">
        <f>LARGE('Commodity Prices'!C$159:C$902,50)</f>
        <v>42856</v>
      </c>
      <c r="B19" s="778">
        <f>SUMIF('Commodity Prices'!$C$159:$C$902,$A19,'Commodity Prices'!N$159:N$902)</f>
        <v>7519.5</v>
      </c>
      <c r="C19" s="778">
        <f>SUMIF('Commodity Prices'!$C$159:$C$902,$A19,'Commodity Prices'!O$159:O$902)</f>
        <v>2866.68</v>
      </c>
      <c r="D19" s="781">
        <f>SUMIF('Commodity Prices'!$C$159:$C$902,$A19,'Commodity Prices'!P$159:P$902)</f>
        <v>3483.38</v>
      </c>
      <c r="E19" s="10"/>
      <c r="F19" s="128">
        <f t="shared" si="1"/>
        <v>1996</v>
      </c>
      <c r="G19" s="128">
        <f t="shared" si="1"/>
        <v>1997</v>
      </c>
      <c r="H19" s="775" t="str">
        <f t="shared" si="0"/>
        <v>1996-97</v>
      </c>
      <c r="I19" s="724">
        <f t="array" ref="I19">IF($H$6="Historic Calendar Year",IFERROR(AVERAGE(IF($H19=YEAR('Commodity Prices'!C$100:C$1000),'Commodity Prices'!N$100:N$1000)),"NA"),IFERROR(IF(L19=0,"NA",L19),"NA"))</f>
        <v>2854.5266666666666</v>
      </c>
      <c r="J19" s="724">
        <f t="array" ref="J19">IF($H$6="Historic Calendar Year",IFERROR(AVERAGE(IF($H19=YEAR('Commodity Prices'!C$100:C$1000),'Commodity Prices'!O$100:O$1000)),"NA"),IFERROR(IF(M19=0,"NA",M19),"NA"))</f>
        <v>903.67757369012099</v>
      </c>
      <c r="K19" s="724">
        <f t="array" ref="K19">IF($H$6="Historic Calendar Year",IFERROR(AVERAGE(IF($H19=YEAR('Commodity Prices'!C$100:C$1000),'Commodity Prices'!P$100:P$1000)),"NA"),IFERROR(IF(N19=0,"NA",N19),"NA"))</f>
        <v>1446.5577506695543</v>
      </c>
      <c r="L19" s="333">
        <f>(SUMIFS('Commodity Prices'!$N$9:$N$2500,'Commodity Prices'!$A$9:$A$2500,'Alumina - Prices'!D18,'Commodity Prices'!$B$9:$B$2500,3)+
SUMIFS('Commodity Prices'!$N$9:$N$2500,'Commodity Prices'!$A$9:$A$2500,'Alumina - Prices'!D18,'Commodity Prices'!$B$9:$B$2500,4)+
SUMIFS('Commodity Prices'!$N$9:$N$2500,'Commodity Prices'!$A$9:$A$2500,'Alumina - Prices'!E18,'Commodity Prices'!$B$9:$B$2500,1)+
SUMIFS('Commodity Prices'!$N$9:$N$2500,'Commodity Prices'!$A$9:$A$2500,'Alumina - Prices'!E18,'Commodity Prices'!$B$9:$B$2500,2))
/(COUNTIFS('Commodity Prices'!$A$9:$A$2500,'Alumina - Prices'!D18,'Commodity Prices'!$B$9:$B$2500,3)+
COUNTIFS('Commodity Prices'!$A$9:$A$2500,'Alumina - Prices'!D18,'Commodity Prices'!$B$9:$B$2500,4)+
COUNTIFS('Commodity Prices'!$A$9:$A$2500,'Alumina - Prices'!E18,'Commodity Prices'!$B$9:$B$2500,1)+
COUNTIFS('Commodity Prices'!$A$9:$A$2500,'Alumina - Prices'!E18,'Commodity Prices'!$B$9:$B$2500,2))</f>
        <v>2854.5266666666666</v>
      </c>
      <c r="M19" s="333">
        <f>(SUMIFS('Commodity Prices'!$O$9:$O$2500,'Commodity Prices'!$A$9:$A$2500,'Alumina - Prices'!D18,'Commodity Prices'!$B$9:$B$2500,3)+
SUMIFS('Commodity Prices'!$O$9:$O$2500,'Commodity Prices'!$A$9:$A$2500,'Alumina - Prices'!D18,'Commodity Prices'!$B$9:$B$2500,4)+
SUMIFS('Commodity Prices'!$O$9:$O$2500,'Commodity Prices'!$A$9:$A$2500,'Alumina - Prices'!E18,'Commodity Prices'!$B$9:$B$2500,1)+
SUMIFS('Commodity Prices'!$O$9:$O$2500,'Commodity Prices'!$A$9:$A$2500,'Alumina - Prices'!E18,'Commodity Prices'!$B$9:$B$2500,2))
/(COUNTIFS('Commodity Prices'!$A$9:$A$2500,'Alumina - Prices'!D18,'Commodity Prices'!$B$9:$B$2500,3)+
COUNTIFS('Commodity Prices'!$A$9:$A$2500,'Alumina - Prices'!D18,'Commodity Prices'!$B$9:$B$2500,4)+
COUNTIFS('Commodity Prices'!$A$9:$A$2500,'Alumina - Prices'!E18,'Commodity Prices'!$B$9:$B$2500,1)+
COUNTIFS('Commodity Prices'!$A$9:$A$2500,'Alumina - Prices'!E18,'Commodity Prices'!$B$9:$B$2500,2))</f>
        <v>903.67757369012099</v>
      </c>
      <c r="N19" s="333">
        <f>(SUMIFS('Commodity Prices'!$P$9:$P$2500,'Commodity Prices'!$A$9:$A$2500,'Alumina - Prices'!D18,'Commodity Prices'!$B$9:$B$2500,3)+
SUMIFS('Commodity Prices'!$P$9:$P$2500,'Commodity Prices'!$A$9:$A$2500,'Alumina - Prices'!D18,'Commodity Prices'!$B$9:$B$2500,4)+
SUMIFS('Commodity Prices'!$P$9:$P$2500,'Commodity Prices'!$A$9:$A$2500,'Alumina - Prices'!E18,'Commodity Prices'!$B$9:$B$2500,1)+
SUMIFS('Commodity Prices'!$P$9:$P$2500,'Commodity Prices'!$A$9:$A$2500,'Alumina - Prices'!E18,'Commodity Prices'!$B$9:$B$2500,2))
/(COUNTIFS('Commodity Prices'!$A$9:$A$2500,'Alumina - Prices'!D18,'Commodity Prices'!$B$9:$B$2500,3)+
COUNTIFS('Commodity Prices'!$A$9:$A$2500,'Alumina - Prices'!D18,'Commodity Prices'!$B$9:$B$2500,4)+
COUNTIFS('Commodity Prices'!$A$9:$A$2500,'Alumina - Prices'!E18,'Commodity Prices'!$B$9:$B$2500,1)+
COUNTIFS('Commodity Prices'!$A$9:$A$2500,'Alumina - Prices'!E18,'Commodity Prices'!$B$9:$B$2500,2))</f>
        <v>1446.5577506695543</v>
      </c>
    </row>
    <row r="20" spans="1:14">
      <c r="A20" s="562">
        <f>LARGE('Commodity Prices'!C$159:C$902,49)</f>
        <v>42887</v>
      </c>
      <c r="B20" s="780">
        <f>SUMIF('Commodity Prices'!$C$159:$C$902,$A20,'Commodity Prices'!N$159:N$902)</f>
        <v>7538.9911375661368</v>
      </c>
      <c r="C20" s="780">
        <f>SUMIF('Commodity Prices'!$C$159:$C$902,$A20,'Commodity Prices'!O$159:O$902)</f>
        <v>2819.0235449735446</v>
      </c>
      <c r="D20" s="724">
        <f>SUMIF('Commodity Prices'!$C$159:$C$902,$A20,'Commodity Prices'!P$159:P$902)</f>
        <v>3402.0261904761901</v>
      </c>
      <c r="E20" s="10"/>
      <c r="F20" s="128">
        <f t="shared" si="1"/>
        <v>1997</v>
      </c>
      <c r="G20" s="128">
        <f t="shared" si="1"/>
        <v>1998</v>
      </c>
      <c r="H20" s="774" t="str">
        <f t="shared" si="0"/>
        <v>1997-98</v>
      </c>
      <c r="I20" s="781">
        <f t="array" ref="I20">IF($H$6="Historic Calendar Year",IFERROR(AVERAGE(IF($H20=YEAR('Commodity Prices'!C$100:C$1000),'Commodity Prices'!N$100:N$1000)),"NA"),IFERROR(IF(L20=0,"NA",L20),"NA"))</f>
        <v>2810.8533333333339</v>
      </c>
      <c r="J20" s="781">
        <f t="array" ref="J20">IF($H$6="Historic Calendar Year",IFERROR(AVERAGE(IF($H20=YEAR('Commodity Prices'!C$100:C$1000),'Commodity Prices'!O$100:O$1000)),"NA"),IFERROR(IF(M20=0,"NA",M20),"NA"))</f>
        <v>837.68075997102017</v>
      </c>
      <c r="K20" s="781">
        <f t="array" ref="K20">IF($H$6="Historic Calendar Year",IFERROR(AVERAGE(IF($H20=YEAR('Commodity Prices'!C$100:C$1000),'Commodity Prices'!P$100:P$1000)),"NA"),IFERROR(IF(N20=0,"NA",N20),"NA"))</f>
        <v>1798.3167198581029</v>
      </c>
      <c r="L20" s="333">
        <f>(SUMIFS('Commodity Prices'!$N$9:$N$2500,'Commodity Prices'!$A$9:$A$2500,'Alumina - Prices'!D19,'Commodity Prices'!$B$9:$B$2500,3)+
SUMIFS('Commodity Prices'!$N$9:$N$2500,'Commodity Prices'!$A$9:$A$2500,'Alumina - Prices'!D19,'Commodity Prices'!$B$9:$B$2500,4)+
SUMIFS('Commodity Prices'!$N$9:$N$2500,'Commodity Prices'!$A$9:$A$2500,'Alumina - Prices'!E19,'Commodity Prices'!$B$9:$B$2500,1)+
SUMIFS('Commodity Prices'!$N$9:$N$2500,'Commodity Prices'!$A$9:$A$2500,'Alumina - Prices'!E19,'Commodity Prices'!$B$9:$B$2500,2))
/(COUNTIFS('Commodity Prices'!$A$9:$A$2500,'Alumina - Prices'!D19,'Commodity Prices'!$B$9:$B$2500,3)+
COUNTIFS('Commodity Prices'!$A$9:$A$2500,'Alumina - Prices'!D19,'Commodity Prices'!$B$9:$B$2500,4)+
COUNTIFS('Commodity Prices'!$A$9:$A$2500,'Alumina - Prices'!E19,'Commodity Prices'!$B$9:$B$2500,1)+
COUNTIFS('Commodity Prices'!$A$9:$A$2500,'Alumina - Prices'!E19,'Commodity Prices'!$B$9:$B$2500,2))</f>
        <v>2810.8533333333339</v>
      </c>
      <c r="M20" s="333">
        <f>(SUMIFS('Commodity Prices'!$O$9:$O$2500,'Commodity Prices'!$A$9:$A$2500,'Alumina - Prices'!D19,'Commodity Prices'!$B$9:$B$2500,3)+
SUMIFS('Commodity Prices'!$O$9:$O$2500,'Commodity Prices'!$A$9:$A$2500,'Alumina - Prices'!D19,'Commodity Prices'!$B$9:$B$2500,4)+
SUMIFS('Commodity Prices'!$O$9:$O$2500,'Commodity Prices'!$A$9:$A$2500,'Alumina - Prices'!E19,'Commodity Prices'!$B$9:$B$2500,1)+
SUMIFS('Commodity Prices'!$O$9:$O$2500,'Commodity Prices'!$A$9:$A$2500,'Alumina - Prices'!E19,'Commodity Prices'!$B$9:$B$2500,2))
/(COUNTIFS('Commodity Prices'!$A$9:$A$2500,'Alumina - Prices'!D19,'Commodity Prices'!$B$9:$B$2500,3)+
COUNTIFS('Commodity Prices'!$A$9:$A$2500,'Alumina - Prices'!D19,'Commodity Prices'!$B$9:$B$2500,4)+
COUNTIFS('Commodity Prices'!$A$9:$A$2500,'Alumina - Prices'!E19,'Commodity Prices'!$B$9:$B$2500,1)+
COUNTIFS('Commodity Prices'!$A$9:$A$2500,'Alumina - Prices'!E19,'Commodity Prices'!$B$9:$B$2500,2))</f>
        <v>837.68075997102017</v>
      </c>
      <c r="N20" s="333">
        <f>(SUMIFS('Commodity Prices'!$P$9:$P$2500,'Commodity Prices'!$A$9:$A$2500,'Alumina - Prices'!D19,'Commodity Prices'!$B$9:$B$2500,3)+
SUMIFS('Commodity Prices'!$P$9:$P$2500,'Commodity Prices'!$A$9:$A$2500,'Alumina - Prices'!D19,'Commodity Prices'!$B$9:$B$2500,4)+
SUMIFS('Commodity Prices'!$P$9:$P$2500,'Commodity Prices'!$A$9:$A$2500,'Alumina - Prices'!E19,'Commodity Prices'!$B$9:$B$2500,1)+
SUMIFS('Commodity Prices'!$P$9:$P$2500,'Commodity Prices'!$A$9:$A$2500,'Alumina - Prices'!E19,'Commodity Prices'!$B$9:$B$2500,2))
/(COUNTIFS('Commodity Prices'!$A$9:$A$2500,'Alumina - Prices'!D19,'Commodity Prices'!$B$9:$B$2500,3)+
COUNTIFS('Commodity Prices'!$A$9:$A$2500,'Alumina - Prices'!D19,'Commodity Prices'!$B$9:$B$2500,4)+
COUNTIFS('Commodity Prices'!$A$9:$A$2500,'Alumina - Prices'!E19,'Commodity Prices'!$B$9:$B$2500,1)+
COUNTIFS('Commodity Prices'!$A$9:$A$2500,'Alumina - Prices'!E19,'Commodity Prices'!$B$9:$B$2500,2))</f>
        <v>1798.3167198581029</v>
      </c>
    </row>
    <row r="21" spans="1:14">
      <c r="A21" s="599">
        <f>LARGE('Commodity Prices'!C$159:C$902,48)</f>
        <v>42917</v>
      </c>
      <c r="B21" s="778">
        <f>SUMIF('Commodity Prices'!$C$159:$C$902,$A21,'Commodity Prices'!N$159:N$902)</f>
        <v>7659.955156950673</v>
      </c>
      <c r="C21" s="778">
        <f>SUMIF('Commodity Prices'!$C$159:$C$902,$A21,'Commodity Prices'!O$159:O$902)</f>
        <v>2903.7860345932099</v>
      </c>
      <c r="D21" s="781">
        <f>SUMIF('Commodity Prices'!$C$159:$C$902,$A21,'Commodity Prices'!P$159:P$902)</f>
        <v>3568.3472133247915</v>
      </c>
      <c r="E21" s="10"/>
      <c r="F21" s="128">
        <f t="shared" si="1"/>
        <v>1998</v>
      </c>
      <c r="G21" s="128">
        <f t="shared" si="1"/>
        <v>1999</v>
      </c>
      <c r="H21" s="775" t="str">
        <f t="shared" si="0"/>
        <v>1998-99</v>
      </c>
      <c r="I21" s="724">
        <f t="array" ref="I21">IF($H$6="Historic Calendar Year",IFERROR(AVERAGE(IF($H21=YEAR('Commodity Prices'!C$100:C$1000),'Commodity Prices'!N$100:N$1000)),"NA"),IFERROR(IF(L21=0,"NA",L21),"NA"))</f>
        <v>2420.6691666666666</v>
      </c>
      <c r="J21" s="724">
        <f t="array" ref="J21">IF($H$6="Historic Calendar Year",IFERROR(AVERAGE(IF($H21=YEAR('Commodity Prices'!C$100:C$1000),'Commodity Prices'!O$100:O$1000)),"NA"),IFERROR(IF(M21=0,"NA",M21),"NA"))</f>
        <v>819.82455898297314</v>
      </c>
      <c r="K21" s="724">
        <f t="array" ref="K21">IF($H$6="Historic Calendar Year",IFERROR(AVERAGE(IF($H21=YEAR('Commodity Prices'!C$100:C$1000),'Commodity Prices'!P$100:P$1000)),"NA"),IFERROR(IF(N21=0,"NA",N21),"NA"))</f>
        <v>1592.9354116537554</v>
      </c>
      <c r="L21" s="333">
        <f>(SUMIFS('Commodity Prices'!$N$9:$N$2500,'Commodity Prices'!$A$9:$A$2500,'Alumina - Prices'!D20,'Commodity Prices'!$B$9:$B$2500,3)+
SUMIFS('Commodity Prices'!$N$9:$N$2500,'Commodity Prices'!$A$9:$A$2500,'Alumina - Prices'!D20,'Commodity Prices'!$B$9:$B$2500,4)+
SUMIFS('Commodity Prices'!$N$9:$N$2500,'Commodity Prices'!$A$9:$A$2500,'Alumina - Prices'!E20,'Commodity Prices'!$B$9:$B$2500,1)+
SUMIFS('Commodity Prices'!$N$9:$N$2500,'Commodity Prices'!$A$9:$A$2500,'Alumina - Prices'!E20,'Commodity Prices'!$B$9:$B$2500,2))
/(COUNTIFS('Commodity Prices'!$A$9:$A$2500,'Alumina - Prices'!D20,'Commodity Prices'!$B$9:$B$2500,3)+
COUNTIFS('Commodity Prices'!$A$9:$A$2500,'Alumina - Prices'!D20,'Commodity Prices'!$B$9:$B$2500,4)+
COUNTIFS('Commodity Prices'!$A$9:$A$2500,'Alumina - Prices'!E20,'Commodity Prices'!$B$9:$B$2500,1)+
COUNTIFS('Commodity Prices'!$A$9:$A$2500,'Alumina - Prices'!E20,'Commodity Prices'!$B$9:$B$2500,2))</f>
        <v>2420.6691666666666</v>
      </c>
      <c r="M21" s="333">
        <f>(SUMIFS('Commodity Prices'!$O$9:$O$2500,'Commodity Prices'!$A$9:$A$2500,'Alumina - Prices'!D20,'Commodity Prices'!$B$9:$B$2500,3)+
SUMIFS('Commodity Prices'!$O$9:$O$2500,'Commodity Prices'!$A$9:$A$2500,'Alumina - Prices'!D20,'Commodity Prices'!$B$9:$B$2500,4)+
SUMIFS('Commodity Prices'!$O$9:$O$2500,'Commodity Prices'!$A$9:$A$2500,'Alumina - Prices'!E20,'Commodity Prices'!$B$9:$B$2500,1)+
SUMIFS('Commodity Prices'!$O$9:$O$2500,'Commodity Prices'!$A$9:$A$2500,'Alumina - Prices'!E20,'Commodity Prices'!$B$9:$B$2500,2))
/(COUNTIFS('Commodity Prices'!$A$9:$A$2500,'Alumina - Prices'!D20,'Commodity Prices'!$B$9:$B$2500,3)+
COUNTIFS('Commodity Prices'!$A$9:$A$2500,'Alumina - Prices'!D20,'Commodity Prices'!$B$9:$B$2500,4)+
COUNTIFS('Commodity Prices'!$A$9:$A$2500,'Alumina - Prices'!E20,'Commodity Prices'!$B$9:$B$2500,1)+
COUNTIFS('Commodity Prices'!$A$9:$A$2500,'Alumina - Prices'!E20,'Commodity Prices'!$B$9:$B$2500,2))</f>
        <v>819.82455898297314</v>
      </c>
      <c r="N21" s="333">
        <f>(SUMIFS('Commodity Prices'!$P$9:$P$2500,'Commodity Prices'!$A$9:$A$2500,'Alumina - Prices'!D20,'Commodity Prices'!$B$9:$B$2500,3)+
SUMIFS('Commodity Prices'!$P$9:$P$2500,'Commodity Prices'!$A$9:$A$2500,'Alumina - Prices'!D20,'Commodity Prices'!$B$9:$B$2500,4)+
SUMIFS('Commodity Prices'!$P$9:$P$2500,'Commodity Prices'!$A$9:$A$2500,'Alumina - Prices'!E20,'Commodity Prices'!$B$9:$B$2500,1)+
SUMIFS('Commodity Prices'!$P$9:$P$2500,'Commodity Prices'!$A$9:$A$2500,'Alumina - Prices'!E20,'Commodity Prices'!$B$9:$B$2500,2))
/(COUNTIFS('Commodity Prices'!$A$9:$A$2500,'Alumina - Prices'!D20,'Commodity Prices'!$B$9:$B$2500,3)+
COUNTIFS('Commodity Prices'!$A$9:$A$2500,'Alumina - Prices'!D20,'Commodity Prices'!$B$9:$B$2500,4)+
COUNTIFS('Commodity Prices'!$A$9:$A$2500,'Alumina - Prices'!E20,'Commodity Prices'!$B$9:$B$2500,1)+
COUNTIFS('Commodity Prices'!$A$9:$A$2500,'Alumina - Prices'!E20,'Commodity Prices'!$B$9:$B$2500,2))</f>
        <v>1592.9354116537554</v>
      </c>
    </row>
    <row r="22" spans="1:14">
      <c r="A22" s="562">
        <f>LARGE('Commodity Prices'!C$159:C$902,47)</f>
        <v>42948</v>
      </c>
      <c r="B22" s="780">
        <f>SUMIF('Commodity Prices'!$C$159:$C$902,$A22,'Commodity Prices'!N$159:N$902)</f>
        <v>8183.6556571271076</v>
      </c>
      <c r="C22" s="780">
        <f>SUMIF('Commodity Prices'!$C$159:$C$902,$A22,'Commodity Prices'!O$159:O$902)</f>
        <v>2977.9158436308517</v>
      </c>
      <c r="D22" s="724">
        <f>SUMIF('Commodity Prices'!$C$159:$C$902,$A22,'Commodity Prices'!P$159:P$902)</f>
        <v>3766.8530938490512</v>
      </c>
      <c r="E22" s="10"/>
      <c r="F22" s="128">
        <f t="shared" si="1"/>
        <v>1999</v>
      </c>
      <c r="G22" s="128">
        <f t="shared" si="1"/>
        <v>2000</v>
      </c>
      <c r="H22" s="774" t="str">
        <f t="shared" si="0"/>
        <v>1999-00</v>
      </c>
      <c r="I22" s="781">
        <f t="array" ref="I22">IF($H$6="Historic Calendar Year",IFERROR(AVERAGE(IF($H22=YEAR('Commodity Prices'!C$100:C$1000),'Commodity Prices'!N$100:N$1000)),"NA"),IFERROR(IF(L22=0,"NA",L22),"NA"))</f>
        <v>2769.6666666666665</v>
      </c>
      <c r="J22" s="781">
        <f t="array" ref="J22">IF($H$6="Historic Calendar Year",IFERROR(AVERAGE(IF($H22=YEAR('Commodity Prices'!C$100:C$1000),'Commodity Prices'!O$100:O$1000)),"NA"),IFERROR(IF(M22=0,"NA",M22),"NA"))</f>
        <v>738.57393658698959</v>
      </c>
      <c r="K22" s="781">
        <f t="array" ref="K22">IF($H$6="Historic Calendar Year",IFERROR(AVERAGE(IF($H22=YEAR('Commodity Prices'!C$100:C$1000),'Commodity Prices'!P$100:P$1000)),"NA"),IFERROR(IF(N22=0,"NA",N22),"NA"))</f>
        <v>1814.5016197014183</v>
      </c>
      <c r="L22" s="333">
        <f>(SUMIFS('Commodity Prices'!$N$9:$N$2500,'Commodity Prices'!$A$9:$A$2500,'Alumina - Prices'!D21,'Commodity Prices'!$B$9:$B$2500,3)+
SUMIFS('Commodity Prices'!$N$9:$N$2500,'Commodity Prices'!$A$9:$A$2500,'Alumina - Prices'!D21,'Commodity Prices'!$B$9:$B$2500,4)+
SUMIFS('Commodity Prices'!$N$9:$N$2500,'Commodity Prices'!$A$9:$A$2500,'Alumina - Prices'!E21,'Commodity Prices'!$B$9:$B$2500,1)+
SUMIFS('Commodity Prices'!$N$9:$N$2500,'Commodity Prices'!$A$9:$A$2500,'Alumina - Prices'!E21,'Commodity Prices'!$B$9:$B$2500,2))
/(COUNTIFS('Commodity Prices'!$A$9:$A$2500,'Alumina - Prices'!D21,'Commodity Prices'!$B$9:$B$2500,3)+
COUNTIFS('Commodity Prices'!$A$9:$A$2500,'Alumina - Prices'!D21,'Commodity Prices'!$B$9:$B$2500,4)+
COUNTIFS('Commodity Prices'!$A$9:$A$2500,'Alumina - Prices'!E21,'Commodity Prices'!$B$9:$B$2500,1)+
COUNTIFS('Commodity Prices'!$A$9:$A$2500,'Alumina - Prices'!E21,'Commodity Prices'!$B$9:$B$2500,2))</f>
        <v>2769.6666666666665</v>
      </c>
      <c r="M22" s="333">
        <f>(SUMIFS('Commodity Prices'!$O$9:$O$2500,'Commodity Prices'!$A$9:$A$2500,'Alumina - Prices'!D21,'Commodity Prices'!$B$9:$B$2500,3)+
SUMIFS('Commodity Prices'!$O$9:$O$2500,'Commodity Prices'!$A$9:$A$2500,'Alumina - Prices'!D21,'Commodity Prices'!$B$9:$B$2500,4)+
SUMIFS('Commodity Prices'!$O$9:$O$2500,'Commodity Prices'!$A$9:$A$2500,'Alumina - Prices'!E21,'Commodity Prices'!$B$9:$B$2500,1)+
SUMIFS('Commodity Prices'!$O$9:$O$2500,'Commodity Prices'!$A$9:$A$2500,'Alumina - Prices'!E21,'Commodity Prices'!$B$9:$B$2500,2))
/(COUNTIFS('Commodity Prices'!$A$9:$A$2500,'Alumina - Prices'!D21,'Commodity Prices'!$B$9:$B$2500,3)+
COUNTIFS('Commodity Prices'!$A$9:$A$2500,'Alumina - Prices'!D21,'Commodity Prices'!$B$9:$B$2500,4)+
COUNTIFS('Commodity Prices'!$A$9:$A$2500,'Alumina - Prices'!E21,'Commodity Prices'!$B$9:$B$2500,1)+
COUNTIFS('Commodity Prices'!$A$9:$A$2500,'Alumina - Prices'!E21,'Commodity Prices'!$B$9:$B$2500,2))</f>
        <v>738.57393658698959</v>
      </c>
      <c r="N22" s="333">
        <f>(SUMIFS('Commodity Prices'!$P$9:$P$2500,'Commodity Prices'!$A$9:$A$2500,'Alumina - Prices'!D21,'Commodity Prices'!$B$9:$B$2500,3)+
SUMIFS('Commodity Prices'!$P$9:$P$2500,'Commodity Prices'!$A$9:$A$2500,'Alumina - Prices'!D21,'Commodity Prices'!$B$9:$B$2500,4)+
SUMIFS('Commodity Prices'!$P$9:$P$2500,'Commodity Prices'!$A$9:$A$2500,'Alumina - Prices'!E21,'Commodity Prices'!$B$9:$B$2500,1)+
SUMIFS('Commodity Prices'!$P$9:$P$2500,'Commodity Prices'!$A$9:$A$2500,'Alumina - Prices'!E21,'Commodity Prices'!$B$9:$B$2500,2))
/(COUNTIFS('Commodity Prices'!$A$9:$A$2500,'Alumina - Prices'!D21,'Commodity Prices'!$B$9:$B$2500,3)+
COUNTIFS('Commodity Prices'!$A$9:$A$2500,'Alumina - Prices'!D21,'Commodity Prices'!$B$9:$B$2500,4)+
COUNTIFS('Commodity Prices'!$A$9:$A$2500,'Alumina - Prices'!E21,'Commodity Prices'!$B$9:$B$2500,1)+
COUNTIFS('Commodity Prices'!$A$9:$A$2500,'Alumina - Prices'!E21,'Commodity Prices'!$B$9:$B$2500,2))</f>
        <v>1814.5016197014183</v>
      </c>
    </row>
    <row r="23" spans="1:14">
      <c r="A23" s="599">
        <f>LARGE('Commodity Prices'!C$159:C$902,46)</f>
        <v>42979</v>
      </c>
      <c r="B23" s="778">
        <f>SUMIF('Commodity Prices'!$C$159:$C$902,$A23,'Commodity Prices'!N$159:N$902)</f>
        <v>8263.0739299610905</v>
      </c>
      <c r="C23" s="778">
        <f>SUMIF('Commodity Prices'!$C$159:$C$902,$A23,'Commodity Prices'!O$159:O$902)</f>
        <v>2983.9161541358103</v>
      </c>
      <c r="D23" s="781">
        <f>SUMIF('Commodity Prices'!$C$159:$C$902,$A23,'Commodity Prices'!P$159:P$902)</f>
        <v>3915.8855278021842</v>
      </c>
      <c r="E23" s="10"/>
      <c r="F23" s="128">
        <f t="shared" si="1"/>
        <v>2000</v>
      </c>
      <c r="G23" s="128">
        <f t="shared" si="1"/>
        <v>2001</v>
      </c>
      <c r="H23" s="775" t="str">
        <f t="shared" si="0"/>
        <v>2000-01</v>
      </c>
      <c r="I23" s="724">
        <f t="array" ref="I23">IF($H$6="Historic Calendar Year",IFERROR(AVERAGE(IF($H23=YEAR('Commodity Prices'!C$100:C$1000),'Commodity Prices'!N$100:N$1000)),"NA"),IFERROR(IF(L23=0,"NA",L23),"NA"))</f>
        <v>3320.1166666666668</v>
      </c>
      <c r="J23" s="724">
        <f t="array" ref="J23">IF($H$6="Historic Calendar Year",IFERROR(AVERAGE(IF($H23=YEAR('Commodity Prices'!C$100:C$1000),'Commodity Prices'!O$100:O$1000)),"NA"),IFERROR(IF(M23=0,"NA",M23),"NA"))</f>
        <v>885.02838264918728</v>
      </c>
      <c r="K23" s="724">
        <f t="array" ref="K23">IF($H$6="Historic Calendar Year",IFERROR(AVERAGE(IF($H23=YEAR('Commodity Prices'!C$100:C$1000),'Commodity Prices'!P$100:P$1000)),"NA"),IFERROR(IF(N23=0,"NA",N23),"NA"))</f>
        <v>1954.1053574329351</v>
      </c>
      <c r="L23" s="333">
        <f>(SUMIFS('Commodity Prices'!$N$9:$N$2500,'Commodity Prices'!$A$9:$A$2500,'Alumina - Prices'!D22,'Commodity Prices'!$B$9:$B$2500,3)+
SUMIFS('Commodity Prices'!$N$9:$N$2500,'Commodity Prices'!$A$9:$A$2500,'Alumina - Prices'!D22,'Commodity Prices'!$B$9:$B$2500,4)+
SUMIFS('Commodity Prices'!$N$9:$N$2500,'Commodity Prices'!$A$9:$A$2500,'Alumina - Prices'!E22,'Commodity Prices'!$B$9:$B$2500,1)+
SUMIFS('Commodity Prices'!$N$9:$N$2500,'Commodity Prices'!$A$9:$A$2500,'Alumina - Prices'!E22,'Commodity Prices'!$B$9:$B$2500,2))
/(COUNTIFS('Commodity Prices'!$A$9:$A$2500,'Alumina - Prices'!D22,'Commodity Prices'!$B$9:$B$2500,3)+
COUNTIFS('Commodity Prices'!$A$9:$A$2500,'Alumina - Prices'!D22,'Commodity Prices'!$B$9:$B$2500,4)+
COUNTIFS('Commodity Prices'!$A$9:$A$2500,'Alumina - Prices'!E22,'Commodity Prices'!$B$9:$B$2500,1)+
COUNTIFS('Commodity Prices'!$A$9:$A$2500,'Alumina - Prices'!E22,'Commodity Prices'!$B$9:$B$2500,2))</f>
        <v>3320.1166666666668</v>
      </c>
      <c r="M23" s="333">
        <f>(SUMIFS('Commodity Prices'!$O$9:$O$2500,'Commodity Prices'!$A$9:$A$2500,'Alumina - Prices'!D22,'Commodity Prices'!$B$9:$B$2500,3)+
SUMIFS('Commodity Prices'!$O$9:$O$2500,'Commodity Prices'!$A$9:$A$2500,'Alumina - Prices'!D22,'Commodity Prices'!$B$9:$B$2500,4)+
SUMIFS('Commodity Prices'!$O$9:$O$2500,'Commodity Prices'!$A$9:$A$2500,'Alumina - Prices'!E22,'Commodity Prices'!$B$9:$B$2500,1)+
SUMIFS('Commodity Prices'!$O$9:$O$2500,'Commodity Prices'!$A$9:$A$2500,'Alumina - Prices'!E22,'Commodity Prices'!$B$9:$B$2500,2))
/(COUNTIFS('Commodity Prices'!$A$9:$A$2500,'Alumina - Prices'!D22,'Commodity Prices'!$B$9:$B$2500,3)+
COUNTIFS('Commodity Prices'!$A$9:$A$2500,'Alumina - Prices'!D22,'Commodity Prices'!$B$9:$B$2500,4)+
COUNTIFS('Commodity Prices'!$A$9:$A$2500,'Alumina - Prices'!E22,'Commodity Prices'!$B$9:$B$2500,1)+
COUNTIFS('Commodity Prices'!$A$9:$A$2500,'Alumina - Prices'!E22,'Commodity Prices'!$B$9:$B$2500,2))</f>
        <v>885.02838264918728</v>
      </c>
      <c r="N23" s="333">
        <f>(SUMIFS('Commodity Prices'!$P$9:$P$2500,'Commodity Prices'!$A$9:$A$2500,'Alumina - Prices'!D22,'Commodity Prices'!$B$9:$B$2500,3)+
SUMIFS('Commodity Prices'!$P$9:$P$2500,'Commodity Prices'!$A$9:$A$2500,'Alumina - Prices'!D22,'Commodity Prices'!$B$9:$B$2500,4)+
SUMIFS('Commodity Prices'!$P$9:$P$2500,'Commodity Prices'!$A$9:$A$2500,'Alumina - Prices'!E22,'Commodity Prices'!$B$9:$B$2500,1)+
SUMIFS('Commodity Prices'!$P$9:$P$2500,'Commodity Prices'!$A$9:$A$2500,'Alumina - Prices'!E22,'Commodity Prices'!$B$9:$B$2500,2))
/(COUNTIFS('Commodity Prices'!$A$9:$A$2500,'Alumina - Prices'!D22,'Commodity Prices'!$B$9:$B$2500,3)+
COUNTIFS('Commodity Prices'!$A$9:$A$2500,'Alumina - Prices'!D22,'Commodity Prices'!$B$9:$B$2500,4)+
COUNTIFS('Commodity Prices'!$A$9:$A$2500,'Alumina - Prices'!E22,'Commodity Prices'!$B$9:$B$2500,1)+
COUNTIFS('Commodity Prices'!$A$9:$A$2500,'Alumina - Prices'!E22,'Commodity Prices'!$B$9:$B$2500,2))</f>
        <v>1954.1053574329351</v>
      </c>
    </row>
    <row r="24" spans="1:14">
      <c r="A24" s="562">
        <f>LARGE('Commodity Prices'!C$159:C$902,45)</f>
        <v>43009</v>
      </c>
      <c r="B24" s="780">
        <f>SUMIF('Commodity Prices'!$C$159:$C$902,$A24,'Commodity Prices'!N$159:N$902)</f>
        <v>8729.1465262617185</v>
      </c>
      <c r="C24" s="780">
        <f>SUMIF('Commodity Prices'!$C$159:$C$902,$A24,'Commodity Prices'!O$159:O$902)</f>
        <v>3218.5636316938489</v>
      </c>
      <c r="D24" s="724">
        <f>SUMIF('Commodity Prices'!$C$159:$C$902,$A24,'Commodity Prices'!P$159:P$902)</f>
        <v>4204.3848722229359</v>
      </c>
      <c r="E24" s="10"/>
      <c r="F24" s="128">
        <f t="shared" si="1"/>
        <v>2001</v>
      </c>
      <c r="G24" s="128">
        <f t="shared" si="1"/>
        <v>2002</v>
      </c>
      <c r="H24" s="774" t="str">
        <f t="shared" si="0"/>
        <v>2001-02</v>
      </c>
      <c r="I24" s="781">
        <f t="array" ref="I24">IF($H$6="Historic Calendar Year",IFERROR(AVERAGE(IF($H24=YEAR('Commodity Prices'!C$100:C$1000),'Commodity Prices'!N$100:N$1000)),"NA"),IFERROR(IF(L24=0,"NA",L24),"NA"))</f>
        <v>2894.9324999999994</v>
      </c>
      <c r="J24" s="781">
        <f t="array" ref="J24">IF($H$6="Historic Calendar Year",IFERROR(AVERAGE(IF($H24=YEAR('Commodity Prices'!C$100:C$1000),'Commodity Prices'!O$100:O$1000)),"NA"),IFERROR(IF(M24=0,"NA",M24),"NA"))</f>
        <v>905.95723009450069</v>
      </c>
      <c r="K24" s="781">
        <f t="array" ref="K24">IF($H$6="Historic Calendar Year",IFERROR(AVERAGE(IF($H24=YEAR('Commodity Prices'!C$100:C$1000),'Commodity Prices'!P$100:P$1000)),"NA"),IFERROR(IF(N24=0,"NA",N24),"NA"))</f>
        <v>1512.9334727119378</v>
      </c>
      <c r="L24" s="333">
        <f>(SUMIFS('Commodity Prices'!$N$9:$N$2500,'Commodity Prices'!$A$9:$A$2500,'Alumina - Prices'!D23,'Commodity Prices'!$B$9:$B$2500,3)+
SUMIFS('Commodity Prices'!$N$9:$N$2500,'Commodity Prices'!$A$9:$A$2500,'Alumina - Prices'!D23,'Commodity Prices'!$B$9:$B$2500,4)+
SUMIFS('Commodity Prices'!$N$9:$N$2500,'Commodity Prices'!$A$9:$A$2500,'Alumina - Prices'!E23,'Commodity Prices'!$B$9:$B$2500,1)+
SUMIFS('Commodity Prices'!$N$9:$N$2500,'Commodity Prices'!$A$9:$A$2500,'Alumina - Prices'!E23,'Commodity Prices'!$B$9:$B$2500,2))
/(COUNTIFS('Commodity Prices'!$A$9:$A$2500,'Alumina - Prices'!D23,'Commodity Prices'!$B$9:$B$2500,3)+
COUNTIFS('Commodity Prices'!$A$9:$A$2500,'Alumina - Prices'!D23,'Commodity Prices'!$B$9:$B$2500,4)+
COUNTIFS('Commodity Prices'!$A$9:$A$2500,'Alumina - Prices'!E23,'Commodity Prices'!$B$9:$B$2500,1)+
COUNTIFS('Commodity Prices'!$A$9:$A$2500,'Alumina - Prices'!E23,'Commodity Prices'!$B$9:$B$2500,2))</f>
        <v>2894.9324999999994</v>
      </c>
      <c r="M24" s="333">
        <f>(SUMIFS('Commodity Prices'!$O$9:$O$2500,'Commodity Prices'!$A$9:$A$2500,'Alumina - Prices'!D23,'Commodity Prices'!$B$9:$B$2500,3)+
SUMIFS('Commodity Prices'!$O$9:$O$2500,'Commodity Prices'!$A$9:$A$2500,'Alumina - Prices'!D23,'Commodity Prices'!$B$9:$B$2500,4)+
SUMIFS('Commodity Prices'!$O$9:$O$2500,'Commodity Prices'!$A$9:$A$2500,'Alumina - Prices'!E23,'Commodity Prices'!$B$9:$B$2500,1)+
SUMIFS('Commodity Prices'!$O$9:$O$2500,'Commodity Prices'!$A$9:$A$2500,'Alumina - Prices'!E23,'Commodity Prices'!$B$9:$B$2500,2))
/(COUNTIFS('Commodity Prices'!$A$9:$A$2500,'Alumina - Prices'!D23,'Commodity Prices'!$B$9:$B$2500,3)+
COUNTIFS('Commodity Prices'!$A$9:$A$2500,'Alumina - Prices'!D23,'Commodity Prices'!$B$9:$B$2500,4)+
COUNTIFS('Commodity Prices'!$A$9:$A$2500,'Alumina - Prices'!E23,'Commodity Prices'!$B$9:$B$2500,1)+
COUNTIFS('Commodity Prices'!$A$9:$A$2500,'Alumina - Prices'!E23,'Commodity Prices'!$B$9:$B$2500,2))</f>
        <v>905.95723009450069</v>
      </c>
      <c r="N24" s="333">
        <f>(SUMIFS('Commodity Prices'!$P$9:$P$2500,'Commodity Prices'!$A$9:$A$2500,'Alumina - Prices'!D23,'Commodity Prices'!$B$9:$B$2500,3)+
SUMIFS('Commodity Prices'!$P$9:$P$2500,'Commodity Prices'!$A$9:$A$2500,'Alumina - Prices'!D23,'Commodity Prices'!$B$9:$B$2500,4)+
SUMIFS('Commodity Prices'!$P$9:$P$2500,'Commodity Prices'!$A$9:$A$2500,'Alumina - Prices'!E23,'Commodity Prices'!$B$9:$B$2500,1)+
SUMIFS('Commodity Prices'!$P$9:$P$2500,'Commodity Prices'!$A$9:$A$2500,'Alumina - Prices'!E23,'Commodity Prices'!$B$9:$B$2500,2))
/(COUNTIFS('Commodity Prices'!$A$9:$A$2500,'Alumina - Prices'!D23,'Commodity Prices'!$B$9:$B$2500,3)+
COUNTIFS('Commodity Prices'!$A$9:$A$2500,'Alumina - Prices'!D23,'Commodity Prices'!$B$9:$B$2500,4)+
COUNTIFS('Commodity Prices'!$A$9:$A$2500,'Alumina - Prices'!E23,'Commodity Prices'!$B$9:$B$2500,1)+
COUNTIFS('Commodity Prices'!$A$9:$A$2500,'Alumina - Prices'!E23,'Commodity Prices'!$B$9:$B$2500,2))</f>
        <v>1512.9334727119378</v>
      </c>
    </row>
    <row r="25" spans="1:14">
      <c r="A25" s="599">
        <f>LARGE('Commodity Prices'!C$159:C$902,44)</f>
        <v>43040</v>
      </c>
      <c r="B25" s="778">
        <f>SUMIF('Commodity Prices'!$C$159:$C$902,$A25,'Commodity Prices'!N$159:N$902)</f>
        <v>8953.9134199134205</v>
      </c>
      <c r="C25" s="778">
        <f>SUMIF('Commodity Prices'!$C$159:$C$902,$A25,'Commodity Prices'!O$159:O$902)</f>
        <v>3232.8598976780795</v>
      </c>
      <c r="D25" s="781">
        <f>SUMIF('Commodity Prices'!$C$159:$C$902,$A25,'Commodity Prices'!P$159:P$902)</f>
        <v>4245.2565918929558</v>
      </c>
      <c r="E25" s="10"/>
      <c r="F25" s="128">
        <f t="shared" si="1"/>
        <v>2002</v>
      </c>
      <c r="G25" s="128">
        <f t="shared" si="1"/>
        <v>2003</v>
      </c>
      <c r="H25" s="775" t="str">
        <f t="shared" si="0"/>
        <v>2002-03</v>
      </c>
      <c r="I25" s="724">
        <f t="array" ref="I25">IF($H$6="Historic Calendar Year",IFERROR(AVERAGE(IF($H25=YEAR('Commodity Prices'!C$100:C$1000),'Commodity Prices'!N$100:N$1000)),"NA"),IFERROR(IF(L25=0,"NA",L25),"NA"))</f>
        <v>2729.9175</v>
      </c>
      <c r="J25" s="724">
        <f t="array" ref="J25">IF($H$6="Historic Calendar Year",IFERROR(AVERAGE(IF($H25=YEAR('Commodity Prices'!C$100:C$1000),'Commodity Prices'!O$100:O$1000)),"NA"),IFERROR(IF(M25=0,"NA",M25),"NA"))</f>
        <v>762.68061301323462</v>
      </c>
      <c r="K25" s="724">
        <f t="array" ref="K25">IF($H$6="Historic Calendar Year",IFERROR(AVERAGE(IF($H25=YEAR('Commodity Prices'!C$100:C$1000),'Commodity Prices'!P$100:P$1000)),"NA"),IFERROR(IF(N25=0,"NA",N25),"NA"))</f>
        <v>1329.298286335988</v>
      </c>
      <c r="L25" s="333">
        <f>(SUMIFS('Commodity Prices'!$N$9:$N$2500,'Commodity Prices'!$A$9:$A$2500,'Alumina - Prices'!D24,'Commodity Prices'!$B$9:$B$2500,3)+
SUMIFS('Commodity Prices'!$N$9:$N$2500,'Commodity Prices'!$A$9:$A$2500,'Alumina - Prices'!D24,'Commodity Prices'!$B$9:$B$2500,4)+
SUMIFS('Commodity Prices'!$N$9:$N$2500,'Commodity Prices'!$A$9:$A$2500,'Alumina - Prices'!E24,'Commodity Prices'!$B$9:$B$2500,1)+
SUMIFS('Commodity Prices'!$N$9:$N$2500,'Commodity Prices'!$A$9:$A$2500,'Alumina - Prices'!E24,'Commodity Prices'!$B$9:$B$2500,2))
/(COUNTIFS('Commodity Prices'!$A$9:$A$2500,'Alumina - Prices'!D24,'Commodity Prices'!$B$9:$B$2500,3)+
COUNTIFS('Commodity Prices'!$A$9:$A$2500,'Alumina - Prices'!D24,'Commodity Prices'!$B$9:$B$2500,4)+
COUNTIFS('Commodity Prices'!$A$9:$A$2500,'Alumina - Prices'!E24,'Commodity Prices'!$B$9:$B$2500,1)+
COUNTIFS('Commodity Prices'!$A$9:$A$2500,'Alumina - Prices'!E24,'Commodity Prices'!$B$9:$B$2500,2))</f>
        <v>2729.9175</v>
      </c>
      <c r="M25" s="333">
        <f>(SUMIFS('Commodity Prices'!$O$9:$O$2500,'Commodity Prices'!$A$9:$A$2500,'Alumina - Prices'!D24,'Commodity Prices'!$B$9:$B$2500,3)+
SUMIFS('Commodity Prices'!$O$9:$O$2500,'Commodity Prices'!$A$9:$A$2500,'Alumina - Prices'!D24,'Commodity Prices'!$B$9:$B$2500,4)+
SUMIFS('Commodity Prices'!$O$9:$O$2500,'Commodity Prices'!$A$9:$A$2500,'Alumina - Prices'!E24,'Commodity Prices'!$B$9:$B$2500,1)+
SUMIFS('Commodity Prices'!$O$9:$O$2500,'Commodity Prices'!$A$9:$A$2500,'Alumina - Prices'!E24,'Commodity Prices'!$B$9:$B$2500,2))
/(COUNTIFS('Commodity Prices'!$A$9:$A$2500,'Alumina - Prices'!D24,'Commodity Prices'!$B$9:$B$2500,3)+
COUNTIFS('Commodity Prices'!$A$9:$A$2500,'Alumina - Prices'!D24,'Commodity Prices'!$B$9:$B$2500,4)+
COUNTIFS('Commodity Prices'!$A$9:$A$2500,'Alumina - Prices'!E24,'Commodity Prices'!$B$9:$B$2500,1)+
COUNTIFS('Commodity Prices'!$A$9:$A$2500,'Alumina - Prices'!E24,'Commodity Prices'!$B$9:$B$2500,2))</f>
        <v>762.68061301323462</v>
      </c>
      <c r="N25" s="333">
        <f>(SUMIFS('Commodity Prices'!$P$9:$P$2500,'Commodity Prices'!$A$9:$A$2500,'Alumina - Prices'!D24,'Commodity Prices'!$B$9:$B$2500,3)+
SUMIFS('Commodity Prices'!$P$9:$P$2500,'Commodity Prices'!$A$9:$A$2500,'Alumina - Prices'!D24,'Commodity Prices'!$B$9:$B$2500,4)+
SUMIFS('Commodity Prices'!$P$9:$P$2500,'Commodity Prices'!$A$9:$A$2500,'Alumina - Prices'!E24,'Commodity Prices'!$B$9:$B$2500,1)+
SUMIFS('Commodity Prices'!$P$9:$P$2500,'Commodity Prices'!$A$9:$A$2500,'Alumina - Prices'!E24,'Commodity Prices'!$B$9:$B$2500,2))
/(COUNTIFS('Commodity Prices'!$A$9:$A$2500,'Alumina - Prices'!D24,'Commodity Prices'!$B$9:$B$2500,3)+
COUNTIFS('Commodity Prices'!$A$9:$A$2500,'Alumina - Prices'!D24,'Commodity Prices'!$B$9:$B$2500,4)+
COUNTIFS('Commodity Prices'!$A$9:$A$2500,'Alumina - Prices'!E24,'Commodity Prices'!$B$9:$B$2500,1)+
COUNTIFS('Commodity Prices'!$A$9:$A$2500,'Alumina - Prices'!E24,'Commodity Prices'!$B$9:$B$2500,2))</f>
        <v>1329.298286335988</v>
      </c>
    </row>
    <row r="26" spans="1:14">
      <c r="A26" s="562">
        <f>LARGE('Commodity Prices'!C$159:C$902,43)</f>
        <v>43070</v>
      </c>
      <c r="B26" s="780">
        <f>SUMIF('Commodity Prices'!$C$159:$C$902,$A26,'Commodity Prices'!N$159:N$902)</f>
        <v>8890.4024836601311</v>
      </c>
      <c r="C26" s="780">
        <f>SUMIF('Commodity Prices'!$C$159:$C$902,$A26,'Commodity Prices'!O$159:O$902)</f>
        <v>3279.4977777777776</v>
      </c>
      <c r="D26" s="724">
        <f>SUMIF('Commodity Prices'!$C$159:$C$902,$A26,'Commodity Prices'!P$159:P$902)</f>
        <v>4173.1682352941179</v>
      </c>
      <c r="E26" s="10"/>
      <c r="F26" s="128">
        <f t="shared" si="1"/>
        <v>2003</v>
      </c>
      <c r="G26" s="128">
        <f t="shared" si="1"/>
        <v>2004</v>
      </c>
      <c r="H26" s="774" t="str">
        <f t="shared" si="0"/>
        <v>2003-04</v>
      </c>
      <c r="I26" s="781">
        <f t="array" ref="I26">IF($H$6="Historic Calendar Year",IFERROR(AVERAGE(IF($H26=YEAR('Commodity Prices'!C$100:C$1000),'Commodity Prices'!N$100:N$1000)),"NA"),IFERROR(IF(L26=0,"NA",L26),"NA"))</f>
        <v>3249.4241666666671</v>
      </c>
      <c r="J26" s="781">
        <f t="array" ref="J26">IF($H$6="Historic Calendar Year",IFERROR(AVERAGE(IF($H26=YEAR('Commodity Prices'!C$100:C$1000),'Commodity Prices'!O$100:O$1000)),"NA"),IFERROR(IF(M26=0,"NA",M26),"NA"))</f>
        <v>974.48649185907527</v>
      </c>
      <c r="K26" s="781">
        <f t="array" ref="K26">IF($H$6="Historic Calendar Year",IFERROR(AVERAGE(IF($H26=YEAR('Commodity Prices'!C$100:C$1000),'Commodity Prices'!P$100:P$1000)),"NA"),IFERROR(IF(N26=0,"NA",N26),"NA"))</f>
        <v>1344.4737042174802</v>
      </c>
      <c r="L26" s="333">
        <f>(SUMIFS('Commodity Prices'!$N$9:$N$2500,'Commodity Prices'!$A$9:$A$2500,'Alumina - Prices'!D25,'Commodity Prices'!$B$9:$B$2500,3)+
SUMIFS('Commodity Prices'!$N$9:$N$2500,'Commodity Prices'!$A$9:$A$2500,'Alumina - Prices'!D25,'Commodity Prices'!$B$9:$B$2500,4)+
SUMIFS('Commodity Prices'!$N$9:$N$2500,'Commodity Prices'!$A$9:$A$2500,'Alumina - Prices'!E25,'Commodity Prices'!$B$9:$B$2500,1)+
SUMIFS('Commodity Prices'!$N$9:$N$2500,'Commodity Prices'!$A$9:$A$2500,'Alumina - Prices'!E25,'Commodity Prices'!$B$9:$B$2500,2))
/(COUNTIFS('Commodity Prices'!$A$9:$A$2500,'Alumina - Prices'!D25,'Commodity Prices'!$B$9:$B$2500,3)+
COUNTIFS('Commodity Prices'!$A$9:$A$2500,'Alumina - Prices'!D25,'Commodity Prices'!$B$9:$B$2500,4)+
COUNTIFS('Commodity Prices'!$A$9:$A$2500,'Alumina - Prices'!E25,'Commodity Prices'!$B$9:$B$2500,1)+
COUNTIFS('Commodity Prices'!$A$9:$A$2500,'Alumina - Prices'!E25,'Commodity Prices'!$B$9:$B$2500,2))</f>
        <v>3249.4241666666671</v>
      </c>
      <c r="M26" s="333">
        <f>(SUMIFS('Commodity Prices'!$O$9:$O$2500,'Commodity Prices'!$A$9:$A$2500,'Alumina - Prices'!D25,'Commodity Prices'!$B$9:$B$2500,3)+
SUMIFS('Commodity Prices'!$O$9:$O$2500,'Commodity Prices'!$A$9:$A$2500,'Alumina - Prices'!D25,'Commodity Prices'!$B$9:$B$2500,4)+
SUMIFS('Commodity Prices'!$O$9:$O$2500,'Commodity Prices'!$A$9:$A$2500,'Alumina - Prices'!E25,'Commodity Prices'!$B$9:$B$2500,1)+
SUMIFS('Commodity Prices'!$O$9:$O$2500,'Commodity Prices'!$A$9:$A$2500,'Alumina - Prices'!E25,'Commodity Prices'!$B$9:$B$2500,2))
/(COUNTIFS('Commodity Prices'!$A$9:$A$2500,'Alumina - Prices'!D25,'Commodity Prices'!$B$9:$B$2500,3)+
COUNTIFS('Commodity Prices'!$A$9:$A$2500,'Alumina - Prices'!D25,'Commodity Prices'!$B$9:$B$2500,4)+
COUNTIFS('Commodity Prices'!$A$9:$A$2500,'Alumina - Prices'!E25,'Commodity Prices'!$B$9:$B$2500,1)+
COUNTIFS('Commodity Prices'!$A$9:$A$2500,'Alumina - Prices'!E25,'Commodity Prices'!$B$9:$B$2500,2))</f>
        <v>974.48649185907527</v>
      </c>
      <c r="N26" s="333">
        <f>(SUMIFS('Commodity Prices'!$P$9:$P$2500,'Commodity Prices'!$A$9:$A$2500,'Alumina - Prices'!D25,'Commodity Prices'!$B$9:$B$2500,3)+
SUMIFS('Commodity Prices'!$P$9:$P$2500,'Commodity Prices'!$A$9:$A$2500,'Alumina - Prices'!D25,'Commodity Prices'!$B$9:$B$2500,4)+
SUMIFS('Commodity Prices'!$P$9:$P$2500,'Commodity Prices'!$A$9:$A$2500,'Alumina - Prices'!E25,'Commodity Prices'!$B$9:$B$2500,1)+
SUMIFS('Commodity Prices'!$P$9:$P$2500,'Commodity Prices'!$A$9:$A$2500,'Alumina - Prices'!E25,'Commodity Prices'!$B$9:$B$2500,2))
/(COUNTIFS('Commodity Prices'!$A$9:$A$2500,'Alumina - Prices'!D25,'Commodity Prices'!$B$9:$B$2500,3)+
COUNTIFS('Commodity Prices'!$A$9:$A$2500,'Alumina - Prices'!D25,'Commodity Prices'!$B$9:$B$2500,4)+
COUNTIFS('Commodity Prices'!$A$9:$A$2500,'Alumina - Prices'!E25,'Commodity Prices'!$B$9:$B$2500,1)+
COUNTIFS('Commodity Prices'!$A$9:$A$2500,'Alumina - Prices'!E25,'Commodity Prices'!$B$9:$B$2500,2))</f>
        <v>1344.4737042174802</v>
      </c>
    </row>
    <row r="27" spans="1:14">
      <c r="A27" s="599">
        <f>LARGE('Commodity Prices'!C$159:C$902,42)</f>
        <v>43101</v>
      </c>
      <c r="B27" s="778">
        <f>SUMIF('Commodity Prices'!$C$159:$C$902,$A27,'Commodity Prices'!N$159:N$902)</f>
        <v>8898.1978132461991</v>
      </c>
      <c r="C27" s="778">
        <f>SUMIF('Commodity Prices'!$C$159:$C$902,$A27,'Commodity Prices'!O$159:O$902)</f>
        <v>3254.7103179590299</v>
      </c>
      <c r="D27" s="781">
        <f>SUMIF('Commodity Prices'!$C$159:$C$902,$A27,'Commodity Prices'!P$159:P$902)</f>
        <v>4332.2923212265932</v>
      </c>
      <c r="E27" s="10"/>
      <c r="F27" s="128">
        <f t="shared" ref="F27:G42" si="2">F26+1</f>
        <v>2004</v>
      </c>
      <c r="G27" s="128">
        <f t="shared" si="2"/>
        <v>2005</v>
      </c>
      <c r="H27" s="775" t="str">
        <f t="shared" si="0"/>
        <v>2004-05</v>
      </c>
      <c r="I27" s="724">
        <f t="array" ref="I27">IF($H$6="Historic Calendar Year",IFERROR(AVERAGE(IF($H27=YEAR('Commodity Prices'!C$100:C$1000),'Commodity Prices'!N$100:N$1000)),"NA"),IFERROR(IF(L27=0,"NA",L27),"NA"))</f>
        <v>4189.875</v>
      </c>
      <c r="J27" s="724">
        <f t="array" ref="J27">IF($H$6="Historic Calendar Year",IFERROR(AVERAGE(IF($H27=YEAR('Commodity Prices'!C$100:C$1000),'Commodity Prices'!O$100:O$1000)),"NA"),IFERROR(IF(M27=0,"NA",M27),"NA"))</f>
        <v>1284.3000468375685</v>
      </c>
      <c r="K27" s="724">
        <f t="array" ref="K27">IF($H$6="Historic Calendar Year",IFERROR(AVERAGE(IF($H27=YEAR('Commodity Prices'!C$100:C$1000),'Commodity Prices'!P$100:P$1000)),"NA"),IFERROR(IF(N27=0,"NA",N27),"NA"))</f>
        <v>1554.1907662608482</v>
      </c>
      <c r="L27" s="333">
        <f>(SUMIFS('Commodity Prices'!$N$9:$N$2500,'Commodity Prices'!$A$9:$A$2500,'Alumina - Prices'!D26,'Commodity Prices'!$B$9:$B$2500,3)+
SUMIFS('Commodity Prices'!$N$9:$N$2500,'Commodity Prices'!$A$9:$A$2500,'Alumina - Prices'!D26,'Commodity Prices'!$B$9:$B$2500,4)+
SUMIFS('Commodity Prices'!$N$9:$N$2500,'Commodity Prices'!$A$9:$A$2500,'Alumina - Prices'!E26,'Commodity Prices'!$B$9:$B$2500,1)+
SUMIFS('Commodity Prices'!$N$9:$N$2500,'Commodity Prices'!$A$9:$A$2500,'Alumina - Prices'!E26,'Commodity Prices'!$B$9:$B$2500,2))
/(COUNTIFS('Commodity Prices'!$A$9:$A$2500,'Alumina - Prices'!D26,'Commodity Prices'!$B$9:$B$2500,3)+
COUNTIFS('Commodity Prices'!$A$9:$A$2500,'Alumina - Prices'!D26,'Commodity Prices'!$B$9:$B$2500,4)+
COUNTIFS('Commodity Prices'!$A$9:$A$2500,'Alumina - Prices'!E26,'Commodity Prices'!$B$9:$B$2500,1)+
COUNTIFS('Commodity Prices'!$A$9:$A$2500,'Alumina - Prices'!E26,'Commodity Prices'!$B$9:$B$2500,2))</f>
        <v>4189.875</v>
      </c>
      <c r="M27" s="333">
        <f>(SUMIFS('Commodity Prices'!$O$9:$O$2500,'Commodity Prices'!$A$9:$A$2500,'Alumina - Prices'!D26,'Commodity Prices'!$B$9:$B$2500,3)+
SUMIFS('Commodity Prices'!$O$9:$O$2500,'Commodity Prices'!$A$9:$A$2500,'Alumina - Prices'!D26,'Commodity Prices'!$B$9:$B$2500,4)+
SUMIFS('Commodity Prices'!$O$9:$O$2500,'Commodity Prices'!$A$9:$A$2500,'Alumina - Prices'!E26,'Commodity Prices'!$B$9:$B$2500,1)+
SUMIFS('Commodity Prices'!$O$9:$O$2500,'Commodity Prices'!$A$9:$A$2500,'Alumina - Prices'!E26,'Commodity Prices'!$B$9:$B$2500,2))
/(COUNTIFS('Commodity Prices'!$A$9:$A$2500,'Alumina - Prices'!D26,'Commodity Prices'!$B$9:$B$2500,3)+
COUNTIFS('Commodity Prices'!$A$9:$A$2500,'Alumina - Prices'!D26,'Commodity Prices'!$B$9:$B$2500,4)+
COUNTIFS('Commodity Prices'!$A$9:$A$2500,'Alumina - Prices'!E26,'Commodity Prices'!$B$9:$B$2500,1)+
COUNTIFS('Commodity Prices'!$A$9:$A$2500,'Alumina - Prices'!E26,'Commodity Prices'!$B$9:$B$2500,2))</f>
        <v>1284.3000468375685</v>
      </c>
      <c r="N27" s="333">
        <f>(SUMIFS('Commodity Prices'!$P$9:$P$2500,'Commodity Prices'!$A$9:$A$2500,'Alumina - Prices'!D26,'Commodity Prices'!$B$9:$B$2500,3)+
SUMIFS('Commodity Prices'!$P$9:$P$2500,'Commodity Prices'!$A$9:$A$2500,'Alumina - Prices'!D26,'Commodity Prices'!$B$9:$B$2500,4)+
SUMIFS('Commodity Prices'!$P$9:$P$2500,'Commodity Prices'!$A$9:$A$2500,'Alumina - Prices'!E26,'Commodity Prices'!$B$9:$B$2500,1)+
SUMIFS('Commodity Prices'!$P$9:$P$2500,'Commodity Prices'!$A$9:$A$2500,'Alumina - Prices'!E26,'Commodity Prices'!$B$9:$B$2500,2))
/(COUNTIFS('Commodity Prices'!$A$9:$A$2500,'Alumina - Prices'!D26,'Commodity Prices'!$B$9:$B$2500,3)+
COUNTIFS('Commodity Prices'!$A$9:$A$2500,'Alumina - Prices'!D26,'Commodity Prices'!$B$9:$B$2500,4)+
COUNTIFS('Commodity Prices'!$A$9:$A$2500,'Alumina - Prices'!E26,'Commodity Prices'!$B$9:$B$2500,1)+
COUNTIFS('Commodity Prices'!$A$9:$A$2500,'Alumina - Prices'!E26,'Commodity Prices'!$B$9:$B$2500,2))</f>
        <v>1554.1907662608482</v>
      </c>
    </row>
    <row r="28" spans="1:14">
      <c r="A28" s="562">
        <f>LARGE('Commodity Prices'!C$159:C$902,41)</f>
        <v>43132</v>
      </c>
      <c r="B28" s="780">
        <f>SUMIF('Commodity Prices'!$C$159:$C$902,$A28,'Commodity Prices'!N$159:N$902)</f>
        <v>8899.0849008642599</v>
      </c>
      <c r="C28" s="780">
        <f>SUMIF('Commodity Prices'!$C$159:$C$902,$A28,'Commodity Prices'!O$159:O$902)</f>
        <v>3280.1537874936448</v>
      </c>
      <c r="D28" s="724">
        <f>SUMIF('Commodity Prices'!$C$159:$C$902,$A28,'Commodity Prices'!P$159:P$902)</f>
        <v>4498.9514489069643</v>
      </c>
      <c r="E28" s="10"/>
      <c r="F28" s="128">
        <f t="shared" si="2"/>
        <v>2005</v>
      </c>
      <c r="G28" s="128">
        <f t="shared" si="2"/>
        <v>2006</v>
      </c>
      <c r="H28" s="774" t="str">
        <f t="shared" si="0"/>
        <v>2005-06</v>
      </c>
      <c r="I28" s="781">
        <f t="array" ref="I28">IF($H$6="Historic Calendar Year",IFERROR(AVERAGE(IF($H28=YEAR('Commodity Prices'!C$100:C$1000),'Commodity Prices'!N$100:N$1000)),"NA"),IFERROR(IF(L28=0,"NA",L28),"NA"))</f>
        <v>6765.291666666667</v>
      </c>
      <c r="J28" s="781">
        <f t="array" ref="J28">IF($H$6="Historic Calendar Year",IFERROR(AVERAGE(IF($H28=YEAR('Commodity Prices'!C$100:C$1000),'Commodity Prices'!O$100:O$1000)),"NA"),IFERROR(IF(M28=0,"NA",M28),"NA"))</f>
        <v>1433.9423451846858</v>
      </c>
      <c r="K28" s="781">
        <f t="array" ref="K28">IF($H$6="Historic Calendar Year",IFERROR(AVERAGE(IF($H28=YEAR('Commodity Prices'!C$100:C$1000),'Commodity Prices'!P$100:P$1000)),"NA"),IFERROR(IF(N28=0,"NA",N28),"NA"))</f>
        <v>2838.6504114544191</v>
      </c>
      <c r="L28" s="333">
        <f>(SUMIFS('Commodity Prices'!$N$9:$N$2500,'Commodity Prices'!$A$9:$A$2500,'Alumina - Prices'!D27,'Commodity Prices'!$B$9:$B$2500,3)+
SUMIFS('Commodity Prices'!$N$9:$N$2500,'Commodity Prices'!$A$9:$A$2500,'Alumina - Prices'!D27,'Commodity Prices'!$B$9:$B$2500,4)+
SUMIFS('Commodity Prices'!$N$9:$N$2500,'Commodity Prices'!$A$9:$A$2500,'Alumina - Prices'!E27,'Commodity Prices'!$B$9:$B$2500,1)+
SUMIFS('Commodity Prices'!$N$9:$N$2500,'Commodity Prices'!$A$9:$A$2500,'Alumina - Prices'!E27,'Commodity Prices'!$B$9:$B$2500,2))
/(COUNTIFS('Commodity Prices'!$A$9:$A$2500,'Alumina - Prices'!D27,'Commodity Prices'!$B$9:$B$2500,3)+
COUNTIFS('Commodity Prices'!$A$9:$A$2500,'Alumina - Prices'!D27,'Commodity Prices'!$B$9:$B$2500,4)+
COUNTIFS('Commodity Prices'!$A$9:$A$2500,'Alumina - Prices'!E27,'Commodity Prices'!$B$9:$B$2500,1)+
COUNTIFS('Commodity Prices'!$A$9:$A$2500,'Alumina - Prices'!E27,'Commodity Prices'!$B$9:$B$2500,2))</f>
        <v>6765.291666666667</v>
      </c>
      <c r="M28" s="333">
        <f>(SUMIFS('Commodity Prices'!$O$9:$O$2500,'Commodity Prices'!$A$9:$A$2500,'Alumina - Prices'!D27,'Commodity Prices'!$B$9:$B$2500,3)+
SUMIFS('Commodity Prices'!$O$9:$O$2500,'Commodity Prices'!$A$9:$A$2500,'Alumina - Prices'!D27,'Commodity Prices'!$B$9:$B$2500,4)+
SUMIFS('Commodity Prices'!$O$9:$O$2500,'Commodity Prices'!$A$9:$A$2500,'Alumina - Prices'!E27,'Commodity Prices'!$B$9:$B$2500,1)+
SUMIFS('Commodity Prices'!$O$9:$O$2500,'Commodity Prices'!$A$9:$A$2500,'Alumina - Prices'!E27,'Commodity Prices'!$B$9:$B$2500,2))
/(COUNTIFS('Commodity Prices'!$A$9:$A$2500,'Alumina - Prices'!D27,'Commodity Prices'!$B$9:$B$2500,3)+
COUNTIFS('Commodity Prices'!$A$9:$A$2500,'Alumina - Prices'!D27,'Commodity Prices'!$B$9:$B$2500,4)+
COUNTIFS('Commodity Prices'!$A$9:$A$2500,'Alumina - Prices'!E27,'Commodity Prices'!$B$9:$B$2500,1)+
COUNTIFS('Commodity Prices'!$A$9:$A$2500,'Alumina - Prices'!E27,'Commodity Prices'!$B$9:$B$2500,2))</f>
        <v>1433.9423451846858</v>
      </c>
      <c r="N28" s="333">
        <f>(SUMIFS('Commodity Prices'!$P$9:$P$2500,'Commodity Prices'!$A$9:$A$2500,'Alumina - Prices'!D27,'Commodity Prices'!$B$9:$B$2500,3)+
SUMIFS('Commodity Prices'!$P$9:$P$2500,'Commodity Prices'!$A$9:$A$2500,'Alumina - Prices'!D27,'Commodity Prices'!$B$9:$B$2500,4)+
SUMIFS('Commodity Prices'!$P$9:$P$2500,'Commodity Prices'!$A$9:$A$2500,'Alumina - Prices'!E27,'Commodity Prices'!$B$9:$B$2500,1)+
SUMIFS('Commodity Prices'!$P$9:$P$2500,'Commodity Prices'!$A$9:$A$2500,'Alumina - Prices'!E27,'Commodity Prices'!$B$9:$B$2500,2))
/(COUNTIFS('Commodity Prices'!$A$9:$A$2500,'Alumina - Prices'!D27,'Commodity Prices'!$B$9:$B$2500,3)+
COUNTIFS('Commodity Prices'!$A$9:$A$2500,'Alumina - Prices'!D27,'Commodity Prices'!$B$9:$B$2500,4)+
COUNTIFS('Commodity Prices'!$A$9:$A$2500,'Alumina - Prices'!E27,'Commodity Prices'!$B$9:$B$2500,1)+
COUNTIFS('Commodity Prices'!$A$9:$A$2500,'Alumina - Prices'!E27,'Commodity Prices'!$B$9:$B$2500,2))</f>
        <v>2838.6504114544191</v>
      </c>
    </row>
    <row r="29" spans="1:14">
      <c r="A29" s="599">
        <f>LARGE('Commodity Prices'!C$159:C$902,40)</f>
        <v>43160</v>
      </c>
      <c r="B29" s="778">
        <f>SUMIF('Commodity Prices'!$C$159:$C$902,$A29,'Commodity Prices'!N$159:N$902)</f>
        <v>8758.5513597113022</v>
      </c>
      <c r="C29" s="778">
        <f>SUMIF('Commodity Prices'!$C$159:$C$902,$A29,'Commodity Prices'!O$159:O$902)</f>
        <v>3089.3156334579198</v>
      </c>
      <c r="D29" s="781">
        <f>SUMIF('Commodity Prices'!$C$159:$C$902,$A29,'Commodity Prices'!P$159:P$902)</f>
        <v>4227.9675215878333</v>
      </c>
      <c r="E29" s="10"/>
      <c r="F29" s="128">
        <f t="shared" si="2"/>
        <v>2006</v>
      </c>
      <c r="G29" s="128">
        <f t="shared" si="2"/>
        <v>2007</v>
      </c>
      <c r="H29" s="775" t="str">
        <f t="shared" si="0"/>
        <v>2006-07</v>
      </c>
      <c r="I29" s="724">
        <f t="array" ref="I29">IF($H$6="Historic Calendar Year",IFERROR(AVERAGE(IF($H29=YEAR('Commodity Prices'!C$100:C$1000),'Commodity Prices'!N$100:N$1000)),"NA"),IFERROR(IF(L29=0,"NA",L29),"NA"))</f>
        <v>9013.5233333333326</v>
      </c>
      <c r="J29" s="724">
        <f t="array" ref="J29">IF($H$6="Historic Calendar Year",IFERROR(AVERAGE(IF($H29=YEAR('Commodity Prices'!C$100:C$1000),'Commodity Prices'!O$100:O$1000)),"NA"),IFERROR(IF(M29=0,"NA",M29),"NA"))</f>
        <v>2149.8650651429484</v>
      </c>
      <c r="K29" s="724">
        <f t="array" ref="K29">IF($H$6="Historic Calendar Year",IFERROR(AVERAGE(IF($H29=YEAR('Commodity Prices'!C$100:C$1000),'Commodity Prices'!P$100:P$1000)),"NA"),IFERROR(IF(N29=0,"NA",N29),"NA"))</f>
        <v>4674.4917202778797</v>
      </c>
      <c r="L29" s="333">
        <f>(SUMIFS('Commodity Prices'!$N$9:$N$2500,'Commodity Prices'!$A$9:$A$2500,'Alumina - Prices'!D28,'Commodity Prices'!$B$9:$B$2500,3)+
SUMIFS('Commodity Prices'!$N$9:$N$2500,'Commodity Prices'!$A$9:$A$2500,'Alumina - Prices'!D28,'Commodity Prices'!$B$9:$B$2500,4)+
SUMIFS('Commodity Prices'!$N$9:$N$2500,'Commodity Prices'!$A$9:$A$2500,'Alumina - Prices'!E28,'Commodity Prices'!$B$9:$B$2500,1)+
SUMIFS('Commodity Prices'!$N$9:$N$2500,'Commodity Prices'!$A$9:$A$2500,'Alumina - Prices'!E28,'Commodity Prices'!$B$9:$B$2500,2))
/(COUNTIFS('Commodity Prices'!$A$9:$A$2500,'Alumina - Prices'!D28,'Commodity Prices'!$B$9:$B$2500,3)+
COUNTIFS('Commodity Prices'!$A$9:$A$2500,'Alumina - Prices'!D28,'Commodity Prices'!$B$9:$B$2500,4)+
COUNTIFS('Commodity Prices'!$A$9:$A$2500,'Alumina - Prices'!E28,'Commodity Prices'!$B$9:$B$2500,1)+
COUNTIFS('Commodity Prices'!$A$9:$A$2500,'Alumina - Prices'!E28,'Commodity Prices'!$B$9:$B$2500,2))</f>
        <v>9013.5233333333326</v>
      </c>
      <c r="M29" s="333">
        <f>(SUMIFS('Commodity Prices'!$O$9:$O$2500,'Commodity Prices'!$A$9:$A$2500,'Alumina - Prices'!D28,'Commodity Prices'!$B$9:$B$2500,3)+
SUMIFS('Commodity Prices'!$O$9:$O$2500,'Commodity Prices'!$A$9:$A$2500,'Alumina - Prices'!D28,'Commodity Prices'!$B$9:$B$2500,4)+
SUMIFS('Commodity Prices'!$O$9:$O$2500,'Commodity Prices'!$A$9:$A$2500,'Alumina - Prices'!E28,'Commodity Prices'!$B$9:$B$2500,1)+
SUMIFS('Commodity Prices'!$O$9:$O$2500,'Commodity Prices'!$A$9:$A$2500,'Alumina - Prices'!E28,'Commodity Prices'!$B$9:$B$2500,2))
/(COUNTIFS('Commodity Prices'!$A$9:$A$2500,'Alumina - Prices'!D28,'Commodity Prices'!$B$9:$B$2500,3)+
COUNTIFS('Commodity Prices'!$A$9:$A$2500,'Alumina - Prices'!D28,'Commodity Prices'!$B$9:$B$2500,4)+
COUNTIFS('Commodity Prices'!$A$9:$A$2500,'Alumina - Prices'!E28,'Commodity Prices'!$B$9:$B$2500,1)+
COUNTIFS('Commodity Prices'!$A$9:$A$2500,'Alumina - Prices'!E28,'Commodity Prices'!$B$9:$B$2500,2))</f>
        <v>2149.8650651429484</v>
      </c>
      <c r="N29" s="333">
        <f>(SUMIFS('Commodity Prices'!$P$9:$P$2500,'Commodity Prices'!$A$9:$A$2500,'Alumina - Prices'!D28,'Commodity Prices'!$B$9:$B$2500,3)+
SUMIFS('Commodity Prices'!$P$9:$P$2500,'Commodity Prices'!$A$9:$A$2500,'Alumina - Prices'!D28,'Commodity Prices'!$B$9:$B$2500,4)+
SUMIFS('Commodity Prices'!$P$9:$P$2500,'Commodity Prices'!$A$9:$A$2500,'Alumina - Prices'!E28,'Commodity Prices'!$B$9:$B$2500,1)+
SUMIFS('Commodity Prices'!$P$9:$P$2500,'Commodity Prices'!$A$9:$A$2500,'Alumina - Prices'!E28,'Commodity Prices'!$B$9:$B$2500,2))
/(COUNTIFS('Commodity Prices'!$A$9:$A$2500,'Alumina - Prices'!D28,'Commodity Prices'!$B$9:$B$2500,3)+
COUNTIFS('Commodity Prices'!$A$9:$A$2500,'Alumina - Prices'!D28,'Commodity Prices'!$B$9:$B$2500,4)+
COUNTIFS('Commodity Prices'!$A$9:$A$2500,'Alumina - Prices'!E28,'Commodity Prices'!$B$9:$B$2500,1)+
COUNTIFS('Commodity Prices'!$A$9:$A$2500,'Alumina - Prices'!E28,'Commodity Prices'!$B$9:$B$2500,2))</f>
        <v>4674.4917202778797</v>
      </c>
    </row>
    <row r="30" spans="1:14">
      <c r="A30" s="562">
        <f>LARGE('Commodity Prices'!C$159:C$902,39)</f>
        <v>43191</v>
      </c>
      <c r="B30" s="780">
        <f>SUMIF('Commodity Prices'!$C$159:$C$902,$A30,'Commodity Prices'!N$159:N$902)</f>
        <v>8900.8850709358321</v>
      </c>
      <c r="C30" s="780">
        <f>SUMIF('Commodity Prices'!$C$159:$C$902,$A30,'Commodity Prices'!O$159:O$902)</f>
        <v>3068.3001431732396</v>
      </c>
      <c r="D30" s="724">
        <f>SUMIF('Commodity Prices'!$C$159:$C$902,$A30,'Commodity Prices'!P$159:P$902)</f>
        <v>4153.2279057659771</v>
      </c>
      <c r="E30" s="10"/>
      <c r="F30" s="128">
        <f t="shared" si="2"/>
        <v>2007</v>
      </c>
      <c r="G30" s="128">
        <f t="shared" si="2"/>
        <v>2008</v>
      </c>
      <c r="H30" s="774" t="str">
        <f t="shared" si="0"/>
        <v>2007-08</v>
      </c>
      <c r="I30" s="781">
        <f t="array" ref="I30">IF($H$6="Historic Calendar Year",IFERROR(AVERAGE(IF($H30=YEAR('Commodity Prices'!C$100:C$1000),'Commodity Prices'!N$100:N$1000)),"NA"),IFERROR(IF(L30=0,"NA",L30),"NA"))</f>
        <v>8680.5666666666675</v>
      </c>
      <c r="J30" s="781">
        <f t="array" ref="J30">IF($H$6="Historic Calendar Year",IFERROR(AVERAGE(IF($H30=YEAR('Commodity Prices'!C$100:C$1000),'Commodity Prices'!O$100:O$1000)),"NA"),IFERROR(IF(M30=0,"NA",M30),"NA"))</f>
        <v>3241.1750100811419</v>
      </c>
      <c r="K30" s="781">
        <f t="array" ref="K30">IF($H$6="Historic Calendar Year",IFERROR(AVERAGE(IF($H30=YEAR('Commodity Prices'!C$100:C$1000),'Commodity Prices'!P$100:P$1000)),"NA"),IFERROR(IF(N30=0,"NA",N30),"NA"))</f>
        <v>2901.3080587814716</v>
      </c>
      <c r="L30" s="333">
        <f>(SUMIFS('Commodity Prices'!$N$9:$N$2500,'Commodity Prices'!$A$9:$A$2500,'Alumina - Prices'!D29,'Commodity Prices'!$B$9:$B$2500,3)+
SUMIFS('Commodity Prices'!$N$9:$N$2500,'Commodity Prices'!$A$9:$A$2500,'Alumina - Prices'!D29,'Commodity Prices'!$B$9:$B$2500,4)+
SUMIFS('Commodity Prices'!$N$9:$N$2500,'Commodity Prices'!$A$9:$A$2500,'Alumina - Prices'!E29,'Commodity Prices'!$B$9:$B$2500,1)+
SUMIFS('Commodity Prices'!$N$9:$N$2500,'Commodity Prices'!$A$9:$A$2500,'Alumina - Prices'!E29,'Commodity Prices'!$B$9:$B$2500,2))
/(COUNTIFS('Commodity Prices'!$A$9:$A$2500,'Alumina - Prices'!D29,'Commodity Prices'!$B$9:$B$2500,3)+
COUNTIFS('Commodity Prices'!$A$9:$A$2500,'Alumina - Prices'!D29,'Commodity Prices'!$B$9:$B$2500,4)+
COUNTIFS('Commodity Prices'!$A$9:$A$2500,'Alumina - Prices'!E29,'Commodity Prices'!$B$9:$B$2500,1)+
COUNTIFS('Commodity Prices'!$A$9:$A$2500,'Alumina - Prices'!E29,'Commodity Prices'!$B$9:$B$2500,2))</f>
        <v>8680.5666666666675</v>
      </c>
      <c r="M30" s="333">
        <f>(SUMIFS('Commodity Prices'!$O$9:$O$2500,'Commodity Prices'!$A$9:$A$2500,'Alumina - Prices'!D29,'Commodity Prices'!$B$9:$B$2500,3)+
SUMIFS('Commodity Prices'!$O$9:$O$2500,'Commodity Prices'!$A$9:$A$2500,'Alumina - Prices'!D29,'Commodity Prices'!$B$9:$B$2500,4)+
SUMIFS('Commodity Prices'!$O$9:$O$2500,'Commodity Prices'!$A$9:$A$2500,'Alumina - Prices'!E29,'Commodity Prices'!$B$9:$B$2500,1)+
SUMIFS('Commodity Prices'!$O$9:$O$2500,'Commodity Prices'!$A$9:$A$2500,'Alumina - Prices'!E29,'Commodity Prices'!$B$9:$B$2500,2))
/(COUNTIFS('Commodity Prices'!$A$9:$A$2500,'Alumina - Prices'!D29,'Commodity Prices'!$B$9:$B$2500,3)+
COUNTIFS('Commodity Prices'!$A$9:$A$2500,'Alumina - Prices'!D29,'Commodity Prices'!$B$9:$B$2500,4)+
COUNTIFS('Commodity Prices'!$A$9:$A$2500,'Alumina - Prices'!E29,'Commodity Prices'!$B$9:$B$2500,1)+
COUNTIFS('Commodity Prices'!$A$9:$A$2500,'Alumina - Prices'!E29,'Commodity Prices'!$B$9:$B$2500,2))</f>
        <v>3241.1750100811419</v>
      </c>
      <c r="N30" s="333">
        <f>(SUMIFS('Commodity Prices'!$P$9:$P$2500,'Commodity Prices'!$A$9:$A$2500,'Alumina - Prices'!D29,'Commodity Prices'!$B$9:$B$2500,3)+
SUMIFS('Commodity Prices'!$P$9:$P$2500,'Commodity Prices'!$A$9:$A$2500,'Alumina - Prices'!D29,'Commodity Prices'!$B$9:$B$2500,4)+
SUMIFS('Commodity Prices'!$P$9:$P$2500,'Commodity Prices'!$A$9:$A$2500,'Alumina - Prices'!E29,'Commodity Prices'!$B$9:$B$2500,1)+
SUMIFS('Commodity Prices'!$P$9:$P$2500,'Commodity Prices'!$A$9:$A$2500,'Alumina - Prices'!E29,'Commodity Prices'!$B$9:$B$2500,2))
/(COUNTIFS('Commodity Prices'!$A$9:$A$2500,'Alumina - Prices'!D29,'Commodity Prices'!$B$9:$B$2500,3)+
COUNTIFS('Commodity Prices'!$A$9:$A$2500,'Alumina - Prices'!D29,'Commodity Prices'!$B$9:$B$2500,4)+
COUNTIFS('Commodity Prices'!$A$9:$A$2500,'Alumina - Prices'!E29,'Commodity Prices'!$B$9:$B$2500,1)+
COUNTIFS('Commodity Prices'!$A$9:$A$2500,'Alumina - Prices'!E29,'Commodity Prices'!$B$9:$B$2500,2))</f>
        <v>2901.3080587814716</v>
      </c>
    </row>
    <row r="31" spans="1:14">
      <c r="A31" s="599">
        <f>LARGE('Commodity Prices'!C$159:C$902,38)</f>
        <v>43221</v>
      </c>
      <c r="B31" s="778">
        <f>SUMIF('Commodity Prices'!$C$159:$C$902,$A31,'Commodity Prices'!N$159:N$902)</f>
        <v>9061.8516269419561</v>
      </c>
      <c r="C31" s="778">
        <f>SUMIF('Commodity Prices'!$C$159:$C$902,$A31,'Commodity Prices'!O$159:O$902)</f>
        <v>3140.1181620363341</v>
      </c>
      <c r="D31" s="781">
        <f>SUMIF('Commodity Prices'!$C$159:$C$902,$A31,'Commodity Prices'!P$159:P$902)</f>
        <v>4061.9781387581597</v>
      </c>
      <c r="E31" s="10"/>
      <c r="F31" s="128">
        <f t="shared" si="2"/>
        <v>2008</v>
      </c>
      <c r="G31" s="128">
        <f t="shared" si="2"/>
        <v>2009</v>
      </c>
      <c r="H31" s="775" t="str">
        <f t="shared" si="0"/>
        <v>2008-09</v>
      </c>
      <c r="I31" s="724">
        <f t="array" ref="I31">IF($H$6="Historic Calendar Year",IFERROR(AVERAGE(IF($H31=YEAR('Commodity Prices'!C$100:C$1000),'Commodity Prices'!N$100:N$1000)),"NA"),IFERROR(IF(L31=0,"NA",L31),"NA"))</f>
        <v>6434.4241666666667</v>
      </c>
      <c r="J31" s="724">
        <f t="array" ref="J31">IF($H$6="Historic Calendar Year",IFERROR(AVERAGE(IF($H31=YEAR('Commodity Prices'!C$100:C$1000),'Commodity Prices'!O$100:O$1000)),"NA"),IFERROR(IF(M31=0,"NA",M31),"NA"))</f>
        <v>1932.0355708465897</v>
      </c>
      <c r="K31" s="724">
        <f t="array" ref="K31">IF($H$6="Historic Calendar Year",IFERROR(AVERAGE(IF($H31=YEAR('Commodity Prices'!C$100:C$1000),'Commodity Prices'!P$100:P$1000)),"NA"),IFERROR(IF(N31=0,"NA",N31),"NA"))</f>
        <v>1863.4608374066622</v>
      </c>
      <c r="L31" s="333">
        <f>(SUMIFS('Commodity Prices'!$N$9:$N$2500,'Commodity Prices'!$A$9:$A$2500,'Alumina - Prices'!D30,'Commodity Prices'!$B$9:$B$2500,3)+
SUMIFS('Commodity Prices'!$N$9:$N$2500,'Commodity Prices'!$A$9:$A$2500,'Alumina - Prices'!D30,'Commodity Prices'!$B$9:$B$2500,4)+
SUMIFS('Commodity Prices'!$N$9:$N$2500,'Commodity Prices'!$A$9:$A$2500,'Alumina - Prices'!E30,'Commodity Prices'!$B$9:$B$2500,1)+
SUMIFS('Commodity Prices'!$N$9:$N$2500,'Commodity Prices'!$A$9:$A$2500,'Alumina - Prices'!E30,'Commodity Prices'!$B$9:$B$2500,2))
/(COUNTIFS('Commodity Prices'!$A$9:$A$2500,'Alumina - Prices'!D30,'Commodity Prices'!$B$9:$B$2500,3)+
COUNTIFS('Commodity Prices'!$A$9:$A$2500,'Alumina - Prices'!D30,'Commodity Prices'!$B$9:$B$2500,4)+
COUNTIFS('Commodity Prices'!$A$9:$A$2500,'Alumina - Prices'!E30,'Commodity Prices'!$B$9:$B$2500,1)+
COUNTIFS('Commodity Prices'!$A$9:$A$2500,'Alumina - Prices'!E30,'Commodity Prices'!$B$9:$B$2500,2))</f>
        <v>6434.4241666666667</v>
      </c>
      <c r="M31" s="333">
        <f>(SUMIFS('Commodity Prices'!$O$9:$O$2500,'Commodity Prices'!$A$9:$A$2500,'Alumina - Prices'!D30,'Commodity Prices'!$B$9:$B$2500,3)+
SUMIFS('Commodity Prices'!$O$9:$O$2500,'Commodity Prices'!$A$9:$A$2500,'Alumina - Prices'!D30,'Commodity Prices'!$B$9:$B$2500,4)+
SUMIFS('Commodity Prices'!$O$9:$O$2500,'Commodity Prices'!$A$9:$A$2500,'Alumina - Prices'!E30,'Commodity Prices'!$B$9:$B$2500,1)+
SUMIFS('Commodity Prices'!$O$9:$O$2500,'Commodity Prices'!$A$9:$A$2500,'Alumina - Prices'!E30,'Commodity Prices'!$B$9:$B$2500,2))
/(COUNTIFS('Commodity Prices'!$A$9:$A$2500,'Alumina - Prices'!D30,'Commodity Prices'!$B$9:$B$2500,3)+
COUNTIFS('Commodity Prices'!$A$9:$A$2500,'Alumina - Prices'!D30,'Commodity Prices'!$B$9:$B$2500,4)+
COUNTIFS('Commodity Prices'!$A$9:$A$2500,'Alumina - Prices'!E30,'Commodity Prices'!$B$9:$B$2500,1)+
COUNTIFS('Commodity Prices'!$A$9:$A$2500,'Alumina - Prices'!E30,'Commodity Prices'!$B$9:$B$2500,2))</f>
        <v>1932.0355708465897</v>
      </c>
      <c r="N31" s="333">
        <f>(SUMIFS('Commodity Prices'!$P$9:$P$2500,'Commodity Prices'!$A$9:$A$2500,'Alumina - Prices'!D30,'Commodity Prices'!$B$9:$B$2500,3)+
SUMIFS('Commodity Prices'!$P$9:$P$2500,'Commodity Prices'!$A$9:$A$2500,'Alumina - Prices'!D30,'Commodity Prices'!$B$9:$B$2500,4)+
SUMIFS('Commodity Prices'!$P$9:$P$2500,'Commodity Prices'!$A$9:$A$2500,'Alumina - Prices'!E30,'Commodity Prices'!$B$9:$B$2500,1)+
SUMIFS('Commodity Prices'!$P$9:$P$2500,'Commodity Prices'!$A$9:$A$2500,'Alumina - Prices'!E30,'Commodity Prices'!$B$9:$B$2500,2))
/(COUNTIFS('Commodity Prices'!$A$9:$A$2500,'Alumina - Prices'!D30,'Commodity Prices'!$B$9:$B$2500,3)+
COUNTIFS('Commodity Prices'!$A$9:$A$2500,'Alumina - Prices'!D30,'Commodity Prices'!$B$9:$B$2500,4)+
COUNTIFS('Commodity Prices'!$A$9:$A$2500,'Alumina - Prices'!E30,'Commodity Prices'!$B$9:$B$2500,1)+
COUNTIFS('Commodity Prices'!$A$9:$A$2500,'Alumina - Prices'!E30,'Commodity Prices'!$B$9:$B$2500,2))</f>
        <v>1863.4608374066622</v>
      </c>
    </row>
    <row r="32" spans="1:14">
      <c r="A32" s="562">
        <f>LARGE('Commodity Prices'!C$159:C$902,37)</f>
        <v>43252</v>
      </c>
      <c r="B32" s="780">
        <f>SUMIF('Commodity Prices'!$C$159:$C$902,$A32,'Commodity Prices'!N$159:N$902)</f>
        <v>9284.1886454221258</v>
      </c>
      <c r="C32" s="780">
        <f>SUMIF('Commodity Prices'!$C$159:$C$902,$A32,'Commodity Prices'!O$159:O$902)</f>
        <v>3258.2273331172014</v>
      </c>
      <c r="D32" s="724">
        <f>SUMIF('Commodity Prices'!$C$159:$C$902,$A32,'Commodity Prices'!P$159:P$902)</f>
        <v>4127.3019687116603</v>
      </c>
      <c r="E32" s="10"/>
      <c r="F32" s="128">
        <f t="shared" si="2"/>
        <v>2009</v>
      </c>
      <c r="G32" s="128">
        <f t="shared" si="2"/>
        <v>2010</v>
      </c>
      <c r="H32" s="774" t="str">
        <f t="shared" si="0"/>
        <v>2009-10</v>
      </c>
      <c r="I32" s="781">
        <f t="array" ref="I32">IF($H$6="Historic Calendar Year",IFERROR(AVERAGE(IF($H32=YEAR('Commodity Prices'!C$100:C$1000),'Commodity Prices'!N$100:N$1000)),"NA"),IFERROR(IF(L32=0,"NA",L32),"NA"))</f>
        <v>7567.9258333333337</v>
      </c>
      <c r="J32" s="781">
        <f t="array" ref="J32">IF($H$6="Historic Calendar Year",IFERROR(AVERAGE(IF($H32=YEAR('Commodity Prices'!C$100:C$1000),'Commodity Prices'!O$100:O$1000)),"NA"),IFERROR(IF(M32=0,"NA",M32),"NA"))</f>
        <v>2371.291108506332</v>
      </c>
      <c r="K32" s="781">
        <f t="array" ref="K32">IF($H$6="Historic Calendar Year",IFERROR(AVERAGE(IF($H32=YEAR('Commodity Prices'!C$100:C$1000),'Commodity Prices'!P$100:P$1000)),"NA"),IFERROR(IF(N32=0,"NA",N32),"NA"))</f>
        <v>2340.1491774304127</v>
      </c>
      <c r="L32" s="333">
        <f>(SUMIFS('Commodity Prices'!$N$9:$N$2500,'Commodity Prices'!$A$9:$A$2500,'Alumina - Prices'!D31,'Commodity Prices'!$B$9:$B$2500,3)+
SUMIFS('Commodity Prices'!$N$9:$N$2500,'Commodity Prices'!$A$9:$A$2500,'Alumina - Prices'!D31,'Commodity Prices'!$B$9:$B$2500,4)+
SUMIFS('Commodity Prices'!$N$9:$N$2500,'Commodity Prices'!$A$9:$A$2500,'Alumina - Prices'!E31,'Commodity Prices'!$B$9:$B$2500,1)+
SUMIFS('Commodity Prices'!$N$9:$N$2500,'Commodity Prices'!$A$9:$A$2500,'Alumina - Prices'!E31,'Commodity Prices'!$B$9:$B$2500,2))
/(COUNTIFS('Commodity Prices'!$A$9:$A$2500,'Alumina - Prices'!D31,'Commodity Prices'!$B$9:$B$2500,3)+
COUNTIFS('Commodity Prices'!$A$9:$A$2500,'Alumina - Prices'!D31,'Commodity Prices'!$B$9:$B$2500,4)+
COUNTIFS('Commodity Prices'!$A$9:$A$2500,'Alumina - Prices'!E31,'Commodity Prices'!$B$9:$B$2500,1)+
COUNTIFS('Commodity Prices'!$A$9:$A$2500,'Alumina - Prices'!E31,'Commodity Prices'!$B$9:$B$2500,2))</f>
        <v>7567.9258333333337</v>
      </c>
      <c r="M32" s="333">
        <f>(SUMIFS('Commodity Prices'!$O$9:$O$2500,'Commodity Prices'!$A$9:$A$2500,'Alumina - Prices'!D31,'Commodity Prices'!$B$9:$B$2500,3)+
SUMIFS('Commodity Prices'!$O$9:$O$2500,'Commodity Prices'!$A$9:$A$2500,'Alumina - Prices'!D31,'Commodity Prices'!$B$9:$B$2500,4)+
SUMIFS('Commodity Prices'!$O$9:$O$2500,'Commodity Prices'!$A$9:$A$2500,'Alumina - Prices'!E31,'Commodity Prices'!$B$9:$B$2500,1)+
SUMIFS('Commodity Prices'!$O$9:$O$2500,'Commodity Prices'!$A$9:$A$2500,'Alumina - Prices'!E31,'Commodity Prices'!$B$9:$B$2500,2))
/(COUNTIFS('Commodity Prices'!$A$9:$A$2500,'Alumina - Prices'!D31,'Commodity Prices'!$B$9:$B$2500,3)+
COUNTIFS('Commodity Prices'!$A$9:$A$2500,'Alumina - Prices'!D31,'Commodity Prices'!$B$9:$B$2500,4)+
COUNTIFS('Commodity Prices'!$A$9:$A$2500,'Alumina - Prices'!E31,'Commodity Prices'!$B$9:$B$2500,1)+
COUNTIFS('Commodity Prices'!$A$9:$A$2500,'Alumina - Prices'!E31,'Commodity Prices'!$B$9:$B$2500,2))</f>
        <v>2371.291108506332</v>
      </c>
      <c r="N32" s="333">
        <f>(SUMIFS('Commodity Prices'!$P$9:$P$2500,'Commodity Prices'!$A$9:$A$2500,'Alumina - Prices'!D31,'Commodity Prices'!$B$9:$B$2500,3)+
SUMIFS('Commodity Prices'!$P$9:$P$2500,'Commodity Prices'!$A$9:$A$2500,'Alumina - Prices'!D31,'Commodity Prices'!$B$9:$B$2500,4)+
SUMIFS('Commodity Prices'!$P$9:$P$2500,'Commodity Prices'!$A$9:$A$2500,'Alumina - Prices'!E31,'Commodity Prices'!$B$9:$B$2500,1)+
SUMIFS('Commodity Prices'!$P$9:$P$2500,'Commodity Prices'!$A$9:$A$2500,'Alumina - Prices'!E31,'Commodity Prices'!$B$9:$B$2500,2))
/(COUNTIFS('Commodity Prices'!$A$9:$A$2500,'Alumina - Prices'!D31,'Commodity Prices'!$B$9:$B$2500,3)+
COUNTIFS('Commodity Prices'!$A$9:$A$2500,'Alumina - Prices'!D31,'Commodity Prices'!$B$9:$B$2500,4)+
COUNTIFS('Commodity Prices'!$A$9:$A$2500,'Alumina - Prices'!E31,'Commodity Prices'!$B$9:$B$2500,1)+
COUNTIFS('Commodity Prices'!$A$9:$A$2500,'Alumina - Prices'!E31,'Commodity Prices'!$B$9:$B$2500,2))</f>
        <v>2340.1491774304127</v>
      </c>
    </row>
    <row r="33" spans="1:14">
      <c r="A33" s="599">
        <f>LARGE('Commodity Prices'!C$159:C$902,36)</f>
        <v>43282</v>
      </c>
      <c r="B33" s="778">
        <f>SUMIF('Commodity Prices'!$C$159:$C$902,$A33,'Commodity Prices'!N$159:N$902)</f>
        <v>8437.7877355595101</v>
      </c>
      <c r="C33" s="778">
        <f>SUMIF('Commodity Prices'!$C$159:$C$902,$A33,'Commodity Prices'!O$159:O$902)</f>
        <v>2988.3985022405009</v>
      </c>
      <c r="D33" s="781">
        <f>SUMIF('Commodity Prices'!$C$159:$C$902,$A33,'Commodity Prices'!P$159:P$902)</f>
        <v>3590.4487140138722</v>
      </c>
      <c r="E33" s="10"/>
      <c r="F33" s="128">
        <f t="shared" si="2"/>
        <v>2010</v>
      </c>
      <c r="G33" s="128">
        <f t="shared" si="2"/>
        <v>2011</v>
      </c>
      <c r="H33" s="775" t="str">
        <f t="shared" si="0"/>
        <v>2010-11</v>
      </c>
      <c r="I33" s="724">
        <f t="array" ref="I33">IF($H$6="Historic Calendar Year",IFERROR(AVERAGE(IF($H33=YEAR('Commodity Prices'!C$100:C$1000),'Commodity Prices'!N$100:N$1000)),"NA"),IFERROR(IF(L33=0,"NA",L33),"NA"))</f>
        <v>8752.8225000000002</v>
      </c>
      <c r="J33" s="724">
        <f t="array" ref="J33">IF($H$6="Historic Calendar Year",IFERROR(AVERAGE(IF($H33=YEAR('Commodity Prices'!C$100:C$1000),'Commodity Prices'!O$100:O$1000)),"NA"),IFERROR(IF(M33=0,"NA",M33),"NA"))</f>
        <v>2419.3909783127997</v>
      </c>
      <c r="K33" s="724">
        <f t="array" ref="K33">IF($H$6="Historic Calendar Year",IFERROR(AVERAGE(IF($H33=YEAR('Commodity Prices'!C$100:C$1000),'Commodity Prices'!P$100:P$1000)),"NA"),IFERROR(IF(N33=0,"NA",N33),"NA"))</f>
        <v>2271.3336175498753</v>
      </c>
      <c r="L33" s="333">
        <f>(SUMIFS('Commodity Prices'!$N$9:$N$2500,'Commodity Prices'!$A$9:$A$2500,'Alumina - Prices'!D32,'Commodity Prices'!$B$9:$B$2500,3)+
SUMIFS('Commodity Prices'!$N$9:$N$2500,'Commodity Prices'!$A$9:$A$2500,'Alumina - Prices'!D32,'Commodity Prices'!$B$9:$B$2500,4)+
SUMIFS('Commodity Prices'!$N$9:$N$2500,'Commodity Prices'!$A$9:$A$2500,'Alumina - Prices'!E32,'Commodity Prices'!$B$9:$B$2500,1)+
SUMIFS('Commodity Prices'!$N$9:$N$2500,'Commodity Prices'!$A$9:$A$2500,'Alumina - Prices'!E32,'Commodity Prices'!$B$9:$B$2500,2))
/(COUNTIFS('Commodity Prices'!$A$9:$A$2500,'Alumina - Prices'!D32,'Commodity Prices'!$B$9:$B$2500,3)+
COUNTIFS('Commodity Prices'!$A$9:$A$2500,'Alumina - Prices'!D32,'Commodity Prices'!$B$9:$B$2500,4)+
COUNTIFS('Commodity Prices'!$A$9:$A$2500,'Alumina - Prices'!E32,'Commodity Prices'!$B$9:$B$2500,1)+
COUNTIFS('Commodity Prices'!$A$9:$A$2500,'Alumina - Prices'!E32,'Commodity Prices'!$B$9:$B$2500,2))</f>
        <v>8752.8225000000002</v>
      </c>
      <c r="M33" s="333">
        <f>(SUMIFS('Commodity Prices'!$O$9:$O$2500,'Commodity Prices'!$A$9:$A$2500,'Alumina - Prices'!D32,'Commodity Prices'!$B$9:$B$2500,3)+
SUMIFS('Commodity Prices'!$O$9:$O$2500,'Commodity Prices'!$A$9:$A$2500,'Alumina - Prices'!D32,'Commodity Prices'!$B$9:$B$2500,4)+
SUMIFS('Commodity Prices'!$O$9:$O$2500,'Commodity Prices'!$A$9:$A$2500,'Alumina - Prices'!E32,'Commodity Prices'!$B$9:$B$2500,1)+
SUMIFS('Commodity Prices'!$O$9:$O$2500,'Commodity Prices'!$A$9:$A$2500,'Alumina - Prices'!E32,'Commodity Prices'!$B$9:$B$2500,2))
/(COUNTIFS('Commodity Prices'!$A$9:$A$2500,'Alumina - Prices'!D32,'Commodity Prices'!$B$9:$B$2500,3)+
COUNTIFS('Commodity Prices'!$A$9:$A$2500,'Alumina - Prices'!D32,'Commodity Prices'!$B$9:$B$2500,4)+
COUNTIFS('Commodity Prices'!$A$9:$A$2500,'Alumina - Prices'!E32,'Commodity Prices'!$B$9:$B$2500,1)+
COUNTIFS('Commodity Prices'!$A$9:$A$2500,'Alumina - Prices'!E32,'Commodity Prices'!$B$9:$B$2500,2))</f>
        <v>2419.3909783127997</v>
      </c>
      <c r="N33" s="333">
        <f>(SUMIFS('Commodity Prices'!$P$9:$P$2500,'Commodity Prices'!$A$9:$A$2500,'Alumina - Prices'!D32,'Commodity Prices'!$B$9:$B$2500,3)+
SUMIFS('Commodity Prices'!$P$9:$P$2500,'Commodity Prices'!$A$9:$A$2500,'Alumina - Prices'!D32,'Commodity Prices'!$B$9:$B$2500,4)+
SUMIFS('Commodity Prices'!$P$9:$P$2500,'Commodity Prices'!$A$9:$A$2500,'Alumina - Prices'!E32,'Commodity Prices'!$B$9:$B$2500,1)+
SUMIFS('Commodity Prices'!$P$9:$P$2500,'Commodity Prices'!$A$9:$A$2500,'Alumina - Prices'!E32,'Commodity Prices'!$B$9:$B$2500,2))
/(COUNTIFS('Commodity Prices'!$A$9:$A$2500,'Alumina - Prices'!D32,'Commodity Prices'!$B$9:$B$2500,3)+
COUNTIFS('Commodity Prices'!$A$9:$A$2500,'Alumina - Prices'!D32,'Commodity Prices'!$B$9:$B$2500,4)+
COUNTIFS('Commodity Prices'!$A$9:$A$2500,'Alumina - Prices'!E32,'Commodity Prices'!$B$9:$B$2500,1)+
COUNTIFS('Commodity Prices'!$A$9:$A$2500,'Alumina - Prices'!E32,'Commodity Prices'!$B$9:$B$2500,2))</f>
        <v>2271.3336175498753</v>
      </c>
    </row>
    <row r="34" spans="1:14">
      <c r="A34" s="562">
        <f>LARGE('Commodity Prices'!C$159:C$902,35)</f>
        <v>43313</v>
      </c>
      <c r="B34" s="780">
        <f>SUMIF('Commodity Prices'!$C$159:$C$902,$A34,'Commodity Prices'!N$159:N$902)</f>
        <v>8244.2669942669945</v>
      </c>
      <c r="C34" s="780">
        <f>SUMIF('Commodity Prices'!$C$159:$C$902,$A34,'Commodity Prices'!O$159:O$902)</f>
        <v>2818.5416821780459</v>
      </c>
      <c r="D34" s="724">
        <f>SUMIF('Commodity Prices'!$C$159:$C$902,$A34,'Commodity Prices'!P$159:P$902)</f>
        <v>3426.8669495942227</v>
      </c>
      <c r="E34" s="10"/>
      <c r="F34" s="128">
        <f t="shared" si="2"/>
        <v>2011</v>
      </c>
      <c r="G34" s="128">
        <f t="shared" si="2"/>
        <v>2012</v>
      </c>
      <c r="H34" s="774" t="str">
        <f t="shared" si="0"/>
        <v>2011-12</v>
      </c>
      <c r="I34" s="781">
        <f t="array" ref="I34">IF($H$6="Historic Calendar Year",IFERROR(AVERAGE(IF($H34=YEAR('Commodity Prices'!C$100:C$1000),'Commodity Prices'!N$100:N$1000)),"NA"),IFERROR(IF(L34=0,"NA",L34),"NA"))</f>
        <v>7900.5566666666673</v>
      </c>
      <c r="J34" s="781">
        <f t="array" ref="J34">IF($H$6="Historic Calendar Year",IFERROR(AVERAGE(IF($H34=YEAR('Commodity Prices'!C$100:C$1000),'Commodity Prices'!O$100:O$1000)),"NA"),IFERROR(IF(M34=0,"NA",M34),"NA"))</f>
        <v>2058.8074612523487</v>
      </c>
      <c r="K34" s="781">
        <f t="array" ref="K34">IF($H$6="Historic Calendar Year",IFERROR(AVERAGE(IF($H34=YEAR('Commodity Prices'!C$100:C$1000),'Commodity Prices'!P$100:P$1000)),"NA"),IFERROR(IF(N34=0,"NA",N34),"NA"))</f>
        <v>1954.1294943265148</v>
      </c>
      <c r="L34" s="333">
        <f>(SUMIFS('Commodity Prices'!$N$9:$N$2500,'Commodity Prices'!$A$9:$A$2500,'Alumina - Prices'!D33,'Commodity Prices'!$B$9:$B$2500,3)+
SUMIFS('Commodity Prices'!$N$9:$N$2500,'Commodity Prices'!$A$9:$A$2500,'Alumina - Prices'!D33,'Commodity Prices'!$B$9:$B$2500,4)+
SUMIFS('Commodity Prices'!$N$9:$N$2500,'Commodity Prices'!$A$9:$A$2500,'Alumina - Prices'!E33,'Commodity Prices'!$B$9:$B$2500,1)+
SUMIFS('Commodity Prices'!$N$9:$N$2500,'Commodity Prices'!$A$9:$A$2500,'Alumina - Prices'!E33,'Commodity Prices'!$B$9:$B$2500,2))
/(COUNTIFS('Commodity Prices'!$A$9:$A$2500,'Alumina - Prices'!D33,'Commodity Prices'!$B$9:$B$2500,3)+
COUNTIFS('Commodity Prices'!$A$9:$A$2500,'Alumina - Prices'!D33,'Commodity Prices'!$B$9:$B$2500,4)+
COUNTIFS('Commodity Prices'!$A$9:$A$2500,'Alumina - Prices'!E33,'Commodity Prices'!$B$9:$B$2500,1)+
COUNTIFS('Commodity Prices'!$A$9:$A$2500,'Alumina - Prices'!E33,'Commodity Prices'!$B$9:$B$2500,2))</f>
        <v>7900.5566666666673</v>
      </c>
      <c r="M34" s="333">
        <f>(SUMIFS('Commodity Prices'!$O$9:$O$2500,'Commodity Prices'!$A$9:$A$2500,'Alumina - Prices'!D33,'Commodity Prices'!$B$9:$B$2500,3)+
SUMIFS('Commodity Prices'!$O$9:$O$2500,'Commodity Prices'!$A$9:$A$2500,'Alumina - Prices'!D33,'Commodity Prices'!$B$9:$B$2500,4)+
SUMIFS('Commodity Prices'!$O$9:$O$2500,'Commodity Prices'!$A$9:$A$2500,'Alumina - Prices'!E33,'Commodity Prices'!$B$9:$B$2500,1)+
SUMIFS('Commodity Prices'!$O$9:$O$2500,'Commodity Prices'!$A$9:$A$2500,'Alumina - Prices'!E33,'Commodity Prices'!$B$9:$B$2500,2))
/(COUNTIFS('Commodity Prices'!$A$9:$A$2500,'Alumina - Prices'!D33,'Commodity Prices'!$B$9:$B$2500,3)+
COUNTIFS('Commodity Prices'!$A$9:$A$2500,'Alumina - Prices'!D33,'Commodity Prices'!$B$9:$B$2500,4)+
COUNTIFS('Commodity Prices'!$A$9:$A$2500,'Alumina - Prices'!E33,'Commodity Prices'!$B$9:$B$2500,1)+
COUNTIFS('Commodity Prices'!$A$9:$A$2500,'Alumina - Prices'!E33,'Commodity Prices'!$B$9:$B$2500,2))</f>
        <v>2058.8074612523487</v>
      </c>
      <c r="N34" s="333">
        <f>(SUMIFS('Commodity Prices'!$P$9:$P$2500,'Commodity Prices'!$A$9:$A$2500,'Alumina - Prices'!D33,'Commodity Prices'!$B$9:$B$2500,3)+
SUMIFS('Commodity Prices'!$P$9:$P$2500,'Commodity Prices'!$A$9:$A$2500,'Alumina - Prices'!D33,'Commodity Prices'!$B$9:$B$2500,4)+
SUMIFS('Commodity Prices'!$P$9:$P$2500,'Commodity Prices'!$A$9:$A$2500,'Alumina - Prices'!E33,'Commodity Prices'!$B$9:$B$2500,1)+
SUMIFS('Commodity Prices'!$P$9:$P$2500,'Commodity Prices'!$A$9:$A$2500,'Alumina - Prices'!E33,'Commodity Prices'!$B$9:$B$2500,2))
/(COUNTIFS('Commodity Prices'!$A$9:$A$2500,'Alumina - Prices'!D33,'Commodity Prices'!$B$9:$B$2500,3)+
COUNTIFS('Commodity Prices'!$A$9:$A$2500,'Alumina - Prices'!D33,'Commodity Prices'!$B$9:$B$2500,4)+
COUNTIFS('Commodity Prices'!$A$9:$A$2500,'Alumina - Prices'!E33,'Commodity Prices'!$B$9:$B$2500,1)+
COUNTIFS('Commodity Prices'!$A$9:$A$2500,'Alumina - Prices'!E33,'Commodity Prices'!$B$9:$B$2500,2))</f>
        <v>1954.1294943265148</v>
      </c>
    </row>
    <row r="35" spans="1:14">
      <c r="A35" s="599">
        <f>LARGE('Commodity Prices'!C$159:C$902,34)</f>
        <v>43344</v>
      </c>
      <c r="B35" s="778">
        <f>SUMIF('Commodity Prices'!$C$159:$C$902,$A35,'Commodity Prices'!N$159:N$902)</f>
        <v>8356.5033314825087</v>
      </c>
      <c r="C35" s="778">
        <f>SUMIF('Commodity Prices'!$C$159:$C$902,$A35,'Commodity Prices'!O$159:O$902)</f>
        <v>2815.415047196002</v>
      </c>
      <c r="D35" s="781">
        <f>SUMIF('Commodity Prices'!$C$159:$C$902,$A35,'Commodity Prices'!P$159:P$902)</f>
        <v>3377.5680177679064</v>
      </c>
      <c r="E35" s="10"/>
      <c r="F35" s="128">
        <f t="shared" si="2"/>
        <v>2012</v>
      </c>
      <c r="G35" s="128">
        <f t="shared" si="2"/>
        <v>2013</v>
      </c>
      <c r="H35" s="775" t="str">
        <f t="shared" si="0"/>
        <v>2012-13</v>
      </c>
      <c r="I35" s="724">
        <f t="array" ref="I35">IF($H$6="Historic Calendar Year",IFERROR(AVERAGE(IF($H35=YEAR('Commodity Prices'!C$100:C$1000),'Commodity Prices'!N$100:N$1000)),"NA"),IFERROR(IF(L35=0,"NA",L35),"NA"))</f>
        <v>7480.2641666666668</v>
      </c>
      <c r="J35" s="724">
        <f t="array" ref="J35">IF($H$6="Historic Calendar Year",IFERROR(AVERAGE(IF($H35=YEAR('Commodity Prices'!C$100:C$1000),'Commodity Prices'!O$100:O$1000)),"NA"),IFERROR(IF(M35=0,"NA",M35),"NA"))</f>
        <v>2081.3354512782839</v>
      </c>
      <c r="K35" s="724">
        <f t="array" ref="K35">IF($H$6="Historic Calendar Year",IFERROR(AVERAGE(IF($H35=YEAR('Commodity Prices'!C$100:C$1000),'Commodity Prices'!P$100:P$1000)),"NA"),IFERROR(IF(N35=0,"NA",N35),"NA"))</f>
        <v>1880.1307645726674</v>
      </c>
      <c r="L35" s="333">
        <f>(SUMIFS('Commodity Prices'!$N$9:$N$2500,'Commodity Prices'!$A$9:$A$2500,'Alumina - Prices'!D34,'Commodity Prices'!$B$9:$B$2500,3)+
SUMIFS('Commodity Prices'!$N$9:$N$2500,'Commodity Prices'!$A$9:$A$2500,'Alumina - Prices'!D34,'Commodity Prices'!$B$9:$B$2500,4)+
SUMIFS('Commodity Prices'!$N$9:$N$2500,'Commodity Prices'!$A$9:$A$2500,'Alumina - Prices'!E34,'Commodity Prices'!$B$9:$B$2500,1)+
SUMIFS('Commodity Prices'!$N$9:$N$2500,'Commodity Prices'!$A$9:$A$2500,'Alumina - Prices'!E34,'Commodity Prices'!$B$9:$B$2500,2))
/(COUNTIFS('Commodity Prices'!$A$9:$A$2500,'Alumina - Prices'!D34,'Commodity Prices'!$B$9:$B$2500,3)+
COUNTIFS('Commodity Prices'!$A$9:$A$2500,'Alumina - Prices'!D34,'Commodity Prices'!$B$9:$B$2500,4)+
COUNTIFS('Commodity Prices'!$A$9:$A$2500,'Alumina - Prices'!E34,'Commodity Prices'!$B$9:$B$2500,1)+
COUNTIFS('Commodity Prices'!$A$9:$A$2500,'Alumina - Prices'!E34,'Commodity Prices'!$B$9:$B$2500,2))</f>
        <v>7480.2641666666668</v>
      </c>
      <c r="M35" s="333">
        <f>(SUMIFS('Commodity Prices'!$O$9:$O$2500,'Commodity Prices'!$A$9:$A$2500,'Alumina - Prices'!D34,'Commodity Prices'!$B$9:$B$2500,3)+
SUMIFS('Commodity Prices'!$O$9:$O$2500,'Commodity Prices'!$A$9:$A$2500,'Alumina - Prices'!D34,'Commodity Prices'!$B$9:$B$2500,4)+
SUMIFS('Commodity Prices'!$O$9:$O$2500,'Commodity Prices'!$A$9:$A$2500,'Alumina - Prices'!E34,'Commodity Prices'!$B$9:$B$2500,1)+
SUMIFS('Commodity Prices'!$O$9:$O$2500,'Commodity Prices'!$A$9:$A$2500,'Alumina - Prices'!E34,'Commodity Prices'!$B$9:$B$2500,2))
/(COUNTIFS('Commodity Prices'!$A$9:$A$2500,'Alumina - Prices'!D34,'Commodity Prices'!$B$9:$B$2500,3)+
COUNTIFS('Commodity Prices'!$A$9:$A$2500,'Alumina - Prices'!D34,'Commodity Prices'!$B$9:$B$2500,4)+
COUNTIFS('Commodity Prices'!$A$9:$A$2500,'Alumina - Prices'!E34,'Commodity Prices'!$B$9:$B$2500,1)+
COUNTIFS('Commodity Prices'!$A$9:$A$2500,'Alumina - Prices'!E34,'Commodity Prices'!$B$9:$B$2500,2))</f>
        <v>2081.3354512782839</v>
      </c>
      <c r="N35" s="333">
        <f>(SUMIFS('Commodity Prices'!$P$9:$P$2500,'Commodity Prices'!$A$9:$A$2500,'Alumina - Prices'!D34,'Commodity Prices'!$B$9:$B$2500,3)+
SUMIFS('Commodity Prices'!$P$9:$P$2500,'Commodity Prices'!$A$9:$A$2500,'Alumina - Prices'!D34,'Commodity Prices'!$B$9:$B$2500,4)+
SUMIFS('Commodity Prices'!$P$9:$P$2500,'Commodity Prices'!$A$9:$A$2500,'Alumina - Prices'!E34,'Commodity Prices'!$B$9:$B$2500,1)+
SUMIFS('Commodity Prices'!$P$9:$P$2500,'Commodity Prices'!$A$9:$A$2500,'Alumina - Prices'!E34,'Commodity Prices'!$B$9:$B$2500,2))
/(COUNTIFS('Commodity Prices'!$A$9:$A$2500,'Alumina - Prices'!D34,'Commodity Prices'!$B$9:$B$2500,3)+
COUNTIFS('Commodity Prices'!$A$9:$A$2500,'Alumina - Prices'!D34,'Commodity Prices'!$B$9:$B$2500,4)+
COUNTIFS('Commodity Prices'!$A$9:$A$2500,'Alumina - Prices'!E34,'Commodity Prices'!$B$9:$B$2500,1)+
COUNTIFS('Commodity Prices'!$A$9:$A$2500,'Alumina - Prices'!E34,'Commodity Prices'!$B$9:$B$2500,2))</f>
        <v>1880.1307645726674</v>
      </c>
    </row>
    <row r="36" spans="1:14">
      <c r="A36" s="562">
        <f>LARGE('Commodity Prices'!C$159:C$902,33)</f>
        <v>43374</v>
      </c>
      <c r="B36" s="780">
        <f>SUMIF('Commodity Prices'!$C$159:$C$902,$A36,'Commodity Prices'!N$159:N$902)</f>
        <v>8752.3092086736124</v>
      </c>
      <c r="C36" s="780">
        <f>SUMIF('Commodity Prices'!$C$159:$C$902,$A36,'Commodity Prices'!O$159:O$902)</f>
        <v>2795.1985356237678</v>
      </c>
      <c r="D36" s="724">
        <f>SUMIF('Commodity Prices'!$C$159:$C$902,$A36,'Commodity Prices'!P$159:P$902)</f>
        <v>3762.1374260771609</v>
      </c>
      <c r="E36" s="10"/>
      <c r="F36" s="128">
        <f t="shared" si="2"/>
        <v>2013</v>
      </c>
      <c r="G36" s="128">
        <f t="shared" si="2"/>
        <v>2014</v>
      </c>
      <c r="H36" s="774" t="str">
        <f t="shared" si="0"/>
        <v>2013-14</v>
      </c>
      <c r="I36" s="781">
        <f t="array" ref="I36">IF($H$6="Historic Calendar Year",IFERROR(AVERAGE(IF($H36=YEAR('Commodity Prices'!C$100:C$1000),'Commodity Prices'!N$100:N$1000)),"NA"),IFERROR(IF(L36=0,"NA",L36),"NA"))</f>
        <v>7647.3025000000007</v>
      </c>
      <c r="J36" s="781">
        <f t="array" ref="J36">IF($H$6="Historic Calendar Year",IFERROR(AVERAGE(IF($H36=YEAR('Commodity Prices'!C$100:C$1000),'Commodity Prices'!O$100:O$1000)),"NA"),IFERROR(IF(M36=0,"NA",M36),"NA"))</f>
        <v>2293.5594831169187</v>
      </c>
      <c r="K36" s="781">
        <f t="array" ref="K36">IF($H$6="Historic Calendar Year",IFERROR(AVERAGE(IF($H36=YEAR('Commodity Prices'!C$100:C$1000),'Commodity Prices'!P$100:P$1000)),"NA"),IFERROR(IF(N36=0,"NA",N36),"NA"))</f>
        <v>2144.889066165259</v>
      </c>
      <c r="L36" s="333">
        <f>(SUMIFS('Commodity Prices'!$N$9:$N$2500,'Commodity Prices'!$A$9:$A$2500,'Alumina - Prices'!D35,'Commodity Prices'!$B$9:$B$2500,3)+
SUMIFS('Commodity Prices'!$N$9:$N$2500,'Commodity Prices'!$A$9:$A$2500,'Alumina - Prices'!D35,'Commodity Prices'!$B$9:$B$2500,4)+
SUMIFS('Commodity Prices'!$N$9:$N$2500,'Commodity Prices'!$A$9:$A$2500,'Alumina - Prices'!E35,'Commodity Prices'!$B$9:$B$2500,1)+
SUMIFS('Commodity Prices'!$N$9:$N$2500,'Commodity Prices'!$A$9:$A$2500,'Alumina - Prices'!E35,'Commodity Prices'!$B$9:$B$2500,2))
/(COUNTIFS('Commodity Prices'!$A$9:$A$2500,'Alumina - Prices'!D35,'Commodity Prices'!$B$9:$B$2500,3)+
COUNTIFS('Commodity Prices'!$A$9:$A$2500,'Alumina - Prices'!D35,'Commodity Prices'!$B$9:$B$2500,4)+
COUNTIFS('Commodity Prices'!$A$9:$A$2500,'Alumina - Prices'!E35,'Commodity Prices'!$B$9:$B$2500,1)+
COUNTIFS('Commodity Prices'!$A$9:$A$2500,'Alumina - Prices'!E35,'Commodity Prices'!$B$9:$B$2500,2))</f>
        <v>7647.3025000000007</v>
      </c>
      <c r="M36" s="333">
        <f>(SUMIFS('Commodity Prices'!$O$9:$O$2500,'Commodity Prices'!$A$9:$A$2500,'Alumina - Prices'!D35,'Commodity Prices'!$B$9:$B$2500,3)+
SUMIFS('Commodity Prices'!$O$9:$O$2500,'Commodity Prices'!$A$9:$A$2500,'Alumina - Prices'!D35,'Commodity Prices'!$B$9:$B$2500,4)+
SUMIFS('Commodity Prices'!$O$9:$O$2500,'Commodity Prices'!$A$9:$A$2500,'Alumina - Prices'!E35,'Commodity Prices'!$B$9:$B$2500,1)+
SUMIFS('Commodity Prices'!$O$9:$O$2500,'Commodity Prices'!$A$9:$A$2500,'Alumina - Prices'!E35,'Commodity Prices'!$B$9:$B$2500,2))
/(COUNTIFS('Commodity Prices'!$A$9:$A$2500,'Alumina - Prices'!D35,'Commodity Prices'!$B$9:$B$2500,3)+
COUNTIFS('Commodity Prices'!$A$9:$A$2500,'Alumina - Prices'!D35,'Commodity Prices'!$B$9:$B$2500,4)+
COUNTIFS('Commodity Prices'!$A$9:$A$2500,'Alumina - Prices'!E35,'Commodity Prices'!$B$9:$B$2500,1)+
COUNTIFS('Commodity Prices'!$A$9:$A$2500,'Alumina - Prices'!E35,'Commodity Prices'!$B$9:$B$2500,2))</f>
        <v>2293.5594831169187</v>
      </c>
      <c r="N36" s="333">
        <f>(SUMIFS('Commodity Prices'!$P$9:$P$2500,'Commodity Prices'!$A$9:$A$2500,'Alumina - Prices'!D35,'Commodity Prices'!$B$9:$B$2500,3)+
SUMIFS('Commodity Prices'!$P$9:$P$2500,'Commodity Prices'!$A$9:$A$2500,'Alumina - Prices'!D35,'Commodity Prices'!$B$9:$B$2500,4)+
SUMIFS('Commodity Prices'!$P$9:$P$2500,'Commodity Prices'!$A$9:$A$2500,'Alumina - Prices'!E35,'Commodity Prices'!$B$9:$B$2500,1)+
SUMIFS('Commodity Prices'!$P$9:$P$2500,'Commodity Prices'!$A$9:$A$2500,'Alumina - Prices'!E35,'Commodity Prices'!$B$9:$B$2500,2))
/(COUNTIFS('Commodity Prices'!$A$9:$A$2500,'Alumina - Prices'!D35,'Commodity Prices'!$B$9:$B$2500,3)+
COUNTIFS('Commodity Prices'!$A$9:$A$2500,'Alumina - Prices'!D35,'Commodity Prices'!$B$9:$B$2500,4)+
COUNTIFS('Commodity Prices'!$A$9:$A$2500,'Alumina - Prices'!E35,'Commodity Prices'!$B$9:$B$2500,1)+
COUNTIFS('Commodity Prices'!$A$9:$A$2500,'Alumina - Prices'!E35,'Commodity Prices'!$B$9:$B$2500,2))</f>
        <v>2144.889066165259</v>
      </c>
    </row>
    <row r="37" spans="1:14">
      <c r="A37" s="599">
        <f>LARGE('Commodity Prices'!C$159:C$902,32)</f>
        <v>43405</v>
      </c>
      <c r="B37" s="778">
        <f>SUMIF('Commodity Prices'!$C$159:$C$902,$A37,'Commodity Prices'!N$159:N$902)</f>
        <v>8543.2473444613042</v>
      </c>
      <c r="C37" s="778">
        <f>SUMIF('Commodity Prices'!$C$159:$C$902,$A37,'Commodity Prices'!O$159:O$902)</f>
        <v>2676.4506703118927</v>
      </c>
      <c r="D37" s="781">
        <f>SUMIF('Commodity Prices'!$C$159:$C$902,$A37,'Commodity Prices'!P$159:P$902)</f>
        <v>3576.8569959492847</v>
      </c>
      <c r="E37" s="10"/>
      <c r="F37" s="128">
        <f t="shared" si="2"/>
        <v>2014</v>
      </c>
      <c r="G37" s="128">
        <f t="shared" si="2"/>
        <v>2015</v>
      </c>
      <c r="H37" s="775" t="str">
        <f t="shared" si="0"/>
        <v>2014-15</v>
      </c>
      <c r="I37" s="724">
        <f t="array" ref="I37">IF($H$6="Historic Calendar Year",IFERROR(AVERAGE(IF($H37=YEAR('Commodity Prices'!C$100:C$1000),'Commodity Prices'!N$100:N$1000)),"NA"),IFERROR(IF(L37=0,"NA",L37),"NA"))</f>
        <v>7620.9058333333332</v>
      </c>
      <c r="J37" s="724">
        <f t="array" ref="J37">IF($H$6="Historic Calendar Year",IFERROR(AVERAGE(IF($H37=YEAR('Commodity Prices'!C$100:C$1000),'Commodity Prices'!O$100:O$1000)),"NA"),IFERROR(IF(M37=0,"NA",M37),"NA"))</f>
        <v>2374.4630051197269</v>
      </c>
      <c r="K37" s="724">
        <f t="array" ref="K37">IF($H$6="Historic Calendar Year",IFERROR(AVERAGE(IF($H37=YEAR('Commodity Prices'!C$100:C$1000),'Commodity Prices'!P$100:P$1000)),"NA"),IFERROR(IF(N37=0,"NA",N37),"NA"))</f>
        <v>2645.1730727556346</v>
      </c>
      <c r="L37" s="333">
        <f>(SUMIFS('Commodity Prices'!$N$9:$N$2500,'Commodity Prices'!$A$9:$A$2500,'Alumina - Prices'!D36,'Commodity Prices'!$B$9:$B$2500,3)+
SUMIFS('Commodity Prices'!$N$9:$N$2500,'Commodity Prices'!$A$9:$A$2500,'Alumina - Prices'!D36,'Commodity Prices'!$B$9:$B$2500,4)+
SUMIFS('Commodity Prices'!$N$9:$N$2500,'Commodity Prices'!$A$9:$A$2500,'Alumina - Prices'!E36,'Commodity Prices'!$B$9:$B$2500,1)+
SUMIFS('Commodity Prices'!$N$9:$N$2500,'Commodity Prices'!$A$9:$A$2500,'Alumina - Prices'!E36,'Commodity Prices'!$B$9:$B$2500,2))
/(COUNTIFS('Commodity Prices'!$A$9:$A$2500,'Alumina - Prices'!D36,'Commodity Prices'!$B$9:$B$2500,3)+
COUNTIFS('Commodity Prices'!$A$9:$A$2500,'Alumina - Prices'!D36,'Commodity Prices'!$B$9:$B$2500,4)+
COUNTIFS('Commodity Prices'!$A$9:$A$2500,'Alumina - Prices'!E36,'Commodity Prices'!$B$9:$B$2500,1)+
COUNTIFS('Commodity Prices'!$A$9:$A$2500,'Alumina - Prices'!E36,'Commodity Prices'!$B$9:$B$2500,2))</f>
        <v>7620.9058333333332</v>
      </c>
      <c r="M37" s="333">
        <f>(SUMIFS('Commodity Prices'!$O$9:$O$2500,'Commodity Prices'!$A$9:$A$2500,'Alumina - Prices'!D36,'Commodity Prices'!$B$9:$B$2500,3)+
SUMIFS('Commodity Prices'!$O$9:$O$2500,'Commodity Prices'!$A$9:$A$2500,'Alumina - Prices'!D36,'Commodity Prices'!$B$9:$B$2500,4)+
SUMIFS('Commodity Prices'!$O$9:$O$2500,'Commodity Prices'!$A$9:$A$2500,'Alumina - Prices'!E36,'Commodity Prices'!$B$9:$B$2500,1)+
SUMIFS('Commodity Prices'!$O$9:$O$2500,'Commodity Prices'!$A$9:$A$2500,'Alumina - Prices'!E36,'Commodity Prices'!$B$9:$B$2500,2))
/(COUNTIFS('Commodity Prices'!$A$9:$A$2500,'Alumina - Prices'!D36,'Commodity Prices'!$B$9:$B$2500,3)+
COUNTIFS('Commodity Prices'!$A$9:$A$2500,'Alumina - Prices'!D36,'Commodity Prices'!$B$9:$B$2500,4)+
COUNTIFS('Commodity Prices'!$A$9:$A$2500,'Alumina - Prices'!E36,'Commodity Prices'!$B$9:$B$2500,1)+
COUNTIFS('Commodity Prices'!$A$9:$A$2500,'Alumina - Prices'!E36,'Commodity Prices'!$B$9:$B$2500,2))</f>
        <v>2374.4630051197269</v>
      </c>
      <c r="N37" s="333">
        <f>(SUMIFS('Commodity Prices'!$P$9:$P$2500,'Commodity Prices'!$A$9:$A$2500,'Alumina - Prices'!D36,'Commodity Prices'!$B$9:$B$2500,3)+
SUMIFS('Commodity Prices'!$P$9:$P$2500,'Commodity Prices'!$A$9:$A$2500,'Alumina - Prices'!D36,'Commodity Prices'!$B$9:$B$2500,4)+
SUMIFS('Commodity Prices'!$P$9:$P$2500,'Commodity Prices'!$A$9:$A$2500,'Alumina - Prices'!E36,'Commodity Prices'!$B$9:$B$2500,1)+
SUMIFS('Commodity Prices'!$P$9:$P$2500,'Commodity Prices'!$A$9:$A$2500,'Alumina - Prices'!E36,'Commodity Prices'!$B$9:$B$2500,2))
/(COUNTIFS('Commodity Prices'!$A$9:$A$2500,'Alumina - Prices'!D36,'Commodity Prices'!$B$9:$B$2500,3)+
COUNTIFS('Commodity Prices'!$A$9:$A$2500,'Alumina - Prices'!D36,'Commodity Prices'!$B$9:$B$2500,4)+
COUNTIFS('Commodity Prices'!$A$9:$A$2500,'Alumina - Prices'!E36,'Commodity Prices'!$B$9:$B$2500,1)+
COUNTIFS('Commodity Prices'!$A$9:$A$2500,'Alumina - Prices'!E36,'Commodity Prices'!$B$9:$B$2500,2))</f>
        <v>2645.1730727556346</v>
      </c>
    </row>
    <row r="38" spans="1:14">
      <c r="A38" s="562">
        <f>LARGE('Commodity Prices'!C$159:C$902,31)</f>
        <v>43435</v>
      </c>
      <c r="B38" s="780">
        <f>SUMIF('Commodity Prices'!$C$159:$C$902,$A38,'Commodity Prices'!N$159:N$902)</f>
        <v>8513.8460463816718</v>
      </c>
      <c r="C38" s="780">
        <f>SUMIF('Commodity Prices'!$C$159:$C$902,$A38,'Commodity Prices'!O$159:O$902)</f>
        <v>2745.84197261805</v>
      </c>
      <c r="D38" s="724">
        <f>SUMIF('Commodity Prices'!$C$159:$C$902,$A38,'Commodity Prices'!P$159:P$902)</f>
        <v>3668.0706901369099</v>
      </c>
      <c r="E38" s="10"/>
      <c r="F38" s="128">
        <f t="shared" si="2"/>
        <v>2015</v>
      </c>
      <c r="G38" s="128">
        <f t="shared" si="2"/>
        <v>2016</v>
      </c>
      <c r="H38" s="774" t="str">
        <f t="shared" si="0"/>
        <v>2015-16</v>
      </c>
      <c r="I38" s="781">
        <f t="array" ref="I38">IF($H$6="Historic Calendar Year",IFERROR(AVERAGE(IF($H38=YEAR('Commodity Prices'!C$100:C$1000),'Commodity Prices'!N$100:N$1000)),"NA"),IFERROR(IF(L38=0,"NA",L38),"NA"))</f>
        <v>6706.3666666666677</v>
      </c>
      <c r="J38" s="781">
        <f t="array" ref="J38">IF($H$6="Historic Calendar Year",IFERROR(AVERAGE(IF($H38=YEAR('Commodity Prices'!C$100:C$1000),'Commodity Prices'!O$100:O$1000)),"NA"),IFERROR(IF(M38=0,"NA",M38),"NA"))</f>
        <v>2352.5099558624611</v>
      </c>
      <c r="K38" s="781">
        <f t="array" ref="K38">IF($H$6="Historic Calendar Year",IFERROR(AVERAGE(IF($H38=YEAR('Commodity Prices'!C$100:C$1000),'Commodity Prices'!P$100:P$1000)),"NA"),IFERROR(IF(N38=0,"NA",N38),"NA"))</f>
        <v>2415.5867562904928</v>
      </c>
      <c r="L38" s="333">
        <f>(SUMIFS('Commodity Prices'!$N$9:$N$2500,'Commodity Prices'!$A$9:$A$2500,'Alumina - Prices'!D37,'Commodity Prices'!$B$9:$B$2500,3)+
SUMIFS('Commodity Prices'!$N$9:$N$2500,'Commodity Prices'!$A$9:$A$2500,'Alumina - Prices'!D37,'Commodity Prices'!$B$9:$B$2500,4)+
SUMIFS('Commodity Prices'!$N$9:$N$2500,'Commodity Prices'!$A$9:$A$2500,'Alumina - Prices'!E37,'Commodity Prices'!$B$9:$B$2500,1)+
SUMIFS('Commodity Prices'!$N$9:$N$2500,'Commodity Prices'!$A$9:$A$2500,'Alumina - Prices'!E37,'Commodity Prices'!$B$9:$B$2500,2))
/(COUNTIFS('Commodity Prices'!$A$9:$A$2500,'Alumina - Prices'!D37,'Commodity Prices'!$B$9:$B$2500,3)+
COUNTIFS('Commodity Prices'!$A$9:$A$2500,'Alumina - Prices'!D37,'Commodity Prices'!$B$9:$B$2500,4)+
COUNTIFS('Commodity Prices'!$A$9:$A$2500,'Alumina - Prices'!E37,'Commodity Prices'!$B$9:$B$2500,1)+
COUNTIFS('Commodity Prices'!$A$9:$A$2500,'Alumina - Prices'!E37,'Commodity Prices'!$B$9:$B$2500,2))</f>
        <v>6706.3666666666677</v>
      </c>
      <c r="M38" s="333">
        <f>(SUMIFS('Commodity Prices'!$O$9:$O$2500,'Commodity Prices'!$A$9:$A$2500,'Alumina - Prices'!D37,'Commodity Prices'!$B$9:$B$2500,3)+
SUMIFS('Commodity Prices'!$O$9:$O$2500,'Commodity Prices'!$A$9:$A$2500,'Alumina - Prices'!D37,'Commodity Prices'!$B$9:$B$2500,4)+
SUMIFS('Commodity Prices'!$O$9:$O$2500,'Commodity Prices'!$A$9:$A$2500,'Alumina - Prices'!E37,'Commodity Prices'!$B$9:$B$2500,1)+
SUMIFS('Commodity Prices'!$O$9:$O$2500,'Commodity Prices'!$A$9:$A$2500,'Alumina - Prices'!E37,'Commodity Prices'!$B$9:$B$2500,2))
/(COUNTIFS('Commodity Prices'!$A$9:$A$2500,'Alumina - Prices'!D37,'Commodity Prices'!$B$9:$B$2500,3)+
COUNTIFS('Commodity Prices'!$A$9:$A$2500,'Alumina - Prices'!D37,'Commodity Prices'!$B$9:$B$2500,4)+
COUNTIFS('Commodity Prices'!$A$9:$A$2500,'Alumina - Prices'!E37,'Commodity Prices'!$B$9:$B$2500,1)+
COUNTIFS('Commodity Prices'!$A$9:$A$2500,'Alumina - Prices'!E37,'Commodity Prices'!$B$9:$B$2500,2))</f>
        <v>2352.5099558624611</v>
      </c>
      <c r="N38" s="333">
        <f>(SUMIFS('Commodity Prices'!$P$9:$P$2500,'Commodity Prices'!$A$9:$A$2500,'Alumina - Prices'!D37,'Commodity Prices'!$B$9:$B$2500,3)+
SUMIFS('Commodity Prices'!$P$9:$P$2500,'Commodity Prices'!$A$9:$A$2500,'Alumina - Prices'!D37,'Commodity Prices'!$B$9:$B$2500,4)+
SUMIFS('Commodity Prices'!$P$9:$P$2500,'Commodity Prices'!$A$9:$A$2500,'Alumina - Prices'!E37,'Commodity Prices'!$B$9:$B$2500,1)+
SUMIFS('Commodity Prices'!$P$9:$P$2500,'Commodity Prices'!$A$9:$A$2500,'Alumina - Prices'!E37,'Commodity Prices'!$B$9:$B$2500,2))
/(COUNTIFS('Commodity Prices'!$A$9:$A$2500,'Alumina - Prices'!D37,'Commodity Prices'!$B$9:$B$2500,3)+
COUNTIFS('Commodity Prices'!$A$9:$A$2500,'Alumina - Prices'!D37,'Commodity Prices'!$B$9:$B$2500,4)+
COUNTIFS('Commodity Prices'!$A$9:$A$2500,'Alumina - Prices'!E37,'Commodity Prices'!$B$9:$B$2500,1)+
COUNTIFS('Commodity Prices'!$A$9:$A$2500,'Alumina - Prices'!E37,'Commodity Prices'!$B$9:$B$2500,2))</f>
        <v>2415.5867562904928</v>
      </c>
    </row>
    <row r="39" spans="1:14">
      <c r="A39" s="599">
        <f>LARGE('Commodity Prices'!C$159:C$902,30)</f>
        <v>43466</v>
      </c>
      <c r="B39" s="778">
        <f>SUMIF('Commodity Prices'!$C$159:$C$902,$A39,'Commodity Prices'!N$159:N$902)</f>
        <v>8295.3712767445122</v>
      </c>
      <c r="C39" s="778">
        <f>SUMIF('Commodity Prices'!$C$159:$C$902,$A39,'Commodity Prices'!O$159:O$902)</f>
        <v>2788.6449447629707</v>
      </c>
      <c r="D39" s="781">
        <f>SUMIF('Commodity Prices'!$C$159:$C$902,$A39,'Commodity Prices'!P$159:P$902)</f>
        <v>3578.7721996923506</v>
      </c>
      <c r="E39" s="10"/>
      <c r="F39" s="128">
        <f t="shared" si="2"/>
        <v>2016</v>
      </c>
      <c r="G39" s="128">
        <f t="shared" si="2"/>
        <v>2017</v>
      </c>
      <c r="H39" s="775" t="str">
        <f t="shared" si="0"/>
        <v>2016-17</v>
      </c>
      <c r="I39" s="724">
        <f t="array" ref="I39">IF($H$6="Historic Calendar Year",IFERROR(AVERAGE(IF($H39=YEAR('Commodity Prices'!C$100:C$1000),'Commodity Prices'!N$100:N$1000)),"NA"),IFERROR(IF(L39=0,"NA",L39),"NA"))</f>
        <v>7146.4259281305121</v>
      </c>
      <c r="J39" s="724">
        <f t="array" ref="J39">IF($H$6="Historic Calendar Year",IFERROR(AVERAGE(IF($H39=YEAR('Commodity Prices'!C$100:C$1000),'Commodity Prices'!O$100:O$1000)),"NA"),IFERROR(IF(M39=0,"NA",M39),"NA"))</f>
        <v>2806.834462081129</v>
      </c>
      <c r="K39" s="724">
        <f t="array" ref="K39">IF($H$6="Historic Calendar Year",IFERROR(AVERAGE(IF($H39=YEAR('Commodity Prices'!C$100:C$1000),'Commodity Prices'!P$100:P$1000)),"NA"),IFERROR(IF(N39=0,"NA",N39),"NA"))</f>
        <v>3365.8605158730165</v>
      </c>
      <c r="L39" s="333">
        <f>(SUMIFS('Commodity Prices'!$N$9:$N$2500,'Commodity Prices'!$A$9:$A$2500,'Alumina - Prices'!D38,'Commodity Prices'!$B$9:$B$2500,3)+
SUMIFS('Commodity Prices'!$N$9:$N$2500,'Commodity Prices'!$A$9:$A$2500,'Alumina - Prices'!D38,'Commodity Prices'!$B$9:$B$2500,4)+
SUMIFS('Commodity Prices'!$N$9:$N$2500,'Commodity Prices'!$A$9:$A$2500,'Alumina - Prices'!E38,'Commodity Prices'!$B$9:$B$2500,1)+
SUMIFS('Commodity Prices'!$N$9:$N$2500,'Commodity Prices'!$A$9:$A$2500,'Alumina - Prices'!E38,'Commodity Prices'!$B$9:$B$2500,2))
/(COUNTIFS('Commodity Prices'!$A$9:$A$2500,'Alumina - Prices'!D38,'Commodity Prices'!$B$9:$B$2500,3)+
COUNTIFS('Commodity Prices'!$A$9:$A$2500,'Alumina - Prices'!D38,'Commodity Prices'!$B$9:$B$2500,4)+
COUNTIFS('Commodity Prices'!$A$9:$A$2500,'Alumina - Prices'!E38,'Commodity Prices'!$B$9:$B$2500,1)+
COUNTIFS('Commodity Prices'!$A$9:$A$2500,'Alumina - Prices'!E38,'Commodity Prices'!$B$9:$B$2500,2))</f>
        <v>7146.4259281305121</v>
      </c>
      <c r="M39" s="333">
        <f>(SUMIFS('Commodity Prices'!$O$9:$O$2500,'Commodity Prices'!$A$9:$A$2500,'Alumina - Prices'!D38,'Commodity Prices'!$B$9:$B$2500,3)+
SUMIFS('Commodity Prices'!$O$9:$O$2500,'Commodity Prices'!$A$9:$A$2500,'Alumina - Prices'!D38,'Commodity Prices'!$B$9:$B$2500,4)+
SUMIFS('Commodity Prices'!$O$9:$O$2500,'Commodity Prices'!$A$9:$A$2500,'Alumina - Prices'!E38,'Commodity Prices'!$B$9:$B$2500,1)+
SUMIFS('Commodity Prices'!$O$9:$O$2500,'Commodity Prices'!$A$9:$A$2500,'Alumina - Prices'!E38,'Commodity Prices'!$B$9:$B$2500,2))
/(COUNTIFS('Commodity Prices'!$A$9:$A$2500,'Alumina - Prices'!D38,'Commodity Prices'!$B$9:$B$2500,3)+
COUNTIFS('Commodity Prices'!$A$9:$A$2500,'Alumina - Prices'!D38,'Commodity Prices'!$B$9:$B$2500,4)+
COUNTIFS('Commodity Prices'!$A$9:$A$2500,'Alumina - Prices'!E38,'Commodity Prices'!$B$9:$B$2500,1)+
COUNTIFS('Commodity Prices'!$A$9:$A$2500,'Alumina - Prices'!E38,'Commodity Prices'!$B$9:$B$2500,2))</f>
        <v>2806.834462081129</v>
      </c>
      <c r="N39" s="333">
        <f>(SUMIFS('Commodity Prices'!$P$9:$P$2500,'Commodity Prices'!$A$9:$A$2500,'Alumina - Prices'!D38,'Commodity Prices'!$B$9:$B$2500,3)+
SUMIFS('Commodity Prices'!$P$9:$P$2500,'Commodity Prices'!$A$9:$A$2500,'Alumina - Prices'!D38,'Commodity Prices'!$B$9:$B$2500,4)+
SUMIFS('Commodity Prices'!$P$9:$P$2500,'Commodity Prices'!$A$9:$A$2500,'Alumina - Prices'!E38,'Commodity Prices'!$B$9:$B$2500,1)+
SUMIFS('Commodity Prices'!$P$9:$P$2500,'Commodity Prices'!$A$9:$A$2500,'Alumina - Prices'!E38,'Commodity Prices'!$B$9:$B$2500,2))
/(COUNTIFS('Commodity Prices'!$A$9:$A$2500,'Alumina - Prices'!D38,'Commodity Prices'!$B$9:$B$2500,3)+
COUNTIFS('Commodity Prices'!$A$9:$A$2500,'Alumina - Prices'!D38,'Commodity Prices'!$B$9:$B$2500,4)+
COUNTIFS('Commodity Prices'!$A$9:$A$2500,'Alumina - Prices'!E38,'Commodity Prices'!$B$9:$B$2500,1)+
COUNTIFS('Commodity Prices'!$A$9:$A$2500,'Alumina - Prices'!E38,'Commodity Prices'!$B$9:$B$2500,2))</f>
        <v>3365.8605158730165</v>
      </c>
    </row>
    <row r="40" spans="1:14">
      <c r="A40" s="562">
        <f>LARGE('Commodity Prices'!C$159:C$902,29)</f>
        <v>43497</v>
      </c>
      <c r="B40" s="780">
        <f>SUMIF('Commodity Prices'!$C$159:$C$902,$A40,'Commodity Prices'!N$159:N$902)</f>
        <v>8795.460913421126</v>
      </c>
      <c r="C40" s="780">
        <f>SUMIF('Commodity Prices'!$C$159:$C$902,$A40,'Commodity Prices'!O$159:O$902)</f>
        <v>2888.8764359764641</v>
      </c>
      <c r="D40" s="724">
        <f>SUMIF('Commodity Prices'!$C$159:$C$902,$A40,'Commodity Prices'!P$159:P$902)</f>
        <v>3786.5648641075932</v>
      </c>
      <c r="E40" s="10"/>
      <c r="F40" s="128">
        <f t="shared" si="2"/>
        <v>2017</v>
      </c>
      <c r="G40" s="128">
        <f t="shared" si="2"/>
        <v>2018</v>
      </c>
      <c r="H40" s="774" t="str">
        <f t="shared" si="0"/>
        <v>2017-18</v>
      </c>
      <c r="I40" s="781">
        <f t="array" ref="I40">IF($H$6="Historic Calendar Year",IFERROR(AVERAGE(IF($H40=YEAR('Commodity Prices'!C$100:C$1000),'Commodity Prices'!N$100:N$1000)),"NA"),IFERROR(IF(L40=0,"NA",L40),"NA"))</f>
        <v>8706.908882582984</v>
      </c>
      <c r="J40" s="781">
        <f t="array" ref="J40">IF($H$6="Historic Calendar Year",IFERROR(AVERAGE(IF($H40=YEAR('Commodity Prices'!C$100:C$1000),'Commodity Prices'!O$100:O$1000)),"NA"),IFERROR(IF(M40=0,"NA",M40),"NA"))</f>
        <v>3140.6137263955789</v>
      </c>
      <c r="K40" s="781">
        <f t="array" ref="K40">IF($H$6="Historic Calendar Year",IFERROR(AVERAGE(IF($H40=YEAR('Commodity Prices'!C$100:C$1000),'Commodity Prices'!P$100:P$1000)),"NA"),IFERROR(IF(N40=0,"NA",N40),"NA"))</f>
        <v>4106.3012366119356</v>
      </c>
      <c r="L40" s="333">
        <f>(SUMIFS('Commodity Prices'!$N$9:$N$2500,'Commodity Prices'!$A$9:$A$2500,'Alumina - Prices'!D39,'Commodity Prices'!$B$9:$B$2500,3)+
SUMIFS('Commodity Prices'!$N$9:$N$2500,'Commodity Prices'!$A$9:$A$2500,'Alumina - Prices'!D39,'Commodity Prices'!$B$9:$B$2500,4)+
SUMIFS('Commodity Prices'!$N$9:$N$2500,'Commodity Prices'!$A$9:$A$2500,'Alumina - Prices'!E39,'Commodity Prices'!$B$9:$B$2500,1)+
SUMIFS('Commodity Prices'!$N$9:$N$2500,'Commodity Prices'!$A$9:$A$2500,'Alumina - Prices'!E39,'Commodity Prices'!$B$9:$B$2500,2))
/(COUNTIFS('Commodity Prices'!$A$9:$A$2500,'Alumina - Prices'!D39,'Commodity Prices'!$B$9:$B$2500,3)+
COUNTIFS('Commodity Prices'!$A$9:$A$2500,'Alumina - Prices'!D39,'Commodity Prices'!$B$9:$B$2500,4)+
COUNTIFS('Commodity Prices'!$A$9:$A$2500,'Alumina - Prices'!E39,'Commodity Prices'!$B$9:$B$2500,1)+
COUNTIFS('Commodity Prices'!$A$9:$A$2500,'Alumina - Prices'!E39,'Commodity Prices'!$B$9:$B$2500,2))</f>
        <v>8706.908882582984</v>
      </c>
      <c r="M40" s="333">
        <f>(SUMIFS('Commodity Prices'!$O$9:$O$2500,'Commodity Prices'!$A$9:$A$2500,'Alumina - Prices'!D39,'Commodity Prices'!$B$9:$B$2500,3)+
SUMIFS('Commodity Prices'!$O$9:$O$2500,'Commodity Prices'!$A$9:$A$2500,'Alumina - Prices'!D39,'Commodity Prices'!$B$9:$B$2500,4)+
SUMIFS('Commodity Prices'!$O$9:$O$2500,'Commodity Prices'!$A$9:$A$2500,'Alumina - Prices'!E39,'Commodity Prices'!$B$9:$B$2500,1)+
SUMIFS('Commodity Prices'!$O$9:$O$2500,'Commodity Prices'!$A$9:$A$2500,'Alumina - Prices'!E39,'Commodity Prices'!$B$9:$B$2500,2))
/(COUNTIFS('Commodity Prices'!$A$9:$A$2500,'Alumina - Prices'!D39,'Commodity Prices'!$B$9:$B$2500,3)+
COUNTIFS('Commodity Prices'!$A$9:$A$2500,'Alumina - Prices'!D39,'Commodity Prices'!$B$9:$B$2500,4)+
COUNTIFS('Commodity Prices'!$A$9:$A$2500,'Alumina - Prices'!E39,'Commodity Prices'!$B$9:$B$2500,1)+
COUNTIFS('Commodity Prices'!$A$9:$A$2500,'Alumina - Prices'!E39,'Commodity Prices'!$B$9:$B$2500,2))</f>
        <v>3140.6137263955789</v>
      </c>
      <c r="N40" s="333">
        <f>(SUMIFS('Commodity Prices'!$P$9:$P$2500,'Commodity Prices'!$A$9:$A$2500,'Alumina - Prices'!D39,'Commodity Prices'!$B$9:$B$2500,3)+
SUMIFS('Commodity Prices'!$P$9:$P$2500,'Commodity Prices'!$A$9:$A$2500,'Alumina - Prices'!D39,'Commodity Prices'!$B$9:$B$2500,4)+
SUMIFS('Commodity Prices'!$P$9:$P$2500,'Commodity Prices'!$A$9:$A$2500,'Alumina - Prices'!E39,'Commodity Prices'!$B$9:$B$2500,1)+
SUMIFS('Commodity Prices'!$P$9:$P$2500,'Commodity Prices'!$A$9:$A$2500,'Alumina - Prices'!E39,'Commodity Prices'!$B$9:$B$2500,2))
/(COUNTIFS('Commodity Prices'!$A$9:$A$2500,'Alumina - Prices'!D39,'Commodity Prices'!$B$9:$B$2500,3)+
COUNTIFS('Commodity Prices'!$A$9:$A$2500,'Alumina - Prices'!D39,'Commodity Prices'!$B$9:$B$2500,4)+
COUNTIFS('Commodity Prices'!$A$9:$A$2500,'Alumina - Prices'!E39,'Commodity Prices'!$B$9:$B$2500,1)+
COUNTIFS('Commodity Prices'!$A$9:$A$2500,'Alumina - Prices'!E39,'Commodity Prices'!$B$9:$B$2500,2))</f>
        <v>4106.3012366119356</v>
      </c>
    </row>
    <row r="41" spans="1:14">
      <c r="A41" s="599">
        <f>LARGE('Commodity Prices'!C$159:C$902,28)</f>
        <v>43525</v>
      </c>
      <c r="B41" s="778">
        <f>SUMIF('Commodity Prices'!$C$159:$C$902,$A41,'Commodity Prices'!N$159:N$902)</f>
        <v>9107.7509529860235</v>
      </c>
      <c r="C41" s="778">
        <f>SUMIF('Commodity Prices'!$C$159:$C$902,$A41,'Commodity Prices'!O$159:O$902)</f>
        <v>2900.7059155724978</v>
      </c>
      <c r="D41" s="781">
        <f>SUMIF('Commodity Prices'!$C$159:$C$902,$A41,'Commodity Prices'!P$159:P$902)</f>
        <v>4025.6953268389098</v>
      </c>
      <c r="E41" s="10"/>
      <c r="F41" s="128">
        <f t="shared" si="2"/>
        <v>2018</v>
      </c>
      <c r="G41" s="128">
        <f t="shared" si="2"/>
        <v>2019</v>
      </c>
      <c r="H41" s="775" t="str">
        <f t="shared" si="0"/>
        <v>2018-19</v>
      </c>
      <c r="I41" s="724">
        <f t="array" ref="I41">IF($H$6="Historic Calendar Year",IFERROR(AVERAGE(IF($H41=YEAR('Commodity Prices'!C$100:C$1000),'Commodity Prices'!N$100:N$1000)),"NA"),IFERROR(IF(L41=0,"NA",L41),"NA"))</f>
        <v>8603.0308029586304</v>
      </c>
      <c r="J41" s="724">
        <f t="array" ref="J41">IF($H$6="Historic Calendar Year",IFERROR(AVERAGE(IF($H41=YEAR('Commodity Prices'!C$100:C$1000),'Commodity Prices'!O$100:O$1000)),"NA"),IFERROR(IF(M41=0,"NA",M41),"NA"))</f>
        <v>2791.4681269859807</v>
      </c>
      <c r="K41" s="724">
        <f t="array" ref="K41">IF($H$6="Historic Calendar Year",IFERROR(AVERAGE(IF($H41=YEAR('Commodity Prices'!C$100:C$1000),'Commodity Prices'!P$100:P$1000)),"NA"),IFERROR(IF(N41=0,"NA",N41),"NA"))</f>
        <v>3718.9358658651854</v>
      </c>
      <c r="L41" s="333">
        <f>(SUMIFS('Commodity Prices'!$N$9:$N$2500,'Commodity Prices'!$A$9:$A$2500,'Alumina - Prices'!D40,'Commodity Prices'!$B$9:$B$2500,3)+
SUMIFS('Commodity Prices'!$N$9:$N$2500,'Commodity Prices'!$A$9:$A$2500,'Alumina - Prices'!D40,'Commodity Prices'!$B$9:$B$2500,4)+
SUMIFS('Commodity Prices'!$N$9:$N$2500,'Commodity Prices'!$A$9:$A$2500,'Alumina - Prices'!E40,'Commodity Prices'!$B$9:$B$2500,1)+
SUMIFS('Commodity Prices'!$N$9:$N$2500,'Commodity Prices'!$A$9:$A$2500,'Alumina - Prices'!E40,'Commodity Prices'!$B$9:$B$2500,2))
/(COUNTIFS('Commodity Prices'!$A$9:$A$2500,'Alumina - Prices'!D40,'Commodity Prices'!$B$9:$B$2500,3)+
COUNTIFS('Commodity Prices'!$A$9:$A$2500,'Alumina - Prices'!D40,'Commodity Prices'!$B$9:$B$2500,4)+
COUNTIFS('Commodity Prices'!$A$9:$A$2500,'Alumina - Prices'!E40,'Commodity Prices'!$B$9:$B$2500,1)+
COUNTIFS('Commodity Prices'!$A$9:$A$2500,'Alumina - Prices'!E40,'Commodity Prices'!$B$9:$B$2500,2))</f>
        <v>8603.0308029586304</v>
      </c>
      <c r="M41" s="333">
        <f>(SUMIFS('Commodity Prices'!$O$9:$O$2500,'Commodity Prices'!$A$9:$A$2500,'Alumina - Prices'!D40,'Commodity Prices'!$B$9:$B$2500,3)+
SUMIFS('Commodity Prices'!$O$9:$O$2500,'Commodity Prices'!$A$9:$A$2500,'Alumina - Prices'!D40,'Commodity Prices'!$B$9:$B$2500,4)+
SUMIFS('Commodity Prices'!$O$9:$O$2500,'Commodity Prices'!$A$9:$A$2500,'Alumina - Prices'!E40,'Commodity Prices'!$B$9:$B$2500,1)+
SUMIFS('Commodity Prices'!$O$9:$O$2500,'Commodity Prices'!$A$9:$A$2500,'Alumina - Prices'!E40,'Commodity Prices'!$B$9:$B$2500,2))
/(COUNTIFS('Commodity Prices'!$A$9:$A$2500,'Alumina - Prices'!D40,'Commodity Prices'!$B$9:$B$2500,3)+
COUNTIFS('Commodity Prices'!$A$9:$A$2500,'Alumina - Prices'!D40,'Commodity Prices'!$B$9:$B$2500,4)+
COUNTIFS('Commodity Prices'!$A$9:$A$2500,'Alumina - Prices'!E40,'Commodity Prices'!$B$9:$B$2500,1)+
COUNTIFS('Commodity Prices'!$A$9:$A$2500,'Alumina - Prices'!E40,'Commodity Prices'!$B$9:$B$2500,2))</f>
        <v>2791.4681269859807</v>
      </c>
      <c r="N41" s="333">
        <f>(SUMIFS('Commodity Prices'!$P$9:$P$2500,'Commodity Prices'!$A$9:$A$2500,'Alumina - Prices'!D40,'Commodity Prices'!$B$9:$B$2500,3)+
SUMIFS('Commodity Prices'!$P$9:$P$2500,'Commodity Prices'!$A$9:$A$2500,'Alumina - Prices'!D40,'Commodity Prices'!$B$9:$B$2500,4)+
SUMIFS('Commodity Prices'!$P$9:$P$2500,'Commodity Prices'!$A$9:$A$2500,'Alumina - Prices'!E40,'Commodity Prices'!$B$9:$B$2500,1)+
SUMIFS('Commodity Prices'!$P$9:$P$2500,'Commodity Prices'!$A$9:$A$2500,'Alumina - Prices'!E40,'Commodity Prices'!$B$9:$B$2500,2))
/(COUNTIFS('Commodity Prices'!$A$9:$A$2500,'Alumina - Prices'!D40,'Commodity Prices'!$B$9:$B$2500,3)+
COUNTIFS('Commodity Prices'!$A$9:$A$2500,'Alumina - Prices'!D40,'Commodity Prices'!$B$9:$B$2500,4)+
COUNTIFS('Commodity Prices'!$A$9:$A$2500,'Alumina - Prices'!E40,'Commodity Prices'!$B$9:$B$2500,1)+
COUNTIFS('Commodity Prices'!$A$9:$A$2500,'Alumina - Prices'!E40,'Commodity Prices'!$B$9:$B$2500,2))</f>
        <v>3718.9358658651854</v>
      </c>
    </row>
    <row r="42" spans="1:14">
      <c r="A42" s="562">
        <f>LARGE('Commodity Prices'!C$159:C$902,27)</f>
        <v>43556</v>
      </c>
      <c r="B42" s="780">
        <f>SUMIF('Commodity Prices'!$C$159:$C$902,$A42,'Commodity Prices'!N$159:N$902)</f>
        <v>9062.2890888638922</v>
      </c>
      <c r="C42" s="780">
        <f>SUMIF('Commodity Prices'!$C$159:$C$902,$A42,'Commodity Prices'!O$159:O$902)</f>
        <v>2740.2277840269962</v>
      </c>
      <c r="D42" s="724">
        <f>SUMIF('Commodity Prices'!$C$159:$C$902,$A42,'Commodity Prices'!P$159:P$902)</f>
        <v>4132.100674915635</v>
      </c>
      <c r="E42" s="10"/>
      <c r="F42" s="128">
        <f t="shared" si="2"/>
        <v>2019</v>
      </c>
      <c r="G42" s="128">
        <f t="shared" si="2"/>
        <v>2020</v>
      </c>
      <c r="H42" s="774" t="str">
        <f t="shared" si="0"/>
        <v>2019-20</v>
      </c>
      <c r="I42" s="781">
        <f t="array" ref="I42">IF($H$6="Historic Calendar Year",IFERROR(AVERAGE(IF($H42=YEAR('Commodity Prices'!C$100:C$1000),'Commodity Prices'!N$100:N$1000)),"NA"),IFERROR(IF(L42=0,"NA",L42),"NA"))</f>
        <v>8431.1699511992356</v>
      </c>
      <c r="J42" s="781">
        <f t="array" ref="J42">IF($H$6="Historic Calendar Year",IFERROR(AVERAGE(IF($H42=YEAR('Commodity Prices'!C$100:C$1000),'Commodity Prices'!O$100:O$1000)),"NA"),IFERROR(IF(M42=0,"NA",M42),"NA"))</f>
        <v>2821.0362119293568</v>
      </c>
      <c r="K42" s="781">
        <f t="array" ref="K42">IF($H$6="Historic Calendar Year",IFERROR(AVERAGE(IF($H42=YEAR('Commodity Prices'!C$100:C$1000),'Commodity Prices'!P$100:P$1000)),"NA"),IFERROR(IF(N42=0,"NA",N42),"NA"))</f>
        <v>3277.0905656121063</v>
      </c>
      <c r="L42" s="333">
        <f>(SUMIFS('Commodity Prices'!$N$9:$N$2500,'Commodity Prices'!$A$9:$A$2500,'Alumina - Prices'!D41,'Commodity Prices'!$B$9:$B$2500,3)+
SUMIFS('Commodity Prices'!$N$9:$N$2500,'Commodity Prices'!$A$9:$A$2500,'Alumina - Prices'!D41,'Commodity Prices'!$B$9:$B$2500,4)+
SUMIFS('Commodity Prices'!$N$9:$N$2500,'Commodity Prices'!$A$9:$A$2500,'Alumina - Prices'!E41,'Commodity Prices'!$B$9:$B$2500,1)+
SUMIFS('Commodity Prices'!$N$9:$N$2500,'Commodity Prices'!$A$9:$A$2500,'Alumina - Prices'!E41,'Commodity Prices'!$B$9:$B$2500,2))
/(COUNTIFS('Commodity Prices'!$A$9:$A$2500,'Alumina - Prices'!D41,'Commodity Prices'!$B$9:$B$2500,3)+
COUNTIFS('Commodity Prices'!$A$9:$A$2500,'Alumina - Prices'!D41,'Commodity Prices'!$B$9:$B$2500,4)+
COUNTIFS('Commodity Prices'!$A$9:$A$2500,'Alumina - Prices'!E41,'Commodity Prices'!$B$9:$B$2500,1)+
COUNTIFS('Commodity Prices'!$A$9:$A$2500,'Alumina - Prices'!E41,'Commodity Prices'!$B$9:$B$2500,2))</f>
        <v>8431.1699511992356</v>
      </c>
      <c r="M42" s="333">
        <f>(SUMIFS('Commodity Prices'!$O$9:$O$2500,'Commodity Prices'!$A$9:$A$2500,'Alumina - Prices'!D41,'Commodity Prices'!$B$9:$B$2500,3)+
SUMIFS('Commodity Prices'!$O$9:$O$2500,'Commodity Prices'!$A$9:$A$2500,'Alumina - Prices'!D41,'Commodity Prices'!$B$9:$B$2500,4)+
SUMIFS('Commodity Prices'!$O$9:$O$2500,'Commodity Prices'!$A$9:$A$2500,'Alumina - Prices'!E41,'Commodity Prices'!$B$9:$B$2500,1)+
SUMIFS('Commodity Prices'!$O$9:$O$2500,'Commodity Prices'!$A$9:$A$2500,'Alumina - Prices'!E41,'Commodity Prices'!$B$9:$B$2500,2))
/(COUNTIFS('Commodity Prices'!$A$9:$A$2500,'Alumina - Prices'!D41,'Commodity Prices'!$B$9:$B$2500,3)+
COUNTIFS('Commodity Prices'!$A$9:$A$2500,'Alumina - Prices'!D41,'Commodity Prices'!$B$9:$B$2500,4)+
COUNTIFS('Commodity Prices'!$A$9:$A$2500,'Alumina - Prices'!E41,'Commodity Prices'!$B$9:$B$2500,1)+
COUNTIFS('Commodity Prices'!$A$9:$A$2500,'Alumina - Prices'!E41,'Commodity Prices'!$B$9:$B$2500,2))</f>
        <v>2821.0362119293568</v>
      </c>
      <c r="N42" s="333">
        <f>(SUMIFS('Commodity Prices'!$P$9:$P$2500,'Commodity Prices'!$A$9:$A$2500,'Alumina - Prices'!D41,'Commodity Prices'!$B$9:$B$2500,3)+
SUMIFS('Commodity Prices'!$P$9:$P$2500,'Commodity Prices'!$A$9:$A$2500,'Alumina - Prices'!D41,'Commodity Prices'!$B$9:$B$2500,4)+
SUMIFS('Commodity Prices'!$P$9:$P$2500,'Commodity Prices'!$A$9:$A$2500,'Alumina - Prices'!E41,'Commodity Prices'!$B$9:$B$2500,1)+
SUMIFS('Commodity Prices'!$P$9:$P$2500,'Commodity Prices'!$A$9:$A$2500,'Alumina - Prices'!E41,'Commodity Prices'!$B$9:$B$2500,2))
/(COUNTIFS('Commodity Prices'!$A$9:$A$2500,'Alumina - Prices'!D41,'Commodity Prices'!$B$9:$B$2500,3)+
COUNTIFS('Commodity Prices'!$A$9:$A$2500,'Alumina - Prices'!D41,'Commodity Prices'!$B$9:$B$2500,4)+
COUNTIFS('Commodity Prices'!$A$9:$A$2500,'Alumina - Prices'!E41,'Commodity Prices'!$B$9:$B$2500,1)+
COUNTIFS('Commodity Prices'!$A$9:$A$2500,'Alumina - Prices'!E41,'Commodity Prices'!$B$9:$B$2500,2))</f>
        <v>3277.0905656121063</v>
      </c>
    </row>
    <row r="43" spans="1:14" ht="15.75" thickBot="1">
      <c r="A43" s="599">
        <f>LARGE('Commodity Prices'!C$159:C$902,26)</f>
        <v>43586</v>
      </c>
      <c r="B43" s="778">
        <f>SUMIF('Commodity Prices'!$C$159:$C$902,$A43,'Commodity Prices'!N$159:N$902)</f>
        <v>8681.3220046082952</v>
      </c>
      <c r="C43" s="778">
        <f>SUMIF('Commodity Prices'!$C$159:$C$902,$A43,'Commodity Prices'!O$159:O$902)</f>
        <v>2616.9498847926266</v>
      </c>
      <c r="D43" s="781">
        <f>SUMIF('Commodity Prices'!$C$159:$C$902,$A43,'Commodity Prices'!P$159:P$902)</f>
        <v>3956.998847926267</v>
      </c>
      <c r="E43" s="10"/>
      <c r="F43" s="128">
        <f>F42+1</f>
        <v>2020</v>
      </c>
      <c r="G43" s="128">
        <f>G42+1</f>
        <v>2021</v>
      </c>
      <c r="H43" s="1656" t="str">
        <f t="shared" ref="H43" si="3">IF($H$6="Historic Calendar Year",H42+1,CONCATENATE(F43,"-",RIGHT(G43,2)))</f>
        <v>2020-21</v>
      </c>
      <c r="I43" s="725">
        <f t="array" ref="I43">IF($H$6="Historic Calendar Year",IFERROR(AVERAGE(IF($H43=YEAR('Commodity Prices'!C$100:C$1000),'Commodity Prices'!N$100:N$1000)),"NA"),IFERROR(IF(L43=0,"NA",L43),"NA"))</f>
        <v>10620.642451822423</v>
      </c>
      <c r="J43" s="725">
        <f t="array" ref="J43">IF($H$6="Historic Calendar Year",IFERROR(AVERAGE(IF($H43=YEAR('Commodity Prices'!C$100:C$1000),'Commodity Prices'!O$100:O$1000)),"NA"),IFERROR(IF(M43=0,"NA",M43),"NA"))</f>
        <v>2649.8354041586449</v>
      </c>
      <c r="K43" s="725">
        <f t="array" ref="K43">IF($H$6="Historic Calendar Year",IFERROR(AVERAGE(IF($H43=YEAR('Commodity Prices'!C$100:C$1000),'Commodity Prices'!P$100:P$1000)),"NA"),IFERROR(IF(N43=0,"NA",N43),"NA"))</f>
        <v>3548.2070516116378</v>
      </c>
      <c r="L43" s="333">
        <f>(SUMIFS('Commodity Prices'!$N$9:$N$2500,'Commodity Prices'!$A$9:$A$2500,'Alumina - Prices'!D42,'Commodity Prices'!$B$9:$B$2500,3)+
SUMIFS('Commodity Prices'!$N$9:$N$2500,'Commodity Prices'!$A$9:$A$2500,'Alumina - Prices'!D42,'Commodity Prices'!$B$9:$B$2500,4)+
SUMIFS('Commodity Prices'!$N$9:$N$2500,'Commodity Prices'!$A$9:$A$2500,'Alumina - Prices'!E42,'Commodity Prices'!$B$9:$B$2500,1)+
SUMIFS('Commodity Prices'!$N$9:$N$2500,'Commodity Prices'!$A$9:$A$2500,'Alumina - Prices'!E42,'Commodity Prices'!$B$9:$B$2500,2))
/(COUNTIFS('Commodity Prices'!$A$9:$A$2500,'Alumina - Prices'!D42,'Commodity Prices'!$B$9:$B$2500,3)+
COUNTIFS('Commodity Prices'!$A$9:$A$2500,'Alumina - Prices'!D42,'Commodity Prices'!$B$9:$B$2500,4)+
COUNTIFS('Commodity Prices'!$A$9:$A$2500,'Alumina - Prices'!E42,'Commodity Prices'!$B$9:$B$2500,1)+
COUNTIFS('Commodity Prices'!$A$9:$A$2500,'Alumina - Prices'!E42,'Commodity Prices'!$B$9:$B$2500,2))</f>
        <v>10620.642451822423</v>
      </c>
      <c r="M43" s="333">
        <f>(SUMIFS('Commodity Prices'!$O$9:$O$2500,'Commodity Prices'!$A$9:$A$2500,'Alumina - Prices'!D42,'Commodity Prices'!$B$9:$B$2500,3)+
SUMIFS('Commodity Prices'!$O$9:$O$2500,'Commodity Prices'!$A$9:$A$2500,'Alumina - Prices'!D42,'Commodity Prices'!$B$9:$B$2500,4)+
SUMIFS('Commodity Prices'!$O$9:$O$2500,'Commodity Prices'!$A$9:$A$2500,'Alumina - Prices'!E42,'Commodity Prices'!$B$9:$B$2500,1)+
SUMIFS('Commodity Prices'!$O$9:$O$2500,'Commodity Prices'!$A$9:$A$2500,'Alumina - Prices'!E42,'Commodity Prices'!$B$9:$B$2500,2))
/(COUNTIFS('Commodity Prices'!$A$9:$A$2500,'Alumina - Prices'!D42,'Commodity Prices'!$B$9:$B$2500,3)+
COUNTIFS('Commodity Prices'!$A$9:$A$2500,'Alumina - Prices'!D42,'Commodity Prices'!$B$9:$B$2500,4)+
COUNTIFS('Commodity Prices'!$A$9:$A$2500,'Alumina - Prices'!E42,'Commodity Prices'!$B$9:$B$2500,1)+
COUNTIFS('Commodity Prices'!$A$9:$A$2500,'Alumina - Prices'!E42,'Commodity Prices'!$B$9:$B$2500,2))</f>
        <v>2649.8354041586449</v>
      </c>
      <c r="N43" s="333">
        <f>(SUMIFS('Commodity Prices'!$P$9:$P$2500,'Commodity Prices'!$A$9:$A$2500,'Alumina - Prices'!D42,'Commodity Prices'!$B$9:$B$2500,3)+
SUMIFS('Commodity Prices'!$P$9:$P$2500,'Commodity Prices'!$A$9:$A$2500,'Alumina - Prices'!D42,'Commodity Prices'!$B$9:$B$2500,4)+
SUMIFS('Commodity Prices'!$P$9:$P$2500,'Commodity Prices'!$A$9:$A$2500,'Alumina - Prices'!E42,'Commodity Prices'!$B$9:$B$2500,1)+
SUMIFS('Commodity Prices'!$P$9:$P$2500,'Commodity Prices'!$A$9:$A$2500,'Alumina - Prices'!E42,'Commodity Prices'!$B$9:$B$2500,2))
/(COUNTIFS('Commodity Prices'!$A$9:$A$2500,'Alumina - Prices'!D42,'Commodity Prices'!$B$9:$B$2500,3)+
COUNTIFS('Commodity Prices'!$A$9:$A$2500,'Alumina - Prices'!D42,'Commodity Prices'!$B$9:$B$2500,4)+
COUNTIFS('Commodity Prices'!$A$9:$A$2500,'Alumina - Prices'!E42,'Commodity Prices'!$B$9:$B$2500,1)+
COUNTIFS('Commodity Prices'!$A$9:$A$2500,'Alumina - Prices'!E42,'Commodity Prices'!$B$9:$B$2500,2))</f>
        <v>3548.2070516116378</v>
      </c>
    </row>
    <row r="44" spans="1:14" ht="15.75" thickBot="1">
      <c r="A44" s="562">
        <f>LARGE('Commodity Prices'!C$159:C$902,25)</f>
        <v>43617</v>
      </c>
      <c r="B44" s="780">
        <f>SUMIF('Commodity Prices'!$C$159:$C$902,$A44,'Commodity Prices'!N$159:N$902)</f>
        <v>8446.2147380541173</v>
      </c>
      <c r="C44" s="780">
        <f>SUMIF('Commodity Prices'!$C$159:$C$902,$A44,'Commodity Prices'!O$159:O$902)</f>
        <v>2722.3661485319517</v>
      </c>
      <c r="D44" s="724">
        <f>SUMIF('Commodity Prices'!$C$159:$C$902,$A44,'Commodity Prices'!P$159:P$902)</f>
        <v>3745.149683362119</v>
      </c>
      <c r="E44" s="10"/>
      <c r="F44" s="128"/>
      <c r="G44" s="128"/>
      <c r="H44" s="10"/>
      <c r="I44" s="10"/>
      <c r="J44" s="10"/>
      <c r="K44" s="10"/>
    </row>
    <row r="45" spans="1:14" ht="15.75" thickBot="1">
      <c r="A45" s="599">
        <f>LARGE('Commodity Prices'!C$159:C$902,24)</f>
        <v>43647</v>
      </c>
      <c r="B45" s="778">
        <f>SUMIF('Commodity Prices'!$C$159:$C$902,$A45,'Commodity Prices'!N$159:N$902)</f>
        <v>8511.0330992978943</v>
      </c>
      <c r="C45" s="778">
        <f>SUMIF('Commodity Prices'!$C$159:$C$902,$A45,'Commodity Prices'!O$159:O$902)</f>
        <v>2828.5141137698811</v>
      </c>
      <c r="D45" s="781">
        <f>SUMIF('Commodity Prices'!$C$159:$C$902,$A45,'Commodity Prices'!P$159:P$902)</f>
        <v>3498.3235420547358</v>
      </c>
      <c r="E45" s="10"/>
      <c r="F45" s="128"/>
      <c r="G45" s="128"/>
      <c r="H45" s="2001" t="s">
        <v>506</v>
      </c>
      <c r="I45" s="2002"/>
      <c r="J45" s="2002"/>
      <c r="K45" s="2003"/>
    </row>
    <row r="46" spans="1:14" ht="15.75" thickBot="1">
      <c r="A46" s="562">
        <f>LARGE('Commodity Prices'!C$159:C$902,23)</f>
        <v>43678</v>
      </c>
      <c r="B46" s="780">
        <f>SUMIF('Commodity Prices'!$C$159:$C$902,$A46,'Commodity Prices'!N$159:N$902)</f>
        <v>8435.0229052756022</v>
      </c>
      <c r="C46" s="780">
        <f>SUMIF('Commodity Prices'!$C$159:$C$902,$A46,'Commodity Prices'!O$159:O$902)</f>
        <v>3019.3438746859761</v>
      </c>
      <c r="D46" s="724">
        <f>SUMIF('Commodity Prices'!$C$159:$C$902,$A46,'Commodity Prices'!P$159:P$902)</f>
        <v>3362.1102408748338</v>
      </c>
      <c r="E46" s="10"/>
      <c r="F46" s="128"/>
      <c r="G46" s="128"/>
      <c r="H46" s="1975" t="s">
        <v>464</v>
      </c>
      <c r="I46" s="1976"/>
      <c r="J46" s="1976"/>
      <c r="K46" s="1977"/>
    </row>
    <row r="47" spans="1:14">
      <c r="A47" s="599">
        <f>LARGE('Commodity Prices'!C$159:C$902,22)</f>
        <v>43709</v>
      </c>
      <c r="B47" s="778">
        <f>SUMIF('Commodity Prices'!$C$159:$C$902,$A47,'Commodity Prices'!N$159:N$902)</f>
        <v>8365.5794991263829</v>
      </c>
      <c r="C47" s="778">
        <f>SUMIF('Commodity Prices'!$C$159:$C$902,$A47,'Commodity Prices'!O$159:O$902)</f>
        <v>3015.2300524170068</v>
      </c>
      <c r="D47" s="781">
        <f>SUMIF('Commodity Prices'!$C$159:$C$902,$A47,'Commodity Prices'!P$159:P$902)</f>
        <v>3377.460687245195</v>
      </c>
      <c r="E47" s="10"/>
      <c r="F47" s="128"/>
      <c r="G47" s="128"/>
      <c r="H47" s="1987" t="s">
        <v>507</v>
      </c>
      <c r="I47" s="1987"/>
      <c r="J47" s="1987"/>
      <c r="K47" s="1987"/>
    </row>
    <row r="48" spans="1:14">
      <c r="A48" s="562">
        <f>LARGE('Commodity Prices'!C$159:C$902,21)</f>
        <v>43739</v>
      </c>
      <c r="B48" s="780">
        <f>SUMIF('Commodity Prices'!$C$159:$C$902,$A48,'Commodity Prices'!N$159:N$902)</f>
        <v>8447.9111503383356</v>
      </c>
      <c r="C48" s="780">
        <f>SUMIF('Commodity Prices'!$C$159:$C$902,$A48,'Commodity Prices'!O$159:O$902)</f>
        <v>3213.1509267431602</v>
      </c>
      <c r="D48" s="724">
        <f>SUMIF('Commodity Prices'!$C$159:$C$902,$A48,'Commodity Prices'!P$159:P$902)</f>
        <v>3597.513974698441</v>
      </c>
      <c r="E48" s="10"/>
      <c r="F48" s="128"/>
      <c r="G48" s="128"/>
      <c r="H48" s="10"/>
      <c r="I48" s="10"/>
      <c r="J48" s="10"/>
      <c r="K48" s="10"/>
    </row>
    <row r="49" spans="1:11">
      <c r="A49" s="599">
        <f>LARGE('Commodity Prices'!C$159:C$902,20)</f>
        <v>43770</v>
      </c>
      <c r="B49" s="778">
        <f>SUMIF('Commodity Prices'!$C$159:$C$902,$A49,'Commodity Prices'!N$159:N$902)</f>
        <v>8584.3685906826831</v>
      </c>
      <c r="C49" s="778">
        <f>SUMIF('Commodity Prices'!$C$159:$C$902,$A49,'Commodity Prices'!O$159:O$902)</f>
        <v>2976.7067096396136</v>
      </c>
      <c r="D49" s="781">
        <f>SUMIF('Commodity Prices'!$C$159:$C$902,$A49,'Commodity Prices'!P$159:P$902)</f>
        <v>3564.2396718429532</v>
      </c>
      <c r="E49" s="10"/>
      <c r="F49" s="128"/>
      <c r="G49" s="128"/>
      <c r="H49" s="373"/>
      <c r="I49" s="10"/>
      <c r="J49" s="10"/>
      <c r="K49" s="10"/>
    </row>
    <row r="50" spans="1:11">
      <c r="A50" s="562">
        <f>LARGE('Commodity Prices'!C$159:C$902,19)</f>
        <v>43800</v>
      </c>
      <c r="B50" s="780">
        <f>SUMIF('Commodity Prices'!$C$159:$C$902,$A50,'Commodity Prices'!N$159:N$902)</f>
        <v>8800.1596748439551</v>
      </c>
      <c r="C50" s="780">
        <f>SUMIF('Commodity Prices'!$C$159:$C$902,$A50,'Commodity Prices'!O$159:O$902)</f>
        <v>2756.9313398170998</v>
      </c>
      <c r="D50" s="724">
        <f>SUMIF('Commodity Prices'!$C$159:$C$902,$A50,'Commodity Prices'!P$159:P$902)</f>
        <v>3300.9580490637254</v>
      </c>
      <c r="E50" s="10"/>
      <c r="F50" s="128"/>
      <c r="G50" s="128"/>
      <c r="H50" s="10"/>
      <c r="I50" s="10"/>
      <c r="J50" s="10"/>
      <c r="K50" s="10"/>
    </row>
    <row r="51" spans="1:11">
      <c r="A51" s="599">
        <f>LARGE('Commodity Prices'!C$159:C$902,18)</f>
        <v>43831</v>
      </c>
      <c r="B51" s="778">
        <f>SUMIF('Commodity Prices'!$C$159:$C$902,$A51,'Commodity Prices'!N$159:N$902)</f>
        <v>8816.7905553126366</v>
      </c>
      <c r="C51" s="778">
        <f>SUMIF('Commodity Prices'!$C$159:$C$902,$A51,'Commodity Prices'!O$159:O$902)</f>
        <v>2805.9466550065586</v>
      </c>
      <c r="D51" s="781">
        <f>SUMIF('Commodity Prices'!$C$159:$C$902,$A51,'Commodity Prices'!P$159:P$902)</f>
        <v>3435.7528057134527</v>
      </c>
      <c r="E51" s="10"/>
      <c r="F51" s="128"/>
      <c r="G51" s="128"/>
      <c r="H51" s="10"/>
      <c r="I51" s="10"/>
      <c r="J51" s="10"/>
      <c r="K51" s="10"/>
    </row>
    <row r="52" spans="1:11">
      <c r="A52" s="562">
        <f>LARGE('Commodity Prices'!C$159:C$902,17)</f>
        <v>43862</v>
      </c>
      <c r="B52" s="780">
        <f>SUMIF('Commodity Prices'!$C$159:$C$902,$A52,'Commodity Prices'!N$159:N$902)</f>
        <v>8531.8079519879975</v>
      </c>
      <c r="C52" s="780">
        <f>SUMIF('Commodity Prices'!$C$159:$C$902,$A52,'Commodity Prices'!O$159:O$902)</f>
        <v>2809.1522880720181</v>
      </c>
      <c r="D52" s="724">
        <f>SUMIF('Commodity Prices'!$C$159:$C$902,$A52,'Commodity Prices'!P$159:P$902)</f>
        <v>3181.5153788447114</v>
      </c>
      <c r="E52" s="10"/>
      <c r="F52" s="128"/>
      <c r="G52" s="128"/>
      <c r="H52" s="10"/>
      <c r="I52" s="10"/>
      <c r="J52" s="10"/>
      <c r="K52" s="10"/>
    </row>
    <row r="53" spans="1:11">
      <c r="A53" s="599">
        <f>LARGE('Commodity Prices'!C$159:C$902,16)</f>
        <v>43891</v>
      </c>
      <c r="B53" s="778">
        <f>SUMIF('Commodity Prices'!$C$159:$C$902,$A53,'Commodity Prices'!N$159:N$902)</f>
        <v>8332.5502815768305</v>
      </c>
      <c r="C53" s="778">
        <f>SUMIF('Commodity Prices'!$C$159:$C$902,$A53,'Commodity Prices'!O$159:O$902)</f>
        <v>2807.1440064360418</v>
      </c>
      <c r="D53" s="781">
        <f>SUMIF('Commodity Prices'!$C$159:$C$902,$A53,'Commodity Prices'!P$159:P$902)</f>
        <v>3066.1464199517291</v>
      </c>
      <c r="E53" s="10"/>
      <c r="F53" s="128"/>
      <c r="G53" s="128"/>
      <c r="H53" s="10"/>
      <c r="I53" s="10"/>
      <c r="J53" s="10"/>
      <c r="K53" s="10"/>
    </row>
    <row r="54" spans="1:11">
      <c r="A54" s="562">
        <f>LARGE('Commodity Prices'!C$159:C$902,15)</f>
        <v>43922</v>
      </c>
      <c r="B54" s="780">
        <f>SUMIF('Commodity Prices'!$C$159:$C$902,$A54,'Commodity Prices'!N$159:N$902)</f>
        <v>7999.128505783553</v>
      </c>
      <c r="C54" s="780">
        <f>SUMIF('Commodity Prices'!$C$159:$C$902,$A54,'Commodity Prices'!O$159:O$902)</f>
        <v>2616.906987799081</v>
      </c>
      <c r="D54" s="724">
        <f>SUMIF('Commodity Prices'!$C$159:$C$902,$A54,'Commodity Prices'!P$159:P$902)</f>
        <v>3001.2359372524165</v>
      </c>
      <c r="E54" s="10"/>
      <c r="F54" s="128"/>
      <c r="G54" s="128"/>
      <c r="H54" s="10"/>
      <c r="I54" s="10"/>
      <c r="J54" s="10"/>
      <c r="K54" s="10"/>
    </row>
    <row r="55" spans="1:11">
      <c r="A55" s="599">
        <f>LARGE('Commodity Prices'!C$159:C$902,14)</f>
        <v>43952</v>
      </c>
      <c r="B55" s="778">
        <f>SUMIF('Commodity Prices'!$C$159:$C$902,$A55,'Commodity Prices'!N$159:N$902)</f>
        <v>8029.7944154648658</v>
      </c>
      <c r="C55" s="778">
        <f>SUMIF('Commodity Prices'!$C$159:$C$902,$A55,'Commodity Prices'!O$159:O$902)</f>
        <v>2482.6020251610921</v>
      </c>
      <c r="D55" s="781">
        <f>SUMIF('Commodity Prices'!$C$159:$C$902,$A55,'Commodity Prices'!P$159:P$902)</f>
        <v>3012.2583614605705</v>
      </c>
      <c r="E55" s="10"/>
      <c r="F55" s="128"/>
      <c r="G55" s="128"/>
      <c r="H55" s="10"/>
      <c r="I55" s="10"/>
      <c r="J55" s="10"/>
      <c r="K55" s="10"/>
    </row>
    <row r="56" spans="1:11">
      <c r="A56" s="562">
        <f>LARGE('Commodity Prices'!C$159:C$902,13)</f>
        <v>43983</v>
      </c>
      <c r="B56" s="780">
        <f>SUMIF('Commodity Prices'!$C$159:$C$902,$A56,'Commodity Prices'!N$159:N$902)</f>
        <v>8319.8927847000868</v>
      </c>
      <c r="C56" s="780">
        <f>SUMIF('Commodity Prices'!$C$159:$C$902,$A56,'Commodity Prices'!O$159:O$902)</f>
        <v>2520.805563604752</v>
      </c>
      <c r="D56" s="724">
        <f>SUMIF('Commodity Prices'!$C$159:$C$902,$A56,'Commodity Prices'!P$159:P$902)</f>
        <v>2927.571718342509</v>
      </c>
      <c r="E56" s="10"/>
      <c r="F56" s="128"/>
      <c r="G56" s="128"/>
      <c r="H56" s="10"/>
      <c r="I56" s="10"/>
      <c r="J56" s="10"/>
      <c r="K56" s="10"/>
    </row>
    <row r="57" spans="1:11">
      <c r="A57" s="599">
        <f>LARGE('Commodity Prices'!C$159:C$902,12)</f>
        <v>44013</v>
      </c>
      <c r="B57" s="778">
        <f>SUMIF('Commodity Prices'!$C$159:$C$902,$A57,'Commodity Prices'!N$159:N$902)</f>
        <v>9031.6417910447763</v>
      </c>
      <c r="C57" s="778">
        <f>SUMIF('Commodity Prices'!$C$159:$C$902,$A57,'Commodity Prices'!O$159:O$902)</f>
        <v>2575.9061833688702</v>
      </c>
      <c r="D57" s="781">
        <f>SUMIF('Commodity Prices'!$C$159:$C$902,$A57,'Commodity Prices'!P$159:P$902)</f>
        <v>3073.5465529495377</v>
      </c>
      <c r="E57" s="10"/>
      <c r="F57" s="128"/>
      <c r="G57" s="128"/>
      <c r="H57" s="10"/>
      <c r="I57" s="10"/>
      <c r="J57" s="10"/>
      <c r="K57" s="10"/>
    </row>
    <row r="58" spans="1:11">
      <c r="A58" s="562">
        <f>LARGE('Commodity Prices'!C$159:C$902,11)</f>
        <v>44044</v>
      </c>
      <c r="B58" s="780">
        <f>SUMIF('Commodity Prices'!$C$159:$C$902,$A58,'Commodity Prices'!N$159:N$902)</f>
        <v>9021.9413970281912</v>
      </c>
      <c r="C58" s="780">
        <f>SUMIF('Commodity Prices'!$C$159:$C$902,$A58,'Commodity Prices'!O$159:O$902)</f>
        <v>2687.4045271490072</v>
      </c>
      <c r="D58" s="724">
        <f>SUMIF('Commodity Prices'!$C$159:$C$902,$A58,'Commodity Prices'!P$159:P$902)</f>
        <v>3342.3552284404946</v>
      </c>
      <c r="E58" s="10"/>
      <c r="F58" s="128"/>
      <c r="G58" s="128"/>
      <c r="H58" s="10"/>
      <c r="I58" s="10"/>
      <c r="J58" s="10"/>
      <c r="K58" s="10"/>
    </row>
    <row r="59" spans="1:11">
      <c r="A59" s="599">
        <f>LARGE('Commodity Prices'!C$159:C$902,10)</f>
        <v>44075</v>
      </c>
      <c r="B59" s="778">
        <f>SUMIF('Commodity Prices'!$C$159:$C$902,$A59,'Commodity Prices'!N$159:N$902)</f>
        <v>9287.9618098796182</v>
      </c>
      <c r="C59" s="778">
        <f>SUMIF('Commodity Prices'!$C$159:$C$902,$A59,'Commodity Prices'!O$159:O$902)</f>
        <v>2603.2378580323784</v>
      </c>
      <c r="D59" s="781">
        <f>SUMIF('Commodity Prices'!$C$159:$C$902,$A59,'Commodity Prices'!P$159:P$902)</f>
        <v>3390.7568839075689</v>
      </c>
      <c r="E59" s="10"/>
      <c r="F59" s="128"/>
      <c r="G59" s="128"/>
      <c r="H59" s="10"/>
      <c r="I59" s="10"/>
      <c r="J59" s="10"/>
      <c r="K59" s="10"/>
    </row>
    <row r="60" spans="1:11">
      <c r="A60" s="562">
        <f>LARGE('Commodity Prices'!C$159:C$902,9)</f>
        <v>44105</v>
      </c>
      <c r="B60" s="780">
        <f>SUMIF('Commodity Prices'!$C$159:$C$902,$A60,'Commodity Prices'!N$159:N$902)</f>
        <v>9408.7170129140941</v>
      </c>
      <c r="C60" s="780">
        <f>SUMIF('Commodity Prices'!$C$159:$C$902,$A60,'Commodity Prices'!O$159:O$902)</f>
        <v>2494.4834362717575</v>
      </c>
      <c r="D60" s="724">
        <f>SUMIF('Commodity Prices'!$C$159:$C$902,$A60,'Commodity Prices'!P$159:P$902)</f>
        <v>3427.2178551375632</v>
      </c>
      <c r="E60" s="10"/>
      <c r="F60" s="128"/>
      <c r="G60" s="128"/>
      <c r="H60" s="10"/>
      <c r="I60" s="10"/>
      <c r="J60" s="10"/>
      <c r="K60" s="10"/>
    </row>
    <row r="61" spans="1:11">
      <c r="A61" s="599">
        <f>LARGE('Commodity Prices'!C$159:C$902,8)</f>
        <v>44136</v>
      </c>
      <c r="B61" s="778">
        <f>SUMIF('Commodity Prices'!$C$159:$C$902,$A61,'Commodity Prices'!N$159:N$902)</f>
        <v>9699.8489425981879</v>
      </c>
      <c r="C61" s="778">
        <f>SUMIF('Commodity Prices'!$C$159:$C$902,$A61,'Commodity Prices'!O$159:O$902)</f>
        <v>2629.0579511123319</v>
      </c>
      <c r="D61" s="781">
        <f>SUMIF('Commodity Prices'!$C$159:$C$902,$A61,'Commodity Prices'!P$159:P$902)</f>
        <v>3666.1494095028843</v>
      </c>
      <c r="E61" s="10"/>
      <c r="F61" s="128"/>
      <c r="G61" s="128"/>
      <c r="H61" s="10"/>
      <c r="I61" s="10"/>
      <c r="J61" s="10"/>
      <c r="K61" s="10"/>
    </row>
    <row r="62" spans="1:11">
      <c r="A62" s="562">
        <f>LARGE('Commodity Prices'!C$159:C$902,7)</f>
        <v>44166</v>
      </c>
      <c r="B62" s="780">
        <f>SUMIF('Commodity Prices'!$C$159:$C$902,$A62,'Commodity Prices'!N$159:N$902)</f>
        <v>10288.193154682938</v>
      </c>
      <c r="C62" s="780">
        <f>SUMIF('Commodity Prices'!$C$159:$C$902,$A62,'Commodity Prices'!O$159:O$902)</f>
        <v>2677.8986468559297</v>
      </c>
      <c r="D62" s="724">
        <f>SUMIF('Commodity Prices'!$C$159:$C$902,$A62,'Commodity Prices'!P$159:P$902)</f>
        <v>3691.1117007163703</v>
      </c>
      <c r="E62" s="10"/>
      <c r="F62" s="128"/>
      <c r="G62" s="128"/>
      <c r="H62" s="10"/>
      <c r="I62" s="10"/>
      <c r="J62" s="10"/>
      <c r="K62" s="10"/>
    </row>
    <row r="63" spans="1:11">
      <c r="A63" s="599">
        <f>LARGE('Commodity Prices'!C$159:C$902,6)</f>
        <v>44197</v>
      </c>
      <c r="B63" s="778">
        <f>SUMIF('Commodity Prices'!$C$159:$C$902,$A63,'Commodity Prices'!N$159:N$902)</f>
        <v>10320.471319435454</v>
      </c>
      <c r="C63" s="778">
        <f>SUMIF('Commodity Prices'!$C$159:$C$902,$A63,'Commodity Prices'!O$159:O$902)</f>
        <v>2608.9990936164704</v>
      </c>
      <c r="D63" s="781">
        <f>SUMIF('Commodity Prices'!$C$159:$C$902,$A63,'Commodity Prices'!P$159:P$902)</f>
        <v>3506.0209763045445</v>
      </c>
      <c r="E63" s="10"/>
      <c r="F63" s="128"/>
      <c r="G63" s="128"/>
      <c r="H63" s="10"/>
      <c r="I63" s="10"/>
      <c r="J63" s="10"/>
      <c r="K63" s="10"/>
    </row>
    <row r="64" spans="1:11">
      <c r="A64" s="562">
        <f>LARGE('Commodity Prices'!C$159:C$902,5)</f>
        <v>44228</v>
      </c>
      <c r="B64" s="780">
        <f>SUMIF('Commodity Prices'!$C$159:$C$902,$A64,'Commodity Prices'!N$159:N$902)</f>
        <v>10909.413281753708</v>
      </c>
      <c r="C64" s="780">
        <f>SUMIF('Commodity Prices'!$C$159:$C$902,$A64,'Commodity Prices'!O$159:O$902)</f>
        <v>2689.5551257253387</v>
      </c>
      <c r="D64" s="724">
        <f>SUMIF('Commodity Prices'!$C$159:$C$902,$A64,'Commodity Prices'!P$159:P$902)</f>
        <v>3498.6460348162477</v>
      </c>
      <c r="E64" s="10"/>
      <c r="F64" s="128"/>
      <c r="G64" s="128"/>
      <c r="H64" s="10"/>
      <c r="I64" s="10"/>
      <c r="J64" s="10"/>
      <c r="K64" s="10"/>
    </row>
    <row r="65" spans="1:11">
      <c r="A65" s="562">
        <f>LARGE('Commodity Prices'!C$159:C$902,4)</f>
        <v>44256</v>
      </c>
      <c r="B65" s="1684">
        <f>SUMIF('Commodity Prices'!$C$159:$C$902,$A65,'Commodity Prices'!N$159:N$902)</f>
        <v>11685.673501167921</v>
      </c>
      <c r="C65" s="1684">
        <f>SUMIF('Commodity Prices'!$C$159:$C$902,$A65,'Commodity Prices'!O$159:O$902)</f>
        <v>2544.4588632234622</v>
      </c>
      <c r="D65" s="1685">
        <f>SUMIF('Commodity Prices'!$C$159:$C$902,$A65,'Commodity Prices'!P$159:P$902)</f>
        <v>3622.6966000519078</v>
      </c>
      <c r="E65" s="10"/>
      <c r="F65" s="128"/>
      <c r="G65" s="128"/>
      <c r="H65" s="10"/>
      <c r="I65" s="10"/>
      <c r="J65" s="10"/>
      <c r="K65" s="10"/>
    </row>
    <row r="66" spans="1:11">
      <c r="A66" s="562">
        <f>LARGE('Commodity Prices'!C$159:C$902,3)</f>
        <v>44287</v>
      </c>
      <c r="B66" s="1686">
        <f>SUMIF('Commodity Prices'!$C$159:$C$902,$A66,'Commodity Prices'!N$159:N$902)</f>
        <v>12120.94261230849</v>
      </c>
      <c r="C66" s="1686">
        <f>SUMIF('Commodity Prices'!$C$159:$C$902,$A66,'Commodity Prices'!O$159:O$902)</f>
        <v>2604.9467670734875</v>
      </c>
      <c r="D66" s="806">
        <f>SUMIF('Commodity Prices'!$C$159:$C$902,$A66,'Commodity Prices'!P$159:P$902)</f>
        <v>3670.9296286678782</v>
      </c>
      <c r="E66" s="10"/>
      <c r="F66" s="128"/>
      <c r="G66" s="128"/>
      <c r="H66" s="10"/>
      <c r="I66" s="10"/>
      <c r="J66" s="10"/>
      <c r="K66" s="10"/>
    </row>
    <row r="67" spans="1:11">
      <c r="A67" s="562">
        <f>LARGE('Commodity Prices'!C$159:C$902,2)</f>
        <v>44317</v>
      </c>
      <c r="B67" s="1684">
        <f>SUMIF('Commodity Prices'!$C$159:$C$902,$A67,'Commodity Prices'!N$159:N$902)</f>
        <v>13121.981703388738</v>
      </c>
      <c r="C67" s="1684">
        <f>SUMIF('Commodity Prices'!$C$159:$C$902,$A67,'Commodity Prices'!O$159:O$902)</f>
        <v>2816.5442597603401</v>
      </c>
      <c r="D67" s="1685">
        <f>SUMIF('Commodity Prices'!$C$159:$C$902,$A67,'Commodity Prices'!P$159:P$902)</f>
        <v>3827.2001030795</v>
      </c>
      <c r="E67" s="10"/>
      <c r="F67" s="128"/>
      <c r="G67" s="128"/>
      <c r="H67" s="10"/>
      <c r="I67" s="10"/>
      <c r="J67" s="10"/>
      <c r="K67" s="10"/>
    </row>
    <row r="68" spans="1:11" ht="15.75" thickBot="1">
      <c r="A68" s="1689">
        <f>LARGE('Commodity Prices'!C$159:C$902,1)</f>
        <v>44348</v>
      </c>
      <c r="B68" s="1687">
        <f>SUMIF('Commodity Prices'!$C$159:$C$902,$A68,'Commodity Prices'!N$159:N$902)</f>
        <v>12550.92289566697</v>
      </c>
      <c r="C68" s="1687">
        <f>SUMIF('Commodity Prices'!$C$159:$C$902,$A68,'Commodity Prices'!O$159:O$902)</f>
        <v>2865.5321377143605</v>
      </c>
      <c r="D68" s="918">
        <f>SUMIF('Commodity Prices'!$C$159:$C$902,$A68,'Commodity Prices'!P$159:P$902)</f>
        <v>3861.8536457651526</v>
      </c>
      <c r="E68" s="10"/>
      <c r="F68" s="128"/>
      <c r="G68" s="128"/>
      <c r="H68" s="10"/>
      <c r="I68" s="10"/>
      <c r="J68" s="10"/>
      <c r="K68" s="10"/>
    </row>
  </sheetData>
  <mergeCells count="7">
    <mergeCell ref="H45:K45"/>
    <mergeCell ref="H46:K46"/>
    <mergeCell ref="H47:K47"/>
    <mergeCell ref="A5:D5"/>
    <mergeCell ref="A6:D6"/>
    <mergeCell ref="H5:K5"/>
    <mergeCell ref="H6:K6"/>
  </mergeCells>
  <dataValidations xWindow="762" yWindow="948" count="1">
    <dataValidation type="list" allowBlank="1" showInputMessage="1" showErrorMessage="1" promptTitle="Select a Period:" prompt="Select Financial or Calendar years." sqref="H46:K46">
      <formula1>$AA$1:$AA$2</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B4E8"/>
  </sheetPr>
  <dimension ref="A1:BB82"/>
  <sheetViews>
    <sheetView showGridLines="0" workbookViewId="0">
      <selection activeCell="P30" sqref="P30"/>
    </sheetView>
  </sheetViews>
  <sheetFormatPr defaultRowHeight="15"/>
  <cols>
    <col min="1" max="1" width="24.140625" style="450" customWidth="1"/>
    <col min="2" max="2" width="5.28515625" style="450" bestFit="1" customWidth="1"/>
    <col min="3" max="3" width="15.42578125" style="450" bestFit="1" customWidth="1"/>
    <col min="4" max="4" width="15.140625" style="450" bestFit="1" customWidth="1"/>
    <col min="5" max="14" width="15.42578125" style="450" customWidth="1"/>
    <col min="15" max="15" width="13.85546875" style="450" bestFit="1" customWidth="1"/>
    <col min="16" max="22" width="9.140625" style="450"/>
    <col min="23" max="23" width="17.85546875" style="450" customWidth="1"/>
    <col min="24" max="26" width="9.140625" style="1665"/>
    <col min="27" max="16384" width="9.140625" style="450"/>
  </cols>
  <sheetData>
    <row r="1" spans="1:54" s="535" customFormat="1" ht="15.75">
      <c r="R1" s="1671"/>
      <c r="S1" s="1671"/>
      <c r="T1" s="1671"/>
      <c r="U1" s="1671"/>
      <c r="V1" s="1671"/>
      <c r="W1" s="1671"/>
      <c r="X1" s="1671"/>
      <c r="Y1" s="1670" t="str">
        <f>IF($B$6="Calendar Year",MAX('Commodity Prices'!$AJ$9:$AJ$1100),CONCATENATE(MAX('Commodity Prices'!$AV$9:$AV$1225),"-",VALUE(RIGHT(MAX('Commodity Prices'!$AV$9:$AV$1225),2))+1))</f>
        <v>2019-20</v>
      </c>
      <c r="Z1" s="1671"/>
      <c r="AA1" s="1671"/>
      <c r="AB1" s="1671"/>
      <c r="AC1" s="1671"/>
      <c r="AD1" s="1671"/>
      <c r="AE1" s="1671"/>
      <c r="AF1" s="1671"/>
      <c r="AG1" s="1671"/>
      <c r="AH1" s="1671"/>
      <c r="AI1" s="1671"/>
      <c r="AJ1" s="1698"/>
      <c r="AK1" s="1698"/>
      <c r="AL1" s="1698"/>
      <c r="AM1" s="1698"/>
      <c r="AN1" s="1698"/>
      <c r="AO1" s="1698"/>
      <c r="AP1" s="1698"/>
      <c r="AQ1" s="1698"/>
      <c r="AR1" s="1698"/>
      <c r="AS1" s="1698"/>
      <c r="AT1" s="1698"/>
      <c r="AU1" s="1698"/>
      <c r="AV1" s="1698"/>
      <c r="AW1" s="1698"/>
      <c r="AX1" s="1698"/>
      <c r="AY1" s="1698"/>
      <c r="AZ1" s="1698"/>
      <c r="BA1" s="1698"/>
      <c r="BB1" s="1698"/>
    </row>
    <row r="2" spans="1:54" ht="15.75">
      <c r="O2" s="237"/>
      <c r="P2" s="237"/>
      <c r="Q2" s="237"/>
      <c r="R2" s="1671"/>
      <c r="S2" s="1671"/>
      <c r="T2" s="1671"/>
      <c r="U2" s="1671"/>
      <c r="V2" s="1670" t="s">
        <v>307</v>
      </c>
      <c r="W2" s="1670" t="str">
        <f>"Base Metals Exports "&amp;B7&amp;CHAR(10)&amp;"Total Value: $"&amp;TEXT(C22,"#,###")</f>
        <v>Base Metals Exports 2019-20
Total Value: $2,065,283,601</v>
      </c>
      <c r="X2" s="1670" t="s">
        <v>369</v>
      </c>
      <c r="Y2" s="1670" t="str">
        <f>IF($B$6="Calendar Year",MAX('Commodity Prices'!$AJ$9:$AJ$1100),CONCATENATE(MAX('Commodity Prices'!$AV$9:$AV$1225),"-",VALUE(RIGHT(MAX('Commodity Prices'!$AV$9:$AV$1225),2))+1))</f>
        <v>2019-20</v>
      </c>
      <c r="Z2" s="1670">
        <f t="array" ref="Z2">MIN(IF('Commodity Prices'!$AI$9:$AI$3502=V2,'Commodity Prices'!$AJ$9:$AJ$3502))</f>
        <v>2007</v>
      </c>
      <c r="AA2" s="1671"/>
      <c r="AB2" s="1671"/>
      <c r="AC2" s="1671"/>
      <c r="AD2" s="1671"/>
      <c r="AE2" s="1671"/>
      <c r="AF2" s="1671"/>
      <c r="AG2" s="1671"/>
      <c r="AH2" s="1671"/>
      <c r="AI2" s="1671"/>
      <c r="AJ2" s="1698"/>
      <c r="AK2" s="1698"/>
      <c r="AL2" s="1698"/>
      <c r="AM2" s="1698"/>
      <c r="AN2" s="1698"/>
      <c r="AO2" s="1698"/>
      <c r="AP2" s="1698"/>
      <c r="AQ2" s="1698"/>
      <c r="AR2" s="1698"/>
      <c r="AS2" s="1698"/>
      <c r="AT2" s="1698"/>
      <c r="AU2" s="1698"/>
      <c r="AV2" s="1698"/>
      <c r="AW2" s="1698"/>
      <c r="AX2" s="1698"/>
      <c r="AY2" s="1698"/>
      <c r="AZ2" s="1698"/>
      <c r="BA2" s="1698"/>
      <c r="BB2" s="1698"/>
    </row>
    <row r="3" spans="1:54" ht="15.75">
      <c r="G3" s="527"/>
      <c r="O3" s="237"/>
      <c r="P3" s="237"/>
      <c r="Q3" s="237"/>
      <c r="R3" s="1671"/>
      <c r="S3" s="1671"/>
      <c r="T3" s="1671"/>
      <c r="U3" s="1671"/>
      <c r="V3" s="1671"/>
      <c r="W3" s="1670" t="str">
        <f>IF($B$6=X2,IF(RIGHT(LEFT(B7,5),1)="-","Mismatch Error",""),IF(LEN(B7)=4,"Mismatch Error",""))</f>
        <v/>
      </c>
      <c r="X3" s="1670" t="s">
        <v>382</v>
      </c>
      <c r="Y3" s="1670" t="str">
        <f>IFERROR(IF($B$6=$X$2,IF($Z$2&lt;=(Y2-1),Y2-1,""),IF($Z$2=VALUE(LEFT(Y2,4)),"",CONCATENATE(VALUE(LEFT(Y2,4))-1,"-",RIGHT(LEFT(Y2,4),2)))),"")</f>
        <v>2018-19</v>
      </c>
      <c r="Z3" s="1671"/>
      <c r="AA3" s="1671"/>
      <c r="AB3" s="1671"/>
      <c r="AC3" s="1671"/>
      <c r="AD3" s="1671"/>
      <c r="AE3" s="1671"/>
      <c r="AF3" s="1671"/>
      <c r="AG3" s="1671"/>
      <c r="AH3" s="1671"/>
      <c r="AI3" s="1671"/>
      <c r="AJ3" s="1698"/>
      <c r="AK3" s="1698"/>
      <c r="AL3" s="1698"/>
      <c r="AM3" s="1698"/>
      <c r="AN3" s="1698"/>
      <c r="AO3" s="1698"/>
      <c r="AP3" s="1698"/>
      <c r="AQ3" s="1698"/>
      <c r="AR3" s="1698"/>
      <c r="AS3" s="1698"/>
      <c r="AT3" s="1698"/>
      <c r="AU3" s="1698"/>
      <c r="AV3" s="1698"/>
      <c r="AW3" s="1698"/>
      <c r="AX3" s="1698"/>
      <c r="AY3" s="1698"/>
      <c r="AZ3" s="1698"/>
      <c r="BA3" s="1698"/>
      <c r="BB3" s="1698"/>
    </row>
    <row r="4" spans="1:54" ht="15.75">
      <c r="O4" s="237"/>
      <c r="P4" s="237"/>
      <c r="Q4" s="237"/>
      <c r="R4" s="1671"/>
      <c r="S4" s="1671"/>
      <c r="T4" s="1671"/>
      <c r="U4" s="1671"/>
      <c r="V4" s="1671"/>
      <c r="W4" s="1670"/>
      <c r="X4" s="1670"/>
      <c r="Y4" s="1670" t="str">
        <f t="shared" ref="Y4:Y26" si="0">IFERROR(IF($B$6=$X$2,IF($Z$2&lt;=(Y3-1),Y3-1,""),IF($Z$2=VALUE(LEFT(Y3,4)),"",CONCATENATE(VALUE(LEFT(Y3,4))-1,"-",RIGHT(LEFT(Y3,4),2)))),"")</f>
        <v>2017-18</v>
      </c>
      <c r="Z4" s="1671"/>
      <c r="AA4" s="1671"/>
      <c r="AB4" s="1671"/>
      <c r="AC4" s="1671"/>
      <c r="AD4" s="1671"/>
      <c r="AE4" s="1671"/>
      <c r="AF4" s="1671"/>
      <c r="AG4" s="1671"/>
      <c r="AH4" s="1671"/>
      <c r="AI4" s="1671"/>
      <c r="AJ4" s="1698"/>
      <c r="AK4" s="1698"/>
      <c r="AL4" s="1698"/>
      <c r="AM4" s="1698"/>
      <c r="AN4" s="1698"/>
      <c r="AO4" s="1698"/>
      <c r="AP4" s="1698"/>
      <c r="AQ4" s="1698"/>
      <c r="AR4" s="1698"/>
      <c r="AS4" s="1698"/>
      <c r="AT4" s="1698"/>
      <c r="AU4" s="1698"/>
      <c r="AV4" s="1698"/>
      <c r="AW4" s="1698"/>
      <c r="AX4" s="1698"/>
      <c r="AY4" s="1698"/>
      <c r="AZ4" s="1698"/>
      <c r="BA4" s="1698"/>
      <c r="BB4" s="1698"/>
    </row>
    <row r="5" spans="1:54" ht="20.25" customHeight="1" thickBot="1">
      <c r="O5" s="237"/>
      <c r="P5" s="237"/>
      <c r="Q5" s="237"/>
      <c r="R5" s="1671"/>
      <c r="S5" s="1671"/>
      <c r="T5" s="1671"/>
      <c r="U5" s="1671"/>
      <c r="V5" s="1671"/>
      <c r="W5" s="1670"/>
      <c r="X5" s="1670"/>
      <c r="Y5" s="1670" t="str">
        <f t="shared" si="0"/>
        <v>2016-17</v>
      </c>
      <c r="Z5" s="1671"/>
      <c r="AA5" s="1671"/>
      <c r="AB5" s="1671"/>
      <c r="AC5" s="1671"/>
      <c r="AD5" s="1671"/>
      <c r="AE5" s="1671"/>
      <c r="AF5" s="1671"/>
      <c r="AG5" s="1671"/>
      <c r="AH5" s="1671"/>
      <c r="AI5" s="1671"/>
      <c r="AJ5" s="1698"/>
      <c r="AK5" s="1698"/>
      <c r="AL5" s="1698"/>
      <c r="AM5" s="1698"/>
      <c r="AN5" s="1698"/>
      <c r="AO5" s="1698"/>
      <c r="AP5" s="1698"/>
      <c r="AQ5" s="1698"/>
      <c r="AR5" s="1698"/>
      <c r="AS5" s="1698"/>
      <c r="AT5" s="1698"/>
      <c r="AU5" s="1698"/>
      <c r="AV5" s="1698"/>
      <c r="AW5" s="1698"/>
      <c r="AX5" s="1698"/>
      <c r="AY5" s="1698"/>
      <c r="AZ5" s="1698"/>
      <c r="BA5" s="1698"/>
      <c r="BB5" s="1698"/>
    </row>
    <row r="6" spans="1:54" ht="16.5" thickBot="1">
      <c r="A6" s="447" t="s">
        <v>383</v>
      </c>
      <c r="B6" s="2004" t="s">
        <v>382</v>
      </c>
      <c r="C6" s="1999"/>
      <c r="D6" s="2000"/>
      <c r="E6" s="425"/>
      <c r="O6" s="237"/>
      <c r="P6" s="237"/>
      <c r="Q6" s="237"/>
      <c r="R6" s="1671"/>
      <c r="S6" s="1671"/>
      <c r="T6" s="1671"/>
      <c r="U6" s="1671"/>
      <c r="V6" s="1671"/>
      <c r="W6" s="1670"/>
      <c r="X6" s="1670"/>
      <c r="Y6" s="1670" t="str">
        <f t="shared" si="0"/>
        <v>2015-16</v>
      </c>
      <c r="Z6" s="1671"/>
      <c r="AA6" s="1671"/>
      <c r="AB6" s="1671"/>
      <c r="AC6" s="1671"/>
      <c r="AD6" s="1671"/>
      <c r="AE6" s="1671"/>
      <c r="AF6" s="1671"/>
      <c r="AG6" s="1671"/>
      <c r="AH6" s="1671"/>
      <c r="AI6" s="1671"/>
      <c r="AJ6" s="1698"/>
      <c r="AK6" s="1698"/>
      <c r="AL6" s="1698"/>
      <c r="AM6" s="1698"/>
      <c r="AN6" s="1698"/>
      <c r="AO6" s="1698"/>
      <c r="AP6" s="1698"/>
      <c r="AQ6" s="1698"/>
      <c r="AR6" s="1698"/>
      <c r="AS6" s="1698"/>
      <c r="AT6" s="1698"/>
      <c r="AU6" s="1698"/>
      <c r="AV6" s="1698"/>
      <c r="AW6" s="1698"/>
      <c r="AX6" s="1698"/>
      <c r="AY6" s="1698"/>
      <c r="AZ6" s="1698"/>
      <c r="BA6" s="1698"/>
      <c r="BB6" s="1698"/>
    </row>
    <row r="7" spans="1:54" ht="16.5" thickBot="1">
      <c r="A7" s="447" t="s">
        <v>383</v>
      </c>
      <c r="B7" s="2004" t="s">
        <v>666</v>
      </c>
      <c r="C7" s="1999"/>
      <c r="D7" s="2000"/>
      <c r="E7" s="425"/>
      <c r="O7" s="237"/>
      <c r="P7" s="237"/>
      <c r="Q7" s="237"/>
      <c r="R7" s="1671"/>
      <c r="S7" s="1671"/>
      <c r="T7" s="1671"/>
      <c r="U7" s="1671"/>
      <c r="V7" s="1671"/>
      <c r="W7" s="1670"/>
      <c r="X7" s="1670"/>
      <c r="Y7" s="1670" t="str">
        <f t="shared" si="0"/>
        <v>2014-15</v>
      </c>
      <c r="Z7" s="1671"/>
      <c r="AA7" s="1671"/>
      <c r="AB7" s="1671"/>
      <c r="AC7" s="1671"/>
      <c r="AD7" s="1671"/>
      <c r="AE7" s="1671"/>
      <c r="AF7" s="1671"/>
      <c r="AG7" s="1671"/>
      <c r="AH7" s="1671"/>
      <c r="AI7" s="1671"/>
      <c r="AJ7" s="1698"/>
      <c r="AK7" s="1698"/>
      <c r="AL7" s="1698"/>
      <c r="AM7" s="1698"/>
      <c r="AN7" s="1698"/>
      <c r="AO7" s="1698"/>
      <c r="AP7" s="1698"/>
      <c r="AQ7" s="1698"/>
      <c r="AR7" s="1698"/>
      <c r="AS7" s="1698"/>
      <c r="AT7" s="1698"/>
      <c r="AU7" s="1698"/>
      <c r="AV7" s="1698"/>
      <c r="AW7" s="1698"/>
      <c r="AX7" s="1698"/>
      <c r="AY7" s="1698"/>
      <c r="AZ7" s="1698"/>
      <c r="BA7" s="1698"/>
      <c r="BB7" s="1698"/>
    </row>
    <row r="8" spans="1:54" ht="15.75">
      <c r="O8" s="237"/>
      <c r="P8" s="237"/>
      <c r="Q8" s="237"/>
      <c r="R8" s="1671"/>
      <c r="S8" s="1671"/>
      <c r="T8" s="1671"/>
      <c r="U8" s="1671"/>
      <c r="V8" s="1671"/>
      <c r="W8" s="1670"/>
      <c r="X8" s="1670"/>
      <c r="Y8" s="1670" t="str">
        <f t="shared" si="0"/>
        <v>2013-14</v>
      </c>
      <c r="Z8" s="1671"/>
      <c r="AA8" s="1671"/>
      <c r="AB8" s="1671"/>
      <c r="AC8" s="1671"/>
      <c r="AD8" s="1671"/>
      <c r="AE8" s="1671"/>
      <c r="AF8" s="1671"/>
      <c r="AG8" s="1671"/>
      <c r="AH8" s="1671"/>
      <c r="AI8" s="1671"/>
      <c r="AJ8" s="1698"/>
      <c r="AK8" s="1698"/>
      <c r="AL8" s="1698"/>
      <c r="AM8" s="1698"/>
      <c r="AN8" s="1698"/>
      <c r="AO8" s="1698"/>
      <c r="AP8" s="1698"/>
      <c r="AQ8" s="1698"/>
      <c r="AR8" s="1698"/>
      <c r="AS8" s="1698"/>
      <c r="AT8" s="1698"/>
      <c r="AU8" s="1698"/>
      <c r="AV8" s="1698"/>
      <c r="AW8" s="1698"/>
      <c r="AX8" s="1698"/>
      <c r="AY8" s="1698"/>
      <c r="AZ8" s="1698"/>
      <c r="BA8" s="1698"/>
      <c r="BB8" s="1698"/>
    </row>
    <row r="9" spans="1:54" ht="16.5" thickBot="1">
      <c r="A9" s="1981" t="str">
        <f>IF($B$7="Click here to select an option","Select a year above for display.",CONCATENATE("Base Metals Exports ",B7))</f>
        <v>Base Metals Exports 2019-20</v>
      </c>
      <c r="B9" s="1981"/>
      <c r="C9" s="1981"/>
      <c r="D9" s="1981"/>
      <c r="O9" s="237"/>
      <c r="P9" s="237"/>
      <c r="Q9" s="237"/>
      <c r="R9" s="1671"/>
      <c r="S9" s="1671"/>
      <c r="T9" s="1671"/>
      <c r="U9" s="1671"/>
      <c r="V9" s="1671"/>
      <c r="W9" s="1670"/>
      <c r="X9" s="1670"/>
      <c r="Y9" s="1670" t="str">
        <f t="shared" si="0"/>
        <v>2012-13</v>
      </c>
      <c r="Z9" s="1671"/>
      <c r="AA9" s="1671"/>
      <c r="AB9" s="1671"/>
      <c r="AC9" s="1671"/>
      <c r="AD9" s="1671"/>
      <c r="AE9" s="1671"/>
      <c r="AF9" s="1671"/>
      <c r="AG9" s="1671"/>
      <c r="AH9" s="1671"/>
      <c r="AI9" s="1671"/>
      <c r="AJ9" s="1698"/>
      <c r="AK9" s="1698"/>
      <c r="AL9" s="1698"/>
      <c r="AM9" s="1698"/>
      <c r="AN9" s="1698"/>
      <c r="AO9" s="1698"/>
      <c r="AP9" s="1698"/>
      <c r="AQ9" s="1698"/>
      <c r="AR9" s="1698"/>
      <c r="AS9" s="1698"/>
      <c r="AT9" s="1698"/>
      <c r="AU9" s="1698"/>
      <c r="AV9" s="1698"/>
      <c r="AW9" s="1698"/>
      <c r="AX9" s="1698"/>
      <c r="AY9" s="1698"/>
      <c r="AZ9" s="1698"/>
      <c r="BA9" s="1698"/>
      <c r="BB9" s="1698"/>
    </row>
    <row r="10" spans="1:54" ht="16.5" thickBot="1">
      <c r="A10" s="454" t="s">
        <v>37</v>
      </c>
      <c r="B10" s="822" t="s">
        <v>38</v>
      </c>
      <c r="C10" s="822" t="s">
        <v>678</v>
      </c>
      <c r="D10" s="823" t="s">
        <v>40</v>
      </c>
      <c r="R10" s="1671"/>
      <c r="S10" s="1671"/>
      <c r="T10" s="1671"/>
      <c r="U10" s="1671"/>
      <c r="V10" s="1671"/>
      <c r="W10" s="1670"/>
      <c r="X10" s="1670"/>
      <c r="Y10" s="1670" t="str">
        <f t="shared" si="0"/>
        <v>2011-12</v>
      </c>
      <c r="Z10" s="1671"/>
      <c r="AA10" s="1671"/>
      <c r="AB10" s="1671"/>
      <c r="AC10" s="1671"/>
      <c r="AD10" s="1671"/>
      <c r="AE10" s="1671"/>
      <c r="AF10" s="1671"/>
      <c r="AG10" s="1671"/>
      <c r="AH10" s="1671"/>
      <c r="AI10" s="1671"/>
      <c r="AJ10" s="1698"/>
      <c r="AK10" s="1698"/>
      <c r="AL10" s="1698"/>
      <c r="AM10" s="1698"/>
      <c r="AN10" s="1698"/>
      <c r="AO10" s="1698"/>
      <c r="AP10" s="1698"/>
      <c r="AQ10" s="1698"/>
      <c r="AR10" s="1698"/>
      <c r="AS10" s="1698"/>
      <c r="AT10" s="1698"/>
      <c r="AU10" s="1698"/>
      <c r="AV10" s="1698"/>
      <c r="AW10" s="1698"/>
      <c r="AX10" s="1698"/>
      <c r="AY10" s="1698"/>
      <c r="AZ10" s="1698"/>
      <c r="BA10" s="1698"/>
      <c r="BB10" s="1698"/>
    </row>
    <row r="11" spans="1:54" ht="15.75">
      <c r="A11" s="374" t="str">
        <f t="array" ref="A11">IF($W$3="Mismatch Error","Mismatch Error",IF($B$6=$X$2,INDEX('Commodity Prices'!$AI$9:$AN$3502,MATCH(1,(('Commodity Prices'!$AI$9:$AI$3502)="Base Metals")*(('Commodity Prices'!$AJ$9:$AJ$3502)=$B$7)*(('Commodity Prices'!$AL$9:$AL$3502)=B11),0),3),INDEX('Commodity Prices'!$AP$9:$AU$3487,MATCH(1,(('Commodity Prices'!$AP$9:$AP$3487)="Base Metals")*(('Commodity Prices'!$AQ$9:$AQ$3487)=$B$7)*(('Commodity Prices'!$AS$9:$AS$3487)=B11),0),3)))</f>
        <v>China</v>
      </c>
      <c r="B11" s="824">
        <v>1</v>
      </c>
      <c r="C11" s="832">
        <f t="array" ref="C11">IF($W$3="Mismatch Error","",IF($B$6=$X$2,INDEX('Commodity Prices'!$AI$9:$AN$3502,MATCH(1,(('Commodity Prices'!$AI$9:$AI$3502)="Base Metals")*(('Commodity Prices'!$AJ$9:$AJ$3502)=$B$7)*(('Commodity Prices'!$AL$9:$AL$3502)=B11),0),5),INDEX('Commodity Prices'!$AP$9:$AU$3487,MATCH(1,(('Commodity Prices'!$AP$9:$AP$3487)="Base Metals")*(('Commodity Prices'!$AQ$9:$AQ$3487)=$B$7)*(('Commodity Prices'!$AS$9:$AS$3487)=B11),0),5)))</f>
        <v>1079266343</v>
      </c>
      <c r="D11" s="825" t="s">
        <v>540</v>
      </c>
      <c r="R11" s="1671"/>
      <c r="S11" s="1671"/>
      <c r="T11" s="1671"/>
      <c r="U11" s="1671"/>
      <c r="V11" s="1671"/>
      <c r="W11" s="1670"/>
      <c r="X11" s="1670"/>
      <c r="Y11" s="1670" t="str">
        <f t="shared" si="0"/>
        <v>2010-11</v>
      </c>
      <c r="Z11" s="1671"/>
      <c r="AA11" s="1671"/>
      <c r="AB11" s="1671"/>
      <c r="AC11" s="1671"/>
      <c r="AD11" s="1671"/>
      <c r="AE11" s="1671"/>
      <c r="AF11" s="1671"/>
      <c r="AG11" s="1671"/>
      <c r="AH11" s="1671"/>
      <c r="AI11" s="1671"/>
      <c r="AJ11" s="1698"/>
      <c r="AK11" s="1698"/>
      <c r="AL11" s="1698"/>
      <c r="AM11" s="1698"/>
      <c r="AN11" s="1698"/>
      <c r="AO11" s="1698"/>
      <c r="AP11" s="1698"/>
      <c r="AQ11" s="1698"/>
      <c r="AR11" s="1698"/>
      <c r="AS11" s="1698"/>
      <c r="AT11" s="1698"/>
      <c r="AU11" s="1698"/>
      <c r="AV11" s="1698"/>
      <c r="AW11" s="1698"/>
      <c r="AX11" s="1698"/>
      <c r="AY11" s="1698"/>
      <c r="AZ11" s="1698"/>
      <c r="BA11" s="1698"/>
      <c r="BB11" s="1698"/>
    </row>
    <row r="12" spans="1:54" ht="15.75">
      <c r="A12" s="453" t="str">
        <f t="array" ref="A12">IF($W$3="Mismatch Error","Mismatch Error",IF($B$6=$X$2,INDEX('Commodity Prices'!$AI$9:$AN$3502,MATCH(1,(('Commodity Prices'!$AI$9:$AI$3502)="Base Metals")*(('Commodity Prices'!$AJ$9:$AJ$3502)=$B$7)*(('Commodity Prices'!$AL$9:$AL$3502)=B12),0),3),INDEX('Commodity Prices'!$AP$9:$AU$3487,MATCH(1,(('Commodity Prices'!$AP$9:$AP$3487)="Base Metals")*(('Commodity Prices'!$AQ$9:$AQ$3487)=$B$7)*(('Commodity Prices'!$AS$9:$AS$3487)=B12),0),3)))</f>
        <v>Taiwan, Province Of China</v>
      </c>
      <c r="B12" s="826">
        <v>2</v>
      </c>
      <c r="C12" s="724">
        <f t="array" ref="C12">IF($W$3="Mismatch Error","",IF($B$6=$X$2,INDEX('Commodity Prices'!$AI$9:$AN$3502,MATCH(1,(('Commodity Prices'!$AI$9:$AI$3502)="Base Metals")*(('Commodity Prices'!$AJ$9:$AJ$3502)=$B$7)*(('Commodity Prices'!$AL$9:$AL$3502)=B12),0),5),INDEX('Commodity Prices'!$AP$9:$AU$3487,MATCH(1,(('Commodity Prices'!$AP$9:$AP$3487)="Base Metals")*(('Commodity Prices'!$AQ$9:$AQ$3487)=$B$7)*(('Commodity Prices'!$AS$9:$AS$3487)=B12),0),5)))</f>
        <v>237333562</v>
      </c>
      <c r="D12" s="827">
        <f t="shared" ref="D12:D21" si="1">IF($W$3="Mismatch Error","",C12/$C$22)</f>
        <v>0.11491572483560335</v>
      </c>
      <c r="R12" s="1671"/>
      <c r="S12" s="1671"/>
      <c r="T12" s="1671"/>
      <c r="U12" s="1671"/>
      <c r="V12" s="1671"/>
      <c r="W12" s="1670"/>
      <c r="X12" s="1670"/>
      <c r="Y12" s="1670" t="str">
        <f t="shared" si="0"/>
        <v>2009-10</v>
      </c>
      <c r="Z12" s="1671"/>
      <c r="AA12" s="1671"/>
      <c r="AB12" s="1671"/>
      <c r="AC12" s="1671"/>
      <c r="AD12" s="1671"/>
      <c r="AE12" s="1671"/>
      <c r="AF12" s="1671"/>
      <c r="AG12" s="1671"/>
      <c r="AH12" s="1671"/>
      <c r="AI12" s="1671"/>
      <c r="AJ12" s="1698"/>
      <c r="AK12" s="1698"/>
      <c r="AL12" s="1698"/>
      <c r="AM12" s="1698"/>
      <c r="AN12" s="1698"/>
      <c r="AO12" s="1698"/>
      <c r="AP12" s="1698"/>
      <c r="AQ12" s="1698"/>
      <c r="AR12" s="1698"/>
      <c r="AS12" s="1698"/>
      <c r="AT12" s="1698"/>
      <c r="AU12" s="1698"/>
      <c r="AV12" s="1698"/>
      <c r="AW12" s="1698"/>
      <c r="AX12" s="1698"/>
      <c r="AY12" s="1698"/>
      <c r="AZ12" s="1698"/>
      <c r="BA12" s="1698"/>
      <c r="BB12" s="1698"/>
    </row>
    <row r="13" spans="1:54" ht="15.75">
      <c r="A13" s="375" t="str">
        <f t="array" ref="A13">IF($W$3="Mismatch Error","Mismatch Error",IF($B$6=$X$2,INDEX('Commodity Prices'!$AI$9:$AN$3502,MATCH(1,(('Commodity Prices'!$AI$9:$AI$3502)="Base Metals")*(('Commodity Prices'!$AJ$9:$AJ$3502)=$B$7)*(('Commodity Prices'!$AL$9:$AL$3502)=B13),0),3),INDEX('Commodity Prices'!$AP$9:$AU$3487,MATCH(1,(('Commodity Prices'!$AP$9:$AP$3487)="Base Metals")*(('Commodity Prices'!$AQ$9:$AQ$3487)=$B$7)*(('Commodity Prices'!$AS$9:$AS$3487)=B13),0),3)))</f>
        <v>Philippines</v>
      </c>
      <c r="B13" s="828">
        <v>3</v>
      </c>
      <c r="C13" s="770">
        <f t="array" ref="C13">IF($W$3="Mismatch Error","",IF($B$6=$X$2,INDEX('Commodity Prices'!$AI$9:$AN$3502,MATCH(1,(('Commodity Prices'!$AI$9:$AI$3502)="Base Metals")*(('Commodity Prices'!$AJ$9:$AJ$3502)=$B$7)*(('Commodity Prices'!$AL$9:$AL$3502)=B13),0),5),INDEX('Commodity Prices'!$AP$9:$AU$3487,MATCH(1,(('Commodity Prices'!$AP$9:$AP$3487)="Base Metals")*(('Commodity Prices'!$AQ$9:$AQ$3487)=$B$7)*(('Commodity Prices'!$AS$9:$AS$3487)=B13),0),5)))</f>
        <v>222046776</v>
      </c>
      <c r="D13" s="829">
        <f t="shared" si="1"/>
        <v>0.10751393943789901</v>
      </c>
      <c r="R13" s="1671"/>
      <c r="S13" s="1671"/>
      <c r="T13" s="1671"/>
      <c r="U13" s="1671"/>
      <c r="V13" s="1671"/>
      <c r="W13" s="1670"/>
      <c r="X13" s="1670"/>
      <c r="Y13" s="1670" t="str">
        <f t="shared" si="0"/>
        <v>2008-09</v>
      </c>
      <c r="Z13" s="1671"/>
      <c r="AA13" s="1671"/>
      <c r="AB13" s="1671"/>
      <c r="AC13" s="1671"/>
      <c r="AD13" s="1671"/>
      <c r="AE13" s="1671"/>
      <c r="AF13" s="1671"/>
      <c r="AG13" s="1671"/>
      <c r="AH13" s="1671"/>
      <c r="AI13" s="1671"/>
      <c r="AJ13" s="1698"/>
      <c r="AK13" s="1698"/>
      <c r="AL13" s="1698"/>
      <c r="AM13" s="1698"/>
      <c r="AN13" s="1698"/>
      <c r="AO13" s="1698"/>
      <c r="AP13" s="1698"/>
      <c r="AQ13" s="1698"/>
      <c r="AR13" s="1698"/>
      <c r="AS13" s="1698"/>
      <c r="AT13" s="1698"/>
      <c r="AU13" s="1698"/>
      <c r="AV13" s="1698"/>
      <c r="AW13" s="1698"/>
      <c r="AX13" s="1698"/>
      <c r="AY13" s="1698"/>
      <c r="AZ13" s="1698"/>
      <c r="BA13" s="1698"/>
      <c r="BB13" s="1698"/>
    </row>
    <row r="14" spans="1:54" ht="15.75">
      <c r="A14" s="453" t="str">
        <f t="array" ref="A14">IF($W$3="Mismatch Error","Mismatch Error",IF($B$6=$X$2,INDEX('Commodity Prices'!$AI$9:$AN$3502,MATCH(1,(('Commodity Prices'!$AI$9:$AI$3502)="Base Metals")*(('Commodity Prices'!$AJ$9:$AJ$3502)=$B$7)*(('Commodity Prices'!$AL$9:$AL$3502)=B14),0),3),INDEX('Commodity Prices'!$AP$9:$AU$3487,MATCH(1,(('Commodity Prices'!$AP$9:$AP$3487)="Base Metals")*(('Commodity Prices'!$AQ$9:$AQ$3487)=$B$7)*(('Commodity Prices'!$AS$9:$AS$3487)=B14),0),3)))</f>
        <v>South Korea</v>
      </c>
      <c r="B14" s="826">
        <v>4</v>
      </c>
      <c r="C14" s="724">
        <f t="array" ref="C14">IF($W$3="Mismatch Error","",IF($B$6=$X$2,INDEX('Commodity Prices'!$AI$9:$AN$3502,MATCH(1,(('Commodity Prices'!$AI$9:$AI$3502)="Base Metals")*(('Commodity Prices'!$AJ$9:$AJ$3502)=$B$7)*(('Commodity Prices'!$AL$9:$AL$3502)=B14),0),5),INDEX('Commodity Prices'!$AP$9:$AU$3487,MATCH(1,(('Commodity Prices'!$AP$9:$AP$3487)="Base Metals")*(('Commodity Prices'!$AQ$9:$AQ$3487)=$B$7)*(('Commodity Prices'!$AS$9:$AS$3487)=B14),0),5)))</f>
        <v>183496532</v>
      </c>
      <c r="D14" s="827">
        <f t="shared" si="1"/>
        <v>8.8848103917133658E-2</v>
      </c>
      <c r="R14" s="1671"/>
      <c r="S14" s="1671"/>
      <c r="T14" s="1671"/>
      <c r="U14" s="1671"/>
      <c r="V14" s="1671"/>
      <c r="W14" s="1671"/>
      <c r="X14" s="1671"/>
      <c r="Y14" s="1670" t="str">
        <f t="shared" si="0"/>
        <v>2007-08</v>
      </c>
      <c r="Z14" s="1671"/>
      <c r="AA14" s="1671"/>
      <c r="AB14" s="1671"/>
      <c r="AC14" s="1671"/>
      <c r="AD14" s="1671"/>
      <c r="AE14" s="1671"/>
      <c r="AF14" s="1671"/>
      <c r="AG14" s="1671"/>
      <c r="AH14" s="1671"/>
      <c r="AI14" s="1671"/>
      <c r="AJ14" s="1698"/>
      <c r="AK14" s="1698"/>
      <c r="AL14" s="1698"/>
      <c r="AM14" s="1698"/>
      <c r="AN14" s="1698"/>
      <c r="AO14" s="1698"/>
      <c r="AP14" s="1698"/>
      <c r="AQ14" s="1698"/>
      <c r="AR14" s="1698"/>
      <c r="AS14" s="1698"/>
      <c r="AT14" s="1698"/>
      <c r="AU14" s="1698"/>
      <c r="AV14" s="1698"/>
      <c r="AW14" s="1698"/>
      <c r="AX14" s="1698"/>
      <c r="AY14" s="1698"/>
      <c r="AZ14" s="1698"/>
      <c r="BA14" s="1698"/>
      <c r="BB14" s="1698"/>
    </row>
    <row r="15" spans="1:54" ht="15.75">
      <c r="A15" s="375" t="str">
        <f t="array" ref="A15">IF($W$3="Mismatch Error","Mismatch Error",IF($B$6=$X$2,INDEX('Commodity Prices'!$AI$9:$AN$3502,MATCH(1,(('Commodity Prices'!$AI$9:$AI$3502)="Base Metals")*(('Commodity Prices'!$AJ$9:$AJ$3502)=$B$7)*(('Commodity Prices'!$AL$9:$AL$3502)=B15),0),3),INDEX('Commodity Prices'!$AP$9:$AU$3487,MATCH(1,(('Commodity Prices'!$AP$9:$AP$3487)="Base Metals")*(('Commodity Prices'!$AQ$9:$AQ$3487)=$B$7)*(('Commodity Prices'!$AS$9:$AS$3487)=B15),0),3)))</f>
        <v>Japan</v>
      </c>
      <c r="B15" s="828">
        <v>5</v>
      </c>
      <c r="C15" s="770">
        <f t="array" ref="C15">IF($W$3="Mismatch Error","",IF($B$6=$X$2,INDEX('Commodity Prices'!$AI$9:$AN$3502,MATCH(1,(('Commodity Prices'!$AI$9:$AI$3502)="Base Metals")*(('Commodity Prices'!$AJ$9:$AJ$3502)=$B$7)*(('Commodity Prices'!$AL$9:$AL$3502)=B15),0),5),INDEX('Commodity Prices'!$AP$9:$AU$3487,MATCH(1,(('Commodity Prices'!$AP$9:$AP$3487)="Base Metals")*(('Commodity Prices'!$AQ$9:$AQ$3487)=$B$7)*(('Commodity Prices'!$AS$9:$AS$3487)=B15),0),5)))</f>
        <v>177061904</v>
      </c>
      <c r="D15" s="829">
        <f t="shared" si="1"/>
        <v>8.5732489191444466E-2</v>
      </c>
      <c r="R15" s="1671"/>
      <c r="S15" s="1671"/>
      <c r="T15" s="1671"/>
      <c r="U15" s="1671"/>
      <c r="V15" s="1671"/>
      <c r="W15" s="1671"/>
      <c r="X15" s="1671"/>
      <c r="Y15" s="1670" t="str">
        <f t="shared" si="0"/>
        <v/>
      </c>
      <c r="Z15" s="1671"/>
      <c r="AA15" s="1671"/>
      <c r="AB15" s="1671"/>
      <c r="AC15" s="1671"/>
      <c r="AD15" s="1671"/>
      <c r="AE15" s="1671"/>
      <c r="AF15" s="1671"/>
      <c r="AG15" s="1671"/>
      <c r="AH15" s="1671"/>
      <c r="AI15" s="1671"/>
      <c r="AJ15" s="1698"/>
      <c r="AK15" s="1698"/>
      <c r="AL15" s="1698"/>
      <c r="AM15" s="1698"/>
      <c r="AN15" s="1698"/>
      <c r="AO15" s="1698"/>
      <c r="AP15" s="1698"/>
      <c r="AQ15" s="1698"/>
      <c r="AR15" s="1698"/>
      <c r="AS15" s="1698"/>
      <c r="AT15" s="1698"/>
      <c r="AU15" s="1698"/>
      <c r="AV15" s="1698"/>
      <c r="AW15" s="1698"/>
      <c r="AX15" s="1698"/>
      <c r="AY15" s="1698"/>
      <c r="AZ15" s="1698"/>
      <c r="BA15" s="1698"/>
      <c r="BB15" s="1698"/>
    </row>
    <row r="16" spans="1:54" ht="15.75">
      <c r="A16" s="453" t="str">
        <f t="array" ref="A16">IF($W$3="Mismatch Error","Mismatch Error",IF($B$6=$X$2,INDEX('Commodity Prices'!$AI$9:$AN$3502,MATCH(1,(('Commodity Prices'!$AI$9:$AI$3502)="Base Metals")*(('Commodity Prices'!$AJ$9:$AJ$3502)=$B$7)*(('Commodity Prices'!$AL$9:$AL$3502)=B16),0),3),INDEX('Commodity Prices'!$AP$9:$AU$3487,MATCH(1,(('Commodity Prices'!$AP$9:$AP$3487)="Base Metals")*(('Commodity Prices'!$AQ$9:$AQ$3487)=$B$7)*(('Commodity Prices'!$AS$9:$AS$3487)=B16),0),3)))</f>
        <v>Malaysia</v>
      </c>
      <c r="B16" s="826">
        <v>6</v>
      </c>
      <c r="C16" s="724">
        <f t="array" ref="C16">IF($W$3="Mismatch Error","",IF($B$6=$X$2,INDEX('Commodity Prices'!$AI$9:$AN$3502,MATCH(1,(('Commodity Prices'!$AI$9:$AI$3502)="Base Metals")*(('Commodity Prices'!$AJ$9:$AJ$3502)=$B$7)*(('Commodity Prices'!$AL$9:$AL$3502)=B16),0),5),INDEX('Commodity Prices'!$AP$9:$AU$3487,MATCH(1,(('Commodity Prices'!$AP$9:$AP$3487)="Base Metals")*(('Commodity Prices'!$AQ$9:$AQ$3487)=$B$7)*(('Commodity Prices'!$AS$9:$AS$3487)=B16),0),5)))</f>
        <v>84699725</v>
      </c>
      <c r="D16" s="827">
        <f t="shared" si="1"/>
        <v>4.101118362581721E-2</v>
      </c>
      <c r="R16" s="1671"/>
      <c r="S16" s="1671"/>
      <c r="T16" s="1671"/>
      <c r="U16" s="1671"/>
      <c r="V16" s="1671"/>
      <c r="W16" s="1671"/>
      <c r="X16" s="1671"/>
      <c r="Y16" s="1670" t="str">
        <f t="shared" si="0"/>
        <v/>
      </c>
      <c r="Z16" s="1671"/>
      <c r="AA16" s="1671"/>
      <c r="AB16" s="1671"/>
      <c r="AC16" s="1671"/>
      <c r="AD16" s="1671"/>
      <c r="AE16" s="1671"/>
      <c r="AF16" s="1671"/>
      <c r="AG16" s="1671"/>
      <c r="AH16" s="1671"/>
      <c r="AI16" s="1671"/>
      <c r="AJ16" s="1698"/>
      <c r="AK16" s="1698"/>
      <c r="AL16" s="1698"/>
      <c r="AM16" s="1698"/>
      <c r="AN16" s="1698"/>
      <c r="AO16" s="1698"/>
      <c r="AP16" s="1698"/>
      <c r="AQ16" s="1698"/>
      <c r="AR16" s="1698"/>
      <c r="AS16" s="1698"/>
      <c r="AT16" s="1698"/>
      <c r="AU16" s="1698"/>
      <c r="AV16" s="1698"/>
      <c r="AW16" s="1698"/>
      <c r="AX16" s="1698"/>
      <c r="AY16" s="1698"/>
      <c r="AZ16" s="1698"/>
      <c r="BA16" s="1698"/>
      <c r="BB16" s="1698"/>
    </row>
    <row r="17" spans="1:54" ht="15.75">
      <c r="A17" s="375" t="str">
        <f t="array" ref="A17">IF($W$3="Mismatch Error","Mismatch Error",IF($B$6=$X$2,INDEX('Commodity Prices'!$AI$9:$AN$3502,MATCH(1,(('Commodity Prices'!$AI$9:$AI$3502)="Base Metals")*(('Commodity Prices'!$AJ$9:$AJ$3502)=$B$7)*(('Commodity Prices'!$AL$9:$AL$3502)=B17),0),3),INDEX('Commodity Prices'!$AP$9:$AU$3487,MATCH(1,(('Commodity Prices'!$AP$9:$AP$3487)="Base Metals")*(('Commodity Prices'!$AQ$9:$AQ$3487)=$B$7)*(('Commodity Prices'!$AS$9:$AS$3487)=B17),0),3)))</f>
        <v>India</v>
      </c>
      <c r="B17" s="828">
        <v>7</v>
      </c>
      <c r="C17" s="770">
        <f t="array" ref="C17">IF($W$3="Mismatch Error","",IF($B$6=$X$2,INDEX('Commodity Prices'!$AI$9:$AN$3502,MATCH(1,(('Commodity Prices'!$AI$9:$AI$3502)="Base Metals")*(('Commodity Prices'!$AJ$9:$AJ$3502)=$B$7)*(('Commodity Prices'!$AL$9:$AL$3502)=B17),0),5),INDEX('Commodity Prices'!$AP$9:$AU$3487,MATCH(1,(('Commodity Prices'!$AP$9:$AP$3487)="Base Metals")*(('Commodity Prices'!$AQ$9:$AQ$3487)=$B$7)*(('Commodity Prices'!$AS$9:$AS$3487)=B17),0),5)))</f>
        <v>81378759</v>
      </c>
      <c r="D17" s="829">
        <f t="shared" si="1"/>
        <v>3.9403188482490643E-2</v>
      </c>
      <c r="R17" s="1671"/>
      <c r="S17" s="1671"/>
      <c r="T17" s="1671"/>
      <c r="U17" s="1671"/>
      <c r="V17" s="1671"/>
      <c r="W17" s="1671"/>
      <c r="X17" s="1671"/>
      <c r="Y17" s="1670" t="str">
        <f>IFERROR(IF($B$6=$X$2,IF($Z$2&lt;=(Y16-1),Y16-1,""),IF($Z$2=VALUE(LEFT(Y16,4)),"",CONCATENATE(VALUE(LEFT(Y16,4))-1,"-",RIGHT(LEFT(Y16,4),2)))),"")</f>
        <v/>
      </c>
      <c r="Z17" s="1671"/>
      <c r="AA17" s="1671"/>
      <c r="AB17" s="1671"/>
      <c r="AC17" s="1671"/>
      <c r="AD17" s="1671"/>
      <c r="AE17" s="1671"/>
      <c r="AF17" s="1671"/>
      <c r="AG17" s="1671"/>
      <c r="AH17" s="1671"/>
      <c r="AI17" s="1671"/>
      <c r="AJ17" s="1698"/>
      <c r="AK17" s="1698"/>
      <c r="AL17" s="1698"/>
      <c r="AM17" s="1698"/>
      <c r="AN17" s="1698"/>
      <c r="AO17" s="1698"/>
      <c r="AP17" s="1698"/>
      <c r="AQ17" s="1698"/>
      <c r="AR17" s="1698"/>
      <c r="AS17" s="1698"/>
      <c r="AT17" s="1698"/>
      <c r="AU17" s="1698"/>
      <c r="AV17" s="1698"/>
      <c r="AW17" s="1698"/>
      <c r="AX17" s="1698"/>
      <c r="AY17" s="1698"/>
      <c r="AZ17" s="1698"/>
      <c r="BA17" s="1698"/>
      <c r="BB17" s="1698"/>
    </row>
    <row r="18" spans="1:54" ht="15.75">
      <c r="A18" s="1208" t="str">
        <f t="array" ref="A18">IF($W$3="Mismatch Error","Mismatch Error",IF($B$6=$X$2,INDEX('Commodity Prices'!$AI$9:$AN$3502,MATCH(1,(('Commodity Prices'!$AI$9:$AI$3502)="Base Metals")*(('Commodity Prices'!$AJ$9:$AJ$3502)=$B$7)*(('Commodity Prices'!$AL$9:$AL$3502)=B18),0),3),INDEX('Commodity Prices'!$AP$9:$AU$3487,MATCH(1,(('Commodity Prices'!$AP$9:$AP$3487)="Base Metals")*(('Commodity Prices'!$AQ$9:$AQ$3487)=$B$7)*(('Commodity Prices'!$AS$9:$AS$3487)=B18),0),3)))</f>
        <v>N/A</v>
      </c>
      <c r="B18" s="826">
        <v>8</v>
      </c>
      <c r="C18" s="724">
        <f t="array" ref="C18">IF($W$3="Mismatch Error","",IF($B$6=$X$2,INDEX('Commodity Prices'!$AI$9:$AN$3502,MATCH(1,(('Commodity Prices'!$AI$9:$AI$3502)="Base Metals")*(('Commodity Prices'!$AJ$9:$AJ$3502)=$B$7)*(('Commodity Prices'!$AL$9:$AL$3502)=B18),0),5),INDEX('Commodity Prices'!$AP$9:$AU$3487,MATCH(1,(('Commodity Prices'!$AP$9:$AP$3487)="Base Metals")*(('Commodity Prices'!$AQ$9:$AQ$3487)=$B$7)*(('Commodity Prices'!$AS$9:$AS$3487)=B18),0),5)))</f>
        <v>0</v>
      </c>
      <c r="D18" s="827">
        <f t="shared" si="1"/>
        <v>0</v>
      </c>
      <c r="R18" s="1671"/>
      <c r="S18" s="1671"/>
      <c r="T18" s="1671"/>
      <c r="U18" s="1671"/>
      <c r="V18" s="1671"/>
      <c r="W18" s="1671"/>
      <c r="X18" s="1671"/>
      <c r="Y18" s="1670" t="str">
        <f t="shared" si="0"/>
        <v/>
      </c>
      <c r="Z18" s="1671"/>
      <c r="AA18" s="1671"/>
      <c r="AB18" s="1671"/>
      <c r="AC18" s="1671"/>
      <c r="AD18" s="1671"/>
      <c r="AE18" s="1671"/>
      <c r="AF18" s="1671"/>
      <c r="AG18" s="1671"/>
      <c r="AH18" s="1671"/>
      <c r="AI18" s="1671"/>
      <c r="AJ18" s="1698"/>
      <c r="AK18" s="1698"/>
      <c r="AL18" s="1698"/>
      <c r="AM18" s="1698"/>
      <c r="AN18" s="1698"/>
      <c r="AO18" s="1698"/>
      <c r="AP18" s="1698"/>
      <c r="AQ18" s="1698"/>
      <c r="AR18" s="1698"/>
      <c r="AS18" s="1698"/>
      <c r="AT18" s="1698"/>
      <c r="AU18" s="1698"/>
      <c r="AV18" s="1698"/>
      <c r="AW18" s="1698"/>
      <c r="AX18" s="1698"/>
      <c r="AY18" s="1698"/>
      <c r="AZ18" s="1698"/>
      <c r="BA18" s="1698"/>
      <c r="BB18" s="1698"/>
    </row>
    <row r="19" spans="1:54" ht="15.75">
      <c r="A19" s="1209" t="str">
        <f t="array" ref="A19">IF($W$3="Mismatch Error","Mismatch Error",IF($B$6=$X$2,INDEX('Commodity Prices'!$AI$9:$AN$3502,MATCH(1,(('Commodity Prices'!$AI$9:$AI$3502)="Base Metals")*(('Commodity Prices'!$AJ$9:$AJ$3502)=$B$7)*(('Commodity Prices'!$AL$9:$AL$3502)=B19),0),3),INDEX('Commodity Prices'!$AP$9:$AU$3487,MATCH(1,(('Commodity Prices'!$AP$9:$AP$3487)="Base Metals")*(('Commodity Prices'!$AQ$9:$AQ$3487)=$B$7)*(('Commodity Prices'!$AS$9:$AS$3487)=B19),0),3)))</f>
        <v>N/A</v>
      </c>
      <c r="B19" s="828">
        <v>9</v>
      </c>
      <c r="C19" s="770">
        <f t="array" ref="C19">IF($W$3="Mismatch Error","",IF($B$6=$X$2,INDEX('Commodity Prices'!$AI$9:$AN$3502,MATCH(1,(('Commodity Prices'!$AI$9:$AI$3502)="Base Metals")*(('Commodity Prices'!$AJ$9:$AJ$3502)=$B$7)*(('Commodity Prices'!$AL$9:$AL$3502)=B19),0),5),INDEX('Commodity Prices'!$AP$9:$AU$3487,MATCH(1,(('Commodity Prices'!$AP$9:$AP$3487)="Base Metals")*(('Commodity Prices'!$AQ$9:$AQ$3487)=$B$7)*(('Commodity Prices'!$AS$9:$AS$3487)=B19),0),5)))</f>
        <v>0</v>
      </c>
      <c r="D19" s="829">
        <f t="shared" si="1"/>
        <v>0</v>
      </c>
      <c r="F19" s="449"/>
      <c r="R19" s="1671"/>
      <c r="S19" s="1671"/>
      <c r="T19" s="1671"/>
      <c r="U19" s="1671"/>
      <c r="V19" s="1671"/>
      <c r="W19" s="1671"/>
      <c r="X19" s="1671"/>
      <c r="Y19" s="1670" t="str">
        <f>IFERROR(IF($B$6=$X$2,IF($Z$2&lt;=(Y18-1),Y18-1,""),IF($Z$2=VALUE(LEFT(Y18,4)),"",CONCATENATE(VALUE(LEFT(Y18,4))-1,"-",RIGHT(LEFT(Y18,4),2)))),"")</f>
        <v/>
      </c>
      <c r="Z19" s="1671"/>
      <c r="AA19" s="1671"/>
      <c r="AB19" s="1671"/>
      <c r="AC19" s="1671"/>
      <c r="AD19" s="1671"/>
      <c r="AE19" s="1671"/>
      <c r="AF19" s="1671"/>
      <c r="AG19" s="1671"/>
      <c r="AH19" s="1671"/>
      <c r="AI19" s="1671"/>
      <c r="AJ19" s="1698"/>
      <c r="AK19" s="1698"/>
      <c r="AL19" s="1698"/>
      <c r="AM19" s="1698"/>
      <c r="AN19" s="1698"/>
      <c r="AO19" s="1698"/>
      <c r="AP19" s="1698"/>
      <c r="AQ19" s="1698"/>
      <c r="AR19" s="1698"/>
      <c r="AS19" s="1698"/>
      <c r="AT19" s="1698"/>
      <c r="AU19" s="1698"/>
      <c r="AV19" s="1698"/>
      <c r="AW19" s="1698"/>
      <c r="AX19" s="1698"/>
      <c r="AY19" s="1698"/>
      <c r="AZ19" s="1698"/>
      <c r="BA19" s="1698"/>
      <c r="BB19" s="1698"/>
    </row>
    <row r="20" spans="1:54" ht="15.75">
      <c r="A20" s="1208" t="str">
        <f t="array" ref="A20">IF($W$3="Mismatch Error","Mismatch Error",IF($B$6=$X$2,INDEX('Commodity Prices'!$AI$9:$AN$3502,MATCH(1,(('Commodity Prices'!$AI$9:$AI$3502)="Base Metals")*(('Commodity Prices'!$AJ$9:$AJ$3502)=$B$7)*(('Commodity Prices'!$AL$9:$AL$3502)=B20),0),3),INDEX('Commodity Prices'!$AP$9:$AU$3487,MATCH(1,(('Commodity Prices'!$AP$9:$AP$3487)="Base Metals")*(('Commodity Prices'!$AQ$9:$AQ$3487)=$B$7)*(('Commodity Prices'!$AS$9:$AS$3487)=B20),0),3)))</f>
        <v>N/A</v>
      </c>
      <c r="B20" s="826">
        <v>10</v>
      </c>
      <c r="C20" s="724">
        <f t="array" ref="C20">IF($W$3="Mismatch Error","",IF($B$6=$X$2,INDEX('Commodity Prices'!$AI$9:$AN$3502,MATCH(1,(('Commodity Prices'!$AI$9:$AI$3502)="Base Metals")*(('Commodity Prices'!$AJ$9:$AJ$3502)=$B$7)*(('Commodity Prices'!$AL$9:$AL$3502)=B20),0),5),INDEX('Commodity Prices'!$AP$9:$AU$3487,MATCH(1,(('Commodity Prices'!$AP$9:$AP$3487)="Base Metals")*(('Commodity Prices'!$AQ$9:$AQ$3487)=$B$7)*(('Commodity Prices'!$AS$9:$AS$3487)=B20),0),5)))</f>
        <v>0</v>
      </c>
      <c r="D20" s="827">
        <f t="shared" si="1"/>
        <v>0</v>
      </c>
      <c r="R20" s="1671"/>
      <c r="S20" s="1671"/>
      <c r="T20" s="1671"/>
      <c r="U20" s="1671"/>
      <c r="V20" s="1671"/>
      <c r="W20" s="1671"/>
      <c r="X20" s="1671"/>
      <c r="Y20" s="1670" t="str">
        <f t="shared" si="0"/>
        <v/>
      </c>
      <c r="Z20" s="1671"/>
      <c r="AA20" s="1671"/>
      <c r="AB20" s="1671"/>
      <c r="AC20" s="1671"/>
      <c r="AD20" s="1671"/>
      <c r="AE20" s="1671"/>
      <c r="AF20" s="1671"/>
      <c r="AG20" s="1671"/>
      <c r="AH20" s="1671"/>
      <c r="AI20" s="1671"/>
      <c r="AJ20" s="1698"/>
      <c r="AK20" s="1698"/>
      <c r="AL20" s="1698"/>
      <c r="AM20" s="1698"/>
      <c r="AN20" s="1698"/>
      <c r="AO20" s="1698"/>
      <c r="AP20" s="1698"/>
      <c r="AQ20" s="1698"/>
      <c r="AR20" s="1698"/>
      <c r="AS20" s="1698"/>
      <c r="AT20" s="1698"/>
      <c r="AU20" s="1698"/>
      <c r="AV20" s="1698"/>
      <c r="AW20" s="1698"/>
      <c r="AX20" s="1698"/>
      <c r="AY20" s="1698"/>
      <c r="AZ20" s="1698"/>
      <c r="BA20" s="1698"/>
      <c r="BB20" s="1698"/>
    </row>
    <row r="21" spans="1:54" ht="16.5" thickBot="1">
      <c r="A21" s="376" t="str">
        <f>IF($W$3="Mismatch Error","","Other")</f>
        <v>Other</v>
      </c>
      <c r="B21" s="830"/>
      <c r="C21" s="773">
        <f>IF($W$3="Mismatch Error","",IF($B$6=$X$2,SUMIFS('Commodity Prices'!$AM$9:$AM$3502,'Commodity Prices'!$AI$9:$AI$3502,"Base Metals",'Commodity Prices'!$AJ$9:$AJ$3502,$B$7,'Commodity Prices'!$AK$9:$AK$3502,"TOTAL")-SUM($C$11:$C$20),SUMIFS('Commodity Prices'!$AT$9:$AT$3487,'Commodity Prices'!$AP$9:$AP$3487,"Base Metals",'Commodity Prices'!$AQ$9:$AQ$3487,$B$7,'Commodity Prices'!$AR$9:$AR$3487,"TOTAL")-SUM($C$11:$C$20)))</f>
        <v>0</v>
      </c>
      <c r="D21" s="831">
        <f t="shared" si="1"/>
        <v>0</v>
      </c>
      <c r="E21" s="169"/>
      <c r="O21" s="449"/>
      <c r="R21" s="1671"/>
      <c r="S21" s="1671"/>
      <c r="T21" s="1671"/>
      <c r="U21" s="1671"/>
      <c r="V21" s="1671"/>
      <c r="W21" s="1671"/>
      <c r="X21" s="1671"/>
      <c r="Y21" s="1670" t="str">
        <f t="shared" si="0"/>
        <v/>
      </c>
      <c r="Z21" s="1671"/>
      <c r="AA21" s="1671"/>
      <c r="AB21" s="1671"/>
      <c r="AC21" s="1671"/>
      <c r="AD21" s="1671"/>
      <c r="AE21" s="1671"/>
      <c r="AF21" s="1671"/>
      <c r="AG21" s="1671"/>
      <c r="AH21" s="1671"/>
      <c r="AI21" s="1671"/>
      <c r="AJ21" s="1698"/>
      <c r="AK21" s="1698"/>
      <c r="AL21" s="1698"/>
      <c r="AM21" s="1698"/>
      <c r="AN21" s="1698"/>
      <c r="AO21" s="1698"/>
      <c r="AP21" s="1698"/>
      <c r="AQ21" s="1698"/>
      <c r="AR21" s="1698"/>
      <c r="AS21" s="1698"/>
      <c r="AT21" s="1698"/>
      <c r="AU21" s="1698"/>
      <c r="AV21" s="1698"/>
      <c r="AW21" s="1698"/>
      <c r="AX21" s="1698"/>
      <c r="AY21" s="1698"/>
      <c r="AZ21" s="1698"/>
      <c r="BA21" s="1698"/>
      <c r="BB21" s="1698"/>
    </row>
    <row r="22" spans="1:54" ht="16.5" thickBot="1">
      <c r="A22" s="833" t="str">
        <f>IF($W$3="Mismatch Error","","Grand Total")</f>
        <v>Grand Total</v>
      </c>
      <c r="B22" s="834"/>
      <c r="C22" s="835">
        <f>IF($W$3="Mismatch Error","",IF($B$6=$X$2,SUMIFS('Commodity Prices'!$AM$9:$AM$3502,'Commodity Prices'!$AI$9:$AI$3502,"Base Metals",'Commodity Prices'!$AJ$9:$AJ$3502,$B$7,'Commodity Prices'!$AK$9:$AK$3502,"TOTAL"),SUMIFS('Commodity Prices'!$AT$9:$AT$3487,'Commodity Prices'!$AP$9:$AP$3487,"Base Metals",'Commodity Prices'!$AQ$9:$AQ$3487,$B$7,'Commodity Prices'!$AR$9:$AR$3487,"TOTAL")))</f>
        <v>2065283601</v>
      </c>
      <c r="D22" s="836"/>
      <c r="E22" s="169"/>
      <c r="R22" s="1671"/>
      <c r="S22" s="1671"/>
      <c r="T22" s="1671"/>
      <c r="U22" s="1671"/>
      <c r="V22" s="1671"/>
      <c r="W22" s="1671"/>
      <c r="X22" s="1671"/>
      <c r="Y22" s="1670" t="str">
        <f t="shared" si="0"/>
        <v/>
      </c>
      <c r="Z22" s="1671"/>
      <c r="AA22" s="1671"/>
      <c r="AB22" s="1671"/>
      <c r="AC22" s="1671"/>
      <c r="AD22" s="1671"/>
      <c r="AE22" s="1671"/>
      <c r="AF22" s="1671"/>
      <c r="AG22" s="1671"/>
      <c r="AH22" s="1671"/>
      <c r="AI22" s="1671"/>
      <c r="AJ22" s="1698"/>
      <c r="AK22" s="1698"/>
      <c r="AL22" s="1698"/>
      <c r="AM22" s="1698"/>
      <c r="AN22" s="1698"/>
      <c r="AO22" s="1698"/>
      <c r="AP22" s="1698"/>
      <c r="AQ22" s="1698"/>
      <c r="AR22" s="1698"/>
      <c r="AS22" s="1698"/>
      <c r="AT22" s="1698"/>
      <c r="AU22" s="1698"/>
      <c r="AV22" s="1698"/>
      <c r="AW22" s="1698"/>
      <c r="AX22" s="1698"/>
      <c r="AY22" s="1698"/>
      <c r="AZ22" s="1698"/>
      <c r="BA22" s="1698"/>
      <c r="BB22" s="1698"/>
    </row>
    <row r="23" spans="1:54" ht="16.5" thickBot="1">
      <c r="A23" s="2005" t="s">
        <v>757</v>
      </c>
      <c r="B23" s="2006"/>
      <c r="C23" s="1211">
        <f>IF($W$3="Mismatch Error","",IF($B$6=$X$2,SUMIFS('Commodity Prices'!AM9:AM3502,'Commodity Prices'!AJ9:AJ3502,B7,'Commodity Prices'!AI9:AI3502,"Base Metals Contained Gold/Silver"),SUMIFS('Commodity Prices'!AT9:AT3487,'Commodity Prices'!AQ9:AQ3487,B7,'Commodity Prices'!AP9:AP3487,"Base Metals Contained Gold/Silver")))</f>
        <v>0</v>
      </c>
      <c r="D23" s="1210"/>
      <c r="E23" s="169"/>
      <c r="R23" s="1671"/>
      <c r="S23" s="1671"/>
      <c r="T23" s="1671"/>
      <c r="U23" s="1671"/>
      <c r="V23" s="1671"/>
      <c r="W23" s="1671"/>
      <c r="X23" s="1671"/>
      <c r="Y23" s="1670" t="str">
        <f t="shared" si="0"/>
        <v/>
      </c>
      <c r="Z23" s="1671"/>
      <c r="AA23" s="1671"/>
      <c r="AB23" s="1671"/>
      <c r="AC23" s="1671"/>
      <c r="AD23" s="1671"/>
      <c r="AE23" s="1671"/>
      <c r="AF23" s="1671"/>
      <c r="AG23" s="1671"/>
      <c r="AH23" s="1671"/>
      <c r="AI23" s="1671"/>
      <c r="AJ23" s="1698"/>
      <c r="AK23" s="1698"/>
      <c r="AL23" s="1698"/>
      <c r="AM23" s="1698"/>
      <c r="AN23" s="1698"/>
      <c r="AO23" s="1698"/>
      <c r="AP23" s="1698"/>
      <c r="AQ23" s="1698"/>
      <c r="AR23" s="1698"/>
      <c r="AS23" s="1698"/>
      <c r="AT23" s="1698"/>
      <c r="AU23" s="1698"/>
      <c r="AV23" s="1698"/>
      <c r="AW23" s="1698"/>
      <c r="AX23" s="1698"/>
      <c r="AY23" s="1698"/>
      <c r="AZ23" s="1698"/>
      <c r="BA23" s="1698"/>
      <c r="BB23" s="1698"/>
    </row>
    <row r="24" spans="1:54" ht="15.75">
      <c r="A24" s="1991" t="str">
        <f>IF(A11="Mismatch Error","You have selected an incompatible year or year type. Change one or the other to display data.","")</f>
        <v/>
      </c>
      <c r="B24" s="1991"/>
      <c r="C24" s="1991"/>
      <c r="D24" s="1991"/>
      <c r="E24" s="449"/>
      <c r="R24" s="1698"/>
      <c r="S24" s="1698"/>
      <c r="T24" s="1698"/>
      <c r="U24" s="1698"/>
      <c r="V24" s="1698"/>
      <c r="W24" s="1698"/>
      <c r="X24" s="1923"/>
      <c r="Y24" s="1924" t="str">
        <f t="shared" si="0"/>
        <v/>
      </c>
      <c r="Z24" s="1923"/>
      <c r="AA24" s="1698"/>
      <c r="AB24" s="1698"/>
      <c r="AC24" s="1698"/>
      <c r="AD24" s="1698"/>
      <c r="AE24" s="1698"/>
      <c r="AF24" s="1698"/>
      <c r="AG24" s="1698"/>
      <c r="AH24" s="1698"/>
      <c r="AI24" s="1698"/>
      <c r="AJ24" s="1698"/>
      <c r="AK24" s="1698"/>
      <c r="AL24" s="1698"/>
      <c r="AM24" s="1698"/>
      <c r="AN24" s="1698"/>
      <c r="AO24" s="1698"/>
      <c r="AP24" s="1698"/>
      <c r="AQ24" s="1698"/>
      <c r="AR24" s="1698"/>
      <c r="AS24" s="1698"/>
      <c r="AT24" s="1698"/>
      <c r="AU24" s="1698"/>
      <c r="AV24" s="1698"/>
      <c r="AW24" s="1698"/>
      <c r="AX24" s="1698"/>
      <c r="AY24" s="1698"/>
      <c r="AZ24" s="1698"/>
      <c r="BA24" s="1698"/>
      <c r="BB24" s="1698"/>
    </row>
    <row r="25" spans="1:54" ht="15.75">
      <c r="A25" s="1991"/>
      <c r="B25" s="1991"/>
      <c r="C25" s="1991"/>
      <c r="D25" s="1991"/>
      <c r="R25" s="1698"/>
      <c r="S25" s="1698"/>
      <c r="T25" s="1698"/>
      <c r="U25" s="1698"/>
      <c r="V25" s="1698"/>
      <c r="W25" s="1698"/>
      <c r="X25" s="1923"/>
      <c r="Y25" s="1924" t="str">
        <f t="shared" si="0"/>
        <v/>
      </c>
      <c r="Z25" s="1923"/>
      <c r="AA25" s="1698"/>
      <c r="AB25" s="1698"/>
      <c r="AC25" s="1698"/>
      <c r="AD25" s="1698"/>
      <c r="AE25" s="1698"/>
      <c r="AF25" s="1698"/>
      <c r="AG25" s="1698"/>
      <c r="AH25" s="1698"/>
      <c r="AI25" s="1698"/>
      <c r="AJ25" s="1698"/>
      <c r="AK25" s="1698"/>
      <c r="AL25" s="1698"/>
      <c r="AM25" s="1698"/>
      <c r="AN25" s="1698"/>
      <c r="AO25" s="1698"/>
      <c r="AP25" s="1698"/>
      <c r="AQ25" s="1698"/>
      <c r="AR25" s="1698"/>
      <c r="AS25" s="1698"/>
      <c r="AT25" s="1698"/>
      <c r="AU25" s="1698"/>
      <c r="AV25" s="1698"/>
      <c r="AW25" s="1698"/>
      <c r="AX25" s="1698"/>
      <c r="AY25" s="1698"/>
      <c r="AZ25" s="1698"/>
      <c r="BA25" s="1698"/>
      <c r="BB25" s="1698"/>
    </row>
    <row r="26" spans="1:54" ht="15" customHeight="1">
      <c r="A26" s="1991" t="str">
        <f>IF(OR(ISNA(A11),ISNA(A12),ISNA(A13),ISNA(A14),ISNA(A15),ISNA(A16),ISNA(A17),ISNA(A18),ISNA(#REF!),ISNA(#REF!),ISNA(C11),ISNA(C12),ISNA(C13),ISNA(C14),ISNA(C15),ISNA(C16),ISNA(C17),ISNA(C18),ISNA(#REF!),ISNA(#REF!)),"You have ecountered an NA Error. This is most likely caused by the accidental loss of an array formula in the table above. Click on the cell showing #N/A above, then click the formula bar and press Ctrl, Shift and Enter.","")</f>
        <v/>
      </c>
      <c r="B26" s="1991"/>
      <c r="C26" s="1991"/>
      <c r="D26" s="1991"/>
      <c r="R26" s="1698"/>
      <c r="S26" s="1698"/>
      <c r="T26" s="1698"/>
      <c r="U26" s="1698"/>
      <c r="V26" s="1698"/>
      <c r="W26" s="1698"/>
      <c r="X26" s="1923"/>
      <c r="Y26" s="1924" t="str">
        <f t="shared" si="0"/>
        <v/>
      </c>
      <c r="Z26" s="1923"/>
      <c r="AA26" s="1698"/>
      <c r="AB26" s="1698"/>
      <c r="AC26" s="1698"/>
      <c r="AD26" s="1698"/>
      <c r="AE26" s="1698"/>
      <c r="AF26" s="1698"/>
      <c r="AG26" s="1698"/>
      <c r="AH26" s="1698"/>
      <c r="AI26" s="1698"/>
      <c r="AJ26" s="1698"/>
      <c r="AK26" s="1698"/>
      <c r="AL26" s="1698"/>
      <c r="AM26" s="1698"/>
      <c r="AN26" s="1698"/>
      <c r="AO26" s="1698"/>
      <c r="AP26" s="1698"/>
      <c r="AQ26" s="1698"/>
      <c r="AR26" s="1698"/>
      <c r="AS26" s="1698"/>
      <c r="AT26" s="1698"/>
      <c r="AU26" s="1698"/>
      <c r="AV26" s="1698"/>
      <c r="AW26" s="1698"/>
      <c r="AX26" s="1698"/>
      <c r="AY26" s="1698"/>
      <c r="AZ26" s="1698"/>
      <c r="BA26" s="1698"/>
      <c r="BB26" s="1698"/>
    </row>
    <row r="27" spans="1:54" ht="15.75">
      <c r="A27" s="1991"/>
      <c r="B27" s="1991"/>
      <c r="C27" s="1991"/>
      <c r="D27" s="1991"/>
      <c r="R27" s="1698"/>
      <c r="S27" s="1698"/>
      <c r="T27" s="1698"/>
      <c r="U27" s="1698"/>
      <c r="V27" s="1698"/>
      <c r="W27" s="1698"/>
      <c r="X27" s="1923"/>
      <c r="Y27" s="1924"/>
      <c r="Z27" s="1923"/>
      <c r="AA27" s="1698"/>
      <c r="AB27" s="1698"/>
      <c r="AC27" s="1698"/>
      <c r="AD27" s="1698"/>
      <c r="AE27" s="1698"/>
      <c r="AF27" s="1698"/>
      <c r="AG27" s="1698"/>
      <c r="AH27" s="1698"/>
      <c r="AI27" s="1698"/>
      <c r="AJ27" s="1698"/>
      <c r="AK27" s="1698"/>
      <c r="AL27" s="1698"/>
      <c r="AM27" s="1698"/>
      <c r="AN27" s="1698"/>
      <c r="AO27" s="1698"/>
      <c r="AP27" s="1698"/>
      <c r="AQ27" s="1698"/>
      <c r="AR27" s="1698"/>
      <c r="AS27" s="1698"/>
      <c r="AT27" s="1698"/>
      <c r="AU27" s="1698"/>
      <c r="AV27" s="1698"/>
      <c r="AW27" s="1698"/>
      <c r="AX27" s="1698"/>
      <c r="AY27" s="1698"/>
      <c r="AZ27" s="1698"/>
      <c r="BA27" s="1698"/>
      <c r="BB27" s="1698"/>
    </row>
    <row r="28" spans="1:54" ht="15.75">
      <c r="A28" s="1991"/>
      <c r="B28" s="1991"/>
      <c r="C28" s="1991"/>
      <c r="D28" s="1991"/>
      <c r="R28" s="1698"/>
      <c r="S28" s="1698"/>
      <c r="T28" s="1698"/>
      <c r="U28" s="1698"/>
      <c r="V28" s="1698"/>
      <c r="W28" s="1698"/>
      <c r="X28" s="1923"/>
      <c r="Y28" s="1924"/>
      <c r="Z28" s="1923"/>
      <c r="AA28" s="1698"/>
      <c r="AB28" s="1698"/>
      <c r="AC28" s="1698"/>
      <c r="AD28" s="1698"/>
      <c r="AE28" s="1698"/>
      <c r="AF28" s="1698"/>
      <c r="AG28" s="1698"/>
      <c r="AH28" s="1698"/>
      <c r="AI28" s="1698"/>
      <c r="AJ28" s="1698"/>
      <c r="AK28" s="1698"/>
      <c r="AL28" s="1698"/>
      <c r="AM28" s="1698"/>
      <c r="AN28" s="1698"/>
      <c r="AO28" s="1698"/>
      <c r="AP28" s="1698"/>
      <c r="AQ28" s="1698"/>
      <c r="AR28" s="1698"/>
      <c r="AS28" s="1698"/>
      <c r="AT28" s="1698"/>
      <c r="AU28" s="1698"/>
      <c r="AV28" s="1698"/>
      <c r="AW28" s="1698"/>
      <c r="AX28" s="1698"/>
      <c r="AY28" s="1698"/>
      <c r="AZ28" s="1698"/>
      <c r="BA28" s="1698"/>
      <c r="BB28" s="1698"/>
    </row>
    <row r="29" spans="1:54" ht="15.75">
      <c r="A29" s="1991"/>
      <c r="B29" s="1991"/>
      <c r="C29" s="1991"/>
      <c r="D29" s="1991"/>
      <c r="R29" s="1698"/>
      <c r="S29" s="1698"/>
      <c r="T29" s="1698"/>
      <c r="U29" s="1698"/>
      <c r="V29" s="1698"/>
      <c r="W29" s="1698"/>
      <c r="X29" s="1923"/>
      <c r="Y29" s="1924"/>
      <c r="Z29" s="1923"/>
      <c r="AA29" s="1698"/>
      <c r="AB29" s="1698"/>
      <c r="AC29" s="1698"/>
      <c r="AD29" s="1698"/>
      <c r="AE29" s="1698"/>
      <c r="AF29" s="1698"/>
      <c r="AG29" s="1698"/>
      <c r="AH29" s="1698"/>
      <c r="AI29" s="1698"/>
      <c r="AJ29" s="1698"/>
      <c r="AK29" s="1698"/>
      <c r="AL29" s="1698"/>
      <c r="AM29" s="1698"/>
      <c r="AN29" s="1698"/>
      <c r="AO29" s="1698"/>
      <c r="AP29" s="1698"/>
      <c r="AQ29" s="1698"/>
      <c r="AR29" s="1698"/>
      <c r="AS29" s="1698"/>
      <c r="AT29" s="1698"/>
      <c r="AU29" s="1698"/>
      <c r="AV29" s="1698"/>
      <c r="AW29" s="1698"/>
      <c r="AX29" s="1698"/>
      <c r="AY29" s="1698"/>
      <c r="AZ29" s="1698"/>
      <c r="BA29" s="1698"/>
      <c r="BB29" s="1698"/>
    </row>
    <row r="30" spans="1:54" ht="15.75">
      <c r="A30" s="1991" t="str">
        <f>IF(B7=2017,"Note: Data suggests base metals were exported to a restricted number of countries ("&amp;MATCH("",A11:A18,0)-1&amp;") during this period ("&amp;B7&amp;").","")</f>
        <v/>
      </c>
      <c r="B30" s="1991"/>
      <c r="C30" s="1991"/>
      <c r="D30" s="1991"/>
      <c r="R30" s="1698"/>
      <c r="S30" s="1698"/>
      <c r="T30" s="1698"/>
      <c r="U30" s="1698"/>
      <c r="V30" s="1698"/>
      <c r="W30" s="1698"/>
      <c r="X30" s="1923"/>
      <c r="Y30" s="1924"/>
      <c r="Z30" s="1923"/>
      <c r="AA30" s="1698"/>
      <c r="AB30" s="1698"/>
      <c r="AC30" s="1698"/>
      <c r="AD30" s="1698"/>
      <c r="AE30" s="1698"/>
      <c r="AF30" s="1698"/>
      <c r="AG30" s="1698"/>
      <c r="AH30" s="1698"/>
      <c r="AI30" s="1698"/>
      <c r="AJ30" s="1698"/>
      <c r="AK30" s="1698"/>
      <c r="AL30" s="1698"/>
      <c r="AM30" s="1698"/>
      <c r="AN30" s="1698"/>
      <c r="AO30" s="1698"/>
      <c r="AP30" s="1698"/>
      <c r="AQ30" s="1698"/>
      <c r="AR30" s="1698"/>
      <c r="AS30" s="1698"/>
      <c r="AT30" s="1698"/>
      <c r="AU30" s="1698"/>
      <c r="AV30" s="1698"/>
      <c r="AW30" s="1698"/>
      <c r="AX30" s="1698"/>
      <c r="AY30" s="1698"/>
      <c r="AZ30" s="1698"/>
      <c r="BA30" s="1698"/>
      <c r="BB30" s="1698"/>
    </row>
    <row r="31" spans="1:54" ht="15.75">
      <c r="A31" s="1991"/>
      <c r="B31" s="1991"/>
      <c r="C31" s="1991"/>
      <c r="D31" s="1991"/>
      <c r="R31" s="1698"/>
      <c r="S31" s="1698"/>
      <c r="T31" s="1698"/>
      <c r="U31" s="1698"/>
      <c r="V31" s="1698"/>
      <c r="W31" s="1698"/>
      <c r="X31" s="1923"/>
      <c r="Y31" s="1924"/>
      <c r="Z31" s="1923"/>
      <c r="AA31" s="1698"/>
      <c r="AB31" s="1698"/>
      <c r="AC31" s="1698"/>
      <c r="AD31" s="1698"/>
      <c r="AE31" s="1698"/>
      <c r="AF31" s="1698"/>
      <c r="AG31" s="1698"/>
      <c r="AH31" s="1698"/>
      <c r="AI31" s="1698"/>
      <c r="AJ31" s="1698"/>
      <c r="AK31" s="1698"/>
      <c r="AL31" s="1698"/>
      <c r="AM31" s="1698"/>
      <c r="AN31" s="1698"/>
      <c r="AO31" s="1698"/>
      <c r="AP31" s="1698"/>
      <c r="AQ31" s="1698"/>
      <c r="AR31" s="1698"/>
      <c r="AS31" s="1698"/>
      <c r="AT31" s="1698"/>
      <c r="AU31" s="1698"/>
      <c r="AV31" s="1698"/>
      <c r="AW31" s="1698"/>
      <c r="AX31" s="1698"/>
      <c r="AY31" s="1698"/>
      <c r="AZ31" s="1698"/>
      <c r="BA31" s="1698"/>
      <c r="BB31" s="1698"/>
    </row>
    <row r="32" spans="1:54" ht="15.75">
      <c r="A32" s="1991"/>
      <c r="B32" s="1991"/>
      <c r="C32" s="1991"/>
      <c r="D32" s="1991"/>
      <c r="R32" s="1698"/>
      <c r="S32" s="1698"/>
      <c r="T32" s="1698"/>
      <c r="U32" s="1698"/>
      <c r="V32" s="1698"/>
      <c r="W32" s="1698"/>
      <c r="X32" s="1923"/>
      <c r="Y32" s="1924"/>
      <c r="Z32" s="1923"/>
      <c r="AA32" s="1698"/>
      <c r="AB32" s="1698"/>
      <c r="AC32" s="1698"/>
      <c r="AD32" s="1698"/>
      <c r="AE32" s="1698"/>
      <c r="AF32" s="1698"/>
      <c r="AG32" s="1698"/>
      <c r="AH32" s="1698"/>
      <c r="AI32" s="1698"/>
      <c r="AJ32" s="1698"/>
      <c r="AK32" s="1698"/>
      <c r="AL32" s="1698"/>
      <c r="AM32" s="1698"/>
      <c r="AN32" s="1698"/>
      <c r="AO32" s="1698"/>
      <c r="AP32" s="1698"/>
      <c r="AQ32" s="1698"/>
      <c r="AR32" s="1698"/>
      <c r="AS32" s="1698"/>
      <c r="AT32" s="1698"/>
      <c r="AU32" s="1698"/>
      <c r="AV32" s="1698"/>
      <c r="AW32" s="1698"/>
      <c r="AX32" s="1698"/>
      <c r="AY32" s="1698"/>
      <c r="AZ32" s="1698"/>
      <c r="BA32" s="1698"/>
      <c r="BB32" s="1698"/>
    </row>
    <row r="33" spans="1:54" ht="15.75">
      <c r="A33" s="1991"/>
      <c r="B33" s="1991"/>
      <c r="C33" s="1991"/>
      <c r="D33" s="1991"/>
      <c r="E33" s="451"/>
      <c r="R33" s="1698"/>
      <c r="S33" s="1698"/>
      <c r="T33" s="1698"/>
      <c r="U33" s="1698"/>
      <c r="V33" s="1698"/>
      <c r="W33" s="1698"/>
      <c r="X33" s="1923"/>
      <c r="Y33" s="1924"/>
      <c r="Z33" s="1923"/>
      <c r="AA33" s="1698"/>
      <c r="AB33" s="1698"/>
      <c r="AC33" s="1698"/>
      <c r="AD33" s="1698"/>
      <c r="AE33" s="1698"/>
      <c r="AF33" s="1698"/>
      <c r="AG33" s="1698"/>
      <c r="AH33" s="1698"/>
      <c r="AI33" s="1698"/>
      <c r="AJ33" s="1698"/>
      <c r="AK33" s="1698"/>
      <c r="AL33" s="1698"/>
      <c r="AM33" s="1698"/>
      <c r="AN33" s="1698"/>
      <c r="AO33" s="1698"/>
      <c r="AP33" s="1698"/>
      <c r="AQ33" s="1698"/>
      <c r="AR33" s="1698"/>
      <c r="AS33" s="1698"/>
      <c r="AT33" s="1698"/>
      <c r="AU33" s="1698"/>
      <c r="AV33" s="1698"/>
      <c r="AW33" s="1698"/>
      <c r="AX33" s="1698"/>
      <c r="AY33" s="1698"/>
      <c r="AZ33" s="1698"/>
      <c r="BA33" s="1698"/>
      <c r="BB33" s="1698"/>
    </row>
    <row r="34" spans="1:54">
      <c r="C34" s="140"/>
      <c r="D34" s="449"/>
      <c r="E34" s="451"/>
      <c r="Y34" s="426"/>
    </row>
    <row r="35" spans="1:54">
      <c r="C35" s="140"/>
      <c r="E35" s="451"/>
      <c r="Y35" s="426"/>
    </row>
    <row r="36" spans="1:54">
      <c r="C36" s="449"/>
      <c r="E36" s="451"/>
      <c r="Y36" s="426"/>
    </row>
    <row r="37" spans="1:54">
      <c r="E37" s="451"/>
      <c r="Y37" s="426"/>
    </row>
    <row r="38" spans="1:54">
      <c r="E38" s="451"/>
      <c r="Y38" s="426"/>
    </row>
    <row r="39" spans="1:54">
      <c r="E39" s="451"/>
      <c r="Y39" s="426"/>
    </row>
    <row r="40" spans="1:54">
      <c r="E40" s="451"/>
      <c r="Y40" s="426"/>
    </row>
    <row r="41" spans="1:54">
      <c r="E41" s="451"/>
      <c r="Y41" s="426"/>
    </row>
    <row r="42" spans="1:54">
      <c r="C42" s="449"/>
      <c r="E42" s="451"/>
      <c r="Y42" s="426"/>
    </row>
    <row r="43" spans="1:54">
      <c r="E43" s="451"/>
      <c r="Y43" s="426"/>
    </row>
    <row r="44" spans="1:54">
      <c r="E44" s="451"/>
      <c r="Y44" s="426"/>
    </row>
    <row r="45" spans="1:54">
      <c r="E45" s="451"/>
      <c r="Y45" s="426"/>
    </row>
    <row r="46" spans="1:54">
      <c r="E46" s="451"/>
      <c r="Y46" s="426"/>
    </row>
    <row r="47" spans="1:54">
      <c r="E47" s="451"/>
      <c r="Y47" s="426"/>
    </row>
    <row r="48" spans="1:54">
      <c r="E48" s="451"/>
      <c r="Y48" s="426"/>
    </row>
    <row r="49" spans="5:25">
      <c r="E49" s="451"/>
      <c r="Y49" s="426"/>
    </row>
    <row r="50" spans="5:25">
      <c r="E50" s="451"/>
      <c r="Y50" s="426"/>
    </row>
    <row r="51" spans="5:25">
      <c r="E51" s="451"/>
      <c r="Y51" s="426"/>
    </row>
    <row r="52" spans="5:25">
      <c r="E52" s="451"/>
    </row>
    <row r="53" spans="5:25">
      <c r="E53" s="451"/>
    </row>
    <row r="54" spans="5:25">
      <c r="E54" s="451"/>
    </row>
    <row r="55" spans="5:25">
      <c r="E55" s="451"/>
    </row>
    <row r="56" spans="5:25">
      <c r="E56" s="451"/>
    </row>
    <row r="57" spans="5:25">
      <c r="E57" s="451"/>
    </row>
    <row r="58" spans="5:25">
      <c r="E58" s="451"/>
    </row>
    <row r="59" spans="5:25">
      <c r="E59" s="451"/>
    </row>
    <row r="60" spans="5:25">
      <c r="E60" s="451"/>
    </row>
    <row r="61" spans="5:25">
      <c r="E61" s="451"/>
    </row>
    <row r="62" spans="5:25">
      <c r="E62" s="451"/>
    </row>
    <row r="63" spans="5:25">
      <c r="E63" s="451"/>
    </row>
    <row r="64" spans="5:25">
      <c r="E64" s="451"/>
    </row>
    <row r="65" spans="5:5">
      <c r="E65" s="451"/>
    </row>
    <row r="68" spans="5:5">
      <c r="E68" s="451"/>
    </row>
    <row r="69" spans="5:5">
      <c r="E69" s="451"/>
    </row>
    <row r="70" spans="5:5">
      <c r="E70" s="451"/>
    </row>
    <row r="71" spans="5:5">
      <c r="E71" s="451"/>
    </row>
    <row r="72" spans="5:5">
      <c r="E72" s="451"/>
    </row>
    <row r="73" spans="5:5">
      <c r="E73" s="451"/>
    </row>
    <row r="74" spans="5:5">
      <c r="E74" s="451"/>
    </row>
    <row r="75" spans="5:5">
      <c r="E75" s="451"/>
    </row>
    <row r="76" spans="5:5">
      <c r="E76" s="451"/>
    </row>
    <row r="77" spans="5:5">
      <c r="E77" s="451"/>
    </row>
    <row r="78" spans="5:5">
      <c r="E78" s="451"/>
    </row>
    <row r="79" spans="5:5">
      <c r="E79" s="451"/>
    </row>
    <row r="80" spans="5:5">
      <c r="E80" s="451"/>
    </row>
    <row r="81" spans="5:5">
      <c r="E81" s="451"/>
    </row>
    <row r="82" spans="5:5">
      <c r="E82" s="451"/>
    </row>
  </sheetData>
  <mergeCells count="7">
    <mergeCell ref="A30:D33"/>
    <mergeCell ref="B6:D6"/>
    <mergeCell ref="B7:D7"/>
    <mergeCell ref="A9:D9"/>
    <mergeCell ref="A24:D25"/>
    <mergeCell ref="A26:D29"/>
    <mergeCell ref="A23:B23"/>
  </mergeCells>
  <conditionalFormatting sqref="A11">
    <cfRule type="containsText" dxfId="4" priority="1" operator="containsText" text="Mismatch Error">
      <formula>NOT(ISERROR(SEARCH("Mismatch Error",A11)))</formula>
    </cfRule>
  </conditionalFormatting>
  <dataValidations count="3">
    <dataValidation type="list" allowBlank="1" showInputMessage="1" showErrorMessage="1" promptTitle="Select a Display Factor:" prompt="Clicking here will bring up a message describing the selections you can make." sqref="B7:D7">
      <formula1>$Y$2:$Y$26</formula1>
    </dataValidation>
    <dataValidation type="list" allowBlank="1" showInputMessage="1" showErrorMessage="1" promptTitle="Select a Display Factor:" prompt="Clicking here will bring up a message describing the selections you can make." sqref="B6:D6">
      <formula1>$X$2:$X$3</formula1>
    </dataValidation>
    <dataValidation allowBlank="1" promptTitle="Select a Display Factor:" prompt="Clicking here will bring up a message describing the selections you can make." sqref="E6:E7"/>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6B4E8"/>
  </sheetPr>
  <dimension ref="A1:AP68"/>
  <sheetViews>
    <sheetView showGridLines="0" zoomScaleNormal="100" workbookViewId="0">
      <selection activeCell="T72" sqref="T72:Y72"/>
    </sheetView>
  </sheetViews>
  <sheetFormatPr defaultRowHeight="15"/>
  <cols>
    <col min="1" max="1" width="7.42578125" style="106" bestFit="1" customWidth="1"/>
    <col min="2" max="2" width="20.85546875" style="106" bestFit="1" customWidth="1"/>
    <col min="3" max="3" width="19.42578125" style="106" bestFit="1" customWidth="1"/>
    <col min="4" max="4" width="20.85546875" style="106" bestFit="1" customWidth="1"/>
    <col min="5" max="5" width="19.28515625" style="106" bestFit="1" customWidth="1"/>
    <col min="6" max="6" width="20.85546875" style="106" bestFit="1" customWidth="1"/>
    <col min="7" max="7" width="19.28515625" style="106" bestFit="1" customWidth="1"/>
    <col min="8" max="18" width="9.140625" style="106"/>
    <col min="19" max="19" width="6.28515625" style="106" customWidth="1"/>
    <col min="20" max="20" width="20.85546875" style="106" bestFit="1" customWidth="1"/>
    <col min="21" max="21" width="19.28515625" style="106" bestFit="1" customWidth="1"/>
    <col min="22" max="22" width="20.85546875" style="106" bestFit="1" customWidth="1"/>
    <col min="23" max="23" width="19.28515625" style="106" bestFit="1" customWidth="1"/>
    <col min="24" max="24" width="20.85546875" style="106" bestFit="1" customWidth="1"/>
    <col min="25" max="25" width="19.28515625" style="106" bestFit="1" customWidth="1"/>
    <col min="26" max="26" width="29.28515625" style="106" bestFit="1" customWidth="1"/>
    <col min="27" max="27" width="28.140625" style="106" bestFit="1" customWidth="1"/>
    <col min="28" max="28" width="29.28515625" style="106" bestFit="1" customWidth="1"/>
    <col min="29" max="29" width="28.140625" style="106" bestFit="1" customWidth="1"/>
    <col min="30" max="16384" width="9.140625" style="106"/>
  </cols>
  <sheetData>
    <row r="1" spans="1:42">
      <c r="AP1" s="420" t="str">
        <f>"Australian and Western Australian Copper Production "&amp;MAX(A8:A200)</f>
        <v>Australian and Western Australian Copper Production 2020</v>
      </c>
    </row>
    <row r="2" spans="1:42">
      <c r="E2" s="537"/>
      <c r="AP2" s="420" t="str">
        <f>"Australian and Western Australian Lead Production "&amp;MAX(A8:A200)</f>
        <v>Australian and Western Australian Lead Production 2020</v>
      </c>
    </row>
    <row r="3" spans="1:42">
      <c r="AP3" s="420" t="str">
        <f>"Australian and Western Australian Zinc Production "&amp;MAX(A8:A200)</f>
        <v>Australian and Western Australian Zinc Production 2020</v>
      </c>
    </row>
    <row r="5" spans="1:42" ht="15.75" thickBot="1">
      <c r="A5" s="2009" t="s">
        <v>707</v>
      </c>
      <c r="B5" s="2009"/>
      <c r="C5" s="2009"/>
      <c r="D5" s="2009"/>
      <c r="E5" s="2009"/>
      <c r="F5" s="2009"/>
      <c r="G5" s="2009"/>
    </row>
    <row r="6" spans="1:42">
      <c r="A6" s="576"/>
      <c r="B6" s="2010" t="s">
        <v>375</v>
      </c>
      <c r="C6" s="2008"/>
      <c r="D6" s="2008" t="s">
        <v>374</v>
      </c>
      <c r="E6" s="2008"/>
      <c r="F6" s="2008" t="s">
        <v>376</v>
      </c>
      <c r="G6" s="2008"/>
    </row>
    <row r="7" spans="1:42">
      <c r="A7" s="1466" t="s">
        <v>41</v>
      </c>
      <c r="B7" s="1464" t="s">
        <v>50</v>
      </c>
      <c r="C7" s="1465" t="s">
        <v>51</v>
      </c>
      <c r="D7" s="1464" t="s">
        <v>50</v>
      </c>
      <c r="E7" s="1465" t="s">
        <v>51</v>
      </c>
      <c r="F7" s="1464" t="s">
        <v>50</v>
      </c>
      <c r="G7" s="1465" t="s">
        <v>51</v>
      </c>
    </row>
    <row r="8" spans="1:42">
      <c r="A8" s="1324">
        <v>1980</v>
      </c>
      <c r="B8" s="706">
        <v>3.1320000000000001</v>
      </c>
      <c r="C8" s="705">
        <v>242</v>
      </c>
      <c r="D8" s="706">
        <v>0</v>
      </c>
      <c r="E8" s="705">
        <v>398</v>
      </c>
      <c r="F8" s="706">
        <v>0</v>
      </c>
      <c r="G8" s="705">
        <v>495</v>
      </c>
    </row>
    <row r="9" spans="1:42">
      <c r="A9" s="1324">
        <v>1981</v>
      </c>
      <c r="B9" s="797">
        <v>4.4240000000000004</v>
      </c>
      <c r="C9" s="798">
        <v>231</v>
      </c>
      <c r="D9" s="797">
        <v>0</v>
      </c>
      <c r="E9" s="798">
        <v>388</v>
      </c>
      <c r="F9" s="797">
        <v>3.613</v>
      </c>
      <c r="G9" s="798">
        <v>518</v>
      </c>
    </row>
    <row r="10" spans="1:42">
      <c r="A10" s="1324">
        <v>1982</v>
      </c>
      <c r="B10" s="706">
        <v>17.603999999999999</v>
      </c>
      <c r="C10" s="705">
        <v>245</v>
      </c>
      <c r="D10" s="706">
        <v>0</v>
      </c>
      <c r="E10" s="705">
        <v>455</v>
      </c>
      <c r="F10" s="706">
        <v>48.018000000000001</v>
      </c>
      <c r="G10" s="705">
        <v>665</v>
      </c>
    </row>
    <row r="11" spans="1:42">
      <c r="A11" s="1324">
        <v>1983</v>
      </c>
      <c r="B11" s="797">
        <v>11.449</v>
      </c>
      <c r="C11" s="798">
        <v>262</v>
      </c>
      <c r="D11" s="797">
        <v>0</v>
      </c>
      <c r="E11" s="798">
        <v>481</v>
      </c>
      <c r="F11" s="797">
        <v>13.157999999999999</v>
      </c>
      <c r="G11" s="798">
        <v>699</v>
      </c>
    </row>
    <row r="12" spans="1:42">
      <c r="A12" s="1324">
        <v>1984</v>
      </c>
      <c r="B12" s="706">
        <v>12.005000000000001</v>
      </c>
      <c r="C12" s="705">
        <v>236</v>
      </c>
      <c r="D12" s="706">
        <v>0</v>
      </c>
      <c r="E12" s="705">
        <v>441</v>
      </c>
      <c r="F12" s="706">
        <v>35.64</v>
      </c>
      <c r="G12" s="705">
        <v>677</v>
      </c>
    </row>
    <row r="13" spans="1:42">
      <c r="A13" s="1324">
        <v>1985</v>
      </c>
      <c r="B13" s="797">
        <v>10.403</v>
      </c>
      <c r="C13" s="798">
        <v>260</v>
      </c>
      <c r="D13" s="797">
        <v>0</v>
      </c>
      <c r="E13" s="798">
        <v>498</v>
      </c>
      <c r="F13" s="797">
        <v>51.976999999999997</v>
      </c>
      <c r="G13" s="798">
        <v>759</v>
      </c>
    </row>
    <row r="14" spans="1:42">
      <c r="A14" s="1324">
        <v>1986</v>
      </c>
      <c r="B14" s="706">
        <v>7.774</v>
      </c>
      <c r="C14" s="705">
        <v>248</v>
      </c>
      <c r="D14" s="706">
        <v>0</v>
      </c>
      <c r="E14" s="705">
        <v>445</v>
      </c>
      <c r="F14" s="706">
        <v>23.969000000000001</v>
      </c>
      <c r="G14" s="705">
        <v>712</v>
      </c>
    </row>
    <row r="15" spans="1:42">
      <c r="A15" s="1324">
        <v>1987</v>
      </c>
      <c r="B15" s="797">
        <v>2.91</v>
      </c>
      <c r="C15" s="798">
        <v>233</v>
      </c>
      <c r="D15" s="797">
        <v>0</v>
      </c>
      <c r="E15" s="798">
        <v>489</v>
      </c>
      <c r="F15" s="797">
        <v>0</v>
      </c>
      <c r="G15" s="798">
        <v>778</v>
      </c>
    </row>
    <row r="16" spans="1:42">
      <c r="A16" s="1324">
        <v>1988</v>
      </c>
      <c r="B16" s="706">
        <v>7.4260000000000002</v>
      </c>
      <c r="C16" s="705">
        <v>238</v>
      </c>
      <c r="D16" s="706">
        <v>0</v>
      </c>
      <c r="E16" s="705">
        <v>462</v>
      </c>
      <c r="F16" s="706">
        <v>20.25</v>
      </c>
      <c r="G16" s="705">
        <v>760</v>
      </c>
    </row>
    <row r="17" spans="1:7">
      <c r="A17" s="1324">
        <v>1989</v>
      </c>
      <c r="B17" s="797">
        <v>19.038</v>
      </c>
      <c r="C17" s="798">
        <v>296</v>
      </c>
      <c r="D17" s="797">
        <v>7.8460000000000001</v>
      </c>
      <c r="E17" s="798">
        <v>495</v>
      </c>
      <c r="F17" s="797">
        <v>38.064</v>
      </c>
      <c r="G17" s="798">
        <v>803</v>
      </c>
    </row>
    <row r="18" spans="1:7">
      <c r="A18" s="1324">
        <v>1990</v>
      </c>
      <c r="B18" s="706">
        <v>14.959</v>
      </c>
      <c r="C18" s="705">
        <v>314.11700000000002</v>
      </c>
      <c r="D18" s="706">
        <v>13.606</v>
      </c>
      <c r="E18" s="705">
        <v>564.69900000000007</v>
      </c>
      <c r="F18" s="706">
        <v>51.704000000000001</v>
      </c>
      <c r="G18" s="705">
        <v>882.57560000000012</v>
      </c>
    </row>
    <row r="19" spans="1:7">
      <c r="A19" s="1324">
        <v>1991</v>
      </c>
      <c r="B19" s="797">
        <v>11.792999999999999</v>
      </c>
      <c r="C19" s="798">
        <v>315.83949999999999</v>
      </c>
      <c r="D19" s="797">
        <v>10.698</v>
      </c>
      <c r="E19" s="798">
        <v>565.72300000000007</v>
      </c>
      <c r="F19" s="797">
        <v>112.015</v>
      </c>
      <c r="G19" s="798">
        <v>900.30520000000001</v>
      </c>
    </row>
    <row r="20" spans="1:7">
      <c r="A20" s="1324">
        <v>1992</v>
      </c>
      <c r="B20" s="706">
        <v>12.09362</v>
      </c>
      <c r="C20" s="705">
        <v>369.25614999999999</v>
      </c>
      <c r="D20" s="706">
        <v>20.963999999999999</v>
      </c>
      <c r="E20" s="705">
        <v>565.00263450000011</v>
      </c>
      <c r="F20" s="706">
        <v>141.38499999999999</v>
      </c>
      <c r="G20" s="705">
        <v>923.9254406</v>
      </c>
    </row>
    <row r="21" spans="1:7">
      <c r="A21" s="1324">
        <v>1993</v>
      </c>
      <c r="B21" s="797">
        <v>28.98</v>
      </c>
      <c r="C21" s="798">
        <v>392.97141999999997</v>
      </c>
      <c r="D21" s="797">
        <v>32.276000000000003</v>
      </c>
      <c r="E21" s="798">
        <v>508.07449600000001</v>
      </c>
      <c r="F21" s="797">
        <v>141.096</v>
      </c>
      <c r="G21" s="798">
        <v>880.42057299999999</v>
      </c>
    </row>
    <row r="22" spans="1:7">
      <c r="A22" s="1324">
        <v>1994</v>
      </c>
      <c r="B22" s="706">
        <v>35.109000000000002</v>
      </c>
      <c r="C22" s="705">
        <v>383.27244780000001</v>
      </c>
      <c r="D22" s="706">
        <v>20.286999999999999</v>
      </c>
      <c r="E22" s="705">
        <v>491.67572100000001</v>
      </c>
      <c r="F22" s="706">
        <v>123.621</v>
      </c>
      <c r="G22" s="705">
        <v>845.69662699999992</v>
      </c>
    </row>
    <row r="23" spans="1:7">
      <c r="A23" s="1324">
        <v>1995</v>
      </c>
      <c r="B23" s="797">
        <v>24.312000000000001</v>
      </c>
      <c r="C23" s="798">
        <v>326.44694399999997</v>
      </c>
      <c r="D23" s="797">
        <v>15.641999999999999</v>
      </c>
      <c r="E23" s="798">
        <v>449.36164880000001</v>
      </c>
      <c r="F23" s="797">
        <v>126.336</v>
      </c>
      <c r="G23" s="798">
        <v>817.34446200000002</v>
      </c>
    </row>
    <row r="24" spans="1:7">
      <c r="A24" s="1324">
        <v>1996</v>
      </c>
      <c r="B24" s="706">
        <v>23.071999999999999</v>
      </c>
      <c r="C24" s="705">
        <v>509.58433325999999</v>
      </c>
      <c r="D24" s="706">
        <v>17.080275999999998</v>
      </c>
      <c r="E24" s="705">
        <v>509.97193960000004</v>
      </c>
      <c r="F24" s="706">
        <v>106.85529852100001</v>
      </c>
      <c r="G24" s="705">
        <v>907.12170147899997</v>
      </c>
    </row>
    <row r="25" spans="1:7">
      <c r="A25" s="1324">
        <v>1997</v>
      </c>
      <c r="B25" s="797">
        <v>28.318000000000001</v>
      </c>
      <c r="C25" s="798">
        <v>520.75490000000002</v>
      </c>
      <c r="D25" s="797">
        <v>23.201461999999999</v>
      </c>
      <c r="E25" s="798">
        <v>506.69124799999997</v>
      </c>
      <c r="F25" s="797">
        <v>117.198171</v>
      </c>
      <c r="G25" s="798">
        <v>840.23782899999992</v>
      </c>
    </row>
    <row r="26" spans="1:7">
      <c r="A26" s="1324">
        <v>1998</v>
      </c>
      <c r="B26" s="706">
        <v>28.24</v>
      </c>
      <c r="C26" s="705">
        <v>589.6879899999999</v>
      </c>
      <c r="D26" s="706">
        <v>39.518000000000001</v>
      </c>
      <c r="E26" s="705">
        <v>580.16828559999999</v>
      </c>
      <c r="F26" s="706">
        <v>149.33000000000001</v>
      </c>
      <c r="G26" s="705">
        <v>870.02799999999991</v>
      </c>
    </row>
    <row r="27" spans="1:7">
      <c r="A27" s="1324">
        <v>1999</v>
      </c>
      <c r="B27" s="797">
        <v>26.228000000000002</v>
      </c>
      <c r="C27" s="798">
        <v>711.61930000000007</v>
      </c>
      <c r="D27" s="797">
        <v>55.280813999999999</v>
      </c>
      <c r="E27" s="798">
        <v>621.56818600000008</v>
      </c>
      <c r="F27" s="797">
        <v>222.53985500000002</v>
      </c>
      <c r="G27" s="798">
        <v>897.12634500000013</v>
      </c>
    </row>
    <row r="28" spans="1:7">
      <c r="A28" s="1324">
        <v>2000</v>
      </c>
      <c r="B28" s="706">
        <f>SUMIF('Base Metals - Q&amp;V'!H$7:H$507, A28,'Base Metals - Q&amp;V'!B$7:B$507)</f>
        <v>34.037999999999997</v>
      </c>
      <c r="C28" s="705">
        <v>804.81131599999992</v>
      </c>
      <c r="D28" s="706">
        <f>SUMIF('Base Metals - Q&amp;V'!H$7:H$507, A28,'Base Metals - Q&amp;V'!D$7:D$507)</f>
        <v>73.081000000000003</v>
      </c>
      <c r="E28" s="705">
        <v>626.2713</v>
      </c>
      <c r="F28" s="706">
        <f>SUMIF('Base Metals - Q&amp;V'!H$7:H$507, A28,'Base Metals - Q&amp;V'!F$7:F$507)</f>
        <v>257.71199999999999</v>
      </c>
      <c r="G28" s="705">
        <v>1121.9626999999998</v>
      </c>
    </row>
    <row r="29" spans="1:7">
      <c r="A29" s="1324">
        <v>2001</v>
      </c>
      <c r="B29" s="797">
        <f>SUMIF('Base Metals - Q&amp;V'!H$7:H$507, A29,'Base Metals - Q&amp;V'!B$7:B$507)</f>
        <v>50.237000000000002</v>
      </c>
      <c r="C29" s="798">
        <v>848.10496999999998</v>
      </c>
      <c r="D29" s="797">
        <f>SUMIF('Base Metals - Q&amp;V'!H$7:H$507, A29,'Base Metals - Q&amp;V'!D$7:D$507)</f>
        <v>91.38300000000001</v>
      </c>
      <c r="E29" s="798">
        <v>667.72134999999992</v>
      </c>
      <c r="F29" s="797">
        <f>SUMIF('Base Metals - Q&amp;V'!H$7:H$507, A29,'Base Metals - Q&amp;V'!F$7:F$507)</f>
        <v>210.83700000000002</v>
      </c>
      <c r="G29" s="798">
        <v>1265.751859</v>
      </c>
    </row>
    <row r="30" spans="1:7">
      <c r="A30" s="1324">
        <v>2002</v>
      </c>
      <c r="B30" s="706">
        <f>SUMIF('Base Metals - Q&amp;V'!H$7:H$507, A30,'Base Metals - Q&amp;V'!B$7:B$507)</f>
        <v>64.286999999999992</v>
      </c>
      <c r="C30" s="705">
        <v>807.99442999999997</v>
      </c>
      <c r="D30" s="706">
        <f>SUMIF('Base Metals - Q&amp;V'!H$7:H$507, A30,'Base Metals - Q&amp;V'!D$7:D$507)</f>
        <v>70.397000000000006</v>
      </c>
      <c r="E30" s="705">
        <v>623.45499999999993</v>
      </c>
      <c r="F30" s="706">
        <f>SUMIF('Base Metals - Q&amp;V'!H$7:H$507, A30,'Base Metals - Q&amp;V'!F$7:F$507)</f>
        <v>218.803</v>
      </c>
      <c r="G30" s="705">
        <v>1221.1280000000002</v>
      </c>
    </row>
    <row r="31" spans="1:7">
      <c r="A31" s="1324">
        <v>2003</v>
      </c>
      <c r="B31" s="797">
        <f>SUMIF('Base Metals - Q&amp;V'!H$7:H$507, A31,'Base Metals - Q&amp;V'!B$7:B$507)</f>
        <v>60.176090000000002</v>
      </c>
      <c r="C31" s="798">
        <v>770.21165999999994</v>
      </c>
      <c r="D31" s="797">
        <f>SUMIF('Base Metals - Q&amp;V'!H$7:H$507, A31,'Base Metals - Q&amp;V'!D$7:D$507)</f>
        <v>49.823</v>
      </c>
      <c r="E31" s="798">
        <v>637.91300000000001</v>
      </c>
      <c r="F31" s="797">
        <f>SUMIF('Base Metals - Q&amp;V'!H$7:H$507, A31,'Base Metals - Q&amp;V'!F$7:F$507)</f>
        <v>148.83994000000001</v>
      </c>
      <c r="G31" s="798">
        <v>1293.2950599999999</v>
      </c>
    </row>
    <row r="32" spans="1:7">
      <c r="A32" s="1324">
        <v>2004</v>
      </c>
      <c r="B32" s="706">
        <f>SUMIF('Base Metals - Q&amp;V'!H$7:H$507, A32,'Base Metals - Q&amp;V'!B$7:B$507)</f>
        <v>42.260094000000002</v>
      </c>
      <c r="C32" s="705">
        <v>833.115906</v>
      </c>
      <c r="D32" s="706">
        <f>SUMIF('Base Metals - Q&amp;V'!H$7:H$507, A32,'Base Metals - Q&amp;V'!D$7:D$507)</f>
        <v>1.1747399999999999</v>
      </c>
      <c r="E32" s="705">
        <v>672.41225999999995</v>
      </c>
      <c r="F32" s="706">
        <f>SUMIF('Base Metals - Q&amp;V'!H$7:H$507, A32,'Base Metals - Q&amp;V'!F$7:F$507)</f>
        <v>51.78387</v>
      </c>
      <c r="G32" s="705">
        <v>1245.47513</v>
      </c>
    </row>
    <row r="33" spans="1:11">
      <c r="A33" s="1324">
        <v>2005</v>
      </c>
      <c r="B33" s="797">
        <f>SUMIF('Base Metals - Q&amp;V'!H$7:H$507, A33,'Base Metals - Q&amp;V'!B$7:B$507)</f>
        <v>85.220481000000007</v>
      </c>
      <c r="C33" s="798">
        <v>842.99651900000003</v>
      </c>
      <c r="D33" s="797">
        <f>SUMIF('Base Metals - Q&amp;V'!H$7:H$507, A33,'Base Metals - Q&amp;V'!D$7:D$507)</f>
        <v>28.595314999999999</v>
      </c>
      <c r="E33" s="798">
        <v>737.619685</v>
      </c>
      <c r="F33" s="797">
        <f>SUMIF('Base Metals - Q&amp;V'!H$7:H$507, A33,'Base Metals - Q&amp;V'!F$7:F$507)</f>
        <v>59.104380000000006</v>
      </c>
      <c r="G33" s="798">
        <v>1269.63562</v>
      </c>
      <c r="I33" s="75"/>
      <c r="J33" s="75"/>
      <c r="K33" s="75"/>
    </row>
    <row r="34" spans="1:11">
      <c r="A34" s="1324">
        <v>2006</v>
      </c>
      <c r="B34" s="706">
        <f>SUMIF('Base Metals - Q&amp;V'!H$7:H$507, A34,'Base Metals - Q&amp;V'!B$7:B$507)</f>
        <v>99.242470999999995</v>
      </c>
      <c r="C34" s="705">
        <v>779.63111179999987</v>
      </c>
      <c r="D34" s="706">
        <f>SUMIF('Base Metals - Q&amp;V'!H$7:H$507, A34,'Base Metals - Q&amp;V'!D$7:D$507)</f>
        <v>70.95348899999999</v>
      </c>
      <c r="E34" s="705">
        <v>597.06951099999992</v>
      </c>
      <c r="F34" s="706">
        <f>SUMIF('Base Metals - Q&amp;V'!H$7:H$507, A34,'Base Metals - Q&amp;V'!F$7:F$507)</f>
        <v>109.06339100000001</v>
      </c>
      <c r="G34" s="705">
        <v>1217.611609</v>
      </c>
      <c r="I34" s="75"/>
      <c r="J34" s="75"/>
      <c r="K34" s="75"/>
    </row>
    <row r="35" spans="1:11">
      <c r="A35" s="1324">
        <v>2007</v>
      </c>
      <c r="B35" s="797">
        <f>SUMIF('Base Metals - Q&amp;V'!H$7:H$507, A35,'Base Metals - Q&amp;V'!B$7:B$507)</f>
        <v>105.40498599999999</v>
      </c>
      <c r="C35" s="798">
        <v>757.12953350999999</v>
      </c>
      <c r="D35" s="797">
        <f>SUMIF('Base Metals - Q&amp;V'!H$7:H$507, A35,'Base Metals - Q&amp;V'!D$7:D$507)</f>
        <v>37.091524999999997</v>
      </c>
      <c r="E35" s="798">
        <v>603.55647499999986</v>
      </c>
      <c r="F35" s="797">
        <f>SUMIF('Base Metals - Q&amp;V'!H$7:H$507, A35,'Base Metals - Q&amp;V'!F$7:F$507)</f>
        <v>173.33780000000002</v>
      </c>
      <c r="G35" s="798">
        <v>1307.9872</v>
      </c>
      <c r="I35" s="75"/>
      <c r="J35" s="75"/>
      <c r="K35" s="75"/>
    </row>
    <row r="36" spans="1:11">
      <c r="A36" s="1324">
        <v>2008</v>
      </c>
      <c r="B36" s="706">
        <f>SUMIF('Base Metals - Q&amp;V'!H$7:H$507, A36,'Base Metals - Q&amp;V'!B$7:B$507)</f>
        <v>119.055948</v>
      </c>
      <c r="C36" s="705">
        <v>759.88395200000014</v>
      </c>
      <c r="D36" s="706">
        <f>SUMIF('Base Metals - Q&amp;V'!H$7:H$507, A36,'Base Metals - Q&amp;V'!D$7:D$507)</f>
        <v>18.538827999999999</v>
      </c>
      <c r="E36" s="705">
        <v>631.2851720000001</v>
      </c>
      <c r="F36" s="706">
        <f>SUMIF('Base Metals - Q&amp;V'!H$7:H$507, A36,'Base Metals - Q&amp;V'!F$7:F$507)</f>
        <v>189.81195299999999</v>
      </c>
      <c r="G36" s="705">
        <v>1292.7660470000001</v>
      </c>
      <c r="I36" s="75"/>
      <c r="J36" s="75"/>
      <c r="K36" s="75"/>
    </row>
    <row r="37" spans="1:11">
      <c r="A37" s="1324">
        <v>2009</v>
      </c>
      <c r="B37" s="797">
        <f>SUMIF('Base Metals - Q&amp;V'!H$7:H$507, A37,'Base Metals - Q&amp;V'!B$7:B$507)</f>
        <v>151.49643399999999</v>
      </c>
      <c r="C37" s="798">
        <v>710</v>
      </c>
      <c r="D37" s="797">
        <f>SUMIF('Base Metals - Q&amp;V'!H$7:H$507, A37,'Base Metals - Q&amp;V'!D$7:D$507)</f>
        <v>22.755433000000004</v>
      </c>
      <c r="E37" s="798">
        <v>561</v>
      </c>
      <c r="F37" s="797">
        <f>SUMIF('Base Metals - Q&amp;V'!H$7:H$507, A37,'Base Metals - Q&amp;V'!F$7:F$507)</f>
        <v>99.811695999999984</v>
      </c>
      <c r="G37" s="798">
        <v>1166</v>
      </c>
      <c r="I37" s="75"/>
      <c r="J37" s="75"/>
      <c r="K37" s="75"/>
    </row>
    <row r="38" spans="1:11">
      <c r="A38" s="1324">
        <v>2010</v>
      </c>
      <c r="B38" s="706">
        <f>SUMIF('Base Metals - Q&amp;V'!H$7:H$507, A38,'Base Metals - Q&amp;V'!B$7:B$507)</f>
        <v>155.65068099999999</v>
      </c>
      <c r="C38" s="705">
        <v>703</v>
      </c>
      <c r="D38" s="706">
        <f>SUMIF('Base Metals - Q&amp;V'!H$7:H$507, A38,'Base Metals - Q&amp;V'!D$7:D$507)</f>
        <v>52.922928999999996</v>
      </c>
      <c r="E38" s="705">
        <v>616</v>
      </c>
      <c r="F38" s="706">
        <f>SUMIF('Base Metals - Q&amp;V'!H$7:H$507, A38,'Base Metals - Q&amp;V'!F$7:F$507)</f>
        <v>81.515219999999999</v>
      </c>
      <c r="G38" s="705">
        <v>1346</v>
      </c>
      <c r="I38" s="75"/>
      <c r="J38" s="75"/>
      <c r="K38" s="75"/>
    </row>
    <row r="39" spans="1:11">
      <c r="A39" s="1324">
        <v>2011</v>
      </c>
      <c r="B39" s="797">
        <f>SUMIF('Base Metals - Q&amp;V'!H$7:H$507, A39,'Base Metals - Q&amp;V'!B$7:B$507)</f>
        <v>144.95804783199998</v>
      </c>
      <c r="C39" s="798">
        <v>820</v>
      </c>
      <c r="D39" s="797">
        <f>SUMIF('Base Metals - Q&amp;V'!H$7:H$507, A39,'Base Metals - Q&amp;V'!D$7:D$507)</f>
        <v>8.3429219999999997</v>
      </c>
      <c r="E39" s="798">
        <v>604</v>
      </c>
      <c r="F39" s="797">
        <f>SUMIF('Base Metals - Q&amp;V'!H$7:H$507, A39,'Base Metals - Q&amp;V'!F$7:F$507)</f>
        <v>74.400736999999992</v>
      </c>
      <c r="G39" s="798">
        <v>1387</v>
      </c>
      <c r="I39" s="75"/>
      <c r="J39" s="75"/>
      <c r="K39" s="75"/>
    </row>
    <row r="40" spans="1:11">
      <c r="A40" s="1324">
        <v>2012</v>
      </c>
      <c r="B40" s="706">
        <f>SUMIF('Base Metals - Q&amp;V'!H$7:H$507, A40,'Base Metals - Q&amp;V'!B$7:B$507)</f>
        <v>185.75001993699999</v>
      </c>
      <c r="C40" s="799">
        <v>729</v>
      </c>
      <c r="D40" s="706">
        <f>SUMIF('Base Metals - Q&amp;V'!H$7:H$507, A40,'Base Metals - Q&amp;V'!D$7:D$507)</f>
        <v>8.135294</v>
      </c>
      <c r="E40" s="705">
        <v>613</v>
      </c>
      <c r="F40" s="706">
        <f>SUMIF('Base Metals - Q&amp;V'!H$7:H$507, A40,'Base Metals - Q&amp;V'!F$7:F$507)</f>
        <v>57.112677000000005</v>
      </c>
      <c r="G40" s="705">
        <v>1428</v>
      </c>
      <c r="I40" s="75"/>
      <c r="J40" s="75"/>
      <c r="K40" s="75"/>
    </row>
    <row r="41" spans="1:11">
      <c r="A41" s="1324">
        <v>2013</v>
      </c>
      <c r="B41" s="797">
        <f>SUMIF('Base Metals - Q&amp;V'!H$7:H$507, A41,'Base Metals - Q&amp;V'!B$7:B$507)</f>
        <v>216.05661499999999</v>
      </c>
      <c r="C41" s="798">
        <v>792</v>
      </c>
      <c r="D41" s="797">
        <f>SUMIF('Base Metals - Q&amp;V'!H$7:H$507, A41,'Base Metals - Q&amp;V'!D$7:D$507)</f>
        <v>52.261510000000001</v>
      </c>
      <c r="E41" s="798">
        <v>664</v>
      </c>
      <c r="F41" s="797">
        <f>SUMIF('Base Metals - Q&amp;V'!H$7:H$507, A41,'Base Metals - Q&amp;V'!F$7:F$507)</f>
        <v>47.985599999999998</v>
      </c>
      <c r="G41" s="798">
        <v>1419</v>
      </c>
      <c r="I41" s="75"/>
      <c r="J41" s="75"/>
      <c r="K41" s="75"/>
    </row>
    <row r="42" spans="1:11">
      <c r="A42" s="1324">
        <v>2014</v>
      </c>
      <c r="B42" s="706">
        <f>SUMIF('Base Metals - Q&amp;V'!H$7:H$507, A42,'Base Metals - Q&amp;V'!B$7:B$507)</f>
        <v>197.08071799999999</v>
      </c>
      <c r="C42" s="799">
        <v>787</v>
      </c>
      <c r="D42" s="706">
        <f>SUMIF('Base Metals - Q&amp;V'!H$7:H$507, A42,'Base Metals - Q&amp;V'!D$7:D$507)</f>
        <v>80.888499999999993</v>
      </c>
      <c r="E42" s="705">
        <v>642</v>
      </c>
      <c r="F42" s="706">
        <f>SUMIF('Base Metals - Q&amp;V'!H$7:H$507, A42,'Base Metals - Q&amp;V'!F$7:F$507)</f>
        <v>72.763530000000003</v>
      </c>
      <c r="G42" s="705">
        <v>1421</v>
      </c>
      <c r="I42" s="75"/>
      <c r="J42" s="75"/>
      <c r="K42" s="75"/>
    </row>
    <row r="43" spans="1:11">
      <c r="A43" s="1324">
        <v>2015</v>
      </c>
      <c r="B43" s="797">
        <f>SUMIF('Base Metals - Q&amp;V'!H$7:H$507, A43,'Base Metals - Q&amp;V'!B$7:B$507)</f>
        <v>189.20602099999999</v>
      </c>
      <c r="C43" s="798">
        <v>800</v>
      </c>
      <c r="D43" s="797">
        <f>SUMIF('Base Metals - Q&amp;V'!H$7:H$507, A43,'Base Metals - Q&amp;V'!D$7:D$507)</f>
        <v>20.259029999999999</v>
      </c>
      <c r="E43" s="798">
        <v>634</v>
      </c>
      <c r="F43" s="797">
        <f>SUMIF('Base Metals - Q&amp;V'!H$7:H$507, A43,'Base Metals - Q&amp;V'!F$7:F$507)</f>
        <v>77.178319999999999</v>
      </c>
      <c r="G43" s="798">
        <v>1508</v>
      </c>
      <c r="I43" s="75"/>
      <c r="J43" s="75"/>
      <c r="K43" s="75"/>
    </row>
    <row r="44" spans="1:11">
      <c r="A44" s="1324">
        <v>2016</v>
      </c>
      <c r="B44" s="800">
        <f>SUMIF('Base Metals - Q&amp;V'!H$7:H$507, A44,'Base Metals - Q&amp;V'!B$7:B$507)</f>
        <v>181.53603300000003</v>
      </c>
      <c r="C44" s="799">
        <v>769</v>
      </c>
      <c r="D44" s="800">
        <f>SUMIF('Base Metals - Q&amp;V'!H$7:H$507, A44,'Base Metals - Q&amp;V'!D$7:D$507)</f>
        <v>4.76091</v>
      </c>
      <c r="E44" s="799">
        <v>436</v>
      </c>
      <c r="F44" s="800">
        <f>SUMIF('Base Metals - Q&amp;V'!H$7:H$507, A44,'Base Metals - Q&amp;V'!F$7:F$507)</f>
        <v>94.963539999999995</v>
      </c>
      <c r="G44" s="799">
        <v>806</v>
      </c>
      <c r="I44" s="75"/>
      <c r="J44" s="75"/>
      <c r="K44" s="75"/>
    </row>
    <row r="45" spans="1:11">
      <c r="A45" s="1324">
        <v>2017</v>
      </c>
      <c r="B45" s="797">
        <f>SUMIF('Base Metals - Q&amp;V'!H$7:H$507, A45,'Base Metals - Q&amp;V'!B$7:B$507)</f>
        <v>165.70184799999998</v>
      </c>
      <c r="C45" s="798">
        <v>672</v>
      </c>
      <c r="D45" s="797">
        <f>SUMIF('Base Metals - Q&amp;V'!H$7:H$507, A45,'Base Metals - Q&amp;V'!D$7:D$507)</f>
        <v>5.9010800000000003</v>
      </c>
      <c r="E45" s="798">
        <v>387</v>
      </c>
      <c r="F45" s="797">
        <f>SUMIF('Base Metals - Q&amp;V'!H$7:H$507, A45,'Base Metals - Q&amp;V'!F$7:F$507)</f>
        <v>84.653807999999998</v>
      </c>
      <c r="G45" s="798">
        <v>767</v>
      </c>
    </row>
    <row r="46" spans="1:11">
      <c r="A46" s="1324">
        <v>2018</v>
      </c>
      <c r="B46" s="800">
        <f>SUMIF('Base Metals - Q&amp;V'!H$7:H$507, A46,'Base Metals - Q&amp;V'!B$7:B$507)</f>
        <v>168.58500300000003</v>
      </c>
      <c r="C46" s="799">
        <v>727.3</v>
      </c>
      <c r="D46" s="800">
        <f>SUMIF('Base Metals - Q&amp;V'!H$7:H$507, A46,'Base Metals - Q&amp;V'!D$7:D$507)</f>
        <v>6.0910000000000011</v>
      </c>
      <c r="E46" s="799">
        <v>438</v>
      </c>
      <c r="F46" s="800">
        <f>SUMIF('Base Metals - Q&amp;V'!H$7:H$507, A46,'Base Metals - Q&amp;V'!F$7:F$507)</f>
        <v>68.823993000000002</v>
      </c>
      <c r="G46" s="799">
        <v>1056</v>
      </c>
    </row>
    <row r="47" spans="1:11">
      <c r="A47" s="1324">
        <v>2019</v>
      </c>
      <c r="B47" s="797">
        <f>SUMIF('Base Metals - Q&amp;V'!H$7:H$507, A47,'Base Metals - Q&amp;V'!B$7:B$507)</f>
        <v>172.11437100000001</v>
      </c>
      <c r="C47" s="1602">
        <v>753.99</v>
      </c>
      <c r="D47" s="797">
        <f>SUMIF('Base Metals - Q&amp;V'!H$7:H$507, A47,'Base Metals - Q&amp;V'!D$7:D$507)</f>
        <v>2.9168000000000003</v>
      </c>
      <c r="E47" s="1602">
        <v>493.83</v>
      </c>
      <c r="F47" s="797">
        <f>SUMIF('Base Metals - Q&amp;V'!H$7:H$507, A47,'Base Metals - Q&amp;V'!F$7:F$507)</f>
        <v>77.819270000000003</v>
      </c>
      <c r="G47" s="1602">
        <v>1248.6500000000001</v>
      </c>
    </row>
    <row r="48" spans="1:11" ht="15.75" thickBot="1">
      <c r="A48" s="1325">
        <v>2020</v>
      </c>
      <c r="B48" s="972">
        <f>SUMIF('Base Metals - Q&amp;V'!H$7:H$507, A48,'Base Metals - Q&amp;V'!B$7:B$507)</f>
        <v>148.15150900000003</v>
      </c>
      <c r="C48" s="918">
        <v>724.46</v>
      </c>
      <c r="D48" s="972">
        <f>SUMIF('Base Metals - Q&amp;V'!H$7:H$507, A48,'Base Metals - Q&amp;V'!D$7:D$507)</f>
        <v>1.3745150000000002</v>
      </c>
      <c r="E48" s="918">
        <v>488.89</v>
      </c>
      <c r="F48" s="972">
        <f>SUMIF('Base Metals - Q&amp;V'!H$7:H$507, A48,'Base Metals - Q&amp;V'!F$7:F$507)</f>
        <v>66.272142000000002</v>
      </c>
      <c r="G48" s="918">
        <v>1232.1500000000001</v>
      </c>
    </row>
    <row r="49" spans="2:25">
      <c r="D49" s="448"/>
      <c r="E49" s="448"/>
      <c r="F49" s="448"/>
      <c r="G49" s="448"/>
    </row>
    <row r="50" spans="2:25">
      <c r="D50" s="448"/>
      <c r="E50" s="448"/>
      <c r="F50" s="566"/>
      <c r="G50" s="567"/>
    </row>
    <row r="51" spans="2:25">
      <c r="B51" s="563"/>
      <c r="D51" s="448"/>
      <c r="E51" s="565"/>
      <c r="F51" s="568"/>
      <c r="G51" s="567"/>
    </row>
    <row r="52" spans="2:25">
      <c r="B52" s="414"/>
      <c r="D52" s="448"/>
      <c r="E52" s="565"/>
      <c r="F52" s="568"/>
      <c r="G52" s="567"/>
    </row>
    <row r="53" spans="2:25">
      <c r="B53" s="414"/>
      <c r="D53" s="448"/>
      <c r="E53" s="565"/>
      <c r="F53" s="568"/>
      <c r="G53" s="567"/>
    </row>
    <row r="54" spans="2:25">
      <c r="B54" s="414"/>
      <c r="C54" s="450"/>
      <c r="D54" s="448"/>
      <c r="E54" s="565"/>
      <c r="F54" s="448"/>
      <c r="G54" s="567"/>
    </row>
    <row r="55" spans="2:25">
      <c r="C55" s="168"/>
      <c r="D55" s="448"/>
      <c r="E55" s="565"/>
      <c r="F55" s="448"/>
      <c r="G55" s="567"/>
      <c r="S55" s="1981" t="s">
        <v>707</v>
      </c>
      <c r="T55" s="1981"/>
      <c r="U55" s="1981"/>
      <c r="V55" s="1981"/>
      <c r="W55" s="1981"/>
      <c r="X55" s="1981"/>
      <c r="Y55" s="1981"/>
    </row>
    <row r="56" spans="2:25" ht="15.75" thickBot="1">
      <c r="C56" s="168"/>
      <c r="D56" s="448"/>
      <c r="E56" s="565"/>
      <c r="F56" s="448"/>
      <c r="G56" s="567"/>
      <c r="S56" s="1981" t="s">
        <v>710</v>
      </c>
      <c r="T56" s="1981"/>
      <c r="U56" s="1981"/>
      <c r="V56" s="1981"/>
      <c r="W56" s="1981"/>
      <c r="X56" s="1981"/>
      <c r="Y56" s="1981"/>
    </row>
    <row r="57" spans="2:25">
      <c r="C57" s="168"/>
      <c r="D57" s="448"/>
      <c r="E57" s="565"/>
      <c r="F57" s="448"/>
      <c r="G57" s="567"/>
      <c r="S57" s="576"/>
      <c r="T57" s="2007" t="s">
        <v>375</v>
      </c>
      <c r="U57" s="2008"/>
      <c r="V57" s="2008" t="s">
        <v>374</v>
      </c>
      <c r="W57" s="2008"/>
      <c r="X57" s="2008" t="s">
        <v>376</v>
      </c>
      <c r="Y57" s="2008"/>
    </row>
    <row r="58" spans="2:25">
      <c r="C58" s="168"/>
      <c r="D58" s="448"/>
      <c r="E58" s="565"/>
      <c r="F58" s="448"/>
      <c r="G58" s="567"/>
      <c r="S58" s="1468" t="s">
        <v>41</v>
      </c>
      <c r="T58" s="1467" t="str">
        <f t="shared" ref="T58:Y58" si="0">B7</f>
        <v>Western Australia (Kt)</v>
      </c>
      <c r="U58" s="1465" t="str">
        <f t="shared" si="0"/>
        <v>Rest of Australia (Kt)</v>
      </c>
      <c r="V58" s="1464" t="str">
        <f t="shared" si="0"/>
        <v>Western Australia (Kt)</v>
      </c>
      <c r="W58" s="1465" t="str">
        <f t="shared" si="0"/>
        <v>Rest of Australia (Kt)</v>
      </c>
      <c r="X58" s="1464" t="str">
        <f t="shared" si="0"/>
        <v>Western Australia (Kt)</v>
      </c>
      <c r="Y58" s="1465" t="str">
        <f t="shared" si="0"/>
        <v>Rest of Australia (Kt)</v>
      </c>
    </row>
    <row r="59" spans="2:25">
      <c r="C59" s="168"/>
      <c r="D59" s="448"/>
      <c r="E59" s="565"/>
      <c r="F59" s="448"/>
      <c r="G59" s="448"/>
      <c r="S59" s="1324">
        <f>LARGE(A$8:A$72,10)</f>
        <v>2011</v>
      </c>
      <c r="T59" s="800">
        <f t="shared" ref="T59:T68" si="1">SUMIF($A$8:$A$77,$S59,B$8:B$77)</f>
        <v>144.95804783199998</v>
      </c>
      <c r="U59" s="799">
        <f t="shared" ref="U59:U68" si="2">SUMIF($A$8:$A$77,$S59,C$8:C$77)</f>
        <v>820</v>
      </c>
      <c r="V59" s="800">
        <f t="shared" ref="V59:V68" si="3">SUMIF($A$8:$A$77,$S59,D$8:D$77)</f>
        <v>8.3429219999999997</v>
      </c>
      <c r="W59" s="799">
        <f t="shared" ref="W59:W68" si="4">SUMIF($A$8:$A$77,$S59,E$8:E$77)</f>
        <v>604</v>
      </c>
      <c r="X59" s="800">
        <f t="shared" ref="X59:X68" si="5">SUMIF($A$8:$A$77,$S59,F$8:F$77)</f>
        <v>74.400736999999992</v>
      </c>
      <c r="Y59" s="799">
        <f t="shared" ref="Y59:Y68" si="6">SUMIF($A$8:$A$77,$S59,G$8:G$77)</f>
        <v>1387</v>
      </c>
    </row>
    <row r="60" spans="2:25">
      <c r="C60" s="168"/>
      <c r="D60" s="448"/>
      <c r="E60" s="565"/>
      <c r="F60" s="448"/>
      <c r="G60" s="448"/>
      <c r="S60" s="1324">
        <f>LARGE(A$8:A$72,9)</f>
        <v>2012</v>
      </c>
      <c r="T60" s="797">
        <f t="shared" si="1"/>
        <v>185.75001993699999</v>
      </c>
      <c r="U60" s="798">
        <f t="shared" si="2"/>
        <v>729</v>
      </c>
      <c r="V60" s="797">
        <f t="shared" si="3"/>
        <v>8.135294</v>
      </c>
      <c r="W60" s="798">
        <f t="shared" si="4"/>
        <v>613</v>
      </c>
      <c r="X60" s="797">
        <f t="shared" si="5"/>
        <v>57.112677000000005</v>
      </c>
      <c r="Y60" s="798">
        <f t="shared" si="6"/>
        <v>1428</v>
      </c>
    </row>
    <row r="61" spans="2:25">
      <c r="C61" s="168"/>
      <c r="D61" s="448"/>
      <c r="E61" s="565"/>
      <c r="F61" s="448"/>
      <c r="G61" s="448"/>
      <c r="S61" s="1324">
        <f>LARGE(A$8:A$72,8)</f>
        <v>2013</v>
      </c>
      <c r="T61" s="800">
        <f t="shared" si="1"/>
        <v>216.05661499999999</v>
      </c>
      <c r="U61" s="799">
        <f t="shared" si="2"/>
        <v>792</v>
      </c>
      <c r="V61" s="800">
        <f t="shared" si="3"/>
        <v>52.261510000000001</v>
      </c>
      <c r="W61" s="799">
        <f t="shared" si="4"/>
        <v>664</v>
      </c>
      <c r="X61" s="800">
        <f t="shared" si="5"/>
        <v>47.985599999999998</v>
      </c>
      <c r="Y61" s="799">
        <f t="shared" si="6"/>
        <v>1419</v>
      </c>
    </row>
    <row r="62" spans="2:25">
      <c r="C62" s="168"/>
      <c r="D62" s="448"/>
      <c r="E62" s="565"/>
      <c r="F62" s="448"/>
      <c r="G62" s="448"/>
      <c r="S62" s="1324">
        <f>LARGE(A$8:A$72,7)</f>
        <v>2014</v>
      </c>
      <c r="T62" s="797">
        <f t="shared" si="1"/>
        <v>197.08071799999999</v>
      </c>
      <c r="U62" s="798">
        <f t="shared" si="2"/>
        <v>787</v>
      </c>
      <c r="V62" s="797">
        <f t="shared" si="3"/>
        <v>80.888499999999993</v>
      </c>
      <c r="W62" s="798">
        <f t="shared" si="4"/>
        <v>642</v>
      </c>
      <c r="X62" s="797">
        <f t="shared" si="5"/>
        <v>72.763530000000003</v>
      </c>
      <c r="Y62" s="798">
        <f t="shared" si="6"/>
        <v>1421</v>
      </c>
    </row>
    <row r="63" spans="2:25">
      <c r="C63" s="126"/>
      <c r="D63" s="448"/>
      <c r="E63" s="565"/>
      <c r="F63" s="448"/>
      <c r="G63" s="448"/>
      <c r="S63" s="1324">
        <f>LARGE(A$8:A$72,6)</f>
        <v>2015</v>
      </c>
      <c r="T63" s="800">
        <f t="shared" si="1"/>
        <v>189.20602099999999</v>
      </c>
      <c r="U63" s="799">
        <f t="shared" si="2"/>
        <v>800</v>
      </c>
      <c r="V63" s="800">
        <f t="shared" si="3"/>
        <v>20.259029999999999</v>
      </c>
      <c r="W63" s="799">
        <f t="shared" si="4"/>
        <v>634</v>
      </c>
      <c r="X63" s="800">
        <f t="shared" si="5"/>
        <v>77.178319999999999</v>
      </c>
      <c r="Y63" s="799">
        <f t="shared" si="6"/>
        <v>1508</v>
      </c>
    </row>
    <row r="64" spans="2:25">
      <c r="D64" s="448"/>
      <c r="E64" s="448"/>
      <c r="F64" s="448"/>
      <c r="G64" s="448"/>
      <c r="S64" s="1324">
        <f>LARGE(A$8:A$72,5)</f>
        <v>2016</v>
      </c>
      <c r="T64" s="797">
        <f t="shared" si="1"/>
        <v>181.53603300000003</v>
      </c>
      <c r="U64" s="798">
        <f t="shared" si="2"/>
        <v>769</v>
      </c>
      <c r="V64" s="797">
        <f t="shared" si="3"/>
        <v>4.76091</v>
      </c>
      <c r="W64" s="798">
        <f t="shared" si="4"/>
        <v>436</v>
      </c>
      <c r="X64" s="797">
        <f t="shared" si="5"/>
        <v>94.963539999999995</v>
      </c>
      <c r="Y64" s="798">
        <f t="shared" si="6"/>
        <v>806</v>
      </c>
    </row>
    <row r="65" spans="19:25">
      <c r="S65" s="1324">
        <f>LARGE(A$8:A$72,4)</f>
        <v>2017</v>
      </c>
      <c r="T65" s="800">
        <f t="shared" si="1"/>
        <v>165.70184799999998</v>
      </c>
      <c r="U65" s="799">
        <f t="shared" si="2"/>
        <v>672</v>
      </c>
      <c r="V65" s="800">
        <f t="shared" si="3"/>
        <v>5.9010800000000003</v>
      </c>
      <c r="W65" s="799">
        <f t="shared" si="4"/>
        <v>387</v>
      </c>
      <c r="X65" s="800">
        <f t="shared" si="5"/>
        <v>84.653807999999998</v>
      </c>
      <c r="Y65" s="799">
        <f t="shared" si="6"/>
        <v>767</v>
      </c>
    </row>
    <row r="66" spans="19:25">
      <c r="S66" s="1324">
        <f>LARGE(A$8:A$72,3)</f>
        <v>2018</v>
      </c>
      <c r="T66" s="797">
        <f t="shared" si="1"/>
        <v>168.58500300000003</v>
      </c>
      <c r="U66" s="798">
        <f t="shared" si="2"/>
        <v>727.3</v>
      </c>
      <c r="V66" s="797">
        <f t="shared" si="3"/>
        <v>6.0910000000000011</v>
      </c>
      <c r="W66" s="798">
        <f t="shared" si="4"/>
        <v>438</v>
      </c>
      <c r="X66" s="797">
        <f t="shared" si="5"/>
        <v>68.823993000000002</v>
      </c>
      <c r="Y66" s="798">
        <f t="shared" si="6"/>
        <v>1056</v>
      </c>
    </row>
    <row r="67" spans="19:25">
      <c r="S67" s="1324">
        <f>LARGE(A$8:A$72,2)</f>
        <v>2019</v>
      </c>
      <c r="T67" s="800">
        <f t="shared" si="1"/>
        <v>172.11437100000001</v>
      </c>
      <c r="U67" s="799">
        <f t="shared" si="2"/>
        <v>753.99</v>
      </c>
      <c r="V67" s="800">
        <f t="shared" si="3"/>
        <v>2.9168000000000003</v>
      </c>
      <c r="W67" s="799">
        <f t="shared" si="4"/>
        <v>493.83</v>
      </c>
      <c r="X67" s="800">
        <f t="shared" si="5"/>
        <v>77.819270000000003</v>
      </c>
      <c r="Y67" s="799">
        <f t="shared" si="6"/>
        <v>1248.6500000000001</v>
      </c>
    </row>
    <row r="68" spans="19:25" ht="15.75" thickBot="1">
      <c r="S68" s="1325">
        <f>LARGE(A$8:A$72,1)</f>
        <v>2020</v>
      </c>
      <c r="T68" s="801">
        <f t="shared" si="1"/>
        <v>148.15150900000003</v>
      </c>
      <c r="U68" s="802">
        <f t="shared" si="2"/>
        <v>724.46</v>
      </c>
      <c r="V68" s="801">
        <f t="shared" si="3"/>
        <v>1.3745150000000002</v>
      </c>
      <c r="W68" s="802">
        <f t="shared" si="4"/>
        <v>488.89</v>
      </c>
      <c r="X68" s="801">
        <f t="shared" si="5"/>
        <v>66.272142000000002</v>
      </c>
      <c r="Y68" s="802">
        <f t="shared" si="6"/>
        <v>1232.1500000000001</v>
      </c>
    </row>
  </sheetData>
  <mergeCells count="9">
    <mergeCell ref="S56:Y56"/>
    <mergeCell ref="T57:U57"/>
    <mergeCell ref="V57:W57"/>
    <mergeCell ref="X57:Y57"/>
    <mergeCell ref="A5:G5"/>
    <mergeCell ref="F6:G6"/>
    <mergeCell ref="D6:E6"/>
    <mergeCell ref="B6:C6"/>
    <mergeCell ref="S55:Y55"/>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V250"/>
  <sheetViews>
    <sheetView showGridLines="0" workbookViewId="0"/>
  </sheetViews>
  <sheetFormatPr defaultRowHeight="15"/>
  <cols>
    <col min="1" max="1" width="7.85546875" style="16" bestFit="1" customWidth="1"/>
    <col min="2" max="2" width="16.85546875" style="16" bestFit="1" customWidth="1"/>
    <col min="3" max="3" width="16" style="16" bestFit="1" customWidth="1"/>
    <col min="4" max="5" width="11.5703125" style="25" hidden="1" customWidth="1"/>
    <col min="6" max="6" width="18.85546875" style="16" bestFit="1" customWidth="1"/>
    <col min="7" max="12" width="9.140625" style="16"/>
    <col min="13" max="13" width="10.85546875" style="16" customWidth="1"/>
    <col min="14" max="16" width="0" style="16" hidden="1" customWidth="1"/>
    <col min="17" max="17" width="9.7109375" style="16" bestFit="1" customWidth="1"/>
    <col min="18" max="18" width="16.85546875" style="16" bestFit="1" customWidth="1"/>
    <col min="19" max="19" width="16" style="16" bestFit="1" customWidth="1"/>
    <col min="20" max="16384" width="9.140625" style="16"/>
  </cols>
  <sheetData>
    <row r="1" spans="1:19">
      <c r="A1" s="118" t="s">
        <v>369</v>
      </c>
    </row>
    <row r="2" spans="1:19">
      <c r="A2" s="118" t="s">
        <v>382</v>
      </c>
    </row>
    <row r="4" spans="1:19" ht="18" customHeight="1"/>
    <row r="5" spans="1:19">
      <c r="A5" s="1992" t="s">
        <v>1</v>
      </c>
      <c r="B5" s="1992"/>
      <c r="C5" s="1992"/>
      <c r="D5" s="100"/>
      <c r="E5" s="100"/>
    </row>
    <row r="6" spans="1:19" ht="15.75" thickBot="1">
      <c r="A6" s="2009" t="s">
        <v>744</v>
      </c>
      <c r="B6" s="2009"/>
      <c r="C6" s="2009"/>
      <c r="D6" s="101"/>
      <c r="E6" s="101"/>
    </row>
    <row r="7" spans="1:19">
      <c r="A7" s="1451" t="s">
        <v>6</v>
      </c>
      <c r="B7" s="1457" t="s">
        <v>352</v>
      </c>
      <c r="C7" s="1458" t="s">
        <v>635</v>
      </c>
      <c r="D7" s="94"/>
      <c r="E7" s="94"/>
      <c r="Q7" s="1981" t="s">
        <v>748</v>
      </c>
      <c r="R7" s="1981"/>
      <c r="S7" s="1981"/>
    </row>
    <row r="8" spans="1:19" ht="15.75" thickBot="1">
      <c r="A8" s="606">
        <v>36220</v>
      </c>
      <c r="B8" s="706">
        <v>52.66</v>
      </c>
      <c r="C8" s="705">
        <v>766.21</v>
      </c>
      <c r="D8" s="97">
        <f>YEAR(A8)</f>
        <v>1999</v>
      </c>
      <c r="E8" s="97" t="str">
        <f>IF(MONTH(A8)=3,"1",IF(MONTH(A8)=6,"2",IF(MONTH(A8)=9,"3","4")))</f>
        <v>1</v>
      </c>
      <c r="Q8" s="1993" t="s">
        <v>43</v>
      </c>
      <c r="R8" s="1993"/>
      <c r="S8" s="1993"/>
    </row>
    <row r="9" spans="1:19">
      <c r="A9" s="606">
        <v>36312</v>
      </c>
      <c r="B9" s="804">
        <v>52.39</v>
      </c>
      <c r="C9" s="805">
        <v>704.47</v>
      </c>
      <c r="D9" s="97">
        <f t="shared" ref="D9:D71" si="0">YEAR(A9)</f>
        <v>1999</v>
      </c>
      <c r="E9" s="97" t="str">
        <f t="shared" ref="E9:E72" si="1">IF(MONTH(A9)=3,"1",IF(MONTH(A9)=6,"2",IF(MONTH(A9)=9,"3","4")))</f>
        <v>2</v>
      </c>
      <c r="Q9" s="1462" t="s">
        <v>6</v>
      </c>
      <c r="R9" s="1455" t="s">
        <v>352</v>
      </c>
      <c r="S9" s="1463" t="s">
        <v>635</v>
      </c>
    </row>
    <row r="10" spans="1:19">
      <c r="A10" s="606">
        <v>36404</v>
      </c>
      <c r="B10" s="706">
        <v>53.69</v>
      </c>
      <c r="C10" s="705">
        <v>687.61</v>
      </c>
      <c r="D10" s="97">
        <f t="shared" si="0"/>
        <v>1999</v>
      </c>
      <c r="E10" s="97" t="str">
        <f t="shared" si="1"/>
        <v>3</v>
      </c>
      <c r="Q10" s="606">
        <f>LARGE(A$8:A$750,10)</f>
        <v>43525</v>
      </c>
      <c r="R10" s="740">
        <f t="shared" ref="R10:R19" si="2">SUMIF($A$8:$A$738,$Q10,B$8:B$750)</f>
        <v>52.108678162528349</v>
      </c>
      <c r="S10" s="811">
        <f t="shared" ref="S10:S19" si="3">SUMIF($A$8:$A$738,$Q10,C$8:C$750)</f>
        <v>3065.5776959999998</v>
      </c>
    </row>
    <row r="11" spans="1:19">
      <c r="A11" s="606">
        <v>36495</v>
      </c>
      <c r="B11" s="804">
        <v>52.96</v>
      </c>
      <c r="C11" s="805">
        <v>783.77</v>
      </c>
      <c r="D11" s="97">
        <f t="shared" si="0"/>
        <v>1999</v>
      </c>
      <c r="E11" s="97" t="str">
        <f t="shared" si="1"/>
        <v>4</v>
      </c>
      <c r="Q11" s="606">
        <f>LARGE(A$8:A$750,9)</f>
        <v>43617</v>
      </c>
      <c r="R11" s="809">
        <f t="shared" si="2"/>
        <v>51.899823580824034</v>
      </c>
      <c r="S11" s="810">
        <f t="shared" si="3"/>
        <v>3124.5002690000001</v>
      </c>
    </row>
    <row r="12" spans="1:19">
      <c r="A12" s="606">
        <v>36586</v>
      </c>
      <c r="B12" s="706">
        <v>48.48</v>
      </c>
      <c r="C12" s="705">
        <v>718.08</v>
      </c>
      <c r="D12" s="97">
        <f t="shared" si="0"/>
        <v>2000</v>
      </c>
      <c r="E12" s="97" t="str">
        <f t="shared" si="1"/>
        <v>1</v>
      </c>
      <c r="Q12" s="606">
        <f>LARGE(A$8:A$750,8)</f>
        <v>43709</v>
      </c>
      <c r="R12" s="740">
        <f t="shared" si="2"/>
        <v>52.210174276143292</v>
      </c>
      <c r="S12" s="811">
        <f t="shared" si="3"/>
        <v>3600.7712550000001</v>
      </c>
    </row>
    <row r="13" spans="1:19">
      <c r="A13" s="606">
        <v>36678</v>
      </c>
      <c r="B13" s="804">
        <v>50.11</v>
      </c>
      <c r="C13" s="805">
        <v>765.84</v>
      </c>
      <c r="D13" s="97">
        <f t="shared" si="0"/>
        <v>2000</v>
      </c>
      <c r="E13" s="97" t="str">
        <f t="shared" si="1"/>
        <v>2</v>
      </c>
      <c r="Q13" s="606">
        <f>LARGE(A$8:A$750,7)</f>
        <v>43800</v>
      </c>
      <c r="R13" s="809">
        <f t="shared" si="2"/>
        <v>57.674996376439715</v>
      </c>
      <c r="S13" s="810">
        <f t="shared" si="3"/>
        <v>4017.6244700000002</v>
      </c>
    </row>
    <row r="14" spans="1:19">
      <c r="A14" s="606">
        <v>36770</v>
      </c>
      <c r="B14" s="706">
        <v>52.18</v>
      </c>
      <c r="C14" s="705">
        <v>807.56</v>
      </c>
      <c r="D14" s="97">
        <f t="shared" si="0"/>
        <v>2000</v>
      </c>
      <c r="E14" s="97" t="str">
        <f t="shared" si="1"/>
        <v>3</v>
      </c>
      <c r="Q14" s="606">
        <f>LARGE(A$8:A$750,6)</f>
        <v>43891</v>
      </c>
      <c r="R14" s="740">
        <f t="shared" si="2"/>
        <v>51.529829988149572</v>
      </c>
      <c r="S14" s="811">
        <f t="shared" si="3"/>
        <v>4004.6996949999998</v>
      </c>
    </row>
    <row r="15" spans="1:19">
      <c r="A15" s="606">
        <v>36861</v>
      </c>
      <c r="B15" s="804">
        <v>48.85</v>
      </c>
      <c r="C15" s="805">
        <v>795.8</v>
      </c>
      <c r="D15" s="97">
        <f t="shared" si="0"/>
        <v>2000</v>
      </c>
      <c r="E15" s="97" t="str">
        <f t="shared" si="1"/>
        <v>4</v>
      </c>
      <c r="Q15" s="606">
        <f>LARGE(A$8:A$750,5)</f>
        <v>43983</v>
      </c>
      <c r="R15" s="809">
        <f t="shared" si="2"/>
        <v>50.727258100134669</v>
      </c>
      <c r="S15" s="810">
        <f t="shared" si="3"/>
        <v>4249.0551359999999</v>
      </c>
    </row>
    <row r="16" spans="1:19">
      <c r="A16" s="606">
        <v>36951</v>
      </c>
      <c r="B16" s="706">
        <v>48.6</v>
      </c>
      <c r="C16" s="705">
        <v>775.97</v>
      </c>
      <c r="D16" s="97">
        <f t="shared" si="0"/>
        <v>2001</v>
      </c>
      <c r="E16" s="97" t="str">
        <f t="shared" si="1"/>
        <v>1</v>
      </c>
      <c r="Q16" s="606">
        <f>LARGE(A$8:A$750,4)</f>
        <v>44075</v>
      </c>
      <c r="R16" s="740">
        <f t="shared" si="2"/>
        <v>52.726174857779156</v>
      </c>
      <c r="S16" s="811">
        <f t="shared" si="3"/>
        <v>4519.2405829999998</v>
      </c>
    </row>
    <row r="17" spans="1:19">
      <c r="A17" s="606">
        <v>37043</v>
      </c>
      <c r="B17" s="804">
        <v>51.58</v>
      </c>
      <c r="C17" s="805">
        <v>865.74</v>
      </c>
      <c r="D17" s="97">
        <f t="shared" si="0"/>
        <v>2001</v>
      </c>
      <c r="E17" s="97" t="str">
        <f t="shared" si="1"/>
        <v>2</v>
      </c>
      <c r="Q17" s="606">
        <f>LARGE(A$8:A$750,3)</f>
        <v>44166</v>
      </c>
      <c r="R17" s="809">
        <f t="shared" si="2"/>
        <v>54.593408075096335</v>
      </c>
      <c r="S17" s="810">
        <f t="shared" si="3"/>
        <v>4496.7462869999999</v>
      </c>
    </row>
    <row r="18" spans="1:19">
      <c r="A18" s="606">
        <v>37135</v>
      </c>
      <c r="B18" s="706">
        <v>47.03</v>
      </c>
      <c r="C18" s="705">
        <v>807.87</v>
      </c>
      <c r="D18" s="97">
        <f t="shared" si="0"/>
        <v>2001</v>
      </c>
      <c r="E18" s="97" t="str">
        <f t="shared" si="1"/>
        <v>3</v>
      </c>
      <c r="Q18" s="606">
        <f>LARGE(A$8:A$750,2)</f>
        <v>44256</v>
      </c>
      <c r="R18" s="740">
        <f t="shared" si="2"/>
        <v>48.969916984700198</v>
      </c>
      <c r="S18" s="811">
        <f t="shared" si="3"/>
        <v>3668.9775679999998</v>
      </c>
    </row>
    <row r="19" spans="1:19" ht="15.75" thickBot="1">
      <c r="A19" s="606">
        <v>37226</v>
      </c>
      <c r="B19" s="804">
        <v>44.99</v>
      </c>
      <c r="C19" s="805">
        <v>786.62</v>
      </c>
      <c r="D19" s="97">
        <f t="shared" si="0"/>
        <v>2001</v>
      </c>
      <c r="E19" s="97" t="str">
        <f t="shared" si="1"/>
        <v>4</v>
      </c>
      <c r="Q19" s="607">
        <f>LARGE(A$8:A$750,1)</f>
        <v>44348</v>
      </c>
      <c r="R19" s="812">
        <f t="shared" si="2"/>
        <v>51.27744372595307</v>
      </c>
      <c r="S19" s="813">
        <f t="shared" si="3"/>
        <v>3888.7962738919</v>
      </c>
    </row>
    <row r="20" spans="1:19">
      <c r="A20" s="606">
        <v>37316</v>
      </c>
      <c r="B20" s="706">
        <v>44.81</v>
      </c>
      <c r="C20" s="705">
        <v>806.7</v>
      </c>
      <c r="D20" s="97">
        <f t="shared" si="0"/>
        <v>2002</v>
      </c>
      <c r="E20" s="97" t="str">
        <f t="shared" si="1"/>
        <v>1</v>
      </c>
      <c r="Q20" s="2"/>
    </row>
    <row r="21" spans="1:19">
      <c r="A21" s="606">
        <v>37408</v>
      </c>
      <c r="B21" s="804">
        <v>48.16</v>
      </c>
      <c r="C21" s="805">
        <v>878.31</v>
      </c>
      <c r="D21" s="97">
        <f t="shared" si="0"/>
        <v>2002</v>
      </c>
      <c r="E21" s="97" t="str">
        <f t="shared" si="1"/>
        <v>2</v>
      </c>
      <c r="Q21" s="2"/>
    </row>
    <row r="22" spans="1:19">
      <c r="A22" s="606">
        <v>37500</v>
      </c>
      <c r="B22" s="706">
        <v>47.52</v>
      </c>
      <c r="C22" s="705">
        <v>876.44</v>
      </c>
      <c r="D22" s="97">
        <f t="shared" si="0"/>
        <v>2002</v>
      </c>
      <c r="E22" s="97" t="str">
        <f t="shared" si="1"/>
        <v>3</v>
      </c>
      <c r="Q22" s="2"/>
    </row>
    <row r="23" spans="1:19">
      <c r="A23" s="606">
        <v>37591</v>
      </c>
      <c r="B23" s="804">
        <v>48.26</v>
      </c>
      <c r="C23" s="805">
        <v>895.78</v>
      </c>
      <c r="D23" s="97">
        <f t="shared" si="0"/>
        <v>2002</v>
      </c>
      <c r="E23" s="97" t="str">
        <f t="shared" si="1"/>
        <v>4</v>
      </c>
      <c r="Q23" s="2"/>
    </row>
    <row r="24" spans="1:19">
      <c r="A24" s="606">
        <v>37681</v>
      </c>
      <c r="B24" s="706">
        <v>44.92</v>
      </c>
      <c r="C24" s="705">
        <v>857.53</v>
      </c>
      <c r="D24" s="97">
        <f t="shared" si="0"/>
        <v>2003</v>
      </c>
      <c r="E24" s="97" t="str">
        <f t="shared" si="1"/>
        <v>1</v>
      </c>
      <c r="Q24" s="2"/>
    </row>
    <row r="25" spans="1:19">
      <c r="A25" s="606">
        <v>37773</v>
      </c>
      <c r="B25" s="804">
        <v>46.67</v>
      </c>
      <c r="C25" s="805">
        <v>812.36</v>
      </c>
      <c r="D25" s="97">
        <f t="shared" si="0"/>
        <v>2003</v>
      </c>
      <c r="E25" s="97" t="str">
        <f t="shared" si="1"/>
        <v>2</v>
      </c>
      <c r="Q25" s="2"/>
      <c r="R25" s="535"/>
    </row>
    <row r="26" spans="1:19">
      <c r="A26" s="606">
        <v>37865</v>
      </c>
      <c r="B26" s="706">
        <v>46.62</v>
      </c>
      <c r="C26" s="705">
        <v>826.7</v>
      </c>
      <c r="D26" s="97">
        <f t="shared" si="0"/>
        <v>2003</v>
      </c>
      <c r="E26" s="97" t="str">
        <f t="shared" si="1"/>
        <v>3</v>
      </c>
      <c r="Q26" s="2"/>
    </row>
    <row r="27" spans="1:19">
      <c r="A27" s="606">
        <v>37956</v>
      </c>
      <c r="B27" s="804">
        <v>49.38</v>
      </c>
      <c r="C27" s="805">
        <v>869.49</v>
      </c>
      <c r="D27" s="97">
        <f t="shared" si="0"/>
        <v>2003</v>
      </c>
      <c r="E27" s="97" t="str">
        <f t="shared" si="1"/>
        <v>4</v>
      </c>
    </row>
    <row r="28" spans="1:19">
      <c r="A28" s="606">
        <v>38047</v>
      </c>
      <c r="B28" s="706">
        <v>41.69</v>
      </c>
      <c r="C28" s="705">
        <v>716.23</v>
      </c>
      <c r="D28" s="97">
        <f t="shared" si="0"/>
        <v>2004</v>
      </c>
      <c r="E28" s="97" t="str">
        <f t="shared" si="1"/>
        <v>1</v>
      </c>
    </row>
    <row r="29" spans="1:19">
      <c r="A29" s="606">
        <v>38139</v>
      </c>
      <c r="B29" s="804">
        <v>39.04</v>
      </c>
      <c r="C29" s="805">
        <v>691.75</v>
      </c>
      <c r="D29" s="97">
        <f t="shared" si="0"/>
        <v>2004</v>
      </c>
      <c r="E29" s="97" t="str">
        <f t="shared" si="1"/>
        <v>2</v>
      </c>
    </row>
    <row r="30" spans="1:19">
      <c r="A30" s="606">
        <v>38231</v>
      </c>
      <c r="B30" s="706">
        <v>42.1</v>
      </c>
      <c r="C30" s="705">
        <v>766.16</v>
      </c>
      <c r="D30" s="97">
        <f t="shared" si="0"/>
        <v>2004</v>
      </c>
      <c r="E30" s="97" t="str">
        <f t="shared" si="1"/>
        <v>3</v>
      </c>
    </row>
    <row r="31" spans="1:19">
      <c r="A31" s="606">
        <v>38322</v>
      </c>
      <c r="B31" s="804">
        <v>41.05</v>
      </c>
      <c r="C31" s="805">
        <v>757.24</v>
      </c>
      <c r="D31" s="97">
        <f t="shared" si="0"/>
        <v>2004</v>
      </c>
      <c r="E31" s="97" t="str">
        <f t="shared" si="1"/>
        <v>4</v>
      </c>
    </row>
    <row r="32" spans="1:19" ht="15.75" thickBot="1">
      <c r="A32" s="606">
        <v>38412</v>
      </c>
      <c r="B32" s="706">
        <v>42.723574069999998</v>
      </c>
      <c r="C32" s="705">
        <v>755.68726600000002</v>
      </c>
      <c r="D32" s="97">
        <f t="shared" si="0"/>
        <v>2005</v>
      </c>
      <c r="E32" s="97" t="str">
        <f t="shared" si="1"/>
        <v>1</v>
      </c>
    </row>
    <row r="33" spans="1:22" ht="15.75" thickBot="1">
      <c r="A33" s="606">
        <v>38504</v>
      </c>
      <c r="B33" s="804">
        <v>40.713485339999998</v>
      </c>
      <c r="C33" s="805">
        <v>727.41294900000003</v>
      </c>
      <c r="D33" s="97">
        <f t="shared" si="0"/>
        <v>2005</v>
      </c>
      <c r="E33" s="97" t="str">
        <f t="shared" si="1"/>
        <v>2</v>
      </c>
      <c r="Q33" s="315" t="s">
        <v>383</v>
      </c>
      <c r="R33" s="2011" t="s">
        <v>382</v>
      </c>
      <c r="S33" s="2012"/>
    </row>
    <row r="34" spans="1:22" ht="15.75" thickBot="1">
      <c r="A34" s="606">
        <v>38596</v>
      </c>
      <c r="B34" s="706">
        <v>40.118740899999999</v>
      </c>
      <c r="C34" s="705">
        <v>744.97775000000001</v>
      </c>
      <c r="D34" s="97">
        <f t="shared" si="0"/>
        <v>2005</v>
      </c>
      <c r="E34" s="97" t="str">
        <f t="shared" si="1"/>
        <v>3</v>
      </c>
      <c r="Q34" s="1975" t="str">
        <f>CONCATENATE(A5," Quantity And Value ")</f>
        <v xml:space="preserve">Gold Quantity And Value </v>
      </c>
      <c r="R34" s="1976"/>
      <c r="S34" s="1977"/>
    </row>
    <row r="35" spans="1:22">
      <c r="A35" s="606">
        <v>38687</v>
      </c>
      <c r="B35" s="804">
        <v>43.729523180000001</v>
      </c>
      <c r="C35" s="805">
        <v>916.05683299999998</v>
      </c>
      <c r="D35" s="97">
        <f t="shared" si="0"/>
        <v>2005</v>
      </c>
      <c r="E35" s="97" t="str">
        <f t="shared" si="1"/>
        <v>4</v>
      </c>
      <c r="Q35" s="1459" t="s">
        <v>41</v>
      </c>
      <c r="R35" s="1460" t="str">
        <f>B7</f>
        <v>Quantity (t)</v>
      </c>
      <c r="S35" s="1461" t="str">
        <f>C7</f>
        <v>Value ($ Million)</v>
      </c>
    </row>
    <row r="36" spans="1:22">
      <c r="A36" s="606">
        <v>38777</v>
      </c>
      <c r="B36" s="706">
        <v>39.623353799999997</v>
      </c>
      <c r="C36" s="705">
        <v>954.76192300000002</v>
      </c>
      <c r="D36" s="97">
        <f t="shared" si="0"/>
        <v>2006</v>
      </c>
      <c r="E36" s="97" t="str">
        <f t="shared" si="1"/>
        <v>1</v>
      </c>
      <c r="Q36" s="1326" t="str">
        <f>IF($R$33="Calendar Year",YEAR(MIN($A$8:$A$200)),CONCATENATE(YEAR(MIN($A$8:$A$200)),"-",((YEAR(MIN($A$8:$A$200))+1))))</f>
        <v>1999-2000</v>
      </c>
      <c r="R36" s="818">
        <f>IF($R$33="Calendar Year",SUMIF($D$8:$D$200,$Q36,$B$8:$B$200),SUMIFS($B$8:$B$200,$D$8:$D$200,LEFT($Q36,4),$E$8:$E$200,3)+SUMIFS($B$8:$B$200,$D$8:$D$200,LEFT($Q36,4),$E$8:$E$200,4)+SUMIFS($B$8:$B$200,$D$8:$D$200,LEFT($Q36,4)+1,$E$8:$E$200,1)+SUMIFS($B$8:$B$200,$D$8:$D$200,LEFT($Q36,4)+1,$E$8:$E$200,2))</f>
        <v>205.24</v>
      </c>
      <c r="S36" s="819">
        <f>IF($R$33="Calendar Year",SUMIF($D$8:$D$200,$Q36,$C$8:$C$200),SUMIFS($C$8:$C$200,$D$8:$D$200,LEFT($Q36,4),$E$8:$E$200,3)+SUMIFS($C$8:$C$200,$D$8:$D$200,LEFT($Q36,4),$E$8:$E$200,4)+SUMIFS($C$8:$C$200,$D$8:$D$200,LEFT($Q36,4)+1,$E$8:$E$200,1)+SUMIFS($C$8:$C$200,$D$8:$D$200,LEFT($Q36,4)+1,$E$8:$E$200,2))</f>
        <v>2955.3</v>
      </c>
    </row>
    <row r="37" spans="1:22">
      <c r="A37" s="606">
        <v>38869</v>
      </c>
      <c r="B37" s="804">
        <v>39.868646779999999</v>
      </c>
      <c r="C37" s="805">
        <v>1080.5398190000001</v>
      </c>
      <c r="D37" s="97">
        <f t="shared" si="0"/>
        <v>2006</v>
      </c>
      <c r="E37" s="97" t="str">
        <f t="shared" si="1"/>
        <v>2</v>
      </c>
      <c r="Q37" s="1326" t="str">
        <f>IFERROR(IF(YEAR(MAX('Commodity Prices'!$C$9:$C4984))=VALUE(RIGHT(Q36,4)),"",IF($R$33="Calendar Year",Q36+1,CONCATENATE(LEFT(Q36,4)+1,"-",RIGHT(Q36,4)+1))),"")</f>
        <v>2000-2001</v>
      </c>
      <c r="R37" s="816">
        <f>IF(Q37="","",IF($R$33="Calendar Year",SUMIF($D$8:$D$200,$Q37,$B$8:$B$200),SUMIFS($B$8:$B$200,$D$8:$D$200,LEFT($Q37,4),$E$8:$E$200,3)+SUMIFS($B$8:$B$200,$D$8:$D$200,LEFT($Q37,4),$E$8:$E$200,4)+SUMIFS($B$8:$B$200,$D$8:$D$200,LEFT($Q37,4)+1,$E$8:$E$200,1)+SUMIFS($B$8:$B$200,$D$8:$D$200,LEFT($Q37,4)+1,$E$8:$E$200,2)))</f>
        <v>201.20999999999998</v>
      </c>
      <c r="S37" s="817">
        <f t="shared" ref="S37:S52" si="4">IF(Q37="","",IF($R$33="Calendar Year",SUMIF($D$8:$D$200,$Q37,$C$8:$C$200),SUMIFS($C$8:$C$200,$D$8:$D$200,LEFT($Q37,4),$E$8:$E$200,3)+SUMIFS($C$8:$C$200,$D$8:$D$200,LEFT($Q37,4),$E$8:$E$200,4)+SUMIFS($C$8:$C$200,$D$8:$D$200,LEFT($Q37,4)+1,$E$8:$E$200,1)+SUMIFS($C$8:$C$200,$D$8:$D$200,LEFT($Q37,4)+1,$E$8:$E$200,2)))</f>
        <v>3245.0699999999997</v>
      </c>
    </row>
    <row r="38" spans="1:22">
      <c r="A38" s="606">
        <v>38961</v>
      </c>
      <c r="B38" s="706">
        <v>39.836891979999997</v>
      </c>
      <c r="C38" s="705">
        <v>1053.8355959999999</v>
      </c>
      <c r="D38" s="97">
        <f t="shared" si="0"/>
        <v>2006</v>
      </c>
      <c r="E38" s="97" t="str">
        <f t="shared" si="1"/>
        <v>3</v>
      </c>
      <c r="Q38" s="1326" t="str">
        <f>IFERROR(IF(YEAR(MAX('Commodity Prices'!$C$9:$C4985))=VALUE(RIGHT(Q37,4)),"",IF($R$33="Calendar Year",Q37+1,CONCATENATE(LEFT(Q37,4)+1,"-",RIGHT(Q37,4)+1))),"")</f>
        <v>2001-2002</v>
      </c>
      <c r="R38" s="818">
        <f t="shared" ref="R38:R61" si="5">IF(Q38="","",IF($R$33="Calendar Year",SUMIF($D$8:$D$200,$Q38,$B$8:$B$200),SUMIFS($B$8:$B$200,$D$8:$D$200,LEFT($Q38,4),$E$8:$E$200,3)+SUMIFS($B$8:$B$200,$D$8:$D$200,LEFT($Q38,4),$E$8:$E$200,4)+SUMIFS($B$8:$B$200,$D$8:$D$200,LEFT($Q38,4)+1,$E$8:$E$200,1)+SUMIFS($B$8:$B$200,$D$8:$D$200,LEFT($Q38,4)+1,$E$8:$E$200,2)))</f>
        <v>184.99</v>
      </c>
      <c r="S38" s="819">
        <f t="shared" si="4"/>
        <v>3279.5</v>
      </c>
    </row>
    <row r="39" spans="1:22">
      <c r="A39" s="606">
        <v>39052</v>
      </c>
      <c r="B39" s="804">
        <v>43.640200929999999</v>
      </c>
      <c r="C39" s="805">
        <v>1119.195232</v>
      </c>
      <c r="D39" s="97">
        <f t="shared" si="0"/>
        <v>2006</v>
      </c>
      <c r="E39" s="97" t="str">
        <f t="shared" si="1"/>
        <v>4</v>
      </c>
      <c r="Q39" s="1326" t="str">
        <f>IFERROR(IF(YEAR(MAX('Commodity Prices'!$C$9:$C4986))=VALUE(RIGHT(Q38,4)),"",IF($R$33="Calendar Year",Q38+1,CONCATENATE(LEFT(Q38,4)+1,"-",RIGHT(Q38,4)+1))),"")</f>
        <v>2002-2003</v>
      </c>
      <c r="R39" s="816">
        <f t="shared" si="5"/>
        <v>187.37</v>
      </c>
      <c r="S39" s="817">
        <f t="shared" si="4"/>
        <v>3442.11</v>
      </c>
    </row>
    <row r="40" spans="1:22">
      <c r="A40" s="606">
        <v>39142</v>
      </c>
      <c r="B40" s="706">
        <v>38.502062189999997</v>
      </c>
      <c r="C40" s="705">
        <v>1022.274917</v>
      </c>
      <c r="D40" s="97">
        <f t="shared" si="0"/>
        <v>2007</v>
      </c>
      <c r="E40" s="97" t="str">
        <f t="shared" si="1"/>
        <v>1</v>
      </c>
      <c r="Q40" s="1326" t="str">
        <f>IFERROR(IF(YEAR(MAX('Commodity Prices'!$C$9:$C4987))=VALUE(RIGHT(Q39,4)),"",IF($R$33="Calendar Year",Q39+1,CONCATENATE(LEFT(Q39,4)+1,"-",RIGHT(Q39,4)+1))),"")</f>
        <v>2003-2004</v>
      </c>
      <c r="R40" s="818">
        <f t="shared" si="5"/>
        <v>176.73</v>
      </c>
      <c r="S40" s="819">
        <f t="shared" si="4"/>
        <v>3104.17</v>
      </c>
      <c r="U40" s="434"/>
      <c r="V40" s="440"/>
    </row>
    <row r="41" spans="1:22">
      <c r="A41" s="606">
        <v>39234</v>
      </c>
      <c r="B41" s="804">
        <v>37.595793499999999</v>
      </c>
      <c r="C41" s="805">
        <v>970.80074100000002</v>
      </c>
      <c r="D41" s="97">
        <f t="shared" si="0"/>
        <v>2007</v>
      </c>
      <c r="E41" s="97" t="str">
        <f t="shared" si="1"/>
        <v>2</v>
      </c>
      <c r="Q41" s="1326" t="str">
        <f>IFERROR(IF(YEAR(MAX('Commodity Prices'!$C$9:$C4988))=VALUE(RIGHT(Q40,4)),"",IF($R$33="Calendar Year",Q40+1,CONCATENATE(LEFT(Q40,4)+1,"-",RIGHT(Q40,4)+1))),"")</f>
        <v>2004-2005</v>
      </c>
      <c r="R41" s="816">
        <f t="shared" si="5"/>
        <v>166.58705940999999</v>
      </c>
      <c r="S41" s="817">
        <f t="shared" si="4"/>
        <v>3006.500215</v>
      </c>
      <c r="U41" s="434"/>
      <c r="V41" s="440"/>
    </row>
    <row r="42" spans="1:22">
      <c r="A42" s="606">
        <v>39326</v>
      </c>
      <c r="B42" s="706">
        <v>37.847578720000001</v>
      </c>
      <c r="C42" s="705">
        <v>978.01341500000001</v>
      </c>
      <c r="D42" s="97">
        <f t="shared" si="0"/>
        <v>2007</v>
      </c>
      <c r="E42" s="97" t="str">
        <f t="shared" si="1"/>
        <v>3</v>
      </c>
      <c r="Q42" s="1326" t="str">
        <f>IFERROR(IF(YEAR(MAX('Commodity Prices'!$C$9:$C4989))=VALUE(RIGHT(Q41,4)),"",IF($R$33="Calendar Year",Q41+1,CONCATENATE(LEFT(Q41,4)+1,"-",RIGHT(Q41,4)+1))),"")</f>
        <v>2005-2006</v>
      </c>
      <c r="R42" s="818">
        <f t="shared" si="5"/>
        <v>163.34026466</v>
      </c>
      <c r="S42" s="819">
        <f t="shared" si="4"/>
        <v>3696.3363250000002</v>
      </c>
      <c r="U42" s="434"/>
      <c r="V42" s="440"/>
    </row>
    <row r="43" spans="1:22">
      <c r="A43" s="606">
        <v>39417</v>
      </c>
      <c r="B43" s="804">
        <v>37.50340465</v>
      </c>
      <c r="C43" s="805">
        <v>1067.968656</v>
      </c>
      <c r="D43" s="97">
        <f t="shared" si="0"/>
        <v>2007</v>
      </c>
      <c r="E43" s="97" t="str">
        <f t="shared" si="1"/>
        <v>4</v>
      </c>
      <c r="Q43" s="1326" t="str">
        <f>IFERROR(IF(YEAR(MAX('Commodity Prices'!$C$9:$C4990))=VALUE(RIGHT(Q42,4)),"",IF($R$33="Calendar Year",Q42+1,CONCATENATE(LEFT(Q42,4)+1,"-",RIGHT(Q42,4)+1))),"")</f>
        <v>2006-2007</v>
      </c>
      <c r="R43" s="816">
        <f t="shared" si="5"/>
        <v>159.57494859999997</v>
      </c>
      <c r="S43" s="817">
        <f t="shared" si="4"/>
        <v>4166.1064859999997</v>
      </c>
      <c r="U43" s="434"/>
      <c r="V43" s="440"/>
    </row>
    <row r="44" spans="1:22">
      <c r="A44" s="606">
        <v>39508</v>
      </c>
      <c r="B44" s="706">
        <v>32.680447270000002</v>
      </c>
      <c r="C44" s="705">
        <v>1071.989239</v>
      </c>
      <c r="D44" s="97">
        <f t="shared" si="0"/>
        <v>2008</v>
      </c>
      <c r="E44" s="97" t="str">
        <f t="shared" si="1"/>
        <v>1</v>
      </c>
      <c r="Q44" s="1326" t="str">
        <f>IFERROR(IF(YEAR(MAX('Commodity Prices'!$C$9:$C4991))=VALUE(RIGHT(Q43,4)),"",IF($R$33="Calendar Year",Q43+1,CONCATENATE(LEFT(Q43,4)+1,"-",RIGHT(Q43,4)+1))),"")</f>
        <v>2007-2008</v>
      </c>
      <c r="R44" s="818">
        <f t="shared" si="5"/>
        <v>141.11380409</v>
      </c>
      <c r="S44" s="819">
        <f t="shared" si="4"/>
        <v>4126.5985309999996</v>
      </c>
      <c r="U44" s="434"/>
      <c r="V44" s="440"/>
    </row>
    <row r="45" spans="1:22">
      <c r="A45" s="606">
        <v>39600</v>
      </c>
      <c r="B45" s="804">
        <v>33.082373449999999</v>
      </c>
      <c r="C45" s="805">
        <v>1008.627221</v>
      </c>
      <c r="D45" s="97">
        <f t="shared" si="0"/>
        <v>2008</v>
      </c>
      <c r="E45" s="97" t="str">
        <f t="shared" si="1"/>
        <v>2</v>
      </c>
      <c r="Q45" s="1326" t="str">
        <f>IFERROR(IF(YEAR(MAX('Commodity Prices'!$C$9:$C4992))=VALUE(RIGHT(Q44,4)),"",IF($R$33="Calendar Year",Q44+1,CONCATENATE(LEFT(Q44,4)+1,"-",RIGHT(Q44,4)+1))),"")</f>
        <v>2008-2009</v>
      </c>
      <c r="R45" s="816">
        <f t="shared" si="5"/>
        <v>136.99685979</v>
      </c>
      <c r="S45" s="817">
        <f t="shared" si="4"/>
        <v>5248.1043260000006</v>
      </c>
      <c r="U45" s="434"/>
      <c r="V45" s="440"/>
    </row>
    <row r="46" spans="1:22">
      <c r="A46" s="606">
        <v>39692</v>
      </c>
      <c r="B46" s="706">
        <v>31.606428690000001</v>
      </c>
      <c r="C46" s="705">
        <v>996.05240900000001</v>
      </c>
      <c r="D46" s="97">
        <f t="shared" si="0"/>
        <v>2008</v>
      </c>
      <c r="E46" s="97" t="str">
        <f t="shared" si="1"/>
        <v>3</v>
      </c>
      <c r="Q46" s="1326" t="str">
        <f>IFERROR(IF(YEAR(MAX('Commodity Prices'!$C$9:$C4993))=VALUE(RIGHT(Q45,4)),"",IF($R$33="Calendar Year",Q45+1,CONCATENATE(LEFT(Q45,4)+1,"-",RIGHT(Q45,4)+1))),"")</f>
        <v>2009-2010</v>
      </c>
      <c r="R46" s="818">
        <f t="shared" si="5"/>
        <v>164.03914952000002</v>
      </c>
      <c r="S46" s="819">
        <f t="shared" si="4"/>
        <v>6558.2560599999997</v>
      </c>
      <c r="U46" s="434"/>
      <c r="V46" s="440"/>
    </row>
    <row r="47" spans="1:22">
      <c r="A47" s="606">
        <v>39783</v>
      </c>
      <c r="B47" s="804">
        <v>34.705004119999998</v>
      </c>
      <c r="C47" s="805">
        <v>1322.8441989999999</v>
      </c>
      <c r="D47" s="97">
        <f t="shared" si="0"/>
        <v>2008</v>
      </c>
      <c r="E47" s="97" t="str">
        <f t="shared" si="1"/>
        <v>4</v>
      </c>
      <c r="Q47" s="1326" t="str">
        <f>IFERROR(IF(YEAR(MAX('Commodity Prices'!$C$9:$C4994))=VALUE(RIGHT(Q46,4)),"",IF($R$33="Calendar Year",Q46+1,CONCATENATE(LEFT(Q46,4)+1,"-",RIGHT(Q46,4)+1))),"")</f>
        <v>2010-2011</v>
      </c>
      <c r="R47" s="816">
        <f t="shared" si="5"/>
        <v>183.75074137999999</v>
      </c>
      <c r="S47" s="817">
        <f t="shared" si="4"/>
        <v>8184.1874559999997</v>
      </c>
      <c r="U47" s="434"/>
      <c r="V47" s="440"/>
    </row>
    <row r="48" spans="1:22">
      <c r="A48" s="606">
        <v>39873</v>
      </c>
      <c r="B48" s="706">
        <v>33.420415390000002</v>
      </c>
      <c r="C48" s="705">
        <v>1475.5212750000001</v>
      </c>
      <c r="D48" s="97">
        <f t="shared" si="0"/>
        <v>2009</v>
      </c>
      <c r="E48" s="97" t="str">
        <f t="shared" si="1"/>
        <v>1</v>
      </c>
      <c r="Q48" s="1326" t="str">
        <f>IFERROR(IF(YEAR(MAX('Commodity Prices'!$C$9:$C4995))=VALUE(RIGHT(Q47,4)),"",IF($R$33="Calendar Year",Q47+1,CONCATENATE(LEFT(Q47,4)+1,"-",RIGHT(Q47,4)+1))),"")</f>
        <v>2011-2012</v>
      </c>
      <c r="R48" s="818">
        <f t="shared" si="5"/>
        <v>180.77123628000001</v>
      </c>
      <c r="S48" s="819">
        <f t="shared" si="4"/>
        <v>9421.4833270000017</v>
      </c>
      <c r="U48" s="434"/>
      <c r="V48" s="440"/>
    </row>
    <row r="49" spans="1:22">
      <c r="A49" s="606">
        <v>39965</v>
      </c>
      <c r="B49" s="804">
        <v>37.26501159</v>
      </c>
      <c r="C49" s="805">
        <v>1453.6864430000001</v>
      </c>
      <c r="D49" s="97">
        <f t="shared" si="0"/>
        <v>2009</v>
      </c>
      <c r="E49" s="97" t="str">
        <f t="shared" si="1"/>
        <v>2</v>
      </c>
      <c r="Q49" s="1326" t="str">
        <f>IFERROR(IF(YEAR(MAX('Commodity Prices'!$C$9:$C4996))=VALUE(RIGHT(Q48,4)),"",IF($R$33="Calendar Year",Q48+1,CONCATENATE(LEFT(Q48,4)+1,"-",RIGHT(Q48,4)+1))),"")</f>
        <v>2012-2013</v>
      </c>
      <c r="R49" s="816">
        <f t="shared" si="5"/>
        <v>179.84901528999998</v>
      </c>
      <c r="S49" s="817">
        <f t="shared" si="4"/>
        <v>9022.5220179999997</v>
      </c>
      <c r="U49" s="434"/>
      <c r="V49" s="440"/>
    </row>
    <row r="50" spans="1:22">
      <c r="A50" s="606">
        <v>40057</v>
      </c>
      <c r="B50" s="706">
        <v>37.164209919999998</v>
      </c>
      <c r="C50" s="705">
        <v>1378.2166769999999</v>
      </c>
      <c r="D50" s="97">
        <f t="shared" si="0"/>
        <v>2009</v>
      </c>
      <c r="E50" s="97" t="str">
        <f t="shared" si="1"/>
        <v>3</v>
      </c>
      <c r="Q50" s="1326" t="str">
        <f>IFERROR(IF(YEAR(MAX('Commodity Prices'!$C$9:$C4997))=VALUE(RIGHT(Q49,4)),"",IF($R$33="Calendar Year",Q49+1,CONCATENATE(LEFT(Q49,4)+1,"-",RIGHT(Q49,4)+1))),"")</f>
        <v>2013-2014</v>
      </c>
      <c r="R50" s="818">
        <f t="shared" si="5"/>
        <v>196.07356325673001</v>
      </c>
      <c r="S50" s="819">
        <f t="shared" si="4"/>
        <v>8890.995046</v>
      </c>
      <c r="U50" s="434"/>
      <c r="V50" s="440"/>
    </row>
    <row r="51" spans="1:22">
      <c r="A51" s="606">
        <v>40148</v>
      </c>
      <c r="B51" s="804">
        <v>38.578273160000002</v>
      </c>
      <c r="C51" s="805">
        <v>1506.997218</v>
      </c>
      <c r="D51" s="97">
        <f t="shared" si="0"/>
        <v>2009</v>
      </c>
      <c r="E51" s="97" t="str">
        <f t="shared" si="1"/>
        <v>4</v>
      </c>
      <c r="Q51" s="1326" t="str">
        <f>IFERROR(IF(YEAR(MAX('Commodity Prices'!$C$9:$C4998))=VALUE(RIGHT(Q50,4)),"",IF($R$33="Calendar Year",Q50+1,CONCATENATE(LEFT(Q50,4)+1,"-",RIGHT(Q50,4)+1))),"")</f>
        <v>2014-2015</v>
      </c>
      <c r="R51" s="816">
        <f t="shared" si="5"/>
        <v>193.16236458304175</v>
      </c>
      <c r="S51" s="817">
        <f t="shared" si="4"/>
        <v>9107.167942</v>
      </c>
      <c r="U51" s="434"/>
      <c r="V51" s="440"/>
    </row>
    <row r="52" spans="1:22">
      <c r="A52" s="606">
        <v>40238</v>
      </c>
      <c r="B52" s="706">
        <v>45.239399200000001</v>
      </c>
      <c r="C52" s="705">
        <v>1782.434512</v>
      </c>
      <c r="D52" s="97">
        <f t="shared" si="0"/>
        <v>2010</v>
      </c>
      <c r="E52" s="97" t="str">
        <f t="shared" si="1"/>
        <v>1</v>
      </c>
      <c r="Q52" s="1326" t="str">
        <f>IFERROR(IF(YEAR(MAX('Commodity Prices'!$C$9:$C4999))=VALUE(RIGHT(Q51,4)),"",IF($R$33="Calendar Year",Q51+1,CONCATENATE(LEFT(Q51,4)+1,"-",RIGHT(Q51,4)+1))),"")</f>
        <v>2015-2016</v>
      </c>
      <c r="R52" s="818">
        <f t="shared" si="5"/>
        <v>195.96832781245823</v>
      </c>
      <c r="S52" s="819">
        <f t="shared" si="4"/>
        <v>10104.514299</v>
      </c>
      <c r="U52" s="434"/>
      <c r="V52" s="440"/>
    </row>
    <row r="53" spans="1:22">
      <c r="A53" s="606">
        <v>40330</v>
      </c>
      <c r="B53" s="804">
        <v>43.057267240000002</v>
      </c>
      <c r="C53" s="805">
        <v>1890.607653</v>
      </c>
      <c r="D53" s="97">
        <f t="shared" si="0"/>
        <v>2010</v>
      </c>
      <c r="E53" s="97" t="str">
        <f t="shared" si="1"/>
        <v>2</v>
      </c>
      <c r="Q53" s="1326" t="str">
        <f>IFERROR(IF(YEAR(MAX('Commodity Prices'!$C$9:$C5000))=VALUE(RIGHT(Q52,4)),"",IF($R$33="Calendar Year",Q52+1,CONCATENATE(LEFT(Q52,4)+1,"-",RIGHT(Q52,4)+1))),"")</f>
        <v>2016-2017</v>
      </c>
      <c r="R53" s="816">
        <f t="shared" si="5"/>
        <v>203.00287275238176</v>
      </c>
      <c r="S53" s="817">
        <f>IF(Q53="","",IF($R$33="Calendar Year",SUMIF($D$8:$D$200,$Q53,$C$8:$C$200),SUMIFS($C$8:$C$200,$D$8:$D$200,LEFT($Q53,4),$E$8:$E$200,3)+SUMIFS($C$8:$C$200,$D$8:$D$200,LEFT($Q53,4),$E$8:$E$200,4)+SUMIFS($C$8:$C$200,$D$8:$D$200,LEFT($Q53,4)+1,$E$8:$E$200,1)+SUMIFS($C$8:$C$200,$D$8:$D$200,LEFT($Q53,4)+1,$E$8:$E$200,2)))</f>
        <v>10859.574220999999</v>
      </c>
    </row>
    <row r="54" spans="1:22">
      <c r="A54" s="606">
        <v>40422</v>
      </c>
      <c r="B54" s="706">
        <v>46.070483780000004</v>
      </c>
      <c r="C54" s="705">
        <v>2012.0115490000001</v>
      </c>
      <c r="D54" s="97">
        <f t="shared" si="0"/>
        <v>2010</v>
      </c>
      <c r="E54" s="97" t="str">
        <f t="shared" si="1"/>
        <v>3</v>
      </c>
      <c r="Q54" s="1326" t="str">
        <f>IFERROR(IF(YEAR(MAX('Commodity Prices'!$C$9:$C5001))=VALUE(RIGHT(Q53,4)),"",IF($R$33="Calendar Year",Q53+1,CONCATENATE(LEFT(Q53,4)+1,"-",RIGHT(Q53,4)+1))),"")</f>
        <v>2017-2018</v>
      </c>
      <c r="R54" s="818">
        <f t="shared" si="5"/>
        <v>212.05957158009002</v>
      </c>
      <c r="S54" s="819">
        <f t="shared" ref="S54:S61" si="6">IF(Q54="","",IF($R$33="Calendar Year",SUMIF($D$8:$D$200,$Q54,$C$8:$C$200),SUMIFS($C$8:$C$200,$D$8:$D$200,LEFT($Q54,4),$E$8:$E$200,3)+SUMIFS($C$8:$C$200,$D$8:$D$200,LEFT($Q54,4),$E$8:$E$200,4)+SUMIFS($C$8:$C$200,$D$8:$D$200,LEFT($Q54,4)+1,$E$8:$E$200,1)+SUMIFS($C$8:$C$200,$D$8:$D$200,LEFT($Q54,4)+1,$E$8:$E$200,2)))</f>
        <v>11420.664493</v>
      </c>
    </row>
    <row r="55" spans="1:22">
      <c r="A55" s="606">
        <v>40513</v>
      </c>
      <c r="B55" s="804">
        <v>48.532402810000001</v>
      </c>
      <c r="C55" s="805">
        <v>2164.077745</v>
      </c>
      <c r="D55" s="97">
        <f t="shared" si="0"/>
        <v>2010</v>
      </c>
      <c r="E55" s="97" t="str">
        <f t="shared" si="1"/>
        <v>4</v>
      </c>
      <c r="Q55" s="1326" t="str">
        <f>IFERROR(IF(YEAR(MAX('Commodity Prices'!$C$9:$C5002))=VALUE(RIGHT(Q54,4)),"",IF($R$33="Calendar Year",Q54+1,CONCATENATE(LEFT(Q54,4)+1,"-",RIGHT(Q54,4)+1))),"")</f>
        <v>2018-2019</v>
      </c>
      <c r="R55" s="816">
        <f t="shared" ref="R55:R57" si="7">IF(Q55="","",IF($R$33="Calendar Year",SUMIF($D$8:$D$200,$Q55,$B$8:$B$200),SUMIFS($B$8:$B$200,$D$8:$D$200,LEFT($Q55,4),$E$8:$E$200,3)+SUMIFS($B$8:$B$200,$D$8:$D$200,LEFT($Q55,4),$E$8:$E$200,4)+SUMIFS($B$8:$B$200,$D$8:$D$200,LEFT($Q55,4)+1,$E$8:$E$200,1)+SUMIFS($B$8:$B$200,$D$8:$D$200,LEFT($Q55,4)+1,$E$8:$E$200,2)))</f>
        <v>211.53352393399211</v>
      </c>
      <c r="S55" s="817">
        <f t="shared" ref="S55:S57" si="8">IF(Q55="","",IF($R$33="Calendar Year",SUMIF($D$8:$D$200,$Q55,$C$8:$C$200),SUMIFS($C$8:$C$200,$D$8:$D$200,LEFT($Q55,4),$E$8:$E$200,3)+SUMIFS($C$8:$C$200,$D$8:$D$200,LEFT($Q55,4),$E$8:$E$200,4)+SUMIFS($C$8:$C$200,$D$8:$D$200,LEFT($Q55,4)+1,$E$8:$E$200,1)+SUMIFS($C$8:$C$200,$D$8:$D$200,LEFT($Q55,4)+1,$E$8:$E$200,2)))</f>
        <v>11958.926074000001</v>
      </c>
    </row>
    <row r="56" spans="1:22">
      <c r="A56" s="606">
        <v>40603</v>
      </c>
      <c r="B56" s="706">
        <v>45.256966130000002</v>
      </c>
      <c r="C56" s="705">
        <v>2006.465418</v>
      </c>
      <c r="D56" s="97">
        <f t="shared" si="0"/>
        <v>2011</v>
      </c>
      <c r="E56" s="97" t="str">
        <f t="shared" si="1"/>
        <v>1</v>
      </c>
      <c r="Q56" s="1326" t="str">
        <f>IFERROR(IF(YEAR(MAX('Commodity Prices'!$C$9:$C5003))=VALUE(RIGHT(Q55,4)),"",IF($R$33="Calendar Year",Q55+1,CONCATENATE(LEFT(Q55,4)+1,"-",RIGHT(Q55,4)+1))),"")</f>
        <v>2019-2020</v>
      </c>
      <c r="R56" s="818">
        <f t="shared" si="7"/>
        <v>212.14225874086725</v>
      </c>
      <c r="S56" s="819">
        <f t="shared" si="8"/>
        <v>15872.150556000001</v>
      </c>
    </row>
    <row r="57" spans="1:22" ht="15.75" thickBot="1">
      <c r="A57" s="606">
        <v>40695</v>
      </c>
      <c r="B57" s="804">
        <v>43.890888660000002</v>
      </c>
      <c r="C57" s="805">
        <v>2001.632744</v>
      </c>
      <c r="D57" s="97">
        <f t="shared" si="0"/>
        <v>2011</v>
      </c>
      <c r="E57" s="97" t="str">
        <f t="shared" si="1"/>
        <v>2</v>
      </c>
      <c r="Q57" s="1326" t="str">
        <f>IFERROR(IF(YEAR(MAX('Commodity Prices'!$C$9:$C5004))=VALUE(RIGHT(Q56,4)),"",IF($R$33="Calendar Year",Q56+1,CONCATENATE(LEFT(Q56,4)+1,"-",RIGHT(Q56,4)+1))),"")</f>
        <v>2020-2021</v>
      </c>
      <c r="R57" s="816">
        <f t="shared" si="7"/>
        <v>207.56694364352876</v>
      </c>
      <c r="S57" s="817">
        <f t="shared" si="8"/>
        <v>16573.7607118919</v>
      </c>
    </row>
    <row r="58" spans="1:22">
      <c r="A58" s="606">
        <v>40787</v>
      </c>
      <c r="B58" s="706">
        <v>46.50763122</v>
      </c>
      <c r="C58" s="705">
        <v>2424.520254</v>
      </c>
      <c r="D58" s="97">
        <f t="shared" si="0"/>
        <v>2011</v>
      </c>
      <c r="E58" s="97" t="str">
        <f t="shared" si="1"/>
        <v>3</v>
      </c>
      <c r="Q58" s="658" t="str">
        <f>IFERROR(IF(YEAR(MAX('Commodity Prices'!$C$9:$C5004))=VALUE(RIGHT(Q57,4)),"",IF($R$33="Calendar Year",Q57+1,CONCATENATE(LEFT(Q57,4)+1,"-",RIGHT(Q57,4)+1))),"")</f>
        <v/>
      </c>
      <c r="R58" s="808" t="str">
        <f t="shared" si="5"/>
        <v/>
      </c>
      <c r="S58" s="808" t="str">
        <f t="shared" si="6"/>
        <v/>
      </c>
    </row>
    <row r="59" spans="1:22">
      <c r="A59" s="606">
        <v>40878</v>
      </c>
      <c r="B59" s="804">
        <v>43.952688559999999</v>
      </c>
      <c r="C59" s="805">
        <v>2361.274163</v>
      </c>
      <c r="D59" s="97">
        <f t="shared" si="0"/>
        <v>2011</v>
      </c>
      <c r="E59" s="97" t="str">
        <f t="shared" si="1"/>
        <v>4</v>
      </c>
      <c r="G59" s="126"/>
      <c r="Q59" s="807" t="str">
        <f>IFERROR(IF(YEAR(MAX('Commodity Prices'!$C$9:$C5005))=VALUE(RIGHT(Q58,4)),"",IF($R$33="Calendar Year",Q58+1,CONCATENATE(LEFT(Q58,4)+1,"-",RIGHT(Q58,4)+1))),"")</f>
        <v/>
      </c>
      <c r="R59" s="166" t="str">
        <f t="shared" si="5"/>
        <v/>
      </c>
      <c r="S59" s="166" t="str">
        <f t="shared" si="6"/>
        <v/>
      </c>
    </row>
    <row r="60" spans="1:22">
      <c r="A60" s="606">
        <v>40969</v>
      </c>
      <c r="B60" s="706">
        <v>46.517585840000002</v>
      </c>
      <c r="C60" s="705">
        <v>2393.0271120000002</v>
      </c>
      <c r="D60" s="97">
        <f t="shared" si="0"/>
        <v>2012</v>
      </c>
      <c r="E60" s="97" t="str">
        <f t="shared" si="1"/>
        <v>1</v>
      </c>
      <c r="G60" s="126"/>
      <c r="Q60" s="807" t="str">
        <f>IFERROR(IF(YEAR(MAX('Commodity Prices'!$C$9:$C5006))=VALUE(RIGHT(Q59,4)),"",IF($R$33="Calendar Year",Q59+1,CONCATENATE(LEFT(Q59,4)+1,"-",RIGHT(Q59,4)+1))),"")</f>
        <v/>
      </c>
      <c r="R60" s="166" t="str">
        <f t="shared" si="5"/>
        <v/>
      </c>
      <c r="S60" s="166" t="str">
        <f t="shared" si="6"/>
        <v/>
      </c>
    </row>
    <row r="61" spans="1:22">
      <c r="A61" s="606">
        <v>41061</v>
      </c>
      <c r="B61" s="804">
        <v>43.793330660000002</v>
      </c>
      <c r="C61" s="805">
        <v>2242.6617980000001</v>
      </c>
      <c r="D61" s="97">
        <f t="shared" si="0"/>
        <v>2012</v>
      </c>
      <c r="E61" s="97" t="str">
        <f t="shared" si="1"/>
        <v>2</v>
      </c>
      <c r="G61" s="126"/>
      <c r="Q61" s="807" t="str">
        <f>IFERROR(IF(YEAR(MAX('Commodity Prices'!$C$9:$C5007))=VALUE(RIGHT(Q60,4)),"",IF($R$33="Calendar Year",Q60+1,CONCATENATE(LEFT(Q60,4)+1,"-",RIGHT(Q60,4)+1))),"")</f>
        <v/>
      </c>
      <c r="R61" s="166" t="str">
        <f t="shared" si="5"/>
        <v/>
      </c>
      <c r="S61" s="166" t="str">
        <f t="shared" si="6"/>
        <v/>
      </c>
    </row>
    <row r="62" spans="1:22">
      <c r="A62" s="606">
        <v>41153</v>
      </c>
      <c r="B62" s="706">
        <v>44.712392080000001</v>
      </c>
      <c r="C62" s="705">
        <v>2284.4757519999998</v>
      </c>
      <c r="D62" s="97">
        <f t="shared" si="0"/>
        <v>2012</v>
      </c>
      <c r="E62" s="97" t="str">
        <f t="shared" si="1"/>
        <v>3</v>
      </c>
      <c r="G62" s="126"/>
    </row>
    <row r="63" spans="1:22">
      <c r="A63" s="606">
        <v>41244</v>
      </c>
      <c r="B63" s="804">
        <v>46.263326579999998</v>
      </c>
      <c r="C63" s="805">
        <v>2460.1418100000001</v>
      </c>
      <c r="D63" s="97">
        <f t="shared" si="0"/>
        <v>2012</v>
      </c>
      <c r="E63" s="97" t="str">
        <f t="shared" si="1"/>
        <v>4</v>
      </c>
      <c r="F63" s="126"/>
      <c r="G63" s="126"/>
    </row>
    <row r="64" spans="1:22">
      <c r="A64" s="606">
        <v>41334</v>
      </c>
      <c r="B64" s="706">
        <v>43.726069510000002</v>
      </c>
      <c r="C64" s="705">
        <v>2207.942571</v>
      </c>
      <c r="D64" s="97">
        <f t="shared" si="0"/>
        <v>2013</v>
      </c>
      <c r="E64" s="97" t="str">
        <f t="shared" si="1"/>
        <v>1</v>
      </c>
      <c r="G64" s="126"/>
    </row>
    <row r="65" spans="1:8">
      <c r="A65" s="606">
        <v>41426</v>
      </c>
      <c r="B65" s="804">
        <v>45.147227119999997</v>
      </c>
      <c r="C65" s="805">
        <v>2069.9618850000002</v>
      </c>
      <c r="D65" s="97">
        <f t="shared" si="0"/>
        <v>2013</v>
      </c>
      <c r="E65" s="97" t="str">
        <f t="shared" si="1"/>
        <v>2</v>
      </c>
      <c r="G65" s="126"/>
    </row>
    <row r="66" spans="1:8">
      <c r="A66" s="606">
        <v>41518</v>
      </c>
      <c r="B66" s="706">
        <v>49.23385743</v>
      </c>
      <c r="C66" s="705">
        <v>2290.6239599999999</v>
      </c>
      <c r="D66" s="97">
        <f t="shared" si="0"/>
        <v>2013</v>
      </c>
      <c r="E66" s="97" t="str">
        <f t="shared" si="1"/>
        <v>3</v>
      </c>
      <c r="G66" s="126"/>
    </row>
    <row r="67" spans="1:8">
      <c r="A67" s="606">
        <v>41609</v>
      </c>
      <c r="B67" s="804">
        <v>49.34721064</v>
      </c>
      <c r="C67" s="805">
        <v>2174.1490239999998</v>
      </c>
      <c r="D67" s="97">
        <f t="shared" si="0"/>
        <v>2013</v>
      </c>
      <c r="E67" s="97" t="str">
        <f t="shared" si="1"/>
        <v>4</v>
      </c>
      <c r="G67" s="126"/>
    </row>
    <row r="68" spans="1:8">
      <c r="A68" s="606">
        <v>41699</v>
      </c>
      <c r="B68" s="706">
        <v>48.814820703748296</v>
      </c>
      <c r="C68" s="705">
        <v>2265.7737750000001</v>
      </c>
      <c r="D68" s="97">
        <f t="shared" si="0"/>
        <v>2014</v>
      </c>
      <c r="E68" s="97" t="str">
        <f t="shared" si="1"/>
        <v>1</v>
      </c>
      <c r="F68" s="126"/>
      <c r="G68" s="126"/>
    </row>
    <row r="69" spans="1:8">
      <c r="A69" s="606">
        <v>41791</v>
      </c>
      <c r="B69" s="804">
        <v>48.677674482981708</v>
      </c>
      <c r="C69" s="805">
        <v>2160.4482870000002</v>
      </c>
      <c r="D69" s="97">
        <f t="shared" si="0"/>
        <v>2014</v>
      </c>
      <c r="E69" s="97" t="str">
        <f t="shared" si="1"/>
        <v>2</v>
      </c>
      <c r="F69" s="126"/>
      <c r="G69" s="126"/>
    </row>
    <row r="70" spans="1:8">
      <c r="A70" s="606">
        <v>41883</v>
      </c>
      <c r="B70" s="706">
        <v>48.544154030860916</v>
      </c>
      <c r="C70" s="705">
        <v>2161.5345440000001</v>
      </c>
      <c r="D70" s="97">
        <f t="shared" si="0"/>
        <v>2014</v>
      </c>
      <c r="E70" s="97" t="str">
        <f t="shared" si="1"/>
        <v>3</v>
      </c>
      <c r="F70" s="126"/>
      <c r="G70" s="126"/>
    </row>
    <row r="71" spans="1:8">
      <c r="A71" s="606">
        <v>41974</v>
      </c>
      <c r="B71" s="804">
        <v>48.699841340935038</v>
      </c>
      <c r="C71" s="805">
        <v>2198.352558</v>
      </c>
      <c r="D71" s="97">
        <f t="shared" si="0"/>
        <v>2014</v>
      </c>
      <c r="E71" s="97" t="str">
        <f t="shared" si="1"/>
        <v>4</v>
      </c>
      <c r="F71" s="126"/>
      <c r="G71" s="126"/>
    </row>
    <row r="72" spans="1:8">
      <c r="A72" s="606">
        <v>42064</v>
      </c>
      <c r="B72" s="706">
        <v>47.123750307147283</v>
      </c>
      <c r="C72" s="705">
        <v>2345.6551949999998</v>
      </c>
      <c r="D72" s="97">
        <f>YEAR(A72)</f>
        <v>2015</v>
      </c>
      <c r="E72" s="97" t="str">
        <f t="shared" si="1"/>
        <v>1</v>
      </c>
      <c r="F72" s="126"/>
      <c r="G72" s="126"/>
    </row>
    <row r="73" spans="1:8">
      <c r="A73" s="606">
        <v>42156</v>
      </c>
      <c r="B73" s="804">
        <v>48.794618904098513</v>
      </c>
      <c r="C73" s="805">
        <v>2401.6256450000001</v>
      </c>
      <c r="D73" s="97">
        <f>YEAR(A73)</f>
        <v>2015</v>
      </c>
      <c r="E73" s="97" t="str">
        <f>IF(MONTH(A73)=3,"1",IF(MONTH(A73)=6,"2",IF(MONTH(A73)=9,"3","4")))</f>
        <v>2</v>
      </c>
      <c r="F73" s="126"/>
      <c r="G73" s="126"/>
    </row>
    <row r="74" spans="1:8">
      <c r="A74" s="606">
        <v>42248</v>
      </c>
      <c r="B74" s="706">
        <v>47.839176689776579</v>
      </c>
      <c r="C74" s="705">
        <v>2382.0840240000002</v>
      </c>
      <c r="D74" s="97">
        <f>YEAR(A74)</f>
        <v>2015</v>
      </c>
      <c r="E74" s="97" t="str">
        <f>IF(MONTH(A74)=3,"1",IF(MONTH(A74)=6,"2",IF(MONTH(A74)=9,"3","4")))</f>
        <v>3</v>
      </c>
      <c r="F74" s="126"/>
      <c r="G74" s="126"/>
    </row>
    <row r="75" spans="1:8">
      <c r="A75" s="606">
        <v>42339</v>
      </c>
      <c r="B75" s="804">
        <v>50.712442590674556</v>
      </c>
      <c r="C75" s="805">
        <v>2498.2883430000002</v>
      </c>
      <c r="D75" s="97">
        <f>YEAR(A75)</f>
        <v>2015</v>
      </c>
      <c r="E75" s="97" t="str">
        <f>IF(MONTH(A75)=3,"1",IF(MONTH(A75)=6,"2",IF(MONTH(A75)=9,"3","4")))</f>
        <v>4</v>
      </c>
      <c r="F75" s="126"/>
      <c r="G75" s="126"/>
      <c r="H75" s="126"/>
    </row>
    <row r="76" spans="1:8">
      <c r="A76" s="606">
        <v>42430</v>
      </c>
      <c r="B76" s="706">
        <v>48.788435772782563</v>
      </c>
      <c r="C76" s="705">
        <v>2574.6538030000002</v>
      </c>
      <c r="D76" s="97">
        <f t="shared" ref="D76:D139" si="9">YEAR(A76)</f>
        <v>2016</v>
      </c>
      <c r="E76" s="97" t="str">
        <f t="shared" ref="E76:E139" si="10">IF(MONTH(A76)=3,"1",IF(MONTH(A76)=6,"2",IF(MONTH(A76)=9,"3","4")))</f>
        <v>1</v>
      </c>
      <c r="F76" s="126"/>
      <c r="G76" s="126"/>
    </row>
    <row r="77" spans="1:8">
      <c r="A77" s="606">
        <v>42522</v>
      </c>
      <c r="B77" s="804">
        <v>48.628272759224537</v>
      </c>
      <c r="C77" s="805">
        <v>2649.4881289999998</v>
      </c>
      <c r="D77" s="97">
        <f t="shared" si="9"/>
        <v>2016</v>
      </c>
      <c r="E77" s="97" t="str">
        <f t="shared" si="10"/>
        <v>2</v>
      </c>
      <c r="F77" s="126"/>
      <c r="G77" s="126"/>
    </row>
    <row r="78" spans="1:8">
      <c r="A78" s="606">
        <v>42614</v>
      </c>
      <c r="B78" s="706">
        <v>47.875898814022726</v>
      </c>
      <c r="C78" s="705">
        <v>2708.3811460000002</v>
      </c>
      <c r="D78" s="97">
        <f t="shared" si="9"/>
        <v>2016</v>
      </c>
      <c r="E78" s="97" t="str">
        <f t="shared" si="10"/>
        <v>3</v>
      </c>
      <c r="F78" s="126"/>
      <c r="G78" s="126"/>
    </row>
    <row r="79" spans="1:8">
      <c r="A79" s="606">
        <v>42705</v>
      </c>
      <c r="B79" s="804">
        <v>51.732483802840989</v>
      </c>
      <c r="C79" s="805">
        <v>2694.5157650000001</v>
      </c>
      <c r="D79" s="97">
        <f t="shared" si="9"/>
        <v>2016</v>
      </c>
      <c r="E79" s="97" t="str">
        <f t="shared" si="10"/>
        <v>4</v>
      </c>
      <c r="F79" s="126"/>
      <c r="G79" s="126"/>
    </row>
    <row r="80" spans="1:8">
      <c r="A80" s="606">
        <v>42795</v>
      </c>
      <c r="B80" s="706">
        <v>51.146496094952838</v>
      </c>
      <c r="C80" s="705">
        <v>2644.2052880000001</v>
      </c>
      <c r="D80" s="97">
        <f t="shared" si="9"/>
        <v>2017</v>
      </c>
      <c r="E80" s="97" t="str">
        <f t="shared" si="10"/>
        <v>1</v>
      </c>
    </row>
    <row r="81" spans="1:5">
      <c r="A81" s="606">
        <v>42887</v>
      </c>
      <c r="B81" s="804">
        <v>52.247994040565196</v>
      </c>
      <c r="C81" s="805">
        <v>2812.4720219999999</v>
      </c>
      <c r="D81" s="97">
        <f t="shared" si="9"/>
        <v>2017</v>
      </c>
      <c r="E81" s="97" t="str">
        <f t="shared" si="10"/>
        <v>2</v>
      </c>
    </row>
    <row r="82" spans="1:5">
      <c r="A82" s="606">
        <v>42979</v>
      </c>
      <c r="B82" s="706">
        <v>52.9413056636403</v>
      </c>
      <c r="C82" s="705">
        <v>2763.963319</v>
      </c>
      <c r="D82" s="97">
        <f t="shared" si="9"/>
        <v>2017</v>
      </c>
      <c r="E82" s="97" t="str">
        <f t="shared" si="10"/>
        <v>3</v>
      </c>
    </row>
    <row r="83" spans="1:5">
      <c r="A83" s="606">
        <v>43070</v>
      </c>
      <c r="B83" s="804">
        <v>54.527467582354362</v>
      </c>
      <c r="C83" s="805">
        <v>2908.9766020000002</v>
      </c>
      <c r="D83" s="97">
        <f t="shared" si="9"/>
        <v>2017</v>
      </c>
      <c r="E83" s="97" t="str">
        <f t="shared" si="10"/>
        <v>4</v>
      </c>
    </row>
    <row r="84" spans="1:5">
      <c r="A84" s="606">
        <v>43160</v>
      </c>
      <c r="B84" s="706">
        <v>48.261774238196978</v>
      </c>
      <c r="C84" s="705">
        <v>2623.0905389999998</v>
      </c>
      <c r="D84" s="97">
        <f t="shared" si="9"/>
        <v>2018</v>
      </c>
      <c r="E84" s="97" t="str">
        <f t="shared" si="10"/>
        <v>1</v>
      </c>
    </row>
    <row r="85" spans="1:5">
      <c r="A85" s="606">
        <v>43252</v>
      </c>
      <c r="B85" s="804">
        <v>56.329024095898369</v>
      </c>
      <c r="C85" s="805">
        <v>3124.6340329999998</v>
      </c>
      <c r="D85" s="97">
        <f t="shared" si="9"/>
        <v>2018</v>
      </c>
      <c r="E85" s="97" t="str">
        <f t="shared" si="10"/>
        <v>2</v>
      </c>
    </row>
    <row r="86" spans="1:5">
      <c r="A86" s="606">
        <v>43344</v>
      </c>
      <c r="B86" s="706">
        <v>52.161642514781938</v>
      </c>
      <c r="C86" s="806">
        <v>2780.9147330000001</v>
      </c>
      <c r="D86" s="97">
        <f t="shared" si="9"/>
        <v>2018</v>
      </c>
      <c r="E86" s="97" t="str">
        <f t="shared" si="10"/>
        <v>3</v>
      </c>
    </row>
    <row r="87" spans="1:5">
      <c r="A87" s="606">
        <v>43435</v>
      </c>
      <c r="B87" s="804">
        <v>55.363379675857779</v>
      </c>
      <c r="C87" s="805">
        <v>2987.933376</v>
      </c>
      <c r="D87" s="97">
        <f t="shared" si="9"/>
        <v>2018</v>
      </c>
      <c r="E87" s="97" t="str">
        <f t="shared" si="10"/>
        <v>4</v>
      </c>
    </row>
    <row r="88" spans="1:5">
      <c r="A88" s="606">
        <v>43525</v>
      </c>
      <c r="B88" s="706">
        <v>52.108678162528349</v>
      </c>
      <c r="C88" s="806">
        <v>3065.5776959999998</v>
      </c>
      <c r="D88" s="97">
        <f t="shared" si="9"/>
        <v>2019</v>
      </c>
      <c r="E88" s="97" t="str">
        <f t="shared" si="10"/>
        <v>1</v>
      </c>
    </row>
    <row r="89" spans="1:5">
      <c r="A89" s="606">
        <v>43617</v>
      </c>
      <c r="B89" s="804">
        <v>51.899823580824034</v>
      </c>
      <c r="C89" s="805">
        <v>3124.5002690000001</v>
      </c>
      <c r="D89" s="97">
        <f t="shared" si="9"/>
        <v>2019</v>
      </c>
      <c r="E89" s="97" t="str">
        <f t="shared" si="10"/>
        <v>2</v>
      </c>
    </row>
    <row r="90" spans="1:5">
      <c r="A90" s="606">
        <v>43709</v>
      </c>
      <c r="B90" s="706">
        <v>52.210174276143292</v>
      </c>
      <c r="C90" s="806">
        <v>3600.7712550000001</v>
      </c>
      <c r="D90" s="97">
        <f t="shared" si="9"/>
        <v>2019</v>
      </c>
      <c r="E90" s="97" t="str">
        <f t="shared" si="10"/>
        <v>3</v>
      </c>
    </row>
    <row r="91" spans="1:5">
      <c r="A91" s="606">
        <v>43800</v>
      </c>
      <c r="B91" s="804">
        <v>57.674996376439715</v>
      </c>
      <c r="C91" s="805">
        <v>4017.6244700000002</v>
      </c>
      <c r="D91" s="97">
        <f t="shared" si="9"/>
        <v>2019</v>
      </c>
      <c r="E91" s="97" t="str">
        <f t="shared" si="10"/>
        <v>4</v>
      </c>
    </row>
    <row r="92" spans="1:5">
      <c r="A92" s="606">
        <v>43891</v>
      </c>
      <c r="B92" s="706">
        <v>51.529829988149572</v>
      </c>
      <c r="C92" s="705">
        <v>4004.6996949999998</v>
      </c>
      <c r="D92" s="97">
        <f t="shared" si="9"/>
        <v>2020</v>
      </c>
      <c r="E92" s="97" t="str">
        <f t="shared" si="10"/>
        <v>1</v>
      </c>
    </row>
    <row r="93" spans="1:5">
      <c r="A93" s="606">
        <v>43983</v>
      </c>
      <c r="B93" s="804">
        <v>50.727258100134669</v>
      </c>
      <c r="C93" s="805">
        <v>4249.0551359999999</v>
      </c>
      <c r="D93" s="97">
        <f t="shared" si="9"/>
        <v>2020</v>
      </c>
      <c r="E93" s="97" t="str">
        <f t="shared" si="10"/>
        <v>2</v>
      </c>
    </row>
    <row r="94" spans="1:5">
      <c r="A94" s="606">
        <v>44075</v>
      </c>
      <c r="B94" s="706">
        <v>52.726174857779156</v>
      </c>
      <c r="C94" s="705">
        <v>4519.2405829999998</v>
      </c>
      <c r="D94" s="97">
        <f t="shared" si="9"/>
        <v>2020</v>
      </c>
      <c r="E94" s="97" t="str">
        <f t="shared" si="10"/>
        <v>3</v>
      </c>
    </row>
    <row r="95" spans="1:5">
      <c r="A95" s="606">
        <v>44166</v>
      </c>
      <c r="B95" s="804">
        <v>54.593408075096335</v>
      </c>
      <c r="C95" s="805">
        <v>4496.7462869999999</v>
      </c>
      <c r="D95" s="97">
        <f t="shared" si="9"/>
        <v>2020</v>
      </c>
      <c r="E95" s="97" t="str">
        <f t="shared" si="10"/>
        <v>4</v>
      </c>
    </row>
    <row r="96" spans="1:5">
      <c r="A96" s="606">
        <v>44256</v>
      </c>
      <c r="B96" s="706">
        <v>48.969916984700198</v>
      </c>
      <c r="C96" s="705">
        <v>3668.9775679999998</v>
      </c>
      <c r="D96" s="97">
        <f t="shared" si="9"/>
        <v>2021</v>
      </c>
      <c r="E96" s="97" t="str">
        <f t="shared" si="10"/>
        <v>1</v>
      </c>
    </row>
    <row r="97" spans="1:5" ht="15.75" thickBot="1">
      <c r="A97" s="607">
        <v>44348</v>
      </c>
      <c r="B97" s="1616">
        <v>51.27744372595307</v>
      </c>
      <c r="C97" s="1614">
        <v>3888.7962738919</v>
      </c>
      <c r="D97" s="97">
        <f t="shared" si="9"/>
        <v>2021</v>
      </c>
      <c r="E97" s="97" t="str">
        <f t="shared" si="10"/>
        <v>2</v>
      </c>
    </row>
    <row r="98" spans="1:5">
      <c r="D98" s="97">
        <f t="shared" si="9"/>
        <v>1900</v>
      </c>
      <c r="E98" s="97" t="str">
        <f t="shared" si="10"/>
        <v>4</v>
      </c>
    </row>
    <row r="99" spans="1:5">
      <c r="D99" s="97">
        <f t="shared" si="9"/>
        <v>1900</v>
      </c>
      <c r="E99" s="97" t="str">
        <f t="shared" si="10"/>
        <v>4</v>
      </c>
    </row>
    <row r="100" spans="1:5">
      <c r="D100" s="97">
        <f t="shared" si="9"/>
        <v>1900</v>
      </c>
      <c r="E100" s="97" t="str">
        <f t="shared" si="10"/>
        <v>4</v>
      </c>
    </row>
    <row r="101" spans="1:5">
      <c r="D101" s="97">
        <f t="shared" si="9"/>
        <v>1900</v>
      </c>
      <c r="E101" s="97" t="str">
        <f t="shared" si="10"/>
        <v>4</v>
      </c>
    </row>
    <row r="102" spans="1:5">
      <c r="D102" s="97">
        <f t="shared" si="9"/>
        <v>1900</v>
      </c>
      <c r="E102" s="97" t="str">
        <f t="shared" si="10"/>
        <v>4</v>
      </c>
    </row>
    <row r="103" spans="1:5">
      <c r="D103" s="97">
        <f t="shared" si="9"/>
        <v>1900</v>
      </c>
      <c r="E103" s="97" t="str">
        <f t="shared" si="10"/>
        <v>4</v>
      </c>
    </row>
    <row r="104" spans="1:5">
      <c r="D104" s="97">
        <f t="shared" si="9"/>
        <v>1900</v>
      </c>
      <c r="E104" s="97" t="str">
        <f t="shared" si="10"/>
        <v>4</v>
      </c>
    </row>
    <row r="105" spans="1:5">
      <c r="D105" s="97">
        <f t="shared" si="9"/>
        <v>1900</v>
      </c>
      <c r="E105" s="97" t="str">
        <f t="shared" si="10"/>
        <v>4</v>
      </c>
    </row>
    <row r="106" spans="1:5">
      <c r="D106" s="97">
        <f t="shared" si="9"/>
        <v>1900</v>
      </c>
      <c r="E106" s="97" t="str">
        <f t="shared" si="10"/>
        <v>4</v>
      </c>
    </row>
    <row r="107" spans="1:5">
      <c r="D107" s="97">
        <f t="shared" si="9"/>
        <v>1900</v>
      </c>
      <c r="E107" s="97" t="str">
        <f t="shared" si="10"/>
        <v>4</v>
      </c>
    </row>
    <row r="108" spans="1:5">
      <c r="D108" s="97">
        <f t="shared" si="9"/>
        <v>1900</v>
      </c>
      <c r="E108" s="97" t="str">
        <f t="shared" si="10"/>
        <v>4</v>
      </c>
    </row>
    <row r="109" spans="1:5">
      <c r="D109" s="97">
        <f t="shared" si="9"/>
        <v>1900</v>
      </c>
      <c r="E109" s="97" t="str">
        <f t="shared" si="10"/>
        <v>4</v>
      </c>
    </row>
    <row r="110" spans="1:5">
      <c r="D110" s="97">
        <f t="shared" si="9"/>
        <v>1900</v>
      </c>
      <c r="E110" s="97" t="str">
        <f t="shared" si="10"/>
        <v>4</v>
      </c>
    </row>
    <row r="111" spans="1:5">
      <c r="D111" s="97">
        <f t="shared" si="9"/>
        <v>1900</v>
      </c>
      <c r="E111" s="97" t="str">
        <f t="shared" si="10"/>
        <v>4</v>
      </c>
    </row>
    <row r="112" spans="1:5">
      <c r="D112" s="97">
        <f t="shared" si="9"/>
        <v>1900</v>
      </c>
      <c r="E112" s="97" t="str">
        <f t="shared" si="10"/>
        <v>4</v>
      </c>
    </row>
    <row r="113" spans="4:5">
      <c r="D113" s="97">
        <f t="shared" si="9"/>
        <v>1900</v>
      </c>
      <c r="E113" s="97" t="str">
        <f t="shared" si="10"/>
        <v>4</v>
      </c>
    </row>
    <row r="114" spans="4:5">
      <c r="D114" s="97">
        <f t="shared" si="9"/>
        <v>1900</v>
      </c>
      <c r="E114" s="97" t="str">
        <f t="shared" si="10"/>
        <v>4</v>
      </c>
    </row>
    <row r="115" spans="4:5">
      <c r="D115" s="97">
        <f t="shared" si="9"/>
        <v>1900</v>
      </c>
      <c r="E115" s="97" t="str">
        <f t="shared" si="10"/>
        <v>4</v>
      </c>
    </row>
    <row r="116" spans="4:5">
      <c r="D116" s="97">
        <f t="shared" si="9"/>
        <v>1900</v>
      </c>
      <c r="E116" s="97" t="str">
        <f t="shared" si="10"/>
        <v>4</v>
      </c>
    </row>
    <row r="117" spans="4:5">
      <c r="D117" s="97">
        <f t="shared" si="9"/>
        <v>1900</v>
      </c>
      <c r="E117" s="97" t="str">
        <f t="shared" si="10"/>
        <v>4</v>
      </c>
    </row>
    <row r="118" spans="4:5">
      <c r="D118" s="97">
        <f t="shared" si="9"/>
        <v>1900</v>
      </c>
      <c r="E118" s="97" t="str">
        <f t="shared" si="10"/>
        <v>4</v>
      </c>
    </row>
    <row r="119" spans="4:5">
      <c r="D119" s="97">
        <f t="shared" si="9"/>
        <v>1900</v>
      </c>
      <c r="E119" s="97" t="str">
        <f t="shared" si="10"/>
        <v>4</v>
      </c>
    </row>
    <row r="120" spans="4:5">
      <c r="D120" s="97">
        <f t="shared" si="9"/>
        <v>1900</v>
      </c>
      <c r="E120" s="97" t="str">
        <f t="shared" si="10"/>
        <v>4</v>
      </c>
    </row>
    <row r="121" spans="4:5">
      <c r="D121" s="97">
        <f t="shared" si="9"/>
        <v>1900</v>
      </c>
      <c r="E121" s="97" t="str">
        <f t="shared" si="10"/>
        <v>4</v>
      </c>
    </row>
    <row r="122" spans="4:5">
      <c r="D122" s="97">
        <f t="shared" si="9"/>
        <v>1900</v>
      </c>
      <c r="E122" s="97" t="str">
        <f t="shared" si="10"/>
        <v>4</v>
      </c>
    </row>
    <row r="123" spans="4:5">
      <c r="D123" s="97">
        <f t="shared" si="9"/>
        <v>1900</v>
      </c>
      <c r="E123" s="97" t="str">
        <f t="shared" si="10"/>
        <v>4</v>
      </c>
    </row>
    <row r="124" spans="4:5">
      <c r="D124" s="97">
        <f t="shared" si="9"/>
        <v>1900</v>
      </c>
      <c r="E124" s="97" t="str">
        <f t="shared" si="10"/>
        <v>4</v>
      </c>
    </row>
    <row r="125" spans="4:5">
      <c r="D125" s="97">
        <f t="shared" si="9"/>
        <v>1900</v>
      </c>
      <c r="E125" s="97" t="str">
        <f t="shared" si="10"/>
        <v>4</v>
      </c>
    </row>
    <row r="126" spans="4:5">
      <c r="D126" s="97">
        <f t="shared" si="9"/>
        <v>1900</v>
      </c>
      <c r="E126" s="97" t="str">
        <f t="shared" si="10"/>
        <v>4</v>
      </c>
    </row>
    <row r="127" spans="4:5">
      <c r="D127" s="97">
        <f t="shared" si="9"/>
        <v>1900</v>
      </c>
      <c r="E127" s="97" t="str">
        <f t="shared" si="10"/>
        <v>4</v>
      </c>
    </row>
    <row r="128" spans="4:5">
      <c r="D128" s="97">
        <f t="shared" si="9"/>
        <v>1900</v>
      </c>
      <c r="E128" s="97" t="str">
        <f t="shared" si="10"/>
        <v>4</v>
      </c>
    </row>
    <row r="129" spans="4:5">
      <c r="D129" s="97">
        <f t="shared" si="9"/>
        <v>1900</v>
      </c>
      <c r="E129" s="97" t="str">
        <f t="shared" si="10"/>
        <v>4</v>
      </c>
    </row>
    <row r="130" spans="4:5">
      <c r="D130" s="97">
        <f t="shared" si="9"/>
        <v>1900</v>
      </c>
      <c r="E130" s="97" t="str">
        <f t="shared" si="10"/>
        <v>4</v>
      </c>
    </row>
    <row r="131" spans="4:5">
      <c r="D131" s="97">
        <f t="shared" si="9"/>
        <v>1900</v>
      </c>
      <c r="E131" s="97" t="str">
        <f t="shared" si="10"/>
        <v>4</v>
      </c>
    </row>
    <row r="132" spans="4:5">
      <c r="D132" s="97">
        <f t="shared" si="9"/>
        <v>1900</v>
      </c>
      <c r="E132" s="97" t="str">
        <f t="shared" si="10"/>
        <v>4</v>
      </c>
    </row>
    <row r="133" spans="4:5">
      <c r="D133" s="97">
        <f t="shared" si="9"/>
        <v>1900</v>
      </c>
      <c r="E133" s="97" t="str">
        <f t="shared" si="10"/>
        <v>4</v>
      </c>
    </row>
    <row r="134" spans="4:5">
      <c r="D134" s="97">
        <f t="shared" si="9"/>
        <v>1900</v>
      </c>
      <c r="E134" s="97" t="str">
        <f t="shared" si="10"/>
        <v>4</v>
      </c>
    </row>
    <row r="135" spans="4:5">
      <c r="D135" s="97">
        <f t="shared" si="9"/>
        <v>1900</v>
      </c>
      <c r="E135" s="97" t="str">
        <f t="shared" si="10"/>
        <v>4</v>
      </c>
    </row>
    <row r="136" spans="4:5">
      <c r="D136" s="97">
        <f t="shared" si="9"/>
        <v>1900</v>
      </c>
      <c r="E136" s="97" t="str">
        <f t="shared" si="10"/>
        <v>4</v>
      </c>
    </row>
    <row r="137" spans="4:5">
      <c r="D137" s="97">
        <f t="shared" si="9"/>
        <v>1900</v>
      </c>
      <c r="E137" s="97" t="str">
        <f t="shared" si="10"/>
        <v>4</v>
      </c>
    </row>
    <row r="138" spans="4:5">
      <c r="D138" s="97">
        <f t="shared" si="9"/>
        <v>1900</v>
      </c>
      <c r="E138" s="97" t="str">
        <f t="shared" si="10"/>
        <v>4</v>
      </c>
    </row>
    <row r="139" spans="4:5">
      <c r="D139" s="97">
        <f t="shared" si="9"/>
        <v>1900</v>
      </c>
      <c r="E139" s="97" t="str">
        <f t="shared" si="10"/>
        <v>4</v>
      </c>
    </row>
    <row r="140" spans="4:5">
      <c r="D140" s="97">
        <f t="shared" ref="D140:D203" si="11">YEAR(A140)</f>
        <v>1900</v>
      </c>
      <c r="E140" s="97" t="str">
        <f t="shared" ref="E140:E203" si="12">IF(MONTH(A140)=3,"1",IF(MONTH(A140)=6,"2",IF(MONTH(A140)=9,"3","4")))</f>
        <v>4</v>
      </c>
    </row>
    <row r="141" spans="4:5">
      <c r="D141" s="97">
        <f t="shared" si="11"/>
        <v>1900</v>
      </c>
      <c r="E141" s="97" t="str">
        <f t="shared" si="12"/>
        <v>4</v>
      </c>
    </row>
    <row r="142" spans="4:5">
      <c r="D142" s="97">
        <f t="shared" si="11"/>
        <v>1900</v>
      </c>
      <c r="E142" s="97" t="str">
        <f t="shared" si="12"/>
        <v>4</v>
      </c>
    </row>
    <row r="143" spans="4:5">
      <c r="D143" s="97">
        <f t="shared" si="11"/>
        <v>1900</v>
      </c>
      <c r="E143" s="97" t="str">
        <f t="shared" si="12"/>
        <v>4</v>
      </c>
    </row>
    <row r="144" spans="4:5">
      <c r="D144" s="97">
        <f t="shared" si="11"/>
        <v>1900</v>
      </c>
      <c r="E144" s="97" t="str">
        <f t="shared" si="12"/>
        <v>4</v>
      </c>
    </row>
    <row r="145" spans="4:5">
      <c r="D145" s="97">
        <f t="shared" si="11"/>
        <v>1900</v>
      </c>
      <c r="E145" s="97" t="str">
        <f t="shared" si="12"/>
        <v>4</v>
      </c>
    </row>
    <row r="146" spans="4:5">
      <c r="D146" s="97">
        <f t="shared" si="11"/>
        <v>1900</v>
      </c>
      <c r="E146" s="97" t="str">
        <f t="shared" si="12"/>
        <v>4</v>
      </c>
    </row>
    <row r="147" spans="4:5">
      <c r="D147" s="97">
        <f t="shared" si="11"/>
        <v>1900</v>
      </c>
      <c r="E147" s="97" t="str">
        <f t="shared" si="12"/>
        <v>4</v>
      </c>
    </row>
    <row r="148" spans="4:5">
      <c r="D148" s="97">
        <f t="shared" si="11"/>
        <v>1900</v>
      </c>
      <c r="E148" s="97" t="str">
        <f t="shared" si="12"/>
        <v>4</v>
      </c>
    </row>
    <row r="149" spans="4:5">
      <c r="D149" s="97">
        <f t="shared" si="11"/>
        <v>1900</v>
      </c>
      <c r="E149" s="97" t="str">
        <f t="shared" si="12"/>
        <v>4</v>
      </c>
    </row>
    <row r="150" spans="4:5">
      <c r="D150" s="97">
        <f t="shared" si="11"/>
        <v>1900</v>
      </c>
      <c r="E150" s="97" t="str">
        <f t="shared" si="12"/>
        <v>4</v>
      </c>
    </row>
    <row r="151" spans="4:5">
      <c r="D151" s="97">
        <f t="shared" si="11"/>
        <v>1900</v>
      </c>
      <c r="E151" s="97" t="str">
        <f t="shared" si="12"/>
        <v>4</v>
      </c>
    </row>
    <row r="152" spans="4:5">
      <c r="D152" s="97">
        <f t="shared" si="11"/>
        <v>1900</v>
      </c>
      <c r="E152" s="97" t="str">
        <f t="shared" si="12"/>
        <v>4</v>
      </c>
    </row>
    <row r="153" spans="4:5">
      <c r="D153" s="97">
        <f t="shared" si="11"/>
        <v>1900</v>
      </c>
      <c r="E153" s="97" t="str">
        <f t="shared" si="12"/>
        <v>4</v>
      </c>
    </row>
    <row r="154" spans="4:5">
      <c r="D154" s="97">
        <f t="shared" si="11"/>
        <v>1900</v>
      </c>
      <c r="E154" s="97" t="str">
        <f t="shared" si="12"/>
        <v>4</v>
      </c>
    </row>
    <row r="155" spans="4:5">
      <c r="D155" s="97">
        <f t="shared" si="11"/>
        <v>1900</v>
      </c>
      <c r="E155" s="97" t="str">
        <f t="shared" si="12"/>
        <v>4</v>
      </c>
    </row>
    <row r="156" spans="4:5">
      <c r="D156" s="97">
        <f t="shared" si="11"/>
        <v>1900</v>
      </c>
      <c r="E156" s="97" t="str">
        <f t="shared" si="12"/>
        <v>4</v>
      </c>
    </row>
    <row r="157" spans="4:5">
      <c r="D157" s="97">
        <f t="shared" si="11"/>
        <v>1900</v>
      </c>
      <c r="E157" s="97" t="str">
        <f t="shared" si="12"/>
        <v>4</v>
      </c>
    </row>
    <row r="158" spans="4:5">
      <c r="D158" s="97">
        <f t="shared" si="11"/>
        <v>1900</v>
      </c>
      <c r="E158" s="97" t="str">
        <f t="shared" si="12"/>
        <v>4</v>
      </c>
    </row>
    <row r="159" spans="4:5">
      <c r="D159" s="97">
        <f t="shared" si="11"/>
        <v>1900</v>
      </c>
      <c r="E159" s="97" t="str">
        <f t="shared" si="12"/>
        <v>4</v>
      </c>
    </row>
    <row r="160" spans="4:5">
      <c r="D160" s="97">
        <f t="shared" si="11"/>
        <v>1900</v>
      </c>
      <c r="E160" s="97" t="str">
        <f t="shared" si="12"/>
        <v>4</v>
      </c>
    </row>
    <row r="161" spans="4:5">
      <c r="D161" s="97">
        <f t="shared" si="11"/>
        <v>1900</v>
      </c>
      <c r="E161" s="97" t="str">
        <f t="shared" si="12"/>
        <v>4</v>
      </c>
    </row>
    <row r="162" spans="4:5">
      <c r="D162" s="97">
        <f t="shared" si="11"/>
        <v>1900</v>
      </c>
      <c r="E162" s="97" t="str">
        <f t="shared" si="12"/>
        <v>4</v>
      </c>
    </row>
    <row r="163" spans="4:5">
      <c r="D163" s="97">
        <f t="shared" si="11"/>
        <v>1900</v>
      </c>
      <c r="E163" s="97" t="str">
        <f t="shared" si="12"/>
        <v>4</v>
      </c>
    </row>
    <row r="164" spans="4:5">
      <c r="D164" s="97">
        <f t="shared" si="11"/>
        <v>1900</v>
      </c>
      <c r="E164" s="97" t="str">
        <f t="shared" si="12"/>
        <v>4</v>
      </c>
    </row>
    <row r="165" spans="4:5">
      <c r="D165" s="97">
        <f t="shared" si="11"/>
        <v>1900</v>
      </c>
      <c r="E165" s="97" t="str">
        <f t="shared" si="12"/>
        <v>4</v>
      </c>
    </row>
    <row r="166" spans="4:5">
      <c r="D166" s="97">
        <f t="shared" si="11"/>
        <v>1900</v>
      </c>
      <c r="E166" s="97" t="str">
        <f t="shared" si="12"/>
        <v>4</v>
      </c>
    </row>
    <row r="167" spans="4:5">
      <c r="D167" s="97">
        <f t="shared" si="11"/>
        <v>1900</v>
      </c>
      <c r="E167" s="97" t="str">
        <f t="shared" si="12"/>
        <v>4</v>
      </c>
    </row>
    <row r="168" spans="4:5">
      <c r="D168" s="97">
        <f t="shared" si="11"/>
        <v>1900</v>
      </c>
      <c r="E168" s="97" t="str">
        <f t="shared" si="12"/>
        <v>4</v>
      </c>
    </row>
    <row r="169" spans="4:5">
      <c r="D169" s="97">
        <f t="shared" si="11"/>
        <v>1900</v>
      </c>
      <c r="E169" s="97" t="str">
        <f t="shared" si="12"/>
        <v>4</v>
      </c>
    </row>
    <row r="170" spans="4:5">
      <c r="D170" s="97">
        <f t="shared" si="11"/>
        <v>1900</v>
      </c>
      <c r="E170" s="97" t="str">
        <f t="shared" si="12"/>
        <v>4</v>
      </c>
    </row>
    <row r="171" spans="4:5">
      <c r="D171" s="97">
        <f t="shared" si="11"/>
        <v>1900</v>
      </c>
      <c r="E171" s="97" t="str">
        <f t="shared" si="12"/>
        <v>4</v>
      </c>
    </row>
    <row r="172" spans="4:5">
      <c r="D172" s="97">
        <f t="shared" si="11"/>
        <v>1900</v>
      </c>
      <c r="E172" s="97" t="str">
        <f t="shared" si="12"/>
        <v>4</v>
      </c>
    </row>
    <row r="173" spans="4:5">
      <c r="D173" s="97">
        <f t="shared" si="11"/>
        <v>1900</v>
      </c>
      <c r="E173" s="97" t="str">
        <f t="shared" si="12"/>
        <v>4</v>
      </c>
    </row>
    <row r="174" spans="4:5">
      <c r="D174" s="97">
        <f t="shared" si="11"/>
        <v>1900</v>
      </c>
      <c r="E174" s="97" t="str">
        <f t="shared" si="12"/>
        <v>4</v>
      </c>
    </row>
    <row r="175" spans="4:5">
      <c r="D175" s="97">
        <f t="shared" si="11"/>
        <v>1900</v>
      </c>
      <c r="E175" s="97" t="str">
        <f t="shared" si="12"/>
        <v>4</v>
      </c>
    </row>
    <row r="176" spans="4:5">
      <c r="D176" s="97">
        <f t="shared" si="11"/>
        <v>1900</v>
      </c>
      <c r="E176" s="97" t="str">
        <f t="shared" si="12"/>
        <v>4</v>
      </c>
    </row>
    <row r="177" spans="4:5">
      <c r="D177" s="97">
        <f t="shared" si="11"/>
        <v>1900</v>
      </c>
      <c r="E177" s="97" t="str">
        <f t="shared" si="12"/>
        <v>4</v>
      </c>
    </row>
    <row r="178" spans="4:5">
      <c r="D178" s="97">
        <f t="shared" si="11"/>
        <v>1900</v>
      </c>
      <c r="E178" s="97" t="str">
        <f t="shared" si="12"/>
        <v>4</v>
      </c>
    </row>
    <row r="179" spans="4:5">
      <c r="D179" s="97">
        <f t="shared" si="11"/>
        <v>1900</v>
      </c>
      <c r="E179" s="97" t="str">
        <f t="shared" si="12"/>
        <v>4</v>
      </c>
    </row>
    <row r="180" spans="4:5">
      <c r="D180" s="97">
        <f t="shared" si="11"/>
        <v>1900</v>
      </c>
      <c r="E180" s="97" t="str">
        <f t="shared" si="12"/>
        <v>4</v>
      </c>
    </row>
    <row r="181" spans="4:5">
      <c r="D181" s="97">
        <f t="shared" si="11"/>
        <v>1900</v>
      </c>
      <c r="E181" s="97" t="str">
        <f t="shared" si="12"/>
        <v>4</v>
      </c>
    </row>
    <row r="182" spans="4:5">
      <c r="D182" s="97">
        <f t="shared" si="11"/>
        <v>1900</v>
      </c>
      <c r="E182" s="97" t="str">
        <f t="shared" si="12"/>
        <v>4</v>
      </c>
    </row>
    <row r="183" spans="4:5">
      <c r="D183" s="97">
        <f t="shared" si="11"/>
        <v>1900</v>
      </c>
      <c r="E183" s="97" t="str">
        <f t="shared" si="12"/>
        <v>4</v>
      </c>
    </row>
    <row r="184" spans="4:5">
      <c r="D184" s="97">
        <f t="shared" si="11"/>
        <v>1900</v>
      </c>
      <c r="E184" s="97" t="str">
        <f t="shared" si="12"/>
        <v>4</v>
      </c>
    </row>
    <row r="185" spans="4:5">
      <c r="D185" s="97">
        <f t="shared" si="11"/>
        <v>1900</v>
      </c>
      <c r="E185" s="97" t="str">
        <f t="shared" si="12"/>
        <v>4</v>
      </c>
    </row>
    <row r="186" spans="4:5">
      <c r="D186" s="97">
        <f t="shared" si="11"/>
        <v>1900</v>
      </c>
      <c r="E186" s="97" t="str">
        <f t="shared" si="12"/>
        <v>4</v>
      </c>
    </row>
    <row r="187" spans="4:5">
      <c r="D187" s="97">
        <f t="shared" si="11"/>
        <v>1900</v>
      </c>
      <c r="E187" s="97" t="str">
        <f t="shared" si="12"/>
        <v>4</v>
      </c>
    </row>
    <row r="188" spans="4:5">
      <c r="D188" s="97">
        <f t="shared" si="11"/>
        <v>1900</v>
      </c>
      <c r="E188" s="97" t="str">
        <f t="shared" si="12"/>
        <v>4</v>
      </c>
    </row>
    <row r="189" spans="4:5">
      <c r="D189" s="97">
        <f t="shared" si="11"/>
        <v>1900</v>
      </c>
      <c r="E189" s="97" t="str">
        <f t="shared" si="12"/>
        <v>4</v>
      </c>
    </row>
    <row r="190" spans="4:5">
      <c r="D190" s="97">
        <f t="shared" si="11"/>
        <v>1900</v>
      </c>
      <c r="E190" s="97" t="str">
        <f t="shared" si="12"/>
        <v>4</v>
      </c>
    </row>
    <row r="191" spans="4:5">
      <c r="D191" s="97">
        <f t="shared" si="11"/>
        <v>1900</v>
      </c>
      <c r="E191" s="97" t="str">
        <f t="shared" si="12"/>
        <v>4</v>
      </c>
    </row>
    <row r="192" spans="4:5">
      <c r="D192" s="97">
        <f t="shared" si="11"/>
        <v>1900</v>
      </c>
      <c r="E192" s="97" t="str">
        <f t="shared" si="12"/>
        <v>4</v>
      </c>
    </row>
    <row r="193" spans="4:5">
      <c r="D193" s="97">
        <f t="shared" si="11"/>
        <v>1900</v>
      </c>
      <c r="E193" s="97" t="str">
        <f t="shared" si="12"/>
        <v>4</v>
      </c>
    </row>
    <row r="194" spans="4:5">
      <c r="D194" s="97">
        <f t="shared" si="11"/>
        <v>1900</v>
      </c>
      <c r="E194" s="97" t="str">
        <f t="shared" si="12"/>
        <v>4</v>
      </c>
    </row>
    <row r="195" spans="4:5">
      <c r="D195" s="97">
        <f t="shared" si="11"/>
        <v>1900</v>
      </c>
      <c r="E195" s="97" t="str">
        <f t="shared" si="12"/>
        <v>4</v>
      </c>
    </row>
    <row r="196" spans="4:5">
      <c r="D196" s="97">
        <f t="shared" si="11"/>
        <v>1900</v>
      </c>
      <c r="E196" s="97" t="str">
        <f t="shared" si="12"/>
        <v>4</v>
      </c>
    </row>
    <row r="197" spans="4:5">
      <c r="D197" s="97">
        <f t="shared" si="11"/>
        <v>1900</v>
      </c>
      <c r="E197" s="97" t="str">
        <f t="shared" si="12"/>
        <v>4</v>
      </c>
    </row>
    <row r="198" spans="4:5">
      <c r="D198" s="97">
        <f t="shared" si="11"/>
        <v>1900</v>
      </c>
      <c r="E198" s="97" t="str">
        <f t="shared" si="12"/>
        <v>4</v>
      </c>
    </row>
    <row r="199" spans="4:5">
      <c r="D199" s="97">
        <f t="shared" si="11"/>
        <v>1900</v>
      </c>
      <c r="E199" s="97" t="str">
        <f t="shared" si="12"/>
        <v>4</v>
      </c>
    </row>
    <row r="200" spans="4:5">
      <c r="D200" s="97">
        <f t="shared" si="11"/>
        <v>1900</v>
      </c>
      <c r="E200" s="97" t="str">
        <f t="shared" si="12"/>
        <v>4</v>
      </c>
    </row>
    <row r="201" spans="4:5">
      <c r="D201" s="97">
        <f t="shared" si="11"/>
        <v>1900</v>
      </c>
      <c r="E201" s="97" t="str">
        <f t="shared" si="12"/>
        <v>4</v>
      </c>
    </row>
    <row r="202" spans="4:5">
      <c r="D202" s="97">
        <f t="shared" si="11"/>
        <v>1900</v>
      </c>
      <c r="E202" s="97" t="str">
        <f t="shared" si="12"/>
        <v>4</v>
      </c>
    </row>
    <row r="203" spans="4:5">
      <c r="D203" s="97">
        <f t="shared" si="11"/>
        <v>1900</v>
      </c>
      <c r="E203" s="97" t="str">
        <f t="shared" si="12"/>
        <v>4</v>
      </c>
    </row>
    <row r="204" spans="4:5">
      <c r="D204" s="97">
        <f t="shared" ref="D204:D250" si="13">YEAR(A204)</f>
        <v>1900</v>
      </c>
      <c r="E204" s="97" t="str">
        <f t="shared" ref="E204:E250" si="14">IF(MONTH(A204)=3,"1",IF(MONTH(A204)=6,"2",IF(MONTH(A204)=9,"3","4")))</f>
        <v>4</v>
      </c>
    </row>
    <row r="205" spans="4:5">
      <c r="D205" s="97">
        <f t="shared" si="13"/>
        <v>1900</v>
      </c>
      <c r="E205" s="97" t="str">
        <f t="shared" si="14"/>
        <v>4</v>
      </c>
    </row>
    <row r="206" spans="4:5">
      <c r="D206" s="97">
        <f t="shared" si="13"/>
        <v>1900</v>
      </c>
      <c r="E206" s="97" t="str">
        <f t="shared" si="14"/>
        <v>4</v>
      </c>
    </row>
    <row r="207" spans="4:5">
      <c r="D207" s="97">
        <f t="shared" si="13"/>
        <v>1900</v>
      </c>
      <c r="E207" s="97" t="str">
        <f t="shared" si="14"/>
        <v>4</v>
      </c>
    </row>
    <row r="208" spans="4:5">
      <c r="D208" s="97">
        <f t="shared" si="13"/>
        <v>1900</v>
      </c>
      <c r="E208" s="97" t="str">
        <f t="shared" si="14"/>
        <v>4</v>
      </c>
    </row>
    <row r="209" spans="4:5">
      <c r="D209" s="97">
        <f t="shared" si="13"/>
        <v>1900</v>
      </c>
      <c r="E209" s="97" t="str">
        <f t="shared" si="14"/>
        <v>4</v>
      </c>
    </row>
    <row r="210" spans="4:5">
      <c r="D210" s="97">
        <f t="shared" si="13"/>
        <v>1900</v>
      </c>
      <c r="E210" s="97" t="str">
        <f t="shared" si="14"/>
        <v>4</v>
      </c>
    </row>
    <row r="211" spans="4:5">
      <c r="D211" s="97">
        <f t="shared" si="13"/>
        <v>1900</v>
      </c>
      <c r="E211" s="97" t="str">
        <f t="shared" si="14"/>
        <v>4</v>
      </c>
    </row>
    <row r="212" spans="4:5">
      <c r="D212" s="97">
        <f t="shared" si="13"/>
        <v>1900</v>
      </c>
      <c r="E212" s="97" t="str">
        <f t="shared" si="14"/>
        <v>4</v>
      </c>
    </row>
    <row r="213" spans="4:5">
      <c r="D213" s="97">
        <f t="shared" si="13"/>
        <v>1900</v>
      </c>
      <c r="E213" s="97" t="str">
        <f t="shared" si="14"/>
        <v>4</v>
      </c>
    </row>
    <row r="214" spans="4:5">
      <c r="D214" s="97">
        <f t="shared" si="13"/>
        <v>1900</v>
      </c>
      <c r="E214" s="97" t="str">
        <f t="shared" si="14"/>
        <v>4</v>
      </c>
    </row>
    <row r="215" spans="4:5">
      <c r="D215" s="97">
        <f t="shared" si="13"/>
        <v>1900</v>
      </c>
      <c r="E215" s="97" t="str">
        <f t="shared" si="14"/>
        <v>4</v>
      </c>
    </row>
    <row r="216" spans="4:5">
      <c r="D216" s="97">
        <f t="shared" si="13"/>
        <v>1900</v>
      </c>
      <c r="E216" s="97" t="str">
        <f t="shared" si="14"/>
        <v>4</v>
      </c>
    </row>
    <row r="217" spans="4:5">
      <c r="D217" s="97">
        <f t="shared" si="13"/>
        <v>1900</v>
      </c>
      <c r="E217" s="97" t="str">
        <f t="shared" si="14"/>
        <v>4</v>
      </c>
    </row>
    <row r="218" spans="4:5">
      <c r="D218" s="97">
        <f t="shared" si="13"/>
        <v>1900</v>
      </c>
      <c r="E218" s="97" t="str">
        <f t="shared" si="14"/>
        <v>4</v>
      </c>
    </row>
    <row r="219" spans="4:5">
      <c r="D219" s="97">
        <f t="shared" si="13"/>
        <v>1900</v>
      </c>
      <c r="E219" s="97" t="str">
        <f t="shared" si="14"/>
        <v>4</v>
      </c>
    </row>
    <row r="220" spans="4:5">
      <c r="D220" s="97">
        <f t="shared" si="13"/>
        <v>1900</v>
      </c>
      <c r="E220" s="97" t="str">
        <f t="shared" si="14"/>
        <v>4</v>
      </c>
    </row>
    <row r="221" spans="4:5">
      <c r="D221" s="97">
        <f t="shared" si="13"/>
        <v>1900</v>
      </c>
      <c r="E221" s="97" t="str">
        <f t="shared" si="14"/>
        <v>4</v>
      </c>
    </row>
    <row r="222" spans="4:5">
      <c r="D222" s="97">
        <f t="shared" si="13"/>
        <v>1900</v>
      </c>
      <c r="E222" s="97" t="str">
        <f t="shared" si="14"/>
        <v>4</v>
      </c>
    </row>
    <row r="223" spans="4:5">
      <c r="D223" s="97">
        <f t="shared" si="13"/>
        <v>1900</v>
      </c>
      <c r="E223" s="97" t="str">
        <f t="shared" si="14"/>
        <v>4</v>
      </c>
    </row>
    <row r="224" spans="4:5">
      <c r="D224" s="97">
        <f t="shared" si="13"/>
        <v>1900</v>
      </c>
      <c r="E224" s="97" t="str">
        <f t="shared" si="14"/>
        <v>4</v>
      </c>
    </row>
    <row r="225" spans="4:5">
      <c r="D225" s="97">
        <f t="shared" si="13"/>
        <v>1900</v>
      </c>
      <c r="E225" s="97" t="str">
        <f t="shared" si="14"/>
        <v>4</v>
      </c>
    </row>
    <row r="226" spans="4:5">
      <c r="D226" s="97">
        <f t="shared" si="13"/>
        <v>1900</v>
      </c>
      <c r="E226" s="97" t="str">
        <f t="shared" si="14"/>
        <v>4</v>
      </c>
    </row>
    <row r="227" spans="4:5">
      <c r="D227" s="97">
        <f t="shared" si="13"/>
        <v>1900</v>
      </c>
      <c r="E227" s="97" t="str">
        <f t="shared" si="14"/>
        <v>4</v>
      </c>
    </row>
    <row r="228" spans="4:5">
      <c r="D228" s="97">
        <f t="shared" si="13"/>
        <v>1900</v>
      </c>
      <c r="E228" s="97" t="str">
        <f t="shared" si="14"/>
        <v>4</v>
      </c>
    </row>
    <row r="229" spans="4:5">
      <c r="D229" s="97">
        <f t="shared" si="13"/>
        <v>1900</v>
      </c>
      <c r="E229" s="97" t="str">
        <f t="shared" si="14"/>
        <v>4</v>
      </c>
    </row>
    <row r="230" spans="4:5">
      <c r="D230" s="97">
        <f t="shared" si="13"/>
        <v>1900</v>
      </c>
      <c r="E230" s="97" t="str">
        <f t="shared" si="14"/>
        <v>4</v>
      </c>
    </row>
    <row r="231" spans="4:5">
      <c r="D231" s="97">
        <f t="shared" si="13"/>
        <v>1900</v>
      </c>
      <c r="E231" s="97" t="str">
        <f t="shared" si="14"/>
        <v>4</v>
      </c>
    </row>
    <row r="232" spans="4:5">
      <c r="D232" s="97">
        <f t="shared" si="13"/>
        <v>1900</v>
      </c>
      <c r="E232" s="97" t="str">
        <f t="shared" si="14"/>
        <v>4</v>
      </c>
    </row>
    <row r="233" spans="4:5">
      <c r="D233" s="97">
        <f t="shared" si="13"/>
        <v>1900</v>
      </c>
      <c r="E233" s="97" t="str">
        <f t="shared" si="14"/>
        <v>4</v>
      </c>
    </row>
    <row r="234" spans="4:5">
      <c r="D234" s="97">
        <f t="shared" si="13"/>
        <v>1900</v>
      </c>
      <c r="E234" s="97" t="str">
        <f t="shared" si="14"/>
        <v>4</v>
      </c>
    </row>
    <row r="235" spans="4:5">
      <c r="D235" s="97">
        <f t="shared" si="13"/>
        <v>1900</v>
      </c>
      <c r="E235" s="97" t="str">
        <f t="shared" si="14"/>
        <v>4</v>
      </c>
    </row>
    <row r="236" spans="4:5">
      <c r="D236" s="97">
        <f t="shared" si="13"/>
        <v>1900</v>
      </c>
      <c r="E236" s="97" t="str">
        <f t="shared" si="14"/>
        <v>4</v>
      </c>
    </row>
    <row r="237" spans="4:5">
      <c r="D237" s="97">
        <f t="shared" si="13"/>
        <v>1900</v>
      </c>
      <c r="E237" s="97" t="str">
        <f t="shared" si="14"/>
        <v>4</v>
      </c>
    </row>
    <row r="238" spans="4:5">
      <c r="D238" s="97">
        <f t="shared" si="13"/>
        <v>1900</v>
      </c>
      <c r="E238" s="97" t="str">
        <f t="shared" si="14"/>
        <v>4</v>
      </c>
    </row>
    <row r="239" spans="4:5">
      <c r="D239" s="97">
        <f t="shared" si="13"/>
        <v>1900</v>
      </c>
      <c r="E239" s="97" t="str">
        <f t="shared" si="14"/>
        <v>4</v>
      </c>
    </row>
    <row r="240" spans="4:5">
      <c r="D240" s="97">
        <f t="shared" si="13"/>
        <v>1900</v>
      </c>
      <c r="E240" s="97" t="str">
        <f t="shared" si="14"/>
        <v>4</v>
      </c>
    </row>
    <row r="241" spans="4:5">
      <c r="D241" s="97">
        <f t="shared" si="13"/>
        <v>1900</v>
      </c>
      <c r="E241" s="97" t="str">
        <f t="shared" si="14"/>
        <v>4</v>
      </c>
    </row>
    <row r="242" spans="4:5">
      <c r="D242" s="97">
        <f t="shared" si="13"/>
        <v>1900</v>
      </c>
      <c r="E242" s="97" t="str">
        <f t="shared" si="14"/>
        <v>4</v>
      </c>
    </row>
    <row r="243" spans="4:5">
      <c r="D243" s="97">
        <f t="shared" si="13"/>
        <v>1900</v>
      </c>
      <c r="E243" s="97" t="str">
        <f t="shared" si="14"/>
        <v>4</v>
      </c>
    </row>
    <row r="244" spans="4:5">
      <c r="D244" s="97">
        <f t="shared" si="13"/>
        <v>1900</v>
      </c>
      <c r="E244" s="97" t="str">
        <f t="shared" si="14"/>
        <v>4</v>
      </c>
    </row>
    <row r="245" spans="4:5">
      <c r="D245" s="97">
        <f t="shared" si="13"/>
        <v>1900</v>
      </c>
      <c r="E245" s="97" t="str">
        <f t="shared" si="14"/>
        <v>4</v>
      </c>
    </row>
    <row r="246" spans="4:5">
      <c r="D246" s="97">
        <f t="shared" si="13"/>
        <v>1900</v>
      </c>
      <c r="E246" s="97" t="str">
        <f t="shared" si="14"/>
        <v>4</v>
      </c>
    </row>
    <row r="247" spans="4:5">
      <c r="D247" s="97">
        <f t="shared" si="13"/>
        <v>1900</v>
      </c>
      <c r="E247" s="97" t="str">
        <f t="shared" si="14"/>
        <v>4</v>
      </c>
    </row>
    <row r="248" spans="4:5">
      <c r="D248" s="97">
        <f t="shared" si="13"/>
        <v>1900</v>
      </c>
      <c r="E248" s="97" t="str">
        <f t="shared" si="14"/>
        <v>4</v>
      </c>
    </row>
    <row r="249" spans="4:5">
      <c r="D249" s="97">
        <f t="shared" si="13"/>
        <v>1900</v>
      </c>
      <c r="E249" s="97" t="str">
        <f t="shared" si="14"/>
        <v>4</v>
      </c>
    </row>
    <row r="250" spans="4:5">
      <c r="D250" s="97">
        <f t="shared" si="13"/>
        <v>1900</v>
      </c>
      <c r="E250" s="97" t="str">
        <f t="shared" si="14"/>
        <v>4</v>
      </c>
    </row>
  </sheetData>
  <mergeCells count="6">
    <mergeCell ref="A5:C5"/>
    <mergeCell ref="A6:C6"/>
    <mergeCell ref="Q7:S7"/>
    <mergeCell ref="Q8:S8"/>
    <mergeCell ref="Q34:S34"/>
    <mergeCell ref="R33:S33"/>
  </mergeCells>
  <dataValidations count="1">
    <dataValidation type="list" allowBlank="1" showInputMessage="1" showErrorMessage="1" promptTitle="Select a Period:" prompt="Select Financial or Calendar years." sqref="R33:S33">
      <formula1>A1:A2</formula1>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Y83"/>
  <sheetViews>
    <sheetView showGridLines="0" zoomScaleNormal="100" workbookViewId="0">
      <selection activeCell="Q53" sqref="Q53"/>
    </sheetView>
  </sheetViews>
  <sheetFormatPr defaultRowHeight="15"/>
  <cols>
    <col min="1" max="1" width="7.42578125" style="19" bestFit="1" customWidth="1"/>
    <col min="2" max="2" width="16.7109375" style="19" bestFit="1" customWidth="1"/>
    <col min="3" max="3" width="15.5703125" style="19" bestFit="1" customWidth="1"/>
    <col min="4" max="4" width="8" style="19" customWidth="1"/>
    <col min="5" max="6" width="9.140625" style="333" hidden="1" customWidth="1"/>
    <col min="7" max="7" width="7.85546875" style="19" bestFit="1" customWidth="1"/>
    <col min="8" max="8" width="18.140625" style="19" bestFit="1" customWidth="1"/>
    <col min="9" max="9" width="16.85546875" style="19" bestFit="1" customWidth="1"/>
    <col min="10" max="10" width="9.140625" style="333" hidden="1" customWidth="1"/>
    <col min="11" max="11" width="9.140625" style="19" hidden="1" customWidth="1"/>
    <col min="12" max="16384" width="9.140625" style="19"/>
  </cols>
  <sheetData>
    <row r="1" spans="1:25">
      <c r="Y1" s="342" t="s">
        <v>463</v>
      </c>
    </row>
    <row r="2" spans="1:25">
      <c r="K2" s="165"/>
      <c r="L2" s="343"/>
      <c r="Y2" s="342" t="s">
        <v>464</v>
      </c>
    </row>
    <row r="5" spans="1:25">
      <c r="A5" s="1981" t="s">
        <v>690</v>
      </c>
      <c r="B5" s="1981"/>
      <c r="C5" s="1981"/>
      <c r="D5" s="10"/>
      <c r="E5" s="128"/>
      <c r="F5" s="128"/>
      <c r="G5" s="1981" t="s">
        <v>691</v>
      </c>
      <c r="H5" s="1981"/>
      <c r="I5" s="1981"/>
    </row>
    <row r="6" spans="1:25" ht="15.75" thickBot="1">
      <c r="A6" s="1988" t="s">
        <v>703</v>
      </c>
      <c r="B6" s="1988"/>
      <c r="C6" s="1988"/>
      <c r="D6" s="10"/>
      <c r="E6" s="128"/>
      <c r="F6" s="128"/>
      <c r="G6" s="1981" t="str">
        <f>G61</f>
        <v>Historic Financial Year</v>
      </c>
      <c r="H6" s="1981"/>
      <c r="I6" s="1981"/>
      <c r="S6" s="841"/>
    </row>
    <row r="7" spans="1:25">
      <c r="A7" s="1454" t="s">
        <v>676</v>
      </c>
      <c r="B7" s="1455" t="s">
        <v>699</v>
      </c>
      <c r="C7" s="1456" t="s">
        <v>700</v>
      </c>
      <c r="D7" s="10"/>
      <c r="E7" s="128"/>
      <c r="F7" s="128"/>
      <c r="G7" s="1454" t="s">
        <v>41</v>
      </c>
      <c r="H7" s="1455" t="s">
        <v>699</v>
      </c>
      <c r="I7" s="1456" t="s">
        <v>700</v>
      </c>
    </row>
    <row r="8" spans="1:25">
      <c r="A8" s="606">
        <f>LARGE('Commodity Prices'!C$159:C$902,60)</f>
        <v>42552</v>
      </c>
      <c r="B8" s="706">
        <f>SUMIF('Commodity Prices'!C$159:C$902,A8,'Commodity Prices'!F$159:F$902)</f>
        <v>1337.33</v>
      </c>
      <c r="C8" s="705">
        <f>SUMIF('Commodity Prices'!C$159:C$902,A8,'Commodity Prices'!E$159:E$902)</f>
        <v>1789.93</v>
      </c>
      <c r="D8" s="10"/>
      <c r="E8" s="128">
        <v>1971</v>
      </c>
      <c r="F8" s="128">
        <v>1972</v>
      </c>
      <c r="G8" s="1327" t="str">
        <f>IF($G$6="Historic Calendar Year",1971,CONCATENATE(E8,"-",RIGHT(F8,2)))</f>
        <v>1971-72</v>
      </c>
      <c r="H8" s="706">
        <f t="array" ref="H8">IF($G$6="Historic Calendar Year",IFERROR(AVERAGE(IF($G8=YEAR('Commodity Prices'!$C$9:$C$1000),'Commodity Prices'!$F$9:$F$1000)),"NA"),IFERROR(IF(K8=0,"NA",K8),"NA"))</f>
        <v>39.864775658333336</v>
      </c>
      <c r="I8" s="705">
        <f t="array" ref="I8">IF($G$6="Historic Calendar Year",IFERROR(AVERAGE(IF($G8=YEAR('Commodity Prices'!$C$9:$C$1000),'Commodity Prices'!$E$9:$E$1000)),"NA"),IFERROR(IF(J8=0,"NA",J8),"NA"))</f>
        <v>46.884166666666665</v>
      </c>
      <c r="J8" s="333">
        <f>(SUMIFS('Commodity Prices'!$E$9:$E$2500,'Commodity Prices'!$A$9:$A$2500,'Gold - Prices'!E8,'Commodity Prices'!$B$9:$B$2500,3)+
SUMIFS('Commodity Prices'!$E$9:$E$2500,'Commodity Prices'!$A$9:$A$2500,'Gold - Prices'!E8,'Commodity Prices'!$B$9:$B$2500,4)+
SUMIFS('Commodity Prices'!$E$9:$E$2500,'Commodity Prices'!$A$9:$A$2500,'Gold - Prices'!F8,'Commodity Prices'!$B$9:$B$2500,1)+
SUMIFS('Commodity Prices'!$E$9:$E$2500,'Commodity Prices'!$A$9:$A$2500,'Gold - Prices'!F8,'Commodity Prices'!$B$9:$B$2500,2))
/(COUNTIFS('Commodity Prices'!$A$9:$A$2500,'Gold - Prices'!E8,'Commodity Prices'!$B$9:$B$2500,3)+
COUNTIFS('Commodity Prices'!$A$9:$A$2500,'Gold - Prices'!E8,'Commodity Prices'!$B$9:$B$2500,4)+
COUNTIFS('Commodity Prices'!$A$9:$A$2500,'Gold - Prices'!F8,'Commodity Prices'!$B$9:$B$2500,1)+
COUNTIFS('Commodity Prices'!$A$9:$A$2500,'Gold - Prices'!F8,'Commodity Prices'!$B$9:$B$2500,2))</f>
        <v>46.884166666666665</v>
      </c>
      <c r="K8" s="19">
        <f>(SUMIFS('Commodity Prices'!$F$9:$F$2500,'Commodity Prices'!$A$9:$A$2500,'Gold - Prices'!E8,'Commodity Prices'!$B$9:$B$2500,3)+
SUMIFS('Commodity Prices'!$F$9:$F$2500,'Commodity Prices'!$A$9:$A$2500,'Gold - Prices'!E8,'Commodity Prices'!$B$9:$B$2500,4)+
SUMIFS('Commodity Prices'!$F$9:$F$2500,'Commodity Prices'!$A$9:$A$2500,'Gold - Prices'!F8,'Commodity Prices'!$B$9:$B$2500,1)+
SUMIFS('Commodity Prices'!$F$9:$F$2500,'Commodity Prices'!$A$9:$A$2500,'Gold - Prices'!F8,'Commodity Prices'!$B$9:$B$2500,2))
/(COUNTIFS('Commodity Prices'!$A$9:$A$2500,'Gold - Prices'!E8,'Commodity Prices'!$B$9:$B$2500,3)+
COUNTIFS('Commodity Prices'!$A$9:$A$2500,'Gold - Prices'!E8,'Commodity Prices'!$B$9:$B$2500,4)+
COUNTIFS('Commodity Prices'!$A$9:$A$2500,'Gold - Prices'!F8,'Commodity Prices'!$B$9:$B$2500,1)+
COUNTIFS('Commodity Prices'!$A$9:$A$2500,'Gold - Prices'!F8,'Commodity Prices'!$B$9:$B$2500,2))</f>
        <v>39.864775658333336</v>
      </c>
    </row>
    <row r="9" spans="1:25">
      <c r="A9" s="606">
        <f>LARGE('Commodity Prices'!C$159:C$902,59)</f>
        <v>42583</v>
      </c>
      <c r="B9" s="804">
        <f>SUMIF('Commodity Prices'!C$159:C$902,A9,'Commodity Prices'!F$159:F$902)</f>
        <v>1341.09</v>
      </c>
      <c r="C9" s="805">
        <f>SUMIF('Commodity Prices'!C$159:C$902,A9,'Commodity Prices'!E$159:E$902)</f>
        <v>1770.59</v>
      </c>
      <c r="D9" s="10"/>
      <c r="E9" s="128">
        <f>E8+1</f>
        <v>1972</v>
      </c>
      <c r="F9" s="128">
        <f>F8+1</f>
        <v>1973</v>
      </c>
      <c r="G9" s="1327" t="str">
        <f t="shared" ref="G9:G40" si="0">IF($G$6="Historic Calendar Year",G8+1,CONCATENATE(E9,"-",RIGHT(F9,2)))</f>
        <v>1972-73</v>
      </c>
      <c r="H9" s="804">
        <f t="array" ref="H9">IF($G$6="Historic Calendar Year",IFERROR(AVERAGE(IF($G9=YEAR('Commodity Prices'!$C$9:$C$1000),'Commodity Prices'!$F$9:$F$1000)),"NA"),IFERROR(IF(K9=0,"NA",K9),"NA"))</f>
        <v>58.992837693458711</v>
      </c>
      <c r="I9" s="805">
        <f t="array" ref="I9">IF($G$6="Historic Calendar Year",IFERROR(AVERAGE(IF($G9=YEAR('Commodity Prices'!$C$9:$C$1000),'Commodity Prices'!$E$9:$E$1000)),"NA"),IFERROR(IF(J9=0,"NA",J9),"NA"))</f>
        <v>77.241341136933329</v>
      </c>
      <c r="J9" s="333">
        <f>(SUMIFS('Commodity Prices'!$E$9:$E$2500,'Commodity Prices'!$A$9:$A$2500,'Gold - Prices'!E9,'Commodity Prices'!$B$9:$B$2500,3)+
SUMIFS('Commodity Prices'!$E$9:$E$2500,'Commodity Prices'!$A$9:$A$2500,'Gold - Prices'!E9,'Commodity Prices'!$B$9:$B$2500,4)+
SUMIFS('Commodity Prices'!$E$9:$E$2500,'Commodity Prices'!$A$9:$A$2500,'Gold - Prices'!F9,'Commodity Prices'!$B$9:$B$2500,1)+
SUMIFS('Commodity Prices'!$E$9:$E$2500,'Commodity Prices'!$A$9:$A$2500,'Gold - Prices'!F9,'Commodity Prices'!$B$9:$B$2500,2))
/(COUNTIFS('Commodity Prices'!$A$9:$A$2500,'Gold - Prices'!E9,'Commodity Prices'!$B$9:$B$2500,3)+
COUNTIFS('Commodity Prices'!$A$9:$A$2500,'Gold - Prices'!E9,'Commodity Prices'!$B$9:$B$2500,4)+
COUNTIFS('Commodity Prices'!$A$9:$A$2500,'Gold - Prices'!F9,'Commodity Prices'!$B$9:$B$2500,1)+
COUNTIFS('Commodity Prices'!$A$9:$A$2500,'Gold - Prices'!F9,'Commodity Prices'!$B$9:$B$2500,2))</f>
        <v>77.241341136933329</v>
      </c>
      <c r="K9" s="333">
        <f>(SUMIFS('Commodity Prices'!$F$9:$F$2500,'Commodity Prices'!$A$9:$A$2500,'Gold - Prices'!E9,'Commodity Prices'!$B$9:$B$2500,3)+
SUMIFS('Commodity Prices'!$F$9:$F$2500,'Commodity Prices'!$A$9:$A$2500,'Gold - Prices'!E9,'Commodity Prices'!$B$9:$B$2500,4)+
SUMIFS('Commodity Prices'!$F$9:$F$2500,'Commodity Prices'!$A$9:$A$2500,'Gold - Prices'!F9,'Commodity Prices'!$B$9:$B$2500,1)+
SUMIFS('Commodity Prices'!$F$9:$F$2500,'Commodity Prices'!$A$9:$A$2500,'Gold - Prices'!F9,'Commodity Prices'!$B$9:$B$2500,2))
/(COUNTIFS('Commodity Prices'!$A$9:$A$2500,'Gold - Prices'!E9,'Commodity Prices'!$B$9:$B$2500,3)+
COUNTIFS('Commodity Prices'!$A$9:$A$2500,'Gold - Prices'!E9,'Commodity Prices'!$B$9:$B$2500,4)+
COUNTIFS('Commodity Prices'!$A$9:$A$2500,'Gold - Prices'!F9,'Commodity Prices'!$B$9:$B$2500,1)+
COUNTIFS('Commodity Prices'!$A$9:$A$2500,'Gold - Prices'!F9,'Commodity Prices'!$B$9:$B$2500,2))</f>
        <v>58.992837693458711</v>
      </c>
    </row>
    <row r="10" spans="1:25">
      <c r="A10" s="606">
        <f>LARGE('Commodity Prices'!C$159:C$902,58)</f>
        <v>42614</v>
      </c>
      <c r="B10" s="706">
        <f>SUMIF('Commodity Prices'!C$159:C$902,A10,'Commodity Prices'!F$159:F$902)</f>
        <v>1326.03</v>
      </c>
      <c r="C10" s="705">
        <f>SUMIF('Commodity Prices'!C$159:C$902,A10,'Commodity Prices'!E$159:E$902)</f>
        <v>1758.83</v>
      </c>
      <c r="D10" s="10"/>
      <c r="E10" s="128">
        <f t="shared" ref="E10:F42" si="1">E9+1</f>
        <v>1973</v>
      </c>
      <c r="F10" s="128">
        <f t="shared" si="1"/>
        <v>1974</v>
      </c>
      <c r="G10" s="1327" t="str">
        <f t="shared" si="0"/>
        <v>1973-74</v>
      </c>
      <c r="H10" s="706">
        <f t="array" ref="H10">IF($G$6="Historic Calendar Year",IFERROR(AVERAGE(IF($G10=YEAR('Commodity Prices'!$C$9:$C$1000),'Commodity Prices'!$F$9:$F$1000)),"NA"),IFERROR(IF(K10=0,"NA",K10),"NA"))</f>
        <v>88.512401521265872</v>
      </c>
      <c r="I10" s="705">
        <f t="array" ref="I10">IF($G$6="Historic Calendar Year",IFERROR(AVERAGE(IF($G10=YEAR('Commodity Prices'!$C$9:$C$1000),'Commodity Prices'!$E$9:$E$1000)),"NA"),IFERROR(IF(J10=0,"NA",J10),"NA"))</f>
        <v>130.78281971773333</v>
      </c>
      <c r="J10" s="333">
        <f>(SUMIFS('Commodity Prices'!$E$9:$E$2500,'Commodity Prices'!$A$9:$A$2500,'Gold - Prices'!E10,'Commodity Prices'!$B$9:$B$2500,3)+
SUMIFS('Commodity Prices'!$E$9:$E$2500,'Commodity Prices'!$A$9:$A$2500,'Gold - Prices'!E10,'Commodity Prices'!$B$9:$B$2500,4)+
SUMIFS('Commodity Prices'!$E$9:$E$2500,'Commodity Prices'!$A$9:$A$2500,'Gold - Prices'!F10,'Commodity Prices'!$B$9:$B$2500,1)+
SUMIFS('Commodity Prices'!$E$9:$E$2500,'Commodity Prices'!$A$9:$A$2500,'Gold - Prices'!F10,'Commodity Prices'!$B$9:$B$2500,2))
/(COUNTIFS('Commodity Prices'!$A$9:$A$2500,'Gold - Prices'!E10,'Commodity Prices'!$B$9:$B$2500,3)+
COUNTIFS('Commodity Prices'!$A$9:$A$2500,'Gold - Prices'!E10,'Commodity Prices'!$B$9:$B$2500,4)+
COUNTIFS('Commodity Prices'!$A$9:$A$2500,'Gold - Prices'!F10,'Commodity Prices'!$B$9:$B$2500,1)+
COUNTIFS('Commodity Prices'!$A$9:$A$2500,'Gold - Prices'!F10,'Commodity Prices'!$B$9:$B$2500,2))</f>
        <v>130.78281971773333</v>
      </c>
      <c r="K10" s="333">
        <f>(SUMIFS('Commodity Prices'!$F$9:$F$2500,'Commodity Prices'!$A$9:$A$2500,'Gold - Prices'!E10,'Commodity Prices'!$B$9:$B$2500,3)+
SUMIFS('Commodity Prices'!$F$9:$F$2500,'Commodity Prices'!$A$9:$A$2500,'Gold - Prices'!E10,'Commodity Prices'!$B$9:$B$2500,4)+
SUMIFS('Commodity Prices'!$F$9:$F$2500,'Commodity Prices'!$A$9:$A$2500,'Gold - Prices'!F10,'Commodity Prices'!$B$9:$B$2500,1)+
SUMIFS('Commodity Prices'!$F$9:$F$2500,'Commodity Prices'!$A$9:$A$2500,'Gold - Prices'!F10,'Commodity Prices'!$B$9:$B$2500,2))
/(COUNTIFS('Commodity Prices'!$A$9:$A$2500,'Gold - Prices'!E10,'Commodity Prices'!$B$9:$B$2500,3)+
COUNTIFS('Commodity Prices'!$A$9:$A$2500,'Gold - Prices'!E10,'Commodity Prices'!$B$9:$B$2500,4)+
COUNTIFS('Commodity Prices'!$A$9:$A$2500,'Gold - Prices'!F10,'Commodity Prices'!$B$9:$B$2500,1)+
COUNTIFS('Commodity Prices'!$A$9:$A$2500,'Gold - Prices'!F10,'Commodity Prices'!$B$9:$B$2500,2))</f>
        <v>88.512401521265872</v>
      </c>
    </row>
    <row r="11" spans="1:25">
      <c r="A11" s="606">
        <f>LARGE('Commodity Prices'!C$159:C$902,57)</f>
        <v>42644</v>
      </c>
      <c r="B11" s="804">
        <f>SUMIF('Commodity Prices'!C$159:C$902,A11,'Commodity Prices'!F$159:F$902)</f>
        <v>1266.5899999999999</v>
      </c>
      <c r="C11" s="805">
        <f>SUMIF('Commodity Prices'!C$159:C$902,A11,'Commodity Prices'!E$159:E$902)</f>
        <v>1675.91</v>
      </c>
      <c r="D11" s="10"/>
      <c r="E11" s="128">
        <f t="shared" si="1"/>
        <v>1974</v>
      </c>
      <c r="F11" s="128">
        <f t="shared" si="1"/>
        <v>1975</v>
      </c>
      <c r="G11" s="1327" t="str">
        <f t="shared" si="0"/>
        <v>1974-75</v>
      </c>
      <c r="H11" s="804">
        <f t="array" ref="H11">IF($G$6="Historic Calendar Year",IFERROR(AVERAGE(IF($G11=YEAR('Commodity Prices'!$C$9:$C$1000),'Commodity Prices'!$F$9:$F$1000)),"NA"),IFERROR(IF(K11=0,"NA",K11),"NA"))</f>
        <v>123.71216383124874</v>
      </c>
      <c r="I11" s="805">
        <f t="array" ref="I11">IF($G$6="Historic Calendar Year",IFERROR(AVERAGE(IF($G11=YEAR('Commodity Prices'!$C$9:$C$1000),'Commodity Prices'!$E$9:$E$1000)),"NA"),IFERROR(IF(J11=0,"NA",J11),"NA"))</f>
        <v>167.54958855541668</v>
      </c>
      <c r="J11" s="333">
        <f>(SUMIFS('Commodity Prices'!$E$9:$E$2500,'Commodity Prices'!$A$9:$A$2500,'Gold - Prices'!E11,'Commodity Prices'!$B$9:$B$2500,3)+
SUMIFS('Commodity Prices'!$E$9:$E$2500,'Commodity Prices'!$A$9:$A$2500,'Gold - Prices'!E11,'Commodity Prices'!$B$9:$B$2500,4)+
SUMIFS('Commodity Prices'!$E$9:$E$2500,'Commodity Prices'!$A$9:$A$2500,'Gold - Prices'!F11,'Commodity Prices'!$B$9:$B$2500,1)+
SUMIFS('Commodity Prices'!$E$9:$E$2500,'Commodity Prices'!$A$9:$A$2500,'Gold - Prices'!F11,'Commodity Prices'!$B$9:$B$2500,2))
/(COUNTIFS('Commodity Prices'!$A$9:$A$2500,'Gold - Prices'!E11,'Commodity Prices'!$B$9:$B$2500,3)+
COUNTIFS('Commodity Prices'!$A$9:$A$2500,'Gold - Prices'!E11,'Commodity Prices'!$B$9:$B$2500,4)+
COUNTIFS('Commodity Prices'!$A$9:$A$2500,'Gold - Prices'!F11,'Commodity Prices'!$B$9:$B$2500,1)+
COUNTIFS('Commodity Prices'!$A$9:$A$2500,'Gold - Prices'!F11,'Commodity Prices'!$B$9:$B$2500,2))</f>
        <v>167.54958855541668</v>
      </c>
      <c r="K11" s="333">
        <f>(SUMIFS('Commodity Prices'!$F$9:$F$2500,'Commodity Prices'!$A$9:$A$2500,'Gold - Prices'!E11,'Commodity Prices'!$B$9:$B$2500,3)+
SUMIFS('Commodity Prices'!$F$9:$F$2500,'Commodity Prices'!$A$9:$A$2500,'Gold - Prices'!E11,'Commodity Prices'!$B$9:$B$2500,4)+
SUMIFS('Commodity Prices'!$F$9:$F$2500,'Commodity Prices'!$A$9:$A$2500,'Gold - Prices'!F11,'Commodity Prices'!$B$9:$B$2500,1)+
SUMIFS('Commodity Prices'!$F$9:$F$2500,'Commodity Prices'!$A$9:$A$2500,'Gold - Prices'!F11,'Commodity Prices'!$B$9:$B$2500,2))
/(COUNTIFS('Commodity Prices'!$A$9:$A$2500,'Gold - Prices'!E11,'Commodity Prices'!$B$9:$B$2500,3)+
COUNTIFS('Commodity Prices'!$A$9:$A$2500,'Gold - Prices'!E11,'Commodity Prices'!$B$9:$B$2500,4)+
COUNTIFS('Commodity Prices'!$A$9:$A$2500,'Gold - Prices'!F11,'Commodity Prices'!$B$9:$B$2500,1)+
COUNTIFS('Commodity Prices'!$A$9:$A$2500,'Gold - Prices'!F11,'Commodity Prices'!$B$9:$B$2500,2))</f>
        <v>123.71216383124874</v>
      </c>
    </row>
    <row r="12" spans="1:25">
      <c r="A12" s="606">
        <f>LARGE('Commodity Prices'!C$159:C$902,56)</f>
        <v>42675</v>
      </c>
      <c r="B12" s="706">
        <f>SUMIF('Commodity Prices'!C$159:C$902,A12,'Commodity Prices'!F$159:F$902)</f>
        <v>1235.98</v>
      </c>
      <c r="C12" s="705">
        <f>SUMIF('Commodity Prices'!C$159:C$902,A12,'Commodity Prices'!E$159:E$902)</f>
        <v>1653.24</v>
      </c>
      <c r="D12" s="10"/>
      <c r="E12" s="128">
        <f t="shared" si="1"/>
        <v>1975</v>
      </c>
      <c r="F12" s="128">
        <f t="shared" si="1"/>
        <v>1976</v>
      </c>
      <c r="G12" s="1328" t="str">
        <f t="shared" si="0"/>
        <v>1975-76</v>
      </c>
      <c r="H12" s="706">
        <f t="array" ref="H12">IF($G$6="Historic Calendar Year",IFERROR(AVERAGE(IF($G12=YEAR('Commodity Prices'!$C$9:$C$1000),'Commodity Prices'!$F$9:$F$1000)),"NA"),IFERROR(IF(K12=0,"NA",K12),"NA"))</f>
        <v>110.65158637856634</v>
      </c>
      <c r="I12" s="705">
        <f t="array" ref="I12">IF($G$6="Historic Calendar Year",IFERROR(AVERAGE(IF($G12=YEAR('Commodity Prices'!$C$9:$C$1000),'Commodity Prices'!$E$9:$E$1000)),"NA"),IFERROR(IF(J12=0,"NA",J12),"NA"))</f>
        <v>139.28272538951668</v>
      </c>
      <c r="J12" s="333">
        <f>(SUMIFS('Commodity Prices'!$E$9:$E$2500,'Commodity Prices'!$A$9:$A$2500,'Gold - Prices'!E12,'Commodity Prices'!$B$9:$B$2500,3)+
SUMIFS('Commodity Prices'!$E$9:$E$2500,'Commodity Prices'!$A$9:$A$2500,'Gold - Prices'!E12,'Commodity Prices'!$B$9:$B$2500,4)+
SUMIFS('Commodity Prices'!$E$9:$E$2500,'Commodity Prices'!$A$9:$A$2500,'Gold - Prices'!F12,'Commodity Prices'!$B$9:$B$2500,1)+
SUMIFS('Commodity Prices'!$E$9:$E$2500,'Commodity Prices'!$A$9:$A$2500,'Gold - Prices'!F12,'Commodity Prices'!$B$9:$B$2500,2))
/(COUNTIFS('Commodity Prices'!$A$9:$A$2500,'Gold - Prices'!E12,'Commodity Prices'!$B$9:$B$2500,3)+
COUNTIFS('Commodity Prices'!$A$9:$A$2500,'Gold - Prices'!E12,'Commodity Prices'!$B$9:$B$2500,4)+
COUNTIFS('Commodity Prices'!$A$9:$A$2500,'Gold - Prices'!F12,'Commodity Prices'!$B$9:$B$2500,1)+
COUNTIFS('Commodity Prices'!$A$9:$A$2500,'Gold - Prices'!F12,'Commodity Prices'!$B$9:$B$2500,2))</f>
        <v>139.28272538951668</v>
      </c>
      <c r="K12" s="333">
        <f>(SUMIFS('Commodity Prices'!$F$9:$F$2500,'Commodity Prices'!$A$9:$A$2500,'Gold - Prices'!E12,'Commodity Prices'!$B$9:$B$2500,3)+
SUMIFS('Commodity Prices'!$F$9:$F$2500,'Commodity Prices'!$A$9:$A$2500,'Gold - Prices'!E12,'Commodity Prices'!$B$9:$B$2500,4)+
SUMIFS('Commodity Prices'!$F$9:$F$2500,'Commodity Prices'!$A$9:$A$2500,'Gold - Prices'!F12,'Commodity Prices'!$B$9:$B$2500,1)+
SUMIFS('Commodity Prices'!$F$9:$F$2500,'Commodity Prices'!$A$9:$A$2500,'Gold - Prices'!F12,'Commodity Prices'!$B$9:$B$2500,2))
/(COUNTIFS('Commodity Prices'!$A$9:$A$2500,'Gold - Prices'!E12,'Commodity Prices'!$B$9:$B$2500,3)+
COUNTIFS('Commodity Prices'!$A$9:$A$2500,'Gold - Prices'!E12,'Commodity Prices'!$B$9:$B$2500,4)+
COUNTIFS('Commodity Prices'!$A$9:$A$2500,'Gold - Prices'!F12,'Commodity Prices'!$B$9:$B$2500,1)+
COUNTIFS('Commodity Prices'!$A$9:$A$2500,'Gold - Prices'!F12,'Commodity Prices'!$B$9:$B$2500,2))</f>
        <v>110.65158637856634</v>
      </c>
    </row>
    <row r="13" spans="1:25">
      <c r="A13" s="606">
        <f>LARGE('Commodity Prices'!C$159:C$902,55)</f>
        <v>42705</v>
      </c>
      <c r="B13" s="804">
        <f>SUMIF('Commodity Prices'!C$159:C$902,A13,'Commodity Prices'!F$159:F$902)</f>
        <v>1151.4000000000001</v>
      </c>
      <c r="C13" s="805">
        <f>SUMIF('Commodity Prices'!C$159:C$902,A13,'Commodity Prices'!E$159:E$902)</f>
        <v>1570.76</v>
      </c>
      <c r="D13" s="10"/>
      <c r="E13" s="128">
        <f t="shared" si="1"/>
        <v>1976</v>
      </c>
      <c r="F13" s="128">
        <f t="shared" si="1"/>
        <v>1977</v>
      </c>
      <c r="G13" s="1327" t="str">
        <f t="shared" si="0"/>
        <v>1976-77</v>
      </c>
      <c r="H13" s="804">
        <f t="array" ref="H13">IF($G$6="Historic Calendar Year",IFERROR(AVERAGE(IF($G13=YEAR('Commodity Prices'!$C$9:$C$1000),'Commodity Prices'!$F$9:$F$1000)),"NA"),IFERROR(IF(K13=0,"NA",K13),"NA"))</f>
        <v>116.40698637885976</v>
      </c>
      <c r="I13" s="805">
        <f t="array" ref="I13">IF($G$6="Historic Calendar Year",IFERROR(AVERAGE(IF($G13=YEAR('Commodity Prices'!$C$9:$C$1000),'Commodity Prices'!$E$9:$E$1000)),"NA"),IFERROR(IF(J13=0,"NA",J13),"NA"))</f>
        <v>131.32729602333333</v>
      </c>
      <c r="J13" s="333">
        <f>(SUMIFS('Commodity Prices'!$E$9:$E$2500,'Commodity Prices'!$A$9:$A$2500,'Gold - Prices'!E13,'Commodity Prices'!$B$9:$B$2500,3)+
SUMIFS('Commodity Prices'!$E$9:$E$2500,'Commodity Prices'!$A$9:$A$2500,'Gold - Prices'!E13,'Commodity Prices'!$B$9:$B$2500,4)+
SUMIFS('Commodity Prices'!$E$9:$E$2500,'Commodity Prices'!$A$9:$A$2500,'Gold - Prices'!F13,'Commodity Prices'!$B$9:$B$2500,1)+
SUMIFS('Commodity Prices'!$E$9:$E$2500,'Commodity Prices'!$A$9:$A$2500,'Gold - Prices'!F13,'Commodity Prices'!$B$9:$B$2500,2))
/(COUNTIFS('Commodity Prices'!$A$9:$A$2500,'Gold - Prices'!E13,'Commodity Prices'!$B$9:$B$2500,3)+
COUNTIFS('Commodity Prices'!$A$9:$A$2500,'Gold - Prices'!E13,'Commodity Prices'!$B$9:$B$2500,4)+
COUNTIFS('Commodity Prices'!$A$9:$A$2500,'Gold - Prices'!F13,'Commodity Prices'!$B$9:$B$2500,1)+
COUNTIFS('Commodity Prices'!$A$9:$A$2500,'Gold - Prices'!F13,'Commodity Prices'!$B$9:$B$2500,2))</f>
        <v>131.32729602333333</v>
      </c>
      <c r="K13" s="333">
        <f>(SUMIFS('Commodity Prices'!$F$9:$F$2500,'Commodity Prices'!$A$9:$A$2500,'Gold - Prices'!E13,'Commodity Prices'!$B$9:$B$2500,3)+
SUMIFS('Commodity Prices'!$F$9:$F$2500,'Commodity Prices'!$A$9:$A$2500,'Gold - Prices'!E13,'Commodity Prices'!$B$9:$B$2500,4)+
SUMIFS('Commodity Prices'!$F$9:$F$2500,'Commodity Prices'!$A$9:$A$2500,'Gold - Prices'!F13,'Commodity Prices'!$B$9:$B$2500,1)+
SUMIFS('Commodity Prices'!$F$9:$F$2500,'Commodity Prices'!$A$9:$A$2500,'Gold - Prices'!F13,'Commodity Prices'!$B$9:$B$2500,2))
/(COUNTIFS('Commodity Prices'!$A$9:$A$2500,'Gold - Prices'!E13,'Commodity Prices'!$B$9:$B$2500,3)+
COUNTIFS('Commodity Prices'!$A$9:$A$2500,'Gold - Prices'!E13,'Commodity Prices'!$B$9:$B$2500,4)+
COUNTIFS('Commodity Prices'!$A$9:$A$2500,'Gold - Prices'!F13,'Commodity Prices'!$B$9:$B$2500,1)+
COUNTIFS('Commodity Prices'!$A$9:$A$2500,'Gold - Prices'!F13,'Commodity Prices'!$B$9:$B$2500,2))</f>
        <v>116.40698637885976</v>
      </c>
    </row>
    <row r="14" spans="1:25">
      <c r="A14" s="606">
        <f>LARGE('Commodity Prices'!C$159:C$902,54)</f>
        <v>42736</v>
      </c>
      <c r="B14" s="706">
        <f>SUMIF('Commodity Prices'!C$159:C$902,A14,'Commodity Prices'!F$159:F$902)</f>
        <v>1192.6199999999999</v>
      </c>
      <c r="C14" s="705">
        <f>SUMIF('Commodity Prices'!C$159:C$902,A14,'Commodity Prices'!E$159:E$902)</f>
        <v>1602.86</v>
      </c>
      <c r="D14" s="10"/>
      <c r="E14" s="128">
        <f t="shared" si="1"/>
        <v>1977</v>
      </c>
      <c r="F14" s="128">
        <f t="shared" si="1"/>
        <v>1978</v>
      </c>
      <c r="G14" s="1327" t="str">
        <f t="shared" si="0"/>
        <v>1977-78</v>
      </c>
      <c r="H14" s="706">
        <f t="array" ref="H14">IF($G$6="Historic Calendar Year",IFERROR(AVERAGE(IF($G14=YEAR('Commodity Prices'!$C$9:$C$1000),'Commodity Prices'!$F$9:$F$1000)),"NA"),IFERROR(IF(K14=0,"NA",K14),"NA"))</f>
        <v>146.66546550418241</v>
      </c>
      <c r="I14" s="705">
        <f t="array" ref="I14">IF($G$6="Historic Calendar Year",IFERROR(AVERAGE(IF($G14=YEAR('Commodity Prices'!$C$9:$C$1000),'Commodity Prices'!$E$9:$E$1000)),"NA"),IFERROR(IF(J14=0,"NA",J14),"NA"))</f>
        <v>165.83439099643331</v>
      </c>
      <c r="J14" s="333">
        <f>(SUMIFS('Commodity Prices'!$E$9:$E$2500,'Commodity Prices'!$A$9:$A$2500,'Gold - Prices'!E14,'Commodity Prices'!$B$9:$B$2500,3)+
SUMIFS('Commodity Prices'!$E$9:$E$2500,'Commodity Prices'!$A$9:$A$2500,'Gold - Prices'!E14,'Commodity Prices'!$B$9:$B$2500,4)+
SUMIFS('Commodity Prices'!$E$9:$E$2500,'Commodity Prices'!$A$9:$A$2500,'Gold - Prices'!F14,'Commodity Prices'!$B$9:$B$2500,1)+
SUMIFS('Commodity Prices'!$E$9:$E$2500,'Commodity Prices'!$A$9:$A$2500,'Gold - Prices'!F14,'Commodity Prices'!$B$9:$B$2500,2))
/(COUNTIFS('Commodity Prices'!$A$9:$A$2500,'Gold - Prices'!E14,'Commodity Prices'!$B$9:$B$2500,3)+
COUNTIFS('Commodity Prices'!$A$9:$A$2500,'Gold - Prices'!E14,'Commodity Prices'!$B$9:$B$2500,4)+
COUNTIFS('Commodity Prices'!$A$9:$A$2500,'Gold - Prices'!F14,'Commodity Prices'!$B$9:$B$2500,1)+
COUNTIFS('Commodity Prices'!$A$9:$A$2500,'Gold - Prices'!F14,'Commodity Prices'!$B$9:$B$2500,2))</f>
        <v>165.83439099643331</v>
      </c>
      <c r="K14" s="333">
        <f>(SUMIFS('Commodity Prices'!$F$9:$F$2500,'Commodity Prices'!$A$9:$A$2500,'Gold - Prices'!E14,'Commodity Prices'!$B$9:$B$2500,3)+
SUMIFS('Commodity Prices'!$F$9:$F$2500,'Commodity Prices'!$A$9:$A$2500,'Gold - Prices'!E14,'Commodity Prices'!$B$9:$B$2500,4)+
SUMIFS('Commodity Prices'!$F$9:$F$2500,'Commodity Prices'!$A$9:$A$2500,'Gold - Prices'!F14,'Commodity Prices'!$B$9:$B$2500,1)+
SUMIFS('Commodity Prices'!$F$9:$F$2500,'Commodity Prices'!$A$9:$A$2500,'Gold - Prices'!F14,'Commodity Prices'!$B$9:$B$2500,2))
/(COUNTIFS('Commodity Prices'!$A$9:$A$2500,'Gold - Prices'!E14,'Commodity Prices'!$B$9:$B$2500,3)+
COUNTIFS('Commodity Prices'!$A$9:$A$2500,'Gold - Prices'!E14,'Commodity Prices'!$B$9:$B$2500,4)+
COUNTIFS('Commodity Prices'!$A$9:$A$2500,'Gold - Prices'!F14,'Commodity Prices'!$B$9:$B$2500,1)+
COUNTIFS('Commodity Prices'!$A$9:$A$2500,'Gold - Prices'!F14,'Commodity Prices'!$B$9:$B$2500,2))</f>
        <v>146.66546550418241</v>
      </c>
    </row>
    <row r="15" spans="1:25">
      <c r="A15" s="606">
        <f>LARGE('Commodity Prices'!C$159:C$902,53)</f>
        <v>42767</v>
      </c>
      <c r="B15" s="804">
        <f>SUMIF('Commodity Prices'!C$159:C$902,A15,'Commodity Prices'!F$159:F$902)</f>
        <v>1234.3599999999999</v>
      </c>
      <c r="C15" s="805">
        <f>SUMIF('Commodity Prices'!C$159:C$902,A15,'Commodity Prices'!E$159:E$902)</f>
        <v>1614.24</v>
      </c>
      <c r="D15" s="10"/>
      <c r="E15" s="128">
        <f t="shared" si="1"/>
        <v>1978</v>
      </c>
      <c r="F15" s="128">
        <f t="shared" si="1"/>
        <v>1979</v>
      </c>
      <c r="G15" s="1327" t="str">
        <f t="shared" si="0"/>
        <v>1978-79</v>
      </c>
      <c r="H15" s="804">
        <f t="array" ref="H15">IF($G$6="Historic Calendar Year",IFERROR(AVERAGE(IF($G15=YEAR('Commodity Prices'!$C$9:$C$1000),'Commodity Prices'!$F$9:$F$1000)),"NA"),IFERROR(IF(K15=0,"NA",K15),"NA"))</f>
        <v>201.17971761391141</v>
      </c>
      <c r="I15" s="805">
        <f t="array" ref="I15">IF($G$6="Historic Calendar Year",IFERROR(AVERAGE(IF($G15=YEAR('Commodity Prices'!$C$9:$C$1000),'Commodity Prices'!$E$9:$E$1000)),"NA"),IFERROR(IF(J15=0,"NA",J15),"NA"))</f>
        <v>228.39681198735002</v>
      </c>
      <c r="J15" s="333">
        <f>(SUMIFS('Commodity Prices'!$E$9:$E$2500,'Commodity Prices'!$A$9:$A$2500,'Gold - Prices'!E15,'Commodity Prices'!$B$9:$B$2500,3)+
SUMIFS('Commodity Prices'!$E$9:$E$2500,'Commodity Prices'!$A$9:$A$2500,'Gold - Prices'!E15,'Commodity Prices'!$B$9:$B$2500,4)+
SUMIFS('Commodity Prices'!$E$9:$E$2500,'Commodity Prices'!$A$9:$A$2500,'Gold - Prices'!F15,'Commodity Prices'!$B$9:$B$2500,1)+
SUMIFS('Commodity Prices'!$E$9:$E$2500,'Commodity Prices'!$A$9:$A$2500,'Gold - Prices'!F15,'Commodity Prices'!$B$9:$B$2500,2))
/(COUNTIFS('Commodity Prices'!$A$9:$A$2500,'Gold - Prices'!E15,'Commodity Prices'!$B$9:$B$2500,3)+
COUNTIFS('Commodity Prices'!$A$9:$A$2500,'Gold - Prices'!E15,'Commodity Prices'!$B$9:$B$2500,4)+
COUNTIFS('Commodity Prices'!$A$9:$A$2500,'Gold - Prices'!F15,'Commodity Prices'!$B$9:$B$2500,1)+
COUNTIFS('Commodity Prices'!$A$9:$A$2500,'Gold - Prices'!F15,'Commodity Prices'!$B$9:$B$2500,2))</f>
        <v>228.39681198735002</v>
      </c>
      <c r="K15" s="333">
        <f>(SUMIFS('Commodity Prices'!$F$9:$F$2500,'Commodity Prices'!$A$9:$A$2500,'Gold - Prices'!E15,'Commodity Prices'!$B$9:$B$2500,3)+
SUMIFS('Commodity Prices'!$F$9:$F$2500,'Commodity Prices'!$A$9:$A$2500,'Gold - Prices'!E15,'Commodity Prices'!$B$9:$B$2500,4)+
SUMIFS('Commodity Prices'!$F$9:$F$2500,'Commodity Prices'!$A$9:$A$2500,'Gold - Prices'!F15,'Commodity Prices'!$B$9:$B$2500,1)+
SUMIFS('Commodity Prices'!$F$9:$F$2500,'Commodity Prices'!$A$9:$A$2500,'Gold - Prices'!F15,'Commodity Prices'!$B$9:$B$2500,2))
/(COUNTIFS('Commodity Prices'!$A$9:$A$2500,'Gold - Prices'!E15,'Commodity Prices'!$B$9:$B$2500,3)+
COUNTIFS('Commodity Prices'!$A$9:$A$2500,'Gold - Prices'!E15,'Commodity Prices'!$B$9:$B$2500,4)+
COUNTIFS('Commodity Prices'!$A$9:$A$2500,'Gold - Prices'!F15,'Commodity Prices'!$B$9:$B$2500,1)+
COUNTIFS('Commodity Prices'!$A$9:$A$2500,'Gold - Prices'!F15,'Commodity Prices'!$B$9:$B$2500,2))</f>
        <v>201.17971761391141</v>
      </c>
    </row>
    <row r="16" spans="1:25">
      <c r="A16" s="606">
        <f>LARGE('Commodity Prices'!C$159:C$902,52)</f>
        <v>42795</v>
      </c>
      <c r="B16" s="706">
        <f>SUMIF('Commodity Prices'!C$159:C$902,A16,'Commodity Prices'!F$159:F$902)</f>
        <v>1231.0899999999999</v>
      </c>
      <c r="C16" s="705">
        <f>SUMIF('Commodity Prices'!C$159:C$902,A16,'Commodity Prices'!E$159:E$902)</f>
        <v>1618.35</v>
      </c>
      <c r="D16" s="10"/>
      <c r="E16" s="128">
        <f t="shared" si="1"/>
        <v>1979</v>
      </c>
      <c r="F16" s="128">
        <f t="shared" si="1"/>
        <v>1980</v>
      </c>
      <c r="G16" s="1328" t="str">
        <f t="shared" si="0"/>
        <v>1979-80</v>
      </c>
      <c r="H16" s="706">
        <f t="array" ref="H16">IF($G$6="Historic Calendar Year",IFERROR(AVERAGE(IF($G16=YEAR('Commodity Prices'!$C$9:$C$1000),'Commodity Prices'!$F$9:$F$1000)),"NA"),IFERROR(IF(K16=0,"NA",K16),"NA"))</f>
        <v>427.82403583776903</v>
      </c>
      <c r="I16" s="705">
        <f t="array" ref="I16">IF($G$6="Historic Calendar Year",IFERROR(AVERAGE(IF($G16=YEAR('Commodity Prices'!$C$9:$C$1000),'Commodity Prices'!$E$9:$E$1000)),"NA"),IFERROR(IF(J16=0,"NA",J16),"NA"))</f>
        <v>476.85298639128331</v>
      </c>
      <c r="J16" s="333">
        <f>(SUMIFS('Commodity Prices'!$E$9:$E$2500,'Commodity Prices'!$A$9:$A$2500,'Gold - Prices'!E16,'Commodity Prices'!$B$9:$B$2500,3)+
SUMIFS('Commodity Prices'!$E$9:$E$2500,'Commodity Prices'!$A$9:$A$2500,'Gold - Prices'!E16,'Commodity Prices'!$B$9:$B$2500,4)+
SUMIFS('Commodity Prices'!$E$9:$E$2500,'Commodity Prices'!$A$9:$A$2500,'Gold - Prices'!F16,'Commodity Prices'!$B$9:$B$2500,1)+
SUMIFS('Commodity Prices'!$E$9:$E$2500,'Commodity Prices'!$A$9:$A$2500,'Gold - Prices'!F16,'Commodity Prices'!$B$9:$B$2500,2))
/(COUNTIFS('Commodity Prices'!$A$9:$A$2500,'Gold - Prices'!E16,'Commodity Prices'!$B$9:$B$2500,3)+
COUNTIFS('Commodity Prices'!$A$9:$A$2500,'Gold - Prices'!E16,'Commodity Prices'!$B$9:$B$2500,4)+
COUNTIFS('Commodity Prices'!$A$9:$A$2500,'Gold - Prices'!F16,'Commodity Prices'!$B$9:$B$2500,1)+
COUNTIFS('Commodity Prices'!$A$9:$A$2500,'Gold - Prices'!F16,'Commodity Prices'!$B$9:$B$2500,2))</f>
        <v>476.85298639128331</v>
      </c>
      <c r="K16" s="333">
        <f>(SUMIFS('Commodity Prices'!$F$9:$F$2500,'Commodity Prices'!$A$9:$A$2500,'Gold - Prices'!E16,'Commodity Prices'!$B$9:$B$2500,3)+
SUMIFS('Commodity Prices'!$F$9:$F$2500,'Commodity Prices'!$A$9:$A$2500,'Gold - Prices'!E16,'Commodity Prices'!$B$9:$B$2500,4)+
SUMIFS('Commodity Prices'!$F$9:$F$2500,'Commodity Prices'!$A$9:$A$2500,'Gold - Prices'!F16,'Commodity Prices'!$B$9:$B$2500,1)+
SUMIFS('Commodity Prices'!$F$9:$F$2500,'Commodity Prices'!$A$9:$A$2500,'Gold - Prices'!F16,'Commodity Prices'!$B$9:$B$2500,2))
/(COUNTIFS('Commodity Prices'!$A$9:$A$2500,'Gold - Prices'!E16,'Commodity Prices'!$B$9:$B$2500,3)+
COUNTIFS('Commodity Prices'!$A$9:$A$2500,'Gold - Prices'!E16,'Commodity Prices'!$B$9:$B$2500,4)+
COUNTIFS('Commodity Prices'!$A$9:$A$2500,'Gold - Prices'!F16,'Commodity Prices'!$B$9:$B$2500,1)+
COUNTIFS('Commodity Prices'!$A$9:$A$2500,'Gold - Prices'!F16,'Commodity Prices'!$B$9:$B$2500,2))</f>
        <v>427.82403583776903</v>
      </c>
    </row>
    <row r="17" spans="1:11">
      <c r="A17" s="606">
        <f>LARGE('Commodity Prices'!C$159:C$902,51)</f>
        <v>42826</v>
      </c>
      <c r="B17" s="804">
        <f>SUMIF('Commodity Prices'!C$159:C$902,A17,'Commodity Prices'!F$159:F$902)</f>
        <v>1265.6300000000001</v>
      </c>
      <c r="C17" s="805">
        <f>SUMIF('Commodity Prices'!C$159:C$902,A17,'Commodity Prices'!E$159:E$902)</f>
        <v>1687.57</v>
      </c>
      <c r="D17" s="10"/>
      <c r="E17" s="128">
        <f t="shared" si="1"/>
        <v>1980</v>
      </c>
      <c r="F17" s="128">
        <f t="shared" si="1"/>
        <v>1981</v>
      </c>
      <c r="G17" s="1327" t="str">
        <f t="shared" si="0"/>
        <v>1980-81</v>
      </c>
      <c r="H17" s="804">
        <f t="array" ref="H17">IF($G$6="Historic Calendar Year",IFERROR(AVERAGE(IF($G17=YEAR('Commodity Prices'!$C$9:$C$1000),'Commodity Prices'!$F$9:$F$1000)),"NA"),IFERROR(IF(K17=0,"NA",K17),"NA"))</f>
        <v>488.400335780788</v>
      </c>
      <c r="I17" s="805">
        <f t="array" ref="I17">IF($G$6="Historic Calendar Year",IFERROR(AVERAGE(IF($G17=YEAR('Commodity Prices'!$C$9:$C$1000),'Commodity Prices'!$E$9:$E$1000)),"NA"),IFERROR(IF(J17=0,"NA",J17),"NA"))</f>
        <v>567.63558650239167</v>
      </c>
      <c r="J17" s="333">
        <f>(SUMIFS('Commodity Prices'!$E$9:$E$2500,'Commodity Prices'!$A$9:$A$2500,'Gold - Prices'!E17,'Commodity Prices'!$B$9:$B$2500,3)+
SUMIFS('Commodity Prices'!$E$9:$E$2500,'Commodity Prices'!$A$9:$A$2500,'Gold - Prices'!E17,'Commodity Prices'!$B$9:$B$2500,4)+
SUMIFS('Commodity Prices'!$E$9:$E$2500,'Commodity Prices'!$A$9:$A$2500,'Gold - Prices'!F17,'Commodity Prices'!$B$9:$B$2500,1)+
SUMIFS('Commodity Prices'!$E$9:$E$2500,'Commodity Prices'!$A$9:$A$2500,'Gold - Prices'!F17,'Commodity Prices'!$B$9:$B$2500,2))
/(COUNTIFS('Commodity Prices'!$A$9:$A$2500,'Gold - Prices'!E17,'Commodity Prices'!$B$9:$B$2500,3)+
COUNTIFS('Commodity Prices'!$A$9:$A$2500,'Gold - Prices'!E17,'Commodity Prices'!$B$9:$B$2500,4)+
COUNTIFS('Commodity Prices'!$A$9:$A$2500,'Gold - Prices'!F17,'Commodity Prices'!$B$9:$B$2500,1)+
COUNTIFS('Commodity Prices'!$A$9:$A$2500,'Gold - Prices'!F17,'Commodity Prices'!$B$9:$B$2500,2))</f>
        <v>567.63558650239167</v>
      </c>
      <c r="K17" s="333">
        <f>(SUMIFS('Commodity Prices'!$F$9:$F$2500,'Commodity Prices'!$A$9:$A$2500,'Gold - Prices'!E17,'Commodity Prices'!$B$9:$B$2500,3)+
SUMIFS('Commodity Prices'!$F$9:$F$2500,'Commodity Prices'!$A$9:$A$2500,'Gold - Prices'!E17,'Commodity Prices'!$B$9:$B$2500,4)+
SUMIFS('Commodity Prices'!$F$9:$F$2500,'Commodity Prices'!$A$9:$A$2500,'Gold - Prices'!F17,'Commodity Prices'!$B$9:$B$2500,1)+
SUMIFS('Commodity Prices'!$F$9:$F$2500,'Commodity Prices'!$A$9:$A$2500,'Gold - Prices'!F17,'Commodity Prices'!$B$9:$B$2500,2))
/(COUNTIFS('Commodity Prices'!$A$9:$A$2500,'Gold - Prices'!E17,'Commodity Prices'!$B$9:$B$2500,3)+
COUNTIFS('Commodity Prices'!$A$9:$A$2500,'Gold - Prices'!E17,'Commodity Prices'!$B$9:$B$2500,4)+
COUNTIFS('Commodity Prices'!$A$9:$A$2500,'Gold - Prices'!F17,'Commodity Prices'!$B$9:$B$2500,1)+
COUNTIFS('Commodity Prices'!$A$9:$A$2500,'Gold - Prices'!F17,'Commodity Prices'!$B$9:$B$2500,2))</f>
        <v>488.400335780788</v>
      </c>
    </row>
    <row r="18" spans="1:11">
      <c r="A18" s="606">
        <f>LARGE('Commodity Prices'!C$159:C$902,50)</f>
        <v>42856</v>
      </c>
      <c r="B18" s="706">
        <f>SUMIF('Commodity Prices'!C$159:C$902,A18,'Commodity Prices'!F$159:F$902)</f>
        <v>1245</v>
      </c>
      <c r="C18" s="705">
        <f>SUMIF('Commodity Prices'!C$159:C$902,A18,'Commodity Prices'!E$159:E$902)</f>
        <v>1679.56</v>
      </c>
      <c r="D18" s="10"/>
      <c r="E18" s="128">
        <f t="shared" si="1"/>
        <v>1981</v>
      </c>
      <c r="F18" s="128">
        <f t="shared" si="1"/>
        <v>1982</v>
      </c>
      <c r="G18" s="1328" t="str">
        <f t="shared" si="0"/>
        <v>1981-82</v>
      </c>
      <c r="H18" s="706">
        <f t="array" ref="H18">IF($G$6="Historic Calendar Year",IFERROR(AVERAGE(IF($G18=YEAR('Commodity Prices'!$C$9:$C$1000),'Commodity Prices'!$F$9:$F$1000)),"NA"),IFERROR(IF(K18=0,"NA",K18),"NA"))</f>
        <v>348.35130858957814</v>
      </c>
      <c r="I18" s="705">
        <f t="array" ref="I18">IF($G$6="Historic Calendar Year",IFERROR(AVERAGE(IF($G18=YEAR('Commodity Prices'!$C$9:$C$1000),'Commodity Prices'!$E$9:$E$1000)),"NA"),IFERROR(IF(J18=0,"NA",J18),"NA"))</f>
        <v>384.16900610717499</v>
      </c>
      <c r="J18" s="333">
        <f>(SUMIFS('Commodity Prices'!$E$9:$E$2500,'Commodity Prices'!$A$9:$A$2500,'Gold - Prices'!E18,'Commodity Prices'!$B$9:$B$2500,3)+
SUMIFS('Commodity Prices'!$E$9:$E$2500,'Commodity Prices'!$A$9:$A$2500,'Gold - Prices'!E18,'Commodity Prices'!$B$9:$B$2500,4)+
SUMIFS('Commodity Prices'!$E$9:$E$2500,'Commodity Prices'!$A$9:$A$2500,'Gold - Prices'!F18,'Commodity Prices'!$B$9:$B$2500,1)+
SUMIFS('Commodity Prices'!$E$9:$E$2500,'Commodity Prices'!$A$9:$A$2500,'Gold - Prices'!F18,'Commodity Prices'!$B$9:$B$2500,2))
/(COUNTIFS('Commodity Prices'!$A$9:$A$2500,'Gold - Prices'!E18,'Commodity Prices'!$B$9:$B$2500,3)+
COUNTIFS('Commodity Prices'!$A$9:$A$2500,'Gold - Prices'!E18,'Commodity Prices'!$B$9:$B$2500,4)+
COUNTIFS('Commodity Prices'!$A$9:$A$2500,'Gold - Prices'!F18,'Commodity Prices'!$B$9:$B$2500,1)+
COUNTIFS('Commodity Prices'!$A$9:$A$2500,'Gold - Prices'!F18,'Commodity Prices'!$B$9:$B$2500,2))</f>
        <v>384.16900610717499</v>
      </c>
      <c r="K18" s="333">
        <f>(SUMIFS('Commodity Prices'!$F$9:$F$2500,'Commodity Prices'!$A$9:$A$2500,'Gold - Prices'!E18,'Commodity Prices'!$B$9:$B$2500,3)+
SUMIFS('Commodity Prices'!$F$9:$F$2500,'Commodity Prices'!$A$9:$A$2500,'Gold - Prices'!E18,'Commodity Prices'!$B$9:$B$2500,4)+
SUMIFS('Commodity Prices'!$F$9:$F$2500,'Commodity Prices'!$A$9:$A$2500,'Gold - Prices'!F18,'Commodity Prices'!$B$9:$B$2500,1)+
SUMIFS('Commodity Prices'!$F$9:$F$2500,'Commodity Prices'!$A$9:$A$2500,'Gold - Prices'!F18,'Commodity Prices'!$B$9:$B$2500,2))
/(COUNTIFS('Commodity Prices'!$A$9:$A$2500,'Gold - Prices'!E18,'Commodity Prices'!$B$9:$B$2500,3)+
COUNTIFS('Commodity Prices'!$A$9:$A$2500,'Gold - Prices'!E18,'Commodity Prices'!$B$9:$B$2500,4)+
COUNTIFS('Commodity Prices'!$A$9:$A$2500,'Gold - Prices'!F18,'Commodity Prices'!$B$9:$B$2500,1)+
COUNTIFS('Commodity Prices'!$A$9:$A$2500,'Gold - Prices'!F18,'Commodity Prices'!$B$9:$B$2500,2))</f>
        <v>348.35130858957814</v>
      </c>
    </row>
    <row r="19" spans="1:11">
      <c r="A19" s="606">
        <f>LARGE('Commodity Prices'!C$159:C$902,49)</f>
        <v>42887</v>
      </c>
      <c r="B19" s="804">
        <f>SUMIF('Commodity Prices'!C$159:C$902,A19,'Commodity Prices'!F$159:F$902)</f>
        <v>1260.26</v>
      </c>
      <c r="C19" s="805">
        <f>SUMIF('Commodity Prices'!C$159:C$902,A19,'Commodity Prices'!E$159:E$902)</f>
        <v>1677.15</v>
      </c>
      <c r="D19" s="10"/>
      <c r="E19" s="128">
        <f t="shared" si="1"/>
        <v>1982</v>
      </c>
      <c r="F19" s="128">
        <f t="shared" si="1"/>
        <v>1983</v>
      </c>
      <c r="G19" s="1327" t="str">
        <f t="shared" si="0"/>
        <v>1982-83</v>
      </c>
      <c r="H19" s="804">
        <f t="array" ref="H19">IF($G$6="Historic Calendar Year",IFERROR(AVERAGE(IF($G19=YEAR('Commodity Prices'!$C$9:$C$1000),'Commodity Prices'!$F$9:$F$1000)),"NA"),IFERROR(IF(K19=0,"NA",K19),"NA"))</f>
        <v>456.6300374819063</v>
      </c>
      <c r="I19" s="805">
        <f t="array" ref="I19">IF($G$6="Historic Calendar Year",IFERROR(AVERAGE(IF($G19=YEAR('Commodity Prices'!$C$9:$C$1000),'Commodity Prices'!$E$9:$E$1000)),"NA"),IFERROR(IF(J19=0,"NA",J19),"NA"))</f>
        <v>424.98477623727496</v>
      </c>
      <c r="J19" s="333">
        <f>(SUMIFS('Commodity Prices'!$E$9:$E$2500,'Commodity Prices'!$A$9:$A$2500,'Gold - Prices'!E19,'Commodity Prices'!$B$9:$B$2500,3)+
SUMIFS('Commodity Prices'!$E$9:$E$2500,'Commodity Prices'!$A$9:$A$2500,'Gold - Prices'!E19,'Commodity Prices'!$B$9:$B$2500,4)+
SUMIFS('Commodity Prices'!$E$9:$E$2500,'Commodity Prices'!$A$9:$A$2500,'Gold - Prices'!F19,'Commodity Prices'!$B$9:$B$2500,1)+
SUMIFS('Commodity Prices'!$E$9:$E$2500,'Commodity Prices'!$A$9:$A$2500,'Gold - Prices'!F19,'Commodity Prices'!$B$9:$B$2500,2))
/(COUNTIFS('Commodity Prices'!$A$9:$A$2500,'Gold - Prices'!E19,'Commodity Prices'!$B$9:$B$2500,3)+
COUNTIFS('Commodity Prices'!$A$9:$A$2500,'Gold - Prices'!E19,'Commodity Prices'!$B$9:$B$2500,4)+
COUNTIFS('Commodity Prices'!$A$9:$A$2500,'Gold - Prices'!F19,'Commodity Prices'!$B$9:$B$2500,1)+
COUNTIFS('Commodity Prices'!$A$9:$A$2500,'Gold - Prices'!F19,'Commodity Prices'!$B$9:$B$2500,2))</f>
        <v>424.98477623727496</v>
      </c>
      <c r="K19" s="333">
        <f>(SUMIFS('Commodity Prices'!$F$9:$F$2500,'Commodity Prices'!$A$9:$A$2500,'Gold - Prices'!E19,'Commodity Prices'!$B$9:$B$2500,3)+
SUMIFS('Commodity Prices'!$F$9:$F$2500,'Commodity Prices'!$A$9:$A$2500,'Gold - Prices'!E19,'Commodity Prices'!$B$9:$B$2500,4)+
SUMIFS('Commodity Prices'!$F$9:$F$2500,'Commodity Prices'!$A$9:$A$2500,'Gold - Prices'!F19,'Commodity Prices'!$B$9:$B$2500,1)+
SUMIFS('Commodity Prices'!$F$9:$F$2500,'Commodity Prices'!$A$9:$A$2500,'Gold - Prices'!F19,'Commodity Prices'!$B$9:$B$2500,2))
/(COUNTIFS('Commodity Prices'!$A$9:$A$2500,'Gold - Prices'!E19,'Commodity Prices'!$B$9:$B$2500,3)+
COUNTIFS('Commodity Prices'!$A$9:$A$2500,'Gold - Prices'!E19,'Commodity Prices'!$B$9:$B$2500,4)+
COUNTIFS('Commodity Prices'!$A$9:$A$2500,'Gold - Prices'!F19,'Commodity Prices'!$B$9:$B$2500,1)+
COUNTIFS('Commodity Prices'!$A$9:$A$2500,'Gold - Prices'!F19,'Commodity Prices'!$B$9:$B$2500,2))</f>
        <v>456.6300374819063</v>
      </c>
    </row>
    <row r="20" spans="1:11">
      <c r="A20" s="606">
        <f>LARGE('Commodity Prices'!C$159:C$902,48)</f>
        <v>42917</v>
      </c>
      <c r="B20" s="706">
        <f>SUMIF('Commodity Prices'!C$159:C$902,A20,'Commodity Prices'!F$159:F$902)</f>
        <v>1236.22</v>
      </c>
      <c r="C20" s="705">
        <f>SUMIF('Commodity Prices'!C$159:C$902,A20,'Commodity Prices'!E$159:E$902)</f>
        <v>1592.74</v>
      </c>
      <c r="D20" s="10"/>
      <c r="E20" s="128">
        <f t="shared" si="1"/>
        <v>1983</v>
      </c>
      <c r="F20" s="128">
        <f t="shared" si="1"/>
        <v>1984</v>
      </c>
      <c r="G20" s="1328" t="str">
        <f t="shared" si="0"/>
        <v>1983-84</v>
      </c>
      <c r="H20" s="706">
        <f t="array" ref="H20">IF($G$6="Historic Calendar Year",IFERROR(AVERAGE(IF($G20=YEAR('Commodity Prices'!$C$9:$C$1000),'Commodity Prices'!$F$9:$F$1000)),"NA"),IFERROR(IF(K20=0,"NA",K20),"NA"))</f>
        <v>392.04583333333329</v>
      </c>
      <c r="I20" s="705">
        <f t="array" ref="I20">IF($G$6="Historic Calendar Year",IFERROR(AVERAGE(IF($G20=YEAR('Commodity Prices'!$C$9:$C$1000),'Commodity Prices'!$E$9:$E$1000)),"NA"),IFERROR(IF(J20=0,"NA",J20),"NA"))</f>
        <v>433.32499999999999</v>
      </c>
      <c r="J20" s="333">
        <f>(SUMIFS('Commodity Prices'!$E$9:$E$2500,'Commodity Prices'!$A$9:$A$2500,'Gold - Prices'!E20,'Commodity Prices'!$B$9:$B$2500,3)+
SUMIFS('Commodity Prices'!$E$9:$E$2500,'Commodity Prices'!$A$9:$A$2500,'Gold - Prices'!E20,'Commodity Prices'!$B$9:$B$2500,4)+
SUMIFS('Commodity Prices'!$E$9:$E$2500,'Commodity Prices'!$A$9:$A$2500,'Gold - Prices'!F20,'Commodity Prices'!$B$9:$B$2500,1)+
SUMIFS('Commodity Prices'!$E$9:$E$2500,'Commodity Prices'!$A$9:$A$2500,'Gold - Prices'!F20,'Commodity Prices'!$B$9:$B$2500,2))
/(COUNTIFS('Commodity Prices'!$A$9:$A$2500,'Gold - Prices'!E20,'Commodity Prices'!$B$9:$B$2500,3)+
COUNTIFS('Commodity Prices'!$A$9:$A$2500,'Gold - Prices'!E20,'Commodity Prices'!$B$9:$B$2500,4)+
COUNTIFS('Commodity Prices'!$A$9:$A$2500,'Gold - Prices'!F20,'Commodity Prices'!$B$9:$B$2500,1)+
COUNTIFS('Commodity Prices'!$A$9:$A$2500,'Gold - Prices'!F20,'Commodity Prices'!$B$9:$B$2500,2))</f>
        <v>433.32499999999999</v>
      </c>
      <c r="K20" s="333">
        <f>(SUMIFS('Commodity Prices'!$F$9:$F$2500,'Commodity Prices'!$A$9:$A$2500,'Gold - Prices'!E20,'Commodity Prices'!$B$9:$B$2500,3)+
SUMIFS('Commodity Prices'!$F$9:$F$2500,'Commodity Prices'!$A$9:$A$2500,'Gold - Prices'!E20,'Commodity Prices'!$B$9:$B$2500,4)+
SUMIFS('Commodity Prices'!$F$9:$F$2500,'Commodity Prices'!$A$9:$A$2500,'Gold - Prices'!F20,'Commodity Prices'!$B$9:$B$2500,1)+
SUMIFS('Commodity Prices'!$F$9:$F$2500,'Commodity Prices'!$A$9:$A$2500,'Gold - Prices'!F20,'Commodity Prices'!$B$9:$B$2500,2))
/(COUNTIFS('Commodity Prices'!$A$9:$A$2500,'Gold - Prices'!E20,'Commodity Prices'!$B$9:$B$2500,3)+
COUNTIFS('Commodity Prices'!$A$9:$A$2500,'Gold - Prices'!E20,'Commodity Prices'!$B$9:$B$2500,4)+
COUNTIFS('Commodity Prices'!$A$9:$A$2500,'Gold - Prices'!F20,'Commodity Prices'!$B$9:$B$2500,1)+
COUNTIFS('Commodity Prices'!$A$9:$A$2500,'Gold - Prices'!F20,'Commodity Prices'!$B$9:$B$2500,2))</f>
        <v>392.04583333333329</v>
      </c>
    </row>
    <row r="21" spans="1:11">
      <c r="A21" s="606">
        <f>LARGE('Commodity Prices'!C$159:C$902,47)</f>
        <v>42948</v>
      </c>
      <c r="B21" s="804">
        <f>SUMIF('Commodity Prices'!C$159:C$902,A21,'Commodity Prices'!F$159:F$902)</f>
        <v>1282.32</v>
      </c>
      <c r="C21" s="805">
        <f>SUMIF('Commodity Prices'!C$159:C$902,A21,'Commodity Prices'!E$159:E$902)</f>
        <v>1623.19</v>
      </c>
      <c r="D21" s="10"/>
      <c r="E21" s="128">
        <f t="shared" si="1"/>
        <v>1984</v>
      </c>
      <c r="F21" s="128">
        <f t="shared" si="1"/>
        <v>1985</v>
      </c>
      <c r="G21" s="1327" t="str">
        <f t="shared" si="0"/>
        <v>1984-85</v>
      </c>
      <c r="H21" s="804">
        <f t="array" ref="H21">IF($G$6="Historic Calendar Year",IFERROR(AVERAGE(IF($G21=YEAR('Commodity Prices'!$C$9:$C$1000),'Commodity Prices'!$F$9:$F$1000)),"NA"),IFERROR(IF(K21=0,"NA",K21),"NA"))</f>
        <v>325.22499999999997</v>
      </c>
      <c r="I21" s="805">
        <f t="array" ref="I21">IF($G$6="Historic Calendar Year",IFERROR(AVERAGE(IF($G21=YEAR('Commodity Prices'!$C$9:$C$1000),'Commodity Prices'!$E$9:$E$1000)),"NA"),IFERROR(IF(J21=0,"NA",J21),"NA"))</f>
        <v>421.97916666666669</v>
      </c>
      <c r="J21" s="333">
        <f>(SUMIFS('Commodity Prices'!$E$9:$E$2500,'Commodity Prices'!$A$9:$A$2500,'Gold - Prices'!E21,'Commodity Prices'!$B$9:$B$2500,3)+
SUMIFS('Commodity Prices'!$E$9:$E$2500,'Commodity Prices'!$A$9:$A$2500,'Gold - Prices'!E21,'Commodity Prices'!$B$9:$B$2500,4)+
SUMIFS('Commodity Prices'!$E$9:$E$2500,'Commodity Prices'!$A$9:$A$2500,'Gold - Prices'!F21,'Commodity Prices'!$B$9:$B$2500,1)+
SUMIFS('Commodity Prices'!$E$9:$E$2500,'Commodity Prices'!$A$9:$A$2500,'Gold - Prices'!F21,'Commodity Prices'!$B$9:$B$2500,2))
/(COUNTIFS('Commodity Prices'!$A$9:$A$2500,'Gold - Prices'!E21,'Commodity Prices'!$B$9:$B$2500,3)+
COUNTIFS('Commodity Prices'!$A$9:$A$2500,'Gold - Prices'!E21,'Commodity Prices'!$B$9:$B$2500,4)+
COUNTIFS('Commodity Prices'!$A$9:$A$2500,'Gold - Prices'!F21,'Commodity Prices'!$B$9:$B$2500,1)+
COUNTIFS('Commodity Prices'!$A$9:$A$2500,'Gold - Prices'!F21,'Commodity Prices'!$B$9:$B$2500,2))</f>
        <v>421.97916666666669</v>
      </c>
      <c r="K21" s="333">
        <f>(SUMIFS('Commodity Prices'!$F$9:$F$2500,'Commodity Prices'!$A$9:$A$2500,'Gold - Prices'!E21,'Commodity Prices'!$B$9:$B$2500,3)+
SUMIFS('Commodity Prices'!$F$9:$F$2500,'Commodity Prices'!$A$9:$A$2500,'Gold - Prices'!E21,'Commodity Prices'!$B$9:$B$2500,4)+
SUMIFS('Commodity Prices'!$F$9:$F$2500,'Commodity Prices'!$A$9:$A$2500,'Gold - Prices'!F21,'Commodity Prices'!$B$9:$B$2500,1)+
SUMIFS('Commodity Prices'!$F$9:$F$2500,'Commodity Prices'!$A$9:$A$2500,'Gold - Prices'!F21,'Commodity Prices'!$B$9:$B$2500,2))
/(COUNTIFS('Commodity Prices'!$A$9:$A$2500,'Gold - Prices'!E21,'Commodity Prices'!$B$9:$B$2500,3)+
COUNTIFS('Commodity Prices'!$A$9:$A$2500,'Gold - Prices'!E21,'Commodity Prices'!$B$9:$B$2500,4)+
COUNTIFS('Commodity Prices'!$A$9:$A$2500,'Gold - Prices'!F21,'Commodity Prices'!$B$9:$B$2500,1)+
COUNTIFS('Commodity Prices'!$A$9:$A$2500,'Gold - Prices'!F21,'Commodity Prices'!$B$9:$B$2500,2))</f>
        <v>325.22499999999997</v>
      </c>
    </row>
    <row r="22" spans="1:11">
      <c r="A22" s="606">
        <f>LARGE('Commodity Prices'!C$159:C$902,46)</f>
        <v>42979</v>
      </c>
      <c r="B22" s="706">
        <f>SUMIF('Commodity Prices'!C$159:C$902,A22,'Commodity Prices'!F$159:F$902)</f>
        <v>1314.98</v>
      </c>
      <c r="C22" s="705">
        <f>SUMIF('Commodity Prices'!C$159:C$902,A22,'Commodity Prices'!E$159:E$902)</f>
        <v>1657.81</v>
      </c>
      <c r="D22" s="10"/>
      <c r="E22" s="128">
        <f t="shared" si="1"/>
        <v>1985</v>
      </c>
      <c r="F22" s="128">
        <f t="shared" si="1"/>
        <v>1986</v>
      </c>
      <c r="G22" s="1328" t="str">
        <f t="shared" si="0"/>
        <v>1985-86</v>
      </c>
      <c r="H22" s="706">
        <f t="array" ref="H22">IF($G$6="Historic Calendar Year",IFERROR(AVERAGE(IF($G22=YEAR('Commodity Prices'!$C$9:$C$1000),'Commodity Prices'!$F$9:$F$1000)),"NA"),IFERROR(IF(K22=0,"NA",K22),"NA"))</f>
        <v>333.13333333333338</v>
      </c>
      <c r="I22" s="705">
        <f t="array" ref="I22">IF($G$6="Historic Calendar Year",IFERROR(AVERAGE(IF($G22=YEAR('Commodity Prices'!$C$9:$C$1000),'Commodity Prices'!$E$9:$E$1000)),"NA"),IFERROR(IF(J22=0,"NA",J22),"NA"))</f>
        <v>476.53749999999997</v>
      </c>
      <c r="J22" s="333">
        <f>(SUMIFS('Commodity Prices'!$E$9:$E$2500,'Commodity Prices'!$A$9:$A$2500,'Gold - Prices'!E22,'Commodity Prices'!$B$9:$B$2500,3)+
SUMIFS('Commodity Prices'!$E$9:$E$2500,'Commodity Prices'!$A$9:$A$2500,'Gold - Prices'!E22,'Commodity Prices'!$B$9:$B$2500,4)+
SUMIFS('Commodity Prices'!$E$9:$E$2500,'Commodity Prices'!$A$9:$A$2500,'Gold - Prices'!F22,'Commodity Prices'!$B$9:$B$2500,1)+
SUMIFS('Commodity Prices'!$E$9:$E$2500,'Commodity Prices'!$A$9:$A$2500,'Gold - Prices'!F22,'Commodity Prices'!$B$9:$B$2500,2))
/(COUNTIFS('Commodity Prices'!$A$9:$A$2500,'Gold - Prices'!E22,'Commodity Prices'!$B$9:$B$2500,3)+
COUNTIFS('Commodity Prices'!$A$9:$A$2500,'Gold - Prices'!E22,'Commodity Prices'!$B$9:$B$2500,4)+
COUNTIFS('Commodity Prices'!$A$9:$A$2500,'Gold - Prices'!F22,'Commodity Prices'!$B$9:$B$2500,1)+
COUNTIFS('Commodity Prices'!$A$9:$A$2500,'Gold - Prices'!F22,'Commodity Prices'!$B$9:$B$2500,2))</f>
        <v>476.53749999999997</v>
      </c>
      <c r="K22" s="333">
        <f>(SUMIFS('Commodity Prices'!$F$9:$F$2500,'Commodity Prices'!$A$9:$A$2500,'Gold - Prices'!E22,'Commodity Prices'!$B$9:$B$2500,3)+
SUMIFS('Commodity Prices'!$F$9:$F$2500,'Commodity Prices'!$A$9:$A$2500,'Gold - Prices'!E22,'Commodity Prices'!$B$9:$B$2500,4)+
SUMIFS('Commodity Prices'!$F$9:$F$2500,'Commodity Prices'!$A$9:$A$2500,'Gold - Prices'!F22,'Commodity Prices'!$B$9:$B$2500,1)+
SUMIFS('Commodity Prices'!$F$9:$F$2500,'Commodity Prices'!$A$9:$A$2500,'Gold - Prices'!F22,'Commodity Prices'!$B$9:$B$2500,2))
/(COUNTIFS('Commodity Prices'!$A$9:$A$2500,'Gold - Prices'!E22,'Commodity Prices'!$B$9:$B$2500,3)+
COUNTIFS('Commodity Prices'!$A$9:$A$2500,'Gold - Prices'!E22,'Commodity Prices'!$B$9:$B$2500,4)+
COUNTIFS('Commodity Prices'!$A$9:$A$2500,'Gold - Prices'!F22,'Commodity Prices'!$B$9:$B$2500,1)+
COUNTIFS('Commodity Prices'!$A$9:$A$2500,'Gold - Prices'!F22,'Commodity Prices'!$B$9:$B$2500,2))</f>
        <v>333.13333333333338</v>
      </c>
    </row>
    <row r="23" spans="1:11">
      <c r="A23" s="606">
        <f>LARGE('Commodity Prices'!C$159:C$902,45)</f>
        <v>43009</v>
      </c>
      <c r="B23" s="804">
        <f>SUMIF('Commodity Prices'!C$159:C$902,A23,'Commodity Prices'!F$159:F$902)</f>
        <v>1279.51</v>
      </c>
      <c r="C23" s="805">
        <f>SUMIF('Commodity Prices'!C$159:C$902,A23,'Commodity Prices'!E$159:E$902)</f>
        <v>1647.23</v>
      </c>
      <c r="D23" s="10"/>
      <c r="E23" s="128">
        <f t="shared" si="1"/>
        <v>1986</v>
      </c>
      <c r="F23" s="128">
        <f t="shared" si="1"/>
        <v>1987</v>
      </c>
      <c r="G23" s="1327" t="str">
        <f t="shared" si="0"/>
        <v>1986-87</v>
      </c>
      <c r="H23" s="804">
        <f t="array" ref="H23">IF($G$6="Historic Calendar Year",IFERROR(AVERAGE(IF($G23=YEAR('Commodity Prices'!$C$9:$C$1000),'Commodity Prices'!$F$9:$F$1000)),"NA"),IFERROR(IF(K23=0,"NA",K23),"NA"))</f>
        <v>410.02749999999997</v>
      </c>
      <c r="I23" s="805">
        <f t="array" ref="I23">IF($G$6="Historic Calendar Year",IFERROR(AVERAGE(IF($G23=YEAR('Commodity Prices'!$C$9:$C$1000),'Commodity Prices'!$E$9:$E$1000)),"NA"),IFERROR(IF(J23=0,"NA",J23),"NA"))</f>
        <v>620.36916666666673</v>
      </c>
      <c r="J23" s="333">
        <f>(SUMIFS('Commodity Prices'!$E$9:$E$2500,'Commodity Prices'!$A$9:$A$2500,'Gold - Prices'!E23,'Commodity Prices'!$B$9:$B$2500,3)+
SUMIFS('Commodity Prices'!$E$9:$E$2500,'Commodity Prices'!$A$9:$A$2500,'Gold - Prices'!E23,'Commodity Prices'!$B$9:$B$2500,4)+
SUMIFS('Commodity Prices'!$E$9:$E$2500,'Commodity Prices'!$A$9:$A$2500,'Gold - Prices'!F23,'Commodity Prices'!$B$9:$B$2500,1)+
SUMIFS('Commodity Prices'!$E$9:$E$2500,'Commodity Prices'!$A$9:$A$2500,'Gold - Prices'!F23,'Commodity Prices'!$B$9:$B$2500,2))
/(COUNTIFS('Commodity Prices'!$A$9:$A$2500,'Gold - Prices'!E23,'Commodity Prices'!$B$9:$B$2500,3)+
COUNTIFS('Commodity Prices'!$A$9:$A$2500,'Gold - Prices'!E23,'Commodity Prices'!$B$9:$B$2500,4)+
COUNTIFS('Commodity Prices'!$A$9:$A$2500,'Gold - Prices'!F23,'Commodity Prices'!$B$9:$B$2500,1)+
COUNTIFS('Commodity Prices'!$A$9:$A$2500,'Gold - Prices'!F23,'Commodity Prices'!$B$9:$B$2500,2))</f>
        <v>620.36916666666673</v>
      </c>
      <c r="K23" s="333">
        <f>(SUMIFS('Commodity Prices'!$F$9:$F$2500,'Commodity Prices'!$A$9:$A$2500,'Gold - Prices'!E23,'Commodity Prices'!$B$9:$B$2500,3)+
SUMIFS('Commodity Prices'!$F$9:$F$2500,'Commodity Prices'!$A$9:$A$2500,'Gold - Prices'!E23,'Commodity Prices'!$B$9:$B$2500,4)+
SUMIFS('Commodity Prices'!$F$9:$F$2500,'Commodity Prices'!$A$9:$A$2500,'Gold - Prices'!F23,'Commodity Prices'!$B$9:$B$2500,1)+
SUMIFS('Commodity Prices'!$F$9:$F$2500,'Commodity Prices'!$A$9:$A$2500,'Gold - Prices'!F23,'Commodity Prices'!$B$9:$B$2500,2))
/(COUNTIFS('Commodity Prices'!$A$9:$A$2500,'Gold - Prices'!E23,'Commodity Prices'!$B$9:$B$2500,3)+
COUNTIFS('Commodity Prices'!$A$9:$A$2500,'Gold - Prices'!E23,'Commodity Prices'!$B$9:$B$2500,4)+
COUNTIFS('Commodity Prices'!$A$9:$A$2500,'Gold - Prices'!F23,'Commodity Prices'!$B$9:$B$2500,1)+
COUNTIFS('Commodity Prices'!$A$9:$A$2500,'Gold - Prices'!F23,'Commodity Prices'!$B$9:$B$2500,2))</f>
        <v>410.02749999999997</v>
      </c>
    </row>
    <row r="24" spans="1:11">
      <c r="A24" s="606">
        <f>LARGE('Commodity Prices'!C$159:C$902,44)</f>
        <v>43040</v>
      </c>
      <c r="B24" s="706">
        <f>SUMIF('Commodity Prices'!C$159:C$902,A24,'Commodity Prices'!F$159:F$902)</f>
        <v>1282.28</v>
      </c>
      <c r="C24" s="705">
        <f>SUMIF('Commodity Prices'!C$159:C$902,A24,'Commodity Prices'!E$159:E$902)</f>
        <v>1686.71</v>
      </c>
      <c r="D24" s="10"/>
      <c r="E24" s="128">
        <f t="shared" si="1"/>
        <v>1987</v>
      </c>
      <c r="F24" s="128">
        <f t="shared" si="1"/>
        <v>1988</v>
      </c>
      <c r="G24" s="1328" t="str">
        <f t="shared" si="0"/>
        <v>1987-88</v>
      </c>
      <c r="H24" s="706">
        <f t="array" ref="H24">IF($G$6="Historic Calendar Year",IFERROR(AVERAGE(IF($G24=YEAR('Commodity Prices'!$C$9:$C$1000),'Commodity Prices'!$F$9:$F$1000)),"NA"),IFERROR(IF(K24=0,"NA",K24),"NA"))</f>
        <v>459.5141666666666</v>
      </c>
      <c r="I24" s="705">
        <f t="array" ref="I24">IF($G$6="Historic Calendar Year",IFERROR(AVERAGE(IF($G24=YEAR('Commodity Prices'!$C$9:$C$1000),'Commodity Prices'!$E$9:$E$1000)),"NA"),IFERROR(IF(J24=0,"NA",J24),"NA"))</f>
        <v>634.09833333333336</v>
      </c>
      <c r="J24" s="333">
        <f>(SUMIFS('Commodity Prices'!$E$9:$E$2500,'Commodity Prices'!$A$9:$A$2500,'Gold - Prices'!E24,'Commodity Prices'!$B$9:$B$2500,3)+
SUMIFS('Commodity Prices'!$E$9:$E$2500,'Commodity Prices'!$A$9:$A$2500,'Gold - Prices'!E24,'Commodity Prices'!$B$9:$B$2500,4)+
SUMIFS('Commodity Prices'!$E$9:$E$2500,'Commodity Prices'!$A$9:$A$2500,'Gold - Prices'!F24,'Commodity Prices'!$B$9:$B$2500,1)+
SUMIFS('Commodity Prices'!$E$9:$E$2500,'Commodity Prices'!$A$9:$A$2500,'Gold - Prices'!F24,'Commodity Prices'!$B$9:$B$2500,2))
/(COUNTIFS('Commodity Prices'!$A$9:$A$2500,'Gold - Prices'!E24,'Commodity Prices'!$B$9:$B$2500,3)+
COUNTIFS('Commodity Prices'!$A$9:$A$2500,'Gold - Prices'!E24,'Commodity Prices'!$B$9:$B$2500,4)+
COUNTIFS('Commodity Prices'!$A$9:$A$2500,'Gold - Prices'!F24,'Commodity Prices'!$B$9:$B$2500,1)+
COUNTIFS('Commodity Prices'!$A$9:$A$2500,'Gold - Prices'!F24,'Commodity Prices'!$B$9:$B$2500,2))</f>
        <v>634.09833333333336</v>
      </c>
      <c r="K24" s="333">
        <f>(SUMIFS('Commodity Prices'!$F$9:$F$2500,'Commodity Prices'!$A$9:$A$2500,'Gold - Prices'!E24,'Commodity Prices'!$B$9:$B$2500,3)+
SUMIFS('Commodity Prices'!$F$9:$F$2500,'Commodity Prices'!$A$9:$A$2500,'Gold - Prices'!E24,'Commodity Prices'!$B$9:$B$2500,4)+
SUMIFS('Commodity Prices'!$F$9:$F$2500,'Commodity Prices'!$A$9:$A$2500,'Gold - Prices'!F24,'Commodity Prices'!$B$9:$B$2500,1)+
SUMIFS('Commodity Prices'!$F$9:$F$2500,'Commodity Prices'!$A$9:$A$2500,'Gold - Prices'!F24,'Commodity Prices'!$B$9:$B$2500,2))
/(COUNTIFS('Commodity Prices'!$A$9:$A$2500,'Gold - Prices'!E24,'Commodity Prices'!$B$9:$B$2500,3)+
COUNTIFS('Commodity Prices'!$A$9:$A$2500,'Gold - Prices'!E24,'Commodity Prices'!$B$9:$B$2500,4)+
COUNTIFS('Commodity Prices'!$A$9:$A$2500,'Gold - Prices'!F24,'Commodity Prices'!$B$9:$B$2500,1)+
COUNTIFS('Commodity Prices'!$A$9:$A$2500,'Gold - Prices'!F24,'Commodity Prices'!$B$9:$B$2500,2))</f>
        <v>459.5141666666666</v>
      </c>
    </row>
    <row r="25" spans="1:11">
      <c r="A25" s="606">
        <f>LARGE('Commodity Prices'!C$159:C$902,43)</f>
        <v>43070</v>
      </c>
      <c r="B25" s="804">
        <f>SUMIF('Commodity Prices'!C$159:C$902,A25,'Commodity Prices'!F$159:F$902)</f>
        <v>1261.05</v>
      </c>
      <c r="C25" s="805">
        <f>SUMIF('Commodity Prices'!C$159:C$902,A25,'Commodity Prices'!E$159:E$902)</f>
        <v>1662.39</v>
      </c>
      <c r="D25" s="10"/>
      <c r="E25" s="128">
        <f t="shared" si="1"/>
        <v>1988</v>
      </c>
      <c r="F25" s="128">
        <f t="shared" si="1"/>
        <v>1989</v>
      </c>
      <c r="G25" s="1327" t="str">
        <f t="shared" si="0"/>
        <v>1988-89</v>
      </c>
      <c r="H25" s="804">
        <f t="array" ref="H25">IF($G$6="Historic Calendar Year",IFERROR(AVERAGE(IF($G25=YEAR('Commodity Prices'!$C$9:$C$1000),'Commodity Prices'!$F$9:$F$1000)),"NA"),IFERROR(IF(K25=0,"NA",K25),"NA"))</f>
        <v>403.16249999999997</v>
      </c>
      <c r="I25" s="805">
        <f t="array" ref="I25">IF($G$6="Historic Calendar Year",IFERROR(AVERAGE(IF($G25=YEAR('Commodity Prices'!$C$9:$C$1000),'Commodity Prices'!$E$9:$E$1000)),"NA"),IFERROR(IF(J25=0,"NA",J25),"NA"))</f>
        <v>496.0558333333334</v>
      </c>
      <c r="J25" s="333">
        <f>(SUMIFS('Commodity Prices'!$E$9:$E$2500,'Commodity Prices'!$A$9:$A$2500,'Gold - Prices'!E25,'Commodity Prices'!$B$9:$B$2500,3)+
SUMIFS('Commodity Prices'!$E$9:$E$2500,'Commodity Prices'!$A$9:$A$2500,'Gold - Prices'!E25,'Commodity Prices'!$B$9:$B$2500,4)+
SUMIFS('Commodity Prices'!$E$9:$E$2500,'Commodity Prices'!$A$9:$A$2500,'Gold - Prices'!F25,'Commodity Prices'!$B$9:$B$2500,1)+
SUMIFS('Commodity Prices'!$E$9:$E$2500,'Commodity Prices'!$A$9:$A$2500,'Gold - Prices'!F25,'Commodity Prices'!$B$9:$B$2500,2))
/(COUNTIFS('Commodity Prices'!$A$9:$A$2500,'Gold - Prices'!E25,'Commodity Prices'!$B$9:$B$2500,3)+
COUNTIFS('Commodity Prices'!$A$9:$A$2500,'Gold - Prices'!E25,'Commodity Prices'!$B$9:$B$2500,4)+
COUNTIFS('Commodity Prices'!$A$9:$A$2500,'Gold - Prices'!F25,'Commodity Prices'!$B$9:$B$2500,1)+
COUNTIFS('Commodity Prices'!$A$9:$A$2500,'Gold - Prices'!F25,'Commodity Prices'!$B$9:$B$2500,2))</f>
        <v>496.0558333333334</v>
      </c>
      <c r="K25" s="333">
        <f>(SUMIFS('Commodity Prices'!$F$9:$F$2500,'Commodity Prices'!$A$9:$A$2500,'Gold - Prices'!E25,'Commodity Prices'!$B$9:$B$2500,3)+
SUMIFS('Commodity Prices'!$F$9:$F$2500,'Commodity Prices'!$A$9:$A$2500,'Gold - Prices'!E25,'Commodity Prices'!$B$9:$B$2500,4)+
SUMIFS('Commodity Prices'!$F$9:$F$2500,'Commodity Prices'!$A$9:$A$2500,'Gold - Prices'!F25,'Commodity Prices'!$B$9:$B$2500,1)+
SUMIFS('Commodity Prices'!$F$9:$F$2500,'Commodity Prices'!$A$9:$A$2500,'Gold - Prices'!F25,'Commodity Prices'!$B$9:$B$2500,2))
/(COUNTIFS('Commodity Prices'!$A$9:$A$2500,'Gold - Prices'!E25,'Commodity Prices'!$B$9:$B$2500,3)+
COUNTIFS('Commodity Prices'!$A$9:$A$2500,'Gold - Prices'!E25,'Commodity Prices'!$B$9:$B$2500,4)+
COUNTIFS('Commodity Prices'!$A$9:$A$2500,'Gold - Prices'!F25,'Commodity Prices'!$B$9:$B$2500,1)+
COUNTIFS('Commodity Prices'!$A$9:$A$2500,'Gold - Prices'!F25,'Commodity Prices'!$B$9:$B$2500,2))</f>
        <v>403.16249999999997</v>
      </c>
    </row>
    <row r="26" spans="1:11">
      <c r="A26" s="606">
        <f>LARGE('Commodity Prices'!C$159:C$902,42)</f>
        <v>43101</v>
      </c>
      <c r="B26" s="706">
        <f>SUMIF('Commodity Prices'!C$159:C$902,A26,'Commodity Prices'!F$159:F$902)</f>
        <v>1332.2375000000002</v>
      </c>
      <c r="C26" s="705">
        <f>SUMIF('Commodity Prices'!C$159:C$902,A26,'Commodity Prices'!E$159:E$902)</f>
        <v>1679.27</v>
      </c>
      <c r="D26" s="10"/>
      <c r="E26" s="128">
        <f t="shared" si="1"/>
        <v>1989</v>
      </c>
      <c r="F26" s="128">
        <f t="shared" si="1"/>
        <v>1990</v>
      </c>
      <c r="G26" s="1328" t="str">
        <f t="shared" si="0"/>
        <v>1989-90</v>
      </c>
      <c r="H26" s="706">
        <f t="array" ref="H26">IF($G$6="Historic Calendar Year",IFERROR(AVERAGE(IF($G26=YEAR('Commodity Prices'!$C$9:$C$1000),'Commodity Prices'!$F$9:$F$1000)),"NA"),IFERROR(IF(K26=0,"NA",K26),"NA"))</f>
        <v>382.71249999999992</v>
      </c>
      <c r="I26" s="705">
        <f t="array" ref="I26">IF($G$6="Historic Calendar Year",IFERROR(AVERAGE(IF($G26=YEAR('Commodity Prices'!$C$9:$C$1000),'Commodity Prices'!$E$9:$E$1000)),"NA"),IFERROR(IF(J26=0,"NA",J26),"NA"))</f>
        <v>498.92416666666668</v>
      </c>
      <c r="J26" s="333">
        <f>(SUMIFS('Commodity Prices'!$E$9:$E$2500,'Commodity Prices'!$A$9:$A$2500,'Gold - Prices'!E26,'Commodity Prices'!$B$9:$B$2500,3)+
SUMIFS('Commodity Prices'!$E$9:$E$2500,'Commodity Prices'!$A$9:$A$2500,'Gold - Prices'!E26,'Commodity Prices'!$B$9:$B$2500,4)+
SUMIFS('Commodity Prices'!$E$9:$E$2500,'Commodity Prices'!$A$9:$A$2500,'Gold - Prices'!F26,'Commodity Prices'!$B$9:$B$2500,1)+
SUMIFS('Commodity Prices'!$E$9:$E$2500,'Commodity Prices'!$A$9:$A$2500,'Gold - Prices'!F26,'Commodity Prices'!$B$9:$B$2500,2))
/(COUNTIFS('Commodity Prices'!$A$9:$A$2500,'Gold - Prices'!E26,'Commodity Prices'!$B$9:$B$2500,3)+
COUNTIFS('Commodity Prices'!$A$9:$A$2500,'Gold - Prices'!E26,'Commodity Prices'!$B$9:$B$2500,4)+
COUNTIFS('Commodity Prices'!$A$9:$A$2500,'Gold - Prices'!F26,'Commodity Prices'!$B$9:$B$2500,1)+
COUNTIFS('Commodity Prices'!$A$9:$A$2500,'Gold - Prices'!F26,'Commodity Prices'!$B$9:$B$2500,2))</f>
        <v>498.92416666666668</v>
      </c>
      <c r="K26" s="333">
        <f>(SUMIFS('Commodity Prices'!$F$9:$F$2500,'Commodity Prices'!$A$9:$A$2500,'Gold - Prices'!E26,'Commodity Prices'!$B$9:$B$2500,3)+
SUMIFS('Commodity Prices'!$F$9:$F$2500,'Commodity Prices'!$A$9:$A$2500,'Gold - Prices'!E26,'Commodity Prices'!$B$9:$B$2500,4)+
SUMIFS('Commodity Prices'!$F$9:$F$2500,'Commodity Prices'!$A$9:$A$2500,'Gold - Prices'!F26,'Commodity Prices'!$B$9:$B$2500,1)+
SUMIFS('Commodity Prices'!$F$9:$F$2500,'Commodity Prices'!$A$9:$A$2500,'Gold - Prices'!F26,'Commodity Prices'!$B$9:$B$2500,2))
/(COUNTIFS('Commodity Prices'!$A$9:$A$2500,'Gold - Prices'!E26,'Commodity Prices'!$B$9:$B$2500,3)+
COUNTIFS('Commodity Prices'!$A$9:$A$2500,'Gold - Prices'!E26,'Commodity Prices'!$B$9:$B$2500,4)+
COUNTIFS('Commodity Prices'!$A$9:$A$2500,'Gold - Prices'!F26,'Commodity Prices'!$B$9:$B$2500,1)+
COUNTIFS('Commodity Prices'!$A$9:$A$2500,'Gold - Prices'!F26,'Commodity Prices'!$B$9:$B$2500,2))</f>
        <v>382.71249999999992</v>
      </c>
    </row>
    <row r="27" spans="1:11">
      <c r="A27" s="606">
        <f>LARGE('Commodity Prices'!C$159:C$902,41)</f>
        <v>43132</v>
      </c>
      <c r="B27" s="804">
        <f>SUMIF('Commodity Prices'!C$159:C$902,A27,'Commodity Prices'!F$159:F$902)</f>
        <v>1332.65</v>
      </c>
      <c r="C27" s="805">
        <f>SUMIF('Commodity Prices'!C$159:C$902,A27,'Commodity Prices'!E$159:E$902)</f>
        <v>1695.77</v>
      </c>
      <c r="D27" s="10"/>
      <c r="E27" s="128">
        <f t="shared" si="1"/>
        <v>1990</v>
      </c>
      <c r="F27" s="128">
        <f t="shared" si="1"/>
        <v>1991</v>
      </c>
      <c r="G27" s="1327" t="str">
        <f t="shared" si="0"/>
        <v>1990-91</v>
      </c>
      <c r="H27" s="804">
        <f t="array" ref="H27">IF($G$6="Historic Calendar Year",IFERROR(AVERAGE(IF($G27=YEAR('Commodity Prices'!$C$9:$C$1000),'Commodity Prices'!$F$9:$F$1000)),"NA"),IFERROR(IF(K27=0,"NA",K27),"NA"))</f>
        <v>373.57916666666665</v>
      </c>
      <c r="I27" s="805">
        <f t="array" ref="I27">IF($G$6="Historic Calendar Year",IFERROR(AVERAGE(IF($G27=YEAR('Commodity Prices'!$C$9:$C$1000),'Commodity Prices'!$E$9:$E$1000)),"NA"),IFERROR(IF(J27=0,"NA",J27),"NA"))</f>
        <v>477.64499999999998</v>
      </c>
      <c r="J27" s="333">
        <f>(SUMIFS('Commodity Prices'!$E$9:$E$2500,'Commodity Prices'!$A$9:$A$2500,'Gold - Prices'!E27,'Commodity Prices'!$B$9:$B$2500,3)+
SUMIFS('Commodity Prices'!$E$9:$E$2500,'Commodity Prices'!$A$9:$A$2500,'Gold - Prices'!E27,'Commodity Prices'!$B$9:$B$2500,4)+
SUMIFS('Commodity Prices'!$E$9:$E$2500,'Commodity Prices'!$A$9:$A$2500,'Gold - Prices'!F27,'Commodity Prices'!$B$9:$B$2500,1)+
SUMIFS('Commodity Prices'!$E$9:$E$2500,'Commodity Prices'!$A$9:$A$2500,'Gold - Prices'!F27,'Commodity Prices'!$B$9:$B$2500,2))
/(COUNTIFS('Commodity Prices'!$A$9:$A$2500,'Gold - Prices'!E27,'Commodity Prices'!$B$9:$B$2500,3)+
COUNTIFS('Commodity Prices'!$A$9:$A$2500,'Gold - Prices'!E27,'Commodity Prices'!$B$9:$B$2500,4)+
COUNTIFS('Commodity Prices'!$A$9:$A$2500,'Gold - Prices'!F27,'Commodity Prices'!$B$9:$B$2500,1)+
COUNTIFS('Commodity Prices'!$A$9:$A$2500,'Gold - Prices'!F27,'Commodity Prices'!$B$9:$B$2500,2))</f>
        <v>477.64499999999998</v>
      </c>
      <c r="K27" s="333">
        <f>(SUMIFS('Commodity Prices'!$F$9:$F$2500,'Commodity Prices'!$A$9:$A$2500,'Gold - Prices'!E27,'Commodity Prices'!$B$9:$B$2500,3)+
SUMIFS('Commodity Prices'!$F$9:$F$2500,'Commodity Prices'!$A$9:$A$2500,'Gold - Prices'!E27,'Commodity Prices'!$B$9:$B$2500,4)+
SUMIFS('Commodity Prices'!$F$9:$F$2500,'Commodity Prices'!$A$9:$A$2500,'Gold - Prices'!F27,'Commodity Prices'!$B$9:$B$2500,1)+
SUMIFS('Commodity Prices'!$F$9:$F$2500,'Commodity Prices'!$A$9:$A$2500,'Gold - Prices'!F27,'Commodity Prices'!$B$9:$B$2500,2))
/(COUNTIFS('Commodity Prices'!$A$9:$A$2500,'Gold - Prices'!E27,'Commodity Prices'!$B$9:$B$2500,3)+
COUNTIFS('Commodity Prices'!$A$9:$A$2500,'Gold - Prices'!E27,'Commodity Prices'!$B$9:$B$2500,4)+
COUNTIFS('Commodity Prices'!$A$9:$A$2500,'Gold - Prices'!F27,'Commodity Prices'!$B$9:$B$2500,1)+
COUNTIFS('Commodity Prices'!$A$9:$A$2500,'Gold - Prices'!F27,'Commodity Prices'!$B$9:$B$2500,2))</f>
        <v>373.57916666666665</v>
      </c>
    </row>
    <row r="28" spans="1:11">
      <c r="A28" s="606">
        <f>LARGE('Commodity Prices'!C$159:C$902,40)</f>
        <v>43160</v>
      </c>
      <c r="B28" s="706">
        <f>SUMIF('Commodity Prices'!C$159:C$902,A28,'Commodity Prices'!F$159:F$902)</f>
        <v>1325.109523809524</v>
      </c>
      <c r="C28" s="705">
        <f>SUMIF('Commodity Prices'!C$159:C$902,A28,'Commodity Prices'!E$159:E$902)</f>
        <v>1712.39</v>
      </c>
      <c r="D28" s="10"/>
      <c r="E28" s="128">
        <f t="shared" si="1"/>
        <v>1991</v>
      </c>
      <c r="F28" s="128">
        <f t="shared" si="1"/>
        <v>1992</v>
      </c>
      <c r="G28" s="1328" t="str">
        <f t="shared" si="0"/>
        <v>1991-92</v>
      </c>
      <c r="H28" s="706">
        <f t="array" ref="H28">IF($G$6="Historic Calendar Year",IFERROR(AVERAGE(IF($G28=YEAR('Commodity Prices'!$C$9:$C$1000),'Commodity Prices'!$F$9:$F$1000)),"NA"),IFERROR(IF(K28=0,"NA",K28),"NA"))</f>
        <v>352.09416666666669</v>
      </c>
      <c r="I28" s="705">
        <f t="array" ref="I28">IF($G$6="Historic Calendar Year",IFERROR(AVERAGE(IF($G28=YEAR('Commodity Prices'!$C$9:$C$1000),'Commodity Prices'!$E$9:$E$1000)),"NA"),IFERROR(IF(J28=0,"NA",J28),"NA"))</f>
        <v>459.53249999999997</v>
      </c>
      <c r="J28" s="333">
        <f>(SUMIFS('Commodity Prices'!$E$9:$E$2500,'Commodity Prices'!$A$9:$A$2500,'Gold - Prices'!E28,'Commodity Prices'!$B$9:$B$2500,3)+
SUMIFS('Commodity Prices'!$E$9:$E$2500,'Commodity Prices'!$A$9:$A$2500,'Gold - Prices'!E28,'Commodity Prices'!$B$9:$B$2500,4)+
SUMIFS('Commodity Prices'!$E$9:$E$2500,'Commodity Prices'!$A$9:$A$2500,'Gold - Prices'!F28,'Commodity Prices'!$B$9:$B$2500,1)+
SUMIFS('Commodity Prices'!$E$9:$E$2500,'Commodity Prices'!$A$9:$A$2500,'Gold - Prices'!F28,'Commodity Prices'!$B$9:$B$2500,2))
/(COUNTIFS('Commodity Prices'!$A$9:$A$2500,'Gold - Prices'!E28,'Commodity Prices'!$B$9:$B$2500,3)+
COUNTIFS('Commodity Prices'!$A$9:$A$2500,'Gold - Prices'!E28,'Commodity Prices'!$B$9:$B$2500,4)+
COUNTIFS('Commodity Prices'!$A$9:$A$2500,'Gold - Prices'!F28,'Commodity Prices'!$B$9:$B$2500,1)+
COUNTIFS('Commodity Prices'!$A$9:$A$2500,'Gold - Prices'!F28,'Commodity Prices'!$B$9:$B$2500,2))</f>
        <v>459.53249999999997</v>
      </c>
      <c r="K28" s="333">
        <f>(SUMIFS('Commodity Prices'!$F$9:$F$2500,'Commodity Prices'!$A$9:$A$2500,'Gold - Prices'!E28,'Commodity Prices'!$B$9:$B$2500,3)+
SUMIFS('Commodity Prices'!$F$9:$F$2500,'Commodity Prices'!$A$9:$A$2500,'Gold - Prices'!E28,'Commodity Prices'!$B$9:$B$2500,4)+
SUMIFS('Commodity Prices'!$F$9:$F$2500,'Commodity Prices'!$A$9:$A$2500,'Gold - Prices'!F28,'Commodity Prices'!$B$9:$B$2500,1)+
SUMIFS('Commodity Prices'!$F$9:$F$2500,'Commodity Prices'!$A$9:$A$2500,'Gold - Prices'!F28,'Commodity Prices'!$B$9:$B$2500,2))
/(COUNTIFS('Commodity Prices'!$A$9:$A$2500,'Gold - Prices'!E28,'Commodity Prices'!$B$9:$B$2500,3)+
COUNTIFS('Commodity Prices'!$A$9:$A$2500,'Gold - Prices'!E28,'Commodity Prices'!$B$9:$B$2500,4)+
COUNTIFS('Commodity Prices'!$A$9:$A$2500,'Gold - Prices'!F28,'Commodity Prices'!$B$9:$B$2500,1)+
COUNTIFS('Commodity Prices'!$A$9:$A$2500,'Gold - Prices'!F28,'Commodity Prices'!$B$9:$B$2500,2))</f>
        <v>352.09416666666669</v>
      </c>
    </row>
    <row r="29" spans="1:11">
      <c r="A29" s="606">
        <f>LARGE('Commodity Prices'!C$159:C$902,39)</f>
        <v>43191</v>
      </c>
      <c r="B29" s="804">
        <f>SUMIF('Commodity Prices'!C$159:C$902,A29,'Commodity Prices'!F$159:F$902)</f>
        <v>1334.74</v>
      </c>
      <c r="C29" s="805">
        <f>SUMIF('Commodity Prices'!C$159:C$902,A29,'Commodity Prices'!E$159:E$902)</f>
        <v>1741.12</v>
      </c>
      <c r="D29" s="10"/>
      <c r="E29" s="128">
        <f t="shared" si="1"/>
        <v>1992</v>
      </c>
      <c r="F29" s="128">
        <f t="shared" si="1"/>
        <v>1993</v>
      </c>
      <c r="G29" s="1327" t="str">
        <f t="shared" si="0"/>
        <v>1992-93</v>
      </c>
      <c r="H29" s="804">
        <f t="array" ref="H29">IF($G$6="Historic Calendar Year",IFERROR(AVERAGE(IF($G29=YEAR('Commodity Prices'!$C$9:$C$1000),'Commodity Prices'!$F$9:$F$1000)),"NA"),IFERROR(IF(K29=0,"NA",K29),"NA"))</f>
        <v>343.69583333333338</v>
      </c>
      <c r="I29" s="805">
        <f t="array" ref="I29">IF($G$6="Historic Calendar Year",IFERROR(AVERAGE(IF($G29=YEAR('Commodity Prices'!$C$9:$C$1000),'Commodity Prices'!$E$9:$E$1000)),"NA"),IFERROR(IF(J29=0,"NA",J29),"NA"))</f>
        <v>490.3125</v>
      </c>
      <c r="J29" s="333">
        <f>(SUMIFS('Commodity Prices'!$E$9:$E$2500,'Commodity Prices'!$A$9:$A$2500,'Gold - Prices'!E29,'Commodity Prices'!$B$9:$B$2500,3)+
SUMIFS('Commodity Prices'!$E$9:$E$2500,'Commodity Prices'!$A$9:$A$2500,'Gold - Prices'!E29,'Commodity Prices'!$B$9:$B$2500,4)+
SUMIFS('Commodity Prices'!$E$9:$E$2500,'Commodity Prices'!$A$9:$A$2500,'Gold - Prices'!F29,'Commodity Prices'!$B$9:$B$2500,1)+
SUMIFS('Commodity Prices'!$E$9:$E$2500,'Commodity Prices'!$A$9:$A$2500,'Gold - Prices'!F29,'Commodity Prices'!$B$9:$B$2500,2))
/(COUNTIFS('Commodity Prices'!$A$9:$A$2500,'Gold - Prices'!E29,'Commodity Prices'!$B$9:$B$2500,3)+
COUNTIFS('Commodity Prices'!$A$9:$A$2500,'Gold - Prices'!E29,'Commodity Prices'!$B$9:$B$2500,4)+
COUNTIFS('Commodity Prices'!$A$9:$A$2500,'Gold - Prices'!F29,'Commodity Prices'!$B$9:$B$2500,1)+
COUNTIFS('Commodity Prices'!$A$9:$A$2500,'Gold - Prices'!F29,'Commodity Prices'!$B$9:$B$2500,2))</f>
        <v>490.3125</v>
      </c>
      <c r="K29" s="333">
        <f>(SUMIFS('Commodity Prices'!$F$9:$F$2500,'Commodity Prices'!$A$9:$A$2500,'Gold - Prices'!E29,'Commodity Prices'!$B$9:$B$2500,3)+
SUMIFS('Commodity Prices'!$F$9:$F$2500,'Commodity Prices'!$A$9:$A$2500,'Gold - Prices'!E29,'Commodity Prices'!$B$9:$B$2500,4)+
SUMIFS('Commodity Prices'!$F$9:$F$2500,'Commodity Prices'!$A$9:$A$2500,'Gold - Prices'!F29,'Commodity Prices'!$B$9:$B$2500,1)+
SUMIFS('Commodity Prices'!$F$9:$F$2500,'Commodity Prices'!$A$9:$A$2500,'Gold - Prices'!F29,'Commodity Prices'!$B$9:$B$2500,2))
/(COUNTIFS('Commodity Prices'!$A$9:$A$2500,'Gold - Prices'!E29,'Commodity Prices'!$B$9:$B$2500,3)+
COUNTIFS('Commodity Prices'!$A$9:$A$2500,'Gold - Prices'!E29,'Commodity Prices'!$B$9:$B$2500,4)+
COUNTIFS('Commodity Prices'!$A$9:$A$2500,'Gold - Prices'!F29,'Commodity Prices'!$B$9:$B$2500,1)+
COUNTIFS('Commodity Prices'!$A$9:$A$2500,'Gold - Prices'!F29,'Commodity Prices'!$B$9:$B$2500,2))</f>
        <v>343.69583333333338</v>
      </c>
    </row>
    <row r="30" spans="1:11">
      <c r="A30" s="606">
        <f>LARGE('Commodity Prices'!C$159:C$902,38)</f>
        <v>43221</v>
      </c>
      <c r="B30" s="706">
        <f>SUMIF('Commodity Prices'!C$159:C$902,A30,'Commodity Prices'!F$159:F$902)</f>
        <v>1303.03</v>
      </c>
      <c r="C30" s="705">
        <f>SUMIF('Commodity Prices'!C$159:C$902,A30,'Commodity Prices'!E$159:E$902)</f>
        <v>1721.78</v>
      </c>
      <c r="D30" s="10"/>
      <c r="E30" s="128">
        <f t="shared" si="1"/>
        <v>1993</v>
      </c>
      <c r="F30" s="128">
        <f t="shared" si="1"/>
        <v>1994</v>
      </c>
      <c r="G30" s="1328" t="str">
        <f t="shared" si="0"/>
        <v>1993-94</v>
      </c>
      <c r="H30" s="706">
        <f t="array" ref="H30">IF($G$6="Historic Calendar Year",IFERROR(AVERAGE(IF($G30=YEAR('Commodity Prices'!$C$9:$C$1000),'Commodity Prices'!$F$9:$F$1000)),"NA"),IFERROR(IF(K30=0,"NA",K30),"NA"))</f>
        <v>378.87333333333328</v>
      </c>
      <c r="I30" s="705">
        <f t="array" ref="I30">IF($G$6="Historic Calendar Year",IFERROR(AVERAGE(IF($G30=YEAR('Commodity Prices'!$C$9:$C$1000),'Commodity Prices'!$E$9:$E$1000)),"NA"),IFERROR(IF(J30=0,"NA",J30),"NA"))</f>
        <v>547.57703170766706</v>
      </c>
      <c r="J30" s="333">
        <f>(SUMIFS('Commodity Prices'!$E$9:$E$2500,'Commodity Prices'!$A$9:$A$2500,'Gold - Prices'!E30,'Commodity Prices'!$B$9:$B$2500,3)+
SUMIFS('Commodity Prices'!$E$9:$E$2500,'Commodity Prices'!$A$9:$A$2500,'Gold - Prices'!E30,'Commodity Prices'!$B$9:$B$2500,4)+
SUMIFS('Commodity Prices'!$E$9:$E$2500,'Commodity Prices'!$A$9:$A$2500,'Gold - Prices'!F30,'Commodity Prices'!$B$9:$B$2500,1)+
SUMIFS('Commodity Prices'!$E$9:$E$2500,'Commodity Prices'!$A$9:$A$2500,'Gold - Prices'!F30,'Commodity Prices'!$B$9:$B$2500,2))
/(COUNTIFS('Commodity Prices'!$A$9:$A$2500,'Gold - Prices'!E30,'Commodity Prices'!$B$9:$B$2500,3)+
COUNTIFS('Commodity Prices'!$A$9:$A$2500,'Gold - Prices'!E30,'Commodity Prices'!$B$9:$B$2500,4)+
COUNTIFS('Commodity Prices'!$A$9:$A$2500,'Gold - Prices'!F30,'Commodity Prices'!$B$9:$B$2500,1)+
COUNTIFS('Commodity Prices'!$A$9:$A$2500,'Gold - Prices'!F30,'Commodity Prices'!$B$9:$B$2500,2))</f>
        <v>547.57703170766706</v>
      </c>
      <c r="K30" s="333">
        <f>(SUMIFS('Commodity Prices'!$F$9:$F$2500,'Commodity Prices'!$A$9:$A$2500,'Gold - Prices'!E30,'Commodity Prices'!$B$9:$B$2500,3)+
SUMIFS('Commodity Prices'!$F$9:$F$2500,'Commodity Prices'!$A$9:$A$2500,'Gold - Prices'!E30,'Commodity Prices'!$B$9:$B$2500,4)+
SUMIFS('Commodity Prices'!$F$9:$F$2500,'Commodity Prices'!$A$9:$A$2500,'Gold - Prices'!F30,'Commodity Prices'!$B$9:$B$2500,1)+
SUMIFS('Commodity Prices'!$F$9:$F$2500,'Commodity Prices'!$A$9:$A$2500,'Gold - Prices'!F30,'Commodity Prices'!$B$9:$B$2500,2))
/(COUNTIFS('Commodity Prices'!$A$9:$A$2500,'Gold - Prices'!E30,'Commodity Prices'!$B$9:$B$2500,3)+
COUNTIFS('Commodity Prices'!$A$9:$A$2500,'Gold - Prices'!E30,'Commodity Prices'!$B$9:$B$2500,4)+
COUNTIFS('Commodity Prices'!$A$9:$A$2500,'Gold - Prices'!F30,'Commodity Prices'!$B$9:$B$2500,1)+
COUNTIFS('Commodity Prices'!$A$9:$A$2500,'Gold - Prices'!F30,'Commodity Prices'!$B$9:$B$2500,2))</f>
        <v>378.87333333333328</v>
      </c>
    </row>
    <row r="31" spans="1:11">
      <c r="A31" s="606">
        <f>LARGE('Commodity Prices'!C$159:C$902,37)</f>
        <v>43252</v>
      </c>
      <c r="B31" s="804">
        <f>SUMIF('Commodity Prices'!C$159:C$902,A31,'Commodity Prices'!F$159:F$902)</f>
        <v>1281.57</v>
      </c>
      <c r="C31" s="805">
        <f>SUMIF('Commodity Prices'!C$159:C$902,A31,'Commodity Prices'!E$159:E$902)</f>
        <v>1714.33</v>
      </c>
      <c r="D31" s="10"/>
      <c r="E31" s="128">
        <f t="shared" si="1"/>
        <v>1994</v>
      </c>
      <c r="F31" s="128">
        <f t="shared" si="1"/>
        <v>1995</v>
      </c>
      <c r="G31" s="1327" t="str">
        <f t="shared" si="0"/>
        <v>1994-95</v>
      </c>
      <c r="H31" s="804">
        <f t="array" ref="H31">IF($G$6="Historic Calendar Year",IFERROR(AVERAGE(IF($G31=YEAR('Commodity Prices'!$C$9:$C$1000),'Commodity Prices'!$F$9:$F$1000)),"NA"),IFERROR(IF(K31=0,"NA",K31),"NA"))</f>
        <v>384.45499999999998</v>
      </c>
      <c r="I31" s="805">
        <f t="array" ref="I31">IF($G$6="Historic Calendar Year",IFERROR(AVERAGE(IF($G31=YEAR('Commodity Prices'!$C$9:$C$1000),'Commodity Prices'!$E$9:$E$1000)),"NA"),IFERROR(IF(J31=0,"NA",J31),"NA"))</f>
        <v>494.10457999520287</v>
      </c>
      <c r="J31" s="333">
        <f>(SUMIFS('Commodity Prices'!$E$9:$E$2500,'Commodity Prices'!$A$9:$A$2500,'Gold - Prices'!E31,'Commodity Prices'!$B$9:$B$2500,3)+
SUMIFS('Commodity Prices'!$E$9:$E$2500,'Commodity Prices'!$A$9:$A$2500,'Gold - Prices'!E31,'Commodity Prices'!$B$9:$B$2500,4)+
SUMIFS('Commodity Prices'!$E$9:$E$2500,'Commodity Prices'!$A$9:$A$2500,'Gold - Prices'!F31,'Commodity Prices'!$B$9:$B$2500,1)+
SUMIFS('Commodity Prices'!$E$9:$E$2500,'Commodity Prices'!$A$9:$A$2500,'Gold - Prices'!F31,'Commodity Prices'!$B$9:$B$2500,2))
/(COUNTIFS('Commodity Prices'!$A$9:$A$2500,'Gold - Prices'!E31,'Commodity Prices'!$B$9:$B$2500,3)+
COUNTIFS('Commodity Prices'!$A$9:$A$2500,'Gold - Prices'!E31,'Commodity Prices'!$B$9:$B$2500,4)+
COUNTIFS('Commodity Prices'!$A$9:$A$2500,'Gold - Prices'!F31,'Commodity Prices'!$B$9:$B$2500,1)+
COUNTIFS('Commodity Prices'!$A$9:$A$2500,'Gold - Prices'!F31,'Commodity Prices'!$B$9:$B$2500,2))</f>
        <v>494.10457999520287</v>
      </c>
      <c r="K31" s="333">
        <f>(SUMIFS('Commodity Prices'!$F$9:$F$2500,'Commodity Prices'!$A$9:$A$2500,'Gold - Prices'!E31,'Commodity Prices'!$B$9:$B$2500,3)+
SUMIFS('Commodity Prices'!$F$9:$F$2500,'Commodity Prices'!$A$9:$A$2500,'Gold - Prices'!E31,'Commodity Prices'!$B$9:$B$2500,4)+
SUMIFS('Commodity Prices'!$F$9:$F$2500,'Commodity Prices'!$A$9:$A$2500,'Gold - Prices'!F31,'Commodity Prices'!$B$9:$B$2500,1)+
SUMIFS('Commodity Prices'!$F$9:$F$2500,'Commodity Prices'!$A$9:$A$2500,'Gold - Prices'!F31,'Commodity Prices'!$B$9:$B$2500,2))
/(COUNTIFS('Commodity Prices'!$A$9:$A$2500,'Gold - Prices'!E31,'Commodity Prices'!$B$9:$B$2500,3)+
COUNTIFS('Commodity Prices'!$A$9:$A$2500,'Gold - Prices'!E31,'Commodity Prices'!$B$9:$B$2500,4)+
COUNTIFS('Commodity Prices'!$A$9:$A$2500,'Gold - Prices'!F31,'Commodity Prices'!$B$9:$B$2500,1)+
COUNTIFS('Commodity Prices'!$A$9:$A$2500,'Gold - Prices'!F31,'Commodity Prices'!$B$9:$B$2500,2))</f>
        <v>384.45499999999998</v>
      </c>
    </row>
    <row r="32" spans="1:11">
      <c r="A32" s="606">
        <f>LARGE('Commodity Prices'!C$159:C$902,36)</f>
        <v>43282</v>
      </c>
      <c r="B32" s="706">
        <f>SUMIF('Commodity Prices'!C$159:C$902,A32,'Commodity Prices'!F$159:F$902)</f>
        <v>1238.53</v>
      </c>
      <c r="C32" s="705">
        <f>SUMIF('Commodity Prices'!C$159:C$902,A32,'Commodity Prices'!E$159:E$902)</f>
        <v>1677.03</v>
      </c>
      <c r="D32" s="10"/>
      <c r="E32" s="128">
        <f t="shared" si="1"/>
        <v>1995</v>
      </c>
      <c r="F32" s="128">
        <f t="shared" si="1"/>
        <v>1996</v>
      </c>
      <c r="G32" s="1328" t="str">
        <f t="shared" si="0"/>
        <v>1995-96</v>
      </c>
      <c r="H32" s="706">
        <f t="array" ref="H32">IF($G$6="Historic Calendar Year",IFERROR(AVERAGE(IF($G32=YEAR('Commodity Prices'!$C$9:$C$1000),'Commodity Prices'!$F$9:$F$1000)),"NA"),IFERROR(IF(K32=0,"NA",K32),"NA"))</f>
        <v>389.88916666666665</v>
      </c>
      <c r="I32" s="705">
        <f t="array" ref="I32">IF($G$6="Historic Calendar Year",IFERROR(AVERAGE(IF($G32=YEAR('Commodity Prices'!$C$9:$C$1000),'Commodity Prices'!$E$9:$E$1000)),"NA"),IFERROR(IF(J32=0,"NA",J32),"NA"))</f>
        <v>512.21980252176661</v>
      </c>
      <c r="J32" s="333">
        <f>(SUMIFS('Commodity Prices'!$E$9:$E$2500,'Commodity Prices'!$A$9:$A$2500,'Gold - Prices'!E32,'Commodity Prices'!$B$9:$B$2500,3)+
SUMIFS('Commodity Prices'!$E$9:$E$2500,'Commodity Prices'!$A$9:$A$2500,'Gold - Prices'!E32,'Commodity Prices'!$B$9:$B$2500,4)+
SUMIFS('Commodity Prices'!$E$9:$E$2500,'Commodity Prices'!$A$9:$A$2500,'Gold - Prices'!F32,'Commodity Prices'!$B$9:$B$2500,1)+
SUMIFS('Commodity Prices'!$E$9:$E$2500,'Commodity Prices'!$A$9:$A$2500,'Gold - Prices'!F32,'Commodity Prices'!$B$9:$B$2500,2))
/(COUNTIFS('Commodity Prices'!$A$9:$A$2500,'Gold - Prices'!E32,'Commodity Prices'!$B$9:$B$2500,3)+
COUNTIFS('Commodity Prices'!$A$9:$A$2500,'Gold - Prices'!E32,'Commodity Prices'!$B$9:$B$2500,4)+
COUNTIFS('Commodity Prices'!$A$9:$A$2500,'Gold - Prices'!F32,'Commodity Prices'!$B$9:$B$2500,1)+
COUNTIFS('Commodity Prices'!$A$9:$A$2500,'Gold - Prices'!F32,'Commodity Prices'!$B$9:$B$2500,2))</f>
        <v>512.21980252176661</v>
      </c>
      <c r="K32" s="333">
        <f>(SUMIFS('Commodity Prices'!$F$9:$F$2500,'Commodity Prices'!$A$9:$A$2500,'Gold - Prices'!E32,'Commodity Prices'!$B$9:$B$2500,3)+
SUMIFS('Commodity Prices'!$F$9:$F$2500,'Commodity Prices'!$A$9:$A$2500,'Gold - Prices'!E32,'Commodity Prices'!$B$9:$B$2500,4)+
SUMIFS('Commodity Prices'!$F$9:$F$2500,'Commodity Prices'!$A$9:$A$2500,'Gold - Prices'!F32,'Commodity Prices'!$B$9:$B$2500,1)+
SUMIFS('Commodity Prices'!$F$9:$F$2500,'Commodity Prices'!$A$9:$A$2500,'Gold - Prices'!F32,'Commodity Prices'!$B$9:$B$2500,2))
/(COUNTIFS('Commodity Prices'!$A$9:$A$2500,'Gold - Prices'!E32,'Commodity Prices'!$B$9:$B$2500,3)+
COUNTIFS('Commodity Prices'!$A$9:$A$2500,'Gold - Prices'!E32,'Commodity Prices'!$B$9:$B$2500,4)+
COUNTIFS('Commodity Prices'!$A$9:$A$2500,'Gold - Prices'!F32,'Commodity Prices'!$B$9:$B$2500,1)+
COUNTIFS('Commodity Prices'!$A$9:$A$2500,'Gold - Prices'!F32,'Commodity Prices'!$B$9:$B$2500,2))</f>
        <v>389.88916666666665</v>
      </c>
    </row>
    <row r="33" spans="1:11">
      <c r="A33" s="606">
        <f>LARGE('Commodity Prices'!C$159:C$902,35)</f>
        <v>43313</v>
      </c>
      <c r="B33" s="804">
        <f>SUMIF('Commodity Prices'!C$159:C$902,A33,'Commodity Prices'!F$159:F$902)</f>
        <v>1201.25</v>
      </c>
      <c r="C33" s="805">
        <f>SUMIF('Commodity Prices'!C$159:C$902,A33,'Commodity Prices'!E$159:E$902)</f>
        <v>1642.36</v>
      </c>
      <c r="D33" s="10"/>
      <c r="E33" s="128">
        <f t="shared" si="1"/>
        <v>1996</v>
      </c>
      <c r="F33" s="128">
        <f t="shared" si="1"/>
        <v>1997</v>
      </c>
      <c r="G33" s="1327" t="str">
        <f t="shared" si="0"/>
        <v>1996-97</v>
      </c>
      <c r="H33" s="804">
        <f t="array" ref="H33">IF($G$6="Historic Calendar Year",IFERROR(AVERAGE(IF($G33=YEAR('Commodity Prices'!$C$9:$C$1000),'Commodity Prices'!$F$9:$F$1000)),"NA"),IFERROR(IF(K33=0,"NA",K33),"NA"))</f>
        <v>363.89249999999998</v>
      </c>
      <c r="I33" s="805">
        <f t="array" ref="I33">IF($G$6="Historic Calendar Year",IFERROR(AVERAGE(IF($G33=YEAR('Commodity Prices'!$C$9:$C$1000),'Commodity Prices'!$E$9:$E$1000)),"NA"),IFERROR(IF(J33=0,"NA",J33),"NA"))</f>
        <v>464.21000000000004</v>
      </c>
      <c r="J33" s="333">
        <f>(SUMIFS('Commodity Prices'!$E$9:$E$2500,'Commodity Prices'!$A$9:$A$2500,'Gold - Prices'!E33,'Commodity Prices'!$B$9:$B$2500,3)+
SUMIFS('Commodity Prices'!$E$9:$E$2500,'Commodity Prices'!$A$9:$A$2500,'Gold - Prices'!E33,'Commodity Prices'!$B$9:$B$2500,4)+
SUMIFS('Commodity Prices'!$E$9:$E$2500,'Commodity Prices'!$A$9:$A$2500,'Gold - Prices'!F33,'Commodity Prices'!$B$9:$B$2500,1)+
SUMIFS('Commodity Prices'!$E$9:$E$2500,'Commodity Prices'!$A$9:$A$2500,'Gold - Prices'!F33,'Commodity Prices'!$B$9:$B$2500,2))
/(COUNTIFS('Commodity Prices'!$A$9:$A$2500,'Gold - Prices'!E33,'Commodity Prices'!$B$9:$B$2500,3)+
COUNTIFS('Commodity Prices'!$A$9:$A$2500,'Gold - Prices'!E33,'Commodity Prices'!$B$9:$B$2500,4)+
COUNTIFS('Commodity Prices'!$A$9:$A$2500,'Gold - Prices'!F33,'Commodity Prices'!$B$9:$B$2500,1)+
COUNTIFS('Commodity Prices'!$A$9:$A$2500,'Gold - Prices'!F33,'Commodity Prices'!$B$9:$B$2500,2))</f>
        <v>464.21000000000004</v>
      </c>
      <c r="K33" s="333">
        <f>(SUMIFS('Commodity Prices'!$F$9:$F$2500,'Commodity Prices'!$A$9:$A$2500,'Gold - Prices'!E33,'Commodity Prices'!$B$9:$B$2500,3)+
SUMIFS('Commodity Prices'!$F$9:$F$2500,'Commodity Prices'!$A$9:$A$2500,'Gold - Prices'!E33,'Commodity Prices'!$B$9:$B$2500,4)+
SUMIFS('Commodity Prices'!$F$9:$F$2500,'Commodity Prices'!$A$9:$A$2500,'Gold - Prices'!F33,'Commodity Prices'!$B$9:$B$2500,1)+
SUMIFS('Commodity Prices'!$F$9:$F$2500,'Commodity Prices'!$A$9:$A$2500,'Gold - Prices'!F33,'Commodity Prices'!$B$9:$B$2500,2))
/(COUNTIFS('Commodity Prices'!$A$9:$A$2500,'Gold - Prices'!E33,'Commodity Prices'!$B$9:$B$2500,3)+
COUNTIFS('Commodity Prices'!$A$9:$A$2500,'Gold - Prices'!E33,'Commodity Prices'!$B$9:$B$2500,4)+
COUNTIFS('Commodity Prices'!$A$9:$A$2500,'Gold - Prices'!F33,'Commodity Prices'!$B$9:$B$2500,1)+
COUNTIFS('Commodity Prices'!$A$9:$A$2500,'Gold - Prices'!F33,'Commodity Prices'!$B$9:$B$2500,2))</f>
        <v>363.89249999999998</v>
      </c>
    </row>
    <row r="34" spans="1:11">
      <c r="A34" s="606">
        <f>LARGE('Commodity Prices'!C$159:C$902,34)</f>
        <v>43344</v>
      </c>
      <c r="B34" s="706">
        <f>SUMIF('Commodity Prices'!C$159:C$902,A34,'Commodity Prices'!F$159:F$902)</f>
        <v>1198.47</v>
      </c>
      <c r="C34" s="705">
        <f>SUMIF('Commodity Prices'!C$159:C$902,A34,'Commodity Prices'!E$159:E$902)</f>
        <v>1669.31</v>
      </c>
      <c r="D34" s="10"/>
      <c r="E34" s="128">
        <f t="shared" si="1"/>
        <v>1997</v>
      </c>
      <c r="F34" s="128">
        <f t="shared" si="1"/>
        <v>1998</v>
      </c>
      <c r="G34" s="1328" t="str">
        <f t="shared" si="0"/>
        <v>1997-98</v>
      </c>
      <c r="H34" s="706">
        <f t="array" ref="H34">IF($G$6="Historic Calendar Year",IFERROR(AVERAGE(IF($G34=YEAR('Commodity Prices'!$C$9:$C$1000),'Commodity Prices'!$F$9:$F$1000)),"NA"),IFERROR(IF(K34=0,"NA",K34),"NA"))</f>
        <v>306.07499999999999</v>
      </c>
      <c r="I34" s="705">
        <f t="array" ref="I34">IF($G$6="Historic Calendar Year",IFERROR(AVERAGE(IF($G34=YEAR('Commodity Prices'!$C$9:$C$1000),'Commodity Prices'!$E$9:$E$1000)),"NA"),IFERROR(IF(J34=0,"NA",J34),"NA"))</f>
        <v>454.21166666666664</v>
      </c>
      <c r="J34" s="333">
        <f>(SUMIFS('Commodity Prices'!$E$9:$E$2500,'Commodity Prices'!$A$9:$A$2500,'Gold - Prices'!E34,'Commodity Prices'!$B$9:$B$2500,3)+
SUMIFS('Commodity Prices'!$E$9:$E$2500,'Commodity Prices'!$A$9:$A$2500,'Gold - Prices'!E34,'Commodity Prices'!$B$9:$B$2500,4)+
SUMIFS('Commodity Prices'!$E$9:$E$2500,'Commodity Prices'!$A$9:$A$2500,'Gold - Prices'!F34,'Commodity Prices'!$B$9:$B$2500,1)+
SUMIFS('Commodity Prices'!$E$9:$E$2500,'Commodity Prices'!$A$9:$A$2500,'Gold - Prices'!F34,'Commodity Prices'!$B$9:$B$2500,2))
/(COUNTIFS('Commodity Prices'!$A$9:$A$2500,'Gold - Prices'!E34,'Commodity Prices'!$B$9:$B$2500,3)+
COUNTIFS('Commodity Prices'!$A$9:$A$2500,'Gold - Prices'!E34,'Commodity Prices'!$B$9:$B$2500,4)+
COUNTIFS('Commodity Prices'!$A$9:$A$2500,'Gold - Prices'!F34,'Commodity Prices'!$B$9:$B$2500,1)+
COUNTIFS('Commodity Prices'!$A$9:$A$2500,'Gold - Prices'!F34,'Commodity Prices'!$B$9:$B$2500,2))</f>
        <v>454.21166666666664</v>
      </c>
      <c r="K34" s="333">
        <f>(SUMIFS('Commodity Prices'!$F$9:$F$2500,'Commodity Prices'!$A$9:$A$2500,'Gold - Prices'!E34,'Commodity Prices'!$B$9:$B$2500,3)+
SUMIFS('Commodity Prices'!$F$9:$F$2500,'Commodity Prices'!$A$9:$A$2500,'Gold - Prices'!E34,'Commodity Prices'!$B$9:$B$2500,4)+
SUMIFS('Commodity Prices'!$F$9:$F$2500,'Commodity Prices'!$A$9:$A$2500,'Gold - Prices'!F34,'Commodity Prices'!$B$9:$B$2500,1)+
SUMIFS('Commodity Prices'!$F$9:$F$2500,'Commodity Prices'!$A$9:$A$2500,'Gold - Prices'!F34,'Commodity Prices'!$B$9:$B$2500,2))
/(COUNTIFS('Commodity Prices'!$A$9:$A$2500,'Gold - Prices'!E34,'Commodity Prices'!$B$9:$B$2500,3)+
COUNTIFS('Commodity Prices'!$A$9:$A$2500,'Gold - Prices'!E34,'Commodity Prices'!$B$9:$B$2500,4)+
COUNTIFS('Commodity Prices'!$A$9:$A$2500,'Gold - Prices'!F34,'Commodity Prices'!$B$9:$B$2500,1)+
COUNTIFS('Commodity Prices'!$A$9:$A$2500,'Gold - Prices'!F34,'Commodity Prices'!$B$9:$B$2500,2))</f>
        <v>306.07499999999999</v>
      </c>
    </row>
    <row r="35" spans="1:11">
      <c r="A35" s="606">
        <f>LARGE('Commodity Prices'!C$159:C$902,33)</f>
        <v>43374</v>
      </c>
      <c r="B35" s="804">
        <f>SUMIF('Commodity Prices'!C$159:C$902,A35,'Commodity Prices'!F$159:F$902)</f>
        <v>1215.3900000000001</v>
      </c>
      <c r="C35" s="805">
        <f>SUMIF('Commodity Prices'!C$159:C$902,A35,'Commodity Prices'!E$159:E$902)</f>
        <v>1714.3</v>
      </c>
      <c r="D35" s="10"/>
      <c r="E35" s="128">
        <f t="shared" si="1"/>
        <v>1998</v>
      </c>
      <c r="F35" s="128">
        <f t="shared" si="1"/>
        <v>1999</v>
      </c>
      <c r="G35" s="1327" t="str">
        <f t="shared" si="0"/>
        <v>1998-99</v>
      </c>
      <c r="H35" s="804">
        <f t="array" ref="H35">IF($G$6="Historic Calendar Year",IFERROR(AVERAGE(IF($G35=YEAR('Commodity Prices'!$C$9:$C$1000),'Commodity Prices'!$F$9:$F$1000)),"NA"),IFERROR(IF(K35=0,"NA",K35),"NA"))</f>
        <v>285.87740740740736</v>
      </c>
      <c r="I35" s="805">
        <f t="array" ref="I35">IF($G$6="Historic Calendar Year",IFERROR(AVERAGE(IF($G35=YEAR('Commodity Prices'!$C$9:$C$1000),'Commodity Prices'!$E$9:$E$1000)),"NA"),IFERROR(IF(J35=0,"NA",J35),"NA"))</f>
        <v>456.36583333333328</v>
      </c>
      <c r="J35" s="333">
        <f>(SUMIFS('Commodity Prices'!$E$9:$E$2500,'Commodity Prices'!$A$9:$A$2500,'Gold - Prices'!E35,'Commodity Prices'!$B$9:$B$2500,3)+
SUMIFS('Commodity Prices'!$E$9:$E$2500,'Commodity Prices'!$A$9:$A$2500,'Gold - Prices'!E35,'Commodity Prices'!$B$9:$B$2500,4)+
SUMIFS('Commodity Prices'!$E$9:$E$2500,'Commodity Prices'!$A$9:$A$2500,'Gold - Prices'!F35,'Commodity Prices'!$B$9:$B$2500,1)+
SUMIFS('Commodity Prices'!$E$9:$E$2500,'Commodity Prices'!$A$9:$A$2500,'Gold - Prices'!F35,'Commodity Prices'!$B$9:$B$2500,2))
/(COUNTIFS('Commodity Prices'!$A$9:$A$2500,'Gold - Prices'!E35,'Commodity Prices'!$B$9:$B$2500,3)+
COUNTIFS('Commodity Prices'!$A$9:$A$2500,'Gold - Prices'!E35,'Commodity Prices'!$B$9:$B$2500,4)+
COUNTIFS('Commodity Prices'!$A$9:$A$2500,'Gold - Prices'!F35,'Commodity Prices'!$B$9:$B$2500,1)+
COUNTIFS('Commodity Prices'!$A$9:$A$2500,'Gold - Prices'!F35,'Commodity Prices'!$B$9:$B$2500,2))</f>
        <v>456.36583333333328</v>
      </c>
      <c r="K35" s="333">
        <f>(SUMIFS('Commodity Prices'!$F$9:$F$2500,'Commodity Prices'!$A$9:$A$2500,'Gold - Prices'!E35,'Commodity Prices'!$B$9:$B$2500,3)+
SUMIFS('Commodity Prices'!$F$9:$F$2500,'Commodity Prices'!$A$9:$A$2500,'Gold - Prices'!E35,'Commodity Prices'!$B$9:$B$2500,4)+
SUMIFS('Commodity Prices'!$F$9:$F$2500,'Commodity Prices'!$A$9:$A$2500,'Gold - Prices'!F35,'Commodity Prices'!$B$9:$B$2500,1)+
SUMIFS('Commodity Prices'!$F$9:$F$2500,'Commodity Prices'!$A$9:$A$2500,'Gold - Prices'!F35,'Commodity Prices'!$B$9:$B$2500,2))
/(COUNTIFS('Commodity Prices'!$A$9:$A$2500,'Gold - Prices'!E35,'Commodity Prices'!$B$9:$B$2500,3)+
COUNTIFS('Commodity Prices'!$A$9:$A$2500,'Gold - Prices'!E35,'Commodity Prices'!$B$9:$B$2500,4)+
COUNTIFS('Commodity Prices'!$A$9:$A$2500,'Gold - Prices'!F35,'Commodity Prices'!$B$9:$B$2500,1)+
COUNTIFS('Commodity Prices'!$A$9:$A$2500,'Gold - Prices'!F35,'Commodity Prices'!$B$9:$B$2500,2))</f>
        <v>285.87740740740736</v>
      </c>
    </row>
    <row r="36" spans="1:11">
      <c r="A36" s="606">
        <f>LARGE('Commodity Prices'!C$159:C$902,32)</f>
        <v>43405</v>
      </c>
      <c r="B36" s="706">
        <f>SUMIF('Commodity Prices'!C$159:C$902,A36,'Commodity Prices'!F$159:F$902)</f>
        <v>1220.95</v>
      </c>
      <c r="C36" s="705">
        <f>SUMIF('Commodity Prices'!C$159:C$902,A36,'Commodity Prices'!E$159:E$902)</f>
        <v>1691.04</v>
      </c>
      <c r="D36" s="10"/>
      <c r="E36" s="128">
        <f t="shared" si="1"/>
        <v>1999</v>
      </c>
      <c r="F36" s="128">
        <f t="shared" si="1"/>
        <v>2000</v>
      </c>
      <c r="G36" s="1328" t="str">
        <f t="shared" si="0"/>
        <v>1999-00</v>
      </c>
      <c r="H36" s="706">
        <f t="array" ref="H36">IF($G$6="Historic Calendar Year",IFERROR(AVERAGE(IF($G36=YEAR('Commodity Prices'!$C$9:$C$1000),'Commodity Prices'!$F$9:$F$1000)),"NA"),IFERROR(IF(K36=0,"NA",K36),"NA"))</f>
        <v>281.71867784992781</v>
      </c>
      <c r="I36" s="705">
        <f t="array" ref="I36">IF($G$6="Historic Calendar Year",IFERROR(AVERAGE(IF($G36=YEAR('Commodity Prices'!$C$9:$C$1000),'Commodity Prices'!$E$9:$E$1000)),"NA"),IFERROR(IF(J36=0,"NA",J36),"NA"))</f>
        <v>449.42333333333335</v>
      </c>
      <c r="J36" s="333">
        <f>(SUMIFS('Commodity Prices'!$E$9:$E$2500,'Commodity Prices'!$A$9:$A$2500,'Gold - Prices'!E36,'Commodity Prices'!$B$9:$B$2500,3)+
SUMIFS('Commodity Prices'!$E$9:$E$2500,'Commodity Prices'!$A$9:$A$2500,'Gold - Prices'!E36,'Commodity Prices'!$B$9:$B$2500,4)+
SUMIFS('Commodity Prices'!$E$9:$E$2500,'Commodity Prices'!$A$9:$A$2500,'Gold - Prices'!F36,'Commodity Prices'!$B$9:$B$2500,1)+
SUMIFS('Commodity Prices'!$E$9:$E$2500,'Commodity Prices'!$A$9:$A$2500,'Gold - Prices'!F36,'Commodity Prices'!$B$9:$B$2500,2))
/(COUNTIFS('Commodity Prices'!$A$9:$A$2500,'Gold - Prices'!E36,'Commodity Prices'!$B$9:$B$2500,3)+
COUNTIFS('Commodity Prices'!$A$9:$A$2500,'Gold - Prices'!E36,'Commodity Prices'!$B$9:$B$2500,4)+
COUNTIFS('Commodity Prices'!$A$9:$A$2500,'Gold - Prices'!F36,'Commodity Prices'!$B$9:$B$2500,1)+
COUNTIFS('Commodity Prices'!$A$9:$A$2500,'Gold - Prices'!F36,'Commodity Prices'!$B$9:$B$2500,2))</f>
        <v>449.42333333333335</v>
      </c>
      <c r="K36" s="333">
        <f>(SUMIFS('Commodity Prices'!$F$9:$F$2500,'Commodity Prices'!$A$9:$A$2500,'Gold - Prices'!E36,'Commodity Prices'!$B$9:$B$2500,3)+
SUMIFS('Commodity Prices'!$F$9:$F$2500,'Commodity Prices'!$A$9:$A$2500,'Gold - Prices'!E36,'Commodity Prices'!$B$9:$B$2500,4)+
SUMIFS('Commodity Prices'!$F$9:$F$2500,'Commodity Prices'!$A$9:$A$2500,'Gold - Prices'!F36,'Commodity Prices'!$B$9:$B$2500,1)+
SUMIFS('Commodity Prices'!$F$9:$F$2500,'Commodity Prices'!$A$9:$A$2500,'Gold - Prices'!F36,'Commodity Prices'!$B$9:$B$2500,2))
/(COUNTIFS('Commodity Prices'!$A$9:$A$2500,'Gold - Prices'!E36,'Commodity Prices'!$B$9:$B$2500,3)+
COUNTIFS('Commodity Prices'!$A$9:$A$2500,'Gold - Prices'!E36,'Commodity Prices'!$B$9:$B$2500,4)+
COUNTIFS('Commodity Prices'!$A$9:$A$2500,'Gold - Prices'!F36,'Commodity Prices'!$B$9:$B$2500,1)+
COUNTIFS('Commodity Prices'!$A$9:$A$2500,'Gold - Prices'!F36,'Commodity Prices'!$B$9:$B$2500,2))</f>
        <v>281.71867784992781</v>
      </c>
    </row>
    <row r="37" spans="1:11">
      <c r="A37" s="606">
        <f>LARGE('Commodity Prices'!C$159:C$902,31)</f>
        <v>43435</v>
      </c>
      <c r="B37" s="804">
        <f>SUMIF('Commodity Prices'!C$159:C$902,A37,'Commodity Prices'!F$159:F$902)</f>
        <v>1247.92</v>
      </c>
      <c r="C37" s="805">
        <f>SUMIF('Commodity Prices'!C$159:C$902,A37,'Commodity Prices'!E$159:E$902)</f>
        <v>1748.32</v>
      </c>
      <c r="D37" s="10"/>
      <c r="E37" s="128">
        <f t="shared" si="1"/>
        <v>2000</v>
      </c>
      <c r="F37" s="128">
        <f t="shared" si="1"/>
        <v>2001</v>
      </c>
      <c r="G37" s="1327" t="str">
        <f t="shared" si="0"/>
        <v>2000-01</v>
      </c>
      <c r="H37" s="804">
        <f t="array" ref="H37">IF($G$6="Historic Calendar Year",IFERROR(AVERAGE(IF($G37=YEAR('Commodity Prices'!$C$9:$C$1000),'Commodity Prices'!$F$9:$F$1000)),"NA"),IFERROR(IF(K37=0,"NA",K37),"NA"))</f>
        <v>268.97916666666669</v>
      </c>
      <c r="I37" s="805">
        <f t="array" ref="I37">IF($G$6="Historic Calendar Year",IFERROR(AVERAGE(IF($G37=YEAR('Commodity Prices'!$C$9:$C$1000),'Commodity Prices'!$E$9:$E$1000)),"NA"),IFERROR(IF(J37=0,"NA",J37),"NA"))</f>
        <v>501.09666666666664</v>
      </c>
      <c r="J37" s="333">
        <f>(SUMIFS('Commodity Prices'!$E$9:$E$2500,'Commodity Prices'!$A$9:$A$2500,'Gold - Prices'!E37,'Commodity Prices'!$B$9:$B$2500,3)+
SUMIFS('Commodity Prices'!$E$9:$E$2500,'Commodity Prices'!$A$9:$A$2500,'Gold - Prices'!E37,'Commodity Prices'!$B$9:$B$2500,4)+
SUMIFS('Commodity Prices'!$E$9:$E$2500,'Commodity Prices'!$A$9:$A$2500,'Gold - Prices'!F37,'Commodity Prices'!$B$9:$B$2500,1)+
SUMIFS('Commodity Prices'!$E$9:$E$2500,'Commodity Prices'!$A$9:$A$2500,'Gold - Prices'!F37,'Commodity Prices'!$B$9:$B$2500,2))
/(COUNTIFS('Commodity Prices'!$A$9:$A$2500,'Gold - Prices'!E37,'Commodity Prices'!$B$9:$B$2500,3)+
COUNTIFS('Commodity Prices'!$A$9:$A$2500,'Gold - Prices'!E37,'Commodity Prices'!$B$9:$B$2500,4)+
COUNTIFS('Commodity Prices'!$A$9:$A$2500,'Gold - Prices'!F37,'Commodity Prices'!$B$9:$B$2500,1)+
COUNTIFS('Commodity Prices'!$A$9:$A$2500,'Gold - Prices'!F37,'Commodity Prices'!$B$9:$B$2500,2))</f>
        <v>501.09666666666664</v>
      </c>
      <c r="K37" s="333">
        <f>(SUMIFS('Commodity Prices'!$F$9:$F$2500,'Commodity Prices'!$A$9:$A$2500,'Gold - Prices'!E37,'Commodity Prices'!$B$9:$B$2500,3)+
SUMIFS('Commodity Prices'!$F$9:$F$2500,'Commodity Prices'!$A$9:$A$2500,'Gold - Prices'!E37,'Commodity Prices'!$B$9:$B$2500,4)+
SUMIFS('Commodity Prices'!$F$9:$F$2500,'Commodity Prices'!$A$9:$A$2500,'Gold - Prices'!F37,'Commodity Prices'!$B$9:$B$2500,1)+
SUMIFS('Commodity Prices'!$F$9:$F$2500,'Commodity Prices'!$A$9:$A$2500,'Gold - Prices'!F37,'Commodity Prices'!$B$9:$B$2500,2))
/(COUNTIFS('Commodity Prices'!$A$9:$A$2500,'Gold - Prices'!E37,'Commodity Prices'!$B$9:$B$2500,3)+
COUNTIFS('Commodity Prices'!$A$9:$A$2500,'Gold - Prices'!E37,'Commodity Prices'!$B$9:$B$2500,4)+
COUNTIFS('Commodity Prices'!$A$9:$A$2500,'Gold - Prices'!F37,'Commodity Prices'!$B$9:$B$2500,1)+
COUNTIFS('Commodity Prices'!$A$9:$A$2500,'Gold - Prices'!F37,'Commodity Prices'!$B$9:$B$2500,2))</f>
        <v>268.97916666666669</v>
      </c>
    </row>
    <row r="38" spans="1:11">
      <c r="A38" s="606">
        <f>LARGE('Commodity Prices'!C$159:C$902,30)</f>
        <v>43466</v>
      </c>
      <c r="B38" s="706">
        <f>SUMIF('Commodity Prices'!C$159:C$902,A38,'Commodity Prices'!F$159:F$902)</f>
        <v>1291.75</v>
      </c>
      <c r="C38" s="705">
        <f>SUMIF('Commodity Prices'!C$159:C$902,A38,'Commodity Prices'!E$159:E$902)</f>
        <v>1811.23</v>
      </c>
      <c r="D38" s="10"/>
      <c r="E38" s="128">
        <f t="shared" si="1"/>
        <v>2001</v>
      </c>
      <c r="F38" s="128">
        <f t="shared" si="1"/>
        <v>2002</v>
      </c>
      <c r="G38" s="1328" t="str">
        <f t="shared" si="0"/>
        <v>2001-02</v>
      </c>
      <c r="H38" s="706">
        <f t="array" ref="H38">IF($G$6="Historic Calendar Year",IFERROR(AVERAGE(IF($G38=YEAR('Commodity Prices'!$C$9:$C$1000),'Commodity Prices'!$F$9:$F$1000)),"NA"),IFERROR(IF(K38=0,"NA",K38),"NA"))</f>
        <v>288.72416666666669</v>
      </c>
      <c r="I38" s="705">
        <f t="array" ref="I38">IF($G$6="Historic Calendar Year",IFERROR(AVERAGE(IF($G38=YEAR('Commodity Prices'!$C$9:$C$1000),'Commodity Prices'!$E$9:$E$1000)),"NA"),IFERROR(IF(J38=0,"NA",J38),"NA"))</f>
        <v>553.15500000000009</v>
      </c>
      <c r="J38" s="333">
        <f>(SUMIFS('Commodity Prices'!$E$9:$E$2500,'Commodity Prices'!$A$9:$A$2500,'Gold - Prices'!E38,'Commodity Prices'!$B$9:$B$2500,3)+
SUMIFS('Commodity Prices'!$E$9:$E$2500,'Commodity Prices'!$A$9:$A$2500,'Gold - Prices'!E38,'Commodity Prices'!$B$9:$B$2500,4)+
SUMIFS('Commodity Prices'!$E$9:$E$2500,'Commodity Prices'!$A$9:$A$2500,'Gold - Prices'!F38,'Commodity Prices'!$B$9:$B$2500,1)+
SUMIFS('Commodity Prices'!$E$9:$E$2500,'Commodity Prices'!$A$9:$A$2500,'Gold - Prices'!F38,'Commodity Prices'!$B$9:$B$2500,2))
/(COUNTIFS('Commodity Prices'!$A$9:$A$2500,'Gold - Prices'!E38,'Commodity Prices'!$B$9:$B$2500,3)+
COUNTIFS('Commodity Prices'!$A$9:$A$2500,'Gold - Prices'!E38,'Commodity Prices'!$B$9:$B$2500,4)+
COUNTIFS('Commodity Prices'!$A$9:$A$2500,'Gold - Prices'!F38,'Commodity Prices'!$B$9:$B$2500,1)+
COUNTIFS('Commodity Prices'!$A$9:$A$2500,'Gold - Prices'!F38,'Commodity Prices'!$B$9:$B$2500,2))</f>
        <v>553.15500000000009</v>
      </c>
      <c r="K38" s="333">
        <f>(SUMIFS('Commodity Prices'!$F$9:$F$2500,'Commodity Prices'!$A$9:$A$2500,'Gold - Prices'!E38,'Commodity Prices'!$B$9:$B$2500,3)+
SUMIFS('Commodity Prices'!$F$9:$F$2500,'Commodity Prices'!$A$9:$A$2500,'Gold - Prices'!E38,'Commodity Prices'!$B$9:$B$2500,4)+
SUMIFS('Commodity Prices'!$F$9:$F$2500,'Commodity Prices'!$A$9:$A$2500,'Gold - Prices'!F38,'Commodity Prices'!$B$9:$B$2500,1)+
SUMIFS('Commodity Prices'!$F$9:$F$2500,'Commodity Prices'!$A$9:$A$2500,'Gold - Prices'!F38,'Commodity Prices'!$B$9:$B$2500,2))
/(COUNTIFS('Commodity Prices'!$A$9:$A$2500,'Gold - Prices'!E38,'Commodity Prices'!$B$9:$B$2500,3)+
COUNTIFS('Commodity Prices'!$A$9:$A$2500,'Gold - Prices'!E38,'Commodity Prices'!$B$9:$B$2500,4)+
COUNTIFS('Commodity Prices'!$A$9:$A$2500,'Gold - Prices'!F38,'Commodity Prices'!$B$9:$B$2500,1)+
COUNTIFS('Commodity Prices'!$A$9:$A$2500,'Gold - Prices'!F38,'Commodity Prices'!$B$9:$B$2500,2))</f>
        <v>288.72416666666669</v>
      </c>
    </row>
    <row r="39" spans="1:11">
      <c r="A39" s="606">
        <f>LARGE('Commodity Prices'!C$159:C$902,29)</f>
        <v>43497</v>
      </c>
      <c r="B39" s="804">
        <f>SUMIF('Commodity Prices'!C$159:C$902,A39,'Commodity Prices'!F$159:F$902)</f>
        <v>1320.07</v>
      </c>
      <c r="C39" s="805">
        <f>SUMIF('Commodity Prices'!C$159:C$902,A39,'Commodity Prices'!E$159:E$902)</f>
        <v>1849.13</v>
      </c>
      <c r="D39" s="10"/>
      <c r="E39" s="128">
        <f t="shared" si="1"/>
        <v>2002</v>
      </c>
      <c r="F39" s="128">
        <f t="shared" si="1"/>
        <v>2003</v>
      </c>
      <c r="G39" s="1327" t="str">
        <f t="shared" si="0"/>
        <v>2002-03</v>
      </c>
      <c r="H39" s="804">
        <f t="array" ref="H39">IF($G$6="Historic Calendar Year",IFERROR(AVERAGE(IF($G39=YEAR('Commodity Prices'!$C$9:$C$1000),'Commodity Prices'!$F$9:$F$1000)),"NA"),IFERROR(IF(K39=0,"NA",K39),"NA"))</f>
        <v>333.97166666666669</v>
      </c>
      <c r="I39" s="805">
        <f t="array" ref="I39">IF($G$6="Historic Calendar Year",IFERROR(AVERAGE(IF($G39=YEAR('Commodity Prices'!$C$9:$C$1000),'Commodity Prices'!$E$9:$E$1000)),"NA"),IFERROR(IF(J39=0,"NA",J39),"NA"))</f>
        <v>573.39166666666677</v>
      </c>
      <c r="J39" s="333">
        <f>(SUMIFS('Commodity Prices'!$E$9:$E$2500,'Commodity Prices'!$A$9:$A$2500,'Gold - Prices'!E39,'Commodity Prices'!$B$9:$B$2500,3)+
SUMIFS('Commodity Prices'!$E$9:$E$2500,'Commodity Prices'!$A$9:$A$2500,'Gold - Prices'!E39,'Commodity Prices'!$B$9:$B$2500,4)+
SUMIFS('Commodity Prices'!$E$9:$E$2500,'Commodity Prices'!$A$9:$A$2500,'Gold - Prices'!F39,'Commodity Prices'!$B$9:$B$2500,1)+
SUMIFS('Commodity Prices'!$E$9:$E$2500,'Commodity Prices'!$A$9:$A$2500,'Gold - Prices'!F39,'Commodity Prices'!$B$9:$B$2500,2))
/(COUNTIFS('Commodity Prices'!$A$9:$A$2500,'Gold - Prices'!E39,'Commodity Prices'!$B$9:$B$2500,3)+
COUNTIFS('Commodity Prices'!$A$9:$A$2500,'Gold - Prices'!E39,'Commodity Prices'!$B$9:$B$2500,4)+
COUNTIFS('Commodity Prices'!$A$9:$A$2500,'Gold - Prices'!F39,'Commodity Prices'!$B$9:$B$2500,1)+
COUNTIFS('Commodity Prices'!$A$9:$A$2500,'Gold - Prices'!F39,'Commodity Prices'!$B$9:$B$2500,2))</f>
        <v>573.39166666666677</v>
      </c>
      <c r="K39" s="333">
        <f>(SUMIFS('Commodity Prices'!$F$9:$F$2500,'Commodity Prices'!$A$9:$A$2500,'Gold - Prices'!E39,'Commodity Prices'!$B$9:$B$2500,3)+
SUMIFS('Commodity Prices'!$F$9:$F$2500,'Commodity Prices'!$A$9:$A$2500,'Gold - Prices'!E39,'Commodity Prices'!$B$9:$B$2500,4)+
SUMIFS('Commodity Prices'!$F$9:$F$2500,'Commodity Prices'!$A$9:$A$2500,'Gold - Prices'!F39,'Commodity Prices'!$B$9:$B$2500,1)+
SUMIFS('Commodity Prices'!$F$9:$F$2500,'Commodity Prices'!$A$9:$A$2500,'Gold - Prices'!F39,'Commodity Prices'!$B$9:$B$2500,2))
/(COUNTIFS('Commodity Prices'!$A$9:$A$2500,'Gold - Prices'!E39,'Commodity Prices'!$B$9:$B$2500,3)+
COUNTIFS('Commodity Prices'!$A$9:$A$2500,'Gold - Prices'!E39,'Commodity Prices'!$B$9:$B$2500,4)+
COUNTIFS('Commodity Prices'!$A$9:$A$2500,'Gold - Prices'!F39,'Commodity Prices'!$B$9:$B$2500,1)+
COUNTIFS('Commodity Prices'!$A$9:$A$2500,'Gold - Prices'!F39,'Commodity Prices'!$B$9:$B$2500,2))</f>
        <v>333.97166666666669</v>
      </c>
    </row>
    <row r="40" spans="1:11">
      <c r="A40" s="606">
        <f>LARGE('Commodity Prices'!C$159:C$902,28)</f>
        <v>43525</v>
      </c>
      <c r="B40" s="706">
        <f>SUMIF('Commodity Prices'!C$159:C$902,A40,'Commodity Prices'!F$159:F$902)</f>
        <v>1300.9000000000001</v>
      </c>
      <c r="C40" s="705">
        <f>SUMIF('Commodity Prices'!C$159:C$902,A40,'Commodity Prices'!E$159:E$902)</f>
        <v>1841.84</v>
      </c>
      <c r="D40" s="10"/>
      <c r="E40" s="128">
        <f t="shared" si="1"/>
        <v>2003</v>
      </c>
      <c r="F40" s="128">
        <f t="shared" si="1"/>
        <v>2004</v>
      </c>
      <c r="G40" s="1328" t="str">
        <f t="shared" si="0"/>
        <v>2003-04</v>
      </c>
      <c r="H40" s="706">
        <f t="array" ref="H40">IF($G$6="Historic Calendar Year",IFERROR(AVERAGE(IF($G40=YEAR('Commodity Prices'!$C$9:$C$1000),'Commodity Prices'!$F$9:$F$1000)),"NA"),IFERROR(IF(K40=0,"NA",K40),"NA"))</f>
        <v>389.19833333333332</v>
      </c>
      <c r="I40" s="705">
        <f t="array" ref="I40">IF($G$6="Historic Calendar Year",IFERROR(AVERAGE(IF($G40=YEAR('Commodity Prices'!$C$9:$C$1000),'Commodity Prices'!$E$9:$E$1000)),"NA"),IFERROR(IF(J40=0,"NA",J40),"NA"))</f>
        <v>547.60916666666662</v>
      </c>
      <c r="J40" s="333">
        <f>(SUMIFS('Commodity Prices'!$E$9:$E$2500,'Commodity Prices'!$A$9:$A$2500,'Gold - Prices'!E40,'Commodity Prices'!$B$9:$B$2500,3)+
SUMIFS('Commodity Prices'!$E$9:$E$2500,'Commodity Prices'!$A$9:$A$2500,'Gold - Prices'!E40,'Commodity Prices'!$B$9:$B$2500,4)+
SUMIFS('Commodity Prices'!$E$9:$E$2500,'Commodity Prices'!$A$9:$A$2500,'Gold - Prices'!F40,'Commodity Prices'!$B$9:$B$2500,1)+
SUMIFS('Commodity Prices'!$E$9:$E$2500,'Commodity Prices'!$A$9:$A$2500,'Gold - Prices'!F40,'Commodity Prices'!$B$9:$B$2500,2))
/(COUNTIFS('Commodity Prices'!$A$9:$A$2500,'Gold - Prices'!E40,'Commodity Prices'!$B$9:$B$2500,3)+
COUNTIFS('Commodity Prices'!$A$9:$A$2500,'Gold - Prices'!E40,'Commodity Prices'!$B$9:$B$2500,4)+
COUNTIFS('Commodity Prices'!$A$9:$A$2500,'Gold - Prices'!F40,'Commodity Prices'!$B$9:$B$2500,1)+
COUNTIFS('Commodity Prices'!$A$9:$A$2500,'Gold - Prices'!F40,'Commodity Prices'!$B$9:$B$2500,2))</f>
        <v>547.60916666666662</v>
      </c>
      <c r="K40" s="333">
        <f>(SUMIFS('Commodity Prices'!$F$9:$F$2500,'Commodity Prices'!$A$9:$A$2500,'Gold - Prices'!E40,'Commodity Prices'!$B$9:$B$2500,3)+
SUMIFS('Commodity Prices'!$F$9:$F$2500,'Commodity Prices'!$A$9:$A$2500,'Gold - Prices'!E40,'Commodity Prices'!$B$9:$B$2500,4)+
SUMIFS('Commodity Prices'!$F$9:$F$2500,'Commodity Prices'!$A$9:$A$2500,'Gold - Prices'!F40,'Commodity Prices'!$B$9:$B$2500,1)+
SUMIFS('Commodity Prices'!$F$9:$F$2500,'Commodity Prices'!$A$9:$A$2500,'Gold - Prices'!F40,'Commodity Prices'!$B$9:$B$2500,2))
/(COUNTIFS('Commodity Prices'!$A$9:$A$2500,'Gold - Prices'!E40,'Commodity Prices'!$B$9:$B$2500,3)+
COUNTIFS('Commodity Prices'!$A$9:$A$2500,'Gold - Prices'!E40,'Commodity Prices'!$B$9:$B$2500,4)+
COUNTIFS('Commodity Prices'!$A$9:$A$2500,'Gold - Prices'!F40,'Commodity Prices'!$B$9:$B$2500,1)+
COUNTIFS('Commodity Prices'!$A$9:$A$2500,'Gold - Prices'!F40,'Commodity Prices'!$B$9:$B$2500,2))</f>
        <v>389.19833333333332</v>
      </c>
    </row>
    <row r="41" spans="1:11">
      <c r="A41" s="606">
        <f>LARGE('Commodity Prices'!C$159:C$902,27)</f>
        <v>43556</v>
      </c>
      <c r="B41" s="804">
        <f>SUMIF('Commodity Prices'!C$159:C$902,A41,'Commodity Prices'!F$159:F$902)</f>
        <v>1286.44</v>
      </c>
      <c r="C41" s="805">
        <f>SUMIF('Commodity Prices'!C$159:C$902,A41,'Commodity Prices'!E$159:E$902)</f>
        <v>1812.21</v>
      </c>
      <c r="D41" s="10"/>
      <c r="E41" s="128">
        <f t="shared" si="1"/>
        <v>2004</v>
      </c>
      <c r="F41" s="128">
        <f t="shared" si="1"/>
        <v>2005</v>
      </c>
      <c r="G41" s="1327" t="str">
        <f t="shared" ref="G41:G57" si="2">IF($G$6="Historic Calendar Year",G40+1,CONCATENATE(E41,"-",RIGHT(F41,2)))</f>
        <v>2004-05</v>
      </c>
      <c r="H41" s="804">
        <f t="array" ref="H41">IF($G$6="Historic Calendar Year",IFERROR(AVERAGE(IF($G41=YEAR('Commodity Prices'!$C$9:$C$1000),'Commodity Prices'!$F$9:$F$1000)),"NA"),IFERROR(IF(K41=0,"NA",K41),"NA"))</f>
        <v>422.55833333333334</v>
      </c>
      <c r="I41" s="805">
        <f t="array" ref="I41">IF($G$6="Historic Calendar Year",IFERROR(AVERAGE(IF($G41=YEAR('Commodity Prices'!$C$9:$C$1000),'Commodity Prices'!$E$9:$E$1000)),"NA"),IFERROR(IF(J41=0,"NA",J41),"NA"))</f>
        <v>562.47416666666675</v>
      </c>
      <c r="J41" s="333">
        <f>(SUMIFS('Commodity Prices'!$E$9:$E$2500,'Commodity Prices'!$A$9:$A$2500,'Gold - Prices'!E41,'Commodity Prices'!$B$9:$B$2500,3)+
SUMIFS('Commodity Prices'!$E$9:$E$2500,'Commodity Prices'!$A$9:$A$2500,'Gold - Prices'!E41,'Commodity Prices'!$B$9:$B$2500,4)+
SUMIFS('Commodity Prices'!$E$9:$E$2500,'Commodity Prices'!$A$9:$A$2500,'Gold - Prices'!F41,'Commodity Prices'!$B$9:$B$2500,1)+
SUMIFS('Commodity Prices'!$E$9:$E$2500,'Commodity Prices'!$A$9:$A$2500,'Gold - Prices'!F41,'Commodity Prices'!$B$9:$B$2500,2))
/(COUNTIFS('Commodity Prices'!$A$9:$A$2500,'Gold - Prices'!E41,'Commodity Prices'!$B$9:$B$2500,3)+
COUNTIFS('Commodity Prices'!$A$9:$A$2500,'Gold - Prices'!E41,'Commodity Prices'!$B$9:$B$2500,4)+
COUNTIFS('Commodity Prices'!$A$9:$A$2500,'Gold - Prices'!F41,'Commodity Prices'!$B$9:$B$2500,1)+
COUNTIFS('Commodity Prices'!$A$9:$A$2500,'Gold - Prices'!F41,'Commodity Prices'!$B$9:$B$2500,2))</f>
        <v>562.47416666666675</v>
      </c>
      <c r="K41" s="333">
        <f>(SUMIFS('Commodity Prices'!$F$9:$F$2500,'Commodity Prices'!$A$9:$A$2500,'Gold - Prices'!E41,'Commodity Prices'!$B$9:$B$2500,3)+
SUMIFS('Commodity Prices'!$F$9:$F$2500,'Commodity Prices'!$A$9:$A$2500,'Gold - Prices'!E41,'Commodity Prices'!$B$9:$B$2500,4)+
SUMIFS('Commodity Prices'!$F$9:$F$2500,'Commodity Prices'!$A$9:$A$2500,'Gold - Prices'!F41,'Commodity Prices'!$B$9:$B$2500,1)+
SUMIFS('Commodity Prices'!$F$9:$F$2500,'Commodity Prices'!$A$9:$A$2500,'Gold - Prices'!F41,'Commodity Prices'!$B$9:$B$2500,2))
/(COUNTIFS('Commodity Prices'!$A$9:$A$2500,'Gold - Prices'!E41,'Commodity Prices'!$B$9:$B$2500,3)+
COUNTIFS('Commodity Prices'!$A$9:$A$2500,'Gold - Prices'!E41,'Commodity Prices'!$B$9:$B$2500,4)+
COUNTIFS('Commodity Prices'!$A$9:$A$2500,'Gold - Prices'!F41,'Commodity Prices'!$B$9:$B$2500,1)+
COUNTIFS('Commodity Prices'!$A$9:$A$2500,'Gold - Prices'!F41,'Commodity Prices'!$B$9:$B$2500,2))</f>
        <v>422.55833333333334</v>
      </c>
    </row>
    <row r="42" spans="1:11">
      <c r="A42" s="606">
        <f>LARGE('Commodity Prices'!C$159:C$902,26)</f>
        <v>43586</v>
      </c>
      <c r="B42" s="706">
        <f>SUMIF('Commodity Prices'!C$159:C$902,A42,'Commodity Prices'!F$159:F$902)</f>
        <v>1283.95</v>
      </c>
      <c r="C42" s="705">
        <f>SUMIF('Commodity Prices'!C$159:C$902,A42,'Commodity Prices'!E$159:E$902)</f>
        <v>1850.4</v>
      </c>
      <c r="D42" s="10"/>
      <c r="E42" s="128">
        <f t="shared" si="1"/>
        <v>2005</v>
      </c>
      <c r="F42" s="128">
        <f t="shared" si="1"/>
        <v>2006</v>
      </c>
      <c r="G42" s="1328" t="str">
        <f t="shared" si="2"/>
        <v>2005-06</v>
      </c>
      <c r="H42" s="706">
        <f t="array" ref="H42">IF($G$6="Historic Calendar Year",IFERROR(AVERAGE(IF($G42=YEAR('Commodity Prices'!$C$9:$C$1000),'Commodity Prices'!$F$9:$F$1000)),"NA"),IFERROR(IF(K42=0,"NA",K42),"NA"))</f>
        <v>526.60416666666663</v>
      </c>
      <c r="I42" s="705">
        <f t="array" ref="I42">IF($G$6="Historic Calendar Year",IFERROR(AVERAGE(IF($G42=YEAR('Commodity Prices'!$C$9:$C$1000),'Commodity Prices'!$E$9:$E$1000)),"NA"),IFERROR(IF(J42=0,"NA",J42),"NA"))</f>
        <v>705.23833333333334</v>
      </c>
      <c r="J42" s="333">
        <f>(SUMIFS('Commodity Prices'!$E$9:$E$2500,'Commodity Prices'!$A$9:$A$2500,'Gold - Prices'!E42,'Commodity Prices'!$B$9:$B$2500,3)+
SUMIFS('Commodity Prices'!$E$9:$E$2500,'Commodity Prices'!$A$9:$A$2500,'Gold - Prices'!E42,'Commodity Prices'!$B$9:$B$2500,4)+
SUMIFS('Commodity Prices'!$E$9:$E$2500,'Commodity Prices'!$A$9:$A$2500,'Gold - Prices'!F42,'Commodity Prices'!$B$9:$B$2500,1)+
SUMIFS('Commodity Prices'!$E$9:$E$2500,'Commodity Prices'!$A$9:$A$2500,'Gold - Prices'!F42,'Commodity Prices'!$B$9:$B$2500,2))
/(COUNTIFS('Commodity Prices'!$A$9:$A$2500,'Gold - Prices'!E42,'Commodity Prices'!$B$9:$B$2500,3)+
COUNTIFS('Commodity Prices'!$A$9:$A$2500,'Gold - Prices'!E42,'Commodity Prices'!$B$9:$B$2500,4)+
COUNTIFS('Commodity Prices'!$A$9:$A$2500,'Gold - Prices'!F42,'Commodity Prices'!$B$9:$B$2500,1)+
COUNTIFS('Commodity Prices'!$A$9:$A$2500,'Gold - Prices'!F42,'Commodity Prices'!$B$9:$B$2500,2))</f>
        <v>705.23833333333334</v>
      </c>
      <c r="K42" s="333">
        <f>(SUMIFS('Commodity Prices'!$F$9:$F$2500,'Commodity Prices'!$A$9:$A$2500,'Gold - Prices'!E42,'Commodity Prices'!$B$9:$B$2500,3)+
SUMIFS('Commodity Prices'!$F$9:$F$2500,'Commodity Prices'!$A$9:$A$2500,'Gold - Prices'!E42,'Commodity Prices'!$B$9:$B$2500,4)+
SUMIFS('Commodity Prices'!$F$9:$F$2500,'Commodity Prices'!$A$9:$A$2500,'Gold - Prices'!F42,'Commodity Prices'!$B$9:$B$2500,1)+
SUMIFS('Commodity Prices'!$F$9:$F$2500,'Commodity Prices'!$A$9:$A$2500,'Gold - Prices'!F42,'Commodity Prices'!$B$9:$B$2500,2))
/(COUNTIFS('Commodity Prices'!$A$9:$A$2500,'Gold - Prices'!E42,'Commodity Prices'!$B$9:$B$2500,3)+
COUNTIFS('Commodity Prices'!$A$9:$A$2500,'Gold - Prices'!E42,'Commodity Prices'!$B$9:$B$2500,4)+
COUNTIFS('Commodity Prices'!$A$9:$A$2500,'Gold - Prices'!F42,'Commodity Prices'!$B$9:$B$2500,1)+
COUNTIFS('Commodity Prices'!$A$9:$A$2500,'Gold - Prices'!F42,'Commodity Prices'!$B$9:$B$2500,2))</f>
        <v>526.60416666666663</v>
      </c>
    </row>
    <row r="43" spans="1:11">
      <c r="A43" s="606">
        <f>LARGE('Commodity Prices'!C$159:C$902,25)</f>
        <v>43617</v>
      </c>
      <c r="B43" s="804">
        <f>SUMIF('Commodity Prices'!C$159:C$902,A43,'Commodity Prices'!F$159:F$902)</f>
        <v>1359.0409999999999</v>
      </c>
      <c r="C43" s="805">
        <f>SUMIF('Commodity Prices'!C$159:C$902,A43,'Commodity Prices'!E$159:E$902)</f>
        <v>1958.23</v>
      </c>
      <c r="D43" s="10"/>
      <c r="E43" s="128">
        <f t="shared" ref="E43:E57" si="3">E42+1</f>
        <v>2006</v>
      </c>
      <c r="F43" s="128">
        <f t="shared" ref="F43:F57" si="4">F42+1</f>
        <v>2007</v>
      </c>
      <c r="G43" s="1327" t="str">
        <f t="shared" si="2"/>
        <v>2006-07</v>
      </c>
      <c r="H43" s="804">
        <f t="array" ref="H43">IF($G$6="Historic Calendar Year",IFERROR(AVERAGE(IF($G43=YEAR('Commodity Prices'!$C$9:$C$1000),'Commodity Prices'!$F$9:$F$1000)),"NA"),IFERROR(IF(K43=0,"NA",K43),"NA"))</f>
        <v>638.36750000000006</v>
      </c>
      <c r="I43" s="805">
        <f t="array" ref="I43">IF($G$6="Historic Calendar Year",IFERROR(AVERAGE(IF($G43=YEAR('Commodity Prices'!$C$9:$C$1000),'Commodity Prices'!$E$9:$E$1000)),"NA"),IFERROR(IF(J43=0,"NA",J43),"NA"))</f>
        <v>813.43166666666673</v>
      </c>
      <c r="J43" s="333">
        <f>(SUMIFS('Commodity Prices'!$E$9:$E$2500,'Commodity Prices'!$A$9:$A$2500,'Gold - Prices'!E43,'Commodity Prices'!$B$9:$B$2500,3)+
SUMIFS('Commodity Prices'!$E$9:$E$2500,'Commodity Prices'!$A$9:$A$2500,'Gold - Prices'!E43,'Commodity Prices'!$B$9:$B$2500,4)+
SUMIFS('Commodity Prices'!$E$9:$E$2500,'Commodity Prices'!$A$9:$A$2500,'Gold - Prices'!F43,'Commodity Prices'!$B$9:$B$2500,1)+
SUMIFS('Commodity Prices'!$E$9:$E$2500,'Commodity Prices'!$A$9:$A$2500,'Gold - Prices'!F43,'Commodity Prices'!$B$9:$B$2500,2))
/(COUNTIFS('Commodity Prices'!$A$9:$A$2500,'Gold - Prices'!E43,'Commodity Prices'!$B$9:$B$2500,3)+
COUNTIFS('Commodity Prices'!$A$9:$A$2500,'Gold - Prices'!E43,'Commodity Prices'!$B$9:$B$2500,4)+
COUNTIFS('Commodity Prices'!$A$9:$A$2500,'Gold - Prices'!F43,'Commodity Prices'!$B$9:$B$2500,1)+
COUNTIFS('Commodity Prices'!$A$9:$A$2500,'Gold - Prices'!F43,'Commodity Prices'!$B$9:$B$2500,2))</f>
        <v>813.43166666666673</v>
      </c>
      <c r="K43" s="333">
        <f>(SUMIFS('Commodity Prices'!$F$9:$F$2500,'Commodity Prices'!$A$9:$A$2500,'Gold - Prices'!E43,'Commodity Prices'!$B$9:$B$2500,3)+
SUMIFS('Commodity Prices'!$F$9:$F$2500,'Commodity Prices'!$A$9:$A$2500,'Gold - Prices'!E43,'Commodity Prices'!$B$9:$B$2500,4)+
SUMIFS('Commodity Prices'!$F$9:$F$2500,'Commodity Prices'!$A$9:$A$2500,'Gold - Prices'!F43,'Commodity Prices'!$B$9:$B$2500,1)+
SUMIFS('Commodity Prices'!$F$9:$F$2500,'Commodity Prices'!$A$9:$A$2500,'Gold - Prices'!F43,'Commodity Prices'!$B$9:$B$2500,2))
/(COUNTIFS('Commodity Prices'!$A$9:$A$2500,'Gold - Prices'!E43,'Commodity Prices'!$B$9:$B$2500,3)+
COUNTIFS('Commodity Prices'!$A$9:$A$2500,'Gold - Prices'!E43,'Commodity Prices'!$B$9:$B$2500,4)+
COUNTIFS('Commodity Prices'!$A$9:$A$2500,'Gold - Prices'!F43,'Commodity Prices'!$B$9:$B$2500,1)+
COUNTIFS('Commodity Prices'!$A$9:$A$2500,'Gold - Prices'!F43,'Commodity Prices'!$B$9:$B$2500,2))</f>
        <v>638.36750000000006</v>
      </c>
    </row>
    <row r="44" spans="1:11">
      <c r="A44" s="606">
        <f>LARGE('Commodity Prices'!C$159:C$902,24)</f>
        <v>43647</v>
      </c>
      <c r="B44" s="706">
        <f>SUMIF('Commodity Prices'!C$159:C$902,A44,'Commodity Prices'!F$159:F$902)</f>
        <v>1412.98</v>
      </c>
      <c r="C44" s="705">
        <f>SUMIF('Commodity Prices'!C$159:C$902,A44,'Commodity Prices'!E$159:E$902)</f>
        <v>2029.59</v>
      </c>
      <c r="D44" s="10"/>
      <c r="E44" s="128">
        <f t="shared" si="3"/>
        <v>2007</v>
      </c>
      <c r="F44" s="128">
        <f t="shared" si="4"/>
        <v>2008</v>
      </c>
      <c r="G44" s="1328" t="str">
        <f t="shared" si="2"/>
        <v>2007-08</v>
      </c>
      <c r="H44" s="706">
        <f t="array" ref="H44">IF($G$6="Historic Calendar Year",IFERROR(AVERAGE(IF($G44=YEAR('Commodity Prices'!$C$9:$C$1000),'Commodity Prices'!$F$9:$F$1000)),"NA"),IFERROR(IF(K44=0,"NA",K44),"NA"))</f>
        <v>822.90083333333348</v>
      </c>
      <c r="I44" s="705">
        <f t="array" ref="I44">IF($G$6="Historic Calendar Year",IFERROR(AVERAGE(IF($G44=YEAR('Commodity Prices'!$C$9:$C$1000),'Commodity Prices'!$E$9:$E$1000)),"NA"),IFERROR(IF(J44=0,"NA",J44),"NA"))</f>
        <v>915.245</v>
      </c>
      <c r="J44" s="333">
        <f>(SUMIFS('Commodity Prices'!$E$9:$E$2500,'Commodity Prices'!$A$9:$A$2500,'Gold - Prices'!E44,'Commodity Prices'!$B$9:$B$2500,3)+
SUMIFS('Commodity Prices'!$E$9:$E$2500,'Commodity Prices'!$A$9:$A$2500,'Gold - Prices'!E44,'Commodity Prices'!$B$9:$B$2500,4)+
SUMIFS('Commodity Prices'!$E$9:$E$2500,'Commodity Prices'!$A$9:$A$2500,'Gold - Prices'!F44,'Commodity Prices'!$B$9:$B$2500,1)+
SUMIFS('Commodity Prices'!$E$9:$E$2500,'Commodity Prices'!$A$9:$A$2500,'Gold - Prices'!F44,'Commodity Prices'!$B$9:$B$2500,2))
/(COUNTIFS('Commodity Prices'!$A$9:$A$2500,'Gold - Prices'!E44,'Commodity Prices'!$B$9:$B$2500,3)+
COUNTIFS('Commodity Prices'!$A$9:$A$2500,'Gold - Prices'!E44,'Commodity Prices'!$B$9:$B$2500,4)+
COUNTIFS('Commodity Prices'!$A$9:$A$2500,'Gold - Prices'!F44,'Commodity Prices'!$B$9:$B$2500,1)+
COUNTIFS('Commodity Prices'!$A$9:$A$2500,'Gold - Prices'!F44,'Commodity Prices'!$B$9:$B$2500,2))</f>
        <v>915.245</v>
      </c>
      <c r="K44" s="333">
        <f>(SUMIFS('Commodity Prices'!$F$9:$F$2500,'Commodity Prices'!$A$9:$A$2500,'Gold - Prices'!E44,'Commodity Prices'!$B$9:$B$2500,3)+
SUMIFS('Commodity Prices'!$F$9:$F$2500,'Commodity Prices'!$A$9:$A$2500,'Gold - Prices'!E44,'Commodity Prices'!$B$9:$B$2500,4)+
SUMIFS('Commodity Prices'!$F$9:$F$2500,'Commodity Prices'!$A$9:$A$2500,'Gold - Prices'!F44,'Commodity Prices'!$B$9:$B$2500,1)+
SUMIFS('Commodity Prices'!$F$9:$F$2500,'Commodity Prices'!$A$9:$A$2500,'Gold - Prices'!F44,'Commodity Prices'!$B$9:$B$2500,2))
/(COUNTIFS('Commodity Prices'!$A$9:$A$2500,'Gold - Prices'!E44,'Commodity Prices'!$B$9:$B$2500,3)+
COUNTIFS('Commodity Prices'!$A$9:$A$2500,'Gold - Prices'!E44,'Commodity Prices'!$B$9:$B$2500,4)+
COUNTIFS('Commodity Prices'!$A$9:$A$2500,'Gold - Prices'!F44,'Commodity Prices'!$B$9:$B$2500,1)+
COUNTIFS('Commodity Prices'!$A$9:$A$2500,'Gold - Prices'!F44,'Commodity Prices'!$B$9:$B$2500,2))</f>
        <v>822.90083333333348</v>
      </c>
    </row>
    <row r="45" spans="1:11">
      <c r="A45" s="606">
        <f>LARGE('Commodity Prices'!C$159:C$902,23)</f>
        <v>43678</v>
      </c>
      <c r="B45" s="804">
        <f>SUMIF('Commodity Prices'!C$159:C$902,A45,'Commodity Prices'!F$159:F$902)</f>
        <v>1498.798</v>
      </c>
      <c r="C45" s="805">
        <f>SUMIF('Commodity Prices'!C$159:C$902,A45,'Commodity Prices'!E$159:E$902)</f>
        <v>2218.41</v>
      </c>
      <c r="D45" s="10"/>
      <c r="E45" s="128">
        <f t="shared" si="3"/>
        <v>2008</v>
      </c>
      <c r="F45" s="128">
        <f t="shared" si="4"/>
        <v>2009</v>
      </c>
      <c r="G45" s="1327" t="str">
        <f t="shared" si="2"/>
        <v>2008-09</v>
      </c>
      <c r="H45" s="804">
        <f t="array" ref="H45">IF($G$6="Historic Calendar Year",IFERROR(AVERAGE(IF($G45=YEAR('Commodity Prices'!$C$9:$C$1000),'Commodity Prices'!$F$9:$F$1000)),"NA"),IFERROR(IF(K45=0,"NA",K45),"NA"))</f>
        <v>873.93583333333333</v>
      </c>
      <c r="I45" s="805">
        <f t="array" ref="I45">IF($G$6="Historic Calendar Year",IFERROR(AVERAGE(IF($G45=YEAR('Commodity Prices'!$C$9:$C$1000),'Commodity Prices'!$E$9:$E$1000)),"NA"),IFERROR(IF(J45=0,"NA",J45),"NA"))</f>
        <v>1181.1433333333332</v>
      </c>
      <c r="J45" s="333">
        <f>(SUMIFS('Commodity Prices'!$E$9:$E$2500,'Commodity Prices'!$A$9:$A$2500,'Gold - Prices'!E45,'Commodity Prices'!$B$9:$B$2500,3)+
SUMIFS('Commodity Prices'!$E$9:$E$2500,'Commodity Prices'!$A$9:$A$2500,'Gold - Prices'!E45,'Commodity Prices'!$B$9:$B$2500,4)+
SUMIFS('Commodity Prices'!$E$9:$E$2500,'Commodity Prices'!$A$9:$A$2500,'Gold - Prices'!F45,'Commodity Prices'!$B$9:$B$2500,1)+
SUMIFS('Commodity Prices'!$E$9:$E$2500,'Commodity Prices'!$A$9:$A$2500,'Gold - Prices'!F45,'Commodity Prices'!$B$9:$B$2500,2))
/(COUNTIFS('Commodity Prices'!$A$9:$A$2500,'Gold - Prices'!E45,'Commodity Prices'!$B$9:$B$2500,3)+
COUNTIFS('Commodity Prices'!$A$9:$A$2500,'Gold - Prices'!E45,'Commodity Prices'!$B$9:$B$2500,4)+
COUNTIFS('Commodity Prices'!$A$9:$A$2500,'Gold - Prices'!F45,'Commodity Prices'!$B$9:$B$2500,1)+
COUNTIFS('Commodity Prices'!$A$9:$A$2500,'Gold - Prices'!F45,'Commodity Prices'!$B$9:$B$2500,2))</f>
        <v>1181.1433333333332</v>
      </c>
      <c r="K45" s="333">
        <f>(SUMIFS('Commodity Prices'!$F$9:$F$2500,'Commodity Prices'!$A$9:$A$2500,'Gold - Prices'!E45,'Commodity Prices'!$B$9:$B$2500,3)+
SUMIFS('Commodity Prices'!$F$9:$F$2500,'Commodity Prices'!$A$9:$A$2500,'Gold - Prices'!E45,'Commodity Prices'!$B$9:$B$2500,4)+
SUMIFS('Commodity Prices'!$F$9:$F$2500,'Commodity Prices'!$A$9:$A$2500,'Gold - Prices'!F45,'Commodity Prices'!$B$9:$B$2500,1)+
SUMIFS('Commodity Prices'!$F$9:$F$2500,'Commodity Prices'!$A$9:$A$2500,'Gold - Prices'!F45,'Commodity Prices'!$B$9:$B$2500,2))
/(COUNTIFS('Commodity Prices'!$A$9:$A$2500,'Gold - Prices'!E45,'Commodity Prices'!$B$9:$B$2500,3)+
COUNTIFS('Commodity Prices'!$A$9:$A$2500,'Gold - Prices'!E45,'Commodity Prices'!$B$9:$B$2500,4)+
COUNTIFS('Commodity Prices'!$A$9:$A$2500,'Gold - Prices'!F45,'Commodity Prices'!$B$9:$B$2500,1)+
COUNTIFS('Commodity Prices'!$A$9:$A$2500,'Gold - Prices'!F45,'Commodity Prices'!$B$9:$B$2500,2))</f>
        <v>873.93583333333333</v>
      </c>
    </row>
    <row r="46" spans="1:11">
      <c r="A46" s="606">
        <f>LARGE('Commodity Prices'!C$159:C$902,22)</f>
        <v>43709</v>
      </c>
      <c r="B46" s="706">
        <f>SUMIF('Commodity Prices'!C$159:C$902,A46,'Commodity Prices'!F$159:F$902)</f>
        <v>1511.3140000000001</v>
      </c>
      <c r="C46" s="705">
        <f>SUMIF('Commodity Prices'!C$159:C$902,A46,'Commodity Prices'!E$159:E$902)</f>
        <v>2221.84</v>
      </c>
      <c r="D46" s="10"/>
      <c r="E46" s="128">
        <f t="shared" si="3"/>
        <v>2009</v>
      </c>
      <c r="F46" s="128">
        <f t="shared" si="4"/>
        <v>2010</v>
      </c>
      <c r="G46" s="1328" t="str">
        <f t="shared" si="2"/>
        <v>2009-10</v>
      </c>
      <c r="H46" s="706">
        <f t="array" ref="H46">IF($G$6="Historic Calendar Year",IFERROR(AVERAGE(IF($G46=YEAR('Commodity Prices'!$C$9:$C$1000),'Commodity Prices'!$F$9:$F$1000)),"NA"),IFERROR(IF(K46=0,"NA",K46),"NA"))</f>
        <v>1091.3475000000001</v>
      </c>
      <c r="I46" s="705">
        <f t="array" ref="I46">IF($G$6="Historic Calendar Year",IFERROR(AVERAGE(IF($G46=YEAR('Commodity Prices'!$C$9:$C$1000),'Commodity Prices'!$E$9:$E$1000)),"NA"),IFERROR(IF(J46=0,"NA",J46),"NA"))</f>
        <v>1235.4066666666665</v>
      </c>
      <c r="J46" s="333">
        <f>(SUMIFS('Commodity Prices'!$E$9:$E$2500,'Commodity Prices'!$A$9:$A$2500,'Gold - Prices'!E46,'Commodity Prices'!$B$9:$B$2500,3)+
SUMIFS('Commodity Prices'!$E$9:$E$2500,'Commodity Prices'!$A$9:$A$2500,'Gold - Prices'!E46,'Commodity Prices'!$B$9:$B$2500,4)+
SUMIFS('Commodity Prices'!$E$9:$E$2500,'Commodity Prices'!$A$9:$A$2500,'Gold - Prices'!F46,'Commodity Prices'!$B$9:$B$2500,1)+
SUMIFS('Commodity Prices'!$E$9:$E$2500,'Commodity Prices'!$A$9:$A$2500,'Gold - Prices'!F46,'Commodity Prices'!$B$9:$B$2500,2))
/(COUNTIFS('Commodity Prices'!$A$9:$A$2500,'Gold - Prices'!E46,'Commodity Prices'!$B$9:$B$2500,3)+
COUNTIFS('Commodity Prices'!$A$9:$A$2500,'Gold - Prices'!E46,'Commodity Prices'!$B$9:$B$2500,4)+
COUNTIFS('Commodity Prices'!$A$9:$A$2500,'Gold - Prices'!F46,'Commodity Prices'!$B$9:$B$2500,1)+
COUNTIFS('Commodity Prices'!$A$9:$A$2500,'Gold - Prices'!F46,'Commodity Prices'!$B$9:$B$2500,2))</f>
        <v>1235.4066666666665</v>
      </c>
      <c r="K46" s="333">
        <f>(SUMIFS('Commodity Prices'!$F$9:$F$2500,'Commodity Prices'!$A$9:$A$2500,'Gold - Prices'!E46,'Commodity Prices'!$B$9:$B$2500,3)+
SUMIFS('Commodity Prices'!$F$9:$F$2500,'Commodity Prices'!$A$9:$A$2500,'Gold - Prices'!E46,'Commodity Prices'!$B$9:$B$2500,4)+
SUMIFS('Commodity Prices'!$F$9:$F$2500,'Commodity Prices'!$A$9:$A$2500,'Gold - Prices'!F46,'Commodity Prices'!$B$9:$B$2500,1)+
SUMIFS('Commodity Prices'!$F$9:$F$2500,'Commodity Prices'!$A$9:$A$2500,'Gold - Prices'!F46,'Commodity Prices'!$B$9:$B$2500,2))
/(COUNTIFS('Commodity Prices'!$A$9:$A$2500,'Gold - Prices'!E46,'Commodity Prices'!$B$9:$B$2500,3)+
COUNTIFS('Commodity Prices'!$A$9:$A$2500,'Gold - Prices'!E46,'Commodity Prices'!$B$9:$B$2500,4)+
COUNTIFS('Commodity Prices'!$A$9:$A$2500,'Gold - Prices'!F46,'Commodity Prices'!$B$9:$B$2500,1)+
COUNTIFS('Commodity Prices'!$A$9:$A$2500,'Gold - Prices'!F46,'Commodity Prices'!$B$9:$B$2500,2))</f>
        <v>1091.3475000000001</v>
      </c>
    </row>
    <row r="47" spans="1:11">
      <c r="A47" s="606">
        <f>LARGE('Commodity Prices'!C$159:C$902,21)</f>
        <v>43739</v>
      </c>
      <c r="B47" s="804">
        <f>SUMIF('Commodity Prices'!C$159:C$902,A47,'Commodity Prices'!F$159:F$902)</f>
        <v>1494.8</v>
      </c>
      <c r="C47" s="805">
        <f>SUMIF('Commodity Prices'!C$159:C$902,A47,'Commodity Prices'!E$159:E$902)</f>
        <v>2203.9299999999998</v>
      </c>
      <c r="D47" s="10"/>
      <c r="E47" s="128">
        <f t="shared" si="3"/>
        <v>2010</v>
      </c>
      <c r="F47" s="128">
        <f t="shared" si="4"/>
        <v>2011</v>
      </c>
      <c r="G47" s="1327" t="str">
        <f t="shared" si="2"/>
        <v>2010-11</v>
      </c>
      <c r="H47" s="804">
        <f t="array" ref="H47">IF($G$6="Historic Calendar Year",IFERROR(AVERAGE(IF($G47=YEAR('Commodity Prices'!$C$9:$C$1000),'Commodity Prices'!$F$9:$F$1000)),"NA"),IFERROR(IF(K47=0,"NA",K47),"NA"))</f>
        <v>1370.7841666666666</v>
      </c>
      <c r="I47" s="805">
        <f t="array" ref="I47">IF($G$6="Historic Calendar Year",IFERROR(AVERAGE(IF($G47=YEAR('Commodity Prices'!$C$9:$C$1000),'Commodity Prices'!$E$9:$E$1000)),"NA"),IFERROR(IF(J47=0,"NA",J47),"NA"))</f>
        <v>1395.0583333333334</v>
      </c>
      <c r="J47" s="333">
        <f>(SUMIFS('Commodity Prices'!$E$9:$E$2500,'Commodity Prices'!$A$9:$A$2500,'Gold - Prices'!E47,'Commodity Prices'!$B$9:$B$2500,3)+
SUMIFS('Commodity Prices'!$E$9:$E$2500,'Commodity Prices'!$A$9:$A$2500,'Gold - Prices'!E47,'Commodity Prices'!$B$9:$B$2500,4)+
SUMIFS('Commodity Prices'!$E$9:$E$2500,'Commodity Prices'!$A$9:$A$2500,'Gold - Prices'!F47,'Commodity Prices'!$B$9:$B$2500,1)+
SUMIFS('Commodity Prices'!$E$9:$E$2500,'Commodity Prices'!$A$9:$A$2500,'Gold - Prices'!F47,'Commodity Prices'!$B$9:$B$2500,2))
/(COUNTIFS('Commodity Prices'!$A$9:$A$2500,'Gold - Prices'!E47,'Commodity Prices'!$B$9:$B$2500,3)+
COUNTIFS('Commodity Prices'!$A$9:$A$2500,'Gold - Prices'!E47,'Commodity Prices'!$B$9:$B$2500,4)+
COUNTIFS('Commodity Prices'!$A$9:$A$2500,'Gold - Prices'!F47,'Commodity Prices'!$B$9:$B$2500,1)+
COUNTIFS('Commodity Prices'!$A$9:$A$2500,'Gold - Prices'!F47,'Commodity Prices'!$B$9:$B$2500,2))</f>
        <v>1395.0583333333334</v>
      </c>
      <c r="K47" s="333">
        <f>(SUMIFS('Commodity Prices'!$F$9:$F$2500,'Commodity Prices'!$A$9:$A$2500,'Gold - Prices'!E47,'Commodity Prices'!$B$9:$B$2500,3)+
SUMIFS('Commodity Prices'!$F$9:$F$2500,'Commodity Prices'!$A$9:$A$2500,'Gold - Prices'!E47,'Commodity Prices'!$B$9:$B$2500,4)+
SUMIFS('Commodity Prices'!$F$9:$F$2500,'Commodity Prices'!$A$9:$A$2500,'Gold - Prices'!F47,'Commodity Prices'!$B$9:$B$2500,1)+
SUMIFS('Commodity Prices'!$F$9:$F$2500,'Commodity Prices'!$A$9:$A$2500,'Gold - Prices'!F47,'Commodity Prices'!$B$9:$B$2500,2))
/(COUNTIFS('Commodity Prices'!$A$9:$A$2500,'Gold - Prices'!E47,'Commodity Prices'!$B$9:$B$2500,3)+
COUNTIFS('Commodity Prices'!$A$9:$A$2500,'Gold - Prices'!E47,'Commodity Prices'!$B$9:$B$2500,4)+
COUNTIFS('Commodity Prices'!$A$9:$A$2500,'Gold - Prices'!F47,'Commodity Prices'!$B$9:$B$2500,1)+
COUNTIFS('Commodity Prices'!$A$9:$A$2500,'Gold - Prices'!F47,'Commodity Prices'!$B$9:$B$2500,2))</f>
        <v>1370.7841666666666</v>
      </c>
    </row>
    <row r="48" spans="1:11">
      <c r="A48" s="606">
        <f>LARGE('Commodity Prices'!C$159:C$902,20)</f>
        <v>43770</v>
      </c>
      <c r="B48" s="706">
        <f>SUMIF('Commodity Prices'!C$159:C$902,A48,'Commodity Prices'!F$159:F$902)</f>
        <v>1470.0165999999999</v>
      </c>
      <c r="C48" s="705">
        <f>SUMIF('Commodity Prices'!C$159:C$902,A48,'Commodity Prices'!E$159:E$902)</f>
        <v>2160.4899999999998</v>
      </c>
      <c r="D48" s="10"/>
      <c r="E48" s="128">
        <f t="shared" si="3"/>
        <v>2011</v>
      </c>
      <c r="F48" s="128">
        <f t="shared" si="4"/>
        <v>2012</v>
      </c>
      <c r="G48" s="1328" t="str">
        <f t="shared" si="2"/>
        <v>2011-12</v>
      </c>
      <c r="H48" s="706">
        <f t="array" ref="H48">IF($G$6="Historic Calendar Year",IFERROR(AVERAGE(IF($G48=YEAR('Commodity Prices'!$C$9:$C$1000),'Commodity Prices'!$F$9:$F$1000)),"NA"),IFERROR(IF(K48=0,"NA",K48),"NA"))</f>
        <v>1671.7866666666666</v>
      </c>
      <c r="I48" s="705">
        <f t="array" ref="I48">IF($G$6="Historic Calendar Year",IFERROR(AVERAGE(IF($G48=YEAR('Commodity Prices'!$C$9:$C$1000),'Commodity Prices'!$E$9:$E$1000)),"NA"),IFERROR(IF(J48=0,"NA",J48),"NA"))</f>
        <v>1634.5474999999999</v>
      </c>
      <c r="J48" s="333">
        <f>(SUMIFS('Commodity Prices'!$E$9:$E$2500,'Commodity Prices'!$A$9:$A$2500,'Gold - Prices'!E48,'Commodity Prices'!$B$9:$B$2500,3)+
SUMIFS('Commodity Prices'!$E$9:$E$2500,'Commodity Prices'!$A$9:$A$2500,'Gold - Prices'!E48,'Commodity Prices'!$B$9:$B$2500,4)+
SUMIFS('Commodity Prices'!$E$9:$E$2500,'Commodity Prices'!$A$9:$A$2500,'Gold - Prices'!F48,'Commodity Prices'!$B$9:$B$2500,1)+
SUMIFS('Commodity Prices'!$E$9:$E$2500,'Commodity Prices'!$A$9:$A$2500,'Gold - Prices'!F48,'Commodity Prices'!$B$9:$B$2500,2))
/(COUNTIFS('Commodity Prices'!$A$9:$A$2500,'Gold - Prices'!E48,'Commodity Prices'!$B$9:$B$2500,3)+
COUNTIFS('Commodity Prices'!$A$9:$A$2500,'Gold - Prices'!E48,'Commodity Prices'!$B$9:$B$2500,4)+
COUNTIFS('Commodity Prices'!$A$9:$A$2500,'Gold - Prices'!F48,'Commodity Prices'!$B$9:$B$2500,1)+
COUNTIFS('Commodity Prices'!$A$9:$A$2500,'Gold - Prices'!F48,'Commodity Prices'!$B$9:$B$2500,2))</f>
        <v>1634.5474999999999</v>
      </c>
      <c r="K48" s="333">
        <f>(SUMIFS('Commodity Prices'!$F$9:$F$2500,'Commodity Prices'!$A$9:$A$2500,'Gold - Prices'!E48,'Commodity Prices'!$B$9:$B$2500,3)+
SUMIFS('Commodity Prices'!$F$9:$F$2500,'Commodity Prices'!$A$9:$A$2500,'Gold - Prices'!E48,'Commodity Prices'!$B$9:$B$2500,4)+
SUMIFS('Commodity Prices'!$F$9:$F$2500,'Commodity Prices'!$A$9:$A$2500,'Gold - Prices'!F48,'Commodity Prices'!$B$9:$B$2500,1)+
SUMIFS('Commodity Prices'!$F$9:$F$2500,'Commodity Prices'!$A$9:$A$2500,'Gold - Prices'!F48,'Commodity Prices'!$B$9:$B$2500,2))
/(COUNTIFS('Commodity Prices'!$A$9:$A$2500,'Gold - Prices'!E48,'Commodity Prices'!$B$9:$B$2500,3)+
COUNTIFS('Commodity Prices'!$A$9:$A$2500,'Gold - Prices'!E48,'Commodity Prices'!$B$9:$B$2500,4)+
COUNTIFS('Commodity Prices'!$A$9:$A$2500,'Gold - Prices'!F48,'Commodity Prices'!$B$9:$B$2500,1)+
COUNTIFS('Commodity Prices'!$A$9:$A$2500,'Gold - Prices'!F48,'Commodity Prices'!$B$9:$B$2500,2))</f>
        <v>1671.7866666666666</v>
      </c>
    </row>
    <row r="49" spans="1:14">
      <c r="A49" s="606">
        <f>LARGE('Commodity Prices'!C$159:C$902,19)</f>
        <v>43800</v>
      </c>
      <c r="B49" s="804">
        <f>SUMIF('Commodity Prices'!C$159:C$902,A49,'Commodity Prices'!F$159:F$902)</f>
        <v>1476.0440000000001</v>
      </c>
      <c r="C49" s="805">
        <f>SUMIF('Commodity Prices'!C$159:C$902,A49,'Commodity Prices'!E$159:E$902)</f>
        <v>2156.37</v>
      </c>
      <c r="D49" s="10"/>
      <c r="E49" s="128">
        <f t="shared" si="3"/>
        <v>2012</v>
      </c>
      <c r="F49" s="128">
        <f t="shared" si="4"/>
        <v>2013</v>
      </c>
      <c r="G49" s="1327" t="str">
        <f t="shared" si="2"/>
        <v>2012-13</v>
      </c>
      <c r="H49" s="804">
        <f t="array" ref="H49">IF($G$6="Historic Calendar Year",IFERROR(AVERAGE(IF($G49=YEAR('Commodity Prices'!$C$9:$C$1000),'Commodity Prices'!$F$9:$F$1000)),"NA"),IFERROR(IF(K49=0,"NA",K49),"NA"))</f>
        <v>1603.3033333333333</v>
      </c>
      <c r="I49" s="805">
        <f t="array" ref="I49">IF($G$6="Historic Calendar Year",IFERROR(AVERAGE(IF($G49=YEAR('Commodity Prices'!$C$9:$C$1000),'Commodity Prices'!$E$9:$E$1000)),"NA"),IFERROR(IF(J49=0,"NA",J49),"NA"))</f>
        <v>1570.3675000000003</v>
      </c>
      <c r="J49" s="333">
        <f>(SUMIFS('Commodity Prices'!$E$9:$E$2500,'Commodity Prices'!$A$9:$A$2500,'Gold - Prices'!E49,'Commodity Prices'!$B$9:$B$2500,3)+
SUMIFS('Commodity Prices'!$E$9:$E$2500,'Commodity Prices'!$A$9:$A$2500,'Gold - Prices'!E49,'Commodity Prices'!$B$9:$B$2500,4)+
SUMIFS('Commodity Prices'!$E$9:$E$2500,'Commodity Prices'!$A$9:$A$2500,'Gold - Prices'!F49,'Commodity Prices'!$B$9:$B$2500,1)+
SUMIFS('Commodity Prices'!$E$9:$E$2500,'Commodity Prices'!$A$9:$A$2500,'Gold - Prices'!F49,'Commodity Prices'!$B$9:$B$2500,2))
/(COUNTIFS('Commodity Prices'!$A$9:$A$2500,'Gold - Prices'!E49,'Commodity Prices'!$B$9:$B$2500,3)+
COUNTIFS('Commodity Prices'!$A$9:$A$2500,'Gold - Prices'!E49,'Commodity Prices'!$B$9:$B$2500,4)+
COUNTIFS('Commodity Prices'!$A$9:$A$2500,'Gold - Prices'!F49,'Commodity Prices'!$B$9:$B$2500,1)+
COUNTIFS('Commodity Prices'!$A$9:$A$2500,'Gold - Prices'!F49,'Commodity Prices'!$B$9:$B$2500,2))</f>
        <v>1570.3675000000003</v>
      </c>
      <c r="K49" s="333">
        <f>(SUMIFS('Commodity Prices'!$F$9:$F$2500,'Commodity Prices'!$A$9:$A$2500,'Gold - Prices'!E49,'Commodity Prices'!$B$9:$B$2500,3)+
SUMIFS('Commodity Prices'!$F$9:$F$2500,'Commodity Prices'!$A$9:$A$2500,'Gold - Prices'!E49,'Commodity Prices'!$B$9:$B$2500,4)+
SUMIFS('Commodity Prices'!$F$9:$F$2500,'Commodity Prices'!$A$9:$A$2500,'Gold - Prices'!F49,'Commodity Prices'!$B$9:$B$2500,1)+
SUMIFS('Commodity Prices'!$F$9:$F$2500,'Commodity Prices'!$A$9:$A$2500,'Gold - Prices'!F49,'Commodity Prices'!$B$9:$B$2500,2))
/(COUNTIFS('Commodity Prices'!$A$9:$A$2500,'Gold - Prices'!E49,'Commodity Prices'!$B$9:$B$2500,3)+
COUNTIFS('Commodity Prices'!$A$9:$A$2500,'Gold - Prices'!E49,'Commodity Prices'!$B$9:$B$2500,4)+
COUNTIFS('Commodity Prices'!$A$9:$A$2500,'Gold - Prices'!F49,'Commodity Prices'!$B$9:$B$2500,1)+
COUNTIFS('Commodity Prices'!$A$9:$A$2500,'Gold - Prices'!F49,'Commodity Prices'!$B$9:$B$2500,2))</f>
        <v>1603.3033333333333</v>
      </c>
    </row>
    <row r="50" spans="1:14">
      <c r="A50" s="606">
        <f>LARGE('Commodity Prices'!C$159:C$902,18)</f>
        <v>43831</v>
      </c>
      <c r="B50" s="706">
        <f>SUMIF('Commodity Prices'!C$159:C$902,A50,'Commodity Prices'!F$159:F$902)</f>
        <v>1560.676727</v>
      </c>
      <c r="C50" s="705">
        <f>SUMIF('Commodity Prices'!C$159:C$902,A50,'Commodity Prices'!E$159:E$902)</f>
        <v>2268.7600000000002</v>
      </c>
      <c r="D50" s="10"/>
      <c r="E50" s="128">
        <f t="shared" si="3"/>
        <v>2013</v>
      </c>
      <c r="F50" s="128">
        <f t="shared" si="4"/>
        <v>2014</v>
      </c>
      <c r="G50" s="1328" t="str">
        <f t="shared" si="2"/>
        <v>2013-14</v>
      </c>
      <c r="H50" s="706">
        <f t="array" ref="H50">IF($G$6="Historic Calendar Year",IFERROR(AVERAGE(IF($G50=YEAR('Commodity Prices'!$C$9:$C$1000),'Commodity Prices'!$F$9:$F$1000)),"NA"),IFERROR(IF(K50=0,"NA",K50),"NA"))</f>
        <v>1295.6258333333333</v>
      </c>
      <c r="I50" s="705">
        <f t="array" ref="I50">IF($G$6="Historic Calendar Year",IFERROR(AVERAGE(IF($G50=YEAR('Commodity Prices'!$C$9:$C$1000),'Commodity Prices'!$E$9:$E$1000)),"NA"),IFERROR(IF(J50=0,"NA",J50),"NA"))</f>
        <v>1422.0191666666669</v>
      </c>
      <c r="J50" s="333">
        <f>(SUMIFS('Commodity Prices'!$E$9:$E$2500,'Commodity Prices'!$A$9:$A$2500,'Gold - Prices'!E50,'Commodity Prices'!$B$9:$B$2500,3)+
SUMIFS('Commodity Prices'!$E$9:$E$2500,'Commodity Prices'!$A$9:$A$2500,'Gold - Prices'!E50,'Commodity Prices'!$B$9:$B$2500,4)+
SUMIFS('Commodity Prices'!$E$9:$E$2500,'Commodity Prices'!$A$9:$A$2500,'Gold - Prices'!F50,'Commodity Prices'!$B$9:$B$2500,1)+
SUMIFS('Commodity Prices'!$E$9:$E$2500,'Commodity Prices'!$A$9:$A$2500,'Gold - Prices'!F50,'Commodity Prices'!$B$9:$B$2500,2))
/(COUNTIFS('Commodity Prices'!$A$9:$A$2500,'Gold - Prices'!E50,'Commodity Prices'!$B$9:$B$2500,3)+
COUNTIFS('Commodity Prices'!$A$9:$A$2500,'Gold - Prices'!E50,'Commodity Prices'!$B$9:$B$2500,4)+
COUNTIFS('Commodity Prices'!$A$9:$A$2500,'Gold - Prices'!F50,'Commodity Prices'!$B$9:$B$2500,1)+
COUNTIFS('Commodity Prices'!$A$9:$A$2500,'Gold - Prices'!F50,'Commodity Prices'!$B$9:$B$2500,2))</f>
        <v>1422.0191666666669</v>
      </c>
      <c r="K50" s="333">
        <f>(SUMIFS('Commodity Prices'!$F$9:$F$2500,'Commodity Prices'!$A$9:$A$2500,'Gold - Prices'!E50,'Commodity Prices'!$B$9:$B$2500,3)+
SUMIFS('Commodity Prices'!$F$9:$F$2500,'Commodity Prices'!$A$9:$A$2500,'Gold - Prices'!E50,'Commodity Prices'!$B$9:$B$2500,4)+
SUMIFS('Commodity Prices'!$F$9:$F$2500,'Commodity Prices'!$A$9:$A$2500,'Gold - Prices'!F50,'Commodity Prices'!$B$9:$B$2500,1)+
SUMIFS('Commodity Prices'!$F$9:$F$2500,'Commodity Prices'!$A$9:$A$2500,'Gold - Prices'!F50,'Commodity Prices'!$B$9:$B$2500,2))
/(COUNTIFS('Commodity Prices'!$A$9:$A$2500,'Gold - Prices'!E50,'Commodity Prices'!$B$9:$B$2500,3)+
COUNTIFS('Commodity Prices'!$A$9:$A$2500,'Gold - Prices'!E50,'Commodity Prices'!$B$9:$B$2500,4)+
COUNTIFS('Commodity Prices'!$A$9:$A$2500,'Gold - Prices'!F50,'Commodity Prices'!$B$9:$B$2500,1)+
COUNTIFS('Commodity Prices'!$A$9:$A$2500,'Gold - Prices'!F50,'Commodity Prices'!$B$9:$B$2500,2))</f>
        <v>1295.6258333333333</v>
      </c>
    </row>
    <row r="51" spans="1:14">
      <c r="A51" s="606">
        <f>LARGE('Commodity Prices'!C$159:C$902,17)</f>
        <v>43862</v>
      </c>
      <c r="B51" s="804">
        <f>SUMIF('Commodity Prices'!C$159:C$902,A51,'Commodity Prices'!F$159:F$902)</f>
        <v>1597.1025</v>
      </c>
      <c r="C51" s="805">
        <f>SUMIF('Commodity Prices'!C$159:C$902,A51,'Commodity Prices'!E$159:E$902)</f>
        <v>2397.5300000000002</v>
      </c>
      <c r="D51" s="10"/>
      <c r="E51" s="128">
        <f t="shared" si="3"/>
        <v>2014</v>
      </c>
      <c r="F51" s="128">
        <f t="shared" si="4"/>
        <v>2015</v>
      </c>
      <c r="G51" s="1327" t="str">
        <f t="shared" si="2"/>
        <v>2014-15</v>
      </c>
      <c r="H51" s="804">
        <f t="array" ref="H51">IF($G$6="Historic Calendar Year",IFERROR(AVERAGE(IF($G51=YEAR('Commodity Prices'!$C$9:$C$1000),'Commodity Prices'!$F$9:$F$1000)),"NA"),IFERROR(IF(K51=0,"NA",K51),"NA"))</f>
        <v>1223.5824999999998</v>
      </c>
      <c r="I51" s="805">
        <f t="array" ref="I51">IF($G$6="Historic Calendar Year",IFERROR(AVERAGE(IF($G51=YEAR('Commodity Prices'!$C$9:$C$1000),'Commodity Prices'!$E$9:$E$1000)),"NA"),IFERROR(IF(J51=0,"NA",J51),"NA"))</f>
        <v>1479.22</v>
      </c>
      <c r="J51" s="333">
        <f>(SUMIFS('Commodity Prices'!$E$9:$E$2500,'Commodity Prices'!$A$9:$A$2500,'Gold - Prices'!E51,'Commodity Prices'!$B$9:$B$2500,3)+
SUMIFS('Commodity Prices'!$E$9:$E$2500,'Commodity Prices'!$A$9:$A$2500,'Gold - Prices'!E51,'Commodity Prices'!$B$9:$B$2500,4)+
SUMIFS('Commodity Prices'!$E$9:$E$2500,'Commodity Prices'!$A$9:$A$2500,'Gold - Prices'!F51,'Commodity Prices'!$B$9:$B$2500,1)+
SUMIFS('Commodity Prices'!$E$9:$E$2500,'Commodity Prices'!$A$9:$A$2500,'Gold - Prices'!F51,'Commodity Prices'!$B$9:$B$2500,2))
/(COUNTIFS('Commodity Prices'!$A$9:$A$2500,'Gold - Prices'!E51,'Commodity Prices'!$B$9:$B$2500,3)+
COUNTIFS('Commodity Prices'!$A$9:$A$2500,'Gold - Prices'!E51,'Commodity Prices'!$B$9:$B$2500,4)+
COUNTIFS('Commodity Prices'!$A$9:$A$2500,'Gold - Prices'!F51,'Commodity Prices'!$B$9:$B$2500,1)+
COUNTIFS('Commodity Prices'!$A$9:$A$2500,'Gold - Prices'!F51,'Commodity Prices'!$B$9:$B$2500,2))</f>
        <v>1479.22</v>
      </c>
      <c r="K51" s="333">
        <f>(SUMIFS('Commodity Prices'!$F$9:$F$2500,'Commodity Prices'!$A$9:$A$2500,'Gold - Prices'!E51,'Commodity Prices'!$B$9:$B$2500,3)+
SUMIFS('Commodity Prices'!$F$9:$F$2500,'Commodity Prices'!$A$9:$A$2500,'Gold - Prices'!E51,'Commodity Prices'!$B$9:$B$2500,4)+
SUMIFS('Commodity Prices'!$F$9:$F$2500,'Commodity Prices'!$A$9:$A$2500,'Gold - Prices'!F51,'Commodity Prices'!$B$9:$B$2500,1)+
SUMIFS('Commodity Prices'!$F$9:$F$2500,'Commodity Prices'!$A$9:$A$2500,'Gold - Prices'!F51,'Commodity Prices'!$B$9:$B$2500,2))
/(COUNTIFS('Commodity Prices'!$A$9:$A$2500,'Gold - Prices'!E51,'Commodity Prices'!$B$9:$B$2500,3)+
COUNTIFS('Commodity Prices'!$A$9:$A$2500,'Gold - Prices'!E51,'Commodity Prices'!$B$9:$B$2500,4)+
COUNTIFS('Commodity Prices'!$A$9:$A$2500,'Gold - Prices'!F51,'Commodity Prices'!$B$9:$B$2500,1)+
COUNTIFS('Commodity Prices'!$A$9:$A$2500,'Gold - Prices'!F51,'Commodity Prices'!$B$9:$B$2500,2))</f>
        <v>1223.5824999999998</v>
      </c>
    </row>
    <row r="52" spans="1:14">
      <c r="A52" s="606">
        <f>LARGE('Commodity Prices'!C$159:C$902,16)</f>
        <v>43891</v>
      </c>
      <c r="B52" s="706">
        <f>SUMIF('Commodity Prices'!C$159:C$902,A52,'Commodity Prices'!F$159:F$902)</f>
        <v>1591.93</v>
      </c>
      <c r="C52" s="705">
        <f>SUMIF('Commodity Prices'!C$159:C$902,A52,'Commodity Prices'!E$159:E$902)</f>
        <v>2565.17</v>
      </c>
      <c r="D52" s="10"/>
      <c r="E52" s="128">
        <f t="shared" si="3"/>
        <v>2015</v>
      </c>
      <c r="F52" s="128">
        <f t="shared" si="4"/>
        <v>2016</v>
      </c>
      <c r="G52" s="1328" t="str">
        <f t="shared" si="2"/>
        <v>2015-16</v>
      </c>
      <c r="H52" s="706">
        <f t="array" ref="H52">IF($G$6="Historic Calendar Year",IFERROR(AVERAGE(IF($G52=YEAR('Commodity Prices'!$C$9:$C$1000),'Commodity Prices'!$F$9:$F$1000)),"NA"),IFERROR(IF(K52=0,"NA",K52),"NA"))</f>
        <v>1167.2758333333334</v>
      </c>
      <c r="I52" s="705">
        <f t="array" ref="I52">IF($G$6="Historic Calendar Year",IFERROR(AVERAGE(IF($G52=YEAR('Commodity Prices'!$C$9:$C$1000),'Commodity Prices'!$E$9:$E$1000)),"NA"),IFERROR(IF(J52=0,"NA",J52),"NA"))</f>
        <v>1613.3033333333333</v>
      </c>
      <c r="J52" s="333">
        <f>(SUMIFS('Commodity Prices'!$E$9:$E$2500,'Commodity Prices'!$A$9:$A$2500,'Gold - Prices'!E52,'Commodity Prices'!$B$9:$B$2500,3)+
SUMIFS('Commodity Prices'!$E$9:$E$2500,'Commodity Prices'!$A$9:$A$2500,'Gold - Prices'!E52,'Commodity Prices'!$B$9:$B$2500,4)+
SUMIFS('Commodity Prices'!$E$9:$E$2500,'Commodity Prices'!$A$9:$A$2500,'Gold - Prices'!F52,'Commodity Prices'!$B$9:$B$2500,1)+
SUMIFS('Commodity Prices'!$E$9:$E$2500,'Commodity Prices'!$A$9:$A$2500,'Gold - Prices'!F52,'Commodity Prices'!$B$9:$B$2500,2))
/(COUNTIFS('Commodity Prices'!$A$9:$A$2500,'Gold - Prices'!E52,'Commodity Prices'!$B$9:$B$2500,3)+
COUNTIFS('Commodity Prices'!$A$9:$A$2500,'Gold - Prices'!E52,'Commodity Prices'!$B$9:$B$2500,4)+
COUNTIFS('Commodity Prices'!$A$9:$A$2500,'Gold - Prices'!F52,'Commodity Prices'!$B$9:$B$2500,1)+
COUNTIFS('Commodity Prices'!$A$9:$A$2500,'Gold - Prices'!F52,'Commodity Prices'!$B$9:$B$2500,2))</f>
        <v>1613.3033333333333</v>
      </c>
      <c r="K52" s="333">
        <f>(SUMIFS('Commodity Prices'!$F$9:$F$2500,'Commodity Prices'!$A$9:$A$2500,'Gold - Prices'!E52,'Commodity Prices'!$B$9:$B$2500,3)+
SUMIFS('Commodity Prices'!$F$9:$F$2500,'Commodity Prices'!$A$9:$A$2500,'Gold - Prices'!E52,'Commodity Prices'!$B$9:$B$2500,4)+
SUMIFS('Commodity Prices'!$F$9:$F$2500,'Commodity Prices'!$A$9:$A$2500,'Gold - Prices'!F52,'Commodity Prices'!$B$9:$B$2500,1)+
SUMIFS('Commodity Prices'!$F$9:$F$2500,'Commodity Prices'!$A$9:$A$2500,'Gold - Prices'!F52,'Commodity Prices'!$B$9:$B$2500,2))
/(COUNTIFS('Commodity Prices'!$A$9:$A$2500,'Gold - Prices'!E52,'Commodity Prices'!$B$9:$B$2500,3)+
COUNTIFS('Commodity Prices'!$A$9:$A$2500,'Gold - Prices'!E52,'Commodity Prices'!$B$9:$B$2500,4)+
COUNTIFS('Commodity Prices'!$A$9:$A$2500,'Gold - Prices'!F52,'Commodity Prices'!$B$9:$B$2500,1)+
COUNTIFS('Commodity Prices'!$A$9:$A$2500,'Gold - Prices'!F52,'Commodity Prices'!$B$9:$B$2500,2))</f>
        <v>1167.2758333333334</v>
      </c>
    </row>
    <row r="53" spans="1:14">
      <c r="A53" s="606">
        <f>LARGE('Commodity Prices'!C$159:C$902,15)</f>
        <v>43922</v>
      </c>
      <c r="B53" s="804">
        <f>SUMIF('Commodity Prices'!C$159:C$902,A53,'Commodity Prices'!F$159:F$902)</f>
        <v>1682.93</v>
      </c>
      <c r="C53" s="805">
        <f>SUMIF('Commodity Prices'!C$159:C$902,A53,'Commodity Prices'!E$159:E$902)</f>
        <v>2679.81</v>
      </c>
      <c r="D53" s="10"/>
      <c r="E53" s="128">
        <f t="shared" si="3"/>
        <v>2016</v>
      </c>
      <c r="F53" s="128">
        <f t="shared" si="4"/>
        <v>2017</v>
      </c>
      <c r="G53" s="1328" t="str">
        <f t="shared" si="2"/>
        <v>2016-17</v>
      </c>
      <c r="H53" s="804">
        <f t="array" ref="H53">IF($G$6="Historic Calendar Year",IFERROR(AVERAGE(IF($G53=YEAR('Commodity Prices'!$C$9:$C$1000),'Commodity Prices'!$F$9:$F$1000)),"NA"),IFERROR(IF(K53=0,"NA",K53),"NA"))</f>
        <v>1257.2816666666668</v>
      </c>
      <c r="I53" s="805">
        <f t="array" ref="I53">IF($G$6="Historic Calendar Year",IFERROR(AVERAGE(IF($G53=YEAR('Commodity Prices'!$C$9:$C$1000),'Commodity Prices'!$E$9:$E$1000)),"NA"),IFERROR(IF(J53=0,"NA",J53),"NA"))</f>
        <v>1674.9158333333332</v>
      </c>
      <c r="J53" s="333">
        <f>(SUMIFS('Commodity Prices'!$E$9:$E$2500,'Commodity Prices'!$A$9:$A$2500,'Gold - Prices'!E53,'Commodity Prices'!$B$9:$B$2500,3)+
SUMIFS('Commodity Prices'!$E$9:$E$2500,'Commodity Prices'!$A$9:$A$2500,'Gold - Prices'!E53,'Commodity Prices'!$B$9:$B$2500,4)+
SUMIFS('Commodity Prices'!$E$9:$E$2500,'Commodity Prices'!$A$9:$A$2500,'Gold - Prices'!F53,'Commodity Prices'!$B$9:$B$2500,1)+
SUMIFS('Commodity Prices'!$E$9:$E$2500,'Commodity Prices'!$A$9:$A$2500,'Gold - Prices'!F53,'Commodity Prices'!$B$9:$B$2500,2))
/(COUNTIFS('Commodity Prices'!$A$9:$A$2500,'Gold - Prices'!E53,'Commodity Prices'!$B$9:$B$2500,3)+
COUNTIFS('Commodity Prices'!$A$9:$A$2500,'Gold - Prices'!E53,'Commodity Prices'!$B$9:$B$2500,4)+
COUNTIFS('Commodity Prices'!$A$9:$A$2500,'Gold - Prices'!F53,'Commodity Prices'!$B$9:$B$2500,1)+
COUNTIFS('Commodity Prices'!$A$9:$A$2500,'Gold - Prices'!F53,'Commodity Prices'!$B$9:$B$2500,2))</f>
        <v>1674.9158333333332</v>
      </c>
      <c r="K53" s="333">
        <f>(SUMIFS('Commodity Prices'!$F$9:$F$2500,'Commodity Prices'!$A$9:$A$2500,'Gold - Prices'!E53,'Commodity Prices'!$B$9:$B$2500,3)+
SUMIFS('Commodity Prices'!$F$9:$F$2500,'Commodity Prices'!$A$9:$A$2500,'Gold - Prices'!E53,'Commodity Prices'!$B$9:$B$2500,4)+
SUMIFS('Commodity Prices'!$F$9:$F$2500,'Commodity Prices'!$A$9:$A$2500,'Gold - Prices'!F53,'Commodity Prices'!$B$9:$B$2500,1)+
SUMIFS('Commodity Prices'!$F$9:$F$2500,'Commodity Prices'!$A$9:$A$2500,'Gold - Prices'!F53,'Commodity Prices'!$B$9:$B$2500,2))
/(COUNTIFS('Commodity Prices'!$A$9:$A$2500,'Gold - Prices'!E53,'Commodity Prices'!$B$9:$B$2500,3)+
COUNTIFS('Commodity Prices'!$A$9:$A$2500,'Gold - Prices'!E53,'Commodity Prices'!$B$9:$B$2500,4)+
COUNTIFS('Commodity Prices'!$A$9:$A$2500,'Gold - Prices'!F53,'Commodity Prices'!$B$9:$B$2500,1)+
COUNTIFS('Commodity Prices'!$A$9:$A$2500,'Gold - Prices'!F53,'Commodity Prices'!$B$9:$B$2500,2))</f>
        <v>1257.2816666666668</v>
      </c>
      <c r="N53" s="457"/>
    </row>
    <row r="54" spans="1:14">
      <c r="A54" s="606">
        <f>LARGE('Commodity Prices'!C$159:C$902,14)</f>
        <v>43952</v>
      </c>
      <c r="B54" s="706">
        <f>SUMIF('Commodity Prices'!C$159:C$902,A54,'Commodity Prices'!F$159:F$902)</f>
        <v>1715.6973</v>
      </c>
      <c r="C54" s="705">
        <f>SUMIF('Commodity Prices'!C$159:C$902,A54,'Commodity Prices'!E$159:E$902)</f>
        <v>2646.51</v>
      </c>
      <c r="D54" s="10"/>
      <c r="E54" s="128">
        <f t="shared" si="3"/>
        <v>2017</v>
      </c>
      <c r="F54" s="128">
        <f t="shared" si="4"/>
        <v>2018</v>
      </c>
      <c r="G54" s="1328" t="str">
        <f t="shared" si="2"/>
        <v>2017-18</v>
      </c>
      <c r="H54" s="706">
        <f t="array" ref="H54">IF($G$6="Historic Calendar Year",IFERROR(AVERAGE(IF($G54=YEAR('Commodity Prices'!$C$9:$C$1000),'Commodity Prices'!$F$9:$F$1000)),"NA"),IFERROR(IF(K54=0,"NA",K54),"NA"))</f>
        <v>1297.1414186507939</v>
      </c>
      <c r="I54" s="705">
        <f t="array" ref="I54">IF($G$6="Historic Calendar Year",IFERROR(AVERAGE(IF($G54=YEAR('Commodity Prices'!$C$9:$C$1000),'Commodity Prices'!$E$9:$E$1000)),"NA"),IFERROR(IF(J54=0,"NA",J54),"NA"))</f>
        <v>1677.8941666666667</v>
      </c>
      <c r="J54" s="333">
        <f>(SUMIFS('Commodity Prices'!$E$9:$E$2500,'Commodity Prices'!$A$9:$A$2500,'Gold - Prices'!E54,'Commodity Prices'!$B$9:$B$2500,3)+
SUMIFS('Commodity Prices'!$E$9:$E$2500,'Commodity Prices'!$A$9:$A$2500,'Gold - Prices'!E54,'Commodity Prices'!$B$9:$B$2500,4)+
SUMIFS('Commodity Prices'!$E$9:$E$2500,'Commodity Prices'!$A$9:$A$2500,'Gold - Prices'!F54,'Commodity Prices'!$B$9:$B$2500,1)+
SUMIFS('Commodity Prices'!$E$9:$E$2500,'Commodity Prices'!$A$9:$A$2500,'Gold - Prices'!F54,'Commodity Prices'!$B$9:$B$2500,2))
/(COUNTIFS('Commodity Prices'!$A$9:$A$2500,'Gold - Prices'!E54,'Commodity Prices'!$B$9:$B$2500,3)+
COUNTIFS('Commodity Prices'!$A$9:$A$2500,'Gold - Prices'!E54,'Commodity Prices'!$B$9:$B$2500,4)+
COUNTIFS('Commodity Prices'!$A$9:$A$2500,'Gold - Prices'!F54,'Commodity Prices'!$B$9:$B$2500,1)+
COUNTIFS('Commodity Prices'!$A$9:$A$2500,'Gold - Prices'!F54,'Commodity Prices'!$B$9:$B$2500,2))</f>
        <v>1677.8941666666667</v>
      </c>
      <c r="K54" s="333">
        <f>(SUMIFS('Commodity Prices'!$F$9:$F$2500,'Commodity Prices'!$A$9:$A$2500,'Gold - Prices'!E54,'Commodity Prices'!$B$9:$B$2500,3)+
SUMIFS('Commodity Prices'!$F$9:$F$2500,'Commodity Prices'!$A$9:$A$2500,'Gold - Prices'!E54,'Commodity Prices'!$B$9:$B$2500,4)+
SUMIFS('Commodity Prices'!$F$9:$F$2500,'Commodity Prices'!$A$9:$A$2500,'Gold - Prices'!F54,'Commodity Prices'!$B$9:$B$2500,1)+
SUMIFS('Commodity Prices'!$F$9:$F$2500,'Commodity Prices'!$A$9:$A$2500,'Gold - Prices'!F54,'Commodity Prices'!$B$9:$B$2500,2))
/(COUNTIFS('Commodity Prices'!$A$9:$A$2500,'Gold - Prices'!E54,'Commodity Prices'!$B$9:$B$2500,3)+
COUNTIFS('Commodity Prices'!$A$9:$A$2500,'Gold - Prices'!E54,'Commodity Prices'!$B$9:$B$2500,4)+
COUNTIFS('Commodity Prices'!$A$9:$A$2500,'Gold - Prices'!F54,'Commodity Prices'!$B$9:$B$2500,1)+
COUNTIFS('Commodity Prices'!$A$9:$A$2500,'Gold - Prices'!F54,'Commodity Prices'!$B$9:$B$2500,2))</f>
        <v>1297.1414186507939</v>
      </c>
    </row>
    <row r="55" spans="1:14">
      <c r="A55" s="606">
        <f>LARGE('Commodity Prices'!C$159:C$902,13)</f>
        <v>43983</v>
      </c>
      <c r="B55" s="804">
        <f>SUMIF('Commodity Prices'!C$159:C$902,A55,'Commodity Prices'!F$159:F$902)</f>
        <v>1732.2181</v>
      </c>
      <c r="C55" s="805">
        <f>SUMIF('Commodity Prices'!C$159:C$902,A55,'Commodity Prices'!E$159:E$902)</f>
        <v>2520.19</v>
      </c>
      <c r="D55" s="10"/>
      <c r="E55" s="128">
        <f t="shared" si="3"/>
        <v>2018</v>
      </c>
      <c r="F55" s="128">
        <f t="shared" si="4"/>
        <v>2019</v>
      </c>
      <c r="G55" s="1328" t="str">
        <f t="shared" si="2"/>
        <v>2018-19</v>
      </c>
      <c r="H55" s="804">
        <f t="array" ref="H55">IF($G$6="Historic Calendar Year",IFERROR(AVERAGE(IF($G55=YEAR('Commodity Prices'!$C$9:$C$1000),'Commodity Prices'!$F$9:$F$1000)),"NA"),IFERROR(IF(K55=0,"NA",K55),"NA"))</f>
        <v>1263.7217499999999</v>
      </c>
      <c r="I55" s="805">
        <f t="array" ref="I55">IF($G$6="Historic Calendar Year",IFERROR(AVERAGE(IF($G55=YEAR('Commodity Prices'!$C$9:$C$1000),'Commodity Prices'!$E$9:$E$1000)),"NA"),IFERROR(IF(J55=0,"NA",J55),"NA"))</f>
        <v>1772.1166666666668</v>
      </c>
      <c r="J55" s="333">
        <f>(SUMIFS('Commodity Prices'!$E$9:$E$2500,'Commodity Prices'!$A$9:$A$2500,'Gold - Prices'!E55,'Commodity Prices'!$B$9:$B$2500,3)+
SUMIFS('Commodity Prices'!$E$9:$E$2500,'Commodity Prices'!$A$9:$A$2500,'Gold - Prices'!E55,'Commodity Prices'!$B$9:$B$2500,4)+
SUMIFS('Commodity Prices'!$E$9:$E$2500,'Commodity Prices'!$A$9:$A$2500,'Gold - Prices'!F55,'Commodity Prices'!$B$9:$B$2500,1)+
SUMIFS('Commodity Prices'!$E$9:$E$2500,'Commodity Prices'!$A$9:$A$2500,'Gold - Prices'!F55,'Commodity Prices'!$B$9:$B$2500,2))
/(COUNTIFS('Commodity Prices'!$A$9:$A$2500,'Gold - Prices'!E55,'Commodity Prices'!$B$9:$B$2500,3)+
COUNTIFS('Commodity Prices'!$A$9:$A$2500,'Gold - Prices'!E55,'Commodity Prices'!$B$9:$B$2500,4)+
COUNTIFS('Commodity Prices'!$A$9:$A$2500,'Gold - Prices'!F55,'Commodity Prices'!$B$9:$B$2500,1)+
COUNTIFS('Commodity Prices'!$A$9:$A$2500,'Gold - Prices'!F55,'Commodity Prices'!$B$9:$B$2500,2))</f>
        <v>1772.1166666666668</v>
      </c>
      <c r="K55" s="333">
        <f>(SUMIFS('Commodity Prices'!$F$9:$F$2500,'Commodity Prices'!$A$9:$A$2500,'Gold - Prices'!E55,'Commodity Prices'!$B$9:$B$2500,3)+
SUMIFS('Commodity Prices'!$F$9:$F$2500,'Commodity Prices'!$A$9:$A$2500,'Gold - Prices'!E55,'Commodity Prices'!$B$9:$B$2500,4)+
SUMIFS('Commodity Prices'!$F$9:$F$2500,'Commodity Prices'!$A$9:$A$2500,'Gold - Prices'!F55,'Commodity Prices'!$B$9:$B$2500,1)+
SUMIFS('Commodity Prices'!$F$9:$F$2500,'Commodity Prices'!$A$9:$A$2500,'Gold - Prices'!F55,'Commodity Prices'!$B$9:$B$2500,2))
/(COUNTIFS('Commodity Prices'!$A$9:$A$2500,'Gold - Prices'!E55,'Commodity Prices'!$B$9:$B$2500,3)+
COUNTIFS('Commodity Prices'!$A$9:$A$2500,'Gold - Prices'!E55,'Commodity Prices'!$B$9:$B$2500,4)+
COUNTIFS('Commodity Prices'!$A$9:$A$2500,'Gold - Prices'!F55,'Commodity Prices'!$B$9:$B$2500,1)+
COUNTIFS('Commodity Prices'!$A$9:$A$2500,'Gold - Prices'!F55,'Commodity Prices'!$B$9:$B$2500,2))</f>
        <v>1263.7217499999999</v>
      </c>
    </row>
    <row r="56" spans="1:14">
      <c r="A56" s="606">
        <f>LARGE('Commodity Prices'!C$159:C$902,12)</f>
        <v>44013</v>
      </c>
      <c r="B56" s="706">
        <f>SUMIF('Commodity Prices'!C$159:C$902,A56,'Commodity Prices'!F$159:F$902)</f>
        <v>1843.3130430000001</v>
      </c>
      <c r="C56" s="705">
        <f>SUMIF('Commodity Prices'!C$159:C$902,A56,'Commodity Prices'!E$159:E$902)</f>
        <v>2616.4699999999998</v>
      </c>
      <c r="D56" s="10"/>
      <c r="E56" s="128">
        <f t="shared" si="3"/>
        <v>2019</v>
      </c>
      <c r="F56" s="128">
        <f t="shared" si="4"/>
        <v>2020</v>
      </c>
      <c r="G56" s="1328" t="str">
        <f t="shared" si="2"/>
        <v>2019-20</v>
      </c>
      <c r="H56" s="706">
        <f t="array" ref="H56">IF($G$6="Historic Calendar Year",IFERROR(AVERAGE(IF($G56=YEAR('Commodity Prices'!$C$9:$C$1000),'Commodity Prices'!$F$9:$F$1000)),"NA"),IFERROR(IF(K56=0,"NA",K56),"NA"))</f>
        <v>1562.0422689166669</v>
      </c>
      <c r="I56" s="705">
        <f t="array" ref="I56">IF($G$6="Historic Calendar Year",IFERROR(AVERAGE(IF($G56=YEAR('Commodity Prices'!$C$9:$C$1000),'Commodity Prices'!$E$9:$E$1000)),"NA"),IFERROR(IF(J56=0,"NA",J56),"NA"))</f>
        <v>2339.0500000000006</v>
      </c>
      <c r="J56" s="333">
        <f>(SUMIFS('Commodity Prices'!$E$9:$E$2500,'Commodity Prices'!$A$9:$A$2500,'Gold - Prices'!E56,'Commodity Prices'!$B$9:$B$2500,3)+
SUMIFS('Commodity Prices'!$E$9:$E$2500,'Commodity Prices'!$A$9:$A$2500,'Gold - Prices'!E56,'Commodity Prices'!$B$9:$B$2500,4)+
SUMIFS('Commodity Prices'!$E$9:$E$2500,'Commodity Prices'!$A$9:$A$2500,'Gold - Prices'!F56,'Commodity Prices'!$B$9:$B$2500,1)+
SUMIFS('Commodity Prices'!$E$9:$E$2500,'Commodity Prices'!$A$9:$A$2500,'Gold - Prices'!F56,'Commodity Prices'!$B$9:$B$2500,2))
/(COUNTIFS('Commodity Prices'!$A$9:$A$2500,'Gold - Prices'!E56,'Commodity Prices'!$B$9:$B$2500,3)+
COUNTIFS('Commodity Prices'!$A$9:$A$2500,'Gold - Prices'!E56,'Commodity Prices'!$B$9:$B$2500,4)+
COUNTIFS('Commodity Prices'!$A$9:$A$2500,'Gold - Prices'!F56,'Commodity Prices'!$B$9:$B$2500,1)+
COUNTIFS('Commodity Prices'!$A$9:$A$2500,'Gold - Prices'!F56,'Commodity Prices'!$B$9:$B$2500,2))</f>
        <v>2339.0500000000006</v>
      </c>
      <c r="K56" s="333">
        <f>(SUMIFS('Commodity Prices'!$F$9:$F$2500,'Commodity Prices'!$A$9:$A$2500,'Gold - Prices'!E56,'Commodity Prices'!$B$9:$B$2500,3)+
SUMIFS('Commodity Prices'!$F$9:$F$2500,'Commodity Prices'!$A$9:$A$2500,'Gold - Prices'!E56,'Commodity Prices'!$B$9:$B$2500,4)+
SUMIFS('Commodity Prices'!$F$9:$F$2500,'Commodity Prices'!$A$9:$A$2500,'Gold - Prices'!F56,'Commodity Prices'!$B$9:$B$2500,1)+
SUMIFS('Commodity Prices'!$F$9:$F$2500,'Commodity Prices'!$A$9:$A$2500,'Gold - Prices'!F56,'Commodity Prices'!$B$9:$B$2500,2))
/(COUNTIFS('Commodity Prices'!$A$9:$A$2500,'Gold - Prices'!E56,'Commodity Prices'!$B$9:$B$2500,3)+
COUNTIFS('Commodity Prices'!$A$9:$A$2500,'Gold - Prices'!E56,'Commodity Prices'!$B$9:$B$2500,4)+
COUNTIFS('Commodity Prices'!$A$9:$A$2500,'Gold - Prices'!F56,'Commodity Prices'!$B$9:$B$2500,1)+
COUNTIFS('Commodity Prices'!$A$9:$A$2500,'Gold - Prices'!F56,'Commodity Prices'!$B$9:$B$2500,2))</f>
        <v>1562.0422689166669</v>
      </c>
    </row>
    <row r="57" spans="1:14" ht="15.75" thickBot="1">
      <c r="A57" s="606">
        <f>LARGE('Commodity Prices'!C$159:C$902,11)</f>
        <v>44044</v>
      </c>
      <c r="B57" s="804">
        <f>SUMIF('Commodity Prices'!C$159:C$902,A57,'Commodity Prices'!F$159:F$902)</f>
        <v>1968.5650000000001</v>
      </c>
      <c r="C57" s="805">
        <f>SUMIF('Commodity Prices'!C$159:C$902,A57,'Commodity Prices'!E$159:E$902)</f>
        <v>2706.23</v>
      </c>
      <c r="D57" s="10"/>
      <c r="E57" s="128">
        <f t="shared" si="3"/>
        <v>2020</v>
      </c>
      <c r="F57" s="128">
        <f t="shared" si="4"/>
        <v>2021</v>
      </c>
      <c r="G57" s="1328" t="str">
        <f t="shared" si="2"/>
        <v>2020-21</v>
      </c>
      <c r="H57" s="804">
        <f t="array" ref="H57">IF($G$6="Historic Calendar Year",IFERROR(AVERAGE(IF($G57=YEAR('Commodity Prices'!$C$9:$C$1000),'Commodity Prices'!$F$9:$F$1000)),"NA"),IFERROR(IF(K57=0,"NA",K57),"NA"))</f>
        <v>1849.6521687926067</v>
      </c>
      <c r="I57" s="805">
        <f t="array" ref="I57">IF($G$6="Historic Calendar Year",IFERROR(AVERAGE(IF($G57=YEAR('Commodity Prices'!$C$9:$C$1000),'Commodity Prices'!$E$9:$E$1000)),"NA"),IFERROR(IF(J57=0,"NA",J57),"NA"))</f>
        <v>2484.2999999999997</v>
      </c>
      <c r="J57" s="333">
        <f>(SUMIFS('Commodity Prices'!$E$9:$E$2500,'Commodity Prices'!$A$9:$A$2500,'Gold - Prices'!E57,'Commodity Prices'!$B$9:$B$2500,3)+
SUMIFS('Commodity Prices'!$E$9:$E$2500,'Commodity Prices'!$A$9:$A$2500,'Gold - Prices'!E57,'Commodity Prices'!$B$9:$B$2500,4)+
SUMIFS('Commodity Prices'!$E$9:$E$2500,'Commodity Prices'!$A$9:$A$2500,'Gold - Prices'!F57,'Commodity Prices'!$B$9:$B$2500,1)+
SUMIFS('Commodity Prices'!$E$9:$E$2500,'Commodity Prices'!$A$9:$A$2500,'Gold - Prices'!F57,'Commodity Prices'!$B$9:$B$2500,2))
/(COUNTIFS('Commodity Prices'!$A$9:$A$2500,'Gold - Prices'!E57,'Commodity Prices'!$B$9:$B$2500,3)+
COUNTIFS('Commodity Prices'!$A$9:$A$2500,'Gold - Prices'!E57,'Commodity Prices'!$B$9:$B$2500,4)+
COUNTIFS('Commodity Prices'!$A$9:$A$2500,'Gold - Prices'!F57,'Commodity Prices'!$B$9:$B$2500,1)+
COUNTIFS('Commodity Prices'!$A$9:$A$2500,'Gold - Prices'!F57,'Commodity Prices'!$B$9:$B$2500,2))</f>
        <v>2484.2999999999997</v>
      </c>
      <c r="K57" s="333">
        <f>(SUMIFS('Commodity Prices'!$F$9:$F$2500,'Commodity Prices'!$A$9:$A$2500,'Gold - Prices'!E57,'Commodity Prices'!$B$9:$B$2500,3)+
SUMIFS('Commodity Prices'!$F$9:$F$2500,'Commodity Prices'!$A$9:$A$2500,'Gold - Prices'!E57,'Commodity Prices'!$B$9:$B$2500,4)+
SUMIFS('Commodity Prices'!$F$9:$F$2500,'Commodity Prices'!$A$9:$A$2500,'Gold - Prices'!F57,'Commodity Prices'!$B$9:$B$2500,1)+
SUMIFS('Commodity Prices'!$F$9:$F$2500,'Commodity Prices'!$A$9:$A$2500,'Gold - Prices'!F57,'Commodity Prices'!$B$9:$B$2500,2))
/(COUNTIFS('Commodity Prices'!$A$9:$A$2500,'Gold - Prices'!E57,'Commodity Prices'!$B$9:$B$2500,3)+
COUNTIFS('Commodity Prices'!$A$9:$A$2500,'Gold - Prices'!E57,'Commodity Prices'!$B$9:$B$2500,4)+
COUNTIFS('Commodity Prices'!$A$9:$A$2500,'Gold - Prices'!F57,'Commodity Prices'!$B$9:$B$2500,1)+
COUNTIFS('Commodity Prices'!$A$9:$A$2500,'Gold - Prices'!F57,'Commodity Prices'!$B$9:$B$2500,2))</f>
        <v>1849.6521687926067</v>
      </c>
    </row>
    <row r="58" spans="1:14">
      <c r="A58" s="606">
        <f>LARGE('Commodity Prices'!C$159:C$902,10)</f>
        <v>44075</v>
      </c>
      <c r="B58" s="706">
        <f>SUMIF('Commodity Prices'!C$159:C$902,A58,'Commodity Prices'!F$159:F$902)</f>
        <v>1920.572917</v>
      </c>
      <c r="C58" s="705">
        <f>SUMIF('Commodity Prices'!C$159:C$902,A58,'Commodity Prices'!E$159:E$902)</f>
        <v>2668.63</v>
      </c>
      <c r="D58" s="10"/>
      <c r="E58" s="128"/>
      <c r="F58" s="128"/>
      <c r="G58" s="782" t="str">
        <f>IF($G$6="Historic Calendar Year",G57+1,CONCATENATE(E57,"-",RIGHT(F57,2)))</f>
        <v>2020-21</v>
      </c>
      <c r="H58" s="837">
        <f>IF($G$6="Historic Calendar Year",IFERROR(AVERAGE(IF($G58=YEAR('Commodity Prices'!$C$9:$C$1000),'Commodity Prices'!$F$9:$F$1000)),"N/A"),IFERROR(IF(K57=0,"N/A",K57),"N/A"))</f>
        <v>1849.6521687926067</v>
      </c>
      <c r="I58" s="783">
        <f>IF($G$6="Historic Calendar Year",IFERROR(AVERAGE(IF($G58=YEAR('Commodity Prices'!$C$9:$C$1000),'Commodity Prices'!$E$9:$E$1000)),"N/A"),IFERROR(IF(J57=0,"N/A",J57),"N/A"))</f>
        <v>2484.2999999999997</v>
      </c>
    </row>
    <row r="59" spans="1:14" ht="15.75" thickBot="1">
      <c r="A59" s="606">
        <f>LARGE('Commodity Prices'!C$159:C$902,9)</f>
        <v>44105</v>
      </c>
      <c r="B59" s="804">
        <f>SUMIF('Commodity Prices'!C$159:C$902,A59,'Commodity Prices'!F$159:F$902)</f>
        <v>1900.2750000000001</v>
      </c>
      <c r="C59" s="805">
        <f>SUMIF('Commodity Prices'!C$159:C$902,A59,'Commodity Prices'!E$159:E$902)</f>
        <v>2673.54</v>
      </c>
      <c r="D59" s="10"/>
      <c r="E59" s="128"/>
      <c r="F59" s="128"/>
      <c r="G59" s="10"/>
      <c r="H59" s="10"/>
      <c r="I59" s="10"/>
    </row>
    <row r="60" spans="1:14">
      <c r="A60" s="606">
        <f>LARGE('Commodity Prices'!C$159:C$902,8)</f>
        <v>44136</v>
      </c>
      <c r="B60" s="706">
        <f>SUMIF('Commodity Prices'!C$159:C$902,A60,'Commodity Prices'!F$159:F$902)</f>
        <v>1863.4928571428575</v>
      </c>
      <c r="C60" s="705">
        <f>SUMIF('Commodity Prices'!C$159:C$902,A60,'Commodity Prices'!E$159:E$902)</f>
        <v>2586.6999999999998</v>
      </c>
      <c r="D60" s="10"/>
      <c r="E60" s="128"/>
      <c r="F60" s="128"/>
      <c r="G60" s="2014" t="s">
        <v>506</v>
      </c>
      <c r="H60" s="2015"/>
      <c r="I60" s="2016"/>
    </row>
    <row r="61" spans="1:14" ht="15.75" thickBot="1">
      <c r="A61" s="606">
        <f>LARGE('Commodity Prices'!C$159:C$902,7)</f>
        <v>44166</v>
      </c>
      <c r="B61" s="804">
        <f>SUMIF('Commodity Prices'!C$159:C$902,A61,'Commodity Prices'!F$159:F$902)</f>
        <v>1856.655263157895</v>
      </c>
      <c r="C61" s="805">
        <f>SUMIF('Commodity Prices'!C$159:C$902,A61,'Commodity Prices'!E$159:E$902)</f>
        <v>2472.54</v>
      </c>
      <c r="D61" s="10"/>
      <c r="E61" s="128"/>
      <c r="F61" s="128"/>
      <c r="G61" s="1985" t="s">
        <v>464</v>
      </c>
      <c r="H61" s="1988"/>
      <c r="I61" s="1986"/>
    </row>
    <row r="62" spans="1:14">
      <c r="A62" s="606">
        <f>LARGE('Commodity Prices'!C$159:C$902,6)</f>
        <v>44197</v>
      </c>
      <c r="B62" s="706">
        <f>SUMIF('Commodity Prices'!C$159:C$902,A62,'Commodity Prices'!F$159:F$902)</f>
        <v>1866.9849999999999</v>
      </c>
      <c r="C62" s="705">
        <f>SUMIF('Commodity Prices'!C$159:C$902,A62,'Commodity Prices'!E$159:E$902)</f>
        <v>2420.9499999999998</v>
      </c>
      <c r="D62" s="10"/>
      <c r="E62" s="128"/>
      <c r="F62" s="128"/>
      <c r="G62" s="2013" t="s">
        <v>507</v>
      </c>
      <c r="H62" s="2013"/>
      <c r="I62" s="2013"/>
    </row>
    <row r="63" spans="1:14">
      <c r="A63" s="606">
        <f>LARGE('Commodity Prices'!C$159:C$902,5)</f>
        <v>44228</v>
      </c>
      <c r="B63" s="804">
        <f>SUMIF('Commodity Prices'!C$159:C$902,A63,'Commodity Prices'!F$159:F$902)</f>
        <v>1808.175</v>
      </c>
      <c r="C63" s="805">
        <f>SUMIF('Commodity Prices'!C$159:C$902,A63,'Commodity Prices'!E$159:E$902)</f>
        <v>2340.19</v>
      </c>
      <c r="D63" s="10"/>
      <c r="E63" s="128"/>
      <c r="F63" s="128"/>
      <c r="G63" s="10"/>
      <c r="H63" s="10"/>
      <c r="I63" s="10"/>
    </row>
    <row r="64" spans="1:14">
      <c r="A64" s="606">
        <f>LARGE('Commodity Prices'!C$159:C$902,4)</f>
        <v>44256</v>
      </c>
      <c r="B64" s="706">
        <f>SUMIF('Commodity Prices'!C$159:C$902,A64,'Commodity Prices'!F$159:F$902)</f>
        <v>1718.228261</v>
      </c>
      <c r="C64" s="705">
        <f>SUMIF('Commodity Prices'!C$159:C$902,A64,'Commodity Prices'!E$159:E$902)</f>
        <v>2241.92</v>
      </c>
      <c r="D64" s="10"/>
      <c r="E64" s="128"/>
      <c r="F64" s="128"/>
      <c r="G64" s="1984"/>
      <c r="H64" s="1984"/>
      <c r="I64" s="1984"/>
    </row>
    <row r="65" spans="1:9">
      <c r="A65" s="606">
        <f>LARGE('Commodity Prices'!C$159:C$902,3)</f>
        <v>44287</v>
      </c>
      <c r="B65" s="804">
        <f>SUMIF('Commodity Prices'!C$159:C$902,A65,'Commodity Prices'!F$159:F$902)</f>
        <v>1761.77</v>
      </c>
      <c r="C65" s="805">
        <f>SUMIF('Commodity Prices'!C$159:C$902,A65,'Commodity Prices'!E$159:E$902)</f>
        <v>2289.79</v>
      </c>
      <c r="D65" s="10"/>
      <c r="E65" s="128"/>
      <c r="F65" s="128"/>
      <c r="G65" s="1984"/>
      <c r="H65" s="1984"/>
      <c r="I65" s="1984"/>
    </row>
    <row r="66" spans="1:9">
      <c r="A66" s="606">
        <f>LARGE('Commodity Prices'!C$159:C$902,2)</f>
        <v>44317</v>
      </c>
      <c r="B66" s="706">
        <f>SUMIF('Commodity Prices'!C$159:C$902,A66,'Commodity Prices'!F$159:F$902)</f>
        <v>1853.2236842105262</v>
      </c>
      <c r="C66" s="705">
        <f>SUMIF('Commodity Prices'!C$159:C$902,A66,'Commodity Prices'!E$159:E$902)</f>
        <v>2385.63</v>
      </c>
      <c r="D66" s="10"/>
      <c r="E66" s="128"/>
      <c r="F66" s="128"/>
      <c r="G66" s="1984"/>
      <c r="H66" s="1984"/>
      <c r="I66" s="1984"/>
    </row>
    <row r="67" spans="1:9" ht="15.75" thickBot="1">
      <c r="A67" s="607">
        <f>LARGE('Commodity Prices'!C$159:C$902,1)</f>
        <v>44348</v>
      </c>
      <c r="B67" s="1616">
        <f>SUMIF('Commodity Prices'!C$159:C$902,A67,'Commodity Prices'!F$159:F$902)</f>
        <v>1834.57</v>
      </c>
      <c r="C67" s="1614">
        <f>SUMIF('Commodity Prices'!C$159:C$902,A67,'Commodity Prices'!E$159:E$902)</f>
        <v>2409.0100000000002</v>
      </c>
      <c r="D67" s="10"/>
      <c r="E67" s="128"/>
      <c r="F67" s="128"/>
      <c r="G67" s="10"/>
      <c r="H67" s="10"/>
      <c r="I67" s="10"/>
    </row>
    <row r="68" spans="1:9">
      <c r="A68" s="572"/>
      <c r="B68" s="912"/>
      <c r="C68" s="912"/>
      <c r="G68" s="10"/>
      <c r="H68" s="10"/>
      <c r="I68" s="10"/>
    </row>
    <row r="69" spans="1:9">
      <c r="G69" s="10"/>
      <c r="H69" s="10"/>
      <c r="I69" s="10"/>
    </row>
    <row r="70" spans="1:9">
      <c r="G70" s="10"/>
      <c r="H70" s="10"/>
      <c r="I70" s="10"/>
    </row>
    <row r="71" spans="1:9">
      <c r="G71" s="10"/>
      <c r="H71" s="10"/>
      <c r="I71" s="10"/>
    </row>
    <row r="72" spans="1:9">
      <c r="G72" s="10"/>
      <c r="H72" s="10"/>
      <c r="I72" s="10"/>
    </row>
    <row r="73" spans="1:9">
      <c r="G73" s="10"/>
      <c r="H73" s="10"/>
      <c r="I73" s="10"/>
    </row>
    <row r="74" spans="1:9">
      <c r="G74" s="10"/>
      <c r="H74" s="10"/>
      <c r="I74" s="10"/>
    </row>
    <row r="75" spans="1:9">
      <c r="G75" s="10"/>
      <c r="H75" s="10"/>
      <c r="I75" s="10"/>
    </row>
    <row r="76" spans="1:9">
      <c r="G76" s="10"/>
      <c r="H76" s="10"/>
      <c r="I76" s="10"/>
    </row>
    <row r="77" spans="1:9">
      <c r="G77" s="10"/>
      <c r="H77" s="10"/>
      <c r="I77" s="10"/>
    </row>
    <row r="78" spans="1:9">
      <c r="G78" s="10"/>
      <c r="H78" s="10"/>
      <c r="I78" s="10"/>
    </row>
    <row r="79" spans="1:9">
      <c r="G79" s="10"/>
      <c r="H79" s="10"/>
      <c r="I79" s="10"/>
    </row>
    <row r="80" spans="1:9">
      <c r="G80" s="10"/>
      <c r="H80" s="10"/>
      <c r="I80" s="10"/>
    </row>
    <row r="81" spans="7:9">
      <c r="G81" s="10"/>
      <c r="H81" s="10"/>
      <c r="I81" s="10"/>
    </row>
    <row r="82" spans="7:9">
      <c r="G82" s="10"/>
      <c r="H82" s="10"/>
      <c r="I82" s="10"/>
    </row>
    <row r="83" spans="7:9">
      <c r="G83" s="10"/>
      <c r="H83" s="10"/>
      <c r="I83" s="10"/>
    </row>
  </sheetData>
  <mergeCells count="8">
    <mergeCell ref="G64:I66"/>
    <mergeCell ref="G61:I61"/>
    <mergeCell ref="G62:I62"/>
    <mergeCell ref="A5:C5"/>
    <mergeCell ref="G5:I5"/>
    <mergeCell ref="A6:C6"/>
    <mergeCell ref="G6:I6"/>
    <mergeCell ref="G60:I60"/>
  </mergeCells>
  <dataValidations count="1">
    <dataValidation type="list" allowBlank="1" showInputMessage="1" showErrorMessage="1" promptTitle="Select a Period:" prompt="Select Financial or Calendar years." sqref="G61:I61">
      <formula1>$Y$1:$Y$2</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4:J46"/>
  <sheetViews>
    <sheetView showGridLines="0" workbookViewId="0"/>
  </sheetViews>
  <sheetFormatPr defaultRowHeight="15"/>
  <cols>
    <col min="1" max="1" width="50.140625" style="128" bestFit="1" customWidth="1"/>
    <col min="2" max="2" width="2.28515625" style="128" customWidth="1"/>
    <col min="3" max="3" width="138.7109375" style="128" bestFit="1" customWidth="1"/>
    <col min="4" max="4" width="92" style="128" customWidth="1"/>
    <col min="5" max="16384" width="9.140625" style="128"/>
  </cols>
  <sheetData>
    <row r="4" spans="1:10">
      <c r="J4" s="140">
        <f>COUNTIF('Commodity Prices'!A9:A5000,MAX('Commodity Prices'!A9:A5000))</f>
        <v>6</v>
      </c>
    </row>
    <row r="5" spans="1:10">
      <c r="A5" s="187" t="s">
        <v>515</v>
      </c>
      <c r="B5" s="187"/>
      <c r="C5" s="6" t="s">
        <v>15</v>
      </c>
      <c r="D5" s="6" t="s">
        <v>590</v>
      </c>
    </row>
    <row r="6" spans="1:10">
      <c r="A6" s="6" t="s">
        <v>588</v>
      </c>
      <c r="D6" s="185"/>
    </row>
    <row r="7" spans="1:10">
      <c r="A7" s="180" t="s">
        <v>0</v>
      </c>
      <c r="B7" s="180" t="s">
        <v>8</v>
      </c>
      <c r="C7" s="141" t="s">
        <v>630</v>
      </c>
      <c r="D7" s="1212" t="s">
        <v>589</v>
      </c>
    </row>
    <row r="8" spans="1:10">
      <c r="A8" s="176" t="s">
        <v>307</v>
      </c>
      <c r="B8" s="176" t="s">
        <v>8</v>
      </c>
      <c r="C8" s="142" t="s">
        <v>625</v>
      </c>
      <c r="D8" s="1213" t="s">
        <v>539</v>
      </c>
    </row>
    <row r="9" spans="1:10">
      <c r="A9" s="176"/>
      <c r="B9" s="176" t="s">
        <v>8</v>
      </c>
      <c r="C9" s="142" t="s">
        <v>626</v>
      </c>
      <c r="D9" s="1213" t="s">
        <v>539</v>
      </c>
    </row>
    <row r="10" spans="1:10">
      <c r="A10" s="176"/>
      <c r="B10" s="176" t="s">
        <v>8</v>
      </c>
      <c r="C10" s="142" t="s">
        <v>627</v>
      </c>
      <c r="D10" s="1213" t="s">
        <v>539</v>
      </c>
    </row>
    <row r="11" spans="1:10" s="373" customFormat="1">
      <c r="A11" s="553" t="s">
        <v>453</v>
      </c>
      <c r="B11" s="553" t="s">
        <v>8</v>
      </c>
      <c r="C11" s="553" t="s">
        <v>629</v>
      </c>
      <c r="D11" s="1214" t="s">
        <v>539</v>
      </c>
    </row>
    <row r="12" spans="1:10">
      <c r="A12" s="170" t="s">
        <v>632</v>
      </c>
      <c r="B12" s="170" t="s">
        <v>8</v>
      </c>
      <c r="C12" s="128" t="s">
        <v>634</v>
      </c>
      <c r="D12" s="1215" t="s">
        <v>633</v>
      </c>
    </row>
    <row r="13" spans="1:10">
      <c r="A13" s="173" t="s">
        <v>1</v>
      </c>
      <c r="B13" s="173" t="s">
        <v>8</v>
      </c>
      <c r="C13" s="144" t="s">
        <v>628</v>
      </c>
      <c r="D13" s="1216" t="s">
        <v>404</v>
      </c>
    </row>
    <row r="14" spans="1:10">
      <c r="A14" s="173"/>
      <c r="B14" s="173" t="s">
        <v>8</v>
      </c>
      <c r="C14" s="144" t="s">
        <v>656</v>
      </c>
      <c r="D14" s="1217"/>
    </row>
    <row r="15" spans="1:10">
      <c r="A15" s="146" t="s">
        <v>2</v>
      </c>
      <c r="B15" s="184" t="s">
        <v>8</v>
      </c>
      <c r="C15" s="146" t="s">
        <v>801</v>
      </c>
      <c r="D15" s="1218" t="s">
        <v>539</v>
      </c>
    </row>
    <row r="16" spans="1:10" s="373" customFormat="1">
      <c r="A16" s="541" t="s">
        <v>574</v>
      </c>
      <c r="B16" s="541" t="s">
        <v>8</v>
      </c>
      <c r="C16" s="541" t="s">
        <v>580</v>
      </c>
      <c r="D16" s="1219" t="s">
        <v>581</v>
      </c>
    </row>
    <row r="17" spans="1:4" s="373" customFormat="1">
      <c r="A17" s="541"/>
      <c r="B17" s="541" t="s">
        <v>8</v>
      </c>
      <c r="C17" s="541" t="s">
        <v>663</v>
      </c>
      <c r="D17" s="1219" t="s">
        <v>581</v>
      </c>
    </row>
    <row r="18" spans="1:4">
      <c r="A18" s="186" t="s">
        <v>457</v>
      </c>
      <c r="B18" s="186" t="s">
        <v>8</v>
      </c>
      <c r="C18" s="145" t="s">
        <v>585</v>
      </c>
      <c r="D18" s="1220" t="s">
        <v>589</v>
      </c>
    </row>
    <row r="19" spans="1:4">
      <c r="A19" s="179" t="s">
        <v>3</v>
      </c>
      <c r="B19" s="179" t="s">
        <v>8</v>
      </c>
      <c r="C19" s="174" t="s">
        <v>629</v>
      </c>
      <c r="D19" s="1221" t="s">
        <v>539</v>
      </c>
    </row>
    <row r="20" spans="1:4" s="373" customFormat="1">
      <c r="A20" s="257" t="s">
        <v>631</v>
      </c>
      <c r="B20" s="257" t="s">
        <v>8</v>
      </c>
      <c r="C20" s="147" t="s">
        <v>598</v>
      </c>
      <c r="D20" s="1222"/>
    </row>
    <row r="21" spans="1:4" s="373" customFormat="1" ht="15" customHeight="1">
      <c r="A21" s="257" t="s">
        <v>578</v>
      </c>
      <c r="B21" s="257" t="s">
        <v>8</v>
      </c>
      <c r="C21" s="147" t="s">
        <v>763</v>
      </c>
      <c r="D21" s="1222" t="s">
        <v>399</v>
      </c>
    </row>
    <row r="22" spans="1:4" ht="15" customHeight="1">
      <c r="A22" s="171" t="s">
        <v>579</v>
      </c>
      <c r="B22" s="171" t="s">
        <v>8</v>
      </c>
      <c r="C22" s="147" t="s">
        <v>368</v>
      </c>
      <c r="D22" s="1223"/>
    </row>
    <row r="23" spans="1:4">
      <c r="A23" s="175" t="s">
        <v>5</v>
      </c>
      <c r="B23" s="175" t="s">
        <v>8</v>
      </c>
      <c r="C23" s="182" t="s">
        <v>621</v>
      </c>
      <c r="D23" s="1224" t="s">
        <v>405</v>
      </c>
    </row>
    <row r="24" spans="1:4" s="373" customFormat="1">
      <c r="B24" s="172"/>
    </row>
    <row r="25" spans="1:4">
      <c r="A25" s="6" t="s">
        <v>39</v>
      </c>
      <c r="B25" s="170"/>
    </row>
    <row r="26" spans="1:4">
      <c r="A26" s="128" t="s">
        <v>596</v>
      </c>
      <c r="B26" s="128" t="s">
        <v>8</v>
      </c>
      <c r="C26" s="128" t="s">
        <v>598</v>
      </c>
    </row>
    <row r="27" spans="1:4" s="373" customFormat="1">
      <c r="A27" s="373" t="s">
        <v>597</v>
      </c>
      <c r="B27" s="172" t="s">
        <v>8</v>
      </c>
      <c r="C27" s="373" t="s">
        <v>772</v>
      </c>
    </row>
    <row r="28" spans="1:4" s="373" customFormat="1">
      <c r="A28" s="183" t="s">
        <v>591</v>
      </c>
      <c r="B28" s="183" t="s">
        <v>8</v>
      </c>
      <c r="C28" s="178" t="s">
        <v>598</v>
      </c>
      <c r="D28" s="582"/>
    </row>
    <row r="29" spans="1:4">
      <c r="A29" s="183" t="s">
        <v>766</v>
      </c>
      <c r="B29" s="183" t="s">
        <v>8</v>
      </c>
      <c r="C29" s="178" t="s">
        <v>771</v>
      </c>
      <c r="D29" s="1225" t="s">
        <v>622</v>
      </c>
    </row>
    <row r="30" spans="1:4" s="373" customFormat="1">
      <c r="A30" s="176" t="s">
        <v>592</v>
      </c>
      <c r="B30" s="176" t="s">
        <v>8</v>
      </c>
      <c r="C30" s="176" t="s">
        <v>737</v>
      </c>
      <c r="D30" s="1226"/>
    </row>
    <row r="31" spans="1:4">
      <c r="A31" s="176" t="s">
        <v>767</v>
      </c>
      <c r="B31" s="176" t="s">
        <v>8</v>
      </c>
      <c r="C31" s="142" t="s">
        <v>773</v>
      </c>
      <c r="D31" s="1227" t="s">
        <v>622</v>
      </c>
    </row>
    <row r="32" spans="1:4" s="373" customFormat="1">
      <c r="A32" s="144" t="s">
        <v>593</v>
      </c>
      <c r="B32" s="173" t="s">
        <v>8</v>
      </c>
      <c r="C32" s="144" t="s">
        <v>585</v>
      </c>
      <c r="D32" s="1228" t="s">
        <v>623</v>
      </c>
    </row>
    <row r="33" spans="1:4">
      <c r="A33" s="144" t="s">
        <v>770</v>
      </c>
      <c r="B33" s="173" t="s">
        <v>8</v>
      </c>
      <c r="C33" s="144" t="s">
        <v>773</v>
      </c>
      <c r="D33" s="1229" t="s">
        <v>622</v>
      </c>
    </row>
    <row r="34" spans="1:4" s="373" customFormat="1">
      <c r="A34" s="146" t="s">
        <v>595</v>
      </c>
      <c r="B34" s="146" t="s">
        <v>8</v>
      </c>
      <c r="C34" s="146" t="s">
        <v>585</v>
      </c>
      <c r="D34" s="1230" t="s">
        <v>623</v>
      </c>
    </row>
    <row r="35" spans="1:4">
      <c r="A35" s="146" t="s">
        <v>765</v>
      </c>
      <c r="B35" s="184" t="s">
        <v>8</v>
      </c>
      <c r="C35" s="146" t="s">
        <v>773</v>
      </c>
      <c r="D35" s="1231" t="s">
        <v>622</v>
      </c>
    </row>
    <row r="36" spans="1:4">
      <c r="A36" s="146" t="s">
        <v>400</v>
      </c>
      <c r="B36" s="184" t="s">
        <v>8</v>
      </c>
      <c r="C36" s="146" t="s">
        <v>402</v>
      </c>
      <c r="D36" s="1230" t="s">
        <v>403</v>
      </c>
    </row>
    <row r="37" spans="1:4">
      <c r="A37" s="146" t="s">
        <v>401</v>
      </c>
      <c r="B37" s="184" t="s">
        <v>8</v>
      </c>
      <c r="C37" s="146" t="s">
        <v>582</v>
      </c>
      <c r="D37" s="1230" t="s">
        <v>584</v>
      </c>
    </row>
    <row r="38" spans="1:4" s="373" customFormat="1">
      <c r="A38" s="181" t="s">
        <v>651</v>
      </c>
      <c r="B38" s="177" t="s">
        <v>8</v>
      </c>
      <c r="C38" s="181" t="s">
        <v>598</v>
      </c>
      <c r="D38" s="1232"/>
    </row>
    <row r="39" spans="1:4">
      <c r="A39" s="181" t="s">
        <v>764</v>
      </c>
      <c r="B39" s="177" t="s">
        <v>8</v>
      </c>
      <c r="C39" s="181" t="s">
        <v>773</v>
      </c>
      <c r="D39" s="1233" t="s">
        <v>622</v>
      </c>
    </row>
    <row r="40" spans="1:4" s="373" customFormat="1">
      <c r="A40" s="179" t="s">
        <v>594</v>
      </c>
      <c r="B40" s="179" t="s">
        <v>8</v>
      </c>
      <c r="C40" s="542" t="s">
        <v>620</v>
      </c>
      <c r="D40" s="1234"/>
    </row>
    <row r="41" spans="1:4" s="373" customFormat="1">
      <c r="A41" s="179" t="s">
        <v>768</v>
      </c>
      <c r="B41" s="179" t="s">
        <v>8</v>
      </c>
      <c r="C41" s="179" t="s">
        <v>773</v>
      </c>
      <c r="D41" s="1235" t="s">
        <v>622</v>
      </c>
    </row>
    <row r="42" spans="1:4" s="373" customFormat="1">
      <c r="A42" s="147" t="s">
        <v>619</v>
      </c>
      <c r="B42" s="147" t="s">
        <v>8</v>
      </c>
      <c r="C42" s="147" t="s">
        <v>598</v>
      </c>
      <c r="D42" s="1236"/>
    </row>
    <row r="43" spans="1:4">
      <c r="A43" s="147" t="s">
        <v>769</v>
      </c>
      <c r="B43" s="171" t="s">
        <v>8</v>
      </c>
      <c r="C43" s="147" t="s">
        <v>762</v>
      </c>
      <c r="D43" s="1237" t="s">
        <v>399</v>
      </c>
    </row>
    <row r="44" spans="1:4">
      <c r="A44" s="171" t="s">
        <v>586</v>
      </c>
      <c r="B44" s="171" t="s">
        <v>8</v>
      </c>
      <c r="C44" s="147" t="s">
        <v>583</v>
      </c>
      <c r="D44" s="1237" t="s">
        <v>624</v>
      </c>
    </row>
    <row r="45" spans="1:4">
      <c r="A45" s="257" t="s">
        <v>587</v>
      </c>
      <c r="B45" s="171" t="s">
        <v>8</v>
      </c>
      <c r="C45" s="147" t="s">
        <v>583</v>
      </c>
      <c r="D45" s="1237" t="s">
        <v>624</v>
      </c>
    </row>
    <row r="46" spans="1:4">
      <c r="B46" s="170"/>
      <c r="D46" s="1238"/>
    </row>
  </sheetData>
  <hyperlinks>
    <hyperlink ref="D44" r:id="rId1"/>
    <hyperlink ref="D43" r:id="rId2"/>
    <hyperlink ref="D36" r:id="rId3"/>
    <hyperlink ref="D13" r:id="rId4"/>
    <hyperlink ref="D15" r:id="rId5"/>
    <hyperlink ref="D19" r:id="rId6"/>
    <hyperlink ref="D23" r:id="rId7"/>
    <hyperlink ref="D21" r:id="rId8"/>
    <hyperlink ref="D18" r:id="rId9"/>
    <hyperlink ref="D34" r:id="rId10"/>
    <hyperlink ref="D7" r:id="rId11"/>
    <hyperlink ref="D29" r:id="rId12" display="http://www.industry.gov.au/Office-of-the-Chief-Economist/Pages/default.aspx"/>
    <hyperlink ref="D31" r:id="rId13" display="http://www.industry.gov.au/Office-of-the-Chief-Economist/Pages/default.aspx"/>
    <hyperlink ref="D33" r:id="rId14" display="http://www.industry.gov.au/Office-of-the-Chief-Economist/Pages/default.aspx"/>
    <hyperlink ref="D39" r:id="rId15" display="http://www.industry.gov.au/Office-of-the-Chief-Economist/Pages/default.aspx"/>
    <hyperlink ref="D41" r:id="rId16" display="http://www.industry.gov.au/Office-of-the-Chief-Economist/Pages/default.aspx"/>
    <hyperlink ref="D35" r:id="rId17" display="http://www.industry.gov.au/Office-of-the-Chief-Economist/Pages/default.aspx"/>
    <hyperlink ref="D32" r:id="rId18" display="ABS Stat"/>
    <hyperlink ref="D45" r:id="rId19"/>
    <hyperlink ref="D12" r:id="rId20"/>
    <hyperlink ref="D37" r:id="rId21"/>
    <hyperlink ref="D17" r:id="rId22"/>
    <hyperlink ref="D16" r:id="rId23"/>
  </hyperlinks>
  <pageMargins left="0.7" right="0.7" top="0.75" bottom="0.75" header="0.3" footer="0.3"/>
  <pageSetup paperSize="9" orientation="portrait" r:id="rId24"/>
  <drawing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81"/>
  <sheetViews>
    <sheetView showGridLines="0" zoomScaleNormal="100" workbookViewId="0"/>
  </sheetViews>
  <sheetFormatPr defaultRowHeight="15"/>
  <cols>
    <col min="1" max="1" width="24.7109375" style="432" bestFit="1" customWidth="1"/>
    <col min="2" max="2" width="5.28515625" style="432" bestFit="1" customWidth="1"/>
    <col min="3" max="3" width="16.42578125" style="432" bestFit="1" customWidth="1"/>
    <col min="4" max="4" width="15.140625" style="432" bestFit="1" customWidth="1"/>
    <col min="5" max="14" width="15.42578125" style="432" customWidth="1"/>
    <col min="15" max="15" width="11" style="432" bestFit="1" customWidth="1"/>
    <col min="16" max="22" width="9.140625" style="432"/>
    <col min="23" max="23" width="17.85546875" style="432" customWidth="1"/>
    <col min="24" max="16384" width="9.140625" style="432"/>
  </cols>
  <sheetData>
    <row r="1" spans="1:26">
      <c r="V1" s="426" t="s">
        <v>1</v>
      </c>
      <c r="W1" s="426" t="str">
        <f>"Gold Exports "&amp;B6&amp;CHAR(10)&amp;"Total Value: $"&amp;TEXT(C21,"#,###")</f>
        <v>Gold Exports 2020-21
Total Value: $22,015,603,000</v>
      </c>
      <c r="X1" s="426" t="s">
        <v>369</v>
      </c>
      <c r="Y1" s="426" t="str">
        <f>IF($B$5="Calendar Year",MAX('Commodity Prices'!$AJ$9:$AJ$3502),CONCATENATE(MAX('Commodity Prices'!$AV$9:$AV$3487),"-",VALUE(RIGHT(MAX('Commodity Prices'!$AV$9:$AV$3487),2))+1))</f>
        <v>2020-21</v>
      </c>
      <c r="Z1" s="426">
        <f t="array" ref="Z1">MIN(IF('Commodity Prices'!$AI$9:$AI$3502=V1,'Commodity Prices'!$AJ$9:$AJ$3502))</f>
        <v>2002</v>
      </c>
    </row>
    <row r="2" spans="1:26">
      <c r="W2" s="426" t="str">
        <f>IF($B$5=X1,IF(RIGHT(LEFT(B6,5),1)="-","Mismatch Error",""),IF(LEN(B6)=4,"Mismatch Error",""))</f>
        <v/>
      </c>
      <c r="X2" s="426" t="s">
        <v>382</v>
      </c>
      <c r="Y2" s="426" t="str">
        <f>IFERROR(IF($B$5=$X$1,IF($Z$1&lt;=(Y1-1),Y1-1,""),IF($Z$1=VALUE(LEFT(Y1,4)),"",CONCATENATE(VALUE(LEFT(Y1,4))-1,"-",RIGHT(LEFT(Y1,4),2)))),"")</f>
        <v>2019-20</v>
      </c>
    </row>
    <row r="3" spans="1:26">
      <c r="W3" s="426"/>
      <c r="X3" s="426"/>
      <c r="Y3" s="426" t="str">
        <f t="shared" ref="Y3:Y25" si="0">IFERROR(IF($B$5=$X$1,IF($Z$1&lt;=(Y2-1),Y2-1,""),IF($Z$1=VALUE(LEFT(Y2,4)),"",CONCATENATE(VALUE(LEFT(Y2,4))-1,"-",RIGHT(LEFT(Y2,4),2)))),"")</f>
        <v>2018-19</v>
      </c>
    </row>
    <row r="4" spans="1:26" ht="21.75" customHeight="1" thickBot="1">
      <c r="W4" s="426"/>
      <c r="X4" s="426"/>
      <c r="Y4" s="426" t="str">
        <f t="shared" si="0"/>
        <v>2017-18</v>
      </c>
    </row>
    <row r="5" spans="1:26" ht="15.75" thickBot="1">
      <c r="A5" s="316" t="s">
        <v>383</v>
      </c>
      <c r="B5" s="2017" t="s">
        <v>382</v>
      </c>
      <c r="C5" s="2018"/>
      <c r="D5" s="2019"/>
      <c r="E5" s="425"/>
      <c r="W5" s="426"/>
      <c r="X5" s="426"/>
      <c r="Y5" s="426" t="str">
        <f t="shared" si="0"/>
        <v>2016-17</v>
      </c>
    </row>
    <row r="6" spans="1:26" ht="15.75" thickBot="1">
      <c r="A6" s="316" t="s">
        <v>383</v>
      </c>
      <c r="B6" s="2017" t="s">
        <v>808</v>
      </c>
      <c r="C6" s="2018"/>
      <c r="D6" s="2019"/>
      <c r="E6" s="425"/>
      <c r="W6" s="426"/>
      <c r="X6" s="426"/>
      <c r="Y6" s="426" t="str">
        <f t="shared" si="0"/>
        <v>2015-16</v>
      </c>
    </row>
    <row r="7" spans="1:26">
      <c r="W7" s="426"/>
      <c r="X7" s="426"/>
      <c r="Y7" s="426" t="str">
        <f t="shared" si="0"/>
        <v>2014-15</v>
      </c>
    </row>
    <row r="8" spans="1:26" ht="15.75" thickBot="1">
      <c r="A8" s="1981" t="str">
        <f>IF($B$6="Click here to select an option","Select a year above for display.",CONCATENATE("Gold Exports ",B6))</f>
        <v>Gold Exports 2020-21</v>
      </c>
      <c r="B8" s="1981"/>
      <c r="C8" s="1981"/>
      <c r="D8" s="1981"/>
      <c r="W8" s="426"/>
      <c r="X8" s="426"/>
      <c r="Y8" s="426" t="str">
        <f t="shared" si="0"/>
        <v>2013-14</v>
      </c>
    </row>
    <row r="9" spans="1:26" ht="15.75" thickBot="1">
      <c r="A9" s="575" t="s">
        <v>37</v>
      </c>
      <c r="B9" s="842" t="s">
        <v>38</v>
      </c>
      <c r="C9" s="843" t="s">
        <v>678</v>
      </c>
      <c r="D9" s="803" t="s">
        <v>40</v>
      </c>
      <c r="W9" s="426"/>
      <c r="X9" s="426"/>
      <c r="Y9" s="426" t="str">
        <f t="shared" si="0"/>
        <v>2012-13</v>
      </c>
    </row>
    <row r="10" spans="1:26">
      <c r="A10" s="838" t="str">
        <f t="array" ref="A10">IF($W$2="Mismatch Error","Mismatch Error",IF($B$5=$X$1,INDEX('Commodity Prices'!$AI$9:$AN$3502,MATCH(1,(('Commodity Prices'!$AI$9:$AI$3502)="Gold")*(('Commodity Prices'!$AJ$9:$AJ$3502)=$B$6)*(('Commodity Prices'!$AL$9:$AL$3502)=B10),0),3),INDEX('Commodity Prices'!$AP$9:$AU$3487,MATCH(1,(('Commodity Prices'!$AP$9:$AP$3487)="Gold")*(('Commodity Prices'!$AQ$9:$AQ$3487)=$B$6)*(('Commodity Prices'!$AS$9:$AS$3487)=B10),0),3)))</f>
        <v>United Kingdom</v>
      </c>
      <c r="B10" s="844">
        <v>1</v>
      </c>
      <c r="C10" s="845">
        <f t="array" ref="C10">IF($W$2="Mismatch Error","",IF($B$5=$X$1,INDEX('Commodity Prices'!$AI$9:$AN$3502,MATCH(1,(('Commodity Prices'!$AI$9:$AI$3502)="Gold")*(('Commodity Prices'!$AJ$9:$AJ$3502)=$B$6)*(('Commodity Prices'!$AL$9:$AL$3502)=B10),0),5),INDEX('Commodity Prices'!$AP$9:$AU$3487,MATCH(1,(('Commodity Prices'!$AP$9:$AP$3487)="Gold")*(('Commodity Prices'!$AQ$9:$AQ$3487)=$B$6)*(('Commodity Prices'!$AS$9:$AS$3487)=B10),0),5)))</f>
        <v>8765311000</v>
      </c>
      <c r="D10" s="846">
        <f>IF($W$2="Mismatch Error","",C10/$C$21)</f>
        <v>0.39814085492003104</v>
      </c>
      <c r="W10" s="426"/>
      <c r="X10" s="426"/>
      <c r="Y10" s="426" t="str">
        <f t="shared" si="0"/>
        <v>2011-12</v>
      </c>
    </row>
    <row r="11" spans="1:26">
      <c r="A11" s="839" t="str">
        <f t="array" ref="A11">IF($W$2="Mismatch Error","",IF($B$5=$X$1,INDEX('Commodity Prices'!$AI$9:$AN$3502,MATCH(1,(('Commodity Prices'!$AI$9:$AI$3502)="Gold")*(('Commodity Prices'!$AJ$9:$AJ$3502)=$B$6)*(('Commodity Prices'!$AL$9:$AL$3502)=B11),0),3),INDEX('Commodity Prices'!$AP$9:$AU$3487,MATCH(1,(('Commodity Prices'!$AP$9:$AP$3487)="Gold")*(('Commodity Prices'!$AQ$9:$AQ$3487)=$B$6)*(('Commodity Prices'!$AS$9:$AS$3487)=B11),0),3)))</f>
        <v>United States of America</v>
      </c>
      <c r="B11" s="847">
        <v>2</v>
      </c>
      <c r="C11" s="848">
        <f t="array" ref="C11">IF($W$2="Mismatch Error","",IF($B$5=$X$1,INDEX('Commodity Prices'!$AI$9:$AN$3502,MATCH(1,(('Commodity Prices'!$AI$9:$AI$3502)="Gold")*(('Commodity Prices'!$AJ$9:$AJ$3502)=$B$6)*(('Commodity Prices'!$AL$9:$AL$3502)=B11),0),5),INDEX('Commodity Prices'!$AP$9:$AU$3487,MATCH(1,(('Commodity Prices'!$AP$9:$AP$3487)="Gold")*(('Commodity Prices'!$AQ$9:$AQ$3487)=$B$6)*(('Commodity Prices'!$AS$9:$AS$3487)=B11),0),5)))</f>
        <v>3618673000</v>
      </c>
      <c r="D11" s="849">
        <f t="shared" ref="D11:D20" si="1">IF($W$2="Mismatch Error","",C11/$C$21)</f>
        <v>0.16436856169690198</v>
      </c>
      <c r="E11" s="431"/>
      <c r="W11" s="426"/>
      <c r="X11" s="426"/>
      <c r="Y11" s="426" t="str">
        <f t="shared" si="0"/>
        <v>2010-11</v>
      </c>
    </row>
    <row r="12" spans="1:26">
      <c r="A12" s="838" t="str">
        <f t="array" ref="A12">IF($W$2="Mismatch Error","",IF($B$5=$X$1,INDEX('Commodity Prices'!$AI$9:$AN$3502,MATCH(1,(('Commodity Prices'!$AI$9:$AI$3502)="Gold")*(('Commodity Prices'!$AJ$9:$AJ$3502)=$B$6)*(('Commodity Prices'!$AL$9:$AL$3502)=B12),0),3),INDEX('Commodity Prices'!$AP$9:$AU$3487,MATCH(1,(('Commodity Prices'!$AP$9:$AP$3487)="Gold")*(('Commodity Prices'!$AQ$9:$AQ$3487)=$B$6)*(('Commodity Prices'!$AS$9:$AS$3487)=B12),0),3)))</f>
        <v>Singapore</v>
      </c>
      <c r="B12" s="844">
        <v>3</v>
      </c>
      <c r="C12" s="845">
        <f t="array" ref="C12">IF($W$2="Mismatch Error","",IF($B$5=$X$1,INDEX('Commodity Prices'!$AI$9:$AN$3502,MATCH(1,(('Commodity Prices'!$AI$9:$AI$3502)="Gold")*(('Commodity Prices'!$AJ$9:$AJ$3502)=$B$6)*(('Commodity Prices'!$AL$9:$AL$3502)=B12),0),5),INDEX('Commodity Prices'!$AP$9:$AU$3487,MATCH(1,(('Commodity Prices'!$AP$9:$AP$3487)="Gold")*(('Commodity Prices'!$AQ$9:$AQ$3487)=$B$6)*(('Commodity Prices'!$AS$9:$AS$3487)=B12),0),5)))</f>
        <v>2164409000</v>
      </c>
      <c r="D12" s="846">
        <f t="shared" si="1"/>
        <v>9.8312501365508814E-2</v>
      </c>
      <c r="E12" s="431"/>
      <c r="W12" s="426"/>
      <c r="X12" s="426"/>
      <c r="Y12" s="426" t="str">
        <f t="shared" si="0"/>
        <v>2009-10</v>
      </c>
    </row>
    <row r="13" spans="1:26">
      <c r="A13" s="839" t="str">
        <f t="array" ref="A13">IF($W$2="Mismatch Error","",IF($B$5=$X$1,INDEX('Commodity Prices'!$AI$9:$AN$3502,MATCH(1,(('Commodity Prices'!$AI$9:$AI$3502)="Gold")*(('Commodity Prices'!$AJ$9:$AJ$3502)=$B$6)*(('Commodity Prices'!$AL$9:$AL$3502)=B13),0),3),INDEX('Commodity Prices'!$AP$9:$AU$3487,MATCH(1,(('Commodity Prices'!$AP$9:$AP$3487)="Gold")*(('Commodity Prices'!$AQ$9:$AQ$3487)=$B$6)*(('Commodity Prices'!$AS$9:$AS$3487)=B13),0),3)))</f>
        <v>China</v>
      </c>
      <c r="B13" s="847">
        <v>4</v>
      </c>
      <c r="C13" s="848">
        <f t="array" ref="C13">IF($W$2="Mismatch Error","",IF($B$5=$X$1,INDEX('Commodity Prices'!$AI$9:$AN$3502,MATCH(1,(('Commodity Prices'!$AI$9:$AI$3502)="Gold")*(('Commodity Prices'!$AJ$9:$AJ$3502)=$B$6)*(('Commodity Prices'!$AL$9:$AL$3502)=B13),0),5),INDEX('Commodity Prices'!$AP$9:$AU$3487,MATCH(1,(('Commodity Prices'!$AP$9:$AP$3487)="Gold")*(('Commodity Prices'!$AQ$9:$AQ$3487)=$B$6)*(('Commodity Prices'!$AS$9:$AS$3487)=B13),0),5)))</f>
        <v>2028145000</v>
      </c>
      <c r="D13" s="849">
        <f t="shared" si="1"/>
        <v>9.2123072895164401E-2</v>
      </c>
      <c r="E13" s="431"/>
      <c r="W13" s="420"/>
      <c r="X13" s="420"/>
      <c r="Y13" s="426" t="str">
        <f t="shared" si="0"/>
        <v>2008-09</v>
      </c>
    </row>
    <row r="14" spans="1:26">
      <c r="A14" s="838" t="str">
        <f t="array" ref="A14">IF($W$2="Mismatch Error","",IF($B$5=$X$1,INDEX('Commodity Prices'!$AI$9:$AN$3502,MATCH(1,(('Commodity Prices'!$AI$9:$AI$3502)="Gold")*(('Commodity Prices'!$AJ$9:$AJ$3502)=$B$6)*(('Commodity Prices'!$AL$9:$AL$3502)=B14),0),3),INDEX('Commodity Prices'!$AP$9:$AU$3487,MATCH(1,(('Commodity Prices'!$AP$9:$AP$3487)="Gold")*(('Commodity Prices'!$AQ$9:$AQ$3487)=$B$6)*(('Commodity Prices'!$AS$9:$AS$3487)=B14),0),3)))</f>
        <v>India</v>
      </c>
      <c r="B14" s="844">
        <v>5</v>
      </c>
      <c r="C14" s="845">
        <f t="array" ref="C14">IF($W$2="Mismatch Error","",IF($B$5=$X$1,INDEX('Commodity Prices'!$AI$9:$AN$3502,MATCH(1,(('Commodity Prices'!$AI$9:$AI$3502)="Gold")*(('Commodity Prices'!$AJ$9:$AJ$3502)=$B$6)*(('Commodity Prices'!$AL$9:$AL$3502)=B14),0),5),INDEX('Commodity Prices'!$AP$9:$AU$3487,MATCH(1,(('Commodity Prices'!$AP$9:$AP$3487)="Gold")*(('Commodity Prices'!$AQ$9:$AQ$3487)=$B$6)*(('Commodity Prices'!$AS$9:$AS$3487)=B14),0),5)))</f>
        <v>1395638000</v>
      </c>
      <c r="D14" s="846">
        <f t="shared" si="1"/>
        <v>6.3393130771843956E-2</v>
      </c>
      <c r="E14" s="431"/>
      <c r="W14" s="420"/>
      <c r="X14" s="420"/>
      <c r="Y14" s="426" t="str">
        <f t="shared" si="0"/>
        <v>2007-08</v>
      </c>
    </row>
    <row r="15" spans="1:26">
      <c r="A15" s="839" t="str">
        <f t="array" ref="A15">IF($W$2="Mismatch Error","",IF($B$5=$X$1,INDEX('Commodity Prices'!$AI$9:$AN$3502,MATCH(1,(('Commodity Prices'!$AI$9:$AI$3502)="Gold")*(('Commodity Prices'!$AJ$9:$AJ$3502)=$B$6)*(('Commodity Prices'!$AL$9:$AL$3502)=B15),0),3),INDEX('Commodity Prices'!$AP$9:$AU$3487,MATCH(1,(('Commodity Prices'!$AP$9:$AP$3487)="Gold")*(('Commodity Prices'!$AQ$9:$AQ$3487)=$B$6)*(('Commodity Prices'!$AS$9:$AS$3487)=B15),0),3)))</f>
        <v>Hong Kong (SAR of China)</v>
      </c>
      <c r="B15" s="847">
        <v>6</v>
      </c>
      <c r="C15" s="848">
        <f t="array" ref="C15">IF($W$2="Mismatch Error","",IF($B$5=$X$1,INDEX('Commodity Prices'!$AI$9:$AN$3502,MATCH(1,(('Commodity Prices'!$AI$9:$AI$3502)="Gold")*(('Commodity Prices'!$AJ$9:$AJ$3502)=$B$6)*(('Commodity Prices'!$AL$9:$AL$3502)=B15),0),5),INDEX('Commodity Prices'!$AP$9:$AU$3487,MATCH(1,(('Commodity Prices'!$AP$9:$AP$3487)="Gold")*(('Commodity Prices'!$AQ$9:$AQ$3487)=$B$6)*(('Commodity Prices'!$AS$9:$AS$3487)=B15),0),5)))</f>
        <v>1392759000</v>
      </c>
      <c r="D15" s="849">
        <f t="shared" si="1"/>
        <v>6.3262359881762043E-2</v>
      </c>
      <c r="W15" s="420"/>
      <c r="X15" s="420"/>
      <c r="Y15" s="426" t="str">
        <f t="shared" si="0"/>
        <v>2006-07</v>
      </c>
    </row>
    <row r="16" spans="1:26">
      <c r="A16" s="838" t="str">
        <f t="array" ref="A16">IF($W$2="Mismatch Error","",IF($B$5=$X$1,INDEX('Commodity Prices'!$AI$9:$AN$3502,MATCH(1,(('Commodity Prices'!$AI$9:$AI$3502)="Gold")*(('Commodity Prices'!$AJ$9:$AJ$3502)=$B$6)*(('Commodity Prices'!$AL$9:$AL$3502)=B16),0),3),INDEX('Commodity Prices'!$AP$9:$AU$3487,MATCH(1,(('Commodity Prices'!$AP$9:$AP$3487)="Gold")*(('Commodity Prices'!$AQ$9:$AQ$3487)=$B$6)*(('Commodity Prices'!$AS$9:$AS$3487)=B16),0),3)))</f>
        <v>France</v>
      </c>
      <c r="B16" s="844">
        <v>7</v>
      </c>
      <c r="C16" s="845">
        <f t="array" ref="C16">IF($W$2="Mismatch Error","",IF($B$5=$X$1,INDEX('Commodity Prices'!$AI$9:$AN$3502,MATCH(1,(('Commodity Prices'!$AI$9:$AI$3502)="Gold")*(('Commodity Prices'!$AJ$9:$AJ$3502)=$B$6)*(('Commodity Prices'!$AL$9:$AL$3502)=B16),0),5),INDEX('Commodity Prices'!$AP$9:$AU$3487,MATCH(1,(('Commodity Prices'!$AP$9:$AP$3487)="Gold")*(('Commodity Prices'!$AQ$9:$AQ$3487)=$B$6)*(('Commodity Prices'!$AS$9:$AS$3487)=B16),0),5)))</f>
        <v>806767000</v>
      </c>
      <c r="D16" s="846">
        <f t="shared" si="1"/>
        <v>3.6645237470897346E-2</v>
      </c>
      <c r="W16" s="420"/>
      <c r="X16" s="420"/>
      <c r="Y16" s="426" t="str">
        <f t="shared" si="0"/>
        <v>2005-06</v>
      </c>
    </row>
    <row r="17" spans="1:25">
      <c r="A17" s="839" t="str">
        <f t="array" ref="A17">IF($W$2="Mismatch Error","",IF($B$5=$X$1,INDEX('Commodity Prices'!$AI$9:$AN$3502,MATCH(1,(('Commodity Prices'!$AI$9:$AI$3502)="Gold")*(('Commodity Prices'!$AJ$9:$AJ$3502)=$B$6)*(('Commodity Prices'!$AL$9:$AL$3502)=B17),0),3),INDEX('Commodity Prices'!$AP$9:$AU$3487,MATCH(1,(('Commodity Prices'!$AP$9:$AP$3487)="Gold")*(('Commodity Prices'!$AQ$9:$AQ$3487)=$B$6)*(('Commodity Prices'!$AS$9:$AS$3487)=B17),0),3)))</f>
        <v>Thailand</v>
      </c>
      <c r="B17" s="847">
        <v>8</v>
      </c>
      <c r="C17" s="848">
        <f t="array" ref="C17">IF($W$2="Mismatch Error","",IF($B$5=$X$1,INDEX('Commodity Prices'!$AI$9:$AN$3502,MATCH(1,(('Commodity Prices'!$AI$9:$AI$3502)="Gold")*(('Commodity Prices'!$AJ$9:$AJ$3502)=$B$6)*(('Commodity Prices'!$AL$9:$AL$3502)=B17),0),5),INDEX('Commodity Prices'!$AP$9:$AU$3487,MATCH(1,(('Commodity Prices'!$AP$9:$AP$3487)="Gold")*(('Commodity Prices'!$AQ$9:$AQ$3487)=$B$6)*(('Commodity Prices'!$AS$9:$AS$3487)=B17),0),5)))</f>
        <v>636346000</v>
      </c>
      <c r="D17" s="849">
        <f t="shared" si="1"/>
        <v>2.8904318450873229E-2</v>
      </c>
      <c r="W17" s="420"/>
      <c r="X17" s="420"/>
      <c r="Y17" s="426" t="str">
        <f t="shared" si="0"/>
        <v>2004-05</v>
      </c>
    </row>
    <row r="18" spans="1:25">
      <c r="A18" s="838" t="str">
        <f t="array" ref="A18">IF($W$2="Mismatch Error","",IF($B$5=$X$1,INDEX('Commodity Prices'!$AI$9:$AN$3502,MATCH(1,(('Commodity Prices'!$AI$9:$AI$3502)="Gold")*(('Commodity Prices'!$AJ$9:$AJ$3502)=$B$6)*(('Commodity Prices'!$AL$9:$AL$3502)=B18),0),3),INDEX('Commodity Prices'!$AP$9:$AU$3487,MATCH(1,(('Commodity Prices'!$AP$9:$AP$3487)="Gold")*(('Commodity Prices'!$AQ$9:$AQ$3487)=$B$6)*(('Commodity Prices'!$AS$9:$AS$3487)=B18),0),3)))</f>
        <v>Korea, Republic of</v>
      </c>
      <c r="B18" s="844">
        <v>9</v>
      </c>
      <c r="C18" s="845">
        <f t="array" ref="C18">IF($W$2="Mismatch Error","",IF($B$5=$X$1,INDEX('Commodity Prices'!$AI$9:$AN$3502,MATCH(1,(('Commodity Prices'!$AI$9:$AI$3502)="Gold")*(('Commodity Prices'!$AJ$9:$AJ$3502)=$B$6)*(('Commodity Prices'!$AL$9:$AL$3502)=B18),0),5),INDEX('Commodity Prices'!$AP$9:$AU$3487,MATCH(1,(('Commodity Prices'!$AP$9:$AP$3487)="Gold")*(('Commodity Prices'!$AQ$9:$AQ$3487)=$B$6)*(('Commodity Prices'!$AS$9:$AS$3487)=B18),0),5)))</f>
        <v>564228000</v>
      </c>
      <c r="D18" s="846">
        <f t="shared" si="1"/>
        <v>2.562855080553551E-2</v>
      </c>
      <c r="W18" s="420"/>
      <c r="X18" s="420"/>
      <c r="Y18" s="426" t="str">
        <f t="shared" si="0"/>
        <v>2003-04</v>
      </c>
    </row>
    <row r="19" spans="1:25">
      <c r="A19" s="839" t="str">
        <f t="array" ref="A19">IF($W$2="Mismatch Error","",IF($B$5=$X$1,INDEX('Commodity Prices'!$AI$9:$AN$3502,MATCH(1,(('Commodity Prices'!$AI$9:$AI$3502)="Gold")*(('Commodity Prices'!$AJ$9:$AJ$3502)=$B$6)*(('Commodity Prices'!$AL$9:$AL$3502)=B19),0),3),INDEX('Commodity Prices'!$AP$9:$AU$3487,MATCH(1,(('Commodity Prices'!$AP$9:$AP$3487)="Gold")*(('Commodity Prices'!$AQ$9:$AQ$3487)=$B$6)*(('Commodity Prices'!$AS$9:$AS$3487)=B19),0),3)))</f>
        <v>Switzerland</v>
      </c>
      <c r="B19" s="847">
        <v>10</v>
      </c>
      <c r="C19" s="848">
        <f t="array" ref="C19">IF($W$2="Mismatch Error","",IF($B$5=$X$1,INDEX('Commodity Prices'!$AI$9:$AN$3502,MATCH(1,(('Commodity Prices'!$AI$9:$AI$3502)="Gold")*(('Commodity Prices'!$AJ$9:$AJ$3502)=$B$6)*(('Commodity Prices'!$AL$9:$AL$3502)=B19),0),5),INDEX('Commodity Prices'!$AP$9:$AU$3487,MATCH(1,(('Commodity Prices'!$AP$9:$AP$3487)="Gold")*(('Commodity Prices'!$AQ$9:$AQ$3487)=$B$6)*(('Commodity Prices'!$AS$9:$AS$3487)=B19),0),5)))</f>
        <v>402547000</v>
      </c>
      <c r="D19" s="849">
        <f t="shared" si="1"/>
        <v>1.8284622955819108E-2</v>
      </c>
      <c r="W19" s="420"/>
      <c r="X19" s="420"/>
      <c r="Y19" s="426" t="str">
        <f t="shared" si="0"/>
        <v>2002-03</v>
      </c>
    </row>
    <row r="20" spans="1:25" ht="15.75" thickBot="1">
      <c r="A20" s="840" t="str">
        <f>IF($W$2="Mismatch Error","","Other")</f>
        <v>Other</v>
      </c>
      <c r="B20" s="850"/>
      <c r="C20" s="851">
        <f>IF($W$2="Mismatch Error","",IF($B$5=$X$1,SUMIFS('Commodity Prices'!$AM$9:$AM$3502,'Commodity Prices'!$AI$9:$AI$3502,"Gold",'Commodity Prices'!$AJ$9:$AJ$3502,$B$6,'Commodity Prices'!$AK$9:$AK$3502,"TOTAL")-SUM($C$10:$C$19),SUMIFS('Commodity Prices'!$AT$9:$AT$3487,'Commodity Prices'!$AP$9:$AP$3487,"Gold",'Commodity Prices'!$AQ$9:$AQ$3487,$B$6,'Commodity Prices'!$AR$9:$AR$3487,"TOTAL")-SUM($C$10:$C$19)))</f>
        <v>240780000</v>
      </c>
      <c r="D20" s="852">
        <f t="shared" si="1"/>
        <v>1.0936788785662606E-2</v>
      </c>
      <c r="W20" s="420"/>
      <c r="X20" s="420"/>
      <c r="Y20" s="426" t="str">
        <f t="shared" si="0"/>
        <v/>
      </c>
    </row>
    <row r="21" spans="1:25" ht="15.75" thickBot="1">
      <c r="A21" s="793" t="str">
        <f>IF($W$2="Mismatch Error","","Grand Total")</f>
        <v>Grand Total</v>
      </c>
      <c r="B21" s="794"/>
      <c r="C21" s="795">
        <f>IF($W$2="Mismatch Error","",IF($B$5=$X$1,SUMIFS('Commodity Prices'!$AM$9:$AM$3502,'Commodity Prices'!$AI$9:$AI$3502,"Gold",'Commodity Prices'!$AJ$9:$AJ$3502,$B$6,'Commodity Prices'!$AK$9:$AK$3502,"TOTAL"),SUMIFS('Commodity Prices'!$AT$9:$AT$3487,'Commodity Prices'!$AP$9:$AP$3487,"Gold",'Commodity Prices'!$AQ$9:$AQ$3487,$B$6,'Commodity Prices'!$AR$9:$AR$3487,"TOTAL")))</f>
        <v>22015603000</v>
      </c>
      <c r="D21" s="796"/>
      <c r="W21" s="420"/>
      <c r="X21" s="420"/>
      <c r="Y21" s="426" t="str">
        <f t="shared" si="0"/>
        <v/>
      </c>
    </row>
    <row r="22" spans="1:25">
      <c r="W22" s="420"/>
      <c r="X22" s="420"/>
      <c r="Y22" s="426" t="str">
        <f t="shared" si="0"/>
        <v/>
      </c>
    </row>
    <row r="23" spans="1:25">
      <c r="A23" s="1991" t="str">
        <f>IF(A10="Mismatch Error","You have selected an incompatible year or year type. Change one or the other to display data.","")</f>
        <v/>
      </c>
      <c r="B23" s="1991"/>
      <c r="C23" s="1991"/>
      <c r="D23" s="1991"/>
      <c r="W23" s="420"/>
      <c r="X23" s="420"/>
      <c r="Y23" s="426" t="str">
        <f t="shared" si="0"/>
        <v/>
      </c>
    </row>
    <row r="24" spans="1:25">
      <c r="A24" s="1991"/>
      <c r="B24" s="1991"/>
      <c r="C24" s="1991"/>
      <c r="D24" s="1991"/>
      <c r="W24" s="420"/>
      <c r="X24" s="420"/>
      <c r="Y24" s="426" t="str">
        <f t="shared" si="0"/>
        <v/>
      </c>
    </row>
    <row r="25" spans="1:25" ht="15" customHeight="1">
      <c r="A25" s="1991"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91"/>
      <c r="C25" s="1991"/>
      <c r="D25" s="1991"/>
      <c r="W25" s="420"/>
      <c r="X25" s="420"/>
      <c r="Y25" s="426" t="str">
        <f t="shared" si="0"/>
        <v/>
      </c>
    </row>
    <row r="26" spans="1:25">
      <c r="A26" s="1991"/>
      <c r="B26" s="1991"/>
      <c r="C26" s="1991"/>
      <c r="D26" s="1991"/>
      <c r="W26" s="420"/>
      <c r="X26" s="420"/>
      <c r="Y26" s="420"/>
    </row>
    <row r="27" spans="1:25">
      <c r="A27" s="1991"/>
      <c r="B27" s="1991"/>
      <c r="C27" s="1991"/>
      <c r="D27" s="1991"/>
      <c r="W27" s="420"/>
      <c r="X27" s="420"/>
      <c r="Y27" s="420"/>
    </row>
    <row r="28" spans="1:25">
      <c r="A28" s="1991"/>
      <c r="B28" s="1991"/>
      <c r="C28" s="1991"/>
      <c r="D28" s="1991"/>
      <c r="W28" s="420"/>
      <c r="X28" s="420"/>
      <c r="Y28" s="420"/>
    </row>
    <row r="29" spans="1:25">
      <c r="W29" s="420"/>
      <c r="X29" s="420"/>
      <c r="Y29" s="420"/>
    </row>
    <row r="30" spans="1:25">
      <c r="W30" s="420"/>
      <c r="X30" s="420"/>
      <c r="Y30" s="420"/>
    </row>
    <row r="31" spans="1:25">
      <c r="W31" s="420"/>
      <c r="X31" s="420"/>
      <c r="Y31" s="420"/>
    </row>
    <row r="32" spans="1:25">
      <c r="E32" s="430"/>
      <c r="W32" s="420"/>
      <c r="X32" s="420"/>
      <c r="Y32" s="420"/>
    </row>
    <row r="33" spans="3:25">
      <c r="E33" s="430"/>
      <c r="W33" s="420"/>
      <c r="X33" s="420"/>
      <c r="Y33" s="420"/>
    </row>
    <row r="34" spans="3:25">
      <c r="C34" s="504"/>
      <c r="E34" s="430"/>
      <c r="W34" s="420"/>
      <c r="X34" s="420"/>
      <c r="Y34" s="420"/>
    </row>
    <row r="35" spans="3:25">
      <c r="E35" s="430"/>
      <c r="W35" s="420"/>
      <c r="X35" s="420"/>
      <c r="Y35" s="420"/>
    </row>
    <row r="36" spans="3:25">
      <c r="E36" s="430"/>
      <c r="W36" s="420"/>
      <c r="X36" s="420"/>
      <c r="Y36" s="420"/>
    </row>
    <row r="37" spans="3:25">
      <c r="E37" s="430"/>
      <c r="W37" s="420"/>
      <c r="X37" s="420"/>
      <c r="Y37" s="420"/>
    </row>
    <row r="38" spans="3:25">
      <c r="E38" s="430"/>
      <c r="W38" s="420"/>
      <c r="X38" s="420"/>
      <c r="Y38" s="420"/>
    </row>
    <row r="39" spans="3:25">
      <c r="E39" s="430"/>
    </row>
    <row r="40" spans="3:25">
      <c r="E40" s="430"/>
    </row>
    <row r="41" spans="3:25">
      <c r="E41" s="430"/>
    </row>
    <row r="42" spans="3:25">
      <c r="E42" s="430"/>
    </row>
    <row r="43" spans="3:25">
      <c r="E43" s="430"/>
    </row>
    <row r="44" spans="3:25">
      <c r="E44" s="430"/>
    </row>
    <row r="45" spans="3:25">
      <c r="E45" s="430"/>
    </row>
    <row r="46" spans="3:25">
      <c r="E46" s="430"/>
    </row>
    <row r="47" spans="3:25">
      <c r="E47" s="430"/>
    </row>
    <row r="48" spans="3:25">
      <c r="E48" s="430"/>
    </row>
    <row r="49" spans="5:5">
      <c r="E49" s="430"/>
    </row>
    <row r="50" spans="5:5">
      <c r="E50" s="430"/>
    </row>
    <row r="51" spans="5:5">
      <c r="E51" s="430"/>
    </row>
    <row r="52" spans="5:5">
      <c r="E52" s="430"/>
    </row>
    <row r="53" spans="5:5">
      <c r="E53" s="430"/>
    </row>
    <row r="54" spans="5:5">
      <c r="E54" s="430"/>
    </row>
    <row r="55" spans="5:5">
      <c r="E55" s="430"/>
    </row>
    <row r="56" spans="5:5">
      <c r="E56" s="430"/>
    </row>
    <row r="57" spans="5:5">
      <c r="E57" s="430"/>
    </row>
    <row r="58" spans="5:5">
      <c r="E58" s="430"/>
    </row>
    <row r="59" spans="5:5">
      <c r="E59" s="430"/>
    </row>
    <row r="60" spans="5:5">
      <c r="E60" s="430"/>
    </row>
    <row r="61" spans="5:5">
      <c r="E61" s="430"/>
    </row>
    <row r="62" spans="5:5">
      <c r="E62" s="430"/>
    </row>
    <row r="63" spans="5:5">
      <c r="E63" s="430"/>
    </row>
    <row r="64" spans="5:5">
      <c r="E64" s="430"/>
    </row>
    <row r="67" spans="5:5">
      <c r="E67" s="430"/>
    </row>
    <row r="68" spans="5:5">
      <c r="E68" s="430"/>
    </row>
    <row r="69" spans="5:5">
      <c r="E69" s="430"/>
    </row>
    <row r="70" spans="5:5">
      <c r="E70" s="430"/>
    </row>
    <row r="71" spans="5:5">
      <c r="E71" s="430"/>
    </row>
    <row r="72" spans="5:5">
      <c r="E72" s="430"/>
    </row>
    <row r="73" spans="5:5">
      <c r="E73" s="430"/>
    </row>
    <row r="74" spans="5:5">
      <c r="E74" s="430"/>
    </row>
    <row r="75" spans="5:5">
      <c r="E75" s="430"/>
    </row>
    <row r="76" spans="5:5">
      <c r="E76" s="430"/>
    </row>
    <row r="77" spans="5:5">
      <c r="E77" s="430"/>
    </row>
    <row r="78" spans="5:5">
      <c r="E78" s="430"/>
    </row>
    <row r="79" spans="5:5">
      <c r="E79" s="430"/>
    </row>
    <row r="80" spans="5:5">
      <c r="E80" s="430"/>
    </row>
    <row r="81" spans="5:5">
      <c r="E81" s="430"/>
    </row>
  </sheetData>
  <mergeCells count="5">
    <mergeCell ref="B5:D5"/>
    <mergeCell ref="B6:D6"/>
    <mergeCell ref="A8:D8"/>
    <mergeCell ref="A23:D24"/>
    <mergeCell ref="A25:D28"/>
  </mergeCells>
  <conditionalFormatting sqref="A10">
    <cfRule type="containsText" dxfId="3" priority="1" operator="containsText" text="Mismatch Error">
      <formula>NOT(ISERROR(SEARCH("Mismatch Error",A10)))</formula>
    </cfRule>
  </conditionalFormatting>
  <dataValidations count="4">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allowBlank="1" promptTitle="Select a Display Factor:" prompt="Clicking here will bring up a message describing the selections you can make." sqref="E6"/>
    <dataValidation allowBlank="1" promptTitle="Select a Display Factor:" prompt="Clicking here will bring up a message describing the selections you can make." sqref="E5"/>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sheetPr>
  <dimension ref="A2:R147"/>
  <sheetViews>
    <sheetView showGridLines="0" workbookViewId="0">
      <selection activeCell="C138" sqref="C138"/>
    </sheetView>
  </sheetViews>
  <sheetFormatPr defaultRowHeight="15"/>
  <cols>
    <col min="1" max="1" width="5" style="36" bestFit="1" customWidth="1"/>
    <col min="2" max="2" width="25.85546875" style="36" bestFit="1" customWidth="1"/>
    <col min="3" max="3" width="24.140625" style="36" bestFit="1" customWidth="1"/>
    <col min="4" max="4" width="8" style="36" customWidth="1"/>
    <col min="5" max="5" width="2.140625" style="36" customWidth="1"/>
    <col min="6" max="6" width="11" style="36" bestFit="1" customWidth="1"/>
    <col min="7" max="14" width="9.140625" style="36"/>
    <col min="15" max="15" width="13.42578125" style="36" customWidth="1"/>
    <col min="16" max="16" width="5" style="36" bestFit="1" customWidth="1"/>
    <col min="17" max="17" width="25.85546875" style="36" bestFit="1" customWidth="1"/>
    <col min="18" max="18" width="24.140625" style="36" bestFit="1" customWidth="1"/>
    <col min="19" max="19" width="10.85546875" style="36" customWidth="1"/>
    <col min="20" max="21" width="23.5703125" style="36" customWidth="1"/>
    <col min="22" max="16384" width="9.140625" style="36"/>
  </cols>
  <sheetData>
    <row r="2" spans="1:18">
      <c r="F2" s="537"/>
    </row>
    <row r="4" spans="1:18" ht="21" customHeight="1"/>
    <row r="5" spans="1:18" ht="15.75" thickBot="1">
      <c r="A5" s="1992" t="s">
        <v>706</v>
      </c>
      <c r="B5" s="1992"/>
      <c r="C5" s="1992"/>
      <c r="P5" s="1981" t="s">
        <v>706</v>
      </c>
      <c r="Q5" s="1981"/>
      <c r="R5" s="1981"/>
    </row>
    <row r="6" spans="1:18" ht="15.75" thickBot="1">
      <c r="A6" s="1451" t="s">
        <v>41</v>
      </c>
      <c r="B6" s="1452" t="s">
        <v>679</v>
      </c>
      <c r="C6" s="1453" t="s">
        <v>680</v>
      </c>
      <c r="P6" s="1993" t="s">
        <v>710</v>
      </c>
      <c r="Q6" s="1993"/>
      <c r="R6" s="1993"/>
    </row>
    <row r="7" spans="1:18">
      <c r="A7" s="597">
        <v>1890</v>
      </c>
      <c r="B7" s="800">
        <v>0.6345731</v>
      </c>
      <c r="C7" s="799">
        <v>37.890096900000003</v>
      </c>
      <c r="P7" s="1454" t="s">
        <v>41</v>
      </c>
      <c r="Q7" s="1455" t="str">
        <f>B6</f>
        <v>Western Australia (t)</v>
      </c>
      <c r="R7" s="1456" t="str">
        <f>C6</f>
        <v>Rest of Australia (t)</v>
      </c>
    </row>
    <row r="8" spans="1:18">
      <c r="A8" s="597">
        <v>1891</v>
      </c>
      <c r="B8" s="804">
        <v>0.84340189999999993</v>
      </c>
      <c r="C8" s="805">
        <v>37.832368099999997</v>
      </c>
      <c r="P8" s="597">
        <f>LARGE(A$7:A$149,10)</f>
        <v>2011</v>
      </c>
      <c r="Q8" s="854">
        <f t="shared" ref="Q8:Q17" si="0">SUMIF($A$7:$A$149,$P8,B$7:B$149)</f>
        <v>179.60817457000002</v>
      </c>
      <c r="R8" s="855">
        <f t="shared" ref="R8:R17" si="1">SUMIF($A$7:$A$149,$P8,C$7:C$149)</f>
        <v>78.400000000000006</v>
      </c>
    </row>
    <row r="9" spans="1:18">
      <c r="A9" s="597">
        <v>1892</v>
      </c>
      <c r="B9" s="800">
        <v>1.6569130000000001</v>
      </c>
      <c r="C9" s="799">
        <v>41.384076999999998</v>
      </c>
      <c r="P9" s="597">
        <f>LARGE(A$7:A$149,9)</f>
        <v>2012</v>
      </c>
      <c r="Q9" s="853">
        <f t="shared" si="0"/>
        <v>181.28663516</v>
      </c>
      <c r="R9" s="819">
        <f t="shared" si="1"/>
        <v>69.5</v>
      </c>
    </row>
    <row r="10" spans="1:18">
      <c r="A10" s="597">
        <v>1893</v>
      </c>
      <c r="B10" s="804">
        <v>3.0855579999999998</v>
      </c>
      <c r="C10" s="805">
        <v>42.217962</v>
      </c>
      <c r="P10" s="597">
        <f>LARGE(A$7:A$149,8)</f>
        <v>2013</v>
      </c>
      <c r="Q10" s="854">
        <f t="shared" si="0"/>
        <v>187.45436469999999</v>
      </c>
      <c r="R10" s="855">
        <f t="shared" si="1"/>
        <v>81.7</v>
      </c>
    </row>
    <row r="11" spans="1:18">
      <c r="A11" s="597">
        <v>1894</v>
      </c>
      <c r="B11" s="800">
        <v>5.7633179999999999</v>
      </c>
      <c r="C11" s="799">
        <v>49.169462000000003</v>
      </c>
      <c r="P11" s="597">
        <f>LARGE(A$7:A$149,7)</f>
        <v>2014</v>
      </c>
      <c r="Q11" s="853">
        <f t="shared" si="0"/>
        <v>194.73649055852593</v>
      </c>
      <c r="R11" s="819">
        <f t="shared" si="1"/>
        <v>85.5</v>
      </c>
    </row>
    <row r="12" spans="1:18">
      <c r="A12" s="597">
        <v>1895</v>
      </c>
      <c r="B12" s="804">
        <v>6.441872</v>
      </c>
      <c r="C12" s="805">
        <v>49.512628000000007</v>
      </c>
      <c r="P12" s="597">
        <f>LARGE(A$7:A$149,6)</f>
        <v>2015</v>
      </c>
      <c r="Q12" s="854">
        <f t="shared" si="0"/>
        <v>194.46998849169691</v>
      </c>
      <c r="R12" s="855">
        <f t="shared" si="1"/>
        <v>89.7</v>
      </c>
    </row>
    <row r="13" spans="1:18">
      <c r="A13" s="597">
        <v>1896</v>
      </c>
      <c r="B13" s="800">
        <v>7.8261940000000001</v>
      </c>
      <c r="C13" s="799">
        <v>49.497975999999994</v>
      </c>
      <c r="P13" s="597">
        <f>LARGE(A$7:A$149,5)</f>
        <v>2016</v>
      </c>
      <c r="Q13" s="853">
        <f t="shared" si="0"/>
        <v>197.02509114887081</v>
      </c>
      <c r="R13" s="819">
        <f t="shared" si="1"/>
        <v>94.1</v>
      </c>
    </row>
    <row r="14" spans="1:18">
      <c r="A14" s="597">
        <v>1897</v>
      </c>
      <c r="B14" s="804">
        <v>18.2789</v>
      </c>
      <c r="C14" s="805">
        <v>54.138829999999992</v>
      </c>
      <c r="P14" s="597">
        <f>LARGE(A$7:A$149,4)</f>
        <v>2017</v>
      </c>
      <c r="Q14" s="854">
        <f t="shared" si="0"/>
        <v>210.8632633815127</v>
      </c>
      <c r="R14" s="855">
        <f t="shared" si="1"/>
        <v>87.5</v>
      </c>
    </row>
    <row r="15" spans="1:18">
      <c r="A15" s="597">
        <v>1898</v>
      </c>
      <c r="B15" s="800">
        <v>29.50365</v>
      </c>
      <c r="C15" s="799">
        <v>56.012799999999991</v>
      </c>
      <c r="P15" s="597">
        <f>LARGE(A$7:A$149,3)</f>
        <v>2018</v>
      </c>
      <c r="Q15" s="853">
        <f t="shared" si="0"/>
        <v>212.11582052473506</v>
      </c>
      <c r="R15" s="819">
        <f t="shared" si="1"/>
        <v>96.2</v>
      </c>
    </row>
    <row r="16" spans="1:18">
      <c r="A16" s="597">
        <v>1899</v>
      </c>
      <c r="B16" s="804">
        <v>44.892300000000006</v>
      </c>
      <c r="C16" s="805">
        <v>61.525300000000001</v>
      </c>
      <c r="P16" s="597">
        <f>LARGE(A$7:A$149,2)</f>
        <v>2019</v>
      </c>
      <c r="Q16" s="854">
        <f t="shared" si="0"/>
        <v>213.89367239593537</v>
      </c>
      <c r="R16" s="855">
        <f t="shared" si="1"/>
        <v>106.3</v>
      </c>
    </row>
    <row r="17" spans="1:18" ht="15.75" thickBot="1">
      <c r="A17" s="597">
        <v>1900</v>
      </c>
      <c r="B17" s="800">
        <v>41.324719999999999</v>
      </c>
      <c r="C17" s="799">
        <v>58.101740000000007</v>
      </c>
      <c r="P17" s="598">
        <f>LARGE(A$7:A$149,1)</f>
        <v>2020</v>
      </c>
      <c r="Q17" s="856">
        <f t="shared" si="0"/>
        <v>209.57667102115974</v>
      </c>
      <c r="R17" s="857">
        <f t="shared" si="1"/>
        <v>107.93</v>
      </c>
    </row>
    <row r="18" spans="1:18">
      <c r="A18" s="597">
        <v>1901</v>
      </c>
      <c r="B18" s="804">
        <v>49.205489999999998</v>
      </c>
      <c r="C18" s="805">
        <v>53.436310000000006</v>
      </c>
      <c r="Q18" s="649"/>
      <c r="R18" s="649"/>
    </row>
    <row r="19" spans="1:18">
      <c r="A19" s="597">
        <v>1902</v>
      </c>
      <c r="B19" s="800">
        <v>55.71705</v>
      </c>
      <c r="C19" s="799">
        <v>52.741749999999996</v>
      </c>
    </row>
    <row r="20" spans="1:18">
      <c r="A20" s="597">
        <v>1903</v>
      </c>
      <c r="B20" s="804">
        <v>61.036239999999999</v>
      </c>
      <c r="C20" s="805">
        <v>58.338259999999998</v>
      </c>
    </row>
    <row r="21" spans="1:18">
      <c r="A21" s="597">
        <v>1904</v>
      </c>
      <c r="B21" s="800">
        <v>59.52693</v>
      </c>
      <c r="C21" s="799">
        <v>57.158269999999995</v>
      </c>
    </row>
    <row r="22" spans="1:18">
      <c r="A22" s="597">
        <v>1905</v>
      </c>
      <c r="B22" s="804">
        <v>57.250809999999994</v>
      </c>
      <c r="C22" s="805">
        <v>56.770389999999999</v>
      </c>
    </row>
    <row r="23" spans="1:18">
      <c r="A23" s="597">
        <v>1906</v>
      </c>
      <c r="B23" s="800">
        <v>54.004820000000002</v>
      </c>
      <c r="C23" s="799">
        <v>53.096979999999995</v>
      </c>
    </row>
    <row r="24" spans="1:18">
      <c r="A24" s="597">
        <v>1907</v>
      </c>
      <c r="B24" s="804">
        <v>52.00479</v>
      </c>
      <c r="C24" s="805">
        <v>46.95617</v>
      </c>
    </row>
    <row r="25" spans="1:18">
      <c r="A25" s="597">
        <v>1908</v>
      </c>
      <c r="B25" s="800">
        <v>49.031699999999994</v>
      </c>
      <c r="C25" s="799">
        <v>46.601350000000004</v>
      </c>
    </row>
    <row r="26" spans="1:18">
      <c r="A26" s="597">
        <v>1909</v>
      </c>
      <c r="B26" s="804">
        <v>49.031699999999994</v>
      </c>
      <c r="C26" s="805">
        <v>43.31427</v>
      </c>
    </row>
    <row r="27" spans="1:18">
      <c r="A27" s="597">
        <v>1910</v>
      </c>
      <c r="B27" s="800">
        <v>44.236339999999998</v>
      </c>
      <c r="C27" s="799">
        <v>40.393820000000005</v>
      </c>
    </row>
    <row r="28" spans="1:18">
      <c r="A28" s="597">
        <v>1911</v>
      </c>
      <c r="B28" s="804">
        <v>41.647150000000003</v>
      </c>
      <c r="C28" s="805">
        <v>35.615839999999999</v>
      </c>
    </row>
    <row r="29" spans="1:18">
      <c r="A29" s="597">
        <v>1912</v>
      </c>
      <c r="B29" s="800">
        <v>39.434379999999997</v>
      </c>
      <c r="C29" s="799">
        <v>32.910220000000002</v>
      </c>
    </row>
    <row r="30" spans="1:18">
      <c r="A30" s="597">
        <v>1913</v>
      </c>
      <c r="B30" s="804">
        <v>40.406179999999999</v>
      </c>
      <c r="C30" s="805">
        <v>28.25262</v>
      </c>
    </row>
    <row r="31" spans="1:18">
      <c r="A31" s="597">
        <v>1914</v>
      </c>
      <c r="B31" s="800">
        <v>37.767060000000001</v>
      </c>
      <c r="C31" s="799">
        <v>26.1569</v>
      </c>
    </row>
    <row r="32" spans="1:18">
      <c r="A32" s="597">
        <v>1915</v>
      </c>
      <c r="B32" s="804">
        <v>37.184160000000006</v>
      </c>
      <c r="C32" s="805">
        <v>23.371409999999997</v>
      </c>
    </row>
    <row r="33" spans="1:3">
      <c r="A33" s="597">
        <v>1916</v>
      </c>
      <c r="B33" s="800">
        <v>32.090290000000003</v>
      </c>
      <c r="C33" s="799">
        <v>19.722379999999994</v>
      </c>
    </row>
    <row r="34" spans="1:3">
      <c r="A34" s="597">
        <v>1917</v>
      </c>
      <c r="B34" s="804">
        <v>29.77908</v>
      </c>
      <c r="C34" s="805">
        <v>15.512810000000002</v>
      </c>
    </row>
    <row r="35" spans="1:3">
      <c r="A35" s="597">
        <v>1918</v>
      </c>
      <c r="B35" s="800">
        <v>26.625990000000002</v>
      </c>
      <c r="C35" s="799">
        <v>12.974579999999996</v>
      </c>
    </row>
    <row r="36" spans="1:3">
      <c r="A36" s="597">
        <v>1919</v>
      </c>
      <c r="B36" s="804">
        <v>21.40588</v>
      </c>
      <c r="C36" s="805">
        <v>11.815799999999999</v>
      </c>
    </row>
    <row r="37" spans="1:3">
      <c r="A37" s="597">
        <v>1920</v>
      </c>
      <c r="B37" s="800">
        <v>19.491289999999999</v>
      </c>
      <c r="C37" s="799">
        <v>9.8596299999999992</v>
      </c>
    </row>
    <row r="38" spans="1:3">
      <c r="A38" s="597">
        <v>1921</v>
      </c>
      <c r="B38" s="804">
        <v>16.346629999999998</v>
      </c>
      <c r="C38" s="805">
        <v>7.2299600000000019</v>
      </c>
    </row>
    <row r="39" spans="1:3">
      <c r="A39" s="597">
        <v>1922</v>
      </c>
      <c r="B39" s="800">
        <v>16.68824</v>
      </c>
      <c r="C39" s="799">
        <v>6.8094999999999999</v>
      </c>
    </row>
    <row r="40" spans="1:3">
      <c r="A40" s="597">
        <v>1923</v>
      </c>
      <c r="B40" s="804">
        <v>15.41714</v>
      </c>
      <c r="C40" s="805">
        <v>6.7370599999999996</v>
      </c>
    </row>
    <row r="41" spans="1:3">
      <c r="A41" s="597">
        <v>1924</v>
      </c>
      <c r="B41" s="800">
        <v>14.251860000000001</v>
      </c>
      <c r="C41" s="799">
        <v>6.7721300000000006</v>
      </c>
    </row>
    <row r="42" spans="1:3">
      <c r="A42" s="597">
        <v>1925</v>
      </c>
      <c r="B42" s="804">
        <v>13.51549</v>
      </c>
      <c r="C42" s="805">
        <v>3.8771999999999984</v>
      </c>
    </row>
    <row r="43" spans="1:3">
      <c r="A43" s="597">
        <v>1926</v>
      </c>
      <c r="B43" s="800">
        <v>13.322559999999999</v>
      </c>
      <c r="C43" s="799">
        <v>2.8921799999999998</v>
      </c>
    </row>
    <row r="44" spans="1:3">
      <c r="A44" s="597">
        <v>1927</v>
      </c>
      <c r="B44" s="804">
        <v>12.64264</v>
      </c>
      <c r="C44" s="805">
        <v>3.1669800000000006</v>
      </c>
    </row>
    <row r="45" spans="1:3">
      <c r="A45" s="597">
        <v>1928</v>
      </c>
      <c r="B45" s="800">
        <v>12.19501</v>
      </c>
      <c r="C45" s="799">
        <v>2.0400900000000011</v>
      </c>
    </row>
    <row r="46" spans="1:3">
      <c r="A46" s="597">
        <v>1929</v>
      </c>
      <c r="B46" s="804">
        <v>11.57249</v>
      </c>
      <c r="C46" s="805">
        <v>1.7136700000000005</v>
      </c>
    </row>
    <row r="47" spans="1:3">
      <c r="A47" s="597">
        <v>1930</v>
      </c>
      <c r="B47" s="800">
        <v>13.05622</v>
      </c>
      <c r="C47" s="799">
        <v>1.4921799999999994</v>
      </c>
    </row>
    <row r="48" spans="1:3">
      <c r="A48" s="597">
        <v>1931</v>
      </c>
      <c r="B48" s="804">
        <v>16.113</v>
      </c>
      <c r="C48" s="805">
        <v>2.3973900000000015</v>
      </c>
    </row>
    <row r="49" spans="1:3">
      <c r="A49" s="597">
        <v>1932</v>
      </c>
      <c r="B49" s="800">
        <v>18.644069999999999</v>
      </c>
      <c r="C49" s="799">
        <v>3.568010000000001</v>
      </c>
    </row>
    <row r="50" spans="1:3">
      <c r="A50" s="597">
        <v>1933</v>
      </c>
      <c r="B50" s="804">
        <v>19.810680000000001</v>
      </c>
      <c r="C50" s="805">
        <v>6.0135099999999966</v>
      </c>
    </row>
    <row r="51" spans="1:3">
      <c r="A51" s="597">
        <v>1934</v>
      </c>
      <c r="B51" s="800">
        <v>19.90222</v>
      </c>
      <c r="C51" s="799">
        <v>7.6743999999999986</v>
      </c>
    </row>
    <row r="52" spans="1:3">
      <c r="A52" s="597">
        <v>1935</v>
      </c>
      <c r="B52" s="804">
        <v>20.09751</v>
      </c>
      <c r="C52" s="805">
        <v>8.2219499999999996</v>
      </c>
    </row>
    <row r="53" spans="1:3">
      <c r="A53" s="597">
        <v>1936</v>
      </c>
      <c r="B53" s="800">
        <v>26.513279999999998</v>
      </c>
      <c r="C53" s="799">
        <v>10.181080000000005</v>
      </c>
    </row>
    <row r="54" spans="1:3">
      <c r="A54" s="597">
        <v>1937</v>
      </c>
      <c r="B54" s="804">
        <v>31.330179999999999</v>
      </c>
      <c r="C54" s="805">
        <v>11.759949999999996</v>
      </c>
    </row>
    <row r="55" spans="1:3">
      <c r="A55" s="597">
        <v>1938</v>
      </c>
      <c r="B55" s="800">
        <v>36.482810000000001</v>
      </c>
      <c r="C55" s="799">
        <v>13.034979999999997</v>
      </c>
    </row>
    <row r="56" spans="1:3">
      <c r="A56" s="597">
        <v>1939</v>
      </c>
      <c r="B56" s="804">
        <v>36.959809999999997</v>
      </c>
      <c r="C56" s="805">
        <v>14.227080000000001</v>
      </c>
    </row>
    <row r="57" spans="1:3">
      <c r="A57" s="597">
        <v>1940</v>
      </c>
      <c r="B57" s="800">
        <v>35.919629999999998</v>
      </c>
      <c r="C57" s="799">
        <v>15.214450000000006</v>
      </c>
    </row>
    <row r="58" spans="1:3">
      <c r="A58" s="597">
        <v>1941</v>
      </c>
      <c r="B58" s="804">
        <v>34.384169999999997</v>
      </c>
      <c r="C58" s="805">
        <v>12.168340000000008</v>
      </c>
    </row>
    <row r="59" spans="1:3">
      <c r="A59" s="597">
        <v>1942</v>
      </c>
      <c r="B59" s="800">
        <v>26.306450000000002</v>
      </c>
      <c r="C59" s="799">
        <v>9.5803399999999961</v>
      </c>
    </row>
    <row r="60" spans="1:3">
      <c r="A60" s="597">
        <v>1943</v>
      </c>
      <c r="B60" s="804">
        <v>16.539189999999998</v>
      </c>
      <c r="C60" s="805">
        <v>6.8282000000000025</v>
      </c>
    </row>
    <row r="61" spans="1:3">
      <c r="A61" s="597">
        <v>1944</v>
      </c>
      <c r="B61" s="800">
        <v>14.69914</v>
      </c>
      <c r="C61" s="799">
        <v>5.7317099999999996</v>
      </c>
    </row>
    <row r="62" spans="1:3">
      <c r="A62" s="597">
        <v>1945</v>
      </c>
      <c r="B62" s="804">
        <v>14.61572</v>
      </c>
      <c r="C62" s="805">
        <v>5.8258900000000011</v>
      </c>
    </row>
    <row r="63" spans="1:3">
      <c r="A63" s="597">
        <v>1946</v>
      </c>
      <c r="B63" s="800">
        <v>19.240839999999999</v>
      </c>
      <c r="C63" s="799">
        <v>6.4033499999999997</v>
      </c>
    </row>
    <row r="64" spans="1:3">
      <c r="A64" s="597">
        <v>1947</v>
      </c>
      <c r="B64" s="804">
        <v>21.82694</v>
      </c>
      <c r="C64" s="805">
        <v>7.3373600000000003</v>
      </c>
    </row>
    <row r="65" spans="1:3">
      <c r="A65" s="597">
        <v>1948</v>
      </c>
      <c r="B65" s="800">
        <v>20.61354</v>
      </c>
      <c r="C65" s="799">
        <v>6.9288099999999986</v>
      </c>
    </row>
    <row r="66" spans="1:3">
      <c r="A66" s="597">
        <v>1949</v>
      </c>
      <c r="B66" s="804">
        <v>20.203949999999999</v>
      </c>
      <c r="C66" s="805">
        <v>7.4488400000000006</v>
      </c>
    </row>
    <row r="67" spans="1:3">
      <c r="A67" s="597">
        <v>1950</v>
      </c>
      <c r="B67" s="800">
        <v>18.930610000000001</v>
      </c>
      <c r="C67" s="799">
        <v>8.1150099999999981</v>
      </c>
    </row>
    <row r="68" spans="1:3">
      <c r="A68" s="597">
        <v>1951</v>
      </c>
      <c r="B68" s="804">
        <v>20.162669999999999</v>
      </c>
      <c r="C68" s="805">
        <v>7.6920800000000007</v>
      </c>
    </row>
    <row r="69" spans="1:3">
      <c r="A69" s="597">
        <v>1952</v>
      </c>
      <c r="B69" s="800">
        <v>22.62678</v>
      </c>
      <c r="C69" s="799">
        <v>7.8681599999999996</v>
      </c>
    </row>
    <row r="70" spans="1:3">
      <c r="A70" s="597">
        <v>1953</v>
      </c>
      <c r="B70" s="804">
        <v>25.608460000000001</v>
      </c>
      <c r="C70" s="805">
        <v>7.8334100000000007</v>
      </c>
    </row>
    <row r="71" spans="1:3">
      <c r="A71" s="597">
        <v>1954</v>
      </c>
      <c r="B71" s="800">
        <v>26.810950000000002</v>
      </c>
      <c r="C71" s="799">
        <v>7.9547100000000022</v>
      </c>
    </row>
    <row r="72" spans="1:3">
      <c r="A72" s="597">
        <v>1955</v>
      </c>
      <c r="B72" s="804">
        <v>25.950430000000001</v>
      </c>
      <c r="C72" s="805">
        <v>6.678329999999999</v>
      </c>
    </row>
    <row r="73" spans="1:3">
      <c r="A73" s="597">
        <v>1956</v>
      </c>
      <c r="B73" s="800">
        <v>25.306330000000003</v>
      </c>
      <c r="C73" s="799">
        <v>6.7246799999999922</v>
      </c>
    </row>
    <row r="74" spans="1:3">
      <c r="A74" s="597">
        <v>1957</v>
      </c>
      <c r="B74" s="804">
        <v>26.42989</v>
      </c>
      <c r="C74" s="805">
        <v>7.2844400000000036</v>
      </c>
    </row>
    <row r="75" spans="1:3">
      <c r="A75" s="597">
        <v>1958</v>
      </c>
      <c r="B75" s="800">
        <v>27.209910000000001</v>
      </c>
      <c r="C75" s="799">
        <v>7.1276999999999973</v>
      </c>
    </row>
    <row r="76" spans="1:3">
      <c r="A76" s="597">
        <v>1959</v>
      </c>
      <c r="B76" s="804">
        <v>26.779130000000002</v>
      </c>
      <c r="C76" s="805">
        <v>6.9713700000000003</v>
      </c>
    </row>
    <row r="77" spans="1:3">
      <c r="A77" s="597">
        <v>1960</v>
      </c>
      <c r="B77" s="800">
        <v>27.058979999999998</v>
      </c>
      <c r="C77" s="799">
        <v>6.7414500000000004</v>
      </c>
    </row>
    <row r="78" spans="1:3">
      <c r="A78" s="597">
        <v>1961</v>
      </c>
      <c r="B78" s="804">
        <v>27.080490000000001</v>
      </c>
      <c r="C78" s="805">
        <v>6.3959299999999963</v>
      </c>
    </row>
    <row r="79" spans="1:3">
      <c r="A79" s="597">
        <v>1962</v>
      </c>
      <c r="B79" s="800">
        <v>26.750209999999999</v>
      </c>
      <c r="C79" s="799">
        <v>6.4943300000000015</v>
      </c>
    </row>
    <row r="80" spans="1:3">
      <c r="A80" s="597">
        <v>1963</v>
      </c>
      <c r="B80" s="804">
        <v>24.971730000000001</v>
      </c>
      <c r="C80" s="805">
        <v>6.8772999999999982</v>
      </c>
    </row>
    <row r="81" spans="1:3">
      <c r="A81" s="597">
        <v>1964</v>
      </c>
      <c r="B81" s="800">
        <v>22.25395</v>
      </c>
      <c r="C81" s="799">
        <v>7.7246400000000008</v>
      </c>
    </row>
    <row r="82" spans="1:3">
      <c r="A82" s="597">
        <v>1965</v>
      </c>
      <c r="B82" s="804">
        <v>20.414930000000002</v>
      </c>
      <c r="C82" s="805">
        <v>6.8828199999999988</v>
      </c>
    </row>
    <row r="83" spans="1:3">
      <c r="A83" s="597">
        <v>1966</v>
      </c>
      <c r="B83" s="800">
        <v>19.503490000000003</v>
      </c>
      <c r="C83" s="799">
        <v>9.0179299999999962</v>
      </c>
    </row>
    <row r="84" spans="1:3">
      <c r="A84" s="597">
        <v>1967</v>
      </c>
      <c r="B84" s="804">
        <v>17.845759999999999</v>
      </c>
      <c r="C84" s="805">
        <v>7.2029899999999998</v>
      </c>
    </row>
    <row r="85" spans="1:3">
      <c r="A85" s="597">
        <v>1968</v>
      </c>
      <c r="B85" s="800">
        <v>16.047840000000001</v>
      </c>
      <c r="C85" s="799">
        <v>8.2683</v>
      </c>
    </row>
    <row r="86" spans="1:3">
      <c r="A86" s="597">
        <v>1969</v>
      </c>
      <c r="B86" s="804">
        <v>13.68755</v>
      </c>
      <c r="C86" s="805">
        <v>8.1438199999999998</v>
      </c>
    </row>
    <row r="87" spans="1:3">
      <c r="A87" s="597">
        <v>1970</v>
      </c>
      <c r="B87" s="800">
        <v>10.89833</v>
      </c>
      <c r="C87" s="799">
        <v>8.3834</v>
      </c>
    </row>
    <row r="88" spans="1:3">
      <c r="A88" s="597">
        <v>1971</v>
      </c>
      <c r="B88" s="804">
        <v>10.73376</v>
      </c>
      <c r="C88" s="805">
        <v>10.184239999999999</v>
      </c>
    </row>
    <row r="89" spans="1:3">
      <c r="A89" s="597">
        <v>1972</v>
      </c>
      <c r="B89" s="800">
        <v>10.47786</v>
      </c>
      <c r="C89" s="799">
        <v>12.883140000000001</v>
      </c>
    </row>
    <row r="90" spans="1:3">
      <c r="A90" s="597">
        <v>1973</v>
      </c>
      <c r="B90" s="804">
        <v>8.5868889999999993</v>
      </c>
      <c r="C90" s="805">
        <v>8.5871110000000002</v>
      </c>
    </row>
    <row r="91" spans="1:3">
      <c r="A91" s="597">
        <v>1974</v>
      </c>
      <c r="B91" s="800">
        <v>6.5834330000000003</v>
      </c>
      <c r="C91" s="799">
        <v>9.3605669999999996</v>
      </c>
    </row>
    <row r="92" spans="1:3">
      <c r="A92" s="597">
        <v>1975</v>
      </c>
      <c r="B92" s="804">
        <v>7.1049750000000005</v>
      </c>
      <c r="C92" s="805">
        <v>9.2810249999999996</v>
      </c>
    </row>
    <row r="93" spans="1:3">
      <c r="A93" s="597">
        <v>1976</v>
      </c>
      <c r="B93" s="800">
        <v>7.0914160000000006</v>
      </c>
      <c r="C93" s="799">
        <v>8.5455839999999998</v>
      </c>
    </row>
    <row r="94" spans="1:3">
      <c r="A94" s="597">
        <v>1977</v>
      </c>
      <c r="B94" s="804">
        <v>10.74737</v>
      </c>
      <c r="C94" s="805">
        <v>8.6696300000000015</v>
      </c>
    </row>
    <row r="95" spans="1:3">
      <c r="A95" s="597">
        <v>1978</v>
      </c>
      <c r="B95" s="800">
        <v>13.332420000000001</v>
      </c>
      <c r="C95" s="799">
        <v>6.8095799999999986</v>
      </c>
    </row>
    <row r="96" spans="1:3">
      <c r="A96" s="597">
        <v>1979</v>
      </c>
      <c r="B96" s="804">
        <v>11.581989999999999</v>
      </c>
      <c r="C96" s="805">
        <v>8.9840099999999996</v>
      </c>
    </row>
    <row r="97" spans="1:3">
      <c r="A97" s="597">
        <v>1980</v>
      </c>
      <c r="B97" s="800">
        <v>11.232940000000001</v>
      </c>
      <c r="C97" s="799">
        <v>5.8020599999999991</v>
      </c>
    </row>
    <row r="98" spans="1:3">
      <c r="A98" s="597">
        <v>1981</v>
      </c>
      <c r="B98" s="804">
        <v>12.046629999999999</v>
      </c>
      <c r="C98" s="805">
        <v>6.3273700000000002</v>
      </c>
    </row>
    <row r="99" spans="1:3">
      <c r="A99" s="597">
        <v>1982</v>
      </c>
      <c r="B99" s="800">
        <v>20.75675</v>
      </c>
      <c r="C99" s="799">
        <v>6.2042499999999983</v>
      </c>
    </row>
    <row r="100" spans="1:3">
      <c r="A100" s="597">
        <v>1983</v>
      </c>
      <c r="B100" s="804">
        <v>23.88092</v>
      </c>
      <c r="C100" s="805">
        <v>6.7100800000000014</v>
      </c>
    </row>
    <row r="101" spans="1:3">
      <c r="A101" s="597">
        <v>1984</v>
      </c>
      <c r="B101" s="800">
        <v>32.110979999999998</v>
      </c>
      <c r="C101" s="799">
        <v>8.1980199999999996</v>
      </c>
    </row>
    <row r="102" spans="1:3">
      <c r="A102" s="597">
        <v>1985</v>
      </c>
      <c r="B102" s="804">
        <v>41.195999999999998</v>
      </c>
      <c r="C102" s="805">
        <v>17.258720000000004</v>
      </c>
    </row>
    <row r="103" spans="1:3">
      <c r="A103" s="597">
        <v>1986</v>
      </c>
      <c r="B103" s="800">
        <v>53.639470000000003</v>
      </c>
      <c r="C103" s="799">
        <v>21.439529999999991</v>
      </c>
    </row>
    <row r="104" spans="1:3">
      <c r="A104" s="597">
        <v>1987</v>
      </c>
      <c r="B104" s="804">
        <v>79.164000000000001</v>
      </c>
      <c r="C104" s="805">
        <v>32.257660000000001</v>
      </c>
    </row>
    <row r="105" spans="1:3">
      <c r="A105" s="597">
        <v>1988</v>
      </c>
      <c r="B105" s="800">
        <v>108.133</v>
      </c>
      <c r="C105" s="799">
        <v>46.432700000000011</v>
      </c>
    </row>
    <row r="106" spans="1:3">
      <c r="A106" s="597">
        <v>1989</v>
      </c>
      <c r="B106" s="804">
        <v>150.459</v>
      </c>
      <c r="C106" s="805">
        <v>56.530500000000018</v>
      </c>
    </row>
    <row r="107" spans="1:3">
      <c r="A107" s="597">
        <v>1990</v>
      </c>
      <c r="B107" s="800">
        <v>187.744</v>
      </c>
      <c r="C107" s="799">
        <v>65.951999999999998</v>
      </c>
    </row>
    <row r="108" spans="1:3">
      <c r="A108" s="597">
        <v>1991</v>
      </c>
      <c r="B108" s="804">
        <v>184.41</v>
      </c>
      <c r="C108" s="805">
        <v>55.257999999999981</v>
      </c>
    </row>
    <row r="109" spans="1:3">
      <c r="A109" s="597">
        <v>1992</v>
      </c>
      <c r="B109" s="800">
        <v>182.45</v>
      </c>
      <c r="C109" s="799">
        <v>58.68</v>
      </c>
    </row>
    <row r="110" spans="1:3">
      <c r="A110" s="597">
        <v>1993</v>
      </c>
      <c r="B110" s="804">
        <v>182.154</v>
      </c>
      <c r="C110" s="805">
        <v>63.709000000000003</v>
      </c>
    </row>
    <row r="111" spans="1:3">
      <c r="A111" s="597">
        <v>1994</v>
      </c>
      <c r="B111" s="800">
        <v>192.953</v>
      </c>
      <c r="C111" s="799">
        <v>62.046999999999997</v>
      </c>
    </row>
    <row r="112" spans="1:3">
      <c r="A112" s="597">
        <v>1995</v>
      </c>
      <c r="B112" s="804">
        <v>196.791</v>
      </c>
      <c r="C112" s="805">
        <v>56.308999999999997</v>
      </c>
    </row>
    <row r="113" spans="1:12">
      <c r="A113" s="597">
        <v>1996</v>
      </c>
      <c r="B113" s="800">
        <v>228.005</v>
      </c>
      <c r="C113" s="799">
        <v>60.875</v>
      </c>
    </row>
    <row r="114" spans="1:12">
      <c r="A114" s="597">
        <v>1997</v>
      </c>
      <c r="B114" s="804">
        <v>238.33535699999999</v>
      </c>
      <c r="C114" s="805">
        <v>75.114643000000001</v>
      </c>
    </row>
    <row r="115" spans="1:12">
      <c r="A115" s="597">
        <v>1998</v>
      </c>
      <c r="B115" s="800">
        <v>231.375</v>
      </c>
      <c r="C115" s="799">
        <v>78.225000000000023</v>
      </c>
    </row>
    <row r="116" spans="1:12">
      <c r="A116" s="597">
        <v>1999</v>
      </c>
      <c r="B116" s="804">
        <f>SUMIF('Gold - Q&amp;V'!D$8:D$508, A116,'Gold - Q&amp;V'!B$8:B$508)</f>
        <v>211.70000000000002</v>
      </c>
      <c r="C116" s="805">
        <v>87.765999999999991</v>
      </c>
    </row>
    <row r="117" spans="1:12">
      <c r="A117" s="597">
        <v>2000</v>
      </c>
      <c r="B117" s="800">
        <f>SUMIF('Gold - Q&amp;V'!D$8:D$508, A117,'Gold - Q&amp;V'!B$8:B$508)</f>
        <v>199.62</v>
      </c>
      <c r="C117" s="799">
        <v>96.00800000000001</v>
      </c>
    </row>
    <row r="118" spans="1:12">
      <c r="A118" s="597">
        <v>2001</v>
      </c>
      <c r="B118" s="804">
        <f>SUMIF('Gold - Q&amp;V'!D$8:D$508, A118,'Gold - Q&amp;V'!B$8:B$508)</f>
        <v>192.20000000000002</v>
      </c>
      <c r="C118" s="805">
        <v>92.826310999999976</v>
      </c>
    </row>
    <row r="119" spans="1:12">
      <c r="A119" s="597">
        <v>2002</v>
      </c>
      <c r="B119" s="800">
        <f>SUMIF('Gold - Q&amp;V'!D$8:D$508, A119,'Gold - Q&amp;V'!B$8:B$508)</f>
        <v>188.75</v>
      </c>
      <c r="C119" s="799">
        <v>77.281331999999992</v>
      </c>
    </row>
    <row r="120" spans="1:12">
      <c r="A120" s="597">
        <v>2003</v>
      </c>
      <c r="B120" s="804">
        <f>SUMIF('Gold - Q&amp;V'!D$8:D$508, A120,'Gold - Q&amp;V'!B$8:B$508)</f>
        <v>187.59</v>
      </c>
      <c r="C120" s="805">
        <v>96.716024000000004</v>
      </c>
    </row>
    <row r="121" spans="1:12">
      <c r="A121" s="597">
        <v>2004</v>
      </c>
      <c r="B121" s="800">
        <f>SUMIF('Gold - Q&amp;V'!D$8:D$508, A121,'Gold - Q&amp;V'!B$8:B$508)</f>
        <v>163.88</v>
      </c>
      <c r="C121" s="799">
        <v>94.578000000000003</v>
      </c>
    </row>
    <row r="122" spans="1:12">
      <c r="A122" s="597">
        <v>2005</v>
      </c>
      <c r="B122" s="804">
        <f>SUMIF('Gold - Q&amp;V'!D$8:D$508, A122,'Gold - Q&amp;V'!B$8:B$508)</f>
        <v>167.28532349</v>
      </c>
      <c r="C122" s="805">
        <v>92.165999999999997</v>
      </c>
    </row>
    <row r="123" spans="1:12">
      <c r="A123" s="597">
        <v>2006</v>
      </c>
      <c r="B123" s="800">
        <f>SUMIF('Gold - Q&amp;V'!D$8:D$508, A123,'Gold - Q&amp;V'!B$8:B$508)</f>
        <v>162.96909348999998</v>
      </c>
      <c r="C123" s="799">
        <v>80.349999999999994</v>
      </c>
    </row>
    <row r="124" spans="1:12">
      <c r="A124" s="597">
        <v>2007</v>
      </c>
      <c r="B124" s="804">
        <f>SUMIF('Gold - Q&amp;V'!D$8:D$508, A124,'Gold - Q&amp;V'!B$8:B$508)</f>
        <v>151.44883905999998</v>
      </c>
      <c r="C124" s="805">
        <v>92.31</v>
      </c>
      <c r="L124" s="126"/>
    </row>
    <row r="125" spans="1:12">
      <c r="A125" s="597">
        <v>2008</v>
      </c>
      <c r="B125" s="800">
        <f>SUMIF('Gold - Q&amp;V'!D$8:D$508, A125,'Gold - Q&amp;V'!B$8:B$508)</f>
        <v>132.07425353000002</v>
      </c>
      <c r="C125" s="799">
        <v>83.175999999999988</v>
      </c>
    </row>
    <row r="126" spans="1:12">
      <c r="A126" s="597">
        <v>2009</v>
      </c>
      <c r="B126" s="804">
        <f>SUMIF('Gold - Q&amp;V'!D$8:D$508, A126,'Gold - Q&amp;V'!B$8:B$508)</f>
        <v>146.42791006000002</v>
      </c>
      <c r="C126" s="805">
        <v>71.5</v>
      </c>
    </row>
    <row r="127" spans="1:12">
      <c r="A127" s="597">
        <v>2010</v>
      </c>
      <c r="B127" s="800">
        <f>SUMIF('Gold - Q&amp;V'!D$8:D$508, A127,'Gold - Q&amp;V'!B$8:B$508)</f>
        <v>182.89955302999999</v>
      </c>
      <c r="C127" s="799">
        <v>77.5</v>
      </c>
    </row>
    <row r="128" spans="1:12">
      <c r="A128" s="597">
        <v>2011</v>
      </c>
      <c r="B128" s="804">
        <f>SUMIF('Gold - Q&amp;V'!D$8:D$508, A128,'Gold - Q&amp;V'!B$8:B$508)</f>
        <v>179.60817457000002</v>
      </c>
      <c r="C128" s="805">
        <v>78.400000000000006</v>
      </c>
    </row>
    <row r="129" spans="1:6">
      <c r="A129" s="597">
        <v>2012</v>
      </c>
      <c r="B129" s="800">
        <f>SUMIF('Gold - Q&amp;V'!D$8:D$508, A129,'Gold - Q&amp;V'!B$8:B$508)</f>
        <v>181.28663516</v>
      </c>
      <c r="C129" s="799">
        <v>69.5</v>
      </c>
    </row>
    <row r="130" spans="1:6">
      <c r="A130" s="597">
        <v>2013</v>
      </c>
      <c r="B130" s="804">
        <f>SUMIF('Gold - Q&amp;V'!D$8:D$508, A130,'Gold - Q&amp;V'!B$8:B$508)</f>
        <v>187.45436469999999</v>
      </c>
      <c r="C130" s="805">
        <v>81.7</v>
      </c>
    </row>
    <row r="131" spans="1:6">
      <c r="A131" s="597">
        <v>2014</v>
      </c>
      <c r="B131" s="800">
        <f>SUMIF('Gold - Q&amp;V'!D$8:D$508, A131,'Gold - Q&amp;V'!B$8:B$508)</f>
        <v>194.73649055852593</v>
      </c>
      <c r="C131" s="799">
        <v>85.5</v>
      </c>
    </row>
    <row r="132" spans="1:6">
      <c r="A132" s="597">
        <v>2015</v>
      </c>
      <c r="B132" s="804">
        <f>SUMIF('Gold - Q&amp;V'!D$8:D$508, A132,'Gold - Q&amp;V'!B$8:B$508)</f>
        <v>194.46998849169691</v>
      </c>
      <c r="C132" s="805">
        <v>89.7</v>
      </c>
      <c r="F132" s="126"/>
    </row>
    <row r="133" spans="1:6">
      <c r="A133" s="597">
        <v>2016</v>
      </c>
      <c r="B133" s="800">
        <f>SUMIF('Gold - Q&amp;V'!D$8:D$508, A133,'Gold - Q&amp;V'!B$8:B$508)</f>
        <v>197.02509114887081</v>
      </c>
      <c r="C133" s="799">
        <v>94.1</v>
      </c>
    </row>
    <row r="134" spans="1:6">
      <c r="A134" s="597">
        <v>2017</v>
      </c>
      <c r="B134" s="804">
        <f>SUMIF('Gold - Q&amp;V'!D$8:D$508, A134,'Gold - Q&amp;V'!B$8:B$508)</f>
        <v>210.8632633815127</v>
      </c>
      <c r="C134" s="805">
        <v>87.5</v>
      </c>
    </row>
    <row r="135" spans="1:6">
      <c r="A135" s="597">
        <v>2018</v>
      </c>
      <c r="B135" s="800">
        <f>SUMIF('Gold - Q&amp;V'!D$8:D$508, A135,'Gold - Q&amp;V'!B$8:B$508)</f>
        <v>212.11582052473506</v>
      </c>
      <c r="C135" s="799">
        <v>96.2</v>
      </c>
    </row>
    <row r="136" spans="1:6">
      <c r="A136" s="597">
        <v>2019</v>
      </c>
      <c r="B136" s="804">
        <f>SUMIF('Gold - Q&amp;V'!D$8:D$508, A136,'Gold - Q&amp;V'!B$8:B$508)</f>
        <v>213.89367239593537</v>
      </c>
      <c r="C136" s="805">
        <v>106.3</v>
      </c>
    </row>
    <row r="137" spans="1:6" ht="15.75" thickBot="1">
      <c r="A137" s="598">
        <v>2020</v>
      </c>
      <c r="B137" s="881">
        <f>SUMIF('Gold - Q&amp;V'!D$8:D$508, A137,'Gold - Q&amp;V'!B$8:B$508)</f>
        <v>209.57667102115974</v>
      </c>
      <c r="C137" s="1666">
        <v>107.93</v>
      </c>
    </row>
    <row r="140" spans="1:6">
      <c r="A140" s="431"/>
      <c r="B140" s="431"/>
      <c r="C140" s="431"/>
    </row>
    <row r="141" spans="1:6">
      <c r="A141" s="431"/>
      <c r="B141" s="431"/>
      <c r="C141" s="431"/>
    </row>
    <row r="142" spans="1:6">
      <c r="A142" s="431"/>
      <c r="B142" s="431"/>
      <c r="C142" s="431"/>
    </row>
    <row r="143" spans="1:6">
      <c r="A143" s="431"/>
      <c r="B143" s="431"/>
      <c r="C143" s="431"/>
    </row>
    <row r="144" spans="1:6">
      <c r="A144" s="431"/>
      <c r="B144" s="431"/>
      <c r="C144" s="431"/>
    </row>
    <row r="145" spans="1:3">
      <c r="A145" s="431"/>
      <c r="B145" s="431"/>
      <c r="C145" s="431"/>
    </row>
    <row r="146" spans="1:3">
      <c r="A146" s="431"/>
      <c r="B146" s="431"/>
      <c r="C146" s="431"/>
    </row>
    <row r="147" spans="1:3">
      <c r="A147" s="431"/>
      <c r="B147" s="431"/>
      <c r="C147" s="431"/>
    </row>
  </sheetData>
  <mergeCells count="3">
    <mergeCell ref="A5:C5"/>
    <mergeCell ref="P5:R5"/>
    <mergeCell ref="P6:R6"/>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A1:AT226"/>
  <sheetViews>
    <sheetView showGridLines="0" workbookViewId="0">
      <pane xSplit="3" ySplit="8" topLeftCell="M9" activePane="bottomRight" state="frozen"/>
      <selection pane="topRight" activeCell="D1" sqref="D1"/>
      <selection pane="bottomLeft" activeCell="A9" sqref="A9"/>
      <selection pane="bottomRight" activeCell="AI10" sqref="AI10"/>
    </sheetView>
  </sheetViews>
  <sheetFormatPr defaultColWidth="9.140625" defaultRowHeight="15"/>
  <cols>
    <col min="1" max="1" width="5.42578125" style="37" customWidth="1"/>
    <col min="2" max="2" width="26.42578125" style="37" customWidth="1"/>
    <col min="3" max="3" width="12.5703125" style="37" hidden="1" customWidth="1"/>
    <col min="4" max="4" width="17" style="37" customWidth="1"/>
    <col min="5" max="30" width="9.140625" style="37" bestFit="1" customWidth="1"/>
    <col min="31" max="31" width="9.140625" style="333" bestFit="1" customWidth="1"/>
    <col min="32" max="32" width="9.140625" style="459" bestFit="1" customWidth="1"/>
    <col min="33" max="33" width="9.140625" style="492" customWidth="1"/>
    <col min="34" max="35" width="9.140625" style="535" customWidth="1"/>
    <col min="36" max="36" width="0.5703125" style="37" customWidth="1"/>
    <col min="37" max="37" width="16.5703125" style="37" bestFit="1" customWidth="1"/>
    <col min="38" max="38" width="13.28515625" style="37" customWidth="1"/>
    <col min="39" max="40" width="9.140625" style="37" customWidth="1"/>
    <col min="41" max="41" width="12.140625" style="37" bestFit="1" customWidth="1"/>
    <col min="42" max="45" width="9.140625" style="37"/>
    <col min="46" max="46" width="13.85546875" style="37" bestFit="1" customWidth="1"/>
    <col min="47" max="16384" width="9.140625" style="37"/>
  </cols>
  <sheetData>
    <row r="1" spans="1:46">
      <c r="E1" s="38"/>
    </row>
    <row r="5" spans="1:46" ht="18.75" customHeight="1">
      <c r="B5" s="45"/>
      <c r="C5" s="46"/>
      <c r="D5" s="46"/>
      <c r="E5" s="46"/>
      <c r="F5" s="46"/>
      <c r="G5" s="46"/>
      <c r="H5" s="46"/>
      <c r="I5" s="46"/>
      <c r="J5" s="46"/>
      <c r="K5" s="46"/>
      <c r="L5" s="46"/>
      <c r="M5" s="46"/>
      <c r="N5" s="46"/>
      <c r="O5" s="46"/>
      <c r="P5" s="46"/>
      <c r="Q5" s="46"/>
      <c r="R5" s="46"/>
      <c r="S5" s="46"/>
      <c r="T5" s="46"/>
      <c r="U5" s="46"/>
      <c r="V5" s="167"/>
      <c r="W5" s="46"/>
      <c r="X5" s="46"/>
      <c r="Y5" s="46"/>
      <c r="Z5" s="46"/>
      <c r="AA5" s="46"/>
      <c r="AB5" s="46"/>
      <c r="AC5" s="46"/>
      <c r="AD5" s="46"/>
      <c r="AE5" s="237"/>
      <c r="AF5" s="237"/>
      <c r="AG5" s="237"/>
      <c r="AH5" s="237"/>
      <c r="AI5" s="237"/>
      <c r="AJ5" s="46"/>
      <c r="AK5" s="46"/>
    </row>
    <row r="6" spans="1:46">
      <c r="A6" s="1992" t="s">
        <v>1</v>
      </c>
      <c r="B6" s="1992"/>
      <c r="C6" s="46"/>
      <c r="D6" s="46"/>
      <c r="E6" s="46"/>
      <c r="F6" s="46"/>
      <c r="G6" s="46"/>
      <c r="H6" s="46"/>
      <c r="I6" s="46"/>
      <c r="J6" s="46"/>
      <c r="K6" s="46"/>
      <c r="L6" s="46"/>
      <c r="M6" s="46"/>
      <c r="N6" s="46"/>
      <c r="O6" s="46"/>
      <c r="P6" s="46"/>
      <c r="Q6" s="46"/>
      <c r="R6" s="46"/>
      <c r="S6" s="46"/>
      <c r="T6" s="46"/>
      <c r="U6" s="46"/>
      <c r="V6" s="167"/>
      <c r="W6" s="46"/>
      <c r="X6" s="46"/>
      <c r="Y6" s="46"/>
      <c r="Z6" s="46"/>
      <c r="AA6" s="46"/>
      <c r="AB6" s="46"/>
      <c r="AC6" s="46"/>
      <c r="AD6" s="46"/>
      <c r="AE6" s="237"/>
      <c r="AF6" s="237"/>
      <c r="AG6" s="237"/>
      <c r="AH6" s="237"/>
      <c r="AI6" s="237"/>
      <c r="AJ6" s="46"/>
      <c r="AK6" s="46"/>
    </row>
    <row r="7" spans="1:46" ht="15.75" thickBot="1">
      <c r="A7" s="2009" t="s">
        <v>681</v>
      </c>
      <c r="B7" s="2009"/>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237"/>
      <c r="AF7" s="237"/>
      <c r="AG7" s="237"/>
      <c r="AH7" s="237"/>
      <c r="AI7" s="237"/>
      <c r="AJ7" s="46"/>
      <c r="AK7" s="46"/>
    </row>
    <row r="8" spans="1:46" s="39" customFormat="1" ht="27" customHeight="1" thickBot="1">
      <c r="A8" s="870" t="s">
        <v>89</v>
      </c>
      <c r="B8" s="870"/>
      <c r="C8" s="312" t="s">
        <v>90</v>
      </c>
      <c r="D8" s="869" t="s">
        <v>91</v>
      </c>
      <c r="E8" s="858">
        <v>1990</v>
      </c>
      <c r="F8" s="858">
        <v>1991</v>
      </c>
      <c r="G8" s="858">
        <v>1992</v>
      </c>
      <c r="H8" s="858">
        <v>1993</v>
      </c>
      <c r="I8" s="858">
        <v>1994</v>
      </c>
      <c r="J8" s="858">
        <v>1995</v>
      </c>
      <c r="K8" s="858">
        <v>1996</v>
      </c>
      <c r="L8" s="858">
        <v>1997</v>
      </c>
      <c r="M8" s="858">
        <v>1998</v>
      </c>
      <c r="N8" s="858">
        <v>1999</v>
      </c>
      <c r="O8" s="858">
        <v>2000</v>
      </c>
      <c r="P8" s="858">
        <v>2001</v>
      </c>
      <c r="Q8" s="858">
        <v>2002</v>
      </c>
      <c r="R8" s="858">
        <v>2003</v>
      </c>
      <c r="S8" s="858">
        <v>2004</v>
      </c>
      <c r="T8" s="858">
        <v>2005</v>
      </c>
      <c r="U8" s="858">
        <v>2006</v>
      </c>
      <c r="V8" s="858">
        <v>2007</v>
      </c>
      <c r="W8" s="858">
        <v>2008</v>
      </c>
      <c r="X8" s="858">
        <v>2009</v>
      </c>
      <c r="Y8" s="858">
        <v>2010</v>
      </c>
      <c r="Z8" s="858">
        <v>2011</v>
      </c>
      <c r="AA8" s="858">
        <v>2012</v>
      </c>
      <c r="AB8" s="858">
        <v>2013</v>
      </c>
      <c r="AC8" s="858">
        <v>2014</v>
      </c>
      <c r="AD8" s="858">
        <v>2015</v>
      </c>
      <c r="AE8" s="858">
        <v>2016</v>
      </c>
      <c r="AF8" s="858">
        <v>2017</v>
      </c>
      <c r="AG8" s="858">
        <v>2018</v>
      </c>
      <c r="AH8" s="858">
        <v>2019</v>
      </c>
      <c r="AI8" s="858">
        <v>2020</v>
      </c>
      <c r="AJ8" s="858"/>
      <c r="AK8" s="859" t="s">
        <v>92</v>
      </c>
    </row>
    <row r="9" spans="1:46">
      <c r="A9" s="871" t="s">
        <v>93</v>
      </c>
      <c r="B9" s="1329"/>
      <c r="C9" s="49"/>
      <c r="D9" s="860">
        <v>16091.545125539798</v>
      </c>
      <c r="E9" s="860">
        <v>0</v>
      </c>
      <c r="F9" s="860">
        <v>0</v>
      </c>
      <c r="G9" s="860">
        <v>0</v>
      </c>
      <c r="H9" s="860">
        <v>0</v>
      </c>
      <c r="I9" s="860">
        <v>0</v>
      </c>
      <c r="J9" s="860">
        <v>0</v>
      </c>
      <c r="K9" s="860">
        <v>0</v>
      </c>
      <c r="L9" s="860">
        <v>0</v>
      </c>
      <c r="M9" s="860">
        <v>0</v>
      </c>
      <c r="N9" s="860">
        <v>0</v>
      </c>
      <c r="O9" s="860">
        <v>0</v>
      </c>
      <c r="P9" s="860">
        <v>0</v>
      </c>
      <c r="Q9" s="860">
        <v>0</v>
      </c>
      <c r="R9" s="860">
        <v>0</v>
      </c>
      <c r="S9" s="860">
        <v>0</v>
      </c>
      <c r="T9" s="860">
        <v>40303</v>
      </c>
      <c r="U9" s="860">
        <v>74957</v>
      </c>
      <c r="V9" s="860">
        <v>70028</v>
      </c>
      <c r="W9" s="860">
        <v>79015</v>
      </c>
      <c r="X9" s="860">
        <v>75934</v>
      </c>
      <c r="Y9" s="860">
        <v>60425</v>
      </c>
      <c r="Z9" s="860">
        <v>74474</v>
      </c>
      <c r="AA9" s="860">
        <v>70727</v>
      </c>
      <c r="AB9" s="860">
        <v>100457</v>
      </c>
      <c r="AC9" s="860">
        <v>88600</v>
      </c>
      <c r="AD9" s="860">
        <v>80631.349000000002</v>
      </c>
      <c r="AE9" s="860">
        <v>68516.398000000001</v>
      </c>
      <c r="AF9" s="860">
        <v>48872.613000000005</v>
      </c>
      <c r="AG9" s="860">
        <v>565.89099999999996</v>
      </c>
      <c r="AH9" s="860">
        <v>0</v>
      </c>
      <c r="AI9" s="860">
        <v>0</v>
      </c>
      <c r="AJ9" s="860"/>
      <c r="AK9" s="861">
        <f>SUM($D9:AJ9)</f>
        <v>949597.79612553981</v>
      </c>
      <c r="AM9" s="39"/>
    </row>
    <row r="10" spans="1:46">
      <c r="A10" s="871" t="s">
        <v>94</v>
      </c>
      <c r="B10" s="1330"/>
      <c r="C10" s="50"/>
      <c r="D10" s="862">
        <v>1977855.2878702015</v>
      </c>
      <c r="E10" s="862">
        <v>431837.35051466379</v>
      </c>
      <c r="F10" s="862">
        <v>331280</v>
      </c>
      <c r="G10" s="862">
        <v>377326</v>
      </c>
      <c r="H10" s="862">
        <v>368879.51</v>
      </c>
      <c r="I10" s="862">
        <v>330246.38</v>
      </c>
      <c r="J10" s="862">
        <v>288696.33333333337</v>
      </c>
      <c r="K10" s="862">
        <v>317056</v>
      </c>
      <c r="L10" s="862">
        <v>411822</v>
      </c>
      <c r="M10" s="862">
        <v>452776.97</v>
      </c>
      <c r="N10" s="862">
        <v>315523</v>
      </c>
      <c r="O10" s="862">
        <v>244855.82800000001</v>
      </c>
      <c r="P10" s="862">
        <v>284727.23</v>
      </c>
      <c r="Q10" s="862">
        <v>271869.93300000002</v>
      </c>
      <c r="R10" s="862">
        <v>303776.11099999998</v>
      </c>
      <c r="S10" s="862">
        <v>88709.48</v>
      </c>
      <c r="T10" s="862">
        <v>424513</v>
      </c>
      <c r="U10" s="862">
        <v>356935</v>
      </c>
      <c r="V10" s="862">
        <v>308469</v>
      </c>
      <c r="W10" s="862">
        <v>312411</v>
      </c>
      <c r="X10" s="862">
        <v>326493</v>
      </c>
      <c r="Y10" s="862">
        <v>361174</v>
      </c>
      <c r="Z10" s="862">
        <v>325656</v>
      </c>
      <c r="AA10" s="862">
        <v>184932</v>
      </c>
      <c r="AB10" s="862">
        <v>163179</v>
      </c>
      <c r="AC10" s="862">
        <v>159961</v>
      </c>
      <c r="AD10" s="862">
        <v>142394.74400000001</v>
      </c>
      <c r="AE10" s="862">
        <v>187172.307</v>
      </c>
      <c r="AF10" s="862">
        <v>230709.35599999997</v>
      </c>
      <c r="AG10" s="862">
        <v>155579.962</v>
      </c>
      <c r="AH10" s="862">
        <v>187132</v>
      </c>
      <c r="AI10" s="862">
        <v>181866.97899999999</v>
      </c>
      <c r="AJ10" s="862"/>
      <c r="AK10" s="863">
        <f>SUM($D10:AJ10)</f>
        <v>10805815.761718199</v>
      </c>
    </row>
    <row r="11" spans="1:46">
      <c r="A11" s="871" t="s">
        <v>95</v>
      </c>
      <c r="B11" s="1330"/>
      <c r="C11" s="51"/>
      <c r="D11" s="860">
        <v>3213516.9884779765</v>
      </c>
      <c r="E11" s="860">
        <v>644493.86634359986</v>
      </c>
      <c r="F11" s="860">
        <v>515564</v>
      </c>
      <c r="G11" s="860">
        <v>551705</v>
      </c>
      <c r="H11" s="860">
        <v>580416</v>
      </c>
      <c r="I11" s="860">
        <v>685049</v>
      </c>
      <c r="J11" s="860">
        <v>728244</v>
      </c>
      <c r="K11" s="860">
        <v>968155</v>
      </c>
      <c r="L11" s="860">
        <v>1071738.3333333335</v>
      </c>
      <c r="M11" s="860">
        <v>763794.10900000005</v>
      </c>
      <c r="N11" s="860">
        <v>573344.81999999995</v>
      </c>
      <c r="O11" s="860">
        <v>597815</v>
      </c>
      <c r="P11" s="860">
        <v>628892.07499999995</v>
      </c>
      <c r="Q11" s="860">
        <v>704657.74309999996</v>
      </c>
      <c r="R11" s="860">
        <v>786061</v>
      </c>
      <c r="S11" s="860">
        <v>638915</v>
      </c>
      <c r="T11" s="860">
        <v>665549</v>
      </c>
      <c r="U11" s="860">
        <v>626545</v>
      </c>
      <c r="V11" s="860">
        <v>604206</v>
      </c>
      <c r="W11" s="860">
        <v>599150</v>
      </c>
      <c r="X11" s="860">
        <v>836396</v>
      </c>
      <c r="Y11" s="860">
        <v>1037238</v>
      </c>
      <c r="Z11" s="860">
        <v>974444</v>
      </c>
      <c r="AA11" s="860">
        <v>1062069</v>
      </c>
      <c r="AB11" s="860">
        <v>1034311</v>
      </c>
      <c r="AC11" s="860">
        <v>983434</v>
      </c>
      <c r="AD11" s="860">
        <v>1022496.059</v>
      </c>
      <c r="AE11" s="860">
        <v>957975.44499999995</v>
      </c>
      <c r="AF11" s="860">
        <v>907644.2</v>
      </c>
      <c r="AG11" s="860">
        <v>998411.44700000004</v>
      </c>
      <c r="AH11" s="860">
        <v>986620</v>
      </c>
      <c r="AI11" s="860">
        <v>947281.93499999994</v>
      </c>
      <c r="AJ11" s="860"/>
      <c r="AK11" s="864">
        <f>SUM($D11:AJ11)</f>
        <v>27896133.021254908</v>
      </c>
    </row>
    <row r="12" spans="1:46">
      <c r="A12" s="871" t="s">
        <v>96</v>
      </c>
      <c r="B12" s="1330"/>
      <c r="C12" s="50"/>
      <c r="D12" s="862">
        <v>4715372.5638515139</v>
      </c>
      <c r="E12" s="862">
        <v>89282.623308199996</v>
      </c>
      <c r="F12" s="862">
        <v>57499</v>
      </c>
      <c r="G12" s="862">
        <v>49377</v>
      </c>
      <c r="H12" s="862">
        <v>74419</v>
      </c>
      <c r="I12" s="862">
        <v>89244</v>
      </c>
      <c r="J12" s="862">
        <v>107090</v>
      </c>
      <c r="K12" s="862">
        <v>144084</v>
      </c>
      <c r="L12" s="862">
        <v>145969</v>
      </c>
      <c r="M12" s="862">
        <v>116908</v>
      </c>
      <c r="N12" s="862">
        <v>111629</v>
      </c>
      <c r="O12" s="862">
        <v>109612</v>
      </c>
      <c r="P12" s="862">
        <v>128495</v>
      </c>
      <c r="Q12" s="862">
        <v>131153.67000000001</v>
      </c>
      <c r="R12" s="862">
        <v>129715.77</v>
      </c>
      <c r="S12" s="862">
        <v>133571</v>
      </c>
      <c r="T12" s="862">
        <v>88494</v>
      </c>
      <c r="U12" s="862">
        <v>71403</v>
      </c>
      <c r="V12" s="862">
        <v>81676</v>
      </c>
      <c r="W12" s="862">
        <v>79803</v>
      </c>
      <c r="X12" s="862">
        <v>73087</v>
      </c>
      <c r="Y12" s="862">
        <v>52846</v>
      </c>
      <c r="Z12" s="862">
        <v>49820</v>
      </c>
      <c r="AA12" s="862">
        <v>18773</v>
      </c>
      <c r="AB12" s="862">
        <v>11757</v>
      </c>
      <c r="AC12" s="862">
        <v>23622</v>
      </c>
      <c r="AD12" s="862">
        <v>15079.38</v>
      </c>
      <c r="AE12" s="862">
        <v>7017.3769999999995</v>
      </c>
      <c r="AF12" s="862">
        <v>22733.147000000001</v>
      </c>
      <c r="AG12" s="862">
        <v>14926.344000000001</v>
      </c>
      <c r="AH12" s="862">
        <v>0</v>
      </c>
      <c r="AI12" s="862">
        <v>0</v>
      </c>
      <c r="AJ12" s="862"/>
      <c r="AK12" s="863">
        <f>SUM($D12:AJ12)</f>
        <v>6944458.8751597134</v>
      </c>
    </row>
    <row r="13" spans="1:46">
      <c r="A13" s="871" t="s">
        <v>97</v>
      </c>
      <c r="B13" s="1330"/>
      <c r="C13" s="50"/>
      <c r="D13" s="860">
        <v>43818169.688666008</v>
      </c>
      <c r="E13" s="860">
        <v>860739.7879752001</v>
      </c>
      <c r="F13" s="860">
        <v>866120</v>
      </c>
      <c r="G13" s="860">
        <v>1035071</v>
      </c>
      <c r="H13" s="860">
        <v>1059577</v>
      </c>
      <c r="I13" s="860">
        <v>1104361.3333333333</v>
      </c>
      <c r="J13" s="860">
        <v>958477</v>
      </c>
      <c r="K13" s="860">
        <v>1061930</v>
      </c>
      <c r="L13" s="860">
        <v>1114679</v>
      </c>
      <c r="M13" s="860">
        <v>1108776</v>
      </c>
      <c r="N13" s="860">
        <v>1125368</v>
      </c>
      <c r="O13" s="860">
        <v>1062720</v>
      </c>
      <c r="P13" s="860">
        <v>937598.21009396785</v>
      </c>
      <c r="Q13" s="860">
        <v>945126.93800000008</v>
      </c>
      <c r="R13" s="860">
        <v>1003704</v>
      </c>
      <c r="S13" s="860">
        <v>1192062</v>
      </c>
      <c r="T13" s="860">
        <v>910775</v>
      </c>
      <c r="U13" s="860">
        <v>776281</v>
      </c>
      <c r="V13" s="860">
        <v>657954</v>
      </c>
      <c r="W13" s="860">
        <v>653918</v>
      </c>
      <c r="X13" s="860">
        <v>779025</v>
      </c>
      <c r="Y13" s="860">
        <v>911400</v>
      </c>
      <c r="Z13" s="860">
        <v>976735</v>
      </c>
      <c r="AA13" s="860">
        <v>918530</v>
      </c>
      <c r="AB13" s="860">
        <v>860347</v>
      </c>
      <c r="AC13" s="860">
        <v>815935</v>
      </c>
      <c r="AD13" s="860">
        <v>746019.87899999996</v>
      </c>
      <c r="AE13" s="860">
        <v>935173.39399999997</v>
      </c>
      <c r="AF13" s="860">
        <v>938395.23100000003</v>
      </c>
      <c r="AG13" s="860">
        <v>827712.52</v>
      </c>
      <c r="AH13" s="860">
        <v>596753</v>
      </c>
      <c r="AI13" s="860">
        <v>611608.0120000001</v>
      </c>
      <c r="AJ13" s="860"/>
      <c r="AK13" s="864">
        <f>SUM($D13:AJ13)</f>
        <v>72171041.994068503</v>
      </c>
    </row>
    <row r="14" spans="1:46">
      <c r="A14" s="871" t="s">
        <v>98</v>
      </c>
      <c r="B14" s="1330"/>
      <c r="C14" s="356"/>
      <c r="D14" s="862">
        <v>4990730.2373176888</v>
      </c>
      <c r="E14" s="862">
        <v>525664.70691000007</v>
      </c>
      <c r="F14" s="862">
        <v>629017</v>
      </c>
      <c r="G14" s="862">
        <v>540341</v>
      </c>
      <c r="H14" s="862">
        <v>499632</v>
      </c>
      <c r="I14" s="862">
        <v>519432</v>
      </c>
      <c r="J14" s="862">
        <v>663521</v>
      </c>
      <c r="K14" s="862">
        <v>1197542</v>
      </c>
      <c r="L14" s="862">
        <v>1145193</v>
      </c>
      <c r="M14" s="862">
        <v>1291156.83</v>
      </c>
      <c r="N14" s="862">
        <v>1189707</v>
      </c>
      <c r="O14" s="862">
        <v>1095356.9949999999</v>
      </c>
      <c r="P14" s="862">
        <v>1234636.3048</v>
      </c>
      <c r="Q14" s="862">
        <v>1076479.808</v>
      </c>
      <c r="R14" s="862">
        <v>948995</v>
      </c>
      <c r="S14" s="862">
        <v>850412</v>
      </c>
      <c r="T14" s="862">
        <v>1183335</v>
      </c>
      <c r="U14" s="862">
        <v>1091842</v>
      </c>
      <c r="V14" s="862">
        <v>1014154</v>
      </c>
      <c r="W14" s="862">
        <v>863492</v>
      </c>
      <c r="X14" s="862">
        <v>898020</v>
      </c>
      <c r="Y14" s="862">
        <v>813941</v>
      </c>
      <c r="Z14" s="862">
        <v>814885</v>
      </c>
      <c r="AA14" s="862">
        <v>852148</v>
      </c>
      <c r="AB14" s="862">
        <v>703005</v>
      </c>
      <c r="AC14" s="862">
        <v>519221</v>
      </c>
      <c r="AD14" s="862">
        <v>486445.80599999998</v>
      </c>
      <c r="AE14" s="862">
        <v>581575.65500000003</v>
      </c>
      <c r="AF14" s="862">
        <v>766506.6719999999</v>
      </c>
      <c r="AG14" s="862">
        <v>841799.44900000002</v>
      </c>
      <c r="AH14" s="862">
        <v>875901</v>
      </c>
      <c r="AI14" s="862">
        <v>776760.31</v>
      </c>
      <c r="AJ14" s="862"/>
      <c r="AK14" s="863">
        <f>SUM($D14:AJ14)</f>
        <v>31480848.774027687</v>
      </c>
      <c r="AQ14" s="43"/>
      <c r="AR14" s="41"/>
      <c r="AS14" s="41"/>
      <c r="AT14" s="41"/>
    </row>
    <row r="15" spans="1:46">
      <c r="A15" s="871" t="s">
        <v>99</v>
      </c>
      <c r="B15" s="1330"/>
      <c r="C15" s="356"/>
      <c r="D15" s="860">
        <v>8736.0330168986002</v>
      </c>
      <c r="E15" s="860">
        <v>0</v>
      </c>
      <c r="F15" s="860">
        <v>0</v>
      </c>
      <c r="G15" s="860">
        <v>0</v>
      </c>
      <c r="H15" s="860">
        <v>0</v>
      </c>
      <c r="I15" s="860">
        <v>0</v>
      </c>
      <c r="J15" s="860">
        <v>0</v>
      </c>
      <c r="K15" s="860">
        <v>0</v>
      </c>
      <c r="L15" s="860">
        <v>0</v>
      </c>
      <c r="M15" s="860">
        <v>0</v>
      </c>
      <c r="N15" s="860">
        <v>0</v>
      </c>
      <c r="O15" s="860">
        <v>0</v>
      </c>
      <c r="P15" s="860">
        <v>0</v>
      </c>
      <c r="Q15" s="860">
        <v>0</v>
      </c>
      <c r="R15" s="860">
        <v>0</v>
      </c>
      <c r="S15" s="860">
        <v>0</v>
      </c>
      <c r="T15" s="860">
        <v>0</v>
      </c>
      <c r="U15" s="860">
        <v>0</v>
      </c>
      <c r="V15" s="860">
        <v>0</v>
      </c>
      <c r="W15" s="860">
        <v>0</v>
      </c>
      <c r="X15" s="860">
        <v>0</v>
      </c>
      <c r="Y15" s="860">
        <v>0</v>
      </c>
      <c r="Z15" s="860">
        <v>0</v>
      </c>
      <c r="AA15" s="860">
        <v>0</v>
      </c>
      <c r="AB15" s="860">
        <v>0</v>
      </c>
      <c r="AC15" s="860">
        <v>0</v>
      </c>
      <c r="AD15" s="860">
        <v>0</v>
      </c>
      <c r="AE15" s="860">
        <v>0</v>
      </c>
      <c r="AF15" s="860">
        <v>0</v>
      </c>
      <c r="AG15" s="860">
        <v>0</v>
      </c>
      <c r="AH15" s="860">
        <v>0</v>
      </c>
      <c r="AI15" s="860">
        <v>0</v>
      </c>
      <c r="AJ15" s="860"/>
      <c r="AK15" s="864">
        <f>SUM($D15:AJ15)</f>
        <v>8736.0330168986002</v>
      </c>
      <c r="AQ15" s="43"/>
      <c r="AR15" s="41"/>
      <c r="AS15" s="41"/>
      <c r="AT15" s="41"/>
    </row>
    <row r="16" spans="1:46">
      <c r="A16" s="871" t="s">
        <v>100</v>
      </c>
      <c r="B16" s="1330"/>
      <c r="C16" s="356"/>
      <c r="D16" s="862">
        <v>34672.104600611798</v>
      </c>
      <c r="E16" s="862">
        <v>0</v>
      </c>
      <c r="F16" s="862">
        <v>0</v>
      </c>
      <c r="G16" s="862">
        <v>0</v>
      </c>
      <c r="H16" s="862">
        <v>0</v>
      </c>
      <c r="I16" s="862">
        <v>0</v>
      </c>
      <c r="J16" s="862">
        <v>17467</v>
      </c>
      <c r="K16" s="862">
        <v>43500</v>
      </c>
      <c r="L16" s="862">
        <v>12107</v>
      </c>
      <c r="M16" s="862">
        <v>0</v>
      </c>
      <c r="N16" s="862">
        <v>0</v>
      </c>
      <c r="O16" s="862">
        <v>0</v>
      </c>
      <c r="P16" s="862">
        <v>0</v>
      </c>
      <c r="Q16" s="862">
        <v>1557</v>
      </c>
      <c r="R16" s="862">
        <v>2193.75</v>
      </c>
      <c r="S16" s="862">
        <v>0</v>
      </c>
      <c r="T16" s="862">
        <v>0</v>
      </c>
      <c r="U16" s="862">
        <v>2000</v>
      </c>
      <c r="V16" s="862">
        <v>18446</v>
      </c>
      <c r="W16" s="862">
        <v>21754</v>
      </c>
      <c r="X16" s="862">
        <v>37109</v>
      </c>
      <c r="Y16" s="862">
        <v>41669</v>
      </c>
      <c r="Z16" s="862">
        <v>41741</v>
      </c>
      <c r="AA16" s="862">
        <v>41982</v>
      </c>
      <c r="AB16" s="862">
        <v>11348</v>
      </c>
      <c r="AC16" s="862">
        <v>847</v>
      </c>
      <c r="AD16" s="862">
        <v>3880.703</v>
      </c>
      <c r="AE16" s="862">
        <v>28330.417000000001</v>
      </c>
      <c r="AF16" s="862">
        <v>48042.320999999996</v>
      </c>
      <c r="AG16" s="862">
        <v>46626.123</v>
      </c>
      <c r="AH16" s="862">
        <v>41932</v>
      </c>
      <c r="AI16" s="862">
        <v>36190.498</v>
      </c>
      <c r="AJ16" s="862"/>
      <c r="AK16" s="863">
        <f>SUM($D16:AJ16)</f>
        <v>533394.91660061176</v>
      </c>
      <c r="AQ16" s="43"/>
      <c r="AR16" s="41"/>
      <c r="AS16" s="41"/>
      <c r="AT16" s="41"/>
    </row>
    <row r="17" spans="1:46">
      <c r="A17" s="871" t="s">
        <v>101</v>
      </c>
      <c r="B17" s="1330"/>
      <c r="C17" s="356"/>
      <c r="D17" s="860">
        <v>6469239.2265401706</v>
      </c>
      <c r="E17" s="860">
        <v>710049.23866100004</v>
      </c>
      <c r="F17" s="860">
        <v>778216</v>
      </c>
      <c r="G17" s="860">
        <v>700927</v>
      </c>
      <c r="H17" s="860">
        <v>689470</v>
      </c>
      <c r="I17" s="860">
        <v>741531.33333333337</v>
      </c>
      <c r="J17" s="860">
        <v>594588</v>
      </c>
      <c r="K17" s="860">
        <v>739969</v>
      </c>
      <c r="L17" s="860">
        <v>1152497</v>
      </c>
      <c r="M17" s="860">
        <v>1260255.8</v>
      </c>
      <c r="N17" s="860">
        <v>1169422.3</v>
      </c>
      <c r="O17" s="860">
        <v>1090947.335</v>
      </c>
      <c r="P17" s="860">
        <v>1082232.324</v>
      </c>
      <c r="Q17" s="860">
        <v>1245820.6850000001</v>
      </c>
      <c r="R17" s="860">
        <v>1215943</v>
      </c>
      <c r="S17" s="860">
        <v>1056223</v>
      </c>
      <c r="T17" s="860">
        <v>815634</v>
      </c>
      <c r="U17" s="860">
        <v>780343</v>
      </c>
      <c r="V17" s="860">
        <v>802318</v>
      </c>
      <c r="W17" s="860">
        <v>605749</v>
      </c>
      <c r="X17" s="860">
        <v>637917</v>
      </c>
      <c r="Y17" s="860">
        <v>807462</v>
      </c>
      <c r="Z17" s="860">
        <v>825551</v>
      </c>
      <c r="AA17" s="860">
        <v>976414</v>
      </c>
      <c r="AB17" s="860">
        <v>1200126</v>
      </c>
      <c r="AC17" s="860">
        <v>1596327</v>
      </c>
      <c r="AD17" s="860">
        <v>1553897.5789999999</v>
      </c>
      <c r="AE17" s="860">
        <v>1472143.189</v>
      </c>
      <c r="AF17" s="860">
        <v>1573498.9959999998</v>
      </c>
      <c r="AG17" s="860">
        <v>1697931.8529999999</v>
      </c>
      <c r="AH17" s="860">
        <v>1739647</v>
      </c>
      <c r="AI17" s="860">
        <v>1781547.523</v>
      </c>
      <c r="AJ17" s="860"/>
      <c r="AK17" s="864">
        <f>SUM($D17:AJ17)</f>
        <v>39563838.382534511</v>
      </c>
      <c r="AQ17" s="43"/>
      <c r="AR17" s="41"/>
      <c r="AS17" s="41"/>
      <c r="AT17" s="41"/>
    </row>
    <row r="18" spans="1:46">
      <c r="A18" s="871" t="s">
        <v>102</v>
      </c>
      <c r="B18" s="1330"/>
      <c r="C18" s="356"/>
      <c r="D18" s="862">
        <v>8116040.7844284074</v>
      </c>
      <c r="E18" s="862">
        <v>701497.14006539993</v>
      </c>
      <c r="F18" s="862">
        <v>722661</v>
      </c>
      <c r="G18" s="862">
        <v>715058</v>
      </c>
      <c r="H18" s="862">
        <v>628604</v>
      </c>
      <c r="I18" s="862">
        <v>616243</v>
      </c>
      <c r="J18" s="862">
        <v>614987</v>
      </c>
      <c r="K18" s="862">
        <v>556628</v>
      </c>
      <c r="L18" s="862">
        <v>462003</v>
      </c>
      <c r="M18" s="862">
        <v>437194</v>
      </c>
      <c r="N18" s="862">
        <v>389423</v>
      </c>
      <c r="O18" s="862">
        <v>457125.93500000006</v>
      </c>
      <c r="P18" s="862">
        <v>428484.12</v>
      </c>
      <c r="Q18" s="862">
        <v>446401.23700000002</v>
      </c>
      <c r="R18" s="862">
        <v>306489</v>
      </c>
      <c r="S18" s="862">
        <v>196902</v>
      </c>
      <c r="T18" s="862">
        <v>155896</v>
      </c>
      <c r="U18" s="862">
        <v>186991</v>
      </c>
      <c r="V18" s="862">
        <v>137095</v>
      </c>
      <c r="W18" s="862">
        <v>44782</v>
      </c>
      <c r="X18" s="862">
        <v>14883</v>
      </c>
      <c r="Y18" s="862">
        <v>49</v>
      </c>
      <c r="Z18" s="862">
        <v>222</v>
      </c>
      <c r="AA18" s="862">
        <v>41432</v>
      </c>
      <c r="AB18" s="862">
        <v>173593</v>
      </c>
      <c r="AC18" s="862">
        <v>165744</v>
      </c>
      <c r="AD18" s="862">
        <v>173647.435</v>
      </c>
      <c r="AE18" s="862">
        <v>194836.31000000003</v>
      </c>
      <c r="AF18" s="862">
        <v>233745.21399999998</v>
      </c>
      <c r="AG18" s="862">
        <v>204182.62100000001</v>
      </c>
      <c r="AH18" s="862">
        <v>255606</v>
      </c>
      <c r="AI18" s="862">
        <v>341197.25900000008</v>
      </c>
      <c r="AJ18" s="862"/>
      <c r="AK18" s="863">
        <f>SUM($D18:AJ18)</f>
        <v>18119643.055493806</v>
      </c>
      <c r="AQ18" s="43"/>
      <c r="AR18" s="41"/>
      <c r="AS18" s="41"/>
      <c r="AT18" s="41"/>
    </row>
    <row r="19" spans="1:46">
      <c r="A19" s="871" t="s">
        <v>103</v>
      </c>
      <c r="B19" s="1330"/>
      <c r="C19" s="50"/>
      <c r="D19" s="860">
        <v>2997775.2227038112</v>
      </c>
      <c r="E19" s="860">
        <v>64590.849919400003</v>
      </c>
      <c r="F19" s="860">
        <v>26133</v>
      </c>
      <c r="G19" s="860">
        <v>5282</v>
      </c>
      <c r="H19" s="860">
        <v>0</v>
      </c>
      <c r="I19" s="860">
        <v>1412</v>
      </c>
      <c r="J19" s="860">
        <v>23345</v>
      </c>
      <c r="K19" s="860">
        <v>55859</v>
      </c>
      <c r="L19" s="860">
        <v>48266</v>
      </c>
      <c r="M19" s="860">
        <v>0</v>
      </c>
      <c r="N19" s="860">
        <v>0</v>
      </c>
      <c r="O19" s="860">
        <v>0</v>
      </c>
      <c r="P19" s="860">
        <v>0</v>
      </c>
      <c r="Q19" s="860">
        <v>137434.155</v>
      </c>
      <c r="R19" s="860">
        <v>112204.78</v>
      </c>
      <c r="S19" s="860">
        <v>68864</v>
      </c>
      <c r="T19" s="860">
        <v>0</v>
      </c>
      <c r="U19" s="860">
        <v>643</v>
      </c>
      <c r="V19" s="860">
        <v>3726</v>
      </c>
      <c r="W19" s="860">
        <v>10234</v>
      </c>
      <c r="X19" s="860">
        <v>3824</v>
      </c>
      <c r="Y19" s="860">
        <v>100691</v>
      </c>
      <c r="Z19" s="860">
        <v>111077</v>
      </c>
      <c r="AA19" s="860">
        <v>119895</v>
      </c>
      <c r="AB19" s="860">
        <v>139529</v>
      </c>
      <c r="AC19" s="860">
        <v>144497</v>
      </c>
      <c r="AD19" s="860">
        <v>169631.03700000001</v>
      </c>
      <c r="AE19" s="860">
        <v>106707.31199999999</v>
      </c>
      <c r="AF19" s="860">
        <v>17907.112000000001</v>
      </c>
      <c r="AG19" s="860">
        <v>2825.0349999999999</v>
      </c>
      <c r="AH19" s="860">
        <v>7235</v>
      </c>
      <c r="AI19" s="860">
        <v>12900.473</v>
      </c>
      <c r="AJ19" s="860"/>
      <c r="AK19" s="864">
        <f>SUM($D19:AJ19)</f>
        <v>4492487.9766232111</v>
      </c>
      <c r="AQ19" s="43"/>
      <c r="AR19" s="41"/>
      <c r="AS19" s="41"/>
      <c r="AT19" s="41"/>
    </row>
    <row r="20" spans="1:46">
      <c r="A20" s="871" t="s">
        <v>104</v>
      </c>
      <c r="B20" s="1330"/>
      <c r="C20" s="50"/>
      <c r="D20" s="862">
        <v>872611.96556919557</v>
      </c>
      <c r="E20" s="862">
        <v>57678.439400399999</v>
      </c>
      <c r="F20" s="862">
        <v>80711</v>
      </c>
      <c r="G20" s="862">
        <v>36716</v>
      </c>
      <c r="H20" s="862">
        <v>55894</v>
      </c>
      <c r="I20" s="862">
        <v>117781.66666666667</v>
      </c>
      <c r="J20" s="862">
        <v>168893</v>
      </c>
      <c r="K20" s="862">
        <v>160752</v>
      </c>
      <c r="L20" s="862">
        <v>203793</v>
      </c>
      <c r="M20" s="862">
        <v>299811</v>
      </c>
      <c r="N20" s="862">
        <v>304039</v>
      </c>
      <c r="O20" s="862">
        <v>312148.15399999998</v>
      </c>
      <c r="P20" s="862">
        <v>413757.47200000001</v>
      </c>
      <c r="Q20" s="862">
        <v>393533.06</v>
      </c>
      <c r="R20" s="862">
        <v>420717.15</v>
      </c>
      <c r="S20" s="862">
        <v>406383</v>
      </c>
      <c r="T20" s="862">
        <v>150605</v>
      </c>
      <c r="U20" s="862">
        <v>93949</v>
      </c>
      <c r="V20" s="862">
        <v>58302</v>
      </c>
      <c r="W20" s="862">
        <v>36956</v>
      </c>
      <c r="X20" s="862">
        <v>2540</v>
      </c>
      <c r="Y20" s="862">
        <v>0</v>
      </c>
      <c r="Z20" s="862">
        <v>0</v>
      </c>
      <c r="AA20" s="862">
        <v>0</v>
      </c>
      <c r="AB20" s="862">
        <v>37386</v>
      </c>
      <c r="AC20" s="862">
        <v>164716</v>
      </c>
      <c r="AD20" s="862">
        <v>147359.78</v>
      </c>
      <c r="AE20" s="862">
        <v>149059.56599999999</v>
      </c>
      <c r="AF20" s="862">
        <v>238338.73199999999</v>
      </c>
      <c r="AG20" s="862">
        <v>289280.103</v>
      </c>
      <c r="AH20" s="862">
        <v>370593</v>
      </c>
      <c r="AI20" s="862">
        <v>322760.46999999997</v>
      </c>
      <c r="AJ20" s="862"/>
      <c r="AK20" s="863">
        <f>SUM($D20:AJ20)</f>
        <v>6367065.5586362621</v>
      </c>
      <c r="AQ20" s="43"/>
      <c r="AR20" s="41"/>
      <c r="AS20" s="41"/>
      <c r="AT20" s="41"/>
    </row>
    <row r="21" spans="1:46">
      <c r="A21" s="871" t="s">
        <v>105</v>
      </c>
      <c r="B21" s="1330"/>
      <c r="C21" s="356"/>
      <c r="D21" s="860">
        <v>672329.82199614693</v>
      </c>
      <c r="E21" s="860">
        <v>295915.47170639993</v>
      </c>
      <c r="F21" s="860">
        <v>353436</v>
      </c>
      <c r="G21" s="860">
        <v>362128</v>
      </c>
      <c r="H21" s="860">
        <v>361115.39500000002</v>
      </c>
      <c r="I21" s="860">
        <v>361810</v>
      </c>
      <c r="J21" s="860">
        <v>366362</v>
      </c>
      <c r="K21" s="860">
        <v>394273.66666666669</v>
      </c>
      <c r="L21" s="860">
        <v>438987</v>
      </c>
      <c r="M21" s="860">
        <v>366308.52</v>
      </c>
      <c r="N21" s="860">
        <v>431843.86</v>
      </c>
      <c r="O21" s="860">
        <v>416107.51399999997</v>
      </c>
      <c r="P21" s="860">
        <v>397897.46299999999</v>
      </c>
      <c r="Q21" s="860">
        <v>356554.74639999995</v>
      </c>
      <c r="R21" s="860">
        <v>415843</v>
      </c>
      <c r="S21" s="860">
        <v>306758</v>
      </c>
      <c r="T21" s="860">
        <v>256548</v>
      </c>
      <c r="U21" s="860">
        <v>241624</v>
      </c>
      <c r="V21" s="860">
        <v>210150</v>
      </c>
      <c r="W21" s="860">
        <v>136605</v>
      </c>
      <c r="X21" s="860">
        <v>143111</v>
      </c>
      <c r="Y21" s="860">
        <v>134420</v>
      </c>
      <c r="Z21" s="860">
        <v>115657</v>
      </c>
      <c r="AA21" s="860">
        <v>128592</v>
      </c>
      <c r="AB21" s="860">
        <v>152546</v>
      </c>
      <c r="AC21" s="860">
        <v>121021</v>
      </c>
      <c r="AD21" s="860">
        <v>104507.18800000001</v>
      </c>
      <c r="AE21" s="860">
        <v>106240.193</v>
      </c>
      <c r="AF21" s="860">
        <v>133203.886</v>
      </c>
      <c r="AG21" s="860">
        <v>178094.565</v>
      </c>
      <c r="AH21" s="860">
        <v>188469</v>
      </c>
      <c r="AI21" s="860">
        <v>164476.783</v>
      </c>
      <c r="AJ21" s="860"/>
      <c r="AK21" s="864">
        <f>SUM($D21:AJ21)</f>
        <v>8812936.0737692118</v>
      </c>
      <c r="AQ21" s="43"/>
      <c r="AR21" s="41"/>
      <c r="AS21" s="41"/>
      <c r="AT21" s="41"/>
    </row>
    <row r="22" spans="1:46">
      <c r="A22" s="871" t="s">
        <v>106</v>
      </c>
      <c r="B22" s="1330"/>
      <c r="C22" s="356"/>
      <c r="D22" s="862">
        <v>139325.64620005919</v>
      </c>
      <c r="E22" s="862">
        <v>0</v>
      </c>
      <c r="F22" s="862">
        <v>0</v>
      </c>
      <c r="G22" s="862">
        <v>0</v>
      </c>
      <c r="H22" s="862">
        <v>0</v>
      </c>
      <c r="I22" s="862">
        <v>0</v>
      </c>
      <c r="J22" s="862">
        <v>0</v>
      </c>
      <c r="K22" s="862">
        <v>0</v>
      </c>
      <c r="L22" s="862">
        <v>0</v>
      </c>
      <c r="M22" s="862">
        <v>0</v>
      </c>
      <c r="N22" s="862">
        <v>0</v>
      </c>
      <c r="O22" s="862">
        <v>0</v>
      </c>
      <c r="P22" s="862">
        <v>0</v>
      </c>
      <c r="Q22" s="862">
        <v>0</v>
      </c>
      <c r="R22" s="862">
        <v>0</v>
      </c>
      <c r="S22" s="862">
        <v>0</v>
      </c>
      <c r="T22" s="862">
        <v>0</v>
      </c>
      <c r="U22" s="862">
        <v>0</v>
      </c>
      <c r="V22" s="862">
        <v>0</v>
      </c>
      <c r="W22" s="862">
        <v>0</v>
      </c>
      <c r="X22" s="862">
        <v>0</v>
      </c>
      <c r="Y22" s="862">
        <v>0</v>
      </c>
      <c r="Z22" s="862">
        <v>0</v>
      </c>
      <c r="AA22" s="862">
        <v>0</v>
      </c>
      <c r="AB22" s="862">
        <v>0</v>
      </c>
      <c r="AC22" s="862">
        <v>0</v>
      </c>
      <c r="AD22" s="862">
        <v>0</v>
      </c>
      <c r="AE22" s="862">
        <v>0</v>
      </c>
      <c r="AF22" s="862">
        <v>0</v>
      </c>
      <c r="AG22" s="862">
        <v>0</v>
      </c>
      <c r="AH22" s="862">
        <v>0</v>
      </c>
      <c r="AI22" s="862">
        <v>0</v>
      </c>
      <c r="AJ22" s="862"/>
      <c r="AK22" s="863">
        <f>SUM($D22:AJ22)</f>
        <v>139325.64620005919</v>
      </c>
      <c r="AQ22" s="43"/>
      <c r="AR22" s="41"/>
      <c r="AS22" s="41"/>
      <c r="AT22" s="41"/>
    </row>
    <row r="23" spans="1:46">
      <c r="A23" s="871" t="s">
        <v>107</v>
      </c>
      <c r="B23" s="1330"/>
      <c r="C23" s="356"/>
      <c r="D23" s="860">
        <v>2970586.4937310684</v>
      </c>
      <c r="E23" s="860">
        <v>323758.01826199994</v>
      </c>
      <c r="F23" s="860">
        <v>377067</v>
      </c>
      <c r="G23" s="860">
        <v>411825</v>
      </c>
      <c r="H23" s="860">
        <v>411156</v>
      </c>
      <c r="I23" s="860">
        <v>436073.66666666669</v>
      </c>
      <c r="J23" s="860">
        <v>454501</v>
      </c>
      <c r="K23" s="860">
        <v>421288</v>
      </c>
      <c r="L23" s="860">
        <v>371890</v>
      </c>
      <c r="M23" s="860">
        <v>393805</v>
      </c>
      <c r="N23" s="860">
        <v>357684.25</v>
      </c>
      <c r="O23" s="860">
        <v>217643.14</v>
      </c>
      <c r="P23" s="860">
        <v>1001.8203303976907</v>
      </c>
      <c r="Q23" s="860">
        <v>1101.357</v>
      </c>
      <c r="R23" s="860">
        <v>556.20399999999995</v>
      </c>
      <c r="S23" s="860">
        <v>40078</v>
      </c>
      <c r="T23" s="860">
        <v>415653</v>
      </c>
      <c r="U23" s="860">
        <v>673664</v>
      </c>
      <c r="V23" s="860">
        <v>620834</v>
      </c>
      <c r="W23" s="860">
        <v>592224</v>
      </c>
      <c r="X23" s="860">
        <v>614195</v>
      </c>
      <c r="Y23" s="860">
        <v>693780</v>
      </c>
      <c r="Z23" s="860">
        <v>577978</v>
      </c>
      <c r="AA23" s="860">
        <v>490199</v>
      </c>
      <c r="AB23" s="860">
        <v>626459</v>
      </c>
      <c r="AC23" s="860">
        <v>616684</v>
      </c>
      <c r="AD23" s="860">
        <v>576272.47499999998</v>
      </c>
      <c r="AE23" s="860">
        <v>529791.36300000001</v>
      </c>
      <c r="AF23" s="860">
        <v>454569.34699999995</v>
      </c>
      <c r="AG23" s="860">
        <v>468440.45599999995</v>
      </c>
      <c r="AH23" s="860">
        <v>507620</v>
      </c>
      <c r="AI23" s="860">
        <v>390789.348</v>
      </c>
      <c r="AJ23" s="860"/>
      <c r="AK23" s="864">
        <f>SUM($D23:AJ23)</f>
        <v>16039167.938990129</v>
      </c>
      <c r="AQ23" s="43"/>
      <c r="AR23" s="41"/>
      <c r="AS23" s="41"/>
      <c r="AT23" s="41"/>
    </row>
    <row r="24" spans="1:46">
      <c r="A24" s="871" t="s">
        <v>108</v>
      </c>
      <c r="B24" s="1330"/>
      <c r="C24" s="356"/>
      <c r="D24" s="862">
        <v>1020489.292405149</v>
      </c>
      <c r="E24" s="862">
        <v>629254.41245519998</v>
      </c>
      <c r="F24" s="862">
        <v>566367</v>
      </c>
      <c r="G24" s="862">
        <v>511664</v>
      </c>
      <c r="H24" s="862">
        <v>516694</v>
      </c>
      <c r="I24" s="862">
        <v>546081.32890249998</v>
      </c>
      <c r="J24" s="862">
        <v>495668.20160650002</v>
      </c>
      <c r="K24" s="862">
        <v>448769.32451200002</v>
      </c>
      <c r="L24" s="862">
        <v>433547.892505</v>
      </c>
      <c r="M24" s="862">
        <v>359120.26</v>
      </c>
      <c r="N24" s="862">
        <v>254271</v>
      </c>
      <c r="O24" s="862">
        <v>228859</v>
      </c>
      <c r="P24" s="862">
        <v>227171</v>
      </c>
      <c r="Q24" s="862">
        <v>4607.54</v>
      </c>
      <c r="R24" s="862">
        <v>0</v>
      </c>
      <c r="S24" s="862">
        <v>0</v>
      </c>
      <c r="T24" s="862">
        <v>0</v>
      </c>
      <c r="U24" s="862">
        <v>0</v>
      </c>
      <c r="V24" s="862">
        <v>0</v>
      </c>
      <c r="W24" s="862">
        <v>0</v>
      </c>
      <c r="X24" s="862">
        <v>67226</v>
      </c>
      <c r="Y24" s="862">
        <v>671157</v>
      </c>
      <c r="Z24" s="862">
        <v>702732</v>
      </c>
      <c r="AA24" s="862">
        <v>717800</v>
      </c>
      <c r="AB24" s="862">
        <v>703890</v>
      </c>
      <c r="AC24" s="862">
        <v>702703</v>
      </c>
      <c r="AD24" s="862">
        <v>830402.87000000011</v>
      </c>
      <c r="AE24" s="862">
        <v>719554.098</v>
      </c>
      <c r="AF24" s="862">
        <v>865500.06400000001</v>
      </c>
      <c r="AG24" s="862">
        <v>723013.21100000001</v>
      </c>
      <c r="AH24" s="862">
        <v>732272</v>
      </c>
      <c r="AI24" s="862">
        <v>693947.97600000002</v>
      </c>
      <c r="AJ24" s="862"/>
      <c r="AK24" s="863">
        <f>SUM($D24:AJ24)</f>
        <v>14372762.471386349</v>
      </c>
      <c r="AQ24" s="43"/>
      <c r="AR24" s="41"/>
      <c r="AS24" s="41"/>
      <c r="AT24" s="41"/>
    </row>
    <row r="25" spans="1:46">
      <c r="A25" s="871" t="s">
        <v>109</v>
      </c>
      <c r="B25" s="1330"/>
      <c r="C25" s="356"/>
      <c r="D25" s="860">
        <v>28.453410740999999</v>
      </c>
      <c r="E25" s="860">
        <v>0</v>
      </c>
      <c r="F25" s="860">
        <v>0</v>
      </c>
      <c r="G25" s="860">
        <v>0</v>
      </c>
      <c r="H25" s="860">
        <v>0</v>
      </c>
      <c r="I25" s="860">
        <v>0</v>
      </c>
      <c r="J25" s="860">
        <v>0</v>
      </c>
      <c r="K25" s="860">
        <v>0</v>
      </c>
      <c r="L25" s="860">
        <v>0</v>
      </c>
      <c r="M25" s="860">
        <v>0</v>
      </c>
      <c r="N25" s="860">
        <v>0</v>
      </c>
      <c r="O25" s="860">
        <v>0</v>
      </c>
      <c r="P25" s="860">
        <v>0</v>
      </c>
      <c r="Q25" s="860">
        <v>0</v>
      </c>
      <c r="R25" s="860">
        <v>0</v>
      </c>
      <c r="S25" s="860">
        <v>0</v>
      </c>
      <c r="T25" s="860">
        <v>0</v>
      </c>
      <c r="U25" s="860">
        <v>0</v>
      </c>
      <c r="V25" s="860">
        <v>0</v>
      </c>
      <c r="W25" s="860">
        <v>0</v>
      </c>
      <c r="X25" s="860">
        <v>0</v>
      </c>
      <c r="Y25" s="860">
        <v>0</v>
      </c>
      <c r="Z25" s="860">
        <v>0</v>
      </c>
      <c r="AA25" s="860">
        <v>0</v>
      </c>
      <c r="AB25" s="860">
        <v>0</v>
      </c>
      <c r="AC25" s="860">
        <v>0</v>
      </c>
      <c r="AD25" s="860">
        <v>0</v>
      </c>
      <c r="AE25" s="860">
        <v>0</v>
      </c>
      <c r="AF25" s="860">
        <v>0</v>
      </c>
      <c r="AG25" s="860">
        <v>0</v>
      </c>
      <c r="AH25" s="860">
        <v>0</v>
      </c>
      <c r="AI25" s="860">
        <v>0</v>
      </c>
      <c r="AJ25" s="860"/>
      <c r="AK25" s="864">
        <f>SUM($D25:AJ25)</f>
        <v>28.453410740999999</v>
      </c>
      <c r="AQ25" s="43"/>
      <c r="AR25" s="41"/>
      <c r="AS25" s="41"/>
      <c r="AT25" s="41"/>
    </row>
    <row r="26" spans="1:46">
      <c r="A26" s="871" t="s">
        <v>110</v>
      </c>
      <c r="B26" s="1330"/>
      <c r="C26" s="356"/>
      <c r="D26" s="862">
        <v>35756.420680443392</v>
      </c>
      <c r="E26" s="862">
        <v>0</v>
      </c>
      <c r="F26" s="862">
        <v>0</v>
      </c>
      <c r="G26" s="862">
        <v>0</v>
      </c>
      <c r="H26" s="862">
        <v>0</v>
      </c>
      <c r="I26" s="862">
        <v>0</v>
      </c>
      <c r="J26" s="862">
        <v>0</v>
      </c>
      <c r="K26" s="862">
        <v>0</v>
      </c>
      <c r="L26" s="862">
        <v>0</v>
      </c>
      <c r="M26" s="862">
        <v>0</v>
      </c>
      <c r="N26" s="862">
        <v>0</v>
      </c>
      <c r="O26" s="862">
        <v>0</v>
      </c>
      <c r="P26" s="862">
        <v>0</v>
      </c>
      <c r="Q26" s="862">
        <v>0</v>
      </c>
      <c r="R26" s="862">
        <v>0</v>
      </c>
      <c r="S26" s="862">
        <v>0</v>
      </c>
      <c r="T26" s="862">
        <v>0</v>
      </c>
      <c r="U26" s="862">
        <v>6712</v>
      </c>
      <c r="V26" s="862">
        <v>18319</v>
      </c>
      <c r="W26" s="862">
        <v>5061</v>
      </c>
      <c r="X26" s="862">
        <v>289</v>
      </c>
      <c r="Y26" s="862">
        <v>0</v>
      </c>
      <c r="Z26" s="862">
        <v>0</v>
      </c>
      <c r="AA26" s="862">
        <v>0</v>
      </c>
      <c r="AB26" s="862">
        <v>0</v>
      </c>
      <c r="AC26" s="862">
        <v>0</v>
      </c>
      <c r="AD26" s="862">
        <v>0</v>
      </c>
      <c r="AE26" s="862">
        <v>0</v>
      </c>
      <c r="AF26" s="862">
        <v>0</v>
      </c>
      <c r="AG26" s="862">
        <v>0</v>
      </c>
      <c r="AH26" s="862">
        <v>29</v>
      </c>
      <c r="AI26" s="862">
        <v>414.62099999999998</v>
      </c>
      <c r="AJ26" s="862"/>
      <c r="AK26" s="863">
        <f>SUM($D26:AJ26)</f>
        <v>66581.041680443392</v>
      </c>
      <c r="AQ26" s="43"/>
      <c r="AR26" s="41"/>
      <c r="AS26" s="41"/>
      <c r="AT26" s="41"/>
    </row>
    <row r="27" spans="1:46">
      <c r="A27" s="871" t="s">
        <v>111</v>
      </c>
      <c r="B27" s="1330"/>
      <c r="C27" s="356"/>
      <c r="D27" s="860">
        <v>505939.06644402235</v>
      </c>
      <c r="E27" s="860">
        <v>87450.030751999991</v>
      </c>
      <c r="F27" s="860">
        <v>78497</v>
      </c>
      <c r="G27" s="860">
        <v>68252</v>
      </c>
      <c r="H27" s="860">
        <v>70003</v>
      </c>
      <c r="I27" s="860">
        <v>87470.165901</v>
      </c>
      <c r="J27" s="860">
        <v>97401</v>
      </c>
      <c r="K27" s="860">
        <v>73090</v>
      </c>
      <c r="L27" s="860">
        <v>122916</v>
      </c>
      <c r="M27" s="860">
        <v>88028</v>
      </c>
      <c r="N27" s="860">
        <v>97415</v>
      </c>
      <c r="O27" s="860">
        <v>154148</v>
      </c>
      <c r="P27" s="860">
        <v>77966</v>
      </c>
      <c r="Q27" s="860">
        <v>116838.7656</v>
      </c>
      <c r="R27" s="860">
        <v>129900</v>
      </c>
      <c r="S27" s="860">
        <v>89966</v>
      </c>
      <c r="T27" s="860">
        <v>76166</v>
      </c>
      <c r="U27" s="860">
        <v>86262</v>
      </c>
      <c r="V27" s="860">
        <v>101973</v>
      </c>
      <c r="W27" s="860">
        <v>52528</v>
      </c>
      <c r="X27" s="860">
        <v>56094</v>
      </c>
      <c r="Y27" s="860">
        <v>30629</v>
      </c>
      <c r="Z27" s="860">
        <v>12496</v>
      </c>
      <c r="AA27" s="860">
        <v>32044</v>
      </c>
      <c r="AB27" s="860">
        <v>30960</v>
      </c>
      <c r="AC27" s="860">
        <v>54576</v>
      </c>
      <c r="AD27" s="860">
        <v>54347.745999999999</v>
      </c>
      <c r="AE27" s="860">
        <v>85819.67</v>
      </c>
      <c r="AF27" s="860">
        <v>127792.43800000001</v>
      </c>
      <c r="AG27" s="860">
        <v>166698.96400000001</v>
      </c>
      <c r="AH27" s="860">
        <v>240963</v>
      </c>
      <c r="AI27" s="860">
        <v>287985.37799999997</v>
      </c>
      <c r="AJ27" s="860"/>
      <c r="AK27" s="864">
        <f>SUM($D27:AJ27)</f>
        <v>3442615.2246970222</v>
      </c>
      <c r="AQ27" s="43"/>
      <c r="AR27" s="41"/>
      <c r="AS27" s="41"/>
      <c r="AT27" s="41"/>
    </row>
    <row r="28" spans="1:46">
      <c r="A28" s="871" t="s">
        <v>112</v>
      </c>
      <c r="B28" s="1330"/>
      <c r="C28" s="50"/>
      <c r="D28" s="862">
        <v>3669931.2699145852</v>
      </c>
      <c r="E28" s="862">
        <v>534634.76521139988</v>
      </c>
      <c r="F28" s="862">
        <v>507540</v>
      </c>
      <c r="G28" s="862">
        <v>470912</v>
      </c>
      <c r="H28" s="862">
        <v>523753.86</v>
      </c>
      <c r="I28" s="862">
        <v>493073</v>
      </c>
      <c r="J28" s="862">
        <v>478281</v>
      </c>
      <c r="K28" s="862">
        <v>480094</v>
      </c>
      <c r="L28" s="862">
        <v>484458</v>
      </c>
      <c r="M28" s="862">
        <v>466438.023935</v>
      </c>
      <c r="N28" s="862">
        <v>481532.74201099999</v>
      </c>
      <c r="O28" s="862">
        <v>422311.63256100006</v>
      </c>
      <c r="P28" s="862">
        <v>313445.68091700005</v>
      </c>
      <c r="Q28" s="862">
        <v>220544.07199999999</v>
      </c>
      <c r="R28" s="862">
        <v>243353.43035000001</v>
      </c>
      <c r="S28" s="862">
        <v>200080</v>
      </c>
      <c r="T28" s="862">
        <v>194870</v>
      </c>
      <c r="U28" s="862">
        <v>169417</v>
      </c>
      <c r="V28" s="862">
        <v>161537</v>
      </c>
      <c r="W28" s="862">
        <v>152597</v>
      </c>
      <c r="X28" s="862">
        <v>141615</v>
      </c>
      <c r="Y28" s="862">
        <v>163467</v>
      </c>
      <c r="Z28" s="862">
        <v>171060</v>
      </c>
      <c r="AA28" s="862">
        <v>172955</v>
      </c>
      <c r="AB28" s="862">
        <v>77896</v>
      </c>
      <c r="AC28" s="862">
        <v>103026</v>
      </c>
      <c r="AD28" s="862">
        <v>145332.22899999999</v>
      </c>
      <c r="AE28" s="862">
        <v>204581.90399999998</v>
      </c>
      <c r="AF28" s="862">
        <v>176854.43400000001</v>
      </c>
      <c r="AG28" s="862">
        <v>171325.16800000001</v>
      </c>
      <c r="AH28" s="862">
        <v>142677</v>
      </c>
      <c r="AI28" s="862">
        <v>188679.43400000001</v>
      </c>
      <c r="AJ28" s="862"/>
      <c r="AK28" s="863">
        <f>SUM($D28:AJ28)</f>
        <v>12528273.645899987</v>
      </c>
      <c r="AQ28" s="43"/>
      <c r="AR28" s="41"/>
      <c r="AS28" s="41"/>
      <c r="AT28" s="41"/>
    </row>
    <row r="29" spans="1:46" ht="15.75" thickBot="1">
      <c r="A29" s="871" t="s">
        <v>113</v>
      </c>
      <c r="B29" s="1331"/>
      <c r="C29" s="356"/>
      <c r="D29" s="860">
        <v>14654.9854659586</v>
      </c>
      <c r="E29" s="860">
        <v>79263.068185536191</v>
      </c>
      <c r="F29" s="860">
        <v>38823</v>
      </c>
      <c r="G29" s="860">
        <v>29321</v>
      </c>
      <c r="H29" s="860">
        <v>16766</v>
      </c>
      <c r="I29" s="860">
        <v>33772</v>
      </c>
      <c r="J29" s="860">
        <v>43166</v>
      </c>
      <c r="K29" s="860">
        <v>48243.403487999996</v>
      </c>
      <c r="L29" s="860">
        <v>42793.107495000004</v>
      </c>
      <c r="M29" s="860">
        <v>34641</v>
      </c>
      <c r="N29" s="860">
        <v>7071</v>
      </c>
      <c r="O29" s="860">
        <v>4287</v>
      </c>
      <c r="P29" s="860">
        <v>23187</v>
      </c>
      <c r="Q29" s="860">
        <v>18266.466699999997</v>
      </c>
      <c r="R29" s="860">
        <v>8751</v>
      </c>
      <c r="S29" s="860">
        <v>17354</v>
      </c>
      <c r="T29" s="860"/>
      <c r="U29" s="860"/>
      <c r="V29" s="860"/>
      <c r="W29" s="860"/>
      <c r="X29" s="860"/>
      <c r="Y29" s="860"/>
      <c r="Z29" s="860"/>
      <c r="AA29" s="860"/>
      <c r="AB29" s="860"/>
      <c r="AC29" s="860"/>
      <c r="AD29" s="860"/>
      <c r="AE29" s="860"/>
      <c r="AF29" s="860"/>
      <c r="AG29" s="860"/>
      <c r="AH29" s="860"/>
      <c r="AI29" s="860"/>
      <c r="AJ29" s="860"/>
      <c r="AK29" s="865">
        <f>SUM($D29:AJ29)</f>
        <v>460360.03133449476</v>
      </c>
      <c r="AQ29" s="43"/>
      <c r="AR29" s="41"/>
      <c r="AS29" s="41"/>
      <c r="AT29" s="41"/>
    </row>
    <row r="30" spans="1:46" ht="21" customHeight="1">
      <c r="A30" s="311" t="s">
        <v>114</v>
      </c>
      <c r="B30" s="313" t="s">
        <v>115</v>
      </c>
      <c r="C30" s="47"/>
      <c r="D30" s="866">
        <f t="shared" ref="D30:X30" si="0">SUM(D9:D29)</f>
        <v>86259853.098416209</v>
      </c>
      <c r="E30" s="866">
        <f t="shared" si="0"/>
        <v>6036109.7696703998</v>
      </c>
      <c r="F30" s="866">
        <f t="shared" si="0"/>
        <v>5928931</v>
      </c>
      <c r="G30" s="866">
        <f t="shared" si="0"/>
        <v>5865905</v>
      </c>
      <c r="H30" s="866">
        <f t="shared" si="0"/>
        <v>5856379.7649999997</v>
      </c>
      <c r="I30" s="866">
        <f t="shared" si="0"/>
        <v>6163580.8748034993</v>
      </c>
      <c r="J30" s="866">
        <f t="shared" si="0"/>
        <v>6100687.5349398339</v>
      </c>
      <c r="K30" s="866">
        <f t="shared" si="0"/>
        <v>7111233.3946666671</v>
      </c>
      <c r="L30" s="866">
        <f t="shared" si="0"/>
        <v>7662659.333333334</v>
      </c>
      <c r="M30" s="866">
        <f t="shared" si="0"/>
        <v>7439013.5129350005</v>
      </c>
      <c r="N30" s="866">
        <f t="shared" si="0"/>
        <v>6808273.9720110008</v>
      </c>
      <c r="O30" s="866">
        <f t="shared" si="0"/>
        <v>6413937.5335609997</v>
      </c>
      <c r="P30" s="866">
        <f t="shared" si="0"/>
        <v>6179491.7001413656</v>
      </c>
      <c r="Q30" s="866">
        <f t="shared" si="0"/>
        <v>6071947.1767999986</v>
      </c>
      <c r="R30" s="866">
        <f t="shared" si="0"/>
        <v>6028203.1953500006</v>
      </c>
      <c r="S30" s="866">
        <f t="shared" si="0"/>
        <v>5286277.4800000004</v>
      </c>
      <c r="T30" s="866">
        <f t="shared" si="0"/>
        <v>5378341</v>
      </c>
      <c r="U30" s="866">
        <f t="shared" si="0"/>
        <v>5239568</v>
      </c>
      <c r="V30" s="866">
        <f t="shared" si="0"/>
        <v>4869187</v>
      </c>
      <c r="W30" s="866">
        <f t="shared" si="0"/>
        <v>4246279</v>
      </c>
      <c r="X30" s="866">
        <f t="shared" si="0"/>
        <v>4707758</v>
      </c>
      <c r="Y30" s="866">
        <f>SUM(Y9:Y29)</f>
        <v>5880348</v>
      </c>
      <c r="Z30" s="866">
        <f>SUM(Z9:Z29)</f>
        <v>5774528</v>
      </c>
      <c r="AA30" s="866">
        <f>SUM(AA9:AA29)</f>
        <v>5828492</v>
      </c>
      <c r="AB30" s="866">
        <f>SUM(AB9:AB29)</f>
        <v>6026789</v>
      </c>
      <c r="AC30" s="866">
        <f>SUM(AC9:AC29)</f>
        <v>6260914</v>
      </c>
      <c r="AD30" s="866">
        <f t="shared" ref="AD30:AF30" si="1">SUM(AD9:AD29)</f>
        <v>6252346.2589999996</v>
      </c>
      <c r="AE30" s="866">
        <f t="shared" si="1"/>
        <v>6334494.5979999993</v>
      </c>
      <c r="AF30" s="866">
        <f t="shared" si="1"/>
        <v>6784313.7630000003</v>
      </c>
      <c r="AG30" s="866">
        <f>SUM(AG9:AG29)</f>
        <v>6787413.7120000003</v>
      </c>
      <c r="AH30" s="866">
        <f t="shared" ref="AH30:AI30" si="2">SUM(AH9:AH29)</f>
        <v>6873449</v>
      </c>
      <c r="AI30" s="866">
        <f t="shared" si="2"/>
        <v>6738406.9990000008</v>
      </c>
      <c r="AJ30" s="866"/>
      <c r="AK30" s="867">
        <f>SUM(D30:AJ30)</f>
        <v>275195112.67262834</v>
      </c>
      <c r="AL30" s="40"/>
      <c r="AQ30" s="43"/>
      <c r="AR30" s="41"/>
      <c r="AS30" s="41"/>
      <c r="AT30" s="41"/>
    </row>
    <row r="31" spans="1:46" ht="15.75" thickBot="1">
      <c r="A31" s="500"/>
      <c r="B31" s="501" t="s">
        <v>116</v>
      </c>
      <c r="C31" s="502"/>
      <c r="D31" s="868">
        <f t="shared" ref="D31:AB31" si="3">D30/32.1507466</f>
        <v>2682981.3370000003</v>
      </c>
      <c r="E31" s="868">
        <f t="shared" si="3"/>
        <v>187744</v>
      </c>
      <c r="F31" s="868">
        <f t="shared" si="3"/>
        <v>184410.36762735707</v>
      </c>
      <c r="G31" s="868">
        <f t="shared" si="3"/>
        <v>182450.03990047312</v>
      </c>
      <c r="H31" s="868">
        <f t="shared" si="3"/>
        <v>182153.77197492516</v>
      </c>
      <c r="I31" s="868">
        <f t="shared" si="3"/>
        <v>191708.79455730895</v>
      </c>
      <c r="J31" s="868">
        <f t="shared" si="3"/>
        <v>189752.59302189376</v>
      </c>
      <c r="K31" s="868">
        <f t="shared" si="3"/>
        <v>221184.08269457318</v>
      </c>
      <c r="L31" s="868">
        <f t="shared" si="3"/>
        <v>238335.34656807422</v>
      </c>
      <c r="M31" s="868">
        <f t="shared" si="3"/>
        <v>231379.18398868537</v>
      </c>
      <c r="N31" s="868">
        <f t="shared" si="3"/>
        <v>211760.99132985613</v>
      </c>
      <c r="O31" s="868">
        <f t="shared" si="3"/>
        <v>199495.75707710005</v>
      </c>
      <c r="P31" s="868">
        <f t="shared" si="3"/>
        <v>192203.67654359125</v>
      </c>
      <c r="Q31" s="868">
        <f t="shared" si="3"/>
        <v>188858.66796013998</v>
      </c>
      <c r="R31" s="868">
        <f t="shared" si="3"/>
        <v>187498.07804929797</v>
      </c>
      <c r="S31" s="868">
        <f t="shared" si="3"/>
        <v>164421.60879710334</v>
      </c>
      <c r="T31" s="868">
        <f t="shared" si="3"/>
        <v>167285.10435275553</v>
      </c>
      <c r="U31" s="868">
        <f t="shared" si="3"/>
        <v>162968.7815710009</v>
      </c>
      <c r="V31" s="868">
        <f t="shared" si="3"/>
        <v>151448.64474158123</v>
      </c>
      <c r="W31" s="868">
        <f t="shared" si="3"/>
        <v>132074.04023395214</v>
      </c>
      <c r="X31" s="868">
        <f t="shared" si="3"/>
        <v>146427.6415901334</v>
      </c>
      <c r="Y31" s="868">
        <f t="shared" si="3"/>
        <v>182899.26741545717</v>
      </c>
      <c r="Z31" s="868">
        <f t="shared" si="3"/>
        <v>179607.89750369283</v>
      </c>
      <c r="AA31" s="868">
        <f t="shared" si="3"/>
        <v>181286.36552409022</v>
      </c>
      <c r="AB31" s="868">
        <f t="shared" si="3"/>
        <v>187454.09165708147</v>
      </c>
      <c r="AC31" s="868">
        <f>AC30/32.1507466</f>
        <v>194736.19315577575</v>
      </c>
      <c r="AD31" s="868">
        <f t="shared" ref="AD31:AG31" si="4">AD30/32.1507466</f>
        <v>194469.70662261386</v>
      </c>
      <c r="AE31" s="868">
        <f t="shared" si="4"/>
        <v>197024.80557636567</v>
      </c>
      <c r="AF31" s="868">
        <f t="shared" si="4"/>
        <v>211015.74552548651</v>
      </c>
      <c r="AG31" s="868">
        <f t="shared" si="4"/>
        <v>211112.16471719512</v>
      </c>
      <c r="AH31" s="868">
        <f t="shared" ref="AH31:AI31" si="5">AH30/32.1507466</f>
        <v>213788.16129887325</v>
      </c>
      <c r="AI31" s="868">
        <f t="shared" si="5"/>
        <v>209587.88555784273</v>
      </c>
      <c r="AJ31" s="868"/>
      <c r="AK31" s="1659">
        <f>SUM(AK30/32.1507466)</f>
        <v>8559524.7941342779</v>
      </c>
    </row>
    <row r="32" spans="1:46">
      <c r="A32" s="48"/>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row>
    <row r="33" spans="4:37">
      <c r="G33" s="42"/>
      <c r="H33" s="42"/>
      <c r="I33" s="42"/>
      <c r="J33" s="42"/>
      <c r="K33" s="42"/>
      <c r="L33" s="42"/>
      <c r="M33" s="42"/>
      <c r="N33" s="42"/>
      <c r="O33" s="42"/>
      <c r="P33" s="42"/>
      <c r="Q33" s="42"/>
      <c r="R33" s="42"/>
      <c r="S33" s="462"/>
      <c r="T33" s="462"/>
      <c r="U33" s="461"/>
      <c r="V33" s="461"/>
      <c r="W33" s="461"/>
      <c r="X33" s="461"/>
      <c r="Y33" s="461"/>
      <c r="Z33" s="461"/>
      <c r="AA33" s="461"/>
      <c r="AB33" s="461"/>
      <c r="AC33" s="461"/>
      <c r="AD33" s="461"/>
      <c r="AE33" s="461"/>
      <c r="AF33" s="461"/>
      <c r="AG33" s="461"/>
      <c r="AH33" s="461"/>
      <c r="AI33" s="461"/>
      <c r="AJ33" s="461"/>
      <c r="AK33" s="461"/>
    </row>
    <row r="34" spans="4:37">
      <c r="G34" s="42"/>
      <c r="H34" s="42"/>
      <c r="I34" s="42"/>
      <c r="J34" s="42"/>
      <c r="K34" s="42"/>
      <c r="L34" s="42"/>
      <c r="M34" s="42"/>
      <c r="N34" s="42"/>
      <c r="O34" s="42"/>
      <c r="P34" s="42"/>
      <c r="Q34" s="42"/>
      <c r="R34" s="42"/>
      <c r="S34" s="462"/>
      <c r="T34" s="462"/>
      <c r="U34" s="461"/>
      <c r="V34" s="461"/>
      <c r="W34" s="461"/>
      <c r="X34" s="461"/>
      <c r="Y34" s="461"/>
      <c r="Z34" s="461"/>
      <c r="AA34" s="461"/>
      <c r="AB34" s="461"/>
      <c r="AC34" s="461"/>
      <c r="AD34" s="461"/>
      <c r="AE34" s="461"/>
      <c r="AF34" s="461"/>
      <c r="AG34" s="461"/>
      <c r="AH34" s="461"/>
      <c r="AI34" s="461"/>
      <c r="AJ34" s="461"/>
      <c r="AK34" s="461"/>
    </row>
    <row r="35" spans="4:37">
      <c r="G35" s="42"/>
      <c r="H35" s="42"/>
      <c r="I35" s="42"/>
      <c r="J35" s="42"/>
      <c r="K35" s="42"/>
      <c r="L35" s="42"/>
      <c r="M35" s="42"/>
      <c r="N35" s="42"/>
      <c r="O35" s="42"/>
      <c r="P35" s="42"/>
      <c r="Q35" s="42"/>
      <c r="R35" s="42"/>
      <c r="S35" s="462"/>
      <c r="T35" s="462"/>
      <c r="U35" s="461"/>
      <c r="V35" s="461"/>
      <c r="W35" s="461"/>
      <c r="X35" s="461"/>
      <c r="Y35" s="461"/>
      <c r="Z35" s="461"/>
      <c r="AA35" s="461"/>
      <c r="AB35" s="461"/>
      <c r="AC35" s="461"/>
      <c r="AD35" s="461"/>
      <c r="AE35" s="461"/>
      <c r="AF35" s="461"/>
      <c r="AG35" s="461"/>
      <c r="AH35" s="461"/>
      <c r="AI35" s="461"/>
      <c r="AJ35" s="461"/>
      <c r="AK35" s="461"/>
    </row>
    <row r="36" spans="4:37">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row>
    <row r="37" spans="4:37">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row>
    <row r="38" spans="4:37">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row>
    <row r="39" spans="4:37">
      <c r="G39" s="42"/>
      <c r="H39" s="42"/>
      <c r="I39" s="42"/>
      <c r="J39" s="42"/>
      <c r="K39" s="42"/>
      <c r="L39" s="42"/>
      <c r="M39" s="42"/>
      <c r="N39" s="42"/>
      <c r="O39" s="42"/>
      <c r="Q39" s="42"/>
      <c r="R39" s="42"/>
      <c r="S39" s="42"/>
      <c r="T39" s="42"/>
      <c r="U39" s="42"/>
      <c r="V39" s="42"/>
      <c r="W39" s="42"/>
      <c r="X39" s="42"/>
      <c r="Y39" s="42"/>
      <c r="Z39" s="42"/>
      <c r="AA39" s="42"/>
      <c r="AB39" s="42"/>
      <c r="AC39" s="42"/>
      <c r="AD39" s="42"/>
      <c r="AE39" s="42"/>
      <c r="AF39" s="42"/>
      <c r="AG39" s="42"/>
      <c r="AH39" s="42"/>
      <c r="AI39" s="42"/>
      <c r="AJ39" s="42"/>
      <c r="AK39" s="42"/>
    </row>
    <row r="40" spans="4:37">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row>
    <row r="41" spans="4:37">
      <c r="G41" s="42"/>
      <c r="H41" s="42"/>
      <c r="I41" s="42"/>
      <c r="J41" s="42"/>
      <c r="K41" s="42"/>
      <c r="L41" s="42"/>
      <c r="M41" s="42"/>
      <c r="N41" s="42"/>
      <c r="O41" s="42"/>
      <c r="Q41" s="42"/>
      <c r="R41" s="42"/>
      <c r="S41" s="42"/>
      <c r="T41" s="42"/>
      <c r="U41" s="42"/>
      <c r="V41" s="42"/>
      <c r="W41" s="42"/>
      <c r="X41" s="42"/>
      <c r="Y41" s="42"/>
      <c r="Z41" s="42"/>
      <c r="AA41" s="42"/>
      <c r="AB41" s="42"/>
      <c r="AC41" s="42"/>
      <c r="AD41" s="42"/>
      <c r="AE41" s="42"/>
      <c r="AF41" s="42"/>
      <c r="AG41" s="42"/>
      <c r="AH41" s="42"/>
      <c r="AI41" s="42"/>
      <c r="AJ41" s="42"/>
      <c r="AK41" s="42"/>
    </row>
    <row r="42" spans="4:37">
      <c r="G42" s="42"/>
      <c r="H42" s="42"/>
      <c r="I42" s="42"/>
      <c r="J42" s="42"/>
      <c r="K42" s="42"/>
      <c r="L42" s="42"/>
      <c r="M42" s="42"/>
      <c r="N42" s="42"/>
      <c r="O42" s="42"/>
      <c r="Q42" s="42"/>
      <c r="R42" s="42"/>
      <c r="S42" s="42"/>
      <c r="T42" s="42"/>
      <c r="U42" s="42"/>
      <c r="V42" s="42"/>
      <c r="W42" s="42"/>
      <c r="X42" s="42"/>
      <c r="Y42" s="42"/>
      <c r="Z42" s="42"/>
      <c r="AA42" s="42"/>
      <c r="AB42" s="42"/>
      <c r="AC42" s="42"/>
      <c r="AD42" s="42"/>
      <c r="AE42" s="42"/>
      <c r="AF42" s="42"/>
      <c r="AG42" s="42"/>
      <c r="AH42" s="42"/>
      <c r="AI42" s="42"/>
      <c r="AJ42" s="42"/>
      <c r="AK42" s="42"/>
    </row>
    <row r="43" spans="4:37">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row>
    <row r="44" spans="4:37">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row>
    <row r="45" spans="4:37">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row>
    <row r="46" spans="4:37">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row>
    <row r="47" spans="4:37">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row>
    <row r="48" spans="4:37">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row>
    <row r="49" spans="4:37">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row>
    <row r="50" spans="4:37">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row>
    <row r="51" spans="4:37">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row>
    <row r="52" spans="4:37">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row>
    <row r="53" spans="4:37">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row>
    <row r="54" spans="4:37">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row>
    <row r="55" spans="4:37">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row>
    <row r="56" spans="4:37">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row>
    <row r="57" spans="4:37">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row>
    <row r="58" spans="4:37">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row>
    <row r="59" spans="4:37">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row>
    <row r="60" spans="4:37">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row>
    <row r="61" spans="4:37">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row>
    <row r="62" spans="4:37">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row>
    <row r="63" spans="4:37">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row>
    <row r="64" spans="4:37">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row>
    <row r="65" spans="4:37">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row>
    <row r="66" spans="4:37">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row>
    <row r="67" spans="4:37">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row>
    <row r="68" spans="4:37">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row>
    <row r="69" spans="4:37">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row>
    <row r="70" spans="4:37">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row>
    <row r="71" spans="4:37">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row>
    <row r="72" spans="4:37">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row>
    <row r="73" spans="4:37">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row>
    <row r="74" spans="4:37">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row>
    <row r="75" spans="4:37">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row>
    <row r="76" spans="4:37">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row>
    <row r="77" spans="4:37">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row>
    <row r="78" spans="4:37">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row>
    <row r="79" spans="4:37">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row>
    <row r="80" spans="4:37">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row>
    <row r="81" spans="4:37">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row>
    <row r="82" spans="4:37">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row>
    <row r="83" spans="4:37">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row>
    <row r="84" spans="4:37">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row>
    <row r="85" spans="4:37">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row>
    <row r="86" spans="4:37">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row>
    <row r="87" spans="4:37">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row>
    <row r="88" spans="4:37">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row>
    <row r="89" spans="4:37">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row>
    <row r="90" spans="4:37">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row>
    <row r="91" spans="4:37">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row>
    <row r="92" spans="4:37">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row>
    <row r="93" spans="4:37">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row>
    <row r="94" spans="4:37">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row>
    <row r="95" spans="4:37">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row>
    <row r="96" spans="4:37">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row>
    <row r="97" spans="4:37">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row>
    <row r="98" spans="4:37">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row>
    <row r="99" spans="4:37">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row>
    <row r="100" spans="4:37">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row>
    <row r="101" spans="4:37">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row>
    <row r="102" spans="4:37">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row>
    <row r="103" spans="4:37">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row>
    <row r="104" spans="4:37">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row>
    <row r="105" spans="4:37">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row>
    <row r="106" spans="4:37">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row>
    <row r="107" spans="4:37">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row>
    <row r="108" spans="4:37">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row>
    <row r="109" spans="4:37">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row>
    <row r="110" spans="4:37">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row>
    <row r="111" spans="4:37">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row>
    <row r="112" spans="4:37">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row>
    <row r="113" spans="4:37">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row>
    <row r="114" spans="4:37">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row>
    <row r="115" spans="4:37">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row>
    <row r="116" spans="4:37">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row>
    <row r="117" spans="4:37">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row>
    <row r="118" spans="4:37">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row>
    <row r="119" spans="4:37">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row>
    <row r="120" spans="4:37">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row>
    <row r="121" spans="4:37">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row>
    <row r="122" spans="4:37">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row>
    <row r="123" spans="4:37">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row>
    <row r="124" spans="4:37">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row>
    <row r="125" spans="4:37">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row>
    <row r="126" spans="4:37">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row>
    <row r="127" spans="4:37">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row>
    <row r="128" spans="4:37">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row>
    <row r="129" spans="4:37">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row>
    <row r="130" spans="4:37">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row>
    <row r="131" spans="4:37">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row>
    <row r="132" spans="4:37">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row>
    <row r="133" spans="4:37">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row>
    <row r="134" spans="4:37">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row>
    <row r="135" spans="4:37">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row>
    <row r="136" spans="4:37">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row>
    <row r="137" spans="4:37">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row>
    <row r="138" spans="4:37">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row>
    <row r="139" spans="4:37">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row>
    <row r="140" spans="4:37">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row>
    <row r="141" spans="4:37">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row>
    <row r="142" spans="4:37">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row>
    <row r="143" spans="4:37">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row>
    <row r="144" spans="4:37">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row>
    <row r="145" spans="4:37">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row>
    <row r="146" spans="4:37">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row>
    <row r="147" spans="4:37">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row>
    <row r="148" spans="4:37">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row>
    <row r="149" spans="4:37">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row>
    <row r="150" spans="4:37">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row>
    <row r="151" spans="4:37">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row>
    <row r="152" spans="4:37">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row>
    <row r="153" spans="4:37">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row>
    <row r="154" spans="4:37">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row>
    <row r="155" spans="4:37">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row>
    <row r="156" spans="4:37">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row>
    <row r="157" spans="4:37">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row>
    <row r="158" spans="4:37">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row>
    <row r="159" spans="4:37">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row>
    <row r="160" spans="4:37">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row>
    <row r="161" spans="4:37">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row>
    <row r="162" spans="4:37">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row>
    <row r="163" spans="4:37">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row>
    <row r="164" spans="4:37">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row>
    <row r="165" spans="4:37">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row>
    <row r="166" spans="4:37">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row>
    <row r="167" spans="4:37">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row>
    <row r="168" spans="4:37">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row>
    <row r="169" spans="4:37">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row>
    <row r="170" spans="4:37">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row>
    <row r="171" spans="4:37">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row>
    <row r="172" spans="4:37">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row>
    <row r="173" spans="4:37">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row>
    <row r="174" spans="4:37">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row>
    <row r="175" spans="4:37">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row>
    <row r="176" spans="4:37">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row>
    <row r="177" spans="4:37">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row>
    <row r="178" spans="4:37">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row>
    <row r="179" spans="4:37">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row>
    <row r="180" spans="4:37">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row>
    <row r="181" spans="4:37">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row>
    <row r="182" spans="4:37">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row>
    <row r="183" spans="4:37">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row>
    <row r="184" spans="4:37">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row>
    <row r="185" spans="4:37">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row>
    <row r="186" spans="4:37">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row>
    <row r="187" spans="4:37">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row>
    <row r="188" spans="4:37">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row>
    <row r="189" spans="4:37">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row>
    <row r="190" spans="4:37">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row>
    <row r="191" spans="4:37">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row>
    <row r="192" spans="4:37">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row>
    <row r="193" spans="4:37">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row>
    <row r="194" spans="4:37">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row>
    <row r="195" spans="4:37">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row>
    <row r="196" spans="4:37">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row>
    <row r="197" spans="4:37">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row>
    <row r="198" spans="4:37">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row>
    <row r="199" spans="4:37">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row>
    <row r="200" spans="4:37">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row>
    <row r="201" spans="4:37">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row>
    <row r="202" spans="4:37">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row>
    <row r="203" spans="4:37">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row>
    <row r="204" spans="4:37">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row>
    <row r="205" spans="4:37">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row>
    <row r="206" spans="4:37">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row>
    <row r="207" spans="4:37">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row>
    <row r="208" spans="4:37">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row>
    <row r="209" spans="4:37">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row>
    <row r="210" spans="4:37">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row>
    <row r="211" spans="4:37">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row>
    <row r="212" spans="4:37">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row>
    <row r="213" spans="4:37">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row>
    <row r="214" spans="4:37">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row>
    <row r="215" spans="4:37">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row>
    <row r="216" spans="4:37">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row>
    <row r="217" spans="4:37">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row>
    <row r="218" spans="4:37">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row>
    <row r="219" spans="4:37">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row>
    <row r="220" spans="4:37">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row>
    <row r="221" spans="4:37">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row>
    <row r="222" spans="4:37">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row>
    <row r="223" spans="4:37">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row>
    <row r="224" spans="4:37">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row>
    <row r="225" spans="4:37">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row>
    <row r="226" spans="4:37">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row>
  </sheetData>
  <mergeCells count="2">
    <mergeCell ref="A6:B6"/>
    <mergeCell ref="A7:B7"/>
  </mergeCells>
  <pageMargins left="0.7" right="0.7" top="0.75" bottom="0.75" header="0.3" footer="0.3"/>
  <pageSetup paperSize="9" orientation="portrait" r:id="rId1"/>
  <ignoredErrors>
    <ignoredError sqref="W30:AI30 I30:V30"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39997558519241921"/>
  </sheetPr>
  <dimension ref="A1:AB362"/>
  <sheetViews>
    <sheetView showGridLines="0" topLeftCell="C1" workbookViewId="0">
      <selection activeCell="E93" sqref="E93"/>
    </sheetView>
  </sheetViews>
  <sheetFormatPr defaultRowHeight="15"/>
  <cols>
    <col min="1" max="2" width="9.140625" style="333" hidden="1" customWidth="1"/>
    <col min="3" max="3" width="7.85546875" style="20" bestFit="1" customWidth="1"/>
    <col min="4" max="4" width="14.7109375" style="20" customWidth="1"/>
    <col min="5" max="5" width="16" style="20" bestFit="1" customWidth="1"/>
    <col min="6" max="7" width="11.5703125" style="25" hidden="1" customWidth="1"/>
    <col min="8" max="18" width="9.140625" style="20"/>
    <col min="19" max="20" width="15.140625" style="20" customWidth="1"/>
    <col min="21" max="21" width="16" style="20" bestFit="1" customWidth="1"/>
    <col min="22" max="16384" width="9.140625" style="20"/>
  </cols>
  <sheetData>
    <row r="1" spans="1:21">
      <c r="C1" s="118" t="s">
        <v>369</v>
      </c>
      <c r="L1" s="148"/>
    </row>
    <row r="2" spans="1:21">
      <c r="C2" s="118" t="s">
        <v>382</v>
      </c>
    </row>
    <row r="5" spans="1:21">
      <c r="C5" s="1992" t="s">
        <v>2</v>
      </c>
      <c r="D5" s="1992"/>
      <c r="E5" s="1992"/>
      <c r="F5" s="100"/>
      <c r="G5" s="100"/>
    </row>
    <row r="6" spans="1:21" ht="15.75" thickBot="1">
      <c r="C6" s="2009" t="s">
        <v>744</v>
      </c>
      <c r="D6" s="2009"/>
      <c r="E6" s="2009"/>
      <c r="F6" s="101"/>
      <c r="G6" s="101"/>
    </row>
    <row r="7" spans="1:21">
      <c r="C7" s="1442" t="s">
        <v>6</v>
      </c>
      <c r="D7" s="1443" t="s">
        <v>7</v>
      </c>
      <c r="E7" s="1444" t="s">
        <v>635</v>
      </c>
      <c r="F7" s="94"/>
      <c r="G7" s="94"/>
      <c r="S7" s="1981" t="s">
        <v>749</v>
      </c>
      <c r="T7" s="1981"/>
      <c r="U7" s="1981"/>
    </row>
    <row r="8" spans="1:21" ht="15.75" thickBot="1">
      <c r="A8" s="333">
        <f>IF(OR(MONTH(C8)=1,MONTH(C8)=2,MONTH(C8)=3),1,IF(OR(MONTH(C8)=4,MONTH(C8)=5,MONTH(C8)=6),2,IF(OR(MONTH(C8)=7,MONTH(C8)=8,MONTH(C8)=9),3,4)))</f>
        <v>1</v>
      </c>
      <c r="B8" s="333">
        <f>YEAR(C8)</f>
        <v>1999</v>
      </c>
      <c r="C8" s="608">
        <v>36220</v>
      </c>
      <c r="D8" s="706">
        <v>31.82</v>
      </c>
      <c r="E8" s="705">
        <v>891.76</v>
      </c>
      <c r="F8" s="96">
        <f t="shared" ref="F8:F71" si="0">YEAR(C8)</f>
        <v>1999</v>
      </c>
      <c r="G8" s="98" t="str">
        <f>IF(MONTH(C8)=3,"1",IF(MONTH(C8)=6,"2",IF(MONTH(C8)=9,"3","4")))</f>
        <v>1</v>
      </c>
      <c r="S8" s="1993" t="s">
        <v>43</v>
      </c>
      <c r="T8" s="1993"/>
      <c r="U8" s="1993"/>
    </row>
    <row r="9" spans="1:21">
      <c r="A9" s="333">
        <f t="shared" ref="A9:A72" si="1">IF(OR(MONTH(C9)=1,MONTH(C9)=2,MONTH(C9)=3),1,IF(OR(MONTH(C9)=4,MONTH(C9)=5,MONTH(C9)=6),2,IF(OR(MONTH(C9)=7,MONTH(C9)=8,MONTH(C9)=9),3,4)))</f>
        <v>2</v>
      </c>
      <c r="B9" s="333">
        <f t="shared" ref="B9:B72" si="2">YEAR(C9)</f>
        <v>1999</v>
      </c>
      <c r="C9" s="608">
        <v>36312</v>
      </c>
      <c r="D9" s="873">
        <v>35.439</v>
      </c>
      <c r="E9" s="874">
        <v>846.16</v>
      </c>
      <c r="F9" s="96">
        <f t="shared" si="0"/>
        <v>1999</v>
      </c>
      <c r="G9" s="98" t="str">
        <f t="shared" ref="G9:G72" si="3">IF(MONTH(C9)=3,"1",IF(MONTH(C9)=6,"2",IF(MONTH(C9)=9,"3","4")))</f>
        <v>2</v>
      </c>
      <c r="S9" s="1437" t="s">
        <v>6</v>
      </c>
      <c r="T9" s="1445" t="s">
        <v>7</v>
      </c>
      <c r="U9" s="1446" t="s">
        <v>635</v>
      </c>
    </row>
    <row r="10" spans="1:21">
      <c r="A10" s="333">
        <f t="shared" si="1"/>
        <v>3</v>
      </c>
      <c r="B10" s="333">
        <f t="shared" si="2"/>
        <v>1999</v>
      </c>
      <c r="C10" s="608">
        <v>36404</v>
      </c>
      <c r="D10" s="706">
        <v>38.18</v>
      </c>
      <c r="E10" s="705">
        <v>882.23</v>
      </c>
      <c r="F10" s="96">
        <f t="shared" si="0"/>
        <v>1999</v>
      </c>
      <c r="G10" s="98" t="str">
        <f t="shared" si="3"/>
        <v>3</v>
      </c>
      <c r="S10" s="608">
        <f>LARGE(C$8:C$738,10)</f>
        <v>43525</v>
      </c>
      <c r="T10" s="706">
        <f t="shared" ref="T10:T19" si="4">SUMIF($C$8:$C$738,$S10,D$8:D$738)</f>
        <v>182.08418482200003</v>
      </c>
      <c r="U10" s="705">
        <f t="shared" ref="U10:U19" si="5">SUMIF($C$8:$C$738,$S10,E$8:E$738)</f>
        <v>19464.329635999999</v>
      </c>
    </row>
    <row r="11" spans="1:21">
      <c r="A11" s="333">
        <f t="shared" si="1"/>
        <v>4</v>
      </c>
      <c r="B11" s="333">
        <f t="shared" si="2"/>
        <v>1999</v>
      </c>
      <c r="C11" s="608">
        <v>36495</v>
      </c>
      <c r="D11" s="873">
        <v>37.567</v>
      </c>
      <c r="E11" s="874">
        <v>896.91</v>
      </c>
      <c r="F11" s="96">
        <f t="shared" si="0"/>
        <v>1999</v>
      </c>
      <c r="G11" s="98" t="str">
        <f t="shared" si="3"/>
        <v>4</v>
      </c>
      <c r="S11" s="608">
        <f>LARGE(C$8:C$738,9)</f>
        <v>43617</v>
      </c>
      <c r="T11" s="873">
        <f t="shared" si="4"/>
        <v>207.08261403099996</v>
      </c>
      <c r="U11" s="874">
        <f t="shared" si="5"/>
        <v>27798.822549</v>
      </c>
    </row>
    <row r="12" spans="1:21">
      <c r="A12" s="333">
        <f t="shared" si="1"/>
        <v>1</v>
      </c>
      <c r="B12" s="333">
        <f t="shared" si="2"/>
        <v>2000</v>
      </c>
      <c r="C12" s="608">
        <v>36586</v>
      </c>
      <c r="D12" s="706">
        <v>34.799999999999997</v>
      </c>
      <c r="E12" s="705">
        <v>843.83</v>
      </c>
      <c r="F12" s="96">
        <f t="shared" si="0"/>
        <v>2000</v>
      </c>
      <c r="G12" s="98" t="str">
        <f t="shared" si="3"/>
        <v>1</v>
      </c>
      <c r="S12" s="608">
        <f>LARGE(C$8:C$738,8)</f>
        <v>43709</v>
      </c>
      <c r="T12" s="706">
        <f t="shared" si="4"/>
        <v>206.07415327799995</v>
      </c>
      <c r="U12" s="705">
        <f t="shared" si="5"/>
        <v>27854.058090999999</v>
      </c>
    </row>
    <row r="13" spans="1:21">
      <c r="A13" s="333">
        <f t="shared" si="1"/>
        <v>2</v>
      </c>
      <c r="B13" s="333">
        <f t="shared" si="2"/>
        <v>2000</v>
      </c>
      <c r="C13" s="608">
        <v>36678</v>
      </c>
      <c r="D13" s="873">
        <v>40.612000000000002</v>
      </c>
      <c r="E13" s="874">
        <v>1099.06</v>
      </c>
      <c r="F13" s="96">
        <f t="shared" si="0"/>
        <v>2000</v>
      </c>
      <c r="G13" s="98" t="str">
        <f t="shared" si="3"/>
        <v>2</v>
      </c>
      <c r="S13" s="608">
        <f>LARGE(C$8:C$738,7)</f>
        <v>43800</v>
      </c>
      <c r="T13" s="873">
        <f t="shared" si="4"/>
        <v>212.12527796400002</v>
      </c>
      <c r="U13" s="874">
        <f t="shared" si="5"/>
        <v>24577.288883000001</v>
      </c>
    </row>
    <row r="14" spans="1:21">
      <c r="A14" s="333">
        <f t="shared" si="1"/>
        <v>3</v>
      </c>
      <c r="B14" s="333">
        <f t="shared" si="2"/>
        <v>2000</v>
      </c>
      <c r="C14" s="608">
        <v>36770</v>
      </c>
      <c r="D14" s="706">
        <v>42.546999999999997</v>
      </c>
      <c r="E14" s="705">
        <v>1188.4100000000001</v>
      </c>
      <c r="F14" s="96">
        <f t="shared" si="0"/>
        <v>2000</v>
      </c>
      <c r="G14" s="98" t="str">
        <f t="shared" si="3"/>
        <v>3</v>
      </c>
      <c r="S14" s="608">
        <f>LARGE(C$8:C$738,6)</f>
        <v>43891</v>
      </c>
      <c r="T14" s="706">
        <f t="shared" si="4"/>
        <v>192.44260940599997</v>
      </c>
      <c r="U14" s="705">
        <f t="shared" si="5"/>
        <v>23748.656423</v>
      </c>
    </row>
    <row r="15" spans="1:21">
      <c r="A15" s="333">
        <f t="shared" si="1"/>
        <v>4</v>
      </c>
      <c r="B15" s="333">
        <f t="shared" si="2"/>
        <v>2000</v>
      </c>
      <c r="C15" s="608">
        <v>36861</v>
      </c>
      <c r="D15" s="873">
        <v>40.906999999999996</v>
      </c>
      <c r="E15" s="874">
        <v>1233.8900000000001</v>
      </c>
      <c r="F15" s="96">
        <f t="shared" si="0"/>
        <v>2000</v>
      </c>
      <c r="G15" s="98" t="str">
        <f t="shared" si="3"/>
        <v>4</v>
      </c>
      <c r="S15" s="608">
        <f>LARGE(C$8:C$738,5)</f>
        <v>43983</v>
      </c>
      <c r="T15" s="873">
        <f t="shared" si="4"/>
        <v>226.11576968099996</v>
      </c>
      <c r="U15" s="874">
        <f t="shared" si="5"/>
        <v>28436.530451999999</v>
      </c>
    </row>
    <row r="16" spans="1:21">
      <c r="A16" s="333">
        <f t="shared" si="1"/>
        <v>1</v>
      </c>
      <c r="B16" s="333">
        <f t="shared" si="2"/>
        <v>2001</v>
      </c>
      <c r="C16" s="608">
        <v>36951</v>
      </c>
      <c r="D16" s="706">
        <v>38.255000000000003</v>
      </c>
      <c r="E16" s="705">
        <v>1206.4000000000001</v>
      </c>
      <c r="F16" s="96">
        <f t="shared" si="0"/>
        <v>2001</v>
      </c>
      <c r="G16" s="98" t="str">
        <f t="shared" si="3"/>
        <v>1</v>
      </c>
      <c r="S16" s="608">
        <f>LARGE(C$8:C$738,4)</f>
        <v>44075</v>
      </c>
      <c r="T16" s="706">
        <f t="shared" si="4"/>
        <v>212.45361586800001</v>
      </c>
      <c r="U16" s="705">
        <f t="shared" si="5"/>
        <v>31157.463564000001</v>
      </c>
    </row>
    <row r="17" spans="1:21">
      <c r="A17" s="333">
        <f t="shared" si="1"/>
        <v>2</v>
      </c>
      <c r="B17" s="333">
        <f t="shared" si="2"/>
        <v>2001</v>
      </c>
      <c r="C17" s="608">
        <v>37043</v>
      </c>
      <c r="D17" s="873">
        <v>40.061</v>
      </c>
      <c r="E17" s="874">
        <v>1284</v>
      </c>
      <c r="F17" s="96">
        <f t="shared" si="0"/>
        <v>2001</v>
      </c>
      <c r="G17" s="98" t="str">
        <f t="shared" si="3"/>
        <v>2</v>
      </c>
      <c r="S17" s="608">
        <f>LARGE(C$8:C$738,3)</f>
        <v>44166</v>
      </c>
      <c r="T17" s="873">
        <f t="shared" si="4"/>
        <v>216.19986670899999</v>
      </c>
      <c r="U17" s="874">
        <f t="shared" si="5"/>
        <v>35102.117855999997</v>
      </c>
    </row>
    <row r="18" spans="1:21">
      <c r="A18" s="333">
        <f t="shared" si="1"/>
        <v>3</v>
      </c>
      <c r="B18" s="333">
        <f t="shared" si="2"/>
        <v>2001</v>
      </c>
      <c r="C18" s="608">
        <v>37135</v>
      </c>
      <c r="D18" s="706">
        <v>44.878</v>
      </c>
      <c r="E18" s="705">
        <v>1479.86</v>
      </c>
      <c r="F18" s="96">
        <f t="shared" si="0"/>
        <v>2001</v>
      </c>
      <c r="G18" s="98" t="str">
        <f t="shared" si="3"/>
        <v>3</v>
      </c>
      <c r="S18" s="608">
        <f>LARGE(C$8:C$738,2)</f>
        <v>44256</v>
      </c>
      <c r="T18" s="706">
        <f t="shared" si="4"/>
        <v>196.62284968700004</v>
      </c>
      <c r="U18" s="705">
        <f t="shared" si="5"/>
        <v>39626.641809000001</v>
      </c>
    </row>
    <row r="19" spans="1:21" ht="15.75" thickBot="1">
      <c r="A19" s="333">
        <f t="shared" si="1"/>
        <v>4</v>
      </c>
      <c r="B19" s="333">
        <f t="shared" si="2"/>
        <v>2001</v>
      </c>
      <c r="C19" s="608">
        <v>37226</v>
      </c>
      <c r="D19" s="873">
        <v>42.820999999999998</v>
      </c>
      <c r="E19" s="874">
        <v>1399.45</v>
      </c>
      <c r="F19" s="96">
        <f t="shared" si="0"/>
        <v>2001</v>
      </c>
      <c r="G19" s="98" t="str">
        <f t="shared" si="3"/>
        <v>4</v>
      </c>
      <c r="S19" s="609">
        <f>LARGE(C$8:C$738,1)</f>
        <v>44348</v>
      </c>
      <c r="T19" s="883">
        <f t="shared" si="4"/>
        <v>213.41079110700002</v>
      </c>
      <c r="U19" s="884">
        <f t="shared" si="5"/>
        <v>48846.717559999997</v>
      </c>
    </row>
    <row r="20" spans="1:21">
      <c r="A20" s="333">
        <f t="shared" si="1"/>
        <v>1</v>
      </c>
      <c r="B20" s="333">
        <f t="shared" si="2"/>
        <v>2002</v>
      </c>
      <c r="C20" s="608">
        <v>37316</v>
      </c>
      <c r="D20" s="706">
        <v>36.344999999999999</v>
      </c>
      <c r="E20" s="705">
        <v>1139.8</v>
      </c>
      <c r="F20" s="96">
        <f t="shared" si="0"/>
        <v>2002</v>
      </c>
      <c r="G20" s="98" t="str">
        <f t="shared" si="3"/>
        <v>1</v>
      </c>
      <c r="S20" s="2"/>
    </row>
    <row r="21" spans="1:21">
      <c r="A21" s="333">
        <f t="shared" si="1"/>
        <v>2</v>
      </c>
      <c r="B21" s="333">
        <f t="shared" si="2"/>
        <v>2002</v>
      </c>
      <c r="C21" s="608">
        <v>37408</v>
      </c>
      <c r="D21" s="873">
        <v>40.590000000000003</v>
      </c>
      <c r="E21" s="874">
        <v>1188.51</v>
      </c>
      <c r="F21" s="96">
        <f t="shared" si="0"/>
        <v>2002</v>
      </c>
      <c r="G21" s="98" t="str">
        <f t="shared" si="3"/>
        <v>2</v>
      </c>
      <c r="S21" s="2"/>
    </row>
    <row r="22" spans="1:21">
      <c r="A22" s="333">
        <f t="shared" si="1"/>
        <v>3</v>
      </c>
      <c r="B22" s="333">
        <f t="shared" si="2"/>
        <v>2002</v>
      </c>
      <c r="C22" s="608">
        <v>37500</v>
      </c>
      <c r="D22" s="706">
        <v>47.561999999999998</v>
      </c>
      <c r="E22" s="705">
        <v>1387.45</v>
      </c>
      <c r="F22" s="96">
        <f t="shared" si="0"/>
        <v>2002</v>
      </c>
      <c r="G22" s="98" t="str">
        <f t="shared" si="3"/>
        <v>3</v>
      </c>
      <c r="S22" s="2"/>
    </row>
    <row r="23" spans="1:21">
      <c r="A23" s="333">
        <f t="shared" si="1"/>
        <v>4</v>
      </c>
      <c r="B23" s="333">
        <f t="shared" si="2"/>
        <v>2002</v>
      </c>
      <c r="C23" s="608">
        <v>37591</v>
      </c>
      <c r="D23" s="873">
        <v>47.27</v>
      </c>
      <c r="E23" s="874">
        <v>1348.87</v>
      </c>
      <c r="F23" s="96">
        <f t="shared" si="0"/>
        <v>2002</v>
      </c>
      <c r="G23" s="98" t="str">
        <f t="shared" si="3"/>
        <v>4</v>
      </c>
      <c r="S23" s="2"/>
    </row>
    <row r="24" spans="1:21">
      <c r="A24" s="333">
        <f t="shared" si="1"/>
        <v>1</v>
      </c>
      <c r="B24" s="333">
        <f t="shared" si="2"/>
        <v>2003</v>
      </c>
      <c r="C24" s="608">
        <v>37681</v>
      </c>
      <c r="D24" s="706">
        <v>45.606999999999999</v>
      </c>
      <c r="E24" s="705">
        <v>1215.81</v>
      </c>
      <c r="F24" s="96">
        <f t="shared" si="0"/>
        <v>2003</v>
      </c>
      <c r="G24" s="98" t="str">
        <f t="shared" si="3"/>
        <v>1</v>
      </c>
      <c r="S24" s="2"/>
    </row>
    <row r="25" spans="1:21">
      <c r="A25" s="333">
        <f t="shared" si="1"/>
        <v>2</v>
      </c>
      <c r="B25" s="333">
        <f t="shared" si="2"/>
        <v>2003</v>
      </c>
      <c r="C25" s="608">
        <v>37773</v>
      </c>
      <c r="D25" s="873">
        <v>47.893999999999998</v>
      </c>
      <c r="E25" s="874">
        <v>1246.04</v>
      </c>
      <c r="F25" s="96">
        <f t="shared" si="0"/>
        <v>2003</v>
      </c>
      <c r="G25" s="98" t="str">
        <f t="shared" si="3"/>
        <v>2</v>
      </c>
      <c r="S25" s="2"/>
    </row>
    <row r="26" spans="1:21">
      <c r="A26" s="333">
        <f t="shared" si="1"/>
        <v>3</v>
      </c>
      <c r="B26" s="333">
        <f t="shared" si="2"/>
        <v>2003</v>
      </c>
      <c r="C26" s="608">
        <v>37865</v>
      </c>
      <c r="D26" s="706">
        <v>49.100225399999999</v>
      </c>
      <c r="E26" s="705">
        <v>1298.5731617599999</v>
      </c>
      <c r="F26" s="96">
        <f t="shared" si="0"/>
        <v>2003</v>
      </c>
      <c r="G26" s="98" t="str">
        <f t="shared" si="3"/>
        <v>3</v>
      </c>
      <c r="S26" s="2"/>
    </row>
    <row r="27" spans="1:21">
      <c r="A27" s="333">
        <f t="shared" si="1"/>
        <v>4</v>
      </c>
      <c r="B27" s="333">
        <f t="shared" si="2"/>
        <v>2003</v>
      </c>
      <c r="C27" s="608">
        <v>37956</v>
      </c>
      <c r="D27" s="873">
        <v>51.992777760000003</v>
      </c>
      <c r="E27" s="874">
        <v>1296.3779992100001</v>
      </c>
      <c r="F27" s="96">
        <f t="shared" si="0"/>
        <v>2003</v>
      </c>
      <c r="G27" s="98" t="str">
        <f t="shared" si="3"/>
        <v>4</v>
      </c>
    </row>
    <row r="28" spans="1:21">
      <c r="A28" s="333">
        <f t="shared" si="1"/>
        <v>1</v>
      </c>
      <c r="B28" s="333">
        <f t="shared" si="2"/>
        <v>2004</v>
      </c>
      <c r="C28" s="608">
        <v>38047</v>
      </c>
      <c r="D28" s="706">
        <v>49.918986199999999</v>
      </c>
      <c r="E28" s="705">
        <v>1223.62471413</v>
      </c>
      <c r="F28" s="96">
        <f t="shared" si="0"/>
        <v>2004</v>
      </c>
      <c r="G28" s="98" t="str">
        <f t="shared" si="3"/>
        <v>1</v>
      </c>
    </row>
    <row r="29" spans="1:21">
      <c r="A29" s="333">
        <f t="shared" si="1"/>
        <v>2</v>
      </c>
      <c r="B29" s="333">
        <f t="shared" si="2"/>
        <v>2004</v>
      </c>
      <c r="C29" s="608">
        <v>38139</v>
      </c>
      <c r="D29" s="873">
        <v>49.924693769999998</v>
      </c>
      <c r="E29" s="874">
        <v>1541.8841010599999</v>
      </c>
      <c r="F29" s="96">
        <f t="shared" si="0"/>
        <v>2004</v>
      </c>
      <c r="G29" s="98" t="str">
        <f t="shared" si="3"/>
        <v>2</v>
      </c>
    </row>
    <row r="30" spans="1:21">
      <c r="A30" s="333">
        <f t="shared" si="1"/>
        <v>3</v>
      </c>
      <c r="B30" s="333">
        <f t="shared" si="2"/>
        <v>2004</v>
      </c>
      <c r="C30" s="608">
        <v>38231</v>
      </c>
      <c r="D30" s="706">
        <v>54.938313600000001</v>
      </c>
      <c r="E30" s="705">
        <v>1690.3767697599999</v>
      </c>
      <c r="F30" s="96">
        <f t="shared" si="0"/>
        <v>2004</v>
      </c>
      <c r="G30" s="98" t="str">
        <f t="shared" si="3"/>
        <v>3</v>
      </c>
    </row>
    <row r="31" spans="1:21">
      <c r="A31" s="333">
        <f t="shared" si="1"/>
        <v>4</v>
      </c>
      <c r="B31" s="333">
        <f t="shared" si="2"/>
        <v>2004</v>
      </c>
      <c r="C31" s="608">
        <v>38322</v>
      </c>
      <c r="D31" s="873">
        <v>58.749635499999997</v>
      </c>
      <c r="E31" s="874">
        <v>1737.0907341899999</v>
      </c>
      <c r="F31" s="96">
        <f t="shared" si="0"/>
        <v>2004</v>
      </c>
      <c r="G31" s="98" t="str">
        <f t="shared" si="3"/>
        <v>4</v>
      </c>
    </row>
    <row r="32" spans="1:21" ht="15.75" thickBot="1">
      <c r="A32" s="333">
        <f t="shared" si="1"/>
        <v>1</v>
      </c>
      <c r="B32" s="333">
        <f t="shared" si="2"/>
        <v>2005</v>
      </c>
      <c r="C32" s="608">
        <v>38412</v>
      </c>
      <c r="D32" s="706">
        <v>57.198419289999997</v>
      </c>
      <c r="E32" s="705">
        <v>1771.794298</v>
      </c>
      <c r="F32" s="96">
        <f t="shared" si="0"/>
        <v>2005</v>
      </c>
      <c r="G32" s="98" t="str">
        <f t="shared" si="3"/>
        <v>1</v>
      </c>
    </row>
    <row r="33" spans="1:28" ht="15.75" thickBot="1">
      <c r="A33" s="333">
        <f t="shared" si="1"/>
        <v>2</v>
      </c>
      <c r="B33" s="333">
        <f t="shared" si="2"/>
        <v>2005</v>
      </c>
      <c r="C33" s="608">
        <v>38504</v>
      </c>
      <c r="D33" s="873">
        <v>59.228280230000003</v>
      </c>
      <c r="E33" s="874">
        <v>3087.9183412000002</v>
      </c>
      <c r="F33" s="96">
        <f t="shared" si="0"/>
        <v>2005</v>
      </c>
      <c r="G33" s="98" t="str">
        <f t="shared" si="3"/>
        <v>2</v>
      </c>
      <c r="S33" s="1450" t="s">
        <v>383</v>
      </c>
      <c r="T33" s="2020" t="s">
        <v>382</v>
      </c>
      <c r="U33" s="2021"/>
    </row>
    <row r="34" spans="1:28" ht="15.75" thickBot="1">
      <c r="A34" s="333">
        <f t="shared" si="1"/>
        <v>3</v>
      </c>
      <c r="B34" s="333">
        <f t="shared" si="2"/>
        <v>2005</v>
      </c>
      <c r="C34" s="608">
        <v>38596</v>
      </c>
      <c r="D34" s="706">
        <v>59.310883619999998</v>
      </c>
      <c r="E34" s="705">
        <v>3043.2077460300002</v>
      </c>
      <c r="F34" s="96">
        <f t="shared" si="0"/>
        <v>2005</v>
      </c>
      <c r="G34" s="98" t="str">
        <f t="shared" si="3"/>
        <v>3</v>
      </c>
      <c r="S34" s="1975" t="str">
        <f>CONCATENATE(C5," Quantity And Value By Year")</f>
        <v>Iron Ore Quantity And Value By Year</v>
      </c>
      <c r="T34" s="1976"/>
      <c r="U34" s="1977"/>
    </row>
    <row r="35" spans="1:28">
      <c r="A35" s="333">
        <f t="shared" si="1"/>
        <v>4</v>
      </c>
      <c r="B35" s="333">
        <f t="shared" si="2"/>
        <v>2005</v>
      </c>
      <c r="C35" s="608">
        <v>38687</v>
      </c>
      <c r="D35" s="873">
        <v>64.764090550000006</v>
      </c>
      <c r="E35" s="874">
        <v>3405.7975597599998</v>
      </c>
      <c r="F35" s="96">
        <f t="shared" si="0"/>
        <v>2005</v>
      </c>
      <c r="G35" s="98" t="str">
        <f t="shared" si="3"/>
        <v>4</v>
      </c>
      <c r="S35" s="1447" t="s">
        <v>41</v>
      </c>
      <c r="T35" s="1448" t="str">
        <f>D7</f>
        <v>Quantity (Mt)</v>
      </c>
      <c r="U35" s="1449" t="str">
        <f>E7</f>
        <v>Value ($ Million)</v>
      </c>
    </row>
    <row r="36" spans="1:28">
      <c r="A36" s="333">
        <f t="shared" si="1"/>
        <v>1</v>
      </c>
      <c r="B36" s="333">
        <f t="shared" si="2"/>
        <v>2006</v>
      </c>
      <c r="C36" s="608">
        <v>38777</v>
      </c>
      <c r="D36" s="706">
        <v>54.599854749999999</v>
      </c>
      <c r="E36" s="705">
        <v>2862.9376372400002</v>
      </c>
      <c r="F36" s="96">
        <f t="shared" si="0"/>
        <v>2006</v>
      </c>
      <c r="G36" s="98" t="str">
        <f t="shared" si="3"/>
        <v>1</v>
      </c>
      <c r="S36" s="1332" t="str">
        <f>IF($T$33="Calendar Year",YEAR(MIN($C$8:$C$200)),CONCATENATE(YEAR(MIN($C$8:$C$200)),"-",((YEAR(MIN($C$8:$C$200))+1))))</f>
        <v>1999-2000</v>
      </c>
      <c r="T36" s="753">
        <f>IF($T$33="Calendar Year",SUMIF($F$8:$F$200,$S36,$D$8:$D$200),SUMIFS($D$8:$D$200,$F$8:$F$200,LEFT($S36,4),$G$8:$G$200,3)+SUMIFS($D$8:$D$200,$F$8:$F$200,LEFT($S36,4),$G$8:$G$200,4)+SUMIFS($D$8:$D$200,$F$8:$F$200,LEFT($S36,4)+1,$G$8:$G$200,1)+SUMIFS($D$8:$D$200,$F$8:$F$200,LEFT($S36,4)+1,$G$8:$G$200,2))</f>
        <v>151.15899999999999</v>
      </c>
      <c r="U36" s="754">
        <f>IF($T$33="Calendar Year",SUMIF($F$8:$F$200,$S36,$E$8:$E$200),SUMIFS($E$8:$E$200,$F$8:$F$200,LEFT($S36,4),$G$8:$G$200,3)+SUMIFS($E$8:$E$200,$F$8:$F$200,LEFT($S36,4),$G$8:$G$200,4)+SUMIFS($E$8:$E$200,$F$8:$F$200,LEFT($S36,4)+1,$G$8:$G$200,1)+SUMIFS($E$8:$E$200,$F$8:$F$200,LEFT($S36,4)+1,$G$8:$G$200,2))</f>
        <v>3722.0299999999997</v>
      </c>
      <c r="AA36" s="434"/>
      <c r="AB36" s="434"/>
    </row>
    <row r="37" spans="1:28">
      <c r="A37" s="333">
        <f t="shared" si="1"/>
        <v>2</v>
      </c>
      <c r="B37" s="333">
        <f t="shared" si="2"/>
        <v>2006</v>
      </c>
      <c r="C37" s="608">
        <v>38869</v>
      </c>
      <c r="D37" s="873">
        <v>61.893562467999999</v>
      </c>
      <c r="E37" s="874">
        <v>3728.8830937900002</v>
      </c>
      <c r="F37" s="96">
        <f t="shared" si="0"/>
        <v>2006</v>
      </c>
      <c r="G37" s="98" t="str">
        <f t="shared" si="3"/>
        <v>2</v>
      </c>
      <c r="S37" s="1332" t="str">
        <f>IFERROR(IF(YEAR(MAX('Commodity Prices'!$C$9:$C4984))=VALUE(RIGHT(S36,4)),"",IF($T$33="Calendar Year",S36+1,CONCATENATE(LEFT(S36,4)+1,"-",RIGHT(S36,4)+1))),"")</f>
        <v>2000-2001</v>
      </c>
      <c r="T37" s="876">
        <f>IF(S37="","",IF($T$33="Calendar Year",SUMIF($F$8:$F$200,$S37,$D$8:$D$200),SUMIFS($D$8:$D$200,$F$8:$F$200,LEFT($S37,4),$G$8:$G$200,3)+SUMIFS($D$8:$D$200,$F$8:$F$200,LEFT($S37,4),$G$8:$G$200,4)+SUMIFS($D$8:$D$200,$F$8:$F$200,LEFT($S37,4)+1,$G$8:$G$200,1)+SUMIFS($D$8:$D$200,$F$8:$F$200,LEFT($S37,4)+1,$G$8:$G$200,2)))</f>
        <v>161.77000000000001</v>
      </c>
      <c r="U37" s="877">
        <f t="shared" ref="U37:U52" si="6">IF(S37="","",IF($T$33="Calendar Year",SUMIF($F$8:$F$200,$S37,$E$8:$E$200),SUMIFS($E$8:$E$200,$F$8:$F$200,LEFT($S37,4),$G$8:$G$200,3)+SUMIFS($E$8:$E$200,$F$8:$F$200,LEFT($S37,4),$G$8:$G$200,4)+SUMIFS($E$8:$E$200,$F$8:$F$200,LEFT($S37,4)+1,$G$8:$G$200,1)+SUMIFS($E$8:$E$200,$F$8:$F$200,LEFT($S37,4)+1,$G$8:$G$200,2)))</f>
        <v>4912.7000000000007</v>
      </c>
      <c r="AA37" s="434"/>
      <c r="AB37" s="434"/>
    </row>
    <row r="38" spans="1:28">
      <c r="A38" s="333">
        <f t="shared" si="1"/>
        <v>3</v>
      </c>
      <c r="B38" s="333">
        <f t="shared" si="2"/>
        <v>2006</v>
      </c>
      <c r="C38" s="608">
        <v>38961</v>
      </c>
      <c r="D38" s="706">
        <v>64.795758108000001</v>
      </c>
      <c r="E38" s="705">
        <v>3954.9073160200001</v>
      </c>
      <c r="F38" s="96">
        <f t="shared" si="0"/>
        <v>2006</v>
      </c>
      <c r="G38" s="98" t="str">
        <f t="shared" si="3"/>
        <v>3</v>
      </c>
      <c r="S38" s="1332" t="str">
        <f>IFERROR(IF(YEAR(MAX('Commodity Prices'!$C$9:$C4985))=VALUE(RIGHT(S37,4)),"",IF($T$33="Calendar Year",S37+1,CONCATENATE(LEFT(S37,4)+1,"-",RIGHT(S37,4)+1))),"")</f>
        <v>2001-2002</v>
      </c>
      <c r="T38" s="753">
        <f t="shared" ref="T38:T61" si="7">IF(S38="","",IF($T$33="Calendar Year",SUMIF($F$8:$F$200,$S38,$D$8:$D$200),SUMIFS($D$8:$D$200,$F$8:$F$200,LEFT($S38,4),$G$8:$G$200,3)+SUMIFS($D$8:$D$200,$F$8:$F$200,LEFT($S38,4),$G$8:$G$200,4)+SUMIFS($D$8:$D$200,$F$8:$F$200,LEFT($S38,4)+1,$G$8:$G$200,1)+SUMIFS($D$8:$D$200,$F$8:$F$200,LEFT($S38,4)+1,$G$8:$G$200,2)))</f>
        <v>164.63400000000001</v>
      </c>
      <c r="U38" s="754">
        <f t="shared" si="6"/>
        <v>5207.62</v>
      </c>
      <c r="AA38" s="434"/>
      <c r="AB38" s="434"/>
    </row>
    <row r="39" spans="1:28">
      <c r="A39" s="333">
        <f t="shared" si="1"/>
        <v>4</v>
      </c>
      <c r="B39" s="333">
        <f t="shared" si="2"/>
        <v>2006</v>
      </c>
      <c r="C39" s="608">
        <v>39052</v>
      </c>
      <c r="D39" s="873">
        <v>69.036591036000004</v>
      </c>
      <c r="E39" s="874">
        <v>4233.3646986200001</v>
      </c>
      <c r="F39" s="96">
        <f t="shared" si="0"/>
        <v>2006</v>
      </c>
      <c r="G39" s="98" t="str">
        <f t="shared" si="3"/>
        <v>4</v>
      </c>
      <c r="S39" s="1332" t="str">
        <f>IFERROR(IF(YEAR(MAX('Commodity Prices'!$C$9:$C4986))=VALUE(RIGHT(S38,4)),"",IF($T$33="Calendar Year",S38+1,CONCATENATE(LEFT(S38,4)+1,"-",RIGHT(S38,4)+1))),"")</f>
        <v>2002-2003</v>
      </c>
      <c r="T39" s="876">
        <f t="shared" si="7"/>
        <v>188.333</v>
      </c>
      <c r="U39" s="877">
        <f t="shared" si="6"/>
        <v>5198.17</v>
      </c>
      <c r="AA39" s="434"/>
      <c r="AB39" s="434"/>
    </row>
    <row r="40" spans="1:28">
      <c r="A40" s="333">
        <f t="shared" si="1"/>
        <v>1</v>
      </c>
      <c r="B40" s="333">
        <f t="shared" si="2"/>
        <v>2007</v>
      </c>
      <c r="C40" s="608">
        <v>39142</v>
      </c>
      <c r="D40" s="706">
        <v>58.234962271999997</v>
      </c>
      <c r="E40" s="705">
        <v>3517.6331391799999</v>
      </c>
      <c r="F40" s="96">
        <f t="shared" si="0"/>
        <v>2007</v>
      </c>
      <c r="G40" s="98" t="str">
        <f t="shared" si="3"/>
        <v>1</v>
      </c>
      <c r="S40" s="1332" t="str">
        <f>IFERROR(IF(YEAR(MAX('Commodity Prices'!$C$9:$C4987))=VALUE(RIGHT(S39,4)),"",IF($T$33="Calendar Year",S39+1,CONCATENATE(LEFT(S39,4)+1,"-",RIGHT(S39,4)+1))),"")</f>
        <v>2003-2004</v>
      </c>
      <c r="T40" s="753">
        <f t="shared" si="7"/>
        <v>200.93668313000001</v>
      </c>
      <c r="U40" s="754">
        <f t="shared" si="6"/>
        <v>5360.4599761600002</v>
      </c>
      <c r="AA40" s="434"/>
      <c r="AB40" s="434"/>
    </row>
    <row r="41" spans="1:28">
      <c r="A41" s="333">
        <f t="shared" si="1"/>
        <v>2</v>
      </c>
      <c r="B41" s="333">
        <f t="shared" si="2"/>
        <v>2007</v>
      </c>
      <c r="C41" s="608">
        <v>39234</v>
      </c>
      <c r="D41" s="873">
        <v>66.929610177000001</v>
      </c>
      <c r="E41" s="874">
        <v>4073.28629654</v>
      </c>
      <c r="F41" s="96">
        <f t="shared" si="0"/>
        <v>2007</v>
      </c>
      <c r="G41" s="98" t="str">
        <f t="shared" si="3"/>
        <v>2</v>
      </c>
      <c r="S41" s="1332" t="str">
        <f>IFERROR(IF(YEAR(MAX('Commodity Prices'!$C$9:$C4988))=VALUE(RIGHT(S40,4)),"",IF($T$33="Calendar Year",S40+1,CONCATENATE(LEFT(S40,4)+1,"-",RIGHT(S40,4)+1))),"")</f>
        <v>2004-2005</v>
      </c>
      <c r="T41" s="876">
        <f t="shared" si="7"/>
        <v>230.11464862</v>
      </c>
      <c r="U41" s="877">
        <f t="shared" si="6"/>
        <v>8287.1801431499989</v>
      </c>
      <c r="AA41" s="434"/>
      <c r="AB41" s="434"/>
    </row>
    <row r="42" spans="1:28">
      <c r="A42" s="333">
        <f t="shared" si="1"/>
        <v>3</v>
      </c>
      <c r="B42" s="333">
        <f t="shared" si="2"/>
        <v>2007</v>
      </c>
      <c r="C42" s="608">
        <v>39326</v>
      </c>
      <c r="D42" s="706">
        <v>66.547036129999995</v>
      </c>
      <c r="E42" s="705">
        <v>4027.29191631</v>
      </c>
      <c r="F42" s="96">
        <f t="shared" si="0"/>
        <v>2007</v>
      </c>
      <c r="G42" s="98" t="str">
        <f t="shared" si="3"/>
        <v>3</v>
      </c>
      <c r="S42" s="1332" t="str">
        <f>IFERROR(IF(YEAR(MAX('Commodity Prices'!$C$9:$C4989))=VALUE(RIGHT(S41,4)),"",IF($T$33="Calendar Year",S41+1,CONCATENATE(LEFT(S41,4)+1,"-",RIGHT(S41,4)+1))),"")</f>
        <v>2005-2006</v>
      </c>
      <c r="T42" s="753">
        <f t="shared" si="7"/>
        <v>240.56839138800001</v>
      </c>
      <c r="U42" s="754">
        <f t="shared" si="6"/>
        <v>13040.826036820001</v>
      </c>
      <c r="AA42" s="434"/>
      <c r="AB42" s="434"/>
    </row>
    <row r="43" spans="1:28">
      <c r="A43" s="333">
        <f t="shared" si="1"/>
        <v>4</v>
      </c>
      <c r="B43" s="333">
        <f t="shared" si="2"/>
        <v>2007</v>
      </c>
      <c r="C43" s="608">
        <v>39417</v>
      </c>
      <c r="D43" s="873">
        <v>72.737543471999999</v>
      </c>
      <c r="E43" s="874">
        <v>4517.69260141</v>
      </c>
      <c r="F43" s="96">
        <f t="shared" si="0"/>
        <v>2007</v>
      </c>
      <c r="G43" s="98" t="str">
        <f t="shared" si="3"/>
        <v>4</v>
      </c>
      <c r="S43" s="1332" t="str">
        <f>IFERROR(IF(YEAR(MAX('Commodity Prices'!$C$9:$C4990))=VALUE(RIGHT(S42,4)),"",IF($T$33="Calendar Year",S42+1,CONCATENATE(LEFT(S42,4)+1,"-",RIGHT(S42,4)+1))),"")</f>
        <v>2006-2007</v>
      </c>
      <c r="T43" s="876">
        <f t="shared" si="7"/>
        <v>258.99692159300002</v>
      </c>
      <c r="U43" s="877">
        <f t="shared" si="6"/>
        <v>15779.19145036</v>
      </c>
      <c r="AA43" s="434"/>
      <c r="AB43" s="434"/>
    </row>
    <row r="44" spans="1:28">
      <c r="A44" s="333">
        <f t="shared" si="1"/>
        <v>1</v>
      </c>
      <c r="B44" s="333">
        <f t="shared" si="2"/>
        <v>2008</v>
      </c>
      <c r="C44" s="608">
        <v>39508</v>
      </c>
      <c r="D44" s="706">
        <v>73.459152786000004</v>
      </c>
      <c r="E44" s="705">
        <v>5322.6792588799999</v>
      </c>
      <c r="F44" s="96">
        <f t="shared" si="0"/>
        <v>2008</v>
      </c>
      <c r="G44" s="98" t="str">
        <f t="shared" si="3"/>
        <v>1</v>
      </c>
      <c r="S44" s="1332" t="str">
        <f>IFERROR(IF(YEAR(MAX('Commodity Prices'!$C$9:$C4991))=VALUE(RIGHT(S43,4)),"",IF($T$33="Calendar Year",S43+1,CONCATENATE(LEFT(S43,4)+1,"-",RIGHT(S43,4)+1))),"")</f>
        <v>2007-2008</v>
      </c>
      <c r="T44" s="753">
        <f t="shared" si="7"/>
        <v>291.16611531199999</v>
      </c>
      <c r="U44" s="754">
        <f t="shared" si="6"/>
        <v>21960.406709939998</v>
      </c>
      <c r="AA44" s="434"/>
      <c r="AB44" s="434"/>
    </row>
    <row r="45" spans="1:28">
      <c r="A45" s="333">
        <f t="shared" si="1"/>
        <v>2</v>
      </c>
      <c r="B45" s="333">
        <f t="shared" si="2"/>
        <v>2008</v>
      </c>
      <c r="C45" s="608">
        <v>39600</v>
      </c>
      <c r="D45" s="873">
        <v>78.422382924000004</v>
      </c>
      <c r="E45" s="874">
        <v>8092.7429333399996</v>
      </c>
      <c r="F45" s="96">
        <f t="shared" si="0"/>
        <v>2008</v>
      </c>
      <c r="G45" s="98" t="str">
        <f t="shared" si="3"/>
        <v>2</v>
      </c>
      <c r="S45" s="1332" t="str">
        <f>IFERROR(IF(YEAR(MAX('Commodity Prices'!$C$9:$C4992))=VALUE(RIGHT(S44,4)),"",IF($T$33="Calendar Year",S44+1,CONCATENATE(LEFT(S44,4)+1,"-",RIGHT(S44,4)+1))),"")</f>
        <v>2008-2009</v>
      </c>
      <c r="T45" s="876">
        <f t="shared" si="7"/>
        <v>316.54593279799997</v>
      </c>
      <c r="U45" s="877">
        <f t="shared" si="6"/>
        <v>33621.87729669</v>
      </c>
      <c r="AA45" s="434"/>
      <c r="AB45" s="434"/>
    </row>
    <row r="46" spans="1:28">
      <c r="A46" s="333">
        <f t="shared" si="1"/>
        <v>3</v>
      </c>
      <c r="B46" s="333">
        <f t="shared" si="2"/>
        <v>2008</v>
      </c>
      <c r="C46" s="608">
        <v>39692</v>
      </c>
      <c r="D46" s="706">
        <v>86.950802327000005</v>
      </c>
      <c r="E46" s="705">
        <v>9861.1783441700009</v>
      </c>
      <c r="F46" s="96">
        <f t="shared" si="0"/>
        <v>2008</v>
      </c>
      <c r="G46" s="98" t="str">
        <f t="shared" si="3"/>
        <v>3</v>
      </c>
      <c r="S46" s="1332" t="str">
        <f>IFERROR(IF(YEAR(MAX('Commodity Prices'!$C$9:$C4993))=VALUE(RIGHT(S45,4)),"",IF($T$33="Calendar Year",S45+1,CONCATENATE(LEFT(S45,4)+1,"-",RIGHT(S45,4)+1))),"")</f>
        <v>2009-2010</v>
      </c>
      <c r="T46" s="753">
        <f t="shared" si="7"/>
        <v>384.96486780599997</v>
      </c>
      <c r="U46" s="754">
        <f t="shared" si="6"/>
        <v>35214.420583350002</v>
      </c>
      <c r="AA46" s="434"/>
      <c r="AB46" s="434"/>
    </row>
    <row r="47" spans="1:28">
      <c r="A47" s="333">
        <f t="shared" si="1"/>
        <v>4</v>
      </c>
      <c r="B47" s="333">
        <f t="shared" si="2"/>
        <v>2008</v>
      </c>
      <c r="C47" s="608">
        <v>39783</v>
      </c>
      <c r="D47" s="873">
        <v>67.052134644999995</v>
      </c>
      <c r="E47" s="874">
        <v>8633.2544818299993</v>
      </c>
      <c r="F47" s="96">
        <f t="shared" si="0"/>
        <v>2008</v>
      </c>
      <c r="G47" s="98" t="str">
        <f t="shared" si="3"/>
        <v>4</v>
      </c>
      <c r="S47" s="1332" t="str">
        <f>IFERROR(IF(YEAR(MAX('Commodity Prices'!$C$9:$C4994))=VALUE(RIGHT(S46,4)),"",IF($T$33="Calendar Year",S46+1,CONCATENATE(LEFT(S46,4)+1,"-",RIGHT(S46,4)+1))),"")</f>
        <v>2010-2011</v>
      </c>
      <c r="T47" s="876">
        <f t="shared" si="7"/>
        <v>397.60421346800001</v>
      </c>
      <c r="U47" s="877">
        <f t="shared" si="6"/>
        <v>57533.101328700002</v>
      </c>
      <c r="AA47" s="434"/>
      <c r="AB47" s="434"/>
    </row>
    <row r="48" spans="1:28">
      <c r="A48" s="333">
        <f t="shared" si="1"/>
        <v>1</v>
      </c>
      <c r="B48" s="333">
        <f t="shared" si="2"/>
        <v>2009</v>
      </c>
      <c r="C48" s="608">
        <v>39873</v>
      </c>
      <c r="D48" s="706">
        <v>74.655362797999999</v>
      </c>
      <c r="E48" s="705">
        <v>8405.6447132600006</v>
      </c>
      <c r="F48" s="96">
        <f t="shared" si="0"/>
        <v>2009</v>
      </c>
      <c r="G48" s="98" t="str">
        <f t="shared" si="3"/>
        <v>1</v>
      </c>
      <c r="S48" s="1332" t="str">
        <f>IFERROR(IF(YEAR(MAX('Commodity Prices'!$C$9:$C4995))=VALUE(RIGHT(S47,4)),"",IF($T$33="Calendar Year",S47+1,CONCATENATE(LEFT(S47,4)+1,"-",RIGHT(S47,4)+1))),"")</f>
        <v>2011-2012</v>
      </c>
      <c r="T48" s="753">
        <f t="shared" si="7"/>
        <v>454.38506356699997</v>
      </c>
      <c r="U48" s="754">
        <f t="shared" si="6"/>
        <v>60972.72699137</v>
      </c>
      <c r="AA48" s="434"/>
      <c r="AB48" s="434"/>
    </row>
    <row r="49" spans="1:28">
      <c r="A49" s="333">
        <f t="shared" si="1"/>
        <v>2</v>
      </c>
      <c r="B49" s="333">
        <f t="shared" si="2"/>
        <v>2009</v>
      </c>
      <c r="C49" s="608">
        <v>39965</v>
      </c>
      <c r="D49" s="873">
        <v>87.887633027999996</v>
      </c>
      <c r="E49" s="874">
        <v>6721.7997574299998</v>
      </c>
      <c r="F49" s="96">
        <f t="shared" si="0"/>
        <v>2009</v>
      </c>
      <c r="G49" s="98" t="str">
        <f t="shared" si="3"/>
        <v>2</v>
      </c>
      <c r="S49" s="1332" t="str">
        <f>IFERROR(IF(YEAR(MAX('Commodity Prices'!$C$9:$C4996))=VALUE(RIGHT(S48,4)),"",IF($T$33="Calendar Year",S48+1,CONCATENATE(LEFT(S48,4)+1,"-",RIGHT(S48,4)+1))),"")</f>
        <v>2012-2013</v>
      </c>
      <c r="T49" s="876">
        <f t="shared" si="7"/>
        <v>511.76041648500001</v>
      </c>
      <c r="U49" s="877">
        <f t="shared" si="6"/>
        <v>56204.322877489998</v>
      </c>
      <c r="AA49" s="434"/>
      <c r="AB49" s="434"/>
    </row>
    <row r="50" spans="1:28">
      <c r="A50" s="333">
        <f t="shared" si="1"/>
        <v>3</v>
      </c>
      <c r="B50" s="333">
        <f t="shared" si="2"/>
        <v>2009</v>
      </c>
      <c r="C50" s="608">
        <v>40057</v>
      </c>
      <c r="D50" s="706">
        <v>95.559004707</v>
      </c>
      <c r="E50" s="705">
        <v>6885.2803868600004</v>
      </c>
      <c r="F50" s="96">
        <f t="shared" si="0"/>
        <v>2009</v>
      </c>
      <c r="G50" s="98" t="str">
        <f t="shared" si="3"/>
        <v>3</v>
      </c>
      <c r="S50" s="1332" t="str">
        <f>IFERROR(IF(YEAR(MAX('Commodity Prices'!$C$9:$C4997))=VALUE(RIGHT(S49,4)),"",IF($T$33="Calendar Year",S49+1,CONCATENATE(LEFT(S49,4)+1,"-",RIGHT(S49,4)+1))),"")</f>
        <v>2013-2014</v>
      </c>
      <c r="T50" s="753">
        <f t="shared" si="7"/>
        <v>623.50731477399995</v>
      </c>
      <c r="U50" s="754">
        <f t="shared" si="6"/>
        <v>75165.715685289993</v>
      </c>
      <c r="AA50" s="434"/>
      <c r="AB50" s="434"/>
    </row>
    <row r="51" spans="1:28">
      <c r="A51" s="333">
        <f t="shared" si="1"/>
        <v>4</v>
      </c>
      <c r="B51" s="333">
        <f t="shared" si="2"/>
        <v>2009</v>
      </c>
      <c r="C51" s="608">
        <v>40148</v>
      </c>
      <c r="D51" s="873">
        <v>97.967645775999998</v>
      </c>
      <c r="E51" s="874">
        <v>6120.7022781200003</v>
      </c>
      <c r="F51" s="96">
        <f t="shared" si="0"/>
        <v>2009</v>
      </c>
      <c r="G51" s="98" t="str">
        <f t="shared" si="3"/>
        <v>4</v>
      </c>
      <c r="S51" s="1332" t="str">
        <f>IFERROR(IF(YEAR(MAX('Commodity Prices'!$C$9:$C4998))=VALUE(RIGHT(S50,4)),"",IF($T$33="Calendar Year",S50+1,CONCATENATE(LEFT(S50,4)+1,"-",RIGHT(S50,4)+1))),"")</f>
        <v>2014-2015</v>
      </c>
      <c r="T51" s="876">
        <f t="shared" si="7"/>
        <v>718.80640794700003</v>
      </c>
      <c r="U51" s="877">
        <f t="shared" si="6"/>
        <v>54375.667289999998</v>
      </c>
      <c r="AA51" s="434"/>
      <c r="AB51" s="434"/>
    </row>
    <row r="52" spans="1:28">
      <c r="A52" s="333">
        <f t="shared" si="1"/>
        <v>1</v>
      </c>
      <c r="B52" s="333">
        <f t="shared" si="2"/>
        <v>2010</v>
      </c>
      <c r="C52" s="608">
        <v>40238</v>
      </c>
      <c r="D52" s="706">
        <v>93.986817368999994</v>
      </c>
      <c r="E52" s="705">
        <v>7923.4848495799997</v>
      </c>
      <c r="F52" s="96">
        <f t="shared" si="0"/>
        <v>2010</v>
      </c>
      <c r="G52" s="98" t="str">
        <f t="shared" si="3"/>
        <v>1</v>
      </c>
      <c r="S52" s="1332" t="str">
        <f>IFERROR(IF(YEAR(MAX('Commodity Prices'!$C$9:$C4999))=VALUE(RIGHT(S51,4)),"",IF($T$33="Calendar Year",S51+1,CONCATENATE(LEFT(S51,4)+1,"-",RIGHT(S51,4)+1))),"")</f>
        <v>2015-2016</v>
      </c>
      <c r="T52" s="753">
        <f t="shared" si="7"/>
        <v>748.10042095899996</v>
      </c>
      <c r="U52" s="754">
        <f t="shared" si="6"/>
        <v>48767.746597999998</v>
      </c>
      <c r="AA52" s="434"/>
      <c r="AB52" s="434"/>
    </row>
    <row r="53" spans="1:28">
      <c r="A53" s="333">
        <f t="shared" si="1"/>
        <v>2</v>
      </c>
      <c r="B53" s="333">
        <f t="shared" si="2"/>
        <v>2010</v>
      </c>
      <c r="C53" s="608">
        <v>40330</v>
      </c>
      <c r="D53" s="873">
        <v>97.451399953999996</v>
      </c>
      <c r="E53" s="874">
        <v>14284.953068790001</v>
      </c>
      <c r="F53" s="96">
        <f t="shared" si="0"/>
        <v>2010</v>
      </c>
      <c r="G53" s="98" t="str">
        <f t="shared" si="3"/>
        <v>2</v>
      </c>
      <c r="S53" s="1332" t="str">
        <f>IFERROR(IF(YEAR(MAX('Commodity Prices'!$C$9:$C5000))=VALUE(RIGHT(S52,4)),"",IF($T$33="Calendar Year",S52+1,CONCATENATE(LEFT(S52,4)+1,"-",RIGHT(S52,4)+1))),"")</f>
        <v>2016-2017</v>
      </c>
      <c r="T53" s="876">
        <f t="shared" ref="T53:T57" si="8">IF(S53="","",IF($T$33="Calendar Year",SUMIF($F$8:$F$200,$S53,$D$8:$D$200),SUMIFS($D$8:$D$200,$F$8:$F$200,LEFT($S53,4),$G$8:$G$200,3)+SUMIFS($D$8:$D$200,$F$8:$F$200,LEFT($S53,4),$G$8:$G$200,4)+SUMIFS($D$8:$D$200,$F$8:$F$200,LEFT($S53,4)+1,$G$8:$G$200,1)+SUMIFS($D$8:$D$200,$F$8:$F$200,LEFT($S53,4)+1,$G$8:$G$200,2)))</f>
        <v>792.98456287600004</v>
      </c>
      <c r="U53" s="877">
        <f t="shared" ref="U53:U57" si="9">IF(S53="","",IF($T$33="Calendar Year",SUMIF($F$8:$F$200,$S53,$E$8:$E$200),SUMIFS($E$8:$E$200,$F$8:$F$200,LEFT($S53,4),$G$8:$G$200,3)+SUMIFS($E$8:$E$200,$F$8:$F$200,LEFT($S53,4),$G$8:$G$200,4)+SUMIFS($E$8:$E$200,$F$8:$F$200,LEFT($S53,4)+1,$G$8:$G$200,1)+SUMIFS($E$8:$E$200,$F$8:$F$200,LEFT($S53,4)+1,$G$8:$G$200,2)))</f>
        <v>64319.249452000004</v>
      </c>
      <c r="W53" s="440"/>
      <c r="X53" s="440"/>
      <c r="AB53" s="434"/>
    </row>
    <row r="54" spans="1:28">
      <c r="A54" s="333">
        <f t="shared" si="1"/>
        <v>3</v>
      </c>
      <c r="B54" s="333">
        <f t="shared" si="2"/>
        <v>2010</v>
      </c>
      <c r="C54" s="608">
        <v>40422</v>
      </c>
      <c r="D54" s="706">
        <v>97.011669995999995</v>
      </c>
      <c r="E54" s="705">
        <v>14189.22551518</v>
      </c>
      <c r="F54" s="96">
        <f t="shared" si="0"/>
        <v>2010</v>
      </c>
      <c r="G54" s="98" t="str">
        <f t="shared" si="3"/>
        <v>3</v>
      </c>
      <c r="S54" s="1332" t="str">
        <f>IFERROR(IF(YEAR(MAX('Commodity Prices'!$C$9:$C5001))=VALUE(RIGHT(S53,4)),"",IF($T$33="Calendar Year",S53+1,CONCATENATE(LEFT(S53,4)+1,"-",RIGHT(S53,4)+1))),"")</f>
        <v>2017-2018</v>
      </c>
      <c r="T54" s="753">
        <f t="shared" si="8"/>
        <v>839.424190125</v>
      </c>
      <c r="U54" s="754">
        <f t="shared" si="9"/>
        <v>62074.172938000003</v>
      </c>
    </row>
    <row r="55" spans="1:28">
      <c r="A55" s="333">
        <f t="shared" si="1"/>
        <v>4</v>
      </c>
      <c r="B55" s="333">
        <f t="shared" si="2"/>
        <v>2010</v>
      </c>
      <c r="C55" s="608">
        <v>40513</v>
      </c>
      <c r="D55" s="873">
        <v>105.401269747</v>
      </c>
      <c r="E55" s="874">
        <v>13864.485893679999</v>
      </c>
      <c r="F55" s="96">
        <f t="shared" si="0"/>
        <v>2010</v>
      </c>
      <c r="G55" s="98" t="str">
        <f t="shared" si="3"/>
        <v>4</v>
      </c>
      <c r="S55" s="1332" t="str">
        <f>IFERROR(IF(YEAR(MAX('Commodity Prices'!$C$9:$C5002))=VALUE(RIGHT(S54,4)),"",IF($T$33="Calendar Year",S54+1,CONCATENATE(LEFT(S54,4)+1,"-",RIGHT(S54,4)+1))),"")</f>
        <v>2018-2019</v>
      </c>
      <c r="T55" s="876">
        <f t="shared" si="8"/>
        <v>790.54731977699998</v>
      </c>
      <c r="U55" s="877">
        <f t="shared" si="9"/>
        <v>81782.025072000004</v>
      </c>
    </row>
    <row r="56" spans="1:28">
      <c r="A56" s="333">
        <f t="shared" si="1"/>
        <v>1</v>
      </c>
      <c r="B56" s="333">
        <f t="shared" si="2"/>
        <v>2011</v>
      </c>
      <c r="C56" s="608">
        <v>40603</v>
      </c>
      <c r="D56" s="706">
        <v>92.160356540999999</v>
      </c>
      <c r="E56" s="705">
        <v>13502.716071020001</v>
      </c>
      <c r="F56" s="96">
        <f t="shared" si="0"/>
        <v>2011</v>
      </c>
      <c r="G56" s="98" t="str">
        <f t="shared" si="3"/>
        <v>1</v>
      </c>
      <c r="S56" s="1332" t="str">
        <f>IFERROR(IF(YEAR(MAX('Commodity Prices'!$C$9:$C5003))=VALUE(RIGHT(S55,4)),"",IF($T$33="Calendar Year",S55+1,CONCATENATE(LEFT(S55,4)+1,"-",RIGHT(S55,4)+1))),"")</f>
        <v>2019-2020</v>
      </c>
      <c r="T56" s="753">
        <f t="shared" si="8"/>
        <v>836.75781032899988</v>
      </c>
      <c r="U56" s="754">
        <f t="shared" si="9"/>
        <v>104616.533849</v>
      </c>
    </row>
    <row r="57" spans="1:28" ht="15.75" thickBot="1">
      <c r="A57" s="333">
        <f t="shared" si="1"/>
        <v>2</v>
      </c>
      <c r="B57" s="333">
        <f t="shared" si="2"/>
        <v>2011</v>
      </c>
      <c r="C57" s="608">
        <v>40695</v>
      </c>
      <c r="D57" s="873">
        <v>103.030917184</v>
      </c>
      <c r="E57" s="874">
        <v>15976.673848820001</v>
      </c>
      <c r="F57" s="96">
        <f t="shared" si="0"/>
        <v>2011</v>
      </c>
      <c r="G57" s="98" t="str">
        <f t="shared" si="3"/>
        <v>2</v>
      </c>
      <c r="S57" s="1332" t="str">
        <f>IFERROR(IF(YEAR(MAX('Commodity Prices'!$C$9:$C5004))=VALUE(RIGHT(S56,4)),"",IF($T$33="Calendar Year",S56+1,CONCATENATE(LEFT(S56,4)+1,"-",RIGHT(S56,4)+1))),"")</f>
        <v>2020-2021</v>
      </c>
      <c r="T57" s="876">
        <f t="shared" si="8"/>
        <v>838.6871233710001</v>
      </c>
      <c r="U57" s="877">
        <f t="shared" si="9"/>
        <v>154732.94078899999</v>
      </c>
    </row>
    <row r="58" spans="1:28">
      <c r="A58" s="333">
        <f t="shared" si="1"/>
        <v>3</v>
      </c>
      <c r="B58" s="333">
        <f t="shared" si="2"/>
        <v>2011</v>
      </c>
      <c r="C58" s="608">
        <v>40787</v>
      </c>
      <c r="D58" s="706">
        <v>112.872409969</v>
      </c>
      <c r="E58" s="705">
        <v>17693.954844650001</v>
      </c>
      <c r="F58" s="96">
        <f t="shared" si="0"/>
        <v>2011</v>
      </c>
      <c r="G58" s="98" t="str">
        <f t="shared" si="3"/>
        <v>3</v>
      </c>
      <c r="S58" s="658" t="str">
        <f>IFERROR(IF(YEAR(MAX('Commodity Prices'!$C$9:$C5004))=VALUE(RIGHT(S57,4)),"",IF($T$33="Calendar Year",S57+1,CONCATENATE(LEFT(S57,4)+1,"-",RIGHT(S57,4)+1))),"")</f>
        <v/>
      </c>
      <c r="T58" s="878" t="str">
        <f t="shared" si="7"/>
        <v/>
      </c>
      <c r="U58" s="837" t="str">
        <f t="shared" ref="U58:U61" si="10">IF(S58="","",IF($T$33="Calendar Year",SUMIF($F$8:$F$200,$S58,$E$8:$E$200),SUMIFS($E$8:$E$200,$F$8:$F$200,LEFT($S58,4),$G$8:$G$200,3)+SUMIFS($E$8:$E$200,$F$8:$F$200,LEFT($S58,4),$G$8:$G$200,4)+SUMIFS($E$8:$E$200,$F$8:$F$200,LEFT($S58,4)+1,$G$8:$G$200,1)+SUMIFS($E$8:$E$200,$F$8:$F$200,LEFT($S58,4)+1,$G$8:$G$200,2)))</f>
        <v/>
      </c>
    </row>
    <row r="59" spans="1:28">
      <c r="A59" s="333">
        <f t="shared" si="1"/>
        <v>4</v>
      </c>
      <c r="B59" s="333">
        <f t="shared" si="2"/>
        <v>2011</v>
      </c>
      <c r="C59" s="608">
        <v>40878</v>
      </c>
      <c r="D59" s="873">
        <v>118.609196001</v>
      </c>
      <c r="E59" s="874">
        <v>15689.945753239999</v>
      </c>
      <c r="F59" s="96">
        <f t="shared" si="0"/>
        <v>2011</v>
      </c>
      <c r="G59" s="98" t="str">
        <f t="shared" si="3"/>
        <v>4</v>
      </c>
      <c r="S59" s="656" t="str">
        <f>IFERROR(IF(YEAR(MAX('Commodity Prices'!$C$9:$C5005))=VALUE(RIGHT(S58,4)),"",IF($T$33="Calendar Year",S58+1,CONCATENATE(LEFT(S58,4)+1,"-",RIGHT(S58,4)+1))),"")</f>
        <v/>
      </c>
      <c r="T59" s="748" t="str">
        <f t="shared" si="7"/>
        <v/>
      </c>
      <c r="U59" s="879" t="str">
        <f t="shared" si="10"/>
        <v/>
      </c>
    </row>
    <row r="60" spans="1:28">
      <c r="A60" s="333">
        <f t="shared" si="1"/>
        <v>1</v>
      </c>
      <c r="B60" s="333">
        <f t="shared" si="2"/>
        <v>2012</v>
      </c>
      <c r="C60" s="608">
        <v>40969</v>
      </c>
      <c r="D60" s="706">
        <v>103.279320281</v>
      </c>
      <c r="E60" s="705">
        <v>12545.06644411</v>
      </c>
      <c r="F60" s="96">
        <f t="shared" si="0"/>
        <v>2012</v>
      </c>
      <c r="G60" s="98" t="str">
        <f t="shared" si="3"/>
        <v>1</v>
      </c>
      <c r="S60" s="656" t="str">
        <f>IFERROR(IF(YEAR(MAX('Commodity Prices'!$C$9:$C5006))=VALUE(RIGHT(S59,4)),"",IF($T$33="Calendar Year",S59+1,CONCATENATE(LEFT(S59,4)+1,"-",RIGHT(S59,4)+1))),"")</f>
        <v/>
      </c>
      <c r="T60" s="748" t="str">
        <f t="shared" si="7"/>
        <v/>
      </c>
      <c r="U60" s="879" t="str">
        <f t="shared" si="10"/>
        <v/>
      </c>
    </row>
    <row r="61" spans="1:28">
      <c r="A61" s="333">
        <f t="shared" si="1"/>
        <v>2</v>
      </c>
      <c r="B61" s="333">
        <f t="shared" si="2"/>
        <v>2012</v>
      </c>
      <c r="C61" s="608">
        <v>41061</v>
      </c>
      <c r="D61" s="873">
        <v>119.624137316</v>
      </c>
      <c r="E61" s="874">
        <v>15043.75994937</v>
      </c>
      <c r="F61" s="96">
        <f t="shared" si="0"/>
        <v>2012</v>
      </c>
      <c r="G61" s="98" t="str">
        <f t="shared" si="3"/>
        <v>2</v>
      </c>
      <c r="S61" s="656" t="str">
        <f>IFERROR(IF(YEAR(MAX('Commodity Prices'!$C$9:$C5007))=VALUE(RIGHT(S60,4)),"",IF($T$33="Calendar Year",S60+1,CONCATENATE(LEFT(S60,4)+1,"-",RIGHT(S60,4)+1))),"")</f>
        <v/>
      </c>
      <c r="T61" s="748" t="str">
        <f t="shared" si="7"/>
        <v/>
      </c>
      <c r="U61" s="879" t="str">
        <f t="shared" si="10"/>
        <v/>
      </c>
    </row>
    <row r="62" spans="1:28">
      <c r="A62" s="333">
        <f t="shared" si="1"/>
        <v>3</v>
      </c>
      <c r="B62" s="333">
        <f t="shared" si="2"/>
        <v>2012</v>
      </c>
      <c r="C62" s="608">
        <v>41153</v>
      </c>
      <c r="D62" s="706">
        <v>123.919282607</v>
      </c>
      <c r="E62" s="705">
        <v>12464.5617174</v>
      </c>
      <c r="F62" s="96">
        <f t="shared" si="0"/>
        <v>2012</v>
      </c>
      <c r="G62" s="98" t="str">
        <f t="shared" si="3"/>
        <v>3</v>
      </c>
      <c r="H62" s="434"/>
    </row>
    <row r="63" spans="1:28">
      <c r="A63" s="333">
        <f t="shared" si="1"/>
        <v>4</v>
      </c>
      <c r="B63" s="333">
        <f t="shared" si="2"/>
        <v>2012</v>
      </c>
      <c r="C63" s="608">
        <v>41244</v>
      </c>
      <c r="D63" s="873">
        <v>131.503476686</v>
      </c>
      <c r="E63" s="874">
        <v>12770.52852914</v>
      </c>
      <c r="F63" s="96">
        <f t="shared" si="0"/>
        <v>2012</v>
      </c>
      <c r="G63" s="98" t="str">
        <f t="shared" si="3"/>
        <v>4</v>
      </c>
      <c r="H63" s="434"/>
    </row>
    <row r="64" spans="1:28">
      <c r="A64" s="333">
        <f t="shared" si="1"/>
        <v>1</v>
      </c>
      <c r="B64" s="333">
        <f t="shared" si="2"/>
        <v>2013</v>
      </c>
      <c r="C64" s="608">
        <v>41334</v>
      </c>
      <c r="D64" s="706">
        <v>119.44340823899999</v>
      </c>
      <c r="E64" s="705">
        <v>14667.79807929</v>
      </c>
      <c r="F64" s="96">
        <f t="shared" si="0"/>
        <v>2013</v>
      </c>
      <c r="G64" s="98" t="str">
        <f t="shared" si="3"/>
        <v>1</v>
      </c>
      <c r="H64" s="434"/>
    </row>
    <row r="65" spans="1:21">
      <c r="A65" s="333">
        <f t="shared" si="1"/>
        <v>2</v>
      </c>
      <c r="B65" s="333">
        <f t="shared" si="2"/>
        <v>2013</v>
      </c>
      <c r="C65" s="608">
        <v>41426</v>
      </c>
      <c r="D65" s="873">
        <v>136.89424895299999</v>
      </c>
      <c r="E65" s="874">
        <v>16301.434551660001</v>
      </c>
      <c r="F65" s="96">
        <f t="shared" si="0"/>
        <v>2013</v>
      </c>
      <c r="G65" s="98" t="str">
        <f t="shared" si="3"/>
        <v>2</v>
      </c>
      <c r="H65" s="434"/>
    </row>
    <row r="66" spans="1:21">
      <c r="A66" s="333">
        <f t="shared" si="1"/>
        <v>3</v>
      </c>
      <c r="B66" s="333">
        <f t="shared" si="2"/>
        <v>2013</v>
      </c>
      <c r="C66" s="608">
        <v>41518</v>
      </c>
      <c r="D66" s="706">
        <v>144.90508703099999</v>
      </c>
      <c r="E66" s="705">
        <v>19699.531845810001</v>
      </c>
      <c r="F66" s="96">
        <f t="shared" si="0"/>
        <v>2013</v>
      </c>
      <c r="G66" s="98" t="str">
        <f t="shared" si="3"/>
        <v>3</v>
      </c>
      <c r="H66" s="434"/>
    </row>
    <row r="67" spans="1:21">
      <c r="A67" s="333">
        <f t="shared" si="1"/>
        <v>4</v>
      </c>
      <c r="B67" s="333">
        <f t="shared" si="2"/>
        <v>2013</v>
      </c>
      <c r="C67" s="608">
        <v>41609</v>
      </c>
      <c r="D67" s="873">
        <v>153.695089158</v>
      </c>
      <c r="E67" s="874">
        <v>19715.660258479998</v>
      </c>
      <c r="F67" s="96">
        <f t="shared" si="0"/>
        <v>2013</v>
      </c>
      <c r="G67" s="98" t="str">
        <f t="shared" si="3"/>
        <v>4</v>
      </c>
      <c r="H67" s="434"/>
    </row>
    <row r="68" spans="1:21">
      <c r="A68" s="333">
        <f t="shared" si="1"/>
        <v>1</v>
      </c>
      <c r="B68" s="333">
        <f t="shared" si="2"/>
        <v>2014</v>
      </c>
      <c r="C68" s="608">
        <v>41699</v>
      </c>
      <c r="D68" s="706">
        <v>151.54441827499997</v>
      </c>
      <c r="E68" s="705">
        <v>18725.050092000001</v>
      </c>
      <c r="F68" s="96">
        <f t="shared" si="0"/>
        <v>2014</v>
      </c>
      <c r="G68" s="98" t="str">
        <f t="shared" si="3"/>
        <v>1</v>
      </c>
      <c r="H68" s="434"/>
      <c r="U68" s="434"/>
    </row>
    <row r="69" spans="1:21">
      <c r="A69" s="333">
        <f t="shared" si="1"/>
        <v>2</v>
      </c>
      <c r="B69" s="333">
        <f t="shared" si="2"/>
        <v>2014</v>
      </c>
      <c r="C69" s="608">
        <v>41791</v>
      </c>
      <c r="D69" s="873">
        <v>173.36272031000001</v>
      </c>
      <c r="E69" s="874">
        <v>17025.473489</v>
      </c>
      <c r="F69" s="96">
        <f t="shared" si="0"/>
        <v>2014</v>
      </c>
      <c r="G69" s="98" t="str">
        <f t="shared" si="3"/>
        <v>2</v>
      </c>
      <c r="H69" s="434"/>
    </row>
    <row r="70" spans="1:21">
      <c r="A70" s="333">
        <f t="shared" si="1"/>
        <v>3</v>
      </c>
      <c r="B70" s="333">
        <f t="shared" si="2"/>
        <v>2014</v>
      </c>
      <c r="C70" s="608">
        <v>41883</v>
      </c>
      <c r="D70" s="706">
        <v>179.09842233000001</v>
      </c>
      <c r="E70" s="705">
        <v>15191.018254000001</v>
      </c>
      <c r="F70" s="96">
        <f t="shared" si="0"/>
        <v>2014</v>
      </c>
      <c r="G70" s="98" t="str">
        <f t="shared" si="3"/>
        <v>3</v>
      </c>
      <c r="H70" s="434"/>
    </row>
    <row r="71" spans="1:21">
      <c r="A71" s="333">
        <f t="shared" si="1"/>
        <v>4</v>
      </c>
      <c r="B71" s="333">
        <f t="shared" si="2"/>
        <v>2014</v>
      </c>
      <c r="C71" s="608">
        <v>41974</v>
      </c>
      <c r="D71" s="873">
        <v>182.22869769700003</v>
      </c>
      <c r="E71" s="874">
        <v>14111.898175</v>
      </c>
      <c r="F71" s="96">
        <f t="shared" si="0"/>
        <v>2014</v>
      </c>
      <c r="G71" s="98" t="str">
        <f t="shared" si="3"/>
        <v>4</v>
      </c>
      <c r="H71" s="434"/>
    </row>
    <row r="72" spans="1:21">
      <c r="A72" s="333">
        <f t="shared" si="1"/>
        <v>1</v>
      </c>
      <c r="B72" s="333">
        <f t="shared" si="2"/>
        <v>2015</v>
      </c>
      <c r="C72" s="608">
        <v>42064</v>
      </c>
      <c r="D72" s="706">
        <v>173.61729233200001</v>
      </c>
      <c r="E72" s="705">
        <v>12906.699777</v>
      </c>
      <c r="F72" s="96">
        <f>YEAR(C72)</f>
        <v>2015</v>
      </c>
      <c r="G72" s="98" t="str">
        <f t="shared" si="3"/>
        <v>1</v>
      </c>
      <c r="H72" s="434"/>
    </row>
    <row r="73" spans="1:21">
      <c r="A73" s="333">
        <f t="shared" ref="A73:A136" si="11">IF(OR(MONTH(C73)=1,MONTH(C73)=2,MONTH(C73)=3),1,IF(OR(MONTH(C73)=4,MONTH(C73)=5,MONTH(C73)=6),2,IF(OR(MONTH(C73)=7,MONTH(C73)=8,MONTH(C73)=9),3,4)))</f>
        <v>2</v>
      </c>
      <c r="B73" s="333">
        <f t="shared" ref="B73:B136" si="12">YEAR(C73)</f>
        <v>2015</v>
      </c>
      <c r="C73" s="608">
        <v>42156</v>
      </c>
      <c r="D73" s="873">
        <v>183.86199558800001</v>
      </c>
      <c r="E73" s="874">
        <v>12166.051084000001</v>
      </c>
      <c r="F73" s="96">
        <f>YEAR(C73)</f>
        <v>2015</v>
      </c>
      <c r="G73" s="98" t="str">
        <f>IF(MONTH(C73)=3,"1",IF(MONTH(C73)=6,"2",IF(MONTH(C73)=9,"3","4")))</f>
        <v>2</v>
      </c>
      <c r="H73" s="434"/>
      <c r="P73" s="388"/>
    </row>
    <row r="74" spans="1:21">
      <c r="A74" s="333">
        <f t="shared" si="11"/>
        <v>3</v>
      </c>
      <c r="B74" s="333">
        <f t="shared" si="12"/>
        <v>2015</v>
      </c>
      <c r="C74" s="608">
        <v>42248</v>
      </c>
      <c r="D74" s="706">
        <v>192.81670973400003</v>
      </c>
      <c r="E74" s="705">
        <v>13113.917823</v>
      </c>
      <c r="F74" s="96">
        <f>YEAR(C74)</f>
        <v>2015</v>
      </c>
      <c r="G74" s="98" t="str">
        <f>IF(MONTH(C74)=3,"1",IF(MONTH(C74)=6,"2",IF(MONTH(C74)=9,"3","4")))</f>
        <v>3</v>
      </c>
      <c r="H74" s="434"/>
      <c r="S74" s="450"/>
      <c r="T74" s="388"/>
    </row>
    <row r="75" spans="1:21">
      <c r="A75" s="333">
        <f t="shared" si="11"/>
        <v>4</v>
      </c>
      <c r="B75" s="333">
        <f t="shared" si="12"/>
        <v>2015</v>
      </c>
      <c r="C75" s="608">
        <v>42339</v>
      </c>
      <c r="D75" s="873">
        <v>192.09810913399997</v>
      </c>
      <c r="E75" s="874">
        <v>11444.106266999999</v>
      </c>
      <c r="F75" s="96">
        <f>YEAR(C75)</f>
        <v>2015</v>
      </c>
      <c r="G75" s="98" t="str">
        <f>IF(MONTH(C75)=3,"1",IF(MONTH(C75)=6,"2",IF(MONTH(C75)=9,"3","4")))</f>
        <v>4</v>
      </c>
      <c r="H75" s="434"/>
    </row>
    <row r="76" spans="1:21">
      <c r="A76" s="333">
        <f t="shared" si="11"/>
        <v>1</v>
      </c>
      <c r="B76" s="333">
        <f t="shared" si="12"/>
        <v>2016</v>
      </c>
      <c r="C76" s="608">
        <v>42430</v>
      </c>
      <c r="D76" s="706">
        <v>181.94836504599996</v>
      </c>
      <c r="E76" s="705">
        <v>10837.407257000001</v>
      </c>
      <c r="F76" s="96">
        <f t="shared" ref="F76:F139" si="13">YEAR(C76)</f>
        <v>2016</v>
      </c>
      <c r="G76" s="98" t="str">
        <f t="shared" ref="G76:G139" si="14">IF(MONTH(C76)=3,"1",IF(MONTH(C76)=6,"2",IF(MONTH(C76)=9,"3","4")))</f>
        <v>1</v>
      </c>
      <c r="H76" s="434"/>
    </row>
    <row r="77" spans="1:21">
      <c r="A77" s="333">
        <f t="shared" si="11"/>
        <v>2</v>
      </c>
      <c r="B77" s="333">
        <f t="shared" si="12"/>
        <v>2016</v>
      </c>
      <c r="C77" s="608">
        <v>42522</v>
      </c>
      <c r="D77" s="873">
        <v>181.237237045</v>
      </c>
      <c r="E77" s="874">
        <v>13372.315251</v>
      </c>
      <c r="F77" s="96">
        <f t="shared" si="13"/>
        <v>2016</v>
      </c>
      <c r="G77" s="98" t="str">
        <f t="shared" si="14"/>
        <v>2</v>
      </c>
      <c r="H77" s="434"/>
    </row>
    <row r="78" spans="1:21">
      <c r="A78" s="333">
        <f t="shared" si="11"/>
        <v>3</v>
      </c>
      <c r="B78" s="333">
        <f t="shared" si="12"/>
        <v>2016</v>
      </c>
      <c r="C78" s="608">
        <v>42614</v>
      </c>
      <c r="D78" s="706">
        <v>197.84951752600003</v>
      </c>
      <c r="E78" s="705">
        <v>14228.356486000001</v>
      </c>
      <c r="F78" s="96">
        <f t="shared" si="13"/>
        <v>2016</v>
      </c>
      <c r="G78" s="98" t="str">
        <f t="shared" si="14"/>
        <v>3</v>
      </c>
      <c r="H78" s="434"/>
    </row>
    <row r="79" spans="1:21">
      <c r="A79" s="333">
        <f t="shared" si="11"/>
        <v>4</v>
      </c>
      <c r="B79" s="333">
        <f t="shared" si="12"/>
        <v>2016</v>
      </c>
      <c r="C79" s="608">
        <v>42705</v>
      </c>
      <c r="D79" s="873">
        <v>208.24240152800002</v>
      </c>
      <c r="E79" s="874">
        <v>17171.093702999999</v>
      </c>
      <c r="F79" s="96">
        <f t="shared" si="13"/>
        <v>2016</v>
      </c>
      <c r="G79" s="98" t="str">
        <f t="shared" si="14"/>
        <v>4</v>
      </c>
    </row>
    <row r="80" spans="1:21">
      <c r="A80" s="333">
        <f t="shared" si="11"/>
        <v>1</v>
      </c>
      <c r="B80" s="333">
        <f t="shared" si="12"/>
        <v>2017</v>
      </c>
      <c r="C80" s="608">
        <v>42795</v>
      </c>
      <c r="D80" s="706">
        <v>185.802517739</v>
      </c>
      <c r="E80" s="705">
        <v>17547.901107999998</v>
      </c>
      <c r="F80" s="96">
        <f t="shared" si="13"/>
        <v>2017</v>
      </c>
      <c r="G80" s="98" t="str">
        <f t="shared" si="14"/>
        <v>1</v>
      </c>
    </row>
    <row r="81" spans="1:9">
      <c r="A81" s="333">
        <f t="shared" si="11"/>
        <v>2</v>
      </c>
      <c r="B81" s="333">
        <f t="shared" si="12"/>
        <v>2017</v>
      </c>
      <c r="C81" s="608">
        <v>42887</v>
      </c>
      <c r="D81" s="873">
        <v>201.09012608299997</v>
      </c>
      <c r="E81" s="874">
        <v>15371.898155000001</v>
      </c>
      <c r="F81" s="96">
        <f t="shared" si="13"/>
        <v>2017</v>
      </c>
      <c r="G81" s="98" t="str">
        <f t="shared" si="14"/>
        <v>2</v>
      </c>
    </row>
    <row r="82" spans="1:9">
      <c r="A82" s="333">
        <f t="shared" si="11"/>
        <v>3</v>
      </c>
      <c r="B82" s="333">
        <f t="shared" si="12"/>
        <v>2017</v>
      </c>
      <c r="C82" s="608">
        <v>42979</v>
      </c>
      <c r="D82" s="706">
        <v>216.23917943100005</v>
      </c>
      <c r="E82" s="705">
        <v>15795.866168</v>
      </c>
      <c r="F82" s="96">
        <f t="shared" si="13"/>
        <v>2017</v>
      </c>
      <c r="G82" s="98" t="str">
        <f t="shared" si="14"/>
        <v>3</v>
      </c>
    </row>
    <row r="83" spans="1:9">
      <c r="A83" s="333">
        <f t="shared" si="11"/>
        <v>4</v>
      </c>
      <c r="B83" s="333">
        <f t="shared" si="12"/>
        <v>2017</v>
      </c>
      <c r="C83" s="608">
        <v>43070</v>
      </c>
      <c r="D83" s="873">
        <v>210.987711461</v>
      </c>
      <c r="E83" s="874">
        <v>15113.749841000001</v>
      </c>
      <c r="F83" s="96">
        <f t="shared" si="13"/>
        <v>2017</v>
      </c>
      <c r="G83" s="98" t="str">
        <f t="shared" si="14"/>
        <v>4</v>
      </c>
    </row>
    <row r="84" spans="1:9">
      <c r="A84" s="333">
        <f t="shared" si="11"/>
        <v>1</v>
      </c>
      <c r="B84" s="333">
        <f t="shared" si="12"/>
        <v>2018</v>
      </c>
      <c r="C84" s="608">
        <v>43160</v>
      </c>
      <c r="D84" s="706">
        <v>196.12663024499997</v>
      </c>
      <c r="E84" s="705">
        <v>15473.545389999999</v>
      </c>
      <c r="F84" s="96">
        <f t="shared" si="13"/>
        <v>2018</v>
      </c>
      <c r="G84" s="98" t="str">
        <f t="shared" si="14"/>
        <v>1</v>
      </c>
    </row>
    <row r="85" spans="1:9">
      <c r="A85" s="333">
        <f t="shared" si="11"/>
        <v>2</v>
      </c>
      <c r="B85" s="333">
        <f t="shared" si="12"/>
        <v>2018</v>
      </c>
      <c r="C85" s="608">
        <v>43252</v>
      </c>
      <c r="D85" s="873">
        <v>216.07066898799999</v>
      </c>
      <c r="E85" s="874">
        <v>15691.011538999999</v>
      </c>
      <c r="F85" s="96">
        <f t="shared" si="13"/>
        <v>2018</v>
      </c>
      <c r="G85" s="98" t="str">
        <f t="shared" si="14"/>
        <v>2</v>
      </c>
    </row>
    <row r="86" spans="1:9">
      <c r="A86" s="333">
        <f t="shared" si="11"/>
        <v>3</v>
      </c>
      <c r="B86" s="333">
        <f t="shared" si="12"/>
        <v>2018</v>
      </c>
      <c r="C86" s="608">
        <v>43344</v>
      </c>
      <c r="D86" s="706">
        <v>200.76104890500002</v>
      </c>
      <c r="E86" s="806">
        <v>16267.339851000001</v>
      </c>
      <c r="F86" s="96">
        <f t="shared" si="13"/>
        <v>2018</v>
      </c>
      <c r="G86" s="98" t="str">
        <f t="shared" si="14"/>
        <v>3</v>
      </c>
    </row>
    <row r="87" spans="1:9">
      <c r="A87" s="333">
        <f t="shared" si="11"/>
        <v>4</v>
      </c>
      <c r="B87" s="333">
        <f t="shared" si="12"/>
        <v>2018</v>
      </c>
      <c r="C87" s="608">
        <v>43435</v>
      </c>
      <c r="D87" s="873">
        <v>200.619472019</v>
      </c>
      <c r="E87" s="874">
        <v>18251.533036000001</v>
      </c>
      <c r="F87" s="96">
        <f t="shared" si="13"/>
        <v>2018</v>
      </c>
      <c r="G87" s="98" t="str">
        <f t="shared" si="14"/>
        <v>4</v>
      </c>
    </row>
    <row r="88" spans="1:9">
      <c r="A88" s="333">
        <f t="shared" si="11"/>
        <v>1</v>
      </c>
      <c r="B88" s="333">
        <f t="shared" si="12"/>
        <v>2019</v>
      </c>
      <c r="C88" s="608">
        <v>43525</v>
      </c>
      <c r="D88" s="706">
        <v>182.08418482200003</v>
      </c>
      <c r="E88" s="806">
        <v>19464.329635999999</v>
      </c>
      <c r="F88" s="96">
        <f t="shared" si="13"/>
        <v>2019</v>
      </c>
      <c r="G88" s="98" t="str">
        <f t="shared" si="14"/>
        <v>1</v>
      </c>
      <c r="I88" s="536"/>
    </row>
    <row r="89" spans="1:9">
      <c r="A89" s="333">
        <f t="shared" si="11"/>
        <v>2</v>
      </c>
      <c r="B89" s="333">
        <f t="shared" si="12"/>
        <v>2019</v>
      </c>
      <c r="C89" s="608">
        <v>43617</v>
      </c>
      <c r="D89" s="873">
        <v>207.08261403099996</v>
      </c>
      <c r="E89" s="874">
        <v>27798.822549</v>
      </c>
      <c r="F89" s="96">
        <f t="shared" si="13"/>
        <v>2019</v>
      </c>
      <c r="G89" s="98" t="str">
        <f t="shared" si="14"/>
        <v>2</v>
      </c>
    </row>
    <row r="90" spans="1:9">
      <c r="A90" s="333">
        <f t="shared" si="11"/>
        <v>3</v>
      </c>
      <c r="B90" s="333">
        <f t="shared" si="12"/>
        <v>2019</v>
      </c>
      <c r="C90" s="608">
        <v>43709</v>
      </c>
      <c r="D90" s="706">
        <v>206.07415327799995</v>
      </c>
      <c r="E90" s="806">
        <v>27854.058090999999</v>
      </c>
      <c r="F90" s="96">
        <f t="shared" si="13"/>
        <v>2019</v>
      </c>
      <c r="G90" s="98" t="str">
        <f t="shared" si="14"/>
        <v>3</v>
      </c>
    </row>
    <row r="91" spans="1:9">
      <c r="A91" s="333">
        <f t="shared" si="11"/>
        <v>4</v>
      </c>
      <c r="B91" s="333">
        <f t="shared" si="12"/>
        <v>2019</v>
      </c>
      <c r="C91" s="608">
        <v>43800</v>
      </c>
      <c r="D91" s="873">
        <v>212.12527796400002</v>
      </c>
      <c r="E91" s="874">
        <v>24577.288883000001</v>
      </c>
      <c r="F91" s="96">
        <f t="shared" si="13"/>
        <v>2019</v>
      </c>
      <c r="G91" s="98" t="str">
        <f t="shared" si="14"/>
        <v>4</v>
      </c>
    </row>
    <row r="92" spans="1:9">
      <c r="A92" s="333">
        <f t="shared" si="11"/>
        <v>1</v>
      </c>
      <c r="B92" s="333">
        <f t="shared" si="12"/>
        <v>2020</v>
      </c>
      <c r="C92" s="608">
        <v>43891</v>
      </c>
      <c r="D92" s="706">
        <v>192.44260940599997</v>
      </c>
      <c r="E92" s="705">
        <v>23748.656423</v>
      </c>
      <c r="F92" s="96">
        <f t="shared" si="13"/>
        <v>2020</v>
      </c>
      <c r="G92" s="98" t="str">
        <f t="shared" si="14"/>
        <v>1</v>
      </c>
    </row>
    <row r="93" spans="1:9">
      <c r="A93" s="333">
        <f t="shared" si="11"/>
        <v>2</v>
      </c>
      <c r="B93" s="333">
        <f t="shared" si="12"/>
        <v>2020</v>
      </c>
      <c r="C93" s="608">
        <v>43983</v>
      </c>
      <c r="D93" s="873">
        <v>226.11576968099996</v>
      </c>
      <c r="E93" s="874">
        <v>28436.530451999999</v>
      </c>
      <c r="F93" s="96">
        <f t="shared" si="13"/>
        <v>2020</v>
      </c>
      <c r="G93" s="98" t="str">
        <f t="shared" si="14"/>
        <v>2</v>
      </c>
    </row>
    <row r="94" spans="1:9">
      <c r="A94" s="333">
        <f t="shared" si="11"/>
        <v>3</v>
      </c>
      <c r="B94" s="333">
        <f t="shared" si="12"/>
        <v>2020</v>
      </c>
      <c r="C94" s="608">
        <v>44075</v>
      </c>
      <c r="D94" s="706">
        <v>212.45361586800001</v>
      </c>
      <c r="E94" s="705">
        <v>31157.463564000001</v>
      </c>
      <c r="F94" s="96">
        <f t="shared" si="13"/>
        <v>2020</v>
      </c>
      <c r="G94" s="98" t="str">
        <f t="shared" si="14"/>
        <v>3</v>
      </c>
    </row>
    <row r="95" spans="1:9">
      <c r="A95" s="333">
        <f t="shared" si="11"/>
        <v>4</v>
      </c>
      <c r="B95" s="333">
        <f t="shared" si="12"/>
        <v>2020</v>
      </c>
      <c r="C95" s="608">
        <v>44166</v>
      </c>
      <c r="D95" s="873">
        <v>216.19986670899999</v>
      </c>
      <c r="E95" s="917">
        <v>35102.117855999997</v>
      </c>
      <c r="F95" s="96">
        <f t="shared" si="13"/>
        <v>2020</v>
      </c>
      <c r="G95" s="98" t="str">
        <f t="shared" si="14"/>
        <v>4</v>
      </c>
    </row>
    <row r="96" spans="1:9">
      <c r="A96" s="333">
        <f t="shared" si="11"/>
        <v>1</v>
      </c>
      <c r="B96" s="333">
        <f t="shared" si="12"/>
        <v>2021</v>
      </c>
      <c r="C96" s="608">
        <v>44256</v>
      </c>
      <c r="D96" s="706">
        <v>196.62284968700004</v>
      </c>
      <c r="E96" s="705">
        <v>39626.641809000001</v>
      </c>
      <c r="F96" s="96">
        <f t="shared" si="13"/>
        <v>2021</v>
      </c>
      <c r="G96" s="98" t="str">
        <f t="shared" si="14"/>
        <v>1</v>
      </c>
    </row>
    <row r="97" spans="1:7" ht="15.75" thickBot="1">
      <c r="A97" s="333">
        <f t="shared" si="11"/>
        <v>2</v>
      </c>
      <c r="B97" s="333">
        <f t="shared" si="12"/>
        <v>2021</v>
      </c>
      <c r="C97" s="609">
        <v>44348</v>
      </c>
      <c r="D97" s="883">
        <v>213.41079110700002</v>
      </c>
      <c r="E97" s="1742">
        <v>48846.717559999997</v>
      </c>
      <c r="F97" s="96">
        <f t="shared" si="13"/>
        <v>2021</v>
      </c>
      <c r="G97" s="98" t="str">
        <f t="shared" si="14"/>
        <v>2</v>
      </c>
    </row>
    <row r="98" spans="1:7">
      <c r="A98" s="333">
        <f t="shared" si="11"/>
        <v>1</v>
      </c>
      <c r="B98" s="333">
        <f t="shared" si="12"/>
        <v>1900</v>
      </c>
      <c r="E98" s="17"/>
      <c r="F98" s="96">
        <f t="shared" si="13"/>
        <v>1900</v>
      </c>
      <c r="G98" s="98" t="str">
        <f t="shared" si="14"/>
        <v>4</v>
      </c>
    </row>
    <row r="99" spans="1:7">
      <c r="A99" s="333">
        <f t="shared" si="11"/>
        <v>1</v>
      </c>
      <c r="B99" s="333">
        <f t="shared" si="12"/>
        <v>1900</v>
      </c>
      <c r="E99" s="17"/>
      <c r="F99" s="96">
        <f t="shared" si="13"/>
        <v>1900</v>
      </c>
      <c r="G99" s="98" t="str">
        <f t="shared" si="14"/>
        <v>4</v>
      </c>
    </row>
    <row r="100" spans="1:7">
      <c r="A100" s="333">
        <f t="shared" si="11"/>
        <v>1</v>
      </c>
      <c r="B100" s="333">
        <f t="shared" si="12"/>
        <v>1900</v>
      </c>
      <c r="E100" s="17"/>
      <c r="F100" s="96">
        <f t="shared" si="13"/>
        <v>1900</v>
      </c>
      <c r="G100" s="98" t="str">
        <f t="shared" si="14"/>
        <v>4</v>
      </c>
    </row>
    <row r="101" spans="1:7">
      <c r="A101" s="333">
        <f t="shared" si="11"/>
        <v>1</v>
      </c>
      <c r="B101" s="333">
        <f t="shared" si="12"/>
        <v>1900</v>
      </c>
      <c r="E101" s="17"/>
      <c r="F101" s="96">
        <f t="shared" si="13"/>
        <v>1900</v>
      </c>
      <c r="G101" s="98" t="str">
        <f t="shared" si="14"/>
        <v>4</v>
      </c>
    </row>
    <row r="102" spans="1:7">
      <c r="A102" s="333">
        <f t="shared" si="11"/>
        <v>1</v>
      </c>
      <c r="B102" s="333">
        <f t="shared" si="12"/>
        <v>1900</v>
      </c>
      <c r="E102" s="17"/>
      <c r="F102" s="96">
        <f t="shared" si="13"/>
        <v>1900</v>
      </c>
      <c r="G102" s="98" t="str">
        <f t="shared" si="14"/>
        <v>4</v>
      </c>
    </row>
    <row r="103" spans="1:7">
      <c r="A103" s="333">
        <f t="shared" si="11"/>
        <v>1</v>
      </c>
      <c r="B103" s="333">
        <f t="shared" si="12"/>
        <v>1900</v>
      </c>
      <c r="E103" s="17"/>
      <c r="F103" s="96">
        <f t="shared" si="13"/>
        <v>1900</v>
      </c>
      <c r="G103" s="98" t="str">
        <f t="shared" si="14"/>
        <v>4</v>
      </c>
    </row>
    <row r="104" spans="1:7">
      <c r="A104" s="333">
        <f t="shared" si="11"/>
        <v>1</v>
      </c>
      <c r="B104" s="333">
        <f t="shared" si="12"/>
        <v>1900</v>
      </c>
      <c r="E104" s="17"/>
      <c r="F104" s="96">
        <f t="shared" si="13"/>
        <v>1900</v>
      </c>
      <c r="G104" s="98" t="str">
        <f t="shared" si="14"/>
        <v>4</v>
      </c>
    </row>
    <row r="105" spans="1:7">
      <c r="A105" s="333">
        <f t="shared" si="11"/>
        <v>1</v>
      </c>
      <c r="B105" s="333">
        <f t="shared" si="12"/>
        <v>1900</v>
      </c>
      <c r="E105" s="17"/>
      <c r="F105" s="96">
        <f t="shared" si="13"/>
        <v>1900</v>
      </c>
      <c r="G105" s="98" t="str">
        <f t="shared" si="14"/>
        <v>4</v>
      </c>
    </row>
    <row r="106" spans="1:7">
      <c r="A106" s="333">
        <f t="shared" si="11"/>
        <v>1</v>
      </c>
      <c r="B106" s="333">
        <f t="shared" si="12"/>
        <v>1900</v>
      </c>
      <c r="E106" s="17"/>
      <c r="F106" s="96">
        <f t="shared" si="13"/>
        <v>1900</v>
      </c>
      <c r="G106" s="98" t="str">
        <f t="shared" si="14"/>
        <v>4</v>
      </c>
    </row>
    <row r="107" spans="1:7">
      <c r="A107" s="333">
        <f t="shared" si="11"/>
        <v>1</v>
      </c>
      <c r="B107" s="333">
        <f t="shared" si="12"/>
        <v>1900</v>
      </c>
      <c r="E107" s="17"/>
      <c r="F107" s="96">
        <f t="shared" si="13"/>
        <v>1900</v>
      </c>
      <c r="G107" s="98" t="str">
        <f t="shared" si="14"/>
        <v>4</v>
      </c>
    </row>
    <row r="108" spans="1:7">
      <c r="A108" s="333">
        <f t="shared" si="11"/>
        <v>1</v>
      </c>
      <c r="B108" s="333">
        <f t="shared" si="12"/>
        <v>1900</v>
      </c>
      <c r="E108" s="17"/>
      <c r="F108" s="96">
        <f t="shared" si="13"/>
        <v>1900</v>
      </c>
      <c r="G108" s="98" t="str">
        <f t="shared" si="14"/>
        <v>4</v>
      </c>
    </row>
    <row r="109" spans="1:7">
      <c r="A109" s="333">
        <f t="shared" si="11"/>
        <v>1</v>
      </c>
      <c r="B109" s="333">
        <f t="shared" si="12"/>
        <v>1900</v>
      </c>
      <c r="E109" s="17"/>
      <c r="F109" s="96">
        <f t="shared" si="13"/>
        <v>1900</v>
      </c>
      <c r="G109" s="98" t="str">
        <f t="shared" si="14"/>
        <v>4</v>
      </c>
    </row>
    <row r="110" spans="1:7">
      <c r="A110" s="333">
        <f t="shared" si="11"/>
        <v>1</v>
      </c>
      <c r="B110" s="333">
        <f t="shared" si="12"/>
        <v>1900</v>
      </c>
      <c r="E110" s="17"/>
      <c r="F110" s="96">
        <f t="shared" si="13"/>
        <v>1900</v>
      </c>
      <c r="G110" s="98" t="str">
        <f t="shared" si="14"/>
        <v>4</v>
      </c>
    </row>
    <row r="111" spans="1:7">
      <c r="A111" s="333">
        <f t="shared" si="11"/>
        <v>1</v>
      </c>
      <c r="B111" s="333">
        <f t="shared" si="12"/>
        <v>1900</v>
      </c>
      <c r="E111" s="17"/>
      <c r="F111" s="96">
        <f t="shared" si="13"/>
        <v>1900</v>
      </c>
      <c r="G111" s="98" t="str">
        <f t="shared" si="14"/>
        <v>4</v>
      </c>
    </row>
    <row r="112" spans="1:7">
      <c r="A112" s="333">
        <f t="shared" si="11"/>
        <v>1</v>
      </c>
      <c r="B112" s="333">
        <f t="shared" si="12"/>
        <v>1900</v>
      </c>
      <c r="E112" s="17"/>
      <c r="F112" s="96">
        <f t="shared" si="13"/>
        <v>1900</v>
      </c>
      <c r="G112" s="98" t="str">
        <f t="shared" si="14"/>
        <v>4</v>
      </c>
    </row>
    <row r="113" spans="1:7">
      <c r="A113" s="333">
        <f t="shared" si="11"/>
        <v>1</v>
      </c>
      <c r="B113" s="333">
        <f t="shared" si="12"/>
        <v>1900</v>
      </c>
      <c r="E113" s="17"/>
      <c r="F113" s="96">
        <f t="shared" si="13"/>
        <v>1900</v>
      </c>
      <c r="G113" s="98" t="str">
        <f t="shared" si="14"/>
        <v>4</v>
      </c>
    </row>
    <row r="114" spans="1:7">
      <c r="A114" s="333">
        <f t="shared" si="11"/>
        <v>1</v>
      </c>
      <c r="B114" s="333">
        <f t="shared" si="12"/>
        <v>1900</v>
      </c>
      <c r="E114" s="17"/>
      <c r="F114" s="96">
        <f t="shared" si="13"/>
        <v>1900</v>
      </c>
      <c r="G114" s="98" t="str">
        <f t="shared" si="14"/>
        <v>4</v>
      </c>
    </row>
    <row r="115" spans="1:7">
      <c r="A115" s="333">
        <f t="shared" si="11"/>
        <v>1</v>
      </c>
      <c r="B115" s="333">
        <f t="shared" si="12"/>
        <v>1900</v>
      </c>
      <c r="E115" s="17"/>
      <c r="F115" s="96">
        <f t="shared" si="13"/>
        <v>1900</v>
      </c>
      <c r="G115" s="98" t="str">
        <f t="shared" si="14"/>
        <v>4</v>
      </c>
    </row>
    <row r="116" spans="1:7">
      <c r="A116" s="333">
        <f t="shared" si="11"/>
        <v>1</v>
      </c>
      <c r="B116" s="333">
        <f t="shared" si="12"/>
        <v>1900</v>
      </c>
      <c r="E116" s="17"/>
      <c r="F116" s="96">
        <f t="shared" si="13"/>
        <v>1900</v>
      </c>
      <c r="G116" s="98" t="str">
        <f t="shared" si="14"/>
        <v>4</v>
      </c>
    </row>
    <row r="117" spans="1:7">
      <c r="A117" s="333">
        <f t="shared" si="11"/>
        <v>1</v>
      </c>
      <c r="B117" s="333">
        <f t="shared" si="12"/>
        <v>1900</v>
      </c>
      <c r="E117" s="17"/>
      <c r="F117" s="96">
        <f t="shared" si="13"/>
        <v>1900</v>
      </c>
      <c r="G117" s="98" t="str">
        <f t="shared" si="14"/>
        <v>4</v>
      </c>
    </row>
    <row r="118" spans="1:7">
      <c r="A118" s="333">
        <f t="shared" si="11"/>
        <v>1</v>
      </c>
      <c r="B118" s="333">
        <f t="shared" si="12"/>
        <v>1900</v>
      </c>
      <c r="E118" s="17"/>
      <c r="F118" s="96">
        <f t="shared" si="13"/>
        <v>1900</v>
      </c>
      <c r="G118" s="98" t="str">
        <f t="shared" si="14"/>
        <v>4</v>
      </c>
    </row>
    <row r="119" spans="1:7">
      <c r="A119" s="333">
        <f t="shared" si="11"/>
        <v>1</v>
      </c>
      <c r="B119" s="333">
        <f t="shared" si="12"/>
        <v>1900</v>
      </c>
      <c r="E119" s="17"/>
      <c r="F119" s="96">
        <f t="shared" si="13"/>
        <v>1900</v>
      </c>
      <c r="G119" s="98" t="str">
        <f t="shared" si="14"/>
        <v>4</v>
      </c>
    </row>
    <row r="120" spans="1:7">
      <c r="A120" s="333">
        <f t="shared" si="11"/>
        <v>1</v>
      </c>
      <c r="B120" s="333">
        <f t="shared" si="12"/>
        <v>1900</v>
      </c>
      <c r="E120" s="17"/>
      <c r="F120" s="96">
        <f t="shared" si="13"/>
        <v>1900</v>
      </c>
      <c r="G120" s="98" t="str">
        <f t="shared" si="14"/>
        <v>4</v>
      </c>
    </row>
    <row r="121" spans="1:7">
      <c r="A121" s="333">
        <f t="shared" si="11"/>
        <v>1</v>
      </c>
      <c r="B121" s="333">
        <f t="shared" si="12"/>
        <v>1900</v>
      </c>
      <c r="E121" s="17"/>
      <c r="F121" s="96">
        <f t="shared" si="13"/>
        <v>1900</v>
      </c>
      <c r="G121" s="98" t="str">
        <f t="shared" si="14"/>
        <v>4</v>
      </c>
    </row>
    <row r="122" spans="1:7">
      <c r="A122" s="333">
        <f t="shared" si="11"/>
        <v>1</v>
      </c>
      <c r="B122" s="333">
        <f t="shared" si="12"/>
        <v>1900</v>
      </c>
      <c r="E122" s="17"/>
      <c r="F122" s="96">
        <f t="shared" si="13"/>
        <v>1900</v>
      </c>
      <c r="G122" s="98" t="str">
        <f t="shared" si="14"/>
        <v>4</v>
      </c>
    </row>
    <row r="123" spans="1:7">
      <c r="A123" s="333">
        <f t="shared" si="11"/>
        <v>1</v>
      </c>
      <c r="B123" s="333">
        <f t="shared" si="12"/>
        <v>1900</v>
      </c>
      <c r="E123" s="17"/>
      <c r="F123" s="96">
        <f t="shared" si="13"/>
        <v>1900</v>
      </c>
      <c r="G123" s="98" t="str">
        <f t="shared" si="14"/>
        <v>4</v>
      </c>
    </row>
    <row r="124" spans="1:7">
      <c r="A124" s="333">
        <f t="shared" si="11"/>
        <v>1</v>
      </c>
      <c r="B124" s="333">
        <f t="shared" si="12"/>
        <v>1900</v>
      </c>
      <c r="E124" s="17"/>
      <c r="F124" s="96">
        <f t="shared" si="13"/>
        <v>1900</v>
      </c>
      <c r="G124" s="98" t="str">
        <f t="shared" si="14"/>
        <v>4</v>
      </c>
    </row>
    <row r="125" spans="1:7">
      <c r="A125" s="333">
        <f t="shared" si="11"/>
        <v>1</v>
      </c>
      <c r="B125" s="333">
        <f t="shared" si="12"/>
        <v>1900</v>
      </c>
      <c r="E125" s="17"/>
      <c r="F125" s="96">
        <f t="shared" si="13"/>
        <v>1900</v>
      </c>
      <c r="G125" s="98" t="str">
        <f t="shared" si="14"/>
        <v>4</v>
      </c>
    </row>
    <row r="126" spans="1:7">
      <c r="A126" s="333">
        <f t="shared" si="11"/>
        <v>1</v>
      </c>
      <c r="B126" s="333">
        <f t="shared" si="12"/>
        <v>1900</v>
      </c>
      <c r="E126" s="17"/>
      <c r="F126" s="96">
        <f t="shared" si="13"/>
        <v>1900</v>
      </c>
      <c r="G126" s="98" t="str">
        <f t="shared" si="14"/>
        <v>4</v>
      </c>
    </row>
    <row r="127" spans="1:7">
      <c r="A127" s="333">
        <f t="shared" si="11"/>
        <v>1</v>
      </c>
      <c r="B127" s="333">
        <f t="shared" si="12"/>
        <v>1900</v>
      </c>
      <c r="E127" s="17"/>
      <c r="F127" s="96">
        <f t="shared" si="13"/>
        <v>1900</v>
      </c>
      <c r="G127" s="98" t="str">
        <f t="shared" si="14"/>
        <v>4</v>
      </c>
    </row>
    <row r="128" spans="1:7">
      <c r="A128" s="333">
        <f t="shared" si="11"/>
        <v>1</v>
      </c>
      <c r="B128" s="333">
        <f t="shared" si="12"/>
        <v>1900</v>
      </c>
      <c r="E128" s="17"/>
      <c r="F128" s="96">
        <f t="shared" si="13"/>
        <v>1900</v>
      </c>
      <c r="G128" s="98" t="str">
        <f t="shared" si="14"/>
        <v>4</v>
      </c>
    </row>
    <row r="129" spans="1:7">
      <c r="A129" s="333">
        <f t="shared" si="11"/>
        <v>1</v>
      </c>
      <c r="B129" s="333">
        <f t="shared" si="12"/>
        <v>1900</v>
      </c>
      <c r="E129" s="17"/>
      <c r="F129" s="96">
        <f t="shared" si="13"/>
        <v>1900</v>
      </c>
      <c r="G129" s="98" t="str">
        <f t="shared" si="14"/>
        <v>4</v>
      </c>
    </row>
    <row r="130" spans="1:7">
      <c r="A130" s="333">
        <f t="shared" si="11"/>
        <v>1</v>
      </c>
      <c r="B130" s="333">
        <f t="shared" si="12"/>
        <v>1900</v>
      </c>
      <c r="E130" s="17"/>
      <c r="F130" s="96">
        <f t="shared" si="13"/>
        <v>1900</v>
      </c>
      <c r="G130" s="98" t="str">
        <f t="shared" si="14"/>
        <v>4</v>
      </c>
    </row>
    <row r="131" spans="1:7">
      <c r="A131" s="333">
        <f t="shared" si="11"/>
        <v>1</v>
      </c>
      <c r="B131" s="333">
        <f t="shared" si="12"/>
        <v>1900</v>
      </c>
      <c r="E131" s="17"/>
      <c r="F131" s="96">
        <f t="shared" si="13"/>
        <v>1900</v>
      </c>
      <c r="G131" s="98" t="str">
        <f t="shared" si="14"/>
        <v>4</v>
      </c>
    </row>
    <row r="132" spans="1:7">
      <c r="A132" s="333">
        <f t="shared" si="11"/>
        <v>1</v>
      </c>
      <c r="B132" s="333">
        <f t="shared" si="12"/>
        <v>1900</v>
      </c>
      <c r="E132" s="17"/>
      <c r="F132" s="96">
        <f t="shared" si="13"/>
        <v>1900</v>
      </c>
      <c r="G132" s="98" t="str">
        <f t="shared" si="14"/>
        <v>4</v>
      </c>
    </row>
    <row r="133" spans="1:7">
      <c r="A133" s="333">
        <f t="shared" si="11"/>
        <v>1</v>
      </c>
      <c r="B133" s="333">
        <f t="shared" si="12"/>
        <v>1900</v>
      </c>
      <c r="E133" s="17"/>
      <c r="F133" s="96">
        <f t="shared" si="13"/>
        <v>1900</v>
      </c>
      <c r="G133" s="98" t="str">
        <f t="shared" si="14"/>
        <v>4</v>
      </c>
    </row>
    <row r="134" spans="1:7">
      <c r="A134" s="333">
        <f t="shared" si="11"/>
        <v>1</v>
      </c>
      <c r="B134" s="333">
        <f t="shared" si="12"/>
        <v>1900</v>
      </c>
      <c r="E134" s="17"/>
      <c r="F134" s="96">
        <f t="shared" si="13"/>
        <v>1900</v>
      </c>
      <c r="G134" s="98" t="str">
        <f t="shared" si="14"/>
        <v>4</v>
      </c>
    </row>
    <row r="135" spans="1:7">
      <c r="A135" s="333">
        <f t="shared" si="11"/>
        <v>1</v>
      </c>
      <c r="B135" s="333">
        <f t="shared" si="12"/>
        <v>1900</v>
      </c>
      <c r="E135" s="17"/>
      <c r="F135" s="96">
        <f t="shared" si="13"/>
        <v>1900</v>
      </c>
      <c r="G135" s="98" t="str">
        <f t="shared" si="14"/>
        <v>4</v>
      </c>
    </row>
    <row r="136" spans="1:7">
      <c r="A136" s="333">
        <f t="shared" si="11"/>
        <v>1</v>
      </c>
      <c r="B136" s="333">
        <f t="shared" si="12"/>
        <v>1900</v>
      </c>
      <c r="E136" s="17"/>
      <c r="F136" s="96">
        <f t="shared" si="13"/>
        <v>1900</v>
      </c>
      <c r="G136" s="98" t="str">
        <f t="shared" si="14"/>
        <v>4</v>
      </c>
    </row>
    <row r="137" spans="1:7">
      <c r="A137" s="333">
        <f t="shared" ref="A137:A200" si="15">IF(OR(MONTH(C137)=1,MONTH(C137)=2,MONTH(C137)=3),1,IF(OR(MONTH(C137)=4,MONTH(C137)=5,MONTH(C137)=6),2,IF(OR(MONTH(C137)=7,MONTH(C137)=8,MONTH(C137)=9),3,4)))</f>
        <v>1</v>
      </c>
      <c r="B137" s="333">
        <f t="shared" ref="B137:B200" si="16">YEAR(C137)</f>
        <v>1900</v>
      </c>
      <c r="E137" s="17"/>
      <c r="F137" s="96">
        <f t="shared" si="13"/>
        <v>1900</v>
      </c>
      <c r="G137" s="98" t="str">
        <f t="shared" si="14"/>
        <v>4</v>
      </c>
    </row>
    <row r="138" spans="1:7">
      <c r="A138" s="333">
        <f t="shared" si="15"/>
        <v>1</v>
      </c>
      <c r="B138" s="333">
        <f t="shared" si="16"/>
        <v>1900</v>
      </c>
      <c r="E138" s="17"/>
      <c r="F138" s="96">
        <f t="shared" si="13"/>
        <v>1900</v>
      </c>
      <c r="G138" s="98" t="str">
        <f t="shared" si="14"/>
        <v>4</v>
      </c>
    </row>
    <row r="139" spans="1:7">
      <c r="A139" s="333">
        <f t="shared" si="15"/>
        <v>1</v>
      </c>
      <c r="B139" s="333">
        <f t="shared" si="16"/>
        <v>1900</v>
      </c>
      <c r="E139" s="17"/>
      <c r="F139" s="96">
        <f t="shared" si="13"/>
        <v>1900</v>
      </c>
      <c r="G139" s="98" t="str">
        <f t="shared" si="14"/>
        <v>4</v>
      </c>
    </row>
    <row r="140" spans="1:7">
      <c r="A140" s="333">
        <f t="shared" si="15"/>
        <v>1</v>
      </c>
      <c r="B140" s="333">
        <f t="shared" si="16"/>
        <v>1900</v>
      </c>
      <c r="E140" s="17"/>
      <c r="F140" s="96">
        <f t="shared" ref="F140:F203" si="17">YEAR(C140)</f>
        <v>1900</v>
      </c>
      <c r="G140" s="98" t="str">
        <f t="shared" ref="G140:G203" si="18">IF(MONTH(C140)=3,"1",IF(MONTH(C140)=6,"2",IF(MONTH(C140)=9,"3","4")))</f>
        <v>4</v>
      </c>
    </row>
    <row r="141" spans="1:7">
      <c r="A141" s="333">
        <f t="shared" si="15"/>
        <v>1</v>
      </c>
      <c r="B141" s="333">
        <f t="shared" si="16"/>
        <v>1900</v>
      </c>
      <c r="E141" s="17"/>
      <c r="F141" s="96">
        <f t="shared" si="17"/>
        <v>1900</v>
      </c>
      <c r="G141" s="98" t="str">
        <f t="shared" si="18"/>
        <v>4</v>
      </c>
    </row>
    <row r="142" spans="1:7">
      <c r="A142" s="333">
        <f t="shared" si="15"/>
        <v>1</v>
      </c>
      <c r="B142" s="333">
        <f t="shared" si="16"/>
        <v>1900</v>
      </c>
      <c r="E142" s="17"/>
      <c r="F142" s="96">
        <f t="shared" si="17"/>
        <v>1900</v>
      </c>
      <c r="G142" s="98" t="str">
        <f t="shared" si="18"/>
        <v>4</v>
      </c>
    </row>
    <row r="143" spans="1:7">
      <c r="A143" s="333">
        <f t="shared" si="15"/>
        <v>1</v>
      </c>
      <c r="B143" s="333">
        <f t="shared" si="16"/>
        <v>1900</v>
      </c>
      <c r="E143" s="17"/>
      <c r="F143" s="96">
        <f t="shared" si="17"/>
        <v>1900</v>
      </c>
      <c r="G143" s="98" t="str">
        <f t="shared" si="18"/>
        <v>4</v>
      </c>
    </row>
    <row r="144" spans="1:7">
      <c r="A144" s="333">
        <f t="shared" si="15"/>
        <v>1</v>
      </c>
      <c r="B144" s="333">
        <f t="shared" si="16"/>
        <v>1900</v>
      </c>
      <c r="E144" s="17"/>
      <c r="F144" s="96">
        <f t="shared" si="17"/>
        <v>1900</v>
      </c>
      <c r="G144" s="98" t="str">
        <f t="shared" si="18"/>
        <v>4</v>
      </c>
    </row>
    <row r="145" spans="1:7">
      <c r="A145" s="333">
        <f t="shared" si="15"/>
        <v>1</v>
      </c>
      <c r="B145" s="333">
        <f t="shared" si="16"/>
        <v>1900</v>
      </c>
      <c r="E145" s="17"/>
      <c r="F145" s="96">
        <f t="shared" si="17"/>
        <v>1900</v>
      </c>
      <c r="G145" s="98" t="str">
        <f t="shared" si="18"/>
        <v>4</v>
      </c>
    </row>
    <row r="146" spans="1:7">
      <c r="A146" s="333">
        <f t="shared" si="15"/>
        <v>1</v>
      </c>
      <c r="B146" s="333">
        <f t="shared" si="16"/>
        <v>1900</v>
      </c>
      <c r="E146" s="17"/>
      <c r="F146" s="96">
        <f t="shared" si="17"/>
        <v>1900</v>
      </c>
      <c r="G146" s="98" t="str">
        <f t="shared" si="18"/>
        <v>4</v>
      </c>
    </row>
    <row r="147" spans="1:7">
      <c r="A147" s="333">
        <f t="shared" si="15"/>
        <v>1</v>
      </c>
      <c r="B147" s="333">
        <f t="shared" si="16"/>
        <v>1900</v>
      </c>
      <c r="E147" s="17"/>
      <c r="F147" s="96">
        <f t="shared" si="17"/>
        <v>1900</v>
      </c>
      <c r="G147" s="98" t="str">
        <f t="shared" si="18"/>
        <v>4</v>
      </c>
    </row>
    <row r="148" spans="1:7">
      <c r="A148" s="333">
        <f t="shared" si="15"/>
        <v>1</v>
      </c>
      <c r="B148" s="333">
        <f t="shared" si="16"/>
        <v>1900</v>
      </c>
      <c r="E148" s="17"/>
      <c r="F148" s="96">
        <f t="shared" si="17"/>
        <v>1900</v>
      </c>
      <c r="G148" s="98" t="str">
        <f t="shared" si="18"/>
        <v>4</v>
      </c>
    </row>
    <row r="149" spans="1:7">
      <c r="A149" s="333">
        <f t="shared" si="15"/>
        <v>1</v>
      </c>
      <c r="B149" s="333">
        <f t="shared" si="16"/>
        <v>1900</v>
      </c>
      <c r="E149" s="17"/>
      <c r="F149" s="96">
        <f t="shared" si="17"/>
        <v>1900</v>
      </c>
      <c r="G149" s="98" t="str">
        <f t="shared" si="18"/>
        <v>4</v>
      </c>
    </row>
    <row r="150" spans="1:7">
      <c r="A150" s="333">
        <f t="shared" si="15"/>
        <v>1</v>
      </c>
      <c r="B150" s="333">
        <f t="shared" si="16"/>
        <v>1900</v>
      </c>
      <c r="E150" s="17"/>
      <c r="F150" s="96">
        <f t="shared" si="17"/>
        <v>1900</v>
      </c>
      <c r="G150" s="98" t="str">
        <f t="shared" si="18"/>
        <v>4</v>
      </c>
    </row>
    <row r="151" spans="1:7">
      <c r="A151" s="333">
        <f t="shared" si="15"/>
        <v>1</v>
      </c>
      <c r="B151" s="333">
        <f t="shared" si="16"/>
        <v>1900</v>
      </c>
      <c r="E151" s="17"/>
      <c r="F151" s="96">
        <f t="shared" si="17"/>
        <v>1900</v>
      </c>
      <c r="G151" s="98" t="str">
        <f t="shared" si="18"/>
        <v>4</v>
      </c>
    </row>
    <row r="152" spans="1:7">
      <c r="A152" s="333">
        <f t="shared" si="15"/>
        <v>1</v>
      </c>
      <c r="B152" s="333">
        <f t="shared" si="16"/>
        <v>1900</v>
      </c>
      <c r="E152" s="17"/>
      <c r="F152" s="96">
        <f t="shared" si="17"/>
        <v>1900</v>
      </c>
      <c r="G152" s="98" t="str">
        <f t="shared" si="18"/>
        <v>4</v>
      </c>
    </row>
    <row r="153" spans="1:7">
      <c r="A153" s="333">
        <f t="shared" si="15"/>
        <v>1</v>
      </c>
      <c r="B153" s="333">
        <f t="shared" si="16"/>
        <v>1900</v>
      </c>
      <c r="E153" s="17"/>
      <c r="F153" s="96">
        <f t="shared" si="17"/>
        <v>1900</v>
      </c>
      <c r="G153" s="98" t="str">
        <f t="shared" si="18"/>
        <v>4</v>
      </c>
    </row>
    <row r="154" spans="1:7">
      <c r="A154" s="333">
        <f t="shared" si="15"/>
        <v>1</v>
      </c>
      <c r="B154" s="333">
        <f t="shared" si="16"/>
        <v>1900</v>
      </c>
      <c r="E154" s="17"/>
      <c r="F154" s="96">
        <f t="shared" si="17"/>
        <v>1900</v>
      </c>
      <c r="G154" s="98" t="str">
        <f t="shared" si="18"/>
        <v>4</v>
      </c>
    </row>
    <row r="155" spans="1:7">
      <c r="A155" s="333">
        <f t="shared" si="15"/>
        <v>1</v>
      </c>
      <c r="B155" s="333">
        <f t="shared" si="16"/>
        <v>1900</v>
      </c>
      <c r="E155" s="17"/>
      <c r="F155" s="96">
        <f t="shared" si="17"/>
        <v>1900</v>
      </c>
      <c r="G155" s="98" t="str">
        <f t="shared" si="18"/>
        <v>4</v>
      </c>
    </row>
    <row r="156" spans="1:7">
      <c r="A156" s="333">
        <f t="shared" si="15"/>
        <v>1</v>
      </c>
      <c r="B156" s="333">
        <f t="shared" si="16"/>
        <v>1900</v>
      </c>
      <c r="E156" s="17"/>
      <c r="F156" s="96">
        <f t="shared" si="17"/>
        <v>1900</v>
      </c>
      <c r="G156" s="98" t="str">
        <f t="shared" si="18"/>
        <v>4</v>
      </c>
    </row>
    <row r="157" spans="1:7">
      <c r="A157" s="333">
        <f t="shared" si="15"/>
        <v>1</v>
      </c>
      <c r="B157" s="333">
        <f t="shared" si="16"/>
        <v>1900</v>
      </c>
      <c r="E157" s="17"/>
      <c r="F157" s="96">
        <f t="shared" si="17"/>
        <v>1900</v>
      </c>
      <c r="G157" s="98" t="str">
        <f t="shared" si="18"/>
        <v>4</v>
      </c>
    </row>
    <row r="158" spans="1:7">
      <c r="A158" s="333">
        <f t="shared" si="15"/>
        <v>1</v>
      </c>
      <c r="B158" s="333">
        <f t="shared" si="16"/>
        <v>1900</v>
      </c>
      <c r="E158" s="17"/>
      <c r="F158" s="96">
        <f t="shared" si="17"/>
        <v>1900</v>
      </c>
      <c r="G158" s="98" t="str">
        <f t="shared" si="18"/>
        <v>4</v>
      </c>
    </row>
    <row r="159" spans="1:7">
      <c r="A159" s="333">
        <f t="shared" si="15"/>
        <v>1</v>
      </c>
      <c r="B159" s="333">
        <f t="shared" si="16"/>
        <v>1900</v>
      </c>
      <c r="E159" s="17"/>
      <c r="F159" s="96">
        <f t="shared" si="17"/>
        <v>1900</v>
      </c>
      <c r="G159" s="98" t="str">
        <f t="shared" si="18"/>
        <v>4</v>
      </c>
    </row>
    <row r="160" spans="1:7">
      <c r="A160" s="333">
        <f t="shared" si="15"/>
        <v>1</v>
      </c>
      <c r="B160" s="333">
        <f t="shared" si="16"/>
        <v>1900</v>
      </c>
      <c r="E160" s="17"/>
      <c r="F160" s="96">
        <f t="shared" si="17"/>
        <v>1900</v>
      </c>
      <c r="G160" s="98" t="str">
        <f t="shared" si="18"/>
        <v>4</v>
      </c>
    </row>
    <row r="161" spans="1:7">
      <c r="A161" s="333">
        <f t="shared" si="15"/>
        <v>1</v>
      </c>
      <c r="B161" s="333">
        <f t="shared" si="16"/>
        <v>1900</v>
      </c>
      <c r="E161" s="17"/>
      <c r="F161" s="96">
        <f t="shared" si="17"/>
        <v>1900</v>
      </c>
      <c r="G161" s="98" t="str">
        <f t="shared" si="18"/>
        <v>4</v>
      </c>
    </row>
    <row r="162" spans="1:7">
      <c r="A162" s="333">
        <f t="shared" si="15"/>
        <v>1</v>
      </c>
      <c r="B162" s="333">
        <f t="shared" si="16"/>
        <v>1900</v>
      </c>
      <c r="E162" s="17"/>
      <c r="F162" s="96">
        <f t="shared" si="17"/>
        <v>1900</v>
      </c>
      <c r="G162" s="98" t="str">
        <f t="shared" si="18"/>
        <v>4</v>
      </c>
    </row>
    <row r="163" spans="1:7">
      <c r="A163" s="333">
        <f t="shared" si="15"/>
        <v>1</v>
      </c>
      <c r="B163" s="333">
        <f t="shared" si="16"/>
        <v>1900</v>
      </c>
      <c r="E163" s="17"/>
      <c r="F163" s="96">
        <f t="shared" si="17"/>
        <v>1900</v>
      </c>
      <c r="G163" s="98" t="str">
        <f t="shared" si="18"/>
        <v>4</v>
      </c>
    </row>
    <row r="164" spans="1:7">
      <c r="A164" s="333">
        <f t="shared" si="15"/>
        <v>1</v>
      </c>
      <c r="B164" s="333">
        <f t="shared" si="16"/>
        <v>1900</v>
      </c>
      <c r="E164" s="17"/>
      <c r="F164" s="96">
        <f t="shared" si="17"/>
        <v>1900</v>
      </c>
      <c r="G164" s="98" t="str">
        <f t="shared" si="18"/>
        <v>4</v>
      </c>
    </row>
    <row r="165" spans="1:7">
      <c r="A165" s="333">
        <f t="shared" si="15"/>
        <v>1</v>
      </c>
      <c r="B165" s="333">
        <f t="shared" si="16"/>
        <v>1900</v>
      </c>
      <c r="E165" s="17"/>
      <c r="F165" s="96">
        <f t="shared" si="17"/>
        <v>1900</v>
      </c>
      <c r="G165" s="98" t="str">
        <f t="shared" si="18"/>
        <v>4</v>
      </c>
    </row>
    <row r="166" spans="1:7">
      <c r="A166" s="333">
        <f t="shared" si="15"/>
        <v>1</v>
      </c>
      <c r="B166" s="333">
        <f t="shared" si="16"/>
        <v>1900</v>
      </c>
      <c r="E166" s="17"/>
      <c r="F166" s="96">
        <f t="shared" si="17"/>
        <v>1900</v>
      </c>
      <c r="G166" s="98" t="str">
        <f t="shared" si="18"/>
        <v>4</v>
      </c>
    </row>
    <row r="167" spans="1:7">
      <c r="A167" s="333">
        <f t="shared" si="15"/>
        <v>1</v>
      </c>
      <c r="B167" s="333">
        <f t="shared" si="16"/>
        <v>1900</v>
      </c>
      <c r="E167" s="17"/>
      <c r="F167" s="96">
        <f t="shared" si="17"/>
        <v>1900</v>
      </c>
      <c r="G167" s="98" t="str">
        <f t="shared" si="18"/>
        <v>4</v>
      </c>
    </row>
    <row r="168" spans="1:7">
      <c r="A168" s="333">
        <f t="shared" si="15"/>
        <v>1</v>
      </c>
      <c r="B168" s="333">
        <f t="shared" si="16"/>
        <v>1900</v>
      </c>
      <c r="E168" s="17"/>
      <c r="F168" s="96">
        <f t="shared" si="17"/>
        <v>1900</v>
      </c>
      <c r="G168" s="98" t="str">
        <f t="shared" si="18"/>
        <v>4</v>
      </c>
    </row>
    <row r="169" spans="1:7">
      <c r="A169" s="333">
        <f t="shared" si="15"/>
        <v>1</v>
      </c>
      <c r="B169" s="333">
        <f t="shared" si="16"/>
        <v>1900</v>
      </c>
      <c r="E169" s="17"/>
      <c r="F169" s="96">
        <f t="shared" si="17"/>
        <v>1900</v>
      </c>
      <c r="G169" s="98" t="str">
        <f t="shared" si="18"/>
        <v>4</v>
      </c>
    </row>
    <row r="170" spans="1:7">
      <c r="A170" s="333">
        <f t="shared" si="15"/>
        <v>1</v>
      </c>
      <c r="B170" s="333">
        <f t="shared" si="16"/>
        <v>1900</v>
      </c>
      <c r="E170" s="17"/>
      <c r="F170" s="96">
        <f t="shared" si="17"/>
        <v>1900</v>
      </c>
      <c r="G170" s="98" t="str">
        <f t="shared" si="18"/>
        <v>4</v>
      </c>
    </row>
    <row r="171" spans="1:7">
      <c r="A171" s="333">
        <f t="shared" si="15"/>
        <v>1</v>
      </c>
      <c r="B171" s="333">
        <f t="shared" si="16"/>
        <v>1900</v>
      </c>
      <c r="E171" s="17"/>
      <c r="F171" s="96">
        <f t="shared" si="17"/>
        <v>1900</v>
      </c>
      <c r="G171" s="98" t="str">
        <f t="shared" si="18"/>
        <v>4</v>
      </c>
    </row>
    <row r="172" spans="1:7">
      <c r="A172" s="333">
        <f t="shared" si="15"/>
        <v>1</v>
      </c>
      <c r="B172" s="333">
        <f t="shared" si="16"/>
        <v>1900</v>
      </c>
      <c r="E172" s="17"/>
      <c r="F172" s="96">
        <f t="shared" si="17"/>
        <v>1900</v>
      </c>
      <c r="G172" s="98" t="str">
        <f t="shared" si="18"/>
        <v>4</v>
      </c>
    </row>
    <row r="173" spans="1:7">
      <c r="A173" s="333">
        <f t="shared" si="15"/>
        <v>1</v>
      </c>
      <c r="B173" s="333">
        <f t="shared" si="16"/>
        <v>1900</v>
      </c>
      <c r="E173" s="17"/>
      <c r="F173" s="96">
        <f t="shared" si="17"/>
        <v>1900</v>
      </c>
      <c r="G173" s="98" t="str">
        <f t="shared" si="18"/>
        <v>4</v>
      </c>
    </row>
    <row r="174" spans="1:7">
      <c r="A174" s="333">
        <f t="shared" si="15"/>
        <v>1</v>
      </c>
      <c r="B174" s="333">
        <f t="shared" si="16"/>
        <v>1900</v>
      </c>
      <c r="E174" s="17"/>
      <c r="F174" s="96">
        <f t="shared" si="17"/>
        <v>1900</v>
      </c>
      <c r="G174" s="98" t="str">
        <f t="shared" si="18"/>
        <v>4</v>
      </c>
    </row>
    <row r="175" spans="1:7">
      <c r="A175" s="333">
        <f t="shared" si="15"/>
        <v>1</v>
      </c>
      <c r="B175" s="333">
        <f t="shared" si="16"/>
        <v>1900</v>
      </c>
      <c r="E175" s="17"/>
      <c r="F175" s="96">
        <f t="shared" si="17"/>
        <v>1900</v>
      </c>
      <c r="G175" s="98" t="str">
        <f t="shared" si="18"/>
        <v>4</v>
      </c>
    </row>
    <row r="176" spans="1:7">
      <c r="A176" s="333">
        <f t="shared" si="15"/>
        <v>1</v>
      </c>
      <c r="B176" s="333">
        <f t="shared" si="16"/>
        <v>1900</v>
      </c>
      <c r="E176" s="17"/>
      <c r="F176" s="96">
        <f t="shared" si="17"/>
        <v>1900</v>
      </c>
      <c r="G176" s="98" t="str">
        <f t="shared" si="18"/>
        <v>4</v>
      </c>
    </row>
    <row r="177" spans="1:7">
      <c r="A177" s="333">
        <f t="shared" si="15"/>
        <v>1</v>
      </c>
      <c r="B177" s="333">
        <f t="shared" si="16"/>
        <v>1900</v>
      </c>
      <c r="E177" s="17"/>
      <c r="F177" s="96">
        <f t="shared" si="17"/>
        <v>1900</v>
      </c>
      <c r="G177" s="98" t="str">
        <f t="shared" si="18"/>
        <v>4</v>
      </c>
    </row>
    <row r="178" spans="1:7">
      <c r="A178" s="333">
        <f t="shared" si="15"/>
        <v>1</v>
      </c>
      <c r="B178" s="333">
        <f t="shared" si="16"/>
        <v>1900</v>
      </c>
      <c r="E178" s="17"/>
      <c r="F178" s="96">
        <f t="shared" si="17"/>
        <v>1900</v>
      </c>
      <c r="G178" s="98" t="str">
        <f t="shared" si="18"/>
        <v>4</v>
      </c>
    </row>
    <row r="179" spans="1:7">
      <c r="A179" s="333">
        <f t="shared" si="15"/>
        <v>1</v>
      </c>
      <c r="B179" s="333">
        <f t="shared" si="16"/>
        <v>1900</v>
      </c>
      <c r="E179" s="17"/>
      <c r="F179" s="96">
        <f t="shared" si="17"/>
        <v>1900</v>
      </c>
      <c r="G179" s="98" t="str">
        <f t="shared" si="18"/>
        <v>4</v>
      </c>
    </row>
    <row r="180" spans="1:7">
      <c r="A180" s="333">
        <f t="shared" si="15"/>
        <v>1</v>
      </c>
      <c r="B180" s="333">
        <f t="shared" si="16"/>
        <v>1900</v>
      </c>
      <c r="E180" s="17"/>
      <c r="F180" s="96">
        <f t="shared" si="17"/>
        <v>1900</v>
      </c>
      <c r="G180" s="98" t="str">
        <f t="shared" si="18"/>
        <v>4</v>
      </c>
    </row>
    <row r="181" spans="1:7">
      <c r="A181" s="333">
        <f t="shared" si="15"/>
        <v>1</v>
      </c>
      <c r="B181" s="333">
        <f t="shared" si="16"/>
        <v>1900</v>
      </c>
      <c r="E181" s="17"/>
      <c r="F181" s="96">
        <f t="shared" si="17"/>
        <v>1900</v>
      </c>
      <c r="G181" s="98" t="str">
        <f t="shared" si="18"/>
        <v>4</v>
      </c>
    </row>
    <row r="182" spans="1:7">
      <c r="A182" s="333">
        <f t="shared" si="15"/>
        <v>1</v>
      </c>
      <c r="B182" s="333">
        <f t="shared" si="16"/>
        <v>1900</v>
      </c>
      <c r="E182" s="17"/>
      <c r="F182" s="96">
        <f t="shared" si="17"/>
        <v>1900</v>
      </c>
      <c r="G182" s="98" t="str">
        <f t="shared" si="18"/>
        <v>4</v>
      </c>
    </row>
    <row r="183" spans="1:7">
      <c r="A183" s="333">
        <f t="shared" si="15"/>
        <v>1</v>
      </c>
      <c r="B183" s="333">
        <f t="shared" si="16"/>
        <v>1900</v>
      </c>
      <c r="E183" s="17"/>
      <c r="F183" s="96">
        <f t="shared" si="17"/>
        <v>1900</v>
      </c>
      <c r="G183" s="98" t="str">
        <f t="shared" si="18"/>
        <v>4</v>
      </c>
    </row>
    <row r="184" spans="1:7">
      <c r="A184" s="333">
        <f t="shared" si="15"/>
        <v>1</v>
      </c>
      <c r="B184" s="333">
        <f t="shared" si="16"/>
        <v>1900</v>
      </c>
      <c r="E184" s="17"/>
      <c r="F184" s="96">
        <f t="shared" si="17"/>
        <v>1900</v>
      </c>
      <c r="G184" s="98" t="str">
        <f t="shared" si="18"/>
        <v>4</v>
      </c>
    </row>
    <row r="185" spans="1:7">
      <c r="A185" s="333">
        <f t="shared" si="15"/>
        <v>1</v>
      </c>
      <c r="B185" s="333">
        <f t="shared" si="16"/>
        <v>1900</v>
      </c>
      <c r="E185" s="17"/>
      <c r="F185" s="96">
        <f t="shared" si="17"/>
        <v>1900</v>
      </c>
      <c r="G185" s="98" t="str">
        <f t="shared" si="18"/>
        <v>4</v>
      </c>
    </row>
    <row r="186" spans="1:7">
      <c r="A186" s="333">
        <f t="shared" si="15"/>
        <v>1</v>
      </c>
      <c r="B186" s="333">
        <f t="shared" si="16"/>
        <v>1900</v>
      </c>
      <c r="E186" s="17"/>
      <c r="F186" s="96">
        <f t="shared" si="17"/>
        <v>1900</v>
      </c>
      <c r="G186" s="98" t="str">
        <f t="shared" si="18"/>
        <v>4</v>
      </c>
    </row>
    <row r="187" spans="1:7">
      <c r="A187" s="333">
        <f t="shared" si="15"/>
        <v>1</v>
      </c>
      <c r="B187" s="333">
        <f t="shared" si="16"/>
        <v>1900</v>
      </c>
      <c r="E187" s="17"/>
      <c r="F187" s="96">
        <f t="shared" si="17"/>
        <v>1900</v>
      </c>
      <c r="G187" s="98" t="str">
        <f t="shared" si="18"/>
        <v>4</v>
      </c>
    </row>
    <row r="188" spans="1:7">
      <c r="A188" s="333">
        <f t="shared" si="15"/>
        <v>1</v>
      </c>
      <c r="B188" s="333">
        <f t="shared" si="16"/>
        <v>1900</v>
      </c>
      <c r="E188" s="17"/>
      <c r="F188" s="96">
        <f t="shared" si="17"/>
        <v>1900</v>
      </c>
      <c r="G188" s="98" t="str">
        <f t="shared" si="18"/>
        <v>4</v>
      </c>
    </row>
    <row r="189" spans="1:7">
      <c r="A189" s="333">
        <f t="shared" si="15"/>
        <v>1</v>
      </c>
      <c r="B189" s="333">
        <f t="shared" si="16"/>
        <v>1900</v>
      </c>
      <c r="E189" s="17"/>
      <c r="F189" s="96">
        <f t="shared" si="17"/>
        <v>1900</v>
      </c>
      <c r="G189" s="98" t="str">
        <f t="shared" si="18"/>
        <v>4</v>
      </c>
    </row>
    <row r="190" spans="1:7">
      <c r="A190" s="333">
        <f t="shared" si="15"/>
        <v>1</v>
      </c>
      <c r="B190" s="333">
        <f t="shared" si="16"/>
        <v>1900</v>
      </c>
      <c r="E190" s="17"/>
      <c r="F190" s="96">
        <f t="shared" si="17"/>
        <v>1900</v>
      </c>
      <c r="G190" s="98" t="str">
        <f t="shared" si="18"/>
        <v>4</v>
      </c>
    </row>
    <row r="191" spans="1:7">
      <c r="A191" s="333">
        <f t="shared" si="15"/>
        <v>1</v>
      </c>
      <c r="B191" s="333">
        <f t="shared" si="16"/>
        <v>1900</v>
      </c>
      <c r="E191" s="17"/>
      <c r="F191" s="96">
        <f t="shared" si="17"/>
        <v>1900</v>
      </c>
      <c r="G191" s="98" t="str">
        <f t="shared" si="18"/>
        <v>4</v>
      </c>
    </row>
    <row r="192" spans="1:7">
      <c r="A192" s="333">
        <f t="shared" si="15"/>
        <v>1</v>
      </c>
      <c r="B192" s="333">
        <f t="shared" si="16"/>
        <v>1900</v>
      </c>
      <c r="E192" s="17"/>
      <c r="F192" s="96">
        <f t="shared" si="17"/>
        <v>1900</v>
      </c>
      <c r="G192" s="98" t="str">
        <f t="shared" si="18"/>
        <v>4</v>
      </c>
    </row>
    <row r="193" spans="1:7">
      <c r="A193" s="333">
        <f t="shared" si="15"/>
        <v>1</v>
      </c>
      <c r="B193" s="333">
        <f t="shared" si="16"/>
        <v>1900</v>
      </c>
      <c r="E193" s="17"/>
      <c r="F193" s="96">
        <f t="shared" si="17"/>
        <v>1900</v>
      </c>
      <c r="G193" s="98" t="str">
        <f t="shared" si="18"/>
        <v>4</v>
      </c>
    </row>
    <row r="194" spans="1:7">
      <c r="A194" s="333">
        <f t="shared" si="15"/>
        <v>1</v>
      </c>
      <c r="B194" s="333">
        <f t="shared" si="16"/>
        <v>1900</v>
      </c>
      <c r="E194" s="17"/>
      <c r="F194" s="96">
        <f t="shared" si="17"/>
        <v>1900</v>
      </c>
      <c r="G194" s="98" t="str">
        <f t="shared" si="18"/>
        <v>4</v>
      </c>
    </row>
    <row r="195" spans="1:7">
      <c r="A195" s="333">
        <f t="shared" si="15"/>
        <v>1</v>
      </c>
      <c r="B195" s="333">
        <f t="shared" si="16"/>
        <v>1900</v>
      </c>
      <c r="E195" s="17"/>
      <c r="F195" s="96">
        <f t="shared" si="17"/>
        <v>1900</v>
      </c>
      <c r="G195" s="98" t="str">
        <f t="shared" si="18"/>
        <v>4</v>
      </c>
    </row>
    <row r="196" spans="1:7">
      <c r="A196" s="333">
        <f t="shared" si="15"/>
        <v>1</v>
      </c>
      <c r="B196" s="333">
        <f t="shared" si="16"/>
        <v>1900</v>
      </c>
      <c r="E196" s="17"/>
      <c r="F196" s="96">
        <f t="shared" si="17"/>
        <v>1900</v>
      </c>
      <c r="G196" s="98" t="str">
        <f t="shared" si="18"/>
        <v>4</v>
      </c>
    </row>
    <row r="197" spans="1:7">
      <c r="A197" s="333">
        <f t="shared" si="15"/>
        <v>1</v>
      </c>
      <c r="B197" s="333">
        <f t="shared" si="16"/>
        <v>1900</v>
      </c>
      <c r="E197" s="17"/>
      <c r="F197" s="96">
        <f t="shared" si="17"/>
        <v>1900</v>
      </c>
      <c r="G197" s="98" t="str">
        <f t="shared" si="18"/>
        <v>4</v>
      </c>
    </row>
    <row r="198" spans="1:7">
      <c r="A198" s="333">
        <f t="shared" si="15"/>
        <v>1</v>
      </c>
      <c r="B198" s="333">
        <f t="shared" si="16"/>
        <v>1900</v>
      </c>
      <c r="E198" s="17"/>
      <c r="F198" s="96">
        <f t="shared" si="17"/>
        <v>1900</v>
      </c>
      <c r="G198" s="98" t="str">
        <f t="shared" si="18"/>
        <v>4</v>
      </c>
    </row>
    <row r="199" spans="1:7">
      <c r="A199" s="333">
        <f t="shared" si="15"/>
        <v>1</v>
      </c>
      <c r="B199" s="333">
        <f t="shared" si="16"/>
        <v>1900</v>
      </c>
      <c r="E199" s="17"/>
      <c r="F199" s="96">
        <f t="shared" si="17"/>
        <v>1900</v>
      </c>
      <c r="G199" s="98" t="str">
        <f t="shared" si="18"/>
        <v>4</v>
      </c>
    </row>
    <row r="200" spans="1:7">
      <c r="A200" s="333">
        <f t="shared" si="15"/>
        <v>1</v>
      </c>
      <c r="B200" s="333">
        <f t="shared" si="16"/>
        <v>1900</v>
      </c>
      <c r="E200" s="17"/>
      <c r="F200" s="96">
        <f t="shared" si="17"/>
        <v>1900</v>
      </c>
      <c r="G200" s="98" t="str">
        <f t="shared" si="18"/>
        <v>4</v>
      </c>
    </row>
    <row r="201" spans="1:7">
      <c r="A201" s="333">
        <f t="shared" ref="A201:A250" si="19">IF(OR(MONTH(C201)=1,MONTH(C201)=2,MONTH(C201)=3),1,IF(OR(MONTH(C201)=4,MONTH(C201)=5,MONTH(C201)=6),2,IF(OR(MONTH(C201)=7,MONTH(C201)=8,MONTH(C201)=9),3,4)))</f>
        <v>1</v>
      </c>
      <c r="B201" s="333">
        <f t="shared" ref="B201:B250" si="20">YEAR(C201)</f>
        <v>1900</v>
      </c>
      <c r="E201" s="17"/>
      <c r="F201" s="96">
        <f t="shared" si="17"/>
        <v>1900</v>
      </c>
      <c r="G201" s="98" t="str">
        <f t="shared" si="18"/>
        <v>4</v>
      </c>
    </row>
    <row r="202" spans="1:7">
      <c r="A202" s="333">
        <f t="shared" si="19"/>
        <v>1</v>
      </c>
      <c r="B202" s="333">
        <f t="shared" si="20"/>
        <v>1900</v>
      </c>
      <c r="E202" s="17"/>
      <c r="F202" s="96">
        <f t="shared" si="17"/>
        <v>1900</v>
      </c>
      <c r="G202" s="98" t="str">
        <f t="shared" si="18"/>
        <v>4</v>
      </c>
    </row>
    <row r="203" spans="1:7">
      <c r="A203" s="333">
        <f t="shared" si="19"/>
        <v>1</v>
      </c>
      <c r="B203" s="333">
        <f t="shared" si="20"/>
        <v>1900</v>
      </c>
      <c r="E203" s="17"/>
      <c r="F203" s="96">
        <f t="shared" si="17"/>
        <v>1900</v>
      </c>
      <c r="G203" s="98" t="str">
        <f t="shared" si="18"/>
        <v>4</v>
      </c>
    </row>
    <row r="204" spans="1:7">
      <c r="A204" s="333">
        <f t="shared" si="19"/>
        <v>1</v>
      </c>
      <c r="B204" s="333">
        <f t="shared" si="20"/>
        <v>1900</v>
      </c>
      <c r="E204" s="17"/>
      <c r="F204" s="96">
        <f t="shared" ref="F204:F250" si="21">YEAR(C204)</f>
        <v>1900</v>
      </c>
      <c r="G204" s="98" t="str">
        <f t="shared" ref="G204:G250" si="22">IF(MONTH(C204)=3,"1",IF(MONTH(C204)=6,"2",IF(MONTH(C204)=9,"3","4")))</f>
        <v>4</v>
      </c>
    </row>
    <row r="205" spans="1:7">
      <c r="A205" s="333">
        <f t="shared" si="19"/>
        <v>1</v>
      </c>
      <c r="B205" s="333">
        <f t="shared" si="20"/>
        <v>1900</v>
      </c>
      <c r="E205" s="17"/>
      <c r="F205" s="96">
        <f t="shared" si="21"/>
        <v>1900</v>
      </c>
      <c r="G205" s="98" t="str">
        <f t="shared" si="22"/>
        <v>4</v>
      </c>
    </row>
    <row r="206" spans="1:7">
      <c r="A206" s="333">
        <f t="shared" si="19"/>
        <v>1</v>
      </c>
      <c r="B206" s="333">
        <f t="shared" si="20"/>
        <v>1900</v>
      </c>
      <c r="E206" s="17"/>
      <c r="F206" s="96">
        <f t="shared" si="21"/>
        <v>1900</v>
      </c>
      <c r="G206" s="98" t="str">
        <f t="shared" si="22"/>
        <v>4</v>
      </c>
    </row>
    <row r="207" spans="1:7">
      <c r="A207" s="333">
        <f t="shared" si="19"/>
        <v>1</v>
      </c>
      <c r="B207" s="333">
        <f t="shared" si="20"/>
        <v>1900</v>
      </c>
      <c r="E207" s="17"/>
      <c r="F207" s="96">
        <f t="shared" si="21"/>
        <v>1900</v>
      </c>
      <c r="G207" s="98" t="str">
        <f t="shared" si="22"/>
        <v>4</v>
      </c>
    </row>
    <row r="208" spans="1:7">
      <c r="A208" s="333">
        <f t="shared" si="19"/>
        <v>1</v>
      </c>
      <c r="B208" s="333">
        <f t="shared" si="20"/>
        <v>1900</v>
      </c>
      <c r="E208" s="17"/>
      <c r="F208" s="96">
        <f t="shared" si="21"/>
        <v>1900</v>
      </c>
      <c r="G208" s="98" t="str">
        <f t="shared" si="22"/>
        <v>4</v>
      </c>
    </row>
    <row r="209" spans="1:7">
      <c r="A209" s="333">
        <f t="shared" si="19"/>
        <v>1</v>
      </c>
      <c r="B209" s="333">
        <f t="shared" si="20"/>
        <v>1900</v>
      </c>
      <c r="E209" s="17"/>
      <c r="F209" s="96">
        <f t="shared" si="21"/>
        <v>1900</v>
      </c>
      <c r="G209" s="98" t="str">
        <f t="shared" si="22"/>
        <v>4</v>
      </c>
    </row>
    <row r="210" spans="1:7">
      <c r="A210" s="333">
        <f t="shared" si="19"/>
        <v>1</v>
      </c>
      <c r="B210" s="333">
        <f t="shared" si="20"/>
        <v>1900</v>
      </c>
      <c r="E210" s="17"/>
      <c r="F210" s="96">
        <f t="shared" si="21"/>
        <v>1900</v>
      </c>
      <c r="G210" s="98" t="str">
        <f t="shared" si="22"/>
        <v>4</v>
      </c>
    </row>
    <row r="211" spans="1:7">
      <c r="A211" s="333">
        <f t="shared" si="19"/>
        <v>1</v>
      </c>
      <c r="B211" s="333">
        <f t="shared" si="20"/>
        <v>1900</v>
      </c>
      <c r="E211" s="17"/>
      <c r="F211" s="96">
        <f t="shared" si="21"/>
        <v>1900</v>
      </c>
      <c r="G211" s="98" t="str">
        <f t="shared" si="22"/>
        <v>4</v>
      </c>
    </row>
    <row r="212" spans="1:7">
      <c r="A212" s="333">
        <f t="shared" si="19"/>
        <v>1</v>
      </c>
      <c r="B212" s="333">
        <f t="shared" si="20"/>
        <v>1900</v>
      </c>
      <c r="E212" s="17"/>
      <c r="F212" s="96">
        <f t="shared" si="21"/>
        <v>1900</v>
      </c>
      <c r="G212" s="98" t="str">
        <f t="shared" si="22"/>
        <v>4</v>
      </c>
    </row>
    <row r="213" spans="1:7">
      <c r="A213" s="333">
        <f t="shared" si="19"/>
        <v>1</v>
      </c>
      <c r="B213" s="333">
        <f t="shared" si="20"/>
        <v>1900</v>
      </c>
      <c r="E213" s="17"/>
      <c r="F213" s="96">
        <f t="shared" si="21"/>
        <v>1900</v>
      </c>
      <c r="G213" s="98" t="str">
        <f t="shared" si="22"/>
        <v>4</v>
      </c>
    </row>
    <row r="214" spans="1:7">
      <c r="A214" s="333">
        <f t="shared" si="19"/>
        <v>1</v>
      </c>
      <c r="B214" s="333">
        <f t="shared" si="20"/>
        <v>1900</v>
      </c>
      <c r="E214" s="17"/>
      <c r="F214" s="96">
        <f t="shared" si="21"/>
        <v>1900</v>
      </c>
      <c r="G214" s="98" t="str">
        <f t="shared" si="22"/>
        <v>4</v>
      </c>
    </row>
    <row r="215" spans="1:7">
      <c r="A215" s="333">
        <f t="shared" si="19"/>
        <v>1</v>
      </c>
      <c r="B215" s="333">
        <f t="shared" si="20"/>
        <v>1900</v>
      </c>
      <c r="E215" s="17"/>
      <c r="F215" s="96">
        <f t="shared" si="21"/>
        <v>1900</v>
      </c>
      <c r="G215" s="98" t="str">
        <f t="shared" si="22"/>
        <v>4</v>
      </c>
    </row>
    <row r="216" spans="1:7">
      <c r="A216" s="333">
        <f t="shared" si="19"/>
        <v>1</v>
      </c>
      <c r="B216" s="333">
        <f t="shared" si="20"/>
        <v>1900</v>
      </c>
      <c r="E216" s="17"/>
      <c r="F216" s="96">
        <f t="shared" si="21"/>
        <v>1900</v>
      </c>
      <c r="G216" s="98" t="str">
        <f t="shared" si="22"/>
        <v>4</v>
      </c>
    </row>
    <row r="217" spans="1:7">
      <c r="A217" s="333">
        <f t="shared" si="19"/>
        <v>1</v>
      </c>
      <c r="B217" s="333">
        <f t="shared" si="20"/>
        <v>1900</v>
      </c>
      <c r="E217" s="17"/>
      <c r="F217" s="96">
        <f t="shared" si="21"/>
        <v>1900</v>
      </c>
      <c r="G217" s="98" t="str">
        <f t="shared" si="22"/>
        <v>4</v>
      </c>
    </row>
    <row r="218" spans="1:7">
      <c r="A218" s="333">
        <f t="shared" si="19"/>
        <v>1</v>
      </c>
      <c r="B218" s="333">
        <f t="shared" si="20"/>
        <v>1900</v>
      </c>
      <c r="E218" s="17"/>
      <c r="F218" s="96">
        <f t="shared" si="21"/>
        <v>1900</v>
      </c>
      <c r="G218" s="98" t="str">
        <f t="shared" si="22"/>
        <v>4</v>
      </c>
    </row>
    <row r="219" spans="1:7">
      <c r="A219" s="333">
        <f t="shared" si="19"/>
        <v>1</v>
      </c>
      <c r="B219" s="333">
        <f t="shared" si="20"/>
        <v>1900</v>
      </c>
      <c r="E219" s="17"/>
      <c r="F219" s="96">
        <f t="shared" si="21"/>
        <v>1900</v>
      </c>
      <c r="G219" s="98" t="str">
        <f t="shared" si="22"/>
        <v>4</v>
      </c>
    </row>
    <row r="220" spans="1:7">
      <c r="A220" s="333">
        <f t="shared" si="19"/>
        <v>1</v>
      </c>
      <c r="B220" s="333">
        <f t="shared" si="20"/>
        <v>1900</v>
      </c>
      <c r="E220" s="17"/>
      <c r="F220" s="96">
        <f t="shared" si="21"/>
        <v>1900</v>
      </c>
      <c r="G220" s="98" t="str">
        <f t="shared" si="22"/>
        <v>4</v>
      </c>
    </row>
    <row r="221" spans="1:7">
      <c r="A221" s="333">
        <f t="shared" si="19"/>
        <v>1</v>
      </c>
      <c r="B221" s="333">
        <f t="shared" si="20"/>
        <v>1900</v>
      </c>
      <c r="E221" s="17"/>
      <c r="F221" s="96">
        <f t="shared" si="21"/>
        <v>1900</v>
      </c>
      <c r="G221" s="98" t="str">
        <f t="shared" si="22"/>
        <v>4</v>
      </c>
    </row>
    <row r="222" spans="1:7">
      <c r="A222" s="333">
        <f t="shared" si="19"/>
        <v>1</v>
      </c>
      <c r="B222" s="333">
        <f t="shared" si="20"/>
        <v>1900</v>
      </c>
      <c r="E222" s="17"/>
      <c r="F222" s="96">
        <f t="shared" si="21"/>
        <v>1900</v>
      </c>
      <c r="G222" s="98" t="str">
        <f t="shared" si="22"/>
        <v>4</v>
      </c>
    </row>
    <row r="223" spans="1:7">
      <c r="A223" s="333">
        <f t="shared" si="19"/>
        <v>1</v>
      </c>
      <c r="B223" s="333">
        <f t="shared" si="20"/>
        <v>1900</v>
      </c>
      <c r="E223" s="17"/>
      <c r="F223" s="96">
        <f t="shared" si="21"/>
        <v>1900</v>
      </c>
      <c r="G223" s="98" t="str">
        <f t="shared" si="22"/>
        <v>4</v>
      </c>
    </row>
    <row r="224" spans="1:7">
      <c r="A224" s="333">
        <f t="shared" si="19"/>
        <v>1</v>
      </c>
      <c r="B224" s="333">
        <f t="shared" si="20"/>
        <v>1900</v>
      </c>
      <c r="E224" s="17"/>
      <c r="F224" s="96">
        <f t="shared" si="21"/>
        <v>1900</v>
      </c>
      <c r="G224" s="98" t="str">
        <f t="shared" si="22"/>
        <v>4</v>
      </c>
    </row>
    <row r="225" spans="1:7">
      <c r="A225" s="333">
        <f t="shared" si="19"/>
        <v>1</v>
      </c>
      <c r="B225" s="333">
        <f t="shared" si="20"/>
        <v>1900</v>
      </c>
      <c r="E225" s="17"/>
      <c r="F225" s="96">
        <f t="shared" si="21"/>
        <v>1900</v>
      </c>
      <c r="G225" s="98" t="str">
        <f t="shared" si="22"/>
        <v>4</v>
      </c>
    </row>
    <row r="226" spans="1:7">
      <c r="A226" s="333">
        <f t="shared" si="19"/>
        <v>1</v>
      </c>
      <c r="B226" s="333">
        <f t="shared" si="20"/>
        <v>1900</v>
      </c>
      <c r="E226" s="17"/>
      <c r="F226" s="96">
        <f t="shared" si="21"/>
        <v>1900</v>
      </c>
      <c r="G226" s="98" t="str">
        <f t="shared" si="22"/>
        <v>4</v>
      </c>
    </row>
    <row r="227" spans="1:7">
      <c r="A227" s="333">
        <f t="shared" si="19"/>
        <v>1</v>
      </c>
      <c r="B227" s="333">
        <f t="shared" si="20"/>
        <v>1900</v>
      </c>
      <c r="E227" s="17"/>
      <c r="F227" s="96">
        <f t="shared" si="21"/>
        <v>1900</v>
      </c>
      <c r="G227" s="98" t="str">
        <f t="shared" si="22"/>
        <v>4</v>
      </c>
    </row>
    <row r="228" spans="1:7">
      <c r="A228" s="333">
        <f t="shared" si="19"/>
        <v>1</v>
      </c>
      <c r="B228" s="333">
        <f t="shared" si="20"/>
        <v>1900</v>
      </c>
      <c r="E228" s="17"/>
      <c r="F228" s="96">
        <f t="shared" si="21"/>
        <v>1900</v>
      </c>
      <c r="G228" s="98" t="str">
        <f t="shared" si="22"/>
        <v>4</v>
      </c>
    </row>
    <row r="229" spans="1:7">
      <c r="A229" s="333">
        <f t="shared" si="19"/>
        <v>1</v>
      </c>
      <c r="B229" s="333">
        <f t="shared" si="20"/>
        <v>1900</v>
      </c>
      <c r="E229" s="17"/>
      <c r="F229" s="96">
        <f t="shared" si="21"/>
        <v>1900</v>
      </c>
      <c r="G229" s="98" t="str">
        <f t="shared" si="22"/>
        <v>4</v>
      </c>
    </row>
    <row r="230" spans="1:7">
      <c r="A230" s="333">
        <f t="shared" si="19"/>
        <v>1</v>
      </c>
      <c r="B230" s="333">
        <f t="shared" si="20"/>
        <v>1900</v>
      </c>
      <c r="E230" s="17"/>
      <c r="F230" s="96">
        <f t="shared" si="21"/>
        <v>1900</v>
      </c>
      <c r="G230" s="98" t="str">
        <f t="shared" si="22"/>
        <v>4</v>
      </c>
    </row>
    <row r="231" spans="1:7">
      <c r="A231" s="333">
        <f t="shared" si="19"/>
        <v>1</v>
      </c>
      <c r="B231" s="333">
        <f t="shared" si="20"/>
        <v>1900</v>
      </c>
      <c r="E231" s="17"/>
      <c r="F231" s="96">
        <f t="shared" si="21"/>
        <v>1900</v>
      </c>
      <c r="G231" s="98" t="str">
        <f t="shared" si="22"/>
        <v>4</v>
      </c>
    </row>
    <row r="232" spans="1:7">
      <c r="A232" s="333">
        <f t="shared" si="19"/>
        <v>1</v>
      </c>
      <c r="B232" s="333">
        <f t="shared" si="20"/>
        <v>1900</v>
      </c>
      <c r="E232" s="17"/>
      <c r="F232" s="96">
        <f t="shared" si="21"/>
        <v>1900</v>
      </c>
      <c r="G232" s="98" t="str">
        <f t="shared" si="22"/>
        <v>4</v>
      </c>
    </row>
    <row r="233" spans="1:7">
      <c r="A233" s="333">
        <f t="shared" si="19"/>
        <v>1</v>
      </c>
      <c r="B233" s="333">
        <f t="shared" si="20"/>
        <v>1900</v>
      </c>
      <c r="E233" s="17"/>
      <c r="F233" s="96">
        <f t="shared" si="21"/>
        <v>1900</v>
      </c>
      <c r="G233" s="98" t="str">
        <f t="shared" si="22"/>
        <v>4</v>
      </c>
    </row>
    <row r="234" spans="1:7">
      <c r="A234" s="333">
        <f t="shared" si="19"/>
        <v>1</v>
      </c>
      <c r="B234" s="333">
        <f t="shared" si="20"/>
        <v>1900</v>
      </c>
      <c r="E234" s="17"/>
      <c r="F234" s="96">
        <f t="shared" si="21"/>
        <v>1900</v>
      </c>
      <c r="G234" s="98" t="str">
        <f t="shared" si="22"/>
        <v>4</v>
      </c>
    </row>
    <row r="235" spans="1:7">
      <c r="A235" s="333">
        <f t="shared" si="19"/>
        <v>1</v>
      </c>
      <c r="B235" s="333">
        <f t="shared" si="20"/>
        <v>1900</v>
      </c>
      <c r="E235" s="17"/>
      <c r="F235" s="96">
        <f t="shared" si="21"/>
        <v>1900</v>
      </c>
      <c r="G235" s="98" t="str">
        <f t="shared" si="22"/>
        <v>4</v>
      </c>
    </row>
    <row r="236" spans="1:7">
      <c r="A236" s="333">
        <f t="shared" si="19"/>
        <v>1</v>
      </c>
      <c r="B236" s="333">
        <f t="shared" si="20"/>
        <v>1900</v>
      </c>
      <c r="E236" s="17"/>
      <c r="F236" s="96">
        <f t="shared" si="21"/>
        <v>1900</v>
      </c>
      <c r="G236" s="98" t="str">
        <f t="shared" si="22"/>
        <v>4</v>
      </c>
    </row>
    <row r="237" spans="1:7">
      <c r="A237" s="333">
        <f t="shared" si="19"/>
        <v>1</v>
      </c>
      <c r="B237" s="333">
        <f t="shared" si="20"/>
        <v>1900</v>
      </c>
      <c r="E237" s="17"/>
      <c r="F237" s="96">
        <f t="shared" si="21"/>
        <v>1900</v>
      </c>
      <c r="G237" s="98" t="str">
        <f t="shared" si="22"/>
        <v>4</v>
      </c>
    </row>
    <row r="238" spans="1:7">
      <c r="A238" s="333">
        <f t="shared" si="19"/>
        <v>1</v>
      </c>
      <c r="B238" s="333">
        <f t="shared" si="20"/>
        <v>1900</v>
      </c>
      <c r="E238" s="17"/>
      <c r="F238" s="96">
        <f t="shared" si="21"/>
        <v>1900</v>
      </c>
      <c r="G238" s="98" t="str">
        <f t="shared" si="22"/>
        <v>4</v>
      </c>
    </row>
    <row r="239" spans="1:7">
      <c r="A239" s="333">
        <f t="shared" si="19"/>
        <v>1</v>
      </c>
      <c r="B239" s="333">
        <f t="shared" si="20"/>
        <v>1900</v>
      </c>
      <c r="E239" s="17"/>
      <c r="F239" s="96">
        <f t="shared" si="21"/>
        <v>1900</v>
      </c>
      <c r="G239" s="98" t="str">
        <f t="shared" si="22"/>
        <v>4</v>
      </c>
    </row>
    <row r="240" spans="1:7">
      <c r="A240" s="333">
        <f t="shared" si="19"/>
        <v>1</v>
      </c>
      <c r="B240" s="333">
        <f t="shared" si="20"/>
        <v>1900</v>
      </c>
      <c r="E240" s="17"/>
      <c r="F240" s="96">
        <f t="shared" si="21"/>
        <v>1900</v>
      </c>
      <c r="G240" s="98" t="str">
        <f t="shared" si="22"/>
        <v>4</v>
      </c>
    </row>
    <row r="241" spans="1:7">
      <c r="A241" s="333">
        <f t="shared" si="19"/>
        <v>1</v>
      </c>
      <c r="B241" s="333">
        <f t="shared" si="20"/>
        <v>1900</v>
      </c>
      <c r="E241" s="17"/>
      <c r="F241" s="96">
        <f t="shared" si="21"/>
        <v>1900</v>
      </c>
      <c r="G241" s="98" t="str">
        <f t="shared" si="22"/>
        <v>4</v>
      </c>
    </row>
    <row r="242" spans="1:7">
      <c r="A242" s="333">
        <f t="shared" si="19"/>
        <v>1</v>
      </c>
      <c r="B242" s="333">
        <f t="shared" si="20"/>
        <v>1900</v>
      </c>
      <c r="E242" s="17"/>
      <c r="F242" s="96">
        <f t="shared" si="21"/>
        <v>1900</v>
      </c>
      <c r="G242" s="98" t="str">
        <f t="shared" si="22"/>
        <v>4</v>
      </c>
    </row>
    <row r="243" spans="1:7">
      <c r="A243" s="333">
        <f t="shared" si="19"/>
        <v>1</v>
      </c>
      <c r="B243" s="333">
        <f t="shared" si="20"/>
        <v>1900</v>
      </c>
      <c r="E243" s="17"/>
      <c r="F243" s="96">
        <f t="shared" si="21"/>
        <v>1900</v>
      </c>
      <c r="G243" s="98" t="str">
        <f t="shared" si="22"/>
        <v>4</v>
      </c>
    </row>
    <row r="244" spans="1:7">
      <c r="A244" s="333">
        <f t="shared" si="19"/>
        <v>1</v>
      </c>
      <c r="B244" s="333">
        <f t="shared" si="20"/>
        <v>1900</v>
      </c>
      <c r="E244" s="17"/>
      <c r="F244" s="96">
        <f t="shared" si="21"/>
        <v>1900</v>
      </c>
      <c r="G244" s="98" t="str">
        <f t="shared" si="22"/>
        <v>4</v>
      </c>
    </row>
    <row r="245" spans="1:7">
      <c r="A245" s="333">
        <f t="shared" si="19"/>
        <v>1</v>
      </c>
      <c r="B245" s="333">
        <f t="shared" si="20"/>
        <v>1900</v>
      </c>
      <c r="E245" s="17"/>
      <c r="F245" s="96">
        <f t="shared" si="21"/>
        <v>1900</v>
      </c>
      <c r="G245" s="98" t="str">
        <f t="shared" si="22"/>
        <v>4</v>
      </c>
    </row>
    <row r="246" spans="1:7">
      <c r="A246" s="333">
        <f t="shared" si="19"/>
        <v>1</v>
      </c>
      <c r="B246" s="333">
        <f t="shared" si="20"/>
        <v>1900</v>
      </c>
      <c r="E246" s="17"/>
      <c r="F246" s="96">
        <f t="shared" si="21"/>
        <v>1900</v>
      </c>
      <c r="G246" s="98" t="str">
        <f t="shared" si="22"/>
        <v>4</v>
      </c>
    </row>
    <row r="247" spans="1:7">
      <c r="A247" s="333">
        <f t="shared" si="19"/>
        <v>1</v>
      </c>
      <c r="B247" s="333">
        <f t="shared" si="20"/>
        <v>1900</v>
      </c>
      <c r="E247" s="17"/>
      <c r="F247" s="96">
        <f t="shared" si="21"/>
        <v>1900</v>
      </c>
      <c r="G247" s="98" t="str">
        <f t="shared" si="22"/>
        <v>4</v>
      </c>
    </row>
    <row r="248" spans="1:7">
      <c r="A248" s="333">
        <f t="shared" si="19"/>
        <v>1</v>
      </c>
      <c r="B248" s="333">
        <f t="shared" si="20"/>
        <v>1900</v>
      </c>
      <c r="E248" s="17"/>
      <c r="F248" s="96">
        <f t="shared" si="21"/>
        <v>1900</v>
      </c>
      <c r="G248" s="98" t="str">
        <f t="shared" si="22"/>
        <v>4</v>
      </c>
    </row>
    <row r="249" spans="1:7">
      <c r="A249" s="333">
        <f t="shared" si="19"/>
        <v>1</v>
      </c>
      <c r="B249" s="333">
        <f t="shared" si="20"/>
        <v>1900</v>
      </c>
      <c r="E249" s="17"/>
      <c r="F249" s="96">
        <f t="shared" si="21"/>
        <v>1900</v>
      </c>
      <c r="G249" s="98" t="str">
        <f t="shared" si="22"/>
        <v>4</v>
      </c>
    </row>
    <row r="250" spans="1:7">
      <c r="A250" s="333">
        <f t="shared" si="19"/>
        <v>1</v>
      </c>
      <c r="B250" s="333">
        <f t="shared" si="20"/>
        <v>1900</v>
      </c>
      <c r="E250" s="17"/>
      <c r="F250" s="96">
        <f t="shared" si="21"/>
        <v>1900</v>
      </c>
      <c r="G250" s="98" t="str">
        <f t="shared" si="22"/>
        <v>4</v>
      </c>
    </row>
    <row r="251" spans="1:7">
      <c r="E251" s="17"/>
      <c r="F251" s="99"/>
      <c r="G251" s="99"/>
    </row>
    <row r="252" spans="1:7">
      <c r="E252" s="17"/>
      <c r="F252" s="99"/>
      <c r="G252" s="99"/>
    </row>
    <row r="253" spans="1:7">
      <c r="E253" s="17"/>
      <c r="F253" s="99"/>
      <c r="G253" s="99"/>
    </row>
    <row r="254" spans="1:7">
      <c r="E254" s="17"/>
      <c r="F254" s="99"/>
      <c r="G254" s="99"/>
    </row>
    <row r="255" spans="1:7">
      <c r="E255" s="17"/>
      <c r="F255" s="99"/>
      <c r="G255" s="99"/>
    </row>
    <row r="256" spans="1:7">
      <c r="E256" s="17"/>
      <c r="F256" s="99"/>
      <c r="G256" s="99"/>
    </row>
    <row r="257" spans="5:7">
      <c r="E257" s="17"/>
      <c r="F257" s="99"/>
      <c r="G257" s="99"/>
    </row>
    <row r="258" spans="5:7">
      <c r="E258" s="17"/>
      <c r="F258" s="99"/>
      <c r="G258" s="99"/>
    </row>
    <row r="259" spans="5:7">
      <c r="E259" s="17"/>
      <c r="F259" s="99"/>
      <c r="G259" s="99"/>
    </row>
    <row r="260" spans="5:7">
      <c r="E260" s="17"/>
      <c r="F260" s="99"/>
      <c r="G260" s="99"/>
    </row>
    <row r="261" spans="5:7">
      <c r="E261" s="17"/>
      <c r="F261" s="99"/>
      <c r="G261" s="99"/>
    </row>
    <row r="262" spans="5:7">
      <c r="E262" s="17"/>
      <c r="F262" s="99"/>
      <c r="G262" s="99"/>
    </row>
    <row r="263" spans="5:7">
      <c r="E263" s="17"/>
      <c r="F263" s="99"/>
      <c r="G263" s="99"/>
    </row>
    <row r="264" spans="5:7">
      <c r="E264" s="17"/>
      <c r="F264" s="99"/>
      <c r="G264" s="99"/>
    </row>
    <row r="265" spans="5:7">
      <c r="E265" s="17"/>
      <c r="F265" s="99"/>
      <c r="G265" s="99"/>
    </row>
    <row r="266" spans="5:7">
      <c r="E266" s="17"/>
      <c r="F266" s="99"/>
      <c r="G266" s="99"/>
    </row>
    <row r="267" spans="5:7">
      <c r="E267" s="17"/>
      <c r="F267" s="99"/>
      <c r="G267" s="99"/>
    </row>
    <row r="268" spans="5:7">
      <c r="E268" s="17"/>
      <c r="F268" s="99"/>
      <c r="G268" s="99"/>
    </row>
    <row r="269" spans="5:7">
      <c r="E269" s="17"/>
      <c r="F269" s="99"/>
      <c r="G269" s="99"/>
    </row>
    <row r="270" spans="5:7">
      <c r="E270" s="17"/>
      <c r="F270" s="99"/>
      <c r="G270" s="99"/>
    </row>
    <row r="271" spans="5:7">
      <c r="E271" s="17"/>
      <c r="F271" s="99"/>
      <c r="G271" s="99"/>
    </row>
    <row r="272" spans="5:7">
      <c r="E272" s="17"/>
      <c r="F272" s="99"/>
      <c r="G272" s="99"/>
    </row>
    <row r="273" spans="5:7">
      <c r="E273" s="17"/>
      <c r="F273" s="99"/>
      <c r="G273" s="99"/>
    </row>
    <row r="274" spans="5:7">
      <c r="E274" s="17"/>
      <c r="F274" s="99"/>
      <c r="G274" s="99"/>
    </row>
    <row r="275" spans="5:7">
      <c r="E275" s="17"/>
      <c r="F275" s="99"/>
      <c r="G275" s="99"/>
    </row>
    <row r="276" spans="5:7">
      <c r="E276" s="17"/>
      <c r="F276" s="99"/>
      <c r="G276" s="99"/>
    </row>
    <row r="277" spans="5:7">
      <c r="E277" s="17"/>
      <c r="F277" s="99"/>
      <c r="G277" s="99"/>
    </row>
    <row r="278" spans="5:7">
      <c r="E278" s="17"/>
      <c r="F278" s="99"/>
      <c r="G278" s="99"/>
    </row>
    <row r="279" spans="5:7">
      <c r="E279" s="17"/>
      <c r="F279" s="99"/>
      <c r="G279" s="99"/>
    </row>
    <row r="280" spans="5:7">
      <c r="E280" s="17"/>
      <c r="F280" s="99"/>
      <c r="G280" s="99"/>
    </row>
    <row r="281" spans="5:7">
      <c r="E281" s="17"/>
      <c r="F281" s="99"/>
      <c r="G281" s="99"/>
    </row>
    <row r="282" spans="5:7">
      <c r="E282" s="17"/>
      <c r="F282" s="99"/>
      <c r="G282" s="99"/>
    </row>
    <row r="283" spans="5:7">
      <c r="E283" s="17"/>
      <c r="F283" s="99"/>
      <c r="G283" s="99"/>
    </row>
    <row r="284" spans="5:7">
      <c r="E284" s="17"/>
      <c r="F284" s="99"/>
      <c r="G284" s="99"/>
    </row>
    <row r="285" spans="5:7">
      <c r="E285" s="17"/>
      <c r="F285" s="99"/>
      <c r="G285" s="99"/>
    </row>
    <row r="286" spans="5:7">
      <c r="E286" s="17"/>
      <c r="F286" s="99"/>
      <c r="G286" s="99"/>
    </row>
    <row r="287" spans="5:7">
      <c r="E287" s="17"/>
      <c r="F287" s="99"/>
      <c r="G287" s="99"/>
    </row>
    <row r="288" spans="5:7">
      <c r="E288" s="17"/>
      <c r="F288" s="99"/>
      <c r="G288" s="99"/>
    </row>
    <row r="289" spans="5:7">
      <c r="E289" s="17"/>
      <c r="F289" s="99"/>
      <c r="G289" s="99"/>
    </row>
    <row r="290" spans="5:7">
      <c r="E290" s="17"/>
      <c r="F290" s="99"/>
      <c r="G290" s="99"/>
    </row>
    <row r="291" spans="5:7">
      <c r="E291" s="17"/>
      <c r="F291" s="99"/>
      <c r="G291" s="99"/>
    </row>
    <row r="292" spans="5:7">
      <c r="E292" s="17"/>
      <c r="F292" s="99"/>
      <c r="G292" s="99"/>
    </row>
    <row r="293" spans="5:7">
      <c r="E293" s="17"/>
      <c r="F293" s="99"/>
      <c r="G293" s="99"/>
    </row>
    <row r="294" spans="5:7">
      <c r="E294" s="17"/>
      <c r="F294" s="99"/>
      <c r="G294" s="99"/>
    </row>
    <row r="295" spans="5:7">
      <c r="E295" s="17"/>
      <c r="F295" s="99"/>
      <c r="G295" s="99"/>
    </row>
    <row r="296" spans="5:7">
      <c r="E296" s="17"/>
      <c r="F296" s="99"/>
      <c r="G296" s="99"/>
    </row>
    <row r="297" spans="5:7">
      <c r="E297" s="17"/>
      <c r="F297" s="99"/>
      <c r="G297" s="99"/>
    </row>
    <row r="298" spans="5:7">
      <c r="E298" s="17"/>
      <c r="F298" s="99"/>
      <c r="G298" s="99"/>
    </row>
    <row r="299" spans="5:7">
      <c r="E299" s="17"/>
      <c r="F299" s="99"/>
      <c r="G299" s="99"/>
    </row>
    <row r="300" spans="5:7">
      <c r="E300" s="17"/>
      <c r="F300" s="99"/>
      <c r="G300" s="99"/>
    </row>
    <row r="301" spans="5:7">
      <c r="E301" s="17"/>
      <c r="F301" s="99"/>
      <c r="G301" s="99"/>
    </row>
    <row r="302" spans="5:7">
      <c r="E302" s="17"/>
      <c r="F302" s="99"/>
      <c r="G302" s="99"/>
    </row>
    <row r="303" spans="5:7">
      <c r="E303" s="17"/>
      <c r="F303" s="99"/>
      <c r="G303" s="99"/>
    </row>
    <row r="304" spans="5:7">
      <c r="E304" s="17"/>
      <c r="F304" s="99"/>
      <c r="G304" s="99"/>
    </row>
    <row r="305" spans="5:7">
      <c r="E305" s="17"/>
      <c r="F305" s="99"/>
      <c r="G305" s="99"/>
    </row>
    <row r="306" spans="5:7">
      <c r="E306" s="17"/>
      <c r="F306" s="99"/>
      <c r="G306" s="99"/>
    </row>
    <row r="307" spans="5:7">
      <c r="E307" s="17"/>
      <c r="F307" s="99"/>
      <c r="G307" s="99"/>
    </row>
    <row r="308" spans="5:7">
      <c r="E308" s="17"/>
      <c r="F308" s="99"/>
      <c r="G308" s="99"/>
    </row>
    <row r="309" spans="5:7">
      <c r="E309" s="17"/>
      <c r="F309" s="99"/>
      <c r="G309" s="99"/>
    </row>
    <row r="310" spans="5:7">
      <c r="E310" s="17"/>
      <c r="F310" s="99"/>
      <c r="G310" s="99"/>
    </row>
    <row r="311" spans="5:7">
      <c r="E311" s="17"/>
      <c r="F311" s="99"/>
      <c r="G311" s="99"/>
    </row>
    <row r="312" spans="5:7">
      <c r="E312" s="17"/>
      <c r="F312" s="99"/>
      <c r="G312" s="99"/>
    </row>
    <row r="313" spans="5:7">
      <c r="E313" s="17"/>
      <c r="F313" s="99"/>
      <c r="G313" s="99"/>
    </row>
    <row r="314" spans="5:7">
      <c r="E314" s="17"/>
      <c r="F314" s="99"/>
      <c r="G314" s="99"/>
    </row>
    <row r="315" spans="5:7">
      <c r="E315" s="17"/>
      <c r="F315" s="99"/>
      <c r="G315" s="99"/>
    </row>
    <row r="316" spans="5:7">
      <c r="E316" s="17"/>
      <c r="F316" s="99"/>
      <c r="G316" s="99"/>
    </row>
    <row r="317" spans="5:7">
      <c r="E317" s="17"/>
      <c r="F317" s="99"/>
      <c r="G317" s="99"/>
    </row>
    <row r="318" spans="5:7">
      <c r="E318" s="17"/>
      <c r="F318" s="99"/>
      <c r="G318" s="99"/>
    </row>
    <row r="319" spans="5:7">
      <c r="E319" s="17"/>
      <c r="F319" s="99"/>
      <c r="G319" s="99"/>
    </row>
    <row r="320" spans="5:7">
      <c r="E320" s="17"/>
      <c r="F320" s="99"/>
      <c r="G320" s="99"/>
    </row>
    <row r="321" spans="5:7">
      <c r="E321" s="17"/>
      <c r="F321" s="99"/>
      <c r="G321" s="99"/>
    </row>
    <row r="322" spans="5:7">
      <c r="E322" s="17"/>
      <c r="F322" s="99"/>
      <c r="G322" s="99"/>
    </row>
    <row r="323" spans="5:7">
      <c r="E323" s="17"/>
      <c r="F323" s="99"/>
      <c r="G323" s="99"/>
    </row>
    <row r="324" spans="5:7">
      <c r="E324" s="17"/>
      <c r="F324" s="99"/>
      <c r="G324" s="99"/>
    </row>
    <row r="325" spans="5:7">
      <c r="E325" s="17"/>
      <c r="F325" s="99"/>
      <c r="G325" s="99"/>
    </row>
    <row r="326" spans="5:7">
      <c r="E326" s="17"/>
      <c r="F326" s="99"/>
      <c r="G326" s="99"/>
    </row>
    <row r="327" spans="5:7">
      <c r="E327" s="17"/>
      <c r="F327" s="99"/>
      <c r="G327" s="99"/>
    </row>
    <row r="328" spans="5:7">
      <c r="E328" s="17"/>
      <c r="F328" s="99"/>
      <c r="G328" s="99"/>
    </row>
    <row r="329" spans="5:7">
      <c r="E329" s="17"/>
      <c r="F329" s="99"/>
      <c r="G329" s="99"/>
    </row>
    <row r="330" spans="5:7">
      <c r="E330" s="17"/>
      <c r="F330" s="99"/>
      <c r="G330" s="99"/>
    </row>
    <row r="331" spans="5:7">
      <c r="E331" s="17"/>
      <c r="F331" s="99"/>
      <c r="G331" s="99"/>
    </row>
    <row r="332" spans="5:7">
      <c r="E332" s="17"/>
      <c r="F332" s="99"/>
      <c r="G332" s="99"/>
    </row>
    <row r="333" spans="5:7">
      <c r="E333" s="17"/>
      <c r="F333" s="99"/>
      <c r="G333" s="99"/>
    </row>
    <row r="334" spans="5:7">
      <c r="E334" s="17"/>
      <c r="F334" s="99"/>
      <c r="G334" s="99"/>
    </row>
    <row r="335" spans="5:7">
      <c r="E335" s="17"/>
      <c r="F335" s="99"/>
      <c r="G335" s="99"/>
    </row>
    <row r="336" spans="5:7">
      <c r="E336" s="17"/>
      <c r="F336" s="99"/>
      <c r="G336" s="99"/>
    </row>
    <row r="337" spans="5:7">
      <c r="E337" s="17"/>
      <c r="F337" s="99"/>
      <c r="G337" s="99"/>
    </row>
    <row r="338" spans="5:7">
      <c r="E338" s="17"/>
      <c r="F338" s="99"/>
      <c r="G338" s="99"/>
    </row>
    <row r="339" spans="5:7">
      <c r="E339" s="17"/>
      <c r="F339" s="99"/>
      <c r="G339" s="99"/>
    </row>
    <row r="340" spans="5:7">
      <c r="E340" s="17"/>
      <c r="F340" s="99"/>
      <c r="G340" s="99"/>
    </row>
    <row r="341" spans="5:7">
      <c r="E341" s="17"/>
      <c r="F341" s="99"/>
      <c r="G341" s="99"/>
    </row>
    <row r="342" spans="5:7">
      <c r="E342" s="17"/>
      <c r="F342" s="99"/>
      <c r="G342" s="99"/>
    </row>
    <row r="343" spans="5:7">
      <c r="E343" s="17"/>
      <c r="F343" s="99"/>
      <c r="G343" s="99"/>
    </row>
    <row r="344" spans="5:7">
      <c r="E344" s="17"/>
      <c r="F344" s="99"/>
      <c r="G344" s="99"/>
    </row>
    <row r="345" spans="5:7">
      <c r="E345" s="17"/>
      <c r="F345" s="99"/>
      <c r="G345" s="99"/>
    </row>
    <row r="346" spans="5:7">
      <c r="E346" s="17"/>
      <c r="F346" s="99"/>
      <c r="G346" s="99"/>
    </row>
    <row r="347" spans="5:7">
      <c r="E347" s="17"/>
      <c r="F347" s="99"/>
      <c r="G347" s="99"/>
    </row>
    <row r="348" spans="5:7">
      <c r="E348" s="17"/>
      <c r="F348" s="99"/>
      <c r="G348" s="99"/>
    </row>
    <row r="349" spans="5:7">
      <c r="E349" s="17"/>
      <c r="F349" s="99"/>
      <c r="G349" s="99"/>
    </row>
    <row r="350" spans="5:7">
      <c r="E350" s="17"/>
      <c r="F350" s="99"/>
      <c r="G350" s="99"/>
    </row>
    <row r="351" spans="5:7">
      <c r="E351" s="17"/>
      <c r="F351" s="99"/>
      <c r="G351" s="99"/>
    </row>
    <row r="352" spans="5:7">
      <c r="E352" s="17"/>
      <c r="F352" s="99"/>
      <c r="G352" s="99"/>
    </row>
    <row r="353" spans="5:7">
      <c r="E353" s="17"/>
      <c r="F353" s="99"/>
      <c r="G353" s="99"/>
    </row>
    <row r="354" spans="5:7">
      <c r="E354" s="17"/>
      <c r="F354" s="99"/>
      <c r="G354" s="99"/>
    </row>
    <row r="355" spans="5:7">
      <c r="E355" s="17"/>
      <c r="F355" s="99"/>
      <c r="G355" s="99"/>
    </row>
    <row r="356" spans="5:7">
      <c r="E356" s="17"/>
      <c r="F356" s="99"/>
      <c r="G356" s="99"/>
    </row>
    <row r="357" spans="5:7">
      <c r="E357" s="17"/>
      <c r="F357" s="99"/>
      <c r="G357" s="99"/>
    </row>
    <row r="358" spans="5:7">
      <c r="E358" s="17"/>
      <c r="F358" s="99"/>
      <c r="G358" s="99"/>
    </row>
    <row r="359" spans="5:7">
      <c r="E359" s="17"/>
      <c r="F359" s="99"/>
      <c r="G359" s="99"/>
    </row>
    <row r="360" spans="5:7">
      <c r="E360" s="17"/>
      <c r="F360" s="99"/>
      <c r="G360" s="99"/>
    </row>
    <row r="361" spans="5:7">
      <c r="E361" s="17"/>
      <c r="F361" s="99"/>
      <c r="G361" s="99"/>
    </row>
    <row r="362" spans="5:7">
      <c r="E362" s="17"/>
      <c r="F362" s="99"/>
      <c r="G362" s="99"/>
    </row>
  </sheetData>
  <mergeCells count="6">
    <mergeCell ref="C5:E5"/>
    <mergeCell ref="C6:E6"/>
    <mergeCell ref="S7:U7"/>
    <mergeCell ref="S8:U8"/>
    <mergeCell ref="S34:U34"/>
    <mergeCell ref="T33:U33"/>
  </mergeCells>
  <dataValidations count="1">
    <dataValidation type="list" allowBlank="1" showInputMessage="1" showErrorMessage="1" promptTitle="Select a Period:" prompt="Select Financial or Calendar years." sqref="T33:U33">
      <formula1>C1:C2</formula1>
    </dataValidation>
  </dataValidation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tint="0.39997558519241921"/>
  </sheetPr>
  <dimension ref="A1:Y72"/>
  <sheetViews>
    <sheetView showGridLines="0" zoomScaleNormal="100" workbookViewId="0">
      <selection activeCell="I34" sqref="I34:J34"/>
    </sheetView>
  </sheetViews>
  <sheetFormatPr defaultRowHeight="15"/>
  <cols>
    <col min="1" max="1" width="9.140625" style="20"/>
    <col min="2" max="5" width="26.140625" style="20" bestFit="1" customWidth="1"/>
    <col min="6" max="6" width="10.7109375" style="20" customWidth="1"/>
    <col min="7" max="8" width="10.7109375" style="333" hidden="1" customWidth="1"/>
    <col min="9" max="9" width="13.85546875" style="20" customWidth="1"/>
    <col min="10" max="10" width="18.5703125" style="20" customWidth="1"/>
    <col min="11" max="11" width="10.7109375" style="333" hidden="1" customWidth="1"/>
    <col min="12" max="12" width="10.7109375" style="20" customWidth="1"/>
    <col min="13" max="16384" width="9.140625" style="20"/>
  </cols>
  <sheetData>
    <row r="1" spans="1:25">
      <c r="Y1" s="342" t="s">
        <v>463</v>
      </c>
    </row>
    <row r="2" spans="1:25">
      <c r="Y2" s="342" t="s">
        <v>464</v>
      </c>
    </row>
    <row r="4" spans="1:25" s="535" customFormat="1"/>
    <row r="5" spans="1:25">
      <c r="I5" s="343"/>
    </row>
    <row r="6" spans="1:25">
      <c r="A6" s="1981" t="s">
        <v>689</v>
      </c>
      <c r="B6" s="1981"/>
      <c r="C6" s="1981"/>
      <c r="D6" s="1981"/>
      <c r="E6" s="1981"/>
      <c r="F6" s="10"/>
      <c r="I6" s="1981" t="s">
        <v>659</v>
      </c>
      <c r="J6" s="1981"/>
    </row>
    <row r="7" spans="1:25" ht="15.75" thickBot="1">
      <c r="A7" s="1993" t="s">
        <v>703</v>
      </c>
      <c r="B7" s="1993"/>
      <c r="C7" s="1993"/>
      <c r="D7" s="1993"/>
      <c r="E7" s="1993"/>
      <c r="F7" s="10"/>
      <c r="G7" s="128"/>
      <c r="H7" s="128"/>
      <c r="I7" s="1988" t="str">
        <f>I34</f>
        <v>Historic Financial Year</v>
      </c>
      <c r="J7" s="1988"/>
    </row>
    <row r="8" spans="1:25">
      <c r="A8" s="1435"/>
      <c r="B8" s="490" t="s">
        <v>73</v>
      </c>
      <c r="C8" s="1019" t="s">
        <v>73</v>
      </c>
      <c r="D8" s="1020" t="s">
        <v>74</v>
      </c>
      <c r="E8" s="1019" t="s">
        <v>74</v>
      </c>
      <c r="F8" s="10"/>
      <c r="G8" s="128"/>
      <c r="H8" s="128"/>
      <c r="I8" s="1437" t="s">
        <v>41</v>
      </c>
      <c r="J8" s="1438" t="s">
        <v>674</v>
      </c>
    </row>
    <row r="9" spans="1:25">
      <c r="A9" s="1436" t="s">
        <v>676</v>
      </c>
      <c r="B9" s="1439" t="s">
        <v>682</v>
      </c>
      <c r="C9" s="1440" t="s">
        <v>683</v>
      </c>
      <c r="D9" s="1441" t="s">
        <v>682</v>
      </c>
      <c r="E9" s="1440" t="s">
        <v>683</v>
      </c>
      <c r="F9" s="10"/>
      <c r="G9" s="128">
        <v>1999</v>
      </c>
      <c r="H9" s="128">
        <v>2000</v>
      </c>
      <c r="I9" s="1334" t="str">
        <f>IF($I$7="Historic Calendar Year",1999,CONCATENATE(G9,"-",RIGHT(H9,2)))</f>
        <v>1999-00</v>
      </c>
      <c r="J9" s="705">
        <f t="array" ref="J9">IFERROR(IF(I7="Historic Calendar Year",SUMIF('Iron Ore - Q&amp;V'!$B$8:$B$250,'Iron Ore - Prices'!I9,'Iron Ore - Q&amp;V'!$E$8:$E$250)/SUMIF('Iron Ore - Q&amp;V'!$B$8:$B$250,'Iron Ore - Prices'!I9,'Iron Ore - Q&amp;V'!$D$8:$D$250),K9),"NA")</f>
        <v>24.623277476035167</v>
      </c>
      <c r="K9" s="333">
        <f>(SUMIFS('Iron Ore - Q&amp;V'!$E$8:$E$250,'Iron Ore - Q&amp;V'!$B$8:$B$250,'Iron Ore - Prices'!G9,'Iron Ore - Q&amp;V'!$A$8:$A$250,3)+
SUMIFS('Iron Ore - Q&amp;V'!$E$8:$E$250,'Iron Ore - Q&amp;V'!$B$8:$B$250,'Iron Ore - Prices'!G9,'Iron Ore - Q&amp;V'!$A$8:$A$250,4)+
SUMIFS('Iron Ore - Q&amp;V'!$E$8:$E$250,'Iron Ore - Q&amp;V'!$B$8:$B$250,'Iron Ore - Prices'!H9,'Iron Ore - Q&amp;V'!$A$8:$A$250,1)+
SUMIFS('Iron Ore - Q&amp;V'!$E$8:$E$250,'Iron Ore - Q&amp;V'!$B$8:$B$250,'Iron Ore - Prices'!H9,'Iron Ore - Q&amp;V'!$A$8:$A$250,2))
/(SUMIFS('Iron Ore - Q&amp;V'!$D$8:$D$250,'Iron Ore - Q&amp;V'!$B$8:$B$250,'Iron Ore - Prices'!G9,'Iron Ore - Q&amp;V'!$A$8:$A$250,3)+
SUMIFS('Iron Ore - Q&amp;V'!$D$8:$D$250,'Iron Ore - Q&amp;V'!$B$8:$B$250,'Iron Ore - Prices'!G9,'Iron Ore - Q&amp;V'!$A$8:$A$250,4)+
SUMIFS('Iron Ore - Q&amp;V'!$D$8:$D$250,'Iron Ore - Q&amp;V'!$B$8:$B$250,'Iron Ore - Prices'!H9,'Iron Ore - Q&amp;V'!$A$8:$A$250,1)+
SUMIFS('Iron Ore - Q&amp;V'!$D$8:$D$250,'Iron Ore - Q&amp;V'!$B$8:$B$250,'Iron Ore - Prices'!H9,'Iron Ore - Q&amp;V'!$A$8:$A$250,2))</f>
        <v>24.623277476035167</v>
      </c>
    </row>
    <row r="10" spans="1:25">
      <c r="A10" s="1336">
        <f>LARGE('Commodity Prices'!C$159:C$902,60)</f>
        <v>42552</v>
      </c>
      <c r="B10" s="706">
        <f>SUMIF('Commodity Prices'!$C$159:$C$902,$A10,'Commodity Prices'!G$159:G$902)</f>
        <v>56.83</v>
      </c>
      <c r="C10" s="705">
        <f>SUMIF('Commodity Prices'!$C$159:$C$902,$A10,'Commodity Prices'!H$159:H$902)</f>
        <v>75.47</v>
      </c>
      <c r="D10" s="706">
        <f>SUMIF('Commodity Prices'!$C$159:$C$902,$A10,'Commodity Prices'!I$159:I$902)</f>
        <v>47.176190476190477</v>
      </c>
      <c r="E10" s="705">
        <f>SUMIF('Commodity Prices'!$C$159:$C$902,$A10,'Commodity Prices'!J$159:J$902)</f>
        <v>62.71</v>
      </c>
      <c r="F10" s="10"/>
      <c r="G10" s="128">
        <f>G9+1</f>
        <v>2000</v>
      </c>
      <c r="H10" s="128">
        <f>H9+1</f>
        <v>2001</v>
      </c>
      <c r="I10" s="1333" t="str">
        <f t="shared" ref="I10:I30" si="0">IF($I$7="Historic Calendar Year",I9+1,CONCATENATE(G10,"-",RIGHT(H10,2)))</f>
        <v>2000-01</v>
      </c>
      <c r="J10" s="874">
        <f t="array" ref="J10">IFERROR(IF($I$7="Historic Calendar Year",SUMIF('Iron Ore - Q&amp;V'!$B$8:$B$250,'Iron Ore - Prices'!I10,'Iron Ore - Q&amp;V'!$E$8:$E$250)/SUMIF('Iron Ore - Q&amp;V'!$B$8:$B$250,'Iron Ore - Prices'!I10,'Iron Ore - Q&amp;V'!$D$8:$D$250),K10),"NA")</f>
        <v>30.368424306113621</v>
      </c>
      <c r="K10" s="333">
        <f>(SUMIFS('Iron Ore - Q&amp;V'!$E$8:$E$250,'Iron Ore - Q&amp;V'!$B$8:$B$250,'Iron Ore - Prices'!G10,'Iron Ore - Q&amp;V'!$A$8:$A$250,3)+
SUMIFS('Iron Ore - Q&amp;V'!$E$8:$E$250,'Iron Ore - Q&amp;V'!$B$8:$B$250,'Iron Ore - Prices'!G10,'Iron Ore - Q&amp;V'!$A$8:$A$250,4)+
SUMIFS('Iron Ore - Q&amp;V'!$E$8:$E$250,'Iron Ore - Q&amp;V'!$B$8:$B$250,'Iron Ore - Prices'!H10,'Iron Ore - Q&amp;V'!$A$8:$A$250,1)+
SUMIFS('Iron Ore - Q&amp;V'!$E$8:$E$250,'Iron Ore - Q&amp;V'!$B$8:$B$250,'Iron Ore - Prices'!H10,'Iron Ore - Q&amp;V'!$A$8:$A$250,2))
/(SUMIFS('Iron Ore - Q&amp;V'!$D$8:$D$250,'Iron Ore - Q&amp;V'!$B$8:$B$250,'Iron Ore - Prices'!G10,'Iron Ore - Q&amp;V'!$A$8:$A$250,3)+
SUMIFS('Iron Ore - Q&amp;V'!$D$8:$D$250,'Iron Ore - Q&amp;V'!$B$8:$B$250,'Iron Ore - Prices'!G10,'Iron Ore - Q&amp;V'!$A$8:$A$250,4)+
SUMIFS('Iron Ore - Q&amp;V'!$D$8:$D$250,'Iron Ore - Q&amp;V'!$B$8:$B$250,'Iron Ore - Prices'!H10,'Iron Ore - Q&amp;V'!$A$8:$A$250,1)+
SUMIFS('Iron Ore - Q&amp;V'!$D$8:$D$250,'Iron Ore - Q&amp;V'!$B$8:$B$250,'Iron Ore - Prices'!H10,'Iron Ore - Q&amp;V'!$A$8:$A$250,2))</f>
        <v>30.368424306113621</v>
      </c>
    </row>
    <row r="11" spans="1:25">
      <c r="A11" s="1335">
        <f>LARGE('Commodity Prices'!C$159:C$902,59)</f>
        <v>42583</v>
      </c>
      <c r="B11" s="873">
        <f>SUMIF('Commodity Prices'!$C$159:$C$902,$A11,'Commodity Prices'!G$159:G$902)</f>
        <v>60.63</v>
      </c>
      <c r="C11" s="874">
        <f>SUMIF('Commodity Prices'!$C$159:$C$902,$A11,'Commodity Prices'!H$159:H$902)</f>
        <v>79.540000000000006</v>
      </c>
      <c r="D11" s="873">
        <f>SUMIF('Commodity Prices'!$C$159:$C$902,$A11,'Commodity Prices'!I$159:I$902)</f>
        <v>50.5</v>
      </c>
      <c r="E11" s="874">
        <f>SUMIF('Commodity Prices'!$C$159:$C$902,$A11,'Commodity Prices'!J$159:J$902)</f>
        <v>66.209999999999994</v>
      </c>
      <c r="F11" s="10"/>
      <c r="G11" s="128">
        <f t="shared" ref="G11:H30" si="1">G10+1</f>
        <v>2001</v>
      </c>
      <c r="H11" s="128">
        <f t="shared" si="1"/>
        <v>2002</v>
      </c>
      <c r="I11" s="1334" t="str">
        <f t="shared" si="0"/>
        <v>2001-02</v>
      </c>
      <c r="J11" s="705">
        <f t="array" ref="J11">IFERROR(IF($I$7="Historic Calendar Year",SUMIF('Iron Ore - Q&amp;V'!$B$8:$B$250,'Iron Ore - Prices'!I11,'Iron Ore - Q&amp;V'!$E$8:$E$250)/SUMIF('Iron Ore - Q&amp;V'!$B$8:$B$250,'Iron Ore - Prices'!I11,'Iron Ore - Q&amp;V'!$D$8:$D$250),K11),"NA")</f>
        <v>31.631497746516512</v>
      </c>
      <c r="K11" s="333">
        <f>(SUMIFS('Iron Ore - Q&amp;V'!$E$8:$E$250,'Iron Ore - Q&amp;V'!$B$8:$B$250,'Iron Ore - Prices'!G11,'Iron Ore - Q&amp;V'!$A$8:$A$250,3)+
SUMIFS('Iron Ore - Q&amp;V'!$E$8:$E$250,'Iron Ore - Q&amp;V'!$B$8:$B$250,'Iron Ore - Prices'!G11,'Iron Ore - Q&amp;V'!$A$8:$A$250,4)+
SUMIFS('Iron Ore - Q&amp;V'!$E$8:$E$250,'Iron Ore - Q&amp;V'!$B$8:$B$250,'Iron Ore - Prices'!H11,'Iron Ore - Q&amp;V'!$A$8:$A$250,1)+
SUMIFS('Iron Ore - Q&amp;V'!$E$8:$E$250,'Iron Ore - Q&amp;V'!$B$8:$B$250,'Iron Ore - Prices'!H11,'Iron Ore - Q&amp;V'!$A$8:$A$250,2))
/(SUMIFS('Iron Ore - Q&amp;V'!$D$8:$D$250,'Iron Ore - Q&amp;V'!$B$8:$B$250,'Iron Ore - Prices'!G11,'Iron Ore - Q&amp;V'!$A$8:$A$250,3)+
SUMIFS('Iron Ore - Q&amp;V'!$D$8:$D$250,'Iron Ore - Q&amp;V'!$B$8:$B$250,'Iron Ore - Prices'!G11,'Iron Ore - Q&amp;V'!$A$8:$A$250,4)+
SUMIFS('Iron Ore - Q&amp;V'!$D$8:$D$250,'Iron Ore - Q&amp;V'!$B$8:$B$250,'Iron Ore - Prices'!H11,'Iron Ore - Q&amp;V'!$A$8:$A$250,1)+
SUMIFS('Iron Ore - Q&amp;V'!$D$8:$D$250,'Iron Ore - Q&amp;V'!$B$8:$B$250,'Iron Ore - Prices'!H11,'Iron Ore - Q&amp;V'!$A$8:$A$250,2))</f>
        <v>31.631497746516512</v>
      </c>
    </row>
    <row r="12" spans="1:25">
      <c r="A12" s="1336">
        <f>LARGE('Commodity Prices'!C$159:C$902,58)</f>
        <v>42614</v>
      </c>
      <c r="B12" s="706">
        <f>SUMIF('Commodity Prices'!$C$159:$C$902,$A12,'Commodity Prices'!G$159:G$902)</f>
        <v>57.11</v>
      </c>
      <c r="C12" s="705">
        <f>SUMIF('Commodity Prices'!$C$159:$C$902,$A12,'Commodity Prices'!H$159:H$902)</f>
        <v>75.22</v>
      </c>
      <c r="D12" s="706">
        <f>SUMIF('Commodity Prices'!$C$159:$C$902,$A12,'Commodity Prices'!I$159:I$902)</f>
        <v>47.861363636363627</v>
      </c>
      <c r="E12" s="705">
        <f>SUMIF('Commodity Prices'!$C$159:$C$902,$A12,'Commodity Prices'!J$159:J$902)</f>
        <v>62.97</v>
      </c>
      <c r="F12" s="10"/>
      <c r="G12" s="128">
        <f t="shared" si="1"/>
        <v>2002</v>
      </c>
      <c r="H12" s="128">
        <f t="shared" si="1"/>
        <v>2003</v>
      </c>
      <c r="I12" s="1333" t="str">
        <f t="shared" si="0"/>
        <v>2002-03</v>
      </c>
      <c r="J12" s="874">
        <f t="array" ref="J12">IFERROR(IF($I$7="Historic Calendar Year",SUMIF('Iron Ore - Q&amp;V'!$B$8:$B$250,'Iron Ore - Prices'!I12,'Iron Ore - Q&amp;V'!$E$8:$E$250)/SUMIF('Iron Ore - Q&amp;V'!$B$8:$B$250,'Iron Ore - Prices'!I12,'Iron Ore - Q&amp;V'!$D$8:$D$250),K12),"NA")</f>
        <v>27.60095150610886</v>
      </c>
      <c r="K12" s="333">
        <f>(SUMIFS('Iron Ore - Q&amp;V'!$E$8:$E$250,'Iron Ore - Q&amp;V'!$B$8:$B$250,'Iron Ore - Prices'!G12,'Iron Ore - Q&amp;V'!$A$8:$A$250,3)+
SUMIFS('Iron Ore - Q&amp;V'!$E$8:$E$250,'Iron Ore - Q&amp;V'!$B$8:$B$250,'Iron Ore - Prices'!G12,'Iron Ore - Q&amp;V'!$A$8:$A$250,4)+
SUMIFS('Iron Ore - Q&amp;V'!$E$8:$E$250,'Iron Ore - Q&amp;V'!$B$8:$B$250,'Iron Ore - Prices'!H12,'Iron Ore - Q&amp;V'!$A$8:$A$250,1)+
SUMIFS('Iron Ore - Q&amp;V'!$E$8:$E$250,'Iron Ore - Q&amp;V'!$B$8:$B$250,'Iron Ore - Prices'!H12,'Iron Ore - Q&amp;V'!$A$8:$A$250,2))
/(SUMIFS('Iron Ore - Q&amp;V'!$D$8:$D$250,'Iron Ore - Q&amp;V'!$B$8:$B$250,'Iron Ore - Prices'!G12,'Iron Ore - Q&amp;V'!$A$8:$A$250,3)+
SUMIFS('Iron Ore - Q&amp;V'!$D$8:$D$250,'Iron Ore - Q&amp;V'!$B$8:$B$250,'Iron Ore - Prices'!G12,'Iron Ore - Q&amp;V'!$A$8:$A$250,4)+
SUMIFS('Iron Ore - Q&amp;V'!$D$8:$D$250,'Iron Ore - Q&amp;V'!$B$8:$B$250,'Iron Ore - Prices'!H12,'Iron Ore - Q&amp;V'!$A$8:$A$250,1)+
SUMIFS('Iron Ore - Q&amp;V'!$D$8:$D$250,'Iron Ore - Q&amp;V'!$B$8:$B$250,'Iron Ore - Prices'!H12,'Iron Ore - Q&amp;V'!$A$8:$A$250,2))</f>
        <v>27.60095150610886</v>
      </c>
    </row>
    <row r="13" spans="1:25">
      <c r="A13" s="1335">
        <f>LARGE('Commodity Prices'!C$159:C$902,57)</f>
        <v>42644</v>
      </c>
      <c r="B13" s="873">
        <f>SUMIF('Commodity Prices'!$C$159:$C$902,$A13,'Commodity Prices'!G$159:G$902)</f>
        <v>58.54</v>
      </c>
      <c r="C13" s="874">
        <f>SUMIF('Commodity Prices'!$C$159:$C$902,$A13,'Commodity Prices'!H$159:H$902)</f>
        <v>76.86</v>
      </c>
      <c r="D13" s="873">
        <f>SUMIF('Commodity Prices'!$C$159:$C$902,$A13,'Commodity Prices'!I$159:I$902)</f>
        <v>50.38095238095238</v>
      </c>
      <c r="E13" s="874">
        <f>SUMIF('Commodity Prices'!$C$159:$C$902,$A13,'Commodity Prices'!J$159:J$902)</f>
        <v>66.150000000000006</v>
      </c>
      <c r="F13" s="10"/>
      <c r="G13" s="128">
        <f t="shared" si="1"/>
        <v>2003</v>
      </c>
      <c r="H13" s="128">
        <f t="shared" si="1"/>
        <v>2004</v>
      </c>
      <c r="I13" s="1334" t="str">
        <f t="shared" si="0"/>
        <v>2003-04</v>
      </c>
      <c r="J13" s="705">
        <f t="array" ref="J13">IFERROR(IF($I$7="Historic Calendar Year",SUMIF('Iron Ore - Q&amp;V'!$B$8:$B$250,'Iron Ore - Prices'!I13,'Iron Ore - Q&amp;V'!$E$8:$E$250)/SUMIF('Iron Ore - Q&amp;V'!$B$8:$B$250,'Iron Ore - Prices'!I13,'Iron Ore - Q&amp;V'!$D$8:$D$250),K13),"NA")</f>
        <v>26.677358721463236</v>
      </c>
      <c r="K13" s="333">
        <f>(SUMIFS('Iron Ore - Q&amp;V'!$E$8:$E$250,'Iron Ore - Q&amp;V'!$B$8:$B$250,'Iron Ore - Prices'!G13,'Iron Ore - Q&amp;V'!$A$8:$A$250,3)+
SUMIFS('Iron Ore - Q&amp;V'!$E$8:$E$250,'Iron Ore - Q&amp;V'!$B$8:$B$250,'Iron Ore - Prices'!G13,'Iron Ore - Q&amp;V'!$A$8:$A$250,4)+
SUMIFS('Iron Ore - Q&amp;V'!$E$8:$E$250,'Iron Ore - Q&amp;V'!$B$8:$B$250,'Iron Ore - Prices'!H13,'Iron Ore - Q&amp;V'!$A$8:$A$250,1)+
SUMIFS('Iron Ore - Q&amp;V'!$E$8:$E$250,'Iron Ore - Q&amp;V'!$B$8:$B$250,'Iron Ore - Prices'!H13,'Iron Ore - Q&amp;V'!$A$8:$A$250,2))
/(SUMIFS('Iron Ore - Q&amp;V'!$D$8:$D$250,'Iron Ore - Q&amp;V'!$B$8:$B$250,'Iron Ore - Prices'!G13,'Iron Ore - Q&amp;V'!$A$8:$A$250,3)+
SUMIFS('Iron Ore - Q&amp;V'!$D$8:$D$250,'Iron Ore - Q&amp;V'!$B$8:$B$250,'Iron Ore - Prices'!G13,'Iron Ore - Q&amp;V'!$A$8:$A$250,4)+
SUMIFS('Iron Ore - Q&amp;V'!$D$8:$D$250,'Iron Ore - Q&amp;V'!$B$8:$B$250,'Iron Ore - Prices'!H13,'Iron Ore - Q&amp;V'!$A$8:$A$250,1)+
SUMIFS('Iron Ore - Q&amp;V'!$D$8:$D$250,'Iron Ore - Q&amp;V'!$B$8:$B$250,'Iron Ore - Prices'!H13,'Iron Ore - Q&amp;V'!$A$8:$A$250,2))</f>
        <v>26.677358721463236</v>
      </c>
    </row>
    <row r="14" spans="1:25">
      <c r="A14" s="1336">
        <f>LARGE('Commodity Prices'!C$159:C$902,56)</f>
        <v>42675</v>
      </c>
      <c r="B14" s="706">
        <f>SUMIF('Commodity Prices'!$C$159:$C$902,$A14,'Commodity Prices'!G$159:G$902)</f>
        <v>73.67</v>
      </c>
      <c r="C14" s="705">
        <f>SUMIF('Commodity Prices'!$C$159:$C$902,$A14,'Commodity Prices'!H$159:H$902)</f>
        <v>97.85</v>
      </c>
      <c r="D14" s="706">
        <f>SUMIF('Commodity Prices'!$C$159:$C$902,$A14,'Commodity Prices'!I$159:I$902)</f>
        <v>61.536363636363632</v>
      </c>
      <c r="E14" s="705">
        <f>SUMIF('Commodity Prices'!$C$159:$C$902,$A14,'Commodity Prices'!J$159:J$902)</f>
        <v>82.56</v>
      </c>
      <c r="F14" s="10"/>
      <c r="G14" s="128">
        <f t="shared" si="1"/>
        <v>2004</v>
      </c>
      <c r="H14" s="128">
        <f t="shared" si="1"/>
        <v>2005</v>
      </c>
      <c r="I14" s="1333" t="str">
        <f t="shared" si="0"/>
        <v>2004-05</v>
      </c>
      <c r="J14" s="874">
        <f t="array" ref="J14">IFERROR(IF($I$7="Historic Calendar Year",SUMIF('Iron Ore - Q&amp;V'!$B$8:$B$250,'Iron Ore - Prices'!I14,'Iron Ore - Q&amp;V'!$E$8:$E$250)/SUMIF('Iron Ore - Q&amp;V'!$B$8:$B$250,'Iron Ore - Prices'!I14,'Iron Ore - Q&amp;V'!$D$8:$D$250),K14),"NA")</f>
        <v>36.013266399372256</v>
      </c>
      <c r="K14" s="333">
        <f>(SUMIFS('Iron Ore - Q&amp;V'!$E$8:$E$250,'Iron Ore - Q&amp;V'!$B$8:$B$250,'Iron Ore - Prices'!G14,'Iron Ore - Q&amp;V'!$A$8:$A$250,3)+
SUMIFS('Iron Ore - Q&amp;V'!$E$8:$E$250,'Iron Ore - Q&amp;V'!$B$8:$B$250,'Iron Ore - Prices'!G14,'Iron Ore - Q&amp;V'!$A$8:$A$250,4)+
SUMIFS('Iron Ore - Q&amp;V'!$E$8:$E$250,'Iron Ore - Q&amp;V'!$B$8:$B$250,'Iron Ore - Prices'!H14,'Iron Ore - Q&amp;V'!$A$8:$A$250,1)+
SUMIFS('Iron Ore - Q&amp;V'!$E$8:$E$250,'Iron Ore - Q&amp;V'!$B$8:$B$250,'Iron Ore - Prices'!H14,'Iron Ore - Q&amp;V'!$A$8:$A$250,2))
/(SUMIFS('Iron Ore - Q&amp;V'!$D$8:$D$250,'Iron Ore - Q&amp;V'!$B$8:$B$250,'Iron Ore - Prices'!G14,'Iron Ore - Q&amp;V'!$A$8:$A$250,3)+
SUMIFS('Iron Ore - Q&amp;V'!$D$8:$D$250,'Iron Ore - Q&amp;V'!$B$8:$B$250,'Iron Ore - Prices'!G14,'Iron Ore - Q&amp;V'!$A$8:$A$250,4)+
SUMIFS('Iron Ore - Q&amp;V'!$D$8:$D$250,'Iron Ore - Q&amp;V'!$B$8:$B$250,'Iron Ore - Prices'!H14,'Iron Ore - Q&amp;V'!$A$8:$A$250,1)+
SUMIFS('Iron Ore - Q&amp;V'!$D$8:$D$250,'Iron Ore - Q&amp;V'!$B$8:$B$250,'Iron Ore - Prices'!H14,'Iron Ore - Q&amp;V'!$A$8:$A$250,2))</f>
        <v>36.013266399372256</v>
      </c>
    </row>
    <row r="15" spans="1:25">
      <c r="A15" s="1335">
        <f>LARGE('Commodity Prices'!C$159:C$902,55)</f>
        <v>42705</v>
      </c>
      <c r="B15" s="873">
        <f>SUMIF('Commodity Prices'!$C$159:$C$902,$A15,'Commodity Prices'!G$159:G$902)</f>
        <v>80</v>
      </c>
      <c r="C15" s="874">
        <f>SUMIF('Commodity Prices'!$C$159:$C$902,$A15,'Commodity Prices'!H$159:H$902)</f>
        <v>109</v>
      </c>
      <c r="D15" s="873">
        <f>SUMIF('Commodity Prices'!$C$159:$C$902,$A15,'Commodity Prices'!I$159:I$902)</f>
        <v>68.63333333333334</v>
      </c>
      <c r="E15" s="874">
        <f>SUMIF('Commodity Prices'!$C$159:$C$902,$A15,'Commodity Prices'!J$159:J$902)</f>
        <v>94</v>
      </c>
      <c r="F15" s="10"/>
      <c r="G15" s="128">
        <f t="shared" si="1"/>
        <v>2005</v>
      </c>
      <c r="H15" s="128">
        <f t="shared" si="1"/>
        <v>2006</v>
      </c>
      <c r="I15" s="1334" t="str">
        <f t="shared" si="0"/>
        <v>2005-06</v>
      </c>
      <c r="J15" s="705">
        <f t="array" ref="J15">IFERROR(IF($I$7="Historic Calendar Year",SUMIF('Iron Ore - Q&amp;V'!$B$8:$B$250,'Iron Ore - Prices'!I15,'Iron Ore - Q&amp;V'!$E$8:$E$250)/SUMIF('Iron Ore - Q&amp;V'!$B$8:$B$250,'Iron Ore - Prices'!I15,'Iron Ore - Q&amp;V'!$D$8:$D$250),K15),"NA")</f>
        <v>54.208393553196039</v>
      </c>
      <c r="K15" s="333">
        <f>(SUMIFS('Iron Ore - Q&amp;V'!$E$8:$E$250,'Iron Ore - Q&amp;V'!$B$8:$B$250,'Iron Ore - Prices'!G15,'Iron Ore - Q&amp;V'!$A$8:$A$250,3)+
SUMIFS('Iron Ore - Q&amp;V'!$E$8:$E$250,'Iron Ore - Q&amp;V'!$B$8:$B$250,'Iron Ore - Prices'!G15,'Iron Ore - Q&amp;V'!$A$8:$A$250,4)+
SUMIFS('Iron Ore - Q&amp;V'!$E$8:$E$250,'Iron Ore - Q&amp;V'!$B$8:$B$250,'Iron Ore - Prices'!H15,'Iron Ore - Q&amp;V'!$A$8:$A$250,1)+
SUMIFS('Iron Ore - Q&amp;V'!$E$8:$E$250,'Iron Ore - Q&amp;V'!$B$8:$B$250,'Iron Ore - Prices'!H15,'Iron Ore - Q&amp;V'!$A$8:$A$250,2))
/(SUMIFS('Iron Ore - Q&amp;V'!$D$8:$D$250,'Iron Ore - Q&amp;V'!$B$8:$B$250,'Iron Ore - Prices'!G15,'Iron Ore - Q&amp;V'!$A$8:$A$250,3)+
SUMIFS('Iron Ore - Q&amp;V'!$D$8:$D$250,'Iron Ore - Q&amp;V'!$B$8:$B$250,'Iron Ore - Prices'!G15,'Iron Ore - Q&amp;V'!$A$8:$A$250,4)+
SUMIFS('Iron Ore - Q&amp;V'!$D$8:$D$250,'Iron Ore - Q&amp;V'!$B$8:$B$250,'Iron Ore - Prices'!H15,'Iron Ore - Q&amp;V'!$A$8:$A$250,1)+
SUMIFS('Iron Ore - Q&amp;V'!$D$8:$D$250,'Iron Ore - Q&amp;V'!$B$8:$B$250,'Iron Ore - Prices'!H15,'Iron Ore - Q&amp;V'!$A$8:$A$250,2))</f>
        <v>54.208393553196039</v>
      </c>
    </row>
    <row r="16" spans="1:25">
      <c r="A16" s="1336">
        <f>LARGE('Commodity Prices'!C$159:C$902,54)</f>
        <v>42736</v>
      </c>
      <c r="B16" s="706">
        <f>SUMIF('Commodity Prices'!$C$159:$C$902,$A16,'Commodity Prices'!G$159:G$902)</f>
        <v>81</v>
      </c>
      <c r="C16" s="705">
        <f>SUMIF('Commodity Prices'!$C$159:$C$902,$A16,'Commodity Prices'!H$159:H$902)</f>
        <v>108</v>
      </c>
      <c r="D16" s="706">
        <f>SUMIF('Commodity Prices'!$C$159:$C$902,$A16,'Commodity Prices'!I$159:I$902)</f>
        <v>69.307142857142878</v>
      </c>
      <c r="E16" s="705">
        <f>SUMIF('Commodity Prices'!$C$159:$C$902,$A16,'Commodity Prices'!J$159:J$902)</f>
        <v>93</v>
      </c>
      <c r="F16" s="10"/>
      <c r="G16" s="128">
        <f t="shared" si="1"/>
        <v>2006</v>
      </c>
      <c r="H16" s="128">
        <f t="shared" si="1"/>
        <v>2007</v>
      </c>
      <c r="I16" s="1333" t="str">
        <f t="shared" si="0"/>
        <v>2006-07</v>
      </c>
      <c r="J16" s="874">
        <f t="array" ref="J16">IFERROR(IF($I$7="Historic Calendar Year",SUMIF('Iron Ore - Q&amp;V'!$B$8:$B$250,'Iron Ore - Prices'!I16,'Iron Ore - Q&amp;V'!$E$8:$E$250)/SUMIF('Iron Ore - Q&amp;V'!$B$8:$B$250,'Iron Ore - Prices'!I16,'Iron Ore - Q&amp;V'!$D$8:$D$250),K16),"NA")</f>
        <v>60.924243243153931</v>
      </c>
      <c r="K16" s="333">
        <f>(SUMIFS('Iron Ore - Q&amp;V'!$E$8:$E$250,'Iron Ore - Q&amp;V'!$B$8:$B$250,'Iron Ore - Prices'!G16,'Iron Ore - Q&amp;V'!$A$8:$A$250,3)+
SUMIFS('Iron Ore - Q&amp;V'!$E$8:$E$250,'Iron Ore - Q&amp;V'!$B$8:$B$250,'Iron Ore - Prices'!G16,'Iron Ore - Q&amp;V'!$A$8:$A$250,4)+
SUMIFS('Iron Ore - Q&amp;V'!$E$8:$E$250,'Iron Ore - Q&amp;V'!$B$8:$B$250,'Iron Ore - Prices'!H16,'Iron Ore - Q&amp;V'!$A$8:$A$250,1)+
SUMIFS('Iron Ore - Q&amp;V'!$E$8:$E$250,'Iron Ore - Q&amp;V'!$B$8:$B$250,'Iron Ore - Prices'!H16,'Iron Ore - Q&amp;V'!$A$8:$A$250,2))
/(SUMIFS('Iron Ore - Q&amp;V'!$D$8:$D$250,'Iron Ore - Q&amp;V'!$B$8:$B$250,'Iron Ore - Prices'!G16,'Iron Ore - Q&amp;V'!$A$8:$A$250,3)+
SUMIFS('Iron Ore - Q&amp;V'!$D$8:$D$250,'Iron Ore - Q&amp;V'!$B$8:$B$250,'Iron Ore - Prices'!G16,'Iron Ore - Q&amp;V'!$A$8:$A$250,4)+
SUMIFS('Iron Ore - Q&amp;V'!$D$8:$D$250,'Iron Ore - Q&amp;V'!$B$8:$B$250,'Iron Ore - Prices'!H16,'Iron Ore - Q&amp;V'!$A$8:$A$250,1)+
SUMIFS('Iron Ore - Q&amp;V'!$D$8:$D$250,'Iron Ore - Q&amp;V'!$B$8:$B$250,'Iron Ore - Prices'!H16,'Iron Ore - Q&amp;V'!$A$8:$A$250,2))</f>
        <v>60.924243243153931</v>
      </c>
    </row>
    <row r="17" spans="1:11">
      <c r="A17" s="1335">
        <f>LARGE('Commodity Prices'!C$159:C$902,53)</f>
        <v>42767</v>
      </c>
      <c r="B17" s="873">
        <f>SUMIF('Commodity Prices'!$C$159:$C$902,$A17,'Commodity Prices'!G$159:G$902)</f>
        <v>89</v>
      </c>
      <c r="C17" s="874">
        <f>SUMIF('Commodity Prices'!$C$159:$C$902,$A17,'Commodity Prices'!H$159:H$902)</f>
        <v>116</v>
      </c>
      <c r="D17" s="873">
        <f>SUMIF('Commodity Prices'!$C$159:$C$902,$A17,'Commodity Prices'!I$159:I$902)</f>
        <v>75.545000000000016</v>
      </c>
      <c r="E17" s="874">
        <f>SUMIF('Commodity Prices'!$C$159:$C$902,$A17,'Commodity Prices'!J$159:J$902)</f>
        <v>99</v>
      </c>
      <c r="F17" s="10"/>
      <c r="G17" s="128">
        <f t="shared" si="1"/>
        <v>2007</v>
      </c>
      <c r="H17" s="128">
        <f t="shared" si="1"/>
        <v>2008</v>
      </c>
      <c r="I17" s="1334" t="str">
        <f t="shared" si="0"/>
        <v>2007-08</v>
      </c>
      <c r="J17" s="705">
        <f t="array" ref="J17">IFERROR(IF($I$7="Historic Calendar Year",SUMIF('Iron Ore - Q&amp;V'!$B$8:$B$250,'Iron Ore - Prices'!I17,'Iron Ore - Q&amp;V'!$E$8:$E$250)/SUMIF('Iron Ore - Q&amp;V'!$B$8:$B$250,'Iron Ore - Prices'!I17,'Iron Ore - Q&amp;V'!$D$8:$D$250),K17),"NA")</f>
        <v>75.422260885021785</v>
      </c>
      <c r="K17" s="333">
        <f>(SUMIFS('Iron Ore - Q&amp;V'!$E$8:$E$250,'Iron Ore - Q&amp;V'!$B$8:$B$250,'Iron Ore - Prices'!G17,'Iron Ore - Q&amp;V'!$A$8:$A$250,3)+
SUMIFS('Iron Ore - Q&amp;V'!$E$8:$E$250,'Iron Ore - Q&amp;V'!$B$8:$B$250,'Iron Ore - Prices'!G17,'Iron Ore - Q&amp;V'!$A$8:$A$250,4)+
SUMIFS('Iron Ore - Q&amp;V'!$E$8:$E$250,'Iron Ore - Q&amp;V'!$B$8:$B$250,'Iron Ore - Prices'!H17,'Iron Ore - Q&amp;V'!$A$8:$A$250,1)+
SUMIFS('Iron Ore - Q&amp;V'!$E$8:$E$250,'Iron Ore - Q&amp;V'!$B$8:$B$250,'Iron Ore - Prices'!H17,'Iron Ore - Q&amp;V'!$A$8:$A$250,2))
/(SUMIFS('Iron Ore - Q&amp;V'!$D$8:$D$250,'Iron Ore - Q&amp;V'!$B$8:$B$250,'Iron Ore - Prices'!G17,'Iron Ore - Q&amp;V'!$A$8:$A$250,3)+
SUMIFS('Iron Ore - Q&amp;V'!$D$8:$D$250,'Iron Ore - Q&amp;V'!$B$8:$B$250,'Iron Ore - Prices'!G17,'Iron Ore - Q&amp;V'!$A$8:$A$250,4)+
SUMIFS('Iron Ore - Q&amp;V'!$D$8:$D$250,'Iron Ore - Q&amp;V'!$B$8:$B$250,'Iron Ore - Prices'!H17,'Iron Ore - Q&amp;V'!$A$8:$A$250,1)+
SUMIFS('Iron Ore - Q&amp;V'!$D$8:$D$250,'Iron Ore - Q&amp;V'!$B$8:$B$250,'Iron Ore - Prices'!H17,'Iron Ore - Q&amp;V'!$A$8:$A$250,2))</f>
        <v>75.422260885021785</v>
      </c>
    </row>
    <row r="18" spans="1:11">
      <c r="A18" s="1336">
        <f>LARGE('Commodity Prices'!C$159:C$902,52)</f>
        <v>42795</v>
      </c>
      <c r="B18" s="706">
        <f>SUMIF('Commodity Prices'!$C$159:$C$902,$A18,'Commodity Prices'!G$159:G$902)</f>
        <v>88</v>
      </c>
      <c r="C18" s="705">
        <f>SUMIF('Commodity Prices'!$C$159:$C$902,$A18,'Commodity Prices'!H$159:H$902)</f>
        <v>115</v>
      </c>
      <c r="D18" s="706">
        <f>SUMIF('Commodity Prices'!$C$159:$C$902,$A18,'Commodity Prices'!I$159:I$902)</f>
        <v>74.952173913043495</v>
      </c>
      <c r="E18" s="705">
        <f>SUMIF('Commodity Prices'!$C$159:$C$902,$A18,'Commodity Prices'!J$159:J$902)</f>
        <v>98</v>
      </c>
      <c r="F18" s="10"/>
      <c r="G18" s="128">
        <f t="shared" si="1"/>
        <v>2008</v>
      </c>
      <c r="H18" s="128">
        <f t="shared" si="1"/>
        <v>2009</v>
      </c>
      <c r="I18" s="1333" t="str">
        <f t="shared" si="0"/>
        <v>2008-09</v>
      </c>
      <c r="J18" s="874">
        <f t="array" ref="J18">IFERROR(IF($I$7="Historic Calendar Year",SUMIF('Iron Ore - Q&amp;V'!$B$8:$B$250,'Iron Ore - Prices'!I18,'Iron Ore - Q&amp;V'!$E$8:$E$250)/SUMIF('Iron Ore - Q&amp;V'!$B$8:$B$250,'Iron Ore - Prices'!I18,'Iron Ore - Q&amp;V'!$D$8:$D$250),K18),"NA")</f>
        <v>106.21484534487891</v>
      </c>
      <c r="K18" s="333">
        <f>(SUMIFS('Iron Ore - Q&amp;V'!$E$8:$E$250,'Iron Ore - Q&amp;V'!$B$8:$B$250,'Iron Ore - Prices'!G18,'Iron Ore - Q&amp;V'!$A$8:$A$250,3)+
SUMIFS('Iron Ore - Q&amp;V'!$E$8:$E$250,'Iron Ore - Q&amp;V'!$B$8:$B$250,'Iron Ore - Prices'!G18,'Iron Ore - Q&amp;V'!$A$8:$A$250,4)+
SUMIFS('Iron Ore - Q&amp;V'!$E$8:$E$250,'Iron Ore - Q&amp;V'!$B$8:$B$250,'Iron Ore - Prices'!H18,'Iron Ore - Q&amp;V'!$A$8:$A$250,1)+
SUMIFS('Iron Ore - Q&amp;V'!$E$8:$E$250,'Iron Ore - Q&amp;V'!$B$8:$B$250,'Iron Ore - Prices'!H18,'Iron Ore - Q&amp;V'!$A$8:$A$250,2))
/(SUMIFS('Iron Ore - Q&amp;V'!$D$8:$D$250,'Iron Ore - Q&amp;V'!$B$8:$B$250,'Iron Ore - Prices'!G18,'Iron Ore - Q&amp;V'!$A$8:$A$250,3)+
SUMIFS('Iron Ore - Q&amp;V'!$D$8:$D$250,'Iron Ore - Q&amp;V'!$B$8:$B$250,'Iron Ore - Prices'!G18,'Iron Ore - Q&amp;V'!$A$8:$A$250,4)+
SUMIFS('Iron Ore - Q&amp;V'!$D$8:$D$250,'Iron Ore - Q&amp;V'!$B$8:$B$250,'Iron Ore - Prices'!H18,'Iron Ore - Q&amp;V'!$A$8:$A$250,1)+
SUMIFS('Iron Ore - Q&amp;V'!$D$8:$D$250,'Iron Ore - Q&amp;V'!$B$8:$B$250,'Iron Ore - Prices'!H18,'Iron Ore - Q&amp;V'!$A$8:$A$250,2))</f>
        <v>106.21484534487891</v>
      </c>
    </row>
    <row r="19" spans="1:11">
      <c r="A19" s="1335">
        <f>LARGE('Commodity Prices'!C$159:C$902,51)</f>
        <v>42826</v>
      </c>
      <c r="B19" s="873">
        <f>SUMIF('Commodity Prices'!$C$159:$C$902,$A19,'Commodity Prices'!G$159:G$902)</f>
        <v>71</v>
      </c>
      <c r="C19" s="874">
        <f>SUMIF('Commodity Prices'!$C$159:$C$902,$A19,'Commodity Prices'!H$159:H$902)</f>
        <v>94</v>
      </c>
      <c r="D19" s="873">
        <f>SUMIF('Commodity Prices'!$C$159:$C$902,$A19,'Commodity Prices'!I$159:I$902)</f>
        <v>58.965789473684204</v>
      </c>
      <c r="E19" s="874">
        <f>SUMIF('Commodity Prices'!$C$159:$C$902,$A19,'Commodity Prices'!J$159:J$902)</f>
        <v>78</v>
      </c>
      <c r="F19" s="10"/>
      <c r="G19" s="128">
        <f t="shared" si="1"/>
        <v>2009</v>
      </c>
      <c r="H19" s="128">
        <f t="shared" si="1"/>
        <v>2010</v>
      </c>
      <c r="I19" s="1334" t="str">
        <f t="shared" si="0"/>
        <v>2009-10</v>
      </c>
      <c r="J19" s="705">
        <f t="array" ref="J19">IFERROR(IF($I$7="Historic Calendar Year",SUMIF('Iron Ore - Q&amp;V'!$B$8:$B$250,'Iron Ore - Prices'!I19,'Iron Ore - Q&amp;V'!$E$8:$E$250)/SUMIF('Iron Ore - Q&amp;V'!$B$8:$B$250,'Iron Ore - Prices'!I19,'Iron Ore - Q&amp;V'!$D$8:$D$250),K19),"NA")</f>
        <v>91.474374750207161</v>
      </c>
      <c r="K19" s="333">
        <f>(SUMIFS('Iron Ore - Q&amp;V'!$E$8:$E$250,'Iron Ore - Q&amp;V'!$B$8:$B$250,'Iron Ore - Prices'!G19,'Iron Ore - Q&amp;V'!$A$8:$A$250,3)+
SUMIFS('Iron Ore - Q&amp;V'!$E$8:$E$250,'Iron Ore - Q&amp;V'!$B$8:$B$250,'Iron Ore - Prices'!G19,'Iron Ore - Q&amp;V'!$A$8:$A$250,4)+
SUMIFS('Iron Ore - Q&amp;V'!$E$8:$E$250,'Iron Ore - Q&amp;V'!$B$8:$B$250,'Iron Ore - Prices'!H19,'Iron Ore - Q&amp;V'!$A$8:$A$250,1)+
SUMIFS('Iron Ore - Q&amp;V'!$E$8:$E$250,'Iron Ore - Q&amp;V'!$B$8:$B$250,'Iron Ore - Prices'!H19,'Iron Ore - Q&amp;V'!$A$8:$A$250,2))
/(SUMIFS('Iron Ore - Q&amp;V'!$D$8:$D$250,'Iron Ore - Q&amp;V'!$B$8:$B$250,'Iron Ore - Prices'!G19,'Iron Ore - Q&amp;V'!$A$8:$A$250,3)+
SUMIFS('Iron Ore - Q&amp;V'!$D$8:$D$250,'Iron Ore - Q&amp;V'!$B$8:$B$250,'Iron Ore - Prices'!G19,'Iron Ore - Q&amp;V'!$A$8:$A$250,4)+
SUMIFS('Iron Ore - Q&amp;V'!$D$8:$D$250,'Iron Ore - Q&amp;V'!$B$8:$B$250,'Iron Ore - Prices'!H19,'Iron Ore - Q&amp;V'!$A$8:$A$250,1)+
SUMIFS('Iron Ore - Q&amp;V'!$D$8:$D$250,'Iron Ore - Q&amp;V'!$B$8:$B$250,'Iron Ore - Prices'!H19,'Iron Ore - Q&amp;V'!$A$8:$A$250,2))</f>
        <v>91.474374750207161</v>
      </c>
    </row>
    <row r="20" spans="1:11">
      <c r="A20" s="1336">
        <f>LARGE('Commodity Prices'!C$159:C$902,50)</f>
        <v>42856</v>
      </c>
      <c r="B20" s="706">
        <f>SUMIF('Commodity Prices'!$C$159:$C$902,$A20,'Commodity Prices'!G$159:G$902)</f>
        <v>61.68</v>
      </c>
      <c r="C20" s="705">
        <f>SUMIF('Commodity Prices'!$C$159:$C$902,$A20,'Commodity Prices'!H$159:H$902)</f>
        <v>82.947821409359861</v>
      </c>
      <c r="D20" s="706">
        <f>SUMIF('Commodity Prices'!$C$159:$C$902,$A20,'Commodity Prices'!I$159:I$902)</f>
        <v>50.225000000000001</v>
      </c>
      <c r="E20" s="705">
        <f>SUMIF('Commodity Prices'!$C$159:$C$902,$A20,'Commodity Prices'!J$159:J$902)</f>
        <v>67.630446476600312</v>
      </c>
      <c r="F20" s="10"/>
      <c r="G20" s="128">
        <f t="shared" si="1"/>
        <v>2010</v>
      </c>
      <c r="H20" s="128">
        <f t="shared" si="1"/>
        <v>2011</v>
      </c>
      <c r="I20" s="1333" t="str">
        <f t="shared" si="0"/>
        <v>2010-11</v>
      </c>
      <c r="J20" s="874">
        <f t="array" ref="J20">IFERROR(IF($I$7="Historic Calendar Year",SUMIF('Iron Ore - Q&amp;V'!$B$8:$B$250,'Iron Ore - Prices'!I20,'Iron Ore - Q&amp;V'!$E$8:$E$250)/SUMIF('Iron Ore - Q&amp;V'!$B$8:$B$250,'Iron Ore - Prices'!I20,'Iron Ore - Q&amp;V'!$D$8:$D$250),K20),"NA")</f>
        <v>144.69942565970916</v>
      </c>
      <c r="K20" s="333">
        <f>(SUMIFS('Iron Ore - Q&amp;V'!$E$8:$E$250,'Iron Ore - Q&amp;V'!$B$8:$B$250,'Iron Ore - Prices'!G20,'Iron Ore - Q&amp;V'!$A$8:$A$250,3)+
SUMIFS('Iron Ore - Q&amp;V'!$E$8:$E$250,'Iron Ore - Q&amp;V'!$B$8:$B$250,'Iron Ore - Prices'!G20,'Iron Ore - Q&amp;V'!$A$8:$A$250,4)+
SUMIFS('Iron Ore - Q&amp;V'!$E$8:$E$250,'Iron Ore - Q&amp;V'!$B$8:$B$250,'Iron Ore - Prices'!H20,'Iron Ore - Q&amp;V'!$A$8:$A$250,1)+
SUMIFS('Iron Ore - Q&amp;V'!$E$8:$E$250,'Iron Ore - Q&amp;V'!$B$8:$B$250,'Iron Ore - Prices'!H20,'Iron Ore - Q&amp;V'!$A$8:$A$250,2))
/(SUMIFS('Iron Ore - Q&amp;V'!$D$8:$D$250,'Iron Ore - Q&amp;V'!$B$8:$B$250,'Iron Ore - Prices'!G20,'Iron Ore - Q&amp;V'!$A$8:$A$250,3)+
SUMIFS('Iron Ore - Q&amp;V'!$D$8:$D$250,'Iron Ore - Q&amp;V'!$B$8:$B$250,'Iron Ore - Prices'!G20,'Iron Ore - Q&amp;V'!$A$8:$A$250,4)+
SUMIFS('Iron Ore - Q&amp;V'!$D$8:$D$250,'Iron Ore - Q&amp;V'!$B$8:$B$250,'Iron Ore - Prices'!H20,'Iron Ore - Q&amp;V'!$A$8:$A$250,1)+
SUMIFS('Iron Ore - Q&amp;V'!$D$8:$D$250,'Iron Ore - Q&amp;V'!$B$8:$B$250,'Iron Ore - Prices'!H20,'Iron Ore - Q&amp;V'!$A$8:$A$250,2))</f>
        <v>144.69942565970916</v>
      </c>
    </row>
    <row r="21" spans="1:11">
      <c r="A21" s="1335">
        <f>LARGE('Commodity Prices'!C$159:C$902,49)</f>
        <v>42887</v>
      </c>
      <c r="B21" s="873">
        <f>SUMIF('Commodity Prices'!$C$159:$C$902,$A21,'Commodity Prices'!G$159:G$902)</f>
        <v>57.15</v>
      </c>
      <c r="C21" s="874">
        <f>SUMIF('Commodity Prices'!$C$159:$C$902,$A21,'Commodity Prices'!H$159:H$902)</f>
        <v>75.595238095238088</v>
      </c>
      <c r="D21" s="873">
        <f>SUMIF('Commodity Prices'!$C$159:$C$902,$A21,'Commodity Prices'!I$159:I$902)</f>
        <v>45.293181818181822</v>
      </c>
      <c r="E21" s="874">
        <f>SUMIF('Commodity Prices'!$C$159:$C$902,$A21,'Commodity Prices'!J$159:J$902)</f>
        <v>59.960317460317455</v>
      </c>
      <c r="F21" s="10"/>
      <c r="G21" s="128">
        <f>G20+1</f>
        <v>2011</v>
      </c>
      <c r="H21" s="128">
        <f>H20+1</f>
        <v>2012</v>
      </c>
      <c r="I21" s="1334" t="str">
        <f t="shared" si="0"/>
        <v>2011-12</v>
      </c>
      <c r="J21" s="705">
        <f>IFERROR(IF($I$7="Historic Calendar Year",AVERAGEIF('Commodity Prices'!$A$9:$A$566,I21,'Commodity Prices'!$H$9:$H$1300),K21),"NA")</f>
        <v>144.48246275190232</v>
      </c>
      <c r="K21" s="333">
        <f>(SUMIFS('Commodity Prices'!$H$9:$H$1300,'Commodity Prices'!$A$9:$A$1300,$G21,'Commodity Prices'!$B$9:$B$1300,3)+
SUMIFS('Commodity Prices'!$H$9:$H$1300,'Commodity Prices'!$A$9:$A$1300,$G21,'Commodity Prices'!$B$9:$B$1300,4)+
SUMIFS('Commodity Prices'!$H$9:$H$1300,'Commodity Prices'!$A$9:$A$1300,$H21,'Commodity Prices'!$B$9:$B$1300,1)+
SUMIFS('Commodity Prices'!$H$9:$H$1300,'Commodity Prices'!$A$9:$A$1300,$H21,'Commodity Prices'!$B$9:$B$1300,2))/
(COUNTIFS('Commodity Prices'!$A$9:$A$1300,$G21,'Commodity Prices'!$B$9:$B$1300,3)+
COUNTIFS('Commodity Prices'!$A$9:$A$1300,$G21,'Commodity Prices'!$B$9:$B$1300,4)+
COUNTIFS('Commodity Prices'!$A$9:$A$1300,$H21,'Commodity Prices'!$B$9:$B$1300,1)+
COUNTIFS('Commodity Prices'!$A$9:$A$1300,$H21,'Commodity Prices'!$B$9:$B$1300,2))</f>
        <v>144.48246275190232</v>
      </c>
    </row>
    <row r="22" spans="1:11">
      <c r="A22" s="1336">
        <f>LARGE('Commodity Prices'!C$159:C$902,48)</f>
        <v>42917</v>
      </c>
      <c r="B22" s="706">
        <f>SUMIF('Commodity Prices'!$C$159:$C$902,$A22,'Commodity Prices'!G$159:G$902)</f>
        <v>67.209999999999994</v>
      </c>
      <c r="C22" s="705">
        <f>SUMIF('Commodity Prices'!$C$159:$C$902,$A22,'Commodity Prices'!H$159:H$902)</f>
        <v>86.111467008327992</v>
      </c>
      <c r="D22" s="706">
        <f>SUMIF('Commodity Prices'!$C$159:$C$902,$A22,'Commodity Prices'!I$159:I$902)</f>
        <v>52.666666666666664</v>
      </c>
      <c r="E22" s="705">
        <f>SUMIF('Commodity Prices'!$C$159:$C$902,$A22,'Commodity Prices'!J$159:J$902)</f>
        <v>67.482383087764262</v>
      </c>
      <c r="F22" s="10"/>
      <c r="G22" s="128">
        <f>G21+1</f>
        <v>2012</v>
      </c>
      <c r="H22" s="128">
        <f>H21+1</f>
        <v>2013</v>
      </c>
      <c r="I22" s="1333" t="str">
        <f t="shared" si="0"/>
        <v>2012-13</v>
      </c>
      <c r="J22" s="874">
        <f>IFERROR(IF($I$7="Historic Calendar Year",AVERAGEIF('Commodity Prices'!$A$9:$A$566,I22,'Commodity Prices'!$H$9:$H$1300),K22),"NA")</f>
        <v>123.34821690074573</v>
      </c>
      <c r="K22" s="333">
        <f>(SUMIFS('Commodity Prices'!$H$9:$H$1300,'Commodity Prices'!$A$9:$A$1300,$G22,'Commodity Prices'!$B$9:$B$1300,3)+
SUMIFS('Commodity Prices'!$H$9:$H$1300,'Commodity Prices'!$A$9:$A$1300,$G22,'Commodity Prices'!$B$9:$B$1300,4)+
SUMIFS('Commodity Prices'!$H$9:$H$1300,'Commodity Prices'!$A$9:$A$1300,$H22,'Commodity Prices'!$B$9:$B$1300,1)+
SUMIFS('Commodity Prices'!$H$9:$H$1300,'Commodity Prices'!$A$9:$A$1300,$H22,'Commodity Prices'!$B$9:$B$1300,2))/
(COUNTIFS('Commodity Prices'!$A$9:$A$1300,$G22,'Commodity Prices'!$B$9:$B$1300,3)+
COUNTIFS('Commodity Prices'!$A$9:$A$1300,$G22,'Commodity Prices'!$B$9:$B$1300,4)+
COUNTIFS('Commodity Prices'!$A$9:$A$1300,$H22,'Commodity Prices'!$B$9:$B$1300,1)+
COUNTIFS('Commodity Prices'!$A$9:$A$1300,$H22,'Commodity Prices'!$B$9:$B$1300,2))</f>
        <v>123.34821690074573</v>
      </c>
    </row>
    <row r="23" spans="1:11">
      <c r="A23" s="1335">
        <f>LARGE('Commodity Prices'!C$159:C$902,47)</f>
        <v>42948</v>
      </c>
      <c r="B23" s="873">
        <f>SUMIF('Commodity Prices'!$C$159:$C$902,$A23,'Commodity Prices'!G$159:G$902)</f>
        <v>75.849999999999994</v>
      </c>
      <c r="C23" s="874">
        <f>SUMIF('Commodity Prices'!$C$159:$C$902,$A23,'Commodity Prices'!H$159:H$902)</f>
        <v>95.818595250126322</v>
      </c>
      <c r="D23" s="873">
        <f>SUMIF('Commodity Prices'!$C$159:$C$902,$A23,'Commodity Prices'!I$159:I$902)</f>
        <v>60.260869565217398</v>
      </c>
      <c r="E23" s="874">
        <f>SUMIF('Commodity Prices'!$C$159:$C$902,$A23,'Commodity Prices'!J$159:J$902)</f>
        <v>76.200101061141993</v>
      </c>
      <c r="F23" s="10"/>
      <c r="G23" s="128">
        <f t="shared" si="1"/>
        <v>2013</v>
      </c>
      <c r="H23" s="128">
        <f t="shared" si="1"/>
        <v>2014</v>
      </c>
      <c r="I23" s="1334" t="str">
        <f t="shared" si="0"/>
        <v>2013-14</v>
      </c>
      <c r="J23" s="705">
        <f>IFERROR(IF($I$7="Historic Calendar Year",AVERAGEIF('Commodity Prices'!$A$9:$A$566,I23,'Commodity Prices'!$H$9:$H$1300),K23),"NA")</f>
        <v>133.64998236387473</v>
      </c>
      <c r="K23" s="333">
        <f>(SUMIFS('Commodity Prices'!$H$9:$H$1300,'Commodity Prices'!$A$9:$A$1300,$G23,'Commodity Prices'!$B$9:$B$1300,3)+
SUMIFS('Commodity Prices'!$H$9:$H$1300,'Commodity Prices'!$A$9:$A$1300,$G23,'Commodity Prices'!$B$9:$B$1300,4)+
SUMIFS('Commodity Prices'!$H$9:$H$1300,'Commodity Prices'!$A$9:$A$1300,$H23,'Commodity Prices'!$B$9:$B$1300,1)+
SUMIFS('Commodity Prices'!$H$9:$H$1300,'Commodity Prices'!$A$9:$A$1300,$H23,'Commodity Prices'!$B$9:$B$1300,2))/
(COUNTIFS('Commodity Prices'!$A$9:$A$1300,$G23,'Commodity Prices'!$B$9:$B$1300,3)+
COUNTIFS('Commodity Prices'!$A$9:$A$1300,$G23,'Commodity Prices'!$B$9:$B$1300,4)+
COUNTIFS('Commodity Prices'!$A$9:$A$1300,$H23,'Commodity Prices'!$B$9:$B$1300,1)+
COUNTIFS('Commodity Prices'!$A$9:$A$1300,$H23,'Commodity Prices'!$B$9:$B$1300,2))</f>
        <v>133.64998236387473</v>
      </c>
    </row>
    <row r="24" spans="1:11">
      <c r="A24" s="1336">
        <f>LARGE('Commodity Prices'!C$159:C$902,46)</f>
        <v>42979</v>
      </c>
      <c r="B24" s="706">
        <f>SUMIF('Commodity Prices'!$C$159:$C$902,$A24,'Commodity Prices'!G$159:G$902)</f>
        <v>70.599999999999994</v>
      </c>
      <c r="C24" s="705">
        <f>SUMIF('Commodity Prices'!$C$159:$C$902,$A24,'Commodity Prices'!H$159:H$902)</f>
        <v>88.615539098782477</v>
      </c>
      <c r="D24" s="706">
        <f>SUMIF('Commodity Prices'!$C$159:$C$902,$A24,'Commodity Prices'!I$159:I$902)</f>
        <v>56</v>
      </c>
      <c r="E24" s="705">
        <f>SUMIF('Commodity Prices'!$C$159:$C$902,$A24,'Commodity Prices'!J$159:J$902)</f>
        <v>69.925944521149745</v>
      </c>
      <c r="F24" s="10"/>
      <c r="G24" s="128">
        <f t="shared" si="1"/>
        <v>2014</v>
      </c>
      <c r="H24" s="128">
        <f t="shared" si="1"/>
        <v>2015</v>
      </c>
      <c r="I24" s="1333" t="str">
        <f t="shared" si="0"/>
        <v>2014-15</v>
      </c>
      <c r="J24" s="874">
        <f>IFERROR(IF($I$7="Historic Calendar Year",AVERAGEIF('Commodity Prices'!$A$9:$A$566,I24,'Commodity Prices'!$H$9:$H$1300),K24),"NA")</f>
        <v>83.414401601815328</v>
      </c>
      <c r="K24" s="333">
        <f>(SUMIFS('Commodity Prices'!$H$9:$H$1300,'Commodity Prices'!$A$9:$A$1300,$G24,'Commodity Prices'!$B$9:$B$1300,3)+
SUMIFS('Commodity Prices'!$H$9:$H$1300,'Commodity Prices'!$A$9:$A$1300,$G24,'Commodity Prices'!$B$9:$B$1300,4)+
SUMIFS('Commodity Prices'!$H$9:$H$1300,'Commodity Prices'!$A$9:$A$1300,$H24,'Commodity Prices'!$B$9:$B$1300,1)+
SUMIFS('Commodity Prices'!$H$9:$H$1300,'Commodity Prices'!$A$9:$A$1300,$H24,'Commodity Prices'!$B$9:$B$1300,2))/
(COUNTIFS('Commodity Prices'!$A$9:$A$1300,$G24,'Commodity Prices'!$B$9:$B$1300,3)+
COUNTIFS('Commodity Prices'!$A$9:$A$1300,$G24,'Commodity Prices'!$B$9:$B$1300,4)+
COUNTIFS('Commodity Prices'!$A$9:$A$1300,$H24,'Commodity Prices'!$B$9:$B$1300,1)+
COUNTIFS('Commodity Prices'!$A$9:$A$1300,$H24,'Commodity Prices'!$B$9:$B$1300,2))</f>
        <v>83.414401601815328</v>
      </c>
    </row>
    <row r="25" spans="1:11">
      <c r="A25" s="1335">
        <f>LARGE('Commodity Prices'!C$159:C$902,45)</f>
        <v>43009</v>
      </c>
      <c r="B25" s="873">
        <f>SUMIF('Commodity Prices'!$C$159:$C$902,$A25,'Commodity Prices'!G$159:G$902)</f>
        <v>61.96</v>
      </c>
      <c r="C25" s="874">
        <f>SUMIF('Commodity Prices'!$C$159:$C$902,$A25,'Commodity Prices'!H$159:H$902)</f>
        <v>79.568511621933993</v>
      </c>
      <c r="D25" s="873">
        <f>SUMIF('Commodity Prices'!$C$159:$C$902,$A25,'Commodity Prices'!I$159:I$902)</f>
        <v>47.377272727272732</v>
      </c>
      <c r="E25" s="874">
        <f>SUMIF('Commodity Prices'!$C$159:$C$902,$A25,'Commodity Prices'!J$159:J$902)</f>
        <v>60.793630409657126</v>
      </c>
      <c r="F25" s="10"/>
      <c r="G25" s="128">
        <f t="shared" si="1"/>
        <v>2015</v>
      </c>
      <c r="H25" s="128">
        <f t="shared" si="1"/>
        <v>2016</v>
      </c>
      <c r="I25" s="1334" t="str">
        <f t="shared" si="0"/>
        <v>2015-16</v>
      </c>
      <c r="J25" s="705">
        <f>IFERROR(IF($I$7="Historic Calendar Year",AVERAGEIF('Commodity Prices'!$A$9:$A$566,I25,'Commodity Prices'!$H$9:$H$1300),K25),"NA")</f>
        <v>69.123105914875339</v>
      </c>
      <c r="K25" s="333">
        <f>(SUMIFS('Commodity Prices'!$H$9:$H$1300,'Commodity Prices'!$A$9:$A$1300,$G25,'Commodity Prices'!$B$9:$B$1300,3)+
SUMIFS('Commodity Prices'!$H$9:$H$1300,'Commodity Prices'!$A$9:$A$1300,$G25,'Commodity Prices'!$B$9:$B$1300,4)+
SUMIFS('Commodity Prices'!$H$9:$H$1300,'Commodity Prices'!$A$9:$A$1300,$H25,'Commodity Prices'!$B$9:$B$1300,1)+
SUMIFS('Commodity Prices'!$H$9:$H$1300,'Commodity Prices'!$A$9:$A$1300,$H25,'Commodity Prices'!$B$9:$B$1300,2))/
(COUNTIFS('Commodity Prices'!$A$9:$A$1300,$G25,'Commodity Prices'!$B$9:$B$1300,3)+
COUNTIFS('Commodity Prices'!$A$9:$A$1300,$G25,'Commodity Prices'!$B$9:$B$1300,4)+
COUNTIFS('Commodity Prices'!$A$9:$A$1300,$H25,'Commodity Prices'!$B$9:$B$1300,1)+
COUNTIFS('Commodity Prices'!$A$9:$A$1300,$H25,'Commodity Prices'!$B$9:$B$1300,2))</f>
        <v>69.123105914875339</v>
      </c>
    </row>
    <row r="26" spans="1:11">
      <c r="A26" s="1336">
        <f>LARGE('Commodity Prices'!C$159:C$902,44)</f>
        <v>43040</v>
      </c>
      <c r="B26" s="706">
        <f>SUMIF('Commodity Prices'!$C$159:$C$902,$A26,'Commodity Prices'!G$159:G$902)</f>
        <v>64.17</v>
      </c>
      <c r="C26" s="705">
        <f>SUMIF('Commodity Prices'!$C$159:$C$902,$A26,'Commodity Prices'!H$159:H$902)</f>
        <v>84.179456906729641</v>
      </c>
      <c r="D26" s="706">
        <f>SUMIF('Commodity Prices'!$C$159:$C$902,$A26,'Commodity Prices'!I$159:I$902)</f>
        <v>50.06363636363637</v>
      </c>
      <c r="E26" s="705">
        <f>SUMIF('Commodity Prices'!$C$159:$C$902,$A26,'Commodity Prices'!J$159:J$902)</f>
        <v>65.669683851502043</v>
      </c>
      <c r="F26" s="10"/>
      <c r="G26" s="128">
        <f t="shared" si="1"/>
        <v>2016</v>
      </c>
      <c r="H26" s="128">
        <f t="shared" si="1"/>
        <v>2017</v>
      </c>
      <c r="I26" s="1334" t="str">
        <f t="shared" si="0"/>
        <v>2016-17</v>
      </c>
      <c r="J26" s="874">
        <f>IFERROR(IF($I$7="Historic Calendar Year",AVERAGEIF('Commodity Prices'!$A$9:$A$566,I26,'Commodity Prices'!$H$9:$H$1300),K26),"NA")</f>
        <v>92.123588292049817</v>
      </c>
      <c r="K26" s="333">
        <f>(SUMIFS('Commodity Prices'!$H$9:$H$1300,'Commodity Prices'!$A$9:$A$1300,$G26,'Commodity Prices'!$B$9:$B$1300,3)+
SUMIFS('Commodity Prices'!$H$9:$H$1300,'Commodity Prices'!$A$9:$A$1300,$G26,'Commodity Prices'!$B$9:$B$1300,4)+
SUMIFS('Commodity Prices'!$H$9:$H$1300,'Commodity Prices'!$A$9:$A$1300,$H26,'Commodity Prices'!$B$9:$B$1300,1)+
SUMIFS('Commodity Prices'!$H$9:$H$1300,'Commodity Prices'!$A$9:$A$1300,$H26,'Commodity Prices'!$B$9:$B$1300,2))/
(COUNTIFS('Commodity Prices'!$A$9:$A$1300,$G26,'Commodity Prices'!$B$9:$B$1300,3)+
COUNTIFS('Commodity Prices'!$A$9:$A$1300,$G26,'Commodity Prices'!$B$9:$B$1300,4)+
COUNTIFS('Commodity Prices'!$A$9:$A$1300,$H26,'Commodity Prices'!$B$9:$B$1300,1)+
COUNTIFS('Commodity Prices'!$A$9:$A$1300,$H26,'Commodity Prices'!$B$9:$B$1300,2))</f>
        <v>92.123588292049817</v>
      </c>
    </row>
    <row r="27" spans="1:11">
      <c r="A27" s="1335">
        <f>LARGE('Commodity Prices'!C$159:C$902,43)</f>
        <v>43070</v>
      </c>
      <c r="B27" s="873">
        <f>SUMIF('Commodity Prices'!$C$159:$C$902,$A27,'Commodity Prices'!G$159:G$902)</f>
        <v>71.61</v>
      </c>
      <c r="C27" s="874">
        <f>SUMIF('Commodity Prices'!$C$159:$C$902,$A27,'Commodity Prices'!H$159:H$902)</f>
        <v>93.607843137254903</v>
      </c>
      <c r="D27" s="873">
        <f>SUMIF('Commodity Prices'!$C$159:$C$902,$A27,'Commodity Prices'!I$159:I$902)</f>
        <v>56.327499999999986</v>
      </c>
      <c r="E27" s="874">
        <f>SUMIF('Commodity Prices'!$C$159:$C$902,$A27,'Commodity Prices'!J$159:J$902)</f>
        <v>73.633986928104576</v>
      </c>
      <c r="F27" s="10"/>
      <c r="G27" s="128">
        <f t="shared" si="1"/>
        <v>2017</v>
      </c>
      <c r="H27" s="128">
        <f t="shared" si="1"/>
        <v>2018</v>
      </c>
      <c r="I27" s="1334" t="str">
        <f t="shared" si="0"/>
        <v>2017-18</v>
      </c>
      <c r="J27" s="705">
        <f>IFERROR(IF($I$7="Historic Calendar Year",AVERAGEIF('Commodity Prices'!$A$9:$A$1000,I27,'Commodity Prices'!$H$9:$H$1300),K27),"NA")</f>
        <v>89.226263157397099</v>
      </c>
      <c r="K27" s="333">
        <f>(SUMIFS('Commodity Prices'!$H$9:$H$1300,'Commodity Prices'!$A$9:$A$1300,$G27,'Commodity Prices'!$B$9:$B$1300,3)+
SUMIFS('Commodity Prices'!$H$9:$H$1300,'Commodity Prices'!$A$9:$A$1300,$G27,'Commodity Prices'!$B$9:$B$1300,4)+
SUMIFS('Commodity Prices'!$H$9:$H$1300,'Commodity Prices'!$A$9:$A$1300,$H27,'Commodity Prices'!$B$9:$B$1300,1)+
SUMIFS('Commodity Prices'!$H$9:$H$1300,'Commodity Prices'!$A$9:$A$1300,$H27,'Commodity Prices'!$B$9:$B$1300,2))/
(COUNTIFS('Commodity Prices'!$A$9:$A$1300,$G27,'Commodity Prices'!$B$9:$B$1300,3)+
COUNTIFS('Commodity Prices'!$A$9:$A$1300,$G27,'Commodity Prices'!$B$9:$B$1300,4)+
COUNTIFS('Commodity Prices'!$A$9:$A$1300,$H27,'Commodity Prices'!$B$9:$B$1300,1)+
COUNTIFS('Commodity Prices'!$A$9:$A$1300,$H27,'Commodity Prices'!$B$9:$B$1300,2))</f>
        <v>89.226263157397099</v>
      </c>
    </row>
    <row r="28" spans="1:11">
      <c r="A28" s="1336">
        <f>LARGE('Commodity Prices'!C$159:C$902,42)</f>
        <v>43101</v>
      </c>
      <c r="B28" s="706">
        <f>SUMIF('Commodity Prices'!$C$159:$C$902,$A28,'Commodity Prices'!G$159:G$902)</f>
        <v>75.78</v>
      </c>
      <c r="C28" s="705">
        <f>SUMIF('Commodity Prices'!$C$159:$C$902,$A28,'Commodity Prices'!H$159:H$902)</f>
        <v>95.236898328515778</v>
      </c>
      <c r="D28" s="706">
        <f>SUMIF('Commodity Prices'!$C$159:$C$902,$A28,'Commodity Prices'!I$159:I$902)</f>
        <v>60.745454545454542</v>
      </c>
      <c r="E28" s="705">
        <f>SUMIF('Commodity Prices'!$C$159:$C$902,$A28,'Commodity Prices'!J$159:J$902)</f>
        <v>76.347869800175943</v>
      </c>
      <c r="F28" s="10"/>
      <c r="G28" s="128">
        <f t="shared" si="1"/>
        <v>2018</v>
      </c>
      <c r="H28" s="128">
        <f t="shared" si="1"/>
        <v>2019</v>
      </c>
      <c r="I28" s="1334" t="str">
        <f t="shared" si="0"/>
        <v>2018-19</v>
      </c>
      <c r="J28" s="874">
        <f>IFERROR(IF($I$7="Historic Calendar Year",AVERAGEIF('Commodity Prices'!$A$9:$A$1000,I28,'Commodity Prices'!$H$9:$H$1300),K28),"NA")</f>
        <v>112.62549445974389</v>
      </c>
      <c r="K28" s="333">
        <f>(SUMIFS('Commodity Prices'!$H$9:$H$1300,'Commodity Prices'!$A$9:$A$1300,$G28,'Commodity Prices'!$B$9:$B$1300,3)+
SUMIFS('Commodity Prices'!$H$9:$H$1300,'Commodity Prices'!$A$9:$A$1300,$G28,'Commodity Prices'!$B$9:$B$1300,4)+
SUMIFS('Commodity Prices'!$H$9:$H$1300,'Commodity Prices'!$A$9:$A$1300,$H28,'Commodity Prices'!$B$9:$B$1300,1)+
SUMIFS('Commodity Prices'!$H$9:$H$1300,'Commodity Prices'!$A$9:$A$1300,$H28,'Commodity Prices'!$B$9:$B$1300,2))/
(COUNTIFS('Commodity Prices'!$A$9:$A$1300,$G28,'Commodity Prices'!$B$9:$B$1300,3)+
COUNTIFS('Commodity Prices'!$A$9:$A$1300,$G28,'Commodity Prices'!$B$9:$B$1300,4)+
COUNTIFS('Commodity Prices'!$A$9:$A$1300,$H28,'Commodity Prices'!$B$9:$B$1300,1)+
COUNTIFS('Commodity Prices'!$A$9:$A$1300,$H28,'Commodity Prices'!$B$9:$B$1300,2))</f>
        <v>112.62549445974389</v>
      </c>
    </row>
    <row r="29" spans="1:11">
      <c r="A29" s="1335">
        <f>LARGE('Commodity Prices'!C$159:C$902,41)</f>
        <v>43132</v>
      </c>
      <c r="B29" s="873">
        <f>SUMIF('Commodity Prices'!$C$159:$C$902,$A29,'Commodity Prices'!G$159:G$902)</f>
        <v>77.48</v>
      </c>
      <c r="C29" s="874">
        <f>SUMIF('Commodity Prices'!$C$159:$C$902,$A29,'Commodity Prices'!H$159:H$902)</f>
        <v>98.474834773767157</v>
      </c>
      <c r="D29" s="873">
        <f>SUMIF('Commodity Prices'!$C$159:$C$902,$A29,'Commodity Prices'!I$159:I$902)</f>
        <v>63.022500000000015</v>
      </c>
      <c r="E29" s="874">
        <f>SUMIF('Commodity Prices'!$C$159:$C$902,$A29,'Commodity Prices'!J$159:J$902)</f>
        <v>80.045754956786979</v>
      </c>
      <c r="F29" s="10"/>
      <c r="G29" s="128">
        <f t="shared" si="1"/>
        <v>2019</v>
      </c>
      <c r="H29" s="128">
        <f t="shared" si="1"/>
        <v>2020</v>
      </c>
      <c r="I29" s="1334" t="str">
        <f t="shared" si="0"/>
        <v>2019-20</v>
      </c>
      <c r="J29" s="705">
        <f>IFERROR(IF($I$7="Historic Calendar Year",AVERAGEIF('Commodity Prices'!$A$9:$A$1000,I29,'Commodity Prices'!$H$9:$H$1300),K29),"NA")</f>
        <v>137.91870655370482</v>
      </c>
      <c r="K29" s="333">
        <f>(SUMIFS('Commodity Prices'!$H$9:$H$1300,'Commodity Prices'!$A$9:$A$1300,$G29,'Commodity Prices'!$B$9:$B$1300,3)+
SUMIFS('Commodity Prices'!$H$9:$H$1300,'Commodity Prices'!$A$9:$A$1300,$G29,'Commodity Prices'!$B$9:$B$1300,4)+
SUMIFS('Commodity Prices'!$H$9:$H$1300,'Commodity Prices'!$A$9:$A$1300,$H29,'Commodity Prices'!$B$9:$B$1300,1)+
SUMIFS('Commodity Prices'!$H$9:$H$1300,'Commodity Prices'!$A$9:$A$1300,$H29,'Commodity Prices'!$B$9:$B$1300,2))/
(COUNTIFS('Commodity Prices'!$A$9:$A$1300,$G29,'Commodity Prices'!$B$9:$B$1300,3)+
COUNTIFS('Commodity Prices'!$A$9:$A$1300,$G29,'Commodity Prices'!$B$9:$B$1300,4)+
COUNTIFS('Commodity Prices'!$A$9:$A$1300,$H29,'Commodity Prices'!$B$9:$B$1300,1)+
COUNTIFS('Commodity Prices'!$A$9:$A$1300,$H29,'Commodity Prices'!$B$9:$B$1300,2))</f>
        <v>137.91870655370482</v>
      </c>
    </row>
    <row r="30" spans="1:11" ht="15.75" thickBot="1">
      <c r="A30" s="1336">
        <f>LARGE('Commodity Prices'!C$159:C$902,40)</f>
        <v>43160</v>
      </c>
      <c r="B30" s="706">
        <f>SUMIF('Commodity Prices'!$C$159:$C$902,$A30,'Commodity Prices'!G$159:G$902)</f>
        <v>70.010000000000005</v>
      </c>
      <c r="C30" s="705">
        <f>SUMIF('Commodity Prices'!$C$159:$C$902,$A30,'Commodity Prices'!H$159:H$902)</f>
        <v>90.230699832452643</v>
      </c>
      <c r="D30" s="706">
        <f>SUMIF('Commodity Prices'!$C$159:$C$902,$A30,'Commodity Prices'!I$159:I$902)</f>
        <v>57.180952380952377</v>
      </c>
      <c r="E30" s="705">
        <f>SUMIF('Commodity Prices'!$C$159:$C$902,$A30,'Commodity Prices'!J$159:J$902)</f>
        <v>73.695063796881044</v>
      </c>
      <c r="F30" s="10"/>
      <c r="G30" s="128">
        <f t="shared" si="1"/>
        <v>2020</v>
      </c>
      <c r="H30" s="128">
        <f t="shared" si="1"/>
        <v>2021</v>
      </c>
      <c r="I30" s="1334" t="str">
        <f t="shared" si="0"/>
        <v>2020-21</v>
      </c>
      <c r="J30" s="874">
        <f>IFERROR(IF($I$7="Historic Calendar Year",AVERAGEIF('Commodity Prices'!$A$9:$A$1000,I30,'Commodity Prices'!$H$9:$H$1300),K30),"NA")</f>
        <v>205.63005547709872</v>
      </c>
      <c r="K30" s="333">
        <f>(SUMIFS('Commodity Prices'!$H$9:$H$1300,'Commodity Prices'!$A$9:$A$1300,$G30,'Commodity Prices'!$B$9:$B$1300,3)+
SUMIFS('Commodity Prices'!$H$9:$H$1300,'Commodity Prices'!$A$9:$A$1300,$G30,'Commodity Prices'!$B$9:$B$1300,4)+
SUMIFS('Commodity Prices'!$H$9:$H$1300,'Commodity Prices'!$A$9:$A$1300,$H30,'Commodity Prices'!$B$9:$B$1300,1)+
SUMIFS('Commodity Prices'!$H$9:$H$1300,'Commodity Prices'!$A$9:$A$1300,$H30,'Commodity Prices'!$B$9:$B$1300,2))/
(COUNTIFS('Commodity Prices'!$A$9:$A$1300,$G30,'Commodity Prices'!$B$9:$B$1300,3)+
COUNTIFS('Commodity Prices'!$A$9:$A$1300,$G30,'Commodity Prices'!$B$9:$B$1300,4)+
COUNTIFS('Commodity Prices'!$A$9:$A$1300,$H30,'Commodity Prices'!$B$9:$B$1300,1)+
COUNTIFS('Commodity Prices'!$A$9:$A$1300,$H30,'Commodity Prices'!$B$9:$B$1300,2))</f>
        <v>205.63005547709872</v>
      </c>
    </row>
    <row r="31" spans="1:11">
      <c r="A31" s="1335">
        <f>LARGE('Commodity Prices'!C$159:C$902,39)</f>
        <v>43191</v>
      </c>
      <c r="B31" s="873">
        <f>SUMIF('Commodity Prices'!$C$159:$C$902,$A31,'Commodity Prices'!G$159:G$902)</f>
        <v>65.430000000000007</v>
      </c>
      <c r="C31" s="874">
        <f>SUMIF('Commodity Prices'!$C$159:$C$902,$A31,'Commodity Prices'!H$159:H$902)</f>
        <v>85.162046075751675</v>
      </c>
      <c r="D31" s="873">
        <f>SUMIF('Commodity Prices'!$C$159:$C$902,$A31,'Commodity Prices'!I$159:I$902)</f>
        <v>52.554761904761897</v>
      </c>
      <c r="E31" s="874">
        <f>SUMIF('Commodity Prices'!$C$159:$C$902,$A31,'Commodity Prices'!J$159:J$902)</f>
        <v>68.397761291162311</v>
      </c>
      <c r="F31" s="10"/>
      <c r="G31" s="128"/>
      <c r="H31" s="128"/>
      <c r="I31" s="782" t="str">
        <f>IF($I$7="Historic Calendar Year",I30+1,CONCATENATE(G30,"-",RIGHT(H30,2)))</f>
        <v>2020-21</v>
      </c>
      <c r="J31" s="675">
        <f>IFERROR(IF($I$7="Historic Calendar Year",AVERAGEIF('Commodity Prices'!$A$9:$A$1000,I31,'Commodity Prices'!$H$9:$H$1300),K30),"N/A")</f>
        <v>205.63005547709872</v>
      </c>
    </row>
    <row r="32" spans="1:11" ht="15.75" thickBot="1">
      <c r="A32" s="1336">
        <f>LARGE('Commodity Prices'!C$159:C$902,38)</f>
        <v>43221</v>
      </c>
      <c r="B32" s="706">
        <f>SUMIF('Commodity Prices'!$C$159:$C$902,$A32,'Commodity Prices'!G$159:G$902)</f>
        <v>66</v>
      </c>
      <c r="C32" s="705">
        <f>SUMIF('Commodity Prices'!$C$159:$C$902,$A32,'Commodity Prices'!H$159:H$902)</f>
        <v>87.672688629117957</v>
      </c>
      <c r="D32" s="706">
        <f>SUMIF('Commodity Prices'!$C$159:$C$902,$A32,'Commodity Prices'!I$159:I$902)</f>
        <v>53.952380952380949</v>
      </c>
      <c r="E32" s="705">
        <f>SUMIF('Commodity Prices'!$C$159:$C$902,$A32,'Commodity Prices'!J$159:J$902)</f>
        <v>71.665781083953249</v>
      </c>
      <c r="F32" s="10"/>
      <c r="G32" s="128"/>
      <c r="H32" s="128"/>
      <c r="I32" s="10"/>
      <c r="J32" s="10"/>
    </row>
    <row r="33" spans="1:10" ht="15.75" thickBot="1">
      <c r="A33" s="1335">
        <f>LARGE('Commodity Prices'!C$159:C$902,37)</f>
        <v>43252</v>
      </c>
      <c r="B33" s="873">
        <f>SUMIF('Commodity Prices'!$C$159:$C$902,$A33,'Commodity Prices'!G$159:G$902)</f>
        <v>64.45</v>
      </c>
      <c r="C33" s="874">
        <f>SUMIF('Commodity Prices'!$C$159:$C$902,$A33,'Commodity Prices'!H$159:H$902)</f>
        <v>86.036577226004539</v>
      </c>
      <c r="D33" s="873">
        <f>SUMIF('Commodity Prices'!$C$159:$C$902,$A33,'Commodity Prices'!I$159:I$902)</f>
        <v>53.440000000000012</v>
      </c>
      <c r="E33" s="874">
        <f>SUMIF('Commodity Prices'!$C$159:$C$902,$A33,'Commodity Prices'!J$159:J$902)</f>
        <v>71.338940061407015</v>
      </c>
      <c r="F33" s="10"/>
      <c r="G33" s="128"/>
      <c r="H33" s="128"/>
      <c r="I33" s="2023" t="s">
        <v>506</v>
      </c>
      <c r="J33" s="2024"/>
    </row>
    <row r="34" spans="1:10" ht="15.75" thickBot="1">
      <c r="A34" s="1336">
        <f>LARGE('Commodity Prices'!C$159:C$902,36)</f>
        <v>43282</v>
      </c>
      <c r="B34" s="706">
        <f>SUMIF('Commodity Prices'!$C$159:$C$902,$A34,'Commodity Prices'!G$159:G$902)</f>
        <v>64.09</v>
      </c>
      <c r="C34" s="705">
        <f>SUMIF('Commodity Prices'!$C$159:$C$902,$A34,'Commodity Prices'!H$159:H$902)</f>
        <v>86.549628629304522</v>
      </c>
      <c r="D34" s="706">
        <f>SUMIF('Commodity Prices'!$C$159:$C$902,$A34,'Commodity Prices'!I$159:I$902)</f>
        <v>53.854545454545452</v>
      </c>
      <c r="E34" s="705">
        <f>SUMIF('Commodity Prices'!$C$159:$C$902,$A34,'Commodity Prices'!J$159:J$902)</f>
        <v>72.721134368669809</v>
      </c>
      <c r="F34" s="10"/>
      <c r="G34" s="128"/>
      <c r="H34" s="128"/>
      <c r="I34" s="1985" t="s">
        <v>464</v>
      </c>
      <c r="J34" s="1986"/>
    </row>
    <row r="35" spans="1:10">
      <c r="A35" s="1335">
        <f>LARGE('Commodity Prices'!C$159:C$902,35)</f>
        <v>43313</v>
      </c>
      <c r="B35" s="873">
        <f>SUMIF('Commodity Prices'!$C$159:$C$902,$A35,'Commodity Prices'!G$159:G$902)</f>
        <v>66.81</v>
      </c>
      <c r="C35" s="874">
        <f>SUMIF('Commodity Prices'!$C$159:$C$902,$A35,'Commodity Prices'!H$159:H$902)</f>
        <v>91.195741195741192</v>
      </c>
      <c r="D35" s="873">
        <f>SUMIF('Commodity Prices'!$C$159:$C$902,$A35,'Commodity Prices'!I$159:I$902)</f>
        <v>55.31136363636363</v>
      </c>
      <c r="E35" s="874">
        <f>SUMIF('Commodity Prices'!$C$159:$C$902,$A35,'Commodity Prices'!J$159:J$902)</f>
        <v>75.416325416325407</v>
      </c>
      <c r="F35" s="10"/>
      <c r="G35" s="128"/>
      <c r="H35" s="128"/>
      <c r="I35" s="1987" t="s">
        <v>507</v>
      </c>
      <c r="J35" s="1987"/>
    </row>
    <row r="36" spans="1:10">
      <c r="A36" s="1336">
        <f>LARGE('Commodity Prices'!C$159:C$902,34)</f>
        <v>43344</v>
      </c>
      <c r="B36" s="706">
        <f>SUMIF('Commodity Prices'!$C$159:$C$902,$A36,'Commodity Prices'!G$159:G$902)</f>
        <v>68.34</v>
      </c>
      <c r="C36" s="705">
        <f>SUMIF('Commodity Prices'!$C$159:$C$902,$A36,'Commodity Prices'!H$159:H$902)</f>
        <v>94.863964464186566</v>
      </c>
      <c r="D36" s="706">
        <f>SUMIF('Commodity Prices'!$C$159:$C$902,$A36,'Commodity Prices'!I$159:I$902)</f>
        <v>55.739999999999988</v>
      </c>
      <c r="E36" s="705">
        <f>SUMIF('Commodity Prices'!$C$159:$C$902,$A36,'Commodity Prices'!J$159:J$902)</f>
        <v>77.373681288173231</v>
      </c>
      <c r="F36" s="10"/>
      <c r="G36" s="128"/>
      <c r="H36" s="128"/>
      <c r="I36" s="10"/>
      <c r="J36" s="10"/>
    </row>
    <row r="37" spans="1:10" ht="15" customHeight="1">
      <c r="A37" s="1335">
        <f>LARGE('Commodity Prices'!C$159:C$902,33)</f>
        <v>43374</v>
      </c>
      <c r="B37" s="873">
        <f>SUMIF('Commodity Prices'!$C$159:$C$902,$A37,'Commodity Prices'!G$159:G$902)</f>
        <v>72.56</v>
      </c>
      <c r="C37" s="874">
        <f>SUMIF('Commodity Prices'!$C$159:$C$902,$A37,'Commodity Prices'!H$159:H$902)</f>
        <v>102.16840326668543</v>
      </c>
      <c r="D37" s="873">
        <f>SUMIF('Commodity Prices'!$C$159:$C$902,$A37,'Commodity Prices'!I$159:I$902)</f>
        <v>59.869565217391312</v>
      </c>
      <c r="E37" s="874">
        <f>SUMIF('Commodity Prices'!$C$159:$C$902,$A37,'Commodity Prices'!J$159:J$902)</f>
        <v>84.300197127569689</v>
      </c>
      <c r="F37" s="10"/>
      <c r="G37" s="128"/>
      <c r="H37" s="128"/>
      <c r="I37" s="2022"/>
      <c r="J37" s="2022"/>
    </row>
    <row r="38" spans="1:10">
      <c r="A38" s="1336">
        <f>LARGE('Commodity Prices'!C$159:C$902,32)</f>
        <v>43405</v>
      </c>
      <c r="B38" s="706">
        <f>SUMIF('Commodity Prices'!$C$159:$C$902,$A38,'Commodity Prices'!G$159:G$902)</f>
        <v>72.290000000000006</v>
      </c>
      <c r="C38" s="705">
        <f>SUMIF('Commodity Prices'!$C$159:$C$902,$A38,'Commodity Prices'!H$159:H$902)</f>
        <v>99.724099875844956</v>
      </c>
      <c r="D38" s="706">
        <f>SUMIF('Commodity Prices'!$C$159:$C$902,$A38,'Commodity Prices'!I$159:I$902)</f>
        <v>63.24285714285714</v>
      </c>
      <c r="E38" s="705">
        <f>SUMIF('Commodity Prices'!$C$159:$C$902,$A38,'Commodity Prices'!J$159:J$902)</f>
        <v>87.239619257828664</v>
      </c>
      <c r="F38" s="10"/>
      <c r="G38" s="128"/>
      <c r="H38" s="128"/>
      <c r="I38" s="2022"/>
      <c r="J38" s="2022"/>
    </row>
    <row r="39" spans="1:10">
      <c r="A39" s="1335">
        <f>LARGE('Commodity Prices'!C$159:C$902,31)</f>
        <v>43435</v>
      </c>
      <c r="B39" s="873">
        <f>SUMIF('Commodity Prices'!$C$159:$C$902,$A39,'Commodity Prices'!G$159:G$902)</f>
        <v>69.319999999999993</v>
      </c>
      <c r="C39" s="874">
        <f>SUMIF('Commodity Prices'!$C$159:$C$902,$A39,'Commodity Prices'!H$159:H$902)</f>
        <v>96.842693489801619</v>
      </c>
      <c r="D39" s="873">
        <f>SUMIF('Commodity Prices'!$C$159:$C$902,$A39,'Commodity Prices'!I$159:I$902)</f>
        <v>61.082499999999996</v>
      </c>
      <c r="E39" s="874">
        <f>SUMIF('Commodity Prices'!$C$159:$C$902,$A39,'Commodity Prices'!J$159:J$902)</f>
        <v>85.191394244202286</v>
      </c>
      <c r="F39" s="10"/>
      <c r="G39" s="128"/>
      <c r="H39" s="128"/>
      <c r="I39" s="2022"/>
      <c r="J39" s="2022"/>
    </row>
    <row r="40" spans="1:10">
      <c r="A40" s="1336">
        <f>LARGE('Commodity Prices'!C$159:C$902,30)</f>
        <v>43466</v>
      </c>
      <c r="B40" s="706">
        <f>SUMIF('Commodity Prices'!$C$159:$C$902,$A40,'Commodity Prices'!G$159:G$902)</f>
        <v>76.11</v>
      </c>
      <c r="C40" s="705">
        <f>SUMIF('Commodity Prices'!$C$159:$C$902,$A40,'Commodity Prices'!H$159:H$902)</f>
        <v>106.43266675989372</v>
      </c>
      <c r="D40" s="706">
        <f>SUMIF('Commodity Prices'!$C$159:$C$902,$A40,'Commodity Prices'!I$159:I$902)</f>
        <v>66.879545454545465</v>
      </c>
      <c r="E40" s="705">
        <f>SUMIF('Commodity Prices'!$C$159:$C$902,$A40,'Commodity Prices'!J$159:J$902)</f>
        <v>93.525381065585236</v>
      </c>
      <c r="F40" s="10"/>
      <c r="G40" s="128"/>
      <c r="H40" s="128"/>
      <c r="I40" s="10"/>
      <c r="J40" s="10"/>
    </row>
    <row r="41" spans="1:10">
      <c r="A41" s="1335">
        <f>LARGE('Commodity Prices'!C$159:C$902,29)</f>
        <v>43497</v>
      </c>
      <c r="B41" s="873">
        <f>SUMIF('Commodity Prices'!$C$159:$C$902,$A41,'Commodity Prices'!G$159:G$902)</f>
        <v>87.12</v>
      </c>
      <c r="C41" s="874">
        <f>SUMIF('Commodity Prices'!$C$159:$C$902,$A41,'Commodity Prices'!H$159:H$902)</f>
        <v>122.05099467637994</v>
      </c>
      <c r="D41" s="873">
        <f>SUMIF('Commodity Prices'!$C$159:$C$902,$A41,'Commodity Prices'!I$159:I$902)</f>
        <v>77.888888888888914</v>
      </c>
      <c r="E41" s="874">
        <f>SUMIF('Commodity Prices'!$C$159:$C$902,$A41,'Commodity Prices'!J$159:J$902)</f>
        <v>109.12020173718129</v>
      </c>
      <c r="F41" s="10"/>
      <c r="G41" s="128"/>
      <c r="H41" s="128"/>
      <c r="I41" s="10"/>
      <c r="J41" s="10"/>
    </row>
    <row r="42" spans="1:10">
      <c r="A42" s="1336">
        <f>LARGE('Commodity Prices'!C$159:C$902,28)</f>
        <v>43525</v>
      </c>
      <c r="B42" s="706">
        <f>SUMIF('Commodity Prices'!$C$159:$C$902,$A42,'Commodity Prices'!G$159:G$902)</f>
        <v>85.75</v>
      </c>
      <c r="C42" s="705">
        <f>SUMIF('Commodity Prices'!$C$159:$C$902,$A42,'Commodity Prices'!H$159:H$902)</f>
        <v>121.06452068332626</v>
      </c>
      <c r="D42" s="706">
        <f>SUMIF('Commodity Prices'!$C$159:$C$902,$A42,'Commodity Prices'!I$159:I$902)</f>
        <v>76.754761904761907</v>
      </c>
      <c r="E42" s="705">
        <f>SUMIF('Commodity Prices'!$C$159:$C$902,$A42,'Commodity Prices'!J$159:J$902)</f>
        <v>108.35804037837075</v>
      </c>
      <c r="F42" s="10"/>
      <c r="G42" s="128"/>
      <c r="H42" s="128"/>
      <c r="I42" s="10"/>
      <c r="J42" s="10"/>
    </row>
    <row r="43" spans="1:10">
      <c r="A43" s="1335">
        <f>LARGE('Commodity Prices'!C$159:C$902,27)</f>
        <v>43556</v>
      </c>
      <c r="B43" s="873">
        <f>SUMIF('Commodity Prices'!$C$159:$C$902,$A43,'Commodity Prices'!G$159:G$902)</f>
        <v>93.54</v>
      </c>
      <c r="C43" s="874">
        <f>SUMIF('Commodity Prices'!$C$159:$C$902,$A43,'Commodity Prices'!H$159:H$902)</f>
        <v>131.52418447694038</v>
      </c>
      <c r="D43" s="873">
        <f>SUMIF('Commodity Prices'!$C$159:$C$902,$A43,'Commodity Prices'!I$159:I$902)</f>
        <v>84.511904761904773</v>
      </c>
      <c r="E43" s="874">
        <f>SUMIF('Commodity Prices'!$C$159:$C$902,$A43,'Commodity Prices'!J$159:J$902)</f>
        <v>118.82733408323959</v>
      </c>
      <c r="F43" s="10"/>
      <c r="G43" s="128"/>
      <c r="H43" s="128"/>
      <c r="I43" s="10"/>
      <c r="J43" s="10"/>
    </row>
    <row r="44" spans="1:10">
      <c r="A44" s="1336">
        <f>LARGE('Commodity Prices'!C$159:C$902,26)</f>
        <v>43586</v>
      </c>
      <c r="B44" s="706">
        <f>SUMIF('Commodity Prices'!$C$159:$C$902,$A44,'Commodity Prices'!G$159:G$902)</f>
        <v>99.06</v>
      </c>
      <c r="C44" s="705">
        <f>SUMIF('Commodity Prices'!$C$159:$C$902,$A44,'Commodity Prices'!H$159:H$902)</f>
        <v>142.65552995391704</v>
      </c>
      <c r="D44" s="706">
        <f>SUMIF('Commodity Prices'!$C$159:$C$902,$A44,'Commodity Prices'!I$159:I$902)</f>
        <v>91.092857142857142</v>
      </c>
      <c r="E44" s="705">
        <f>SUMIF('Commodity Prices'!$C$159:$C$902,$A44,'Commodity Prices'!J$159:J$902)</f>
        <v>131.17799539170508</v>
      </c>
      <c r="F44" s="10"/>
      <c r="G44" s="128"/>
      <c r="H44" s="128"/>
      <c r="I44" s="10"/>
      <c r="J44" s="10"/>
    </row>
    <row r="45" spans="1:10">
      <c r="A45" s="1335">
        <f>LARGE('Commodity Prices'!C$159:C$902,25)</f>
        <v>43617</v>
      </c>
      <c r="B45" s="873">
        <f>SUMIF('Commodity Prices'!$C$159:$C$902,$A45,'Commodity Prices'!G$159:G$902)</f>
        <v>108.69</v>
      </c>
      <c r="C45" s="874">
        <f>SUMIF('Commodity Prices'!$C$159:$C$902,$A45,'Commodity Prices'!H$159:H$902)</f>
        <v>156.43350604490502</v>
      </c>
      <c r="D45" s="873">
        <f>SUMIF('Commodity Prices'!$C$159:$C$902,$A45,'Commodity Prices'!I$159:I$902)</f>
        <v>101.44473684210527</v>
      </c>
      <c r="E45" s="874">
        <f>SUMIF('Commodity Prices'!$C$159:$C$902,$A45,'Commodity Prices'!J$159:J$902)</f>
        <v>145.99884858952217</v>
      </c>
      <c r="F45" s="10"/>
      <c r="G45" s="128"/>
      <c r="H45" s="128"/>
      <c r="I45" s="10"/>
      <c r="J45" s="10"/>
    </row>
    <row r="46" spans="1:10">
      <c r="A46" s="1336">
        <f>LARGE('Commodity Prices'!C$159:C$902,24)</f>
        <v>43647</v>
      </c>
      <c r="B46" s="706">
        <f>SUMIF('Commodity Prices'!$C$159:$C$902,$A46,'Commodity Prices'!G$159:G$902)</f>
        <v>119.96</v>
      </c>
      <c r="C46" s="705">
        <f>SUMIF('Commodity Prices'!$C$159:$C$902,$A46,'Commodity Prices'!H$159:H$902)</f>
        <v>171.88708984095143</v>
      </c>
      <c r="D46" s="706">
        <f>SUMIF('Commodity Prices'!$C$159:$C$902,$A46,'Commodity Prices'!I$159:I$902)</f>
        <v>110.76521739130432</v>
      </c>
      <c r="E46" s="705">
        <f>SUMIF('Commodity Prices'!$C$159:$C$902,$A46,'Commodity Prices'!J$159:J$902)</f>
        <v>158.71901418541339</v>
      </c>
      <c r="F46" s="10"/>
      <c r="G46" s="128"/>
      <c r="H46" s="128"/>
      <c r="I46" s="10"/>
      <c r="J46" s="10"/>
    </row>
    <row r="47" spans="1:10">
      <c r="A47" s="1335">
        <f>LARGE('Commodity Prices'!C$159:C$902,23)</f>
        <v>43678</v>
      </c>
      <c r="B47" s="873">
        <f>SUMIF('Commodity Prices'!$C$159:$C$902,$A47,'Commodity Prices'!G$159:G$902)</f>
        <v>91.19</v>
      </c>
      <c r="C47" s="874">
        <f>SUMIF('Commodity Prices'!$C$159:$C$902,$A47,'Commodity Prices'!H$159:H$902)</f>
        <v>134.75690852667356</v>
      </c>
      <c r="D47" s="873">
        <f>SUMIF('Commodity Prices'!$C$159:$C$902,$A47,'Commodity Prices'!I$159:I$902)</f>
        <v>80.765000000000015</v>
      </c>
      <c r="E47" s="874">
        <f>SUMIF('Commodity Prices'!$C$159:$C$902,$A47,'Commodity Prices'!J$159:J$902)</f>
        <v>119.35865228313877</v>
      </c>
      <c r="F47" s="10"/>
      <c r="G47" s="128"/>
      <c r="H47" s="128"/>
      <c r="I47" s="10"/>
      <c r="J47" s="10"/>
    </row>
    <row r="48" spans="1:10">
      <c r="A48" s="1336">
        <f>LARGE('Commodity Prices'!C$159:C$902,22)</f>
        <v>43709</v>
      </c>
      <c r="B48" s="706">
        <f>SUMIF('Commodity Prices'!$C$159:$C$902,$A48,'Commodity Prices'!G$159:G$902)</f>
        <v>93.3</v>
      </c>
      <c r="C48" s="705">
        <f>SUMIF('Commodity Prices'!$C$159:$C$902,$A48,'Commodity Prices'!H$159:H$902)</f>
        <v>135.84740827023879</v>
      </c>
      <c r="D48" s="706">
        <f>SUMIF('Commodity Prices'!$C$159:$C$902,$A48,'Commodity Prices'!I$159:I$902)</f>
        <v>80.635714285714286</v>
      </c>
      <c r="E48" s="705">
        <f>SUMIF('Commodity Prices'!$C$159:$C$902,$A48,'Commodity Prices'!J$159:J$902)</f>
        <v>117.41409435061153</v>
      </c>
      <c r="F48" s="10"/>
      <c r="G48" s="128"/>
      <c r="H48" s="128"/>
      <c r="I48" s="10"/>
      <c r="J48" s="10"/>
    </row>
    <row r="49" spans="1:10">
      <c r="A49" s="1335">
        <f>LARGE('Commodity Prices'!C$159:C$902,21)</f>
        <v>43739</v>
      </c>
      <c r="B49" s="873">
        <f>SUMIF('Commodity Prices'!$C$159:$C$902,$A49,'Commodity Prices'!G$159:G$902)</f>
        <v>89.61</v>
      </c>
      <c r="C49" s="874">
        <f>SUMIF('Commodity Prices'!$C$159:$C$902,$A49,'Commodity Prices'!H$159:H$902)</f>
        <v>131.81818181818181</v>
      </c>
      <c r="D49" s="873">
        <f>SUMIF('Commodity Prices'!$C$159:$C$902,$A49,'Commodity Prices'!I$159:I$902)</f>
        <v>78.600000000000009</v>
      </c>
      <c r="E49" s="874">
        <f>SUMIF('Commodity Prices'!$C$159:$C$902,$A49,'Commodity Prices'!J$159:J$902)</f>
        <v>116.99029126213593</v>
      </c>
      <c r="F49" s="10"/>
      <c r="G49" s="128"/>
      <c r="H49" s="128"/>
      <c r="I49" s="10"/>
      <c r="J49" s="10"/>
    </row>
    <row r="50" spans="1:10">
      <c r="A50" s="1336">
        <f>LARGE('Commodity Prices'!C$159:C$902,20)</f>
        <v>43770</v>
      </c>
      <c r="B50" s="706">
        <f>SUMIF('Commodity Prices'!$C$159:$C$902,$A50,'Commodity Prices'!G$159:G$902)</f>
        <v>84.25</v>
      </c>
      <c r="C50" s="705">
        <f>SUMIF('Commodity Prices'!$C$159:$C$902,$A50,'Commodity Prices'!H$159:H$902)</f>
        <v>123.42513917374744</v>
      </c>
      <c r="D50" s="706">
        <f>SUMIF('Commodity Prices'!$C$159:$C$902,$A50,'Commodity Prices'!I$159:I$902)</f>
        <v>74.190909090909102</v>
      </c>
      <c r="E50" s="705">
        <f>SUMIF('Commodity Prices'!$C$159:$C$902,$A50,'Commodity Prices'!J$159:J$902)</f>
        <v>110.67975388221505</v>
      </c>
      <c r="F50" s="10"/>
      <c r="G50" s="128"/>
      <c r="H50" s="128"/>
      <c r="I50" s="10"/>
      <c r="J50" s="10"/>
    </row>
    <row r="51" spans="1:10">
      <c r="A51" s="1335">
        <f>LARGE('Commodity Prices'!C$159:C$902,19)</f>
        <v>43800</v>
      </c>
      <c r="B51" s="873">
        <f>SUMIF('Commodity Prices'!$C$159:$C$902,$A51,'Commodity Prices'!G$159:G$902)</f>
        <v>91.4</v>
      </c>
      <c r="C51" s="874">
        <f>SUMIF('Commodity Prices'!$C$159:$C$902,$A51,'Commodity Prices'!H$159:H$902)</f>
        <v>132.67527943097693</v>
      </c>
      <c r="D51" s="873">
        <f>SUMIF('Commodity Prices'!$C$159:$C$902,$A51,'Commodity Prices'!I$159:I$902)</f>
        <v>79.739999999999995</v>
      </c>
      <c r="E51" s="874">
        <f>SUMIF('Commodity Prices'!$C$159:$C$902,$A51,'Commodity Prices'!J$159:J$902)</f>
        <v>117.07069240818699</v>
      </c>
      <c r="F51" s="10"/>
      <c r="G51" s="128"/>
      <c r="H51" s="128"/>
      <c r="I51" s="10"/>
      <c r="J51" s="10"/>
    </row>
    <row r="52" spans="1:10">
      <c r="A52" s="1336">
        <f>LARGE('Commodity Prices'!C$159:C$902,18)</f>
        <v>43831</v>
      </c>
      <c r="B52" s="706">
        <f>SUMIF('Commodity Prices'!$C$159:$C$902,$A52,'Commodity Prices'!G$159:G$902)</f>
        <v>92.8</v>
      </c>
      <c r="C52" s="705">
        <f>SUMIF('Commodity Prices'!$C$159:$C$902,$A52,'Commodity Prices'!H$159:H$902)</f>
        <v>135.25725112957295</v>
      </c>
      <c r="D52" s="706">
        <f>SUMIF('Commodity Prices'!$C$159:$C$902,$A52,'Commodity Prices'!I$159:I$902)</f>
        <v>79.595238095238102</v>
      </c>
      <c r="E52" s="705">
        <f>SUMIF('Commodity Prices'!$C$159:$C$902,$A52,'Commodity Prices'!J$159:J$902)</f>
        <v>116.01113262678632</v>
      </c>
      <c r="F52" s="10"/>
      <c r="G52" s="128"/>
      <c r="H52" s="128"/>
      <c r="I52" s="10"/>
      <c r="J52" s="10"/>
    </row>
    <row r="53" spans="1:10">
      <c r="A53" s="1335">
        <f>LARGE('Commodity Prices'!C$159:C$902,17)</f>
        <v>43862</v>
      </c>
      <c r="B53" s="873">
        <f>SUMIF('Commodity Prices'!$C$159:$C$902,$A53,'Commodity Prices'!G$159:G$902)</f>
        <v>86.03</v>
      </c>
      <c r="C53" s="874">
        <f>SUMIF('Commodity Prices'!$C$159:$C$902,$A53,'Commodity Prices'!H$159:H$902)</f>
        <v>129.07726931732932</v>
      </c>
      <c r="D53" s="873">
        <f>SUMIF('Commodity Prices'!$C$159:$C$902,$A53,'Commodity Prices'!I$159:I$902)</f>
        <v>74.595238095238102</v>
      </c>
      <c r="E53" s="874">
        <f>SUMIF('Commodity Prices'!$C$159:$C$902,$A53,'Commodity Prices'!J$159:J$902)</f>
        <v>111.92083735219521</v>
      </c>
      <c r="F53" s="10"/>
      <c r="G53" s="128"/>
      <c r="H53" s="128"/>
      <c r="I53" s="10"/>
      <c r="J53" s="10"/>
    </row>
    <row r="54" spans="1:10">
      <c r="A54" s="1336">
        <f>LARGE('Commodity Prices'!C$159:C$902,16)</f>
        <v>43891</v>
      </c>
      <c r="B54" s="706">
        <f>SUMIF('Commodity Prices'!$C$159:$C$902,$A54,'Commodity Prices'!G$159:G$902)</f>
        <v>87.55</v>
      </c>
      <c r="C54" s="705">
        <f>SUMIF('Commodity Prices'!$C$159:$C$902,$A54,'Commodity Prices'!H$159:H$902)</f>
        <v>140.86886564762671</v>
      </c>
      <c r="D54" s="706">
        <f>SUMIF('Commodity Prices'!$C$159:$C$902,$A54,'Commodity Prices'!I$159:I$902)</f>
        <v>77.736363636363649</v>
      </c>
      <c r="E54" s="705">
        <f>SUMIF('Commodity Prices'!$C$159:$C$902,$A54,'Commodity Prices'!J$159:J$902)</f>
        <v>125.07862210195276</v>
      </c>
      <c r="F54" s="10"/>
      <c r="G54" s="128"/>
      <c r="H54" s="128"/>
      <c r="I54" s="10"/>
      <c r="J54" s="10"/>
    </row>
    <row r="55" spans="1:10">
      <c r="A55" s="1335">
        <f>LARGE('Commodity Prices'!C$159:C$902,15)</f>
        <v>43922</v>
      </c>
      <c r="B55" s="873">
        <f>SUMIF('Commodity Prices'!$C$159:$C$902,$A55,'Commodity Prices'!G$159:G$902)</f>
        <v>83.51</v>
      </c>
      <c r="C55" s="874">
        <f>SUMIF('Commodity Prices'!$C$159:$C$902,$A55,'Commodity Prices'!H$159:H$902)</f>
        <v>132.32451275550628</v>
      </c>
      <c r="D55" s="873">
        <f>SUMIF('Commodity Prices'!$C$159:$C$902,$A55,'Commodity Prices'!I$159:I$902)</f>
        <v>73.719047619047601</v>
      </c>
      <c r="E55" s="874">
        <f>SUMIF('Commodity Prices'!$C$159:$C$902,$A55,'Commodity Prices'!J$159:J$902)</f>
        <v>116.81040662184694</v>
      </c>
      <c r="F55" s="10"/>
      <c r="G55" s="128"/>
      <c r="H55" s="128"/>
      <c r="I55" s="10"/>
      <c r="J55" s="10"/>
    </row>
    <row r="56" spans="1:10">
      <c r="A56" s="1336">
        <f>LARGE('Commodity Prices'!C$159:C$902,14)</f>
        <v>43952</v>
      </c>
      <c r="B56" s="706">
        <f>SUMIF('Commodity Prices'!$C$159:$C$902,$A56,'Commodity Prices'!G$159:G$902)</f>
        <v>92.29</v>
      </c>
      <c r="C56" s="705">
        <f>SUMIF('Commodity Prices'!$C$159:$C$902,$A56,'Commodity Prices'!H$159:H$902)</f>
        <v>141.59251304081008</v>
      </c>
      <c r="D56" s="706">
        <f>SUMIF('Commodity Prices'!$C$159:$C$902,$A56,'Commodity Prices'!I$159:I$902)</f>
        <v>80.594999999999999</v>
      </c>
      <c r="E56" s="705">
        <f>SUMIF('Commodity Prices'!$C$159:$C$902,$A56,'Commodity Prices'!J$159:J$902)</f>
        <v>123.64989260509358</v>
      </c>
      <c r="F56" s="10"/>
      <c r="G56" s="128"/>
      <c r="H56" s="128"/>
      <c r="I56" s="10"/>
      <c r="J56" s="10"/>
    </row>
    <row r="57" spans="1:10">
      <c r="A57" s="1335">
        <f>LARGE('Commodity Prices'!C$159:C$902,13)</f>
        <v>43983</v>
      </c>
      <c r="B57" s="873">
        <f>SUMIF('Commodity Prices'!$C$159:$C$902,$A57,'Commodity Prices'!G$159:G$902)</f>
        <v>100.42</v>
      </c>
      <c r="C57" s="874">
        <f>SUMIF('Commodity Prices'!$C$159:$C$902,$A57,'Commodity Prices'!H$159:H$902)</f>
        <v>145.49405969284265</v>
      </c>
      <c r="D57" s="873">
        <f>SUMIF('Commodity Prices'!$C$159:$C$902,$A57,'Commodity Prices'!I$159:I$902)</f>
        <v>90.297727272727272</v>
      </c>
      <c r="E57" s="874">
        <f>SUMIF('Commodity Prices'!$C$159:$C$902,$A57,'Commodity Prices'!J$159:J$902)</f>
        <v>130.82835014883696</v>
      </c>
      <c r="F57" s="10"/>
      <c r="G57" s="128"/>
      <c r="H57" s="128"/>
    </row>
    <row r="58" spans="1:10">
      <c r="A58" s="1336">
        <f>LARGE('Commodity Prices'!C$159:C$902,12)</f>
        <v>44013</v>
      </c>
      <c r="B58" s="706">
        <f>SUMIF('Commodity Prices'!$C$159:$C$902,$A58,'Commodity Prices'!G$159:G$902)</f>
        <v>107.32</v>
      </c>
      <c r="C58" s="705">
        <f>SUMIF('Commodity Prices'!$C$159:$C$902,$A58,'Commodity Prices'!H$159:H$902)</f>
        <v>152.55152807391613</v>
      </c>
      <c r="D58" s="706">
        <f>SUMIF('Commodity Prices'!$C$159:$C$902,$A58,'Commodity Prices'!I$159:I$902)</f>
        <v>95.263636363636365</v>
      </c>
      <c r="E58" s="705">
        <f>SUMIF('Commodity Prices'!$C$159:$C$902,$A58,'Commodity Prices'!J$159:J$902)</f>
        <v>135.41383989145183</v>
      </c>
      <c r="F58" s="10"/>
      <c r="G58" s="128"/>
      <c r="H58" s="128"/>
    </row>
    <row r="59" spans="1:10">
      <c r="A59" s="1335">
        <f>LARGE('Commodity Prices'!C$159:C$902,11)</f>
        <v>44044</v>
      </c>
      <c r="B59" s="873">
        <f>SUMIF('Commodity Prices'!$C$159:$C$902,$A59,'Commodity Prices'!G$159:G$902)</f>
        <v>122.43</v>
      </c>
      <c r="C59" s="874">
        <f>SUMIF('Commodity Prices'!$C$159:$C$902,$A59,'Commodity Prices'!H$159:H$902)</f>
        <v>170.01805304818777</v>
      </c>
      <c r="D59" s="873">
        <f>SUMIF('Commodity Prices'!$C$159:$C$902,$A59,'Commodity Prices'!I$159:I$902)</f>
        <v>108.63499999999999</v>
      </c>
      <c r="E59" s="874">
        <f>SUMIF('Commodity Prices'!$C$159:$C$902,$A59,'Commodity Prices'!J$159:J$902)</f>
        <v>150.86099152895432</v>
      </c>
      <c r="F59" s="10"/>
      <c r="G59" s="128"/>
      <c r="H59" s="128"/>
    </row>
    <row r="60" spans="1:10">
      <c r="A60" s="1336">
        <f>LARGE('Commodity Prices'!C$159:C$902,10)</f>
        <v>44075</v>
      </c>
      <c r="B60" s="706">
        <f>SUMIF('Commodity Prices'!$C$159:$C$902,$A60,'Commodity Prices'!G$159:G$902)</f>
        <v>123.96</v>
      </c>
      <c r="C60" s="705">
        <f>SUMIF('Commodity Prices'!$C$159:$C$902,$A60,'Commodity Prices'!H$159:H$902)</f>
        <v>171.52345371523452</v>
      </c>
      <c r="D60" s="706">
        <f>SUMIF('Commodity Prices'!$C$159:$C$902,$A60,'Commodity Prices'!I$159:I$902)</f>
        <v>112.57045454545454</v>
      </c>
      <c r="E60" s="705">
        <f>SUMIF('Commodity Prices'!$C$159:$C$902,$A60,'Commodity Prices'!J$159:J$902)</f>
        <v>155.76373951218284</v>
      </c>
      <c r="F60" s="10"/>
      <c r="G60" s="128"/>
      <c r="H60" s="128"/>
    </row>
    <row r="61" spans="1:10">
      <c r="A61" s="1335">
        <f>LARGE('Commodity Prices'!C$159:C$902,9)</f>
        <v>44105</v>
      </c>
      <c r="B61" s="873">
        <f>SUMIF('Commodity Prices'!$C$159:$C$902,$A61,'Commodity Prices'!G$159:G$902)</f>
        <v>120</v>
      </c>
      <c r="C61" s="874">
        <f>SUMIF('Commodity Prices'!$C$159:$C$902,$A61,'Commodity Prices'!H$159:H$902)</f>
        <v>168.44469399213924</v>
      </c>
      <c r="D61" s="873">
        <f>SUMIF('Commodity Prices'!$C$159:$C$902,$A61,'Commodity Prices'!I$159:I$902)</f>
        <v>109.5086956521739</v>
      </c>
      <c r="E61" s="874">
        <f>SUMIF('Commodity Prices'!$C$159:$C$902,$A61,'Commodity Prices'!J$159:J$902)</f>
        <v>153.71798940507284</v>
      </c>
      <c r="F61" s="10"/>
      <c r="G61" s="128"/>
      <c r="H61" s="128"/>
    </row>
    <row r="62" spans="1:10">
      <c r="A62" s="1336">
        <f>LARGE('Commodity Prices'!C$159:C$902,8)</f>
        <v>44136</v>
      </c>
      <c r="B62" s="706">
        <f>SUMIF('Commodity Prices'!$C$159:$C$902,$A62,'Commodity Prices'!G$159:G$902)</f>
        <v>125</v>
      </c>
      <c r="C62" s="705">
        <f>SUMIF('Commodity Prices'!$C$159:$C$902,$A62,'Commodity Prices'!H$159:H$902)</f>
        <v>171.65613842351004</v>
      </c>
      <c r="D62" s="706">
        <f>SUMIF('Commodity Prices'!$C$159:$C$902,$A62,'Commodity Prices'!I$159:I$902)</f>
        <v>113.83809523809499</v>
      </c>
      <c r="E62" s="705">
        <f>SUMIF('Commodity Prices'!$C$159:$C$902,$A62,'Commodity Prices'!J$159:J$902)</f>
        <v>156.32806267247321</v>
      </c>
      <c r="F62" s="10"/>
      <c r="G62" s="128"/>
      <c r="H62" s="128"/>
    </row>
    <row r="63" spans="1:10">
      <c r="A63" s="1335">
        <f>LARGE('Commodity Prices'!C$159:C$902,7)</f>
        <v>44166</v>
      </c>
      <c r="B63" s="873">
        <f>SUMIF('Commodity Prices'!$C$159:$C$902,$A63,'Commodity Prices'!G$159:G$902)</f>
        <v>156</v>
      </c>
      <c r="C63" s="874">
        <f>SUMIF('Commodity Prices'!$C$159:$C$902,$A63,'Commodity Prices'!H$159:H$902)</f>
        <v>206.95144600689838</v>
      </c>
      <c r="D63" s="873">
        <f>SUMIF('Commodity Prices'!$C$159:$C$902,$A63,'Commodity Prices'!I$159:I$902)</f>
        <v>142.4</v>
      </c>
      <c r="E63" s="874">
        <f>SUMIF('Commodity Prices'!$C$159:$C$902,$A63,'Commodity Prices'!J$159:J$902)</f>
        <v>188.90952507296365</v>
      </c>
      <c r="F63" s="10"/>
      <c r="G63" s="128"/>
      <c r="H63" s="128"/>
    </row>
    <row r="64" spans="1:10">
      <c r="A64" s="1335">
        <f>LARGE('Commodity Prices'!C$159:C$902,6)</f>
        <v>44197</v>
      </c>
      <c r="B64" s="706">
        <f>SUMIF('Commodity Prices'!$C$159:$C$902,$A64,'Commodity Prices'!G$159:G$902)</f>
        <v>168</v>
      </c>
      <c r="C64" s="705">
        <f>SUMIF('Commodity Prices'!$C$159:$C$902,$A64,'Commodity Prices'!H$159:H$902)</f>
        <v>217.53204713194356</v>
      </c>
      <c r="D64" s="706">
        <f>SUMIF('Commodity Prices'!$C$159:$C$902,$A64,'Commodity Prices'!I$159:I$902)</f>
        <v>155.02380952380952</v>
      </c>
      <c r="E64" s="705">
        <f>SUMIF('Commodity Prices'!$C$159:$C$902,$A64,'Commodity Prices'!J$159:J$902)</f>
        <v>200.73003952325459</v>
      </c>
      <c r="F64" s="10"/>
      <c r="G64" s="128"/>
      <c r="H64" s="128"/>
    </row>
    <row r="65" spans="1:8">
      <c r="A65" s="1335">
        <f>LARGE('Commodity Prices'!C$159:C$902,5)</f>
        <v>44228</v>
      </c>
      <c r="B65" s="873">
        <f>SUMIF('Commodity Prices'!$C$159:$C$902,$A65,'Commodity Prices'!G$159:G$902)</f>
        <v>165.36</v>
      </c>
      <c r="C65" s="874">
        <f>SUMIF('Commodity Prices'!$C$159:$C$902,$A65,'Commodity Prices'!H$159:H$902)</f>
        <v>213.23017408123795</v>
      </c>
      <c r="D65" s="873">
        <f>SUMIF('Commodity Prices'!$C$159:$C$902,$A65,'Commodity Prices'!I$159:I$902)</f>
        <v>152.72499999999999</v>
      </c>
      <c r="E65" s="874">
        <f>SUMIF('Commodity Prices'!$C$159:$C$902,$A65,'Commodity Prices'!J$159:J$902)</f>
        <v>196.93745970341715</v>
      </c>
      <c r="F65" s="10"/>
      <c r="G65" s="128"/>
      <c r="H65" s="128"/>
    </row>
    <row r="66" spans="1:8">
      <c r="A66" s="1335">
        <f>LARGE('Commodity Prices'!C$159:C$902,4)</f>
        <v>44256</v>
      </c>
      <c r="B66" s="706">
        <f>SUMIF('Commodity Prices'!$C$159:$C$902,$A66,'Commodity Prices'!G$159:G$902)</f>
        <v>166.9</v>
      </c>
      <c r="C66" s="705">
        <f>SUMIF('Commodity Prices'!$C$159:$C$902,$A66,'Commodity Prices'!H$159:H$902)</f>
        <v>216.58447962626528</v>
      </c>
      <c r="D66" s="706">
        <f>SUMIF('Commodity Prices'!$C$159:$C$902,$A66,'Commodity Prices'!I$159:I$902)</f>
        <v>152.57173913043479</v>
      </c>
      <c r="E66" s="705">
        <f>SUMIF('Commodity Prices'!$C$159:$C$902,$A66,'Commodity Prices'!J$159:J$902)</f>
        <v>197.99083717938595</v>
      </c>
      <c r="F66" s="10"/>
      <c r="G66" s="128"/>
      <c r="H66" s="128"/>
    </row>
    <row r="67" spans="1:8">
      <c r="A67" s="1335">
        <f>LARGE('Commodity Prices'!C$159:C$902,3)</f>
        <v>44287</v>
      </c>
      <c r="B67" s="873">
        <f>SUMIF('Commodity Prices'!$C$159:$C$902,$A67,'Commodity Prices'!G$159:G$902)</f>
        <v>179.85</v>
      </c>
      <c r="C67" s="874">
        <f>SUMIF('Commodity Prices'!$C$159:$C$902,$A67,'Commodity Prices'!H$159:H$902)</f>
        <v>233.51077642170864</v>
      </c>
      <c r="D67" s="873">
        <f>SUMIF('Commodity Prices'!$C$159:$C$902,$A67,'Commodity Prices'!I$159:I$902)</f>
        <v>158.73809523809521</v>
      </c>
      <c r="E67" s="874">
        <f>SUMIF('Commodity Prices'!$C$159:$C$902,$A67,'Commodity Prices'!J$159:J$902)</f>
        <v>206.0998380136266</v>
      </c>
      <c r="F67" s="10"/>
      <c r="G67" s="128"/>
      <c r="H67" s="128"/>
    </row>
    <row r="68" spans="1:8">
      <c r="A68" s="1335">
        <f>LARGE('Commodity Prices'!C$159:C$902,2)</f>
        <v>44317</v>
      </c>
      <c r="B68" s="706">
        <f>SUMIF('Commodity Prices'!$C$159:$C$902,$A68,'Commodity Prices'!G$159:G$902)</f>
        <v>205.37</v>
      </c>
      <c r="C68" s="705">
        <f>SUMIF('Commodity Prices'!$C$159:$C$902,$A68,'Commodity Prices'!H$159:H$902)</f>
        <v>264.61796160288623</v>
      </c>
      <c r="D68" s="706">
        <f>SUMIF('Commodity Prices'!$C$159:$C$902,$A68,'Commodity Prices'!I$159:I$902)</f>
        <v>178.91250000000002</v>
      </c>
      <c r="E68" s="705">
        <f>SUMIF('Commodity Prices'!$C$159:$C$902,$A68,'Commodity Prices'!J$159:J$902)</f>
        <v>230.5276381909548</v>
      </c>
      <c r="F68" s="10"/>
      <c r="G68" s="128"/>
      <c r="H68" s="128"/>
    </row>
    <row r="69" spans="1:8" ht="15.75" thickBot="1">
      <c r="A69" s="1688">
        <f>LARGE('Commodity Prices'!C$159:C$902,1)</f>
        <v>44348</v>
      </c>
      <c r="B69" s="883">
        <f>SUMIF('Commodity Prices'!$C$159:$C$902,$A69,'Commodity Prices'!G$159:G$902)</f>
        <v>214.61</v>
      </c>
      <c r="C69" s="884">
        <f>SUMIF('Commodity Prices'!$C$159:$C$902,$A69,'Commodity Prices'!H$159:H$902)</f>
        <v>280.93991360125671</v>
      </c>
      <c r="D69" s="883">
        <f>SUMIF('Commodity Prices'!$C$159:$C$902,$A69,'Commodity Prices'!I$159:I$902)</f>
        <v>184.411363636364</v>
      </c>
      <c r="E69" s="884">
        <f>SUMIF('Commodity Prices'!$C$159:$C$902,$A69,'Commodity Prices'!J$159:J$902)</f>
        <v>241.40772828428328</v>
      </c>
    </row>
    <row r="72" spans="1:8">
      <c r="A72" s="148"/>
    </row>
  </sheetData>
  <mergeCells count="8">
    <mergeCell ref="I37:J39"/>
    <mergeCell ref="I34:J34"/>
    <mergeCell ref="I35:J35"/>
    <mergeCell ref="A6:E6"/>
    <mergeCell ref="I6:J6"/>
    <mergeCell ref="A7:E7"/>
    <mergeCell ref="I7:J7"/>
    <mergeCell ref="I33:J33"/>
  </mergeCells>
  <dataValidations count="1">
    <dataValidation type="list" allowBlank="1" showInputMessage="1" showErrorMessage="1" promptTitle="Select a Period:" prompt="Select Financial or Calendar years." sqref="I34:J34">
      <formula1>$Y$1:$Y$2</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A76"/>
  <sheetViews>
    <sheetView showGridLines="0" workbookViewId="0">
      <selection activeCell="L30" sqref="L30"/>
    </sheetView>
  </sheetViews>
  <sheetFormatPr defaultRowHeight="15"/>
  <cols>
    <col min="1" max="1" width="26.85546875" style="432" customWidth="1"/>
    <col min="2" max="2" width="5.28515625" style="432" bestFit="1" customWidth="1"/>
    <col min="3" max="3" width="17.5703125" style="432" bestFit="1" customWidth="1"/>
    <col min="4" max="4" width="15.140625" style="432" bestFit="1" customWidth="1"/>
    <col min="5" max="12" width="15.42578125" style="432" customWidth="1"/>
    <col min="13" max="13" width="19.140625" style="432" customWidth="1"/>
    <col min="14" max="14" width="15.42578125" style="432" customWidth="1"/>
    <col min="15" max="16" width="9.140625" style="432"/>
    <col min="17" max="18" width="12" style="432" bestFit="1" customWidth="1"/>
    <col min="19" max="19" width="14.85546875" style="432" bestFit="1" customWidth="1"/>
    <col min="20" max="20" width="12" style="432" bestFit="1" customWidth="1"/>
    <col min="21" max="21" width="17.28515625" style="432" bestFit="1" customWidth="1"/>
    <col min="22" max="22" width="9.140625" style="432"/>
    <col min="23" max="23" width="17.85546875" style="432" customWidth="1"/>
    <col min="24" max="16384" width="9.140625" style="432"/>
  </cols>
  <sheetData>
    <row r="1" spans="1:27">
      <c r="V1" s="438" t="s">
        <v>2</v>
      </c>
      <c r="W1" s="439" t="str">
        <f>"Iron Ore Exports "&amp;B6&amp;CHAR(10)&amp;"Total Value: $"&amp;TEXT(C16,"#,###")</f>
        <v>Iron Ore Exports 2020-21
Total Value: $150,156,019,000</v>
      </c>
      <c r="X1" s="439" t="s">
        <v>369</v>
      </c>
      <c r="Y1" s="439" t="str">
        <f>IF($B$5="Calendar Year",MAX('Commodity Prices'!$AJ$9:$AJ$3502),CONCATENATE(MAX('Commodity Prices'!$AV$9:$AV$3487),"-",VALUE(RIGHT(MAX('Commodity Prices'!$AV$9:$AV$3487),2))+1))</f>
        <v>2020-21</v>
      </c>
      <c r="Z1" s="438">
        <f t="array" ref="Z1">MIN(IF('Commodity Prices'!$AI$9:$AI$3502=V1,'Commodity Prices'!$AJ$9:$AJ$3502))</f>
        <v>2007</v>
      </c>
      <c r="AA1" s="438"/>
    </row>
    <row r="2" spans="1:27">
      <c r="V2" s="438"/>
      <c r="W2" s="439" t="str">
        <f>IF($B$5=X1,IF(RIGHT(LEFT(B6,5),1)="-","Mismatch Error",""),IF(LEN(B6)=4,"Mismatch Error",""))</f>
        <v/>
      </c>
      <c r="X2" s="439" t="s">
        <v>382</v>
      </c>
      <c r="Y2" s="439" t="str">
        <f>IFERROR(IF($B$5=$X$1,IF($Z$1&lt;=(Y1-1),Y1-1,""),IF($Z$1=VALUE(LEFT(Y1,4)),"",CONCATENATE(VALUE(LEFT(Y1,4))-1,"-",RIGHT(LEFT(Y1,4),2)))),"")</f>
        <v>2019-20</v>
      </c>
      <c r="Z2" s="438"/>
      <c r="AA2" s="438"/>
    </row>
    <row r="3" spans="1:27">
      <c r="V3" s="438"/>
      <c r="W3" s="439"/>
      <c r="X3" s="439"/>
      <c r="Y3" s="439" t="str">
        <f t="shared" ref="Y3:Y25" si="0">IFERROR(IF($B$5=$X$1,IF($Z$1&lt;=(Y2-1),Y2-1,""),IF($Z$1=VALUE(LEFT(Y2,4)),"",CONCATENATE(VALUE(LEFT(Y2,4))-1,"-",RIGHT(LEFT(Y2,4),2)))),"")</f>
        <v>2018-19</v>
      </c>
      <c r="Z3" s="438"/>
      <c r="AA3" s="438"/>
    </row>
    <row r="4" spans="1:27" ht="26.25" customHeight="1" thickBot="1">
      <c r="V4" s="438"/>
      <c r="W4" s="439"/>
      <c r="X4" s="439"/>
      <c r="Y4" s="439" t="str">
        <f t="shared" si="0"/>
        <v>2017-18</v>
      </c>
      <c r="Z4" s="438"/>
      <c r="AA4" s="438"/>
    </row>
    <row r="5" spans="1:27" ht="15.75" thickBot="1">
      <c r="A5" s="30" t="s">
        <v>383</v>
      </c>
      <c r="B5" s="2025" t="s">
        <v>382</v>
      </c>
      <c r="C5" s="2020"/>
      <c r="D5" s="2021"/>
      <c r="E5" s="425"/>
      <c r="V5" s="438"/>
      <c r="W5" s="439"/>
      <c r="X5" s="439"/>
      <c r="Y5" s="439" t="str">
        <f t="shared" si="0"/>
        <v>2016-17</v>
      </c>
      <c r="Z5" s="438"/>
      <c r="AA5" s="438"/>
    </row>
    <row r="6" spans="1:27" ht="15.75" thickBot="1">
      <c r="A6" s="30" t="s">
        <v>383</v>
      </c>
      <c r="B6" s="2025" t="s">
        <v>808</v>
      </c>
      <c r="C6" s="2020"/>
      <c r="D6" s="2021"/>
      <c r="E6" s="425"/>
      <c r="R6" s="459"/>
      <c r="V6" s="438"/>
      <c r="W6" s="439"/>
      <c r="X6" s="439"/>
      <c r="Y6" s="439" t="str">
        <f t="shared" si="0"/>
        <v>2015-16</v>
      </c>
      <c r="Z6" s="438"/>
      <c r="AA6" s="438"/>
    </row>
    <row r="7" spans="1:27">
      <c r="R7" s="459"/>
      <c r="V7" s="438"/>
      <c r="W7" s="439"/>
      <c r="X7" s="439"/>
      <c r="Y7" s="439" t="str">
        <f t="shared" si="0"/>
        <v>2014-15</v>
      </c>
      <c r="Z7" s="438"/>
      <c r="AA7" s="438"/>
    </row>
    <row r="8" spans="1:27" ht="15.75" thickBot="1">
      <c r="A8" s="1981" t="str">
        <f>IF($B$6="Click here to select an option","Select a year above for display.",CONCATENATE("Iron Ore Exports ",B6))</f>
        <v>Iron Ore Exports 2020-21</v>
      </c>
      <c r="B8" s="1981"/>
      <c r="C8" s="1981"/>
      <c r="D8" s="1981"/>
      <c r="R8" s="459"/>
      <c r="V8" s="438"/>
      <c r="W8" s="439"/>
      <c r="X8" s="439"/>
      <c r="Y8" s="439" t="str">
        <f t="shared" si="0"/>
        <v>2013-14</v>
      </c>
      <c r="Z8" s="438"/>
      <c r="AA8" s="438"/>
    </row>
    <row r="9" spans="1:27" ht="15.75" thickBot="1">
      <c r="A9" s="62" t="s">
        <v>37</v>
      </c>
      <c r="B9" s="902" t="s">
        <v>38</v>
      </c>
      <c r="C9" s="872" t="s">
        <v>678</v>
      </c>
      <c r="D9" s="66" t="s">
        <v>40</v>
      </c>
      <c r="R9" s="459"/>
      <c r="V9" s="438"/>
      <c r="W9" s="439"/>
      <c r="X9" s="439"/>
      <c r="Y9" s="439" t="str">
        <f t="shared" si="0"/>
        <v>2012-13</v>
      </c>
      <c r="Z9" s="438"/>
      <c r="AA9" s="438"/>
    </row>
    <row r="10" spans="1:27">
      <c r="A10" s="71" t="str">
        <f t="array" ref="A10">IF($W$2="Mismatch Error","Mismatch Error",IF($B$5=$X$1,INDEX('Commodity Prices'!$AI$9:$AN$3502,MATCH(1,(('Commodity Prices'!$AI$9:$AI$3502)="Iron Ore")*(('Commodity Prices'!$AJ$9:$AJ$3502)=$B$6)*(('Commodity Prices'!$AL$9:$AL$3502)=B10),0),3),INDEX('Commodity Prices'!$AP$9:$AU$3487,MATCH(1,(('Commodity Prices'!$AP$9:$AP$3487)="Iron Ore")*(('Commodity Prices'!$AQ$9:$AQ$3487)=$B$6)*(('Commodity Prices'!$AS$9:$AS$3487)=B10),0),3)))</f>
        <v>China</v>
      </c>
      <c r="B10" s="885">
        <v>1</v>
      </c>
      <c r="C10" s="891">
        <f t="array" ref="C10">IF($W$2="Mismatch Error","",IF($B$5=$X$1,INDEX('Commodity Prices'!$AI$9:$AN$3502,MATCH(1,(('Commodity Prices'!$AI$9:$AI$3502)="Iron Ore")*(('Commodity Prices'!$AJ$9:$AJ$3502)=$B$6)*(('Commodity Prices'!$AL$9:$AL$3502)=B10),0),5),INDEX('Commodity Prices'!$AP$9:$AU$3487,MATCH(1,(('Commodity Prices'!$AP$9:$AP$3487)="Iron Ore")*(('Commodity Prices'!$AQ$9:$AQ$3487)=$B$6)*(('Commodity Prices'!$AS$9:$AS$3487)=B10),0),5)))</f>
        <v>122655235000</v>
      </c>
      <c r="D10" s="886">
        <f t="shared" ref="D10:D15" si="1">IF($W$2="Mismatch Error","",C10/$C$16)</f>
        <v>0.81685193718408322</v>
      </c>
      <c r="R10" s="459"/>
      <c r="V10" s="438"/>
      <c r="W10" s="439"/>
      <c r="X10" s="439"/>
      <c r="Y10" s="439" t="str">
        <f t="shared" si="0"/>
        <v>2011-12</v>
      </c>
      <c r="Z10" s="438"/>
      <c r="AA10" s="438"/>
    </row>
    <row r="11" spans="1:27">
      <c r="A11" s="786" t="str">
        <f t="array" ref="A11">IF($W$2="Mismatch Error","",IF($B$5=$X$1,INDEX('Commodity Prices'!$AI$9:$AN$3502,MATCH(1,(('Commodity Prices'!$AI$9:$AI$3502)="Iron Ore")*(('Commodity Prices'!$AJ$9:$AJ$3502)=$B$6)*(('Commodity Prices'!$AL$9:$AL$3502)=B11),0),3),INDEX('Commodity Prices'!$AP$9:$AU$3487,MATCH(1,(('Commodity Prices'!$AP$9:$AP$3487)="Iron Ore")*(('Commodity Prices'!$AQ$9:$AQ$3487)=$B$6)*(('Commodity Prices'!$AS$9:$AS$3487)=B11),0),3)))</f>
        <v>Japan</v>
      </c>
      <c r="B11" s="887">
        <v>2</v>
      </c>
      <c r="C11" s="787">
        <f t="array" ref="C11">IF($W$2="Mismatch Error","",IF($B$5=$X$1,INDEX('Commodity Prices'!$AI$9:$AN$3502,MATCH(1,(('Commodity Prices'!$AI$9:$AI$3502)="Iron Ore")*(('Commodity Prices'!$AJ$9:$AJ$3502)=$B$6)*(('Commodity Prices'!$AL$9:$AL$3502)=B11),0),5),INDEX('Commodity Prices'!$AP$9:$AU$3487,MATCH(1,(('Commodity Prices'!$AP$9:$AP$3487)="Iron Ore")*(('Commodity Prices'!$AQ$9:$AQ$3487)=$B$6)*(('Commodity Prices'!$AS$9:$AS$3487)=B11),0),5)))</f>
        <v>8905082000</v>
      </c>
      <c r="D11" s="888">
        <f t="shared" si="1"/>
        <v>5.9305528072104791E-2</v>
      </c>
      <c r="E11" s="431"/>
      <c r="R11" s="459"/>
      <c r="V11" s="438"/>
      <c r="W11" s="439"/>
      <c r="X11" s="439"/>
      <c r="Y11" s="439" t="str">
        <f t="shared" si="0"/>
        <v>2010-11</v>
      </c>
      <c r="Z11" s="438"/>
      <c r="AA11" s="438"/>
    </row>
    <row r="12" spans="1:27">
      <c r="A12" s="71" t="str">
        <f t="array" ref="A12">IF($W$2="Mismatch Error","",IF($B$5=$X$1,INDEX('Commodity Prices'!$AI$9:$AN$3502,MATCH(1,(('Commodity Prices'!$AI$9:$AI$3502)="Iron Ore")*(('Commodity Prices'!$AJ$9:$AJ$3502)=$B$6)*(('Commodity Prices'!$AL$9:$AL$3502)=B12),0),3),INDEX('Commodity Prices'!$AP$9:$AU$3487,MATCH(1,(('Commodity Prices'!$AP$9:$AP$3487)="Iron Ore")*(('Commodity Prices'!$AQ$9:$AQ$3487)=$B$6)*(('Commodity Prices'!$AS$9:$AS$3487)=B12),0),3)))</f>
        <v>Korea, Republic of</v>
      </c>
      <c r="B12" s="885">
        <v>3</v>
      </c>
      <c r="C12" s="891">
        <f t="array" ref="C12">IF($W$2="Mismatch Error","",IF($B$5=$X$1,INDEX('Commodity Prices'!$AI$9:$AN$3502,MATCH(1,(('Commodity Prices'!$AI$9:$AI$3502)="Iron Ore")*(('Commodity Prices'!$AJ$9:$AJ$3502)=$B$6)*(('Commodity Prices'!$AL$9:$AL$3502)=B12),0),5),INDEX('Commodity Prices'!$AP$9:$AU$3487,MATCH(1,(('Commodity Prices'!$AP$9:$AP$3487)="Iron Ore")*(('Commodity Prices'!$AQ$9:$AQ$3487)=$B$6)*(('Commodity Prices'!$AS$9:$AS$3487)=B12),0),5)))</f>
        <v>8622225000</v>
      </c>
      <c r="D12" s="886">
        <f t="shared" si="1"/>
        <v>5.7421774081530493E-2</v>
      </c>
      <c r="E12" s="431"/>
      <c r="R12" s="459"/>
      <c r="V12" s="438"/>
      <c r="W12" s="439"/>
      <c r="X12" s="439"/>
      <c r="Y12" s="439" t="str">
        <f t="shared" si="0"/>
        <v>2009-10</v>
      </c>
      <c r="Z12" s="438"/>
      <c r="AA12" s="438"/>
    </row>
    <row r="13" spans="1:27">
      <c r="A13" s="786" t="str">
        <f t="array" ref="A13">IF($W$2="Mismatch Error","",IF($B$5=$X$1,INDEX('Commodity Prices'!$AI$9:$AN$3502,MATCH(1,(('Commodity Prices'!$AI$9:$AI$3502)="Iron Ore")*(('Commodity Prices'!$AJ$9:$AJ$3502)=$B$6)*(('Commodity Prices'!$AL$9:$AL$3502)=B13),0),3),INDEX('Commodity Prices'!$AP$9:$AU$3487,MATCH(1,(('Commodity Prices'!$AP$9:$AP$3487)="Iron Ore")*(('Commodity Prices'!$AQ$9:$AQ$3487)=$B$6)*(('Commodity Prices'!$AS$9:$AS$3487)=B13),0),3)))</f>
        <v>Singapore</v>
      </c>
      <c r="B13" s="887">
        <v>4</v>
      </c>
      <c r="C13" s="787">
        <f t="array" ref="C13">IF($W$2="Mismatch Error","",IF($B$5=$X$1,INDEX('Commodity Prices'!$AI$9:$AN$3502,MATCH(1,(('Commodity Prices'!$AI$9:$AI$3502)="Iron Ore")*(('Commodity Prices'!$AJ$9:$AJ$3502)=$B$6)*(('Commodity Prices'!$AL$9:$AL$3502)=B13),0),5),INDEX('Commodity Prices'!$AP$9:$AU$3487,MATCH(1,(('Commodity Prices'!$AP$9:$AP$3487)="Iron Ore")*(('Commodity Prices'!$AQ$9:$AQ$3487)=$B$6)*(('Commodity Prices'!$AS$9:$AS$3487)=B13),0),5)))</f>
        <v>5129073000</v>
      </c>
      <c r="D13" s="888">
        <f t="shared" si="1"/>
        <v>3.4158291050590518E-2</v>
      </c>
      <c r="E13" s="431"/>
      <c r="R13" s="459"/>
      <c r="V13" s="438"/>
      <c r="W13" s="438"/>
      <c r="X13" s="438"/>
      <c r="Y13" s="439" t="str">
        <f t="shared" si="0"/>
        <v>2008-09</v>
      </c>
      <c r="Z13" s="438"/>
      <c r="AA13" s="438"/>
    </row>
    <row r="14" spans="1:27">
      <c r="A14" s="71" t="str">
        <f t="array" ref="A14">IF($W$2="Mismatch Error","",IF($B$5=$X$1,INDEX('Commodity Prices'!$AI$9:$AN$3502,MATCH(1,(('Commodity Prices'!$AI$9:$AI$3502)="Iron Ore")*(('Commodity Prices'!$AJ$9:$AJ$3502)=$B$6)*(('Commodity Prices'!$AL$9:$AL$3502)=B14),0),3),INDEX('Commodity Prices'!$AP$9:$AU$3487,MATCH(1,(('Commodity Prices'!$AP$9:$AP$3487)="Iron Ore")*(('Commodity Prices'!$AQ$9:$AQ$3487)=$B$6)*(('Commodity Prices'!$AS$9:$AS$3487)=B14),0),3)))</f>
        <v>Hong Kong (SAR of China)</v>
      </c>
      <c r="B14" s="885">
        <v>5</v>
      </c>
      <c r="C14" s="891">
        <f t="array" ref="C14">IF($W$2="Mismatch Error","",IF($B$5=$X$1,INDEX('Commodity Prices'!$AI$9:$AN$3502,MATCH(1,(('Commodity Prices'!$AI$9:$AI$3502)="Iron Ore")*(('Commodity Prices'!$AJ$9:$AJ$3502)=$B$6)*(('Commodity Prices'!$AL$9:$AL$3502)=B14),0),5),INDEX('Commodity Prices'!$AP$9:$AU$3487,MATCH(1,(('Commodity Prices'!$AP$9:$AP$3487)="Iron Ore")*(('Commodity Prices'!$AQ$9:$AQ$3487)=$B$6)*(('Commodity Prices'!$AS$9:$AS$3487)=B14),0),5)))</f>
        <v>3819574000</v>
      </c>
      <c r="D14" s="886">
        <f t="shared" si="1"/>
        <v>2.5437368581275453E-2</v>
      </c>
      <c r="E14" s="431"/>
      <c r="R14" s="459"/>
      <c r="S14" s="433"/>
      <c r="T14" s="440"/>
      <c r="U14" s="407"/>
      <c r="V14" s="438"/>
      <c r="W14" s="438"/>
      <c r="X14" s="438"/>
      <c r="Y14" s="439" t="str">
        <f t="shared" si="0"/>
        <v>2007-08</v>
      </c>
      <c r="Z14" s="438"/>
      <c r="AA14" s="438"/>
    </row>
    <row r="15" spans="1:27" ht="15.75" thickBot="1">
      <c r="A15" s="1046" t="str">
        <f>IF($W$2="Mismatch Error","","Other")</f>
        <v>Other</v>
      </c>
      <c r="B15" s="889"/>
      <c r="C15" s="892">
        <f>IF($W$2="Mismatch Error","",IF($B$5=$X$1,SUMIFS('Commodity Prices'!$AM$9:$AM$3502,'Commodity Prices'!$AI$9:$AI$3502,"Iron Ore",'Commodity Prices'!$AJ$9:$AJ$3502,$B$6,'Commodity Prices'!$AK$9:$AK$3502,"TOTAL")-SUM($C$10:$C$14),SUMIFS('Commodity Prices'!$AT$9:$AT$3487,'Commodity Prices'!$AP$9:$AP$3487,"Iron Ore",'Commodity Prices'!$AQ$9:$AQ$3487,$B$6,'Commodity Prices'!$AR$9:$AR$3487,"TOTAL")-SUM($C$10:$C$14)))</f>
        <v>1024830000</v>
      </c>
      <c r="D15" s="890">
        <f t="shared" si="1"/>
        <v>6.8251010304155703E-3</v>
      </c>
      <c r="S15" s="433"/>
      <c r="T15" s="440"/>
      <c r="U15" s="407"/>
      <c r="V15" s="438"/>
      <c r="W15" s="438"/>
      <c r="X15" s="438"/>
      <c r="Y15" s="439" t="str">
        <f t="shared" si="0"/>
        <v/>
      </c>
      <c r="Z15" s="438"/>
      <c r="AA15" s="438"/>
    </row>
    <row r="16" spans="1:27" ht="15.75" thickBot="1">
      <c r="A16" s="793" t="str">
        <f>IF($W$2="Mismatch Error","","Grand Total")</f>
        <v>Grand Total</v>
      </c>
      <c r="B16" s="794"/>
      <c r="C16" s="795">
        <f>IF($W$2="Mismatch Error","",IF($B$5=$X$1,SUMIFS('Commodity Prices'!$AM$9:$AM$3502,'Commodity Prices'!$AI$9:$AI$3502,"Iron Ore",'Commodity Prices'!$AJ$9:$AJ$3502,$B$6,'Commodity Prices'!$AK$9:$AK$3502,"TOTAL"),SUMIFS('Commodity Prices'!$AT$9:$AT$3487,'Commodity Prices'!$AP$9:$AP$3487,"Iron Ore",'Commodity Prices'!$AQ$9:$AQ$3487,$B$6,'Commodity Prices'!$AR$9:$AR$3487,"TOTAL")))</f>
        <v>150156019000</v>
      </c>
      <c r="D16" s="796"/>
      <c r="R16" s="459"/>
      <c r="S16" s="433"/>
      <c r="T16" s="440"/>
      <c r="U16" s="407"/>
      <c r="V16" s="438"/>
      <c r="W16" s="438"/>
      <c r="X16" s="438"/>
      <c r="Y16" s="439" t="str">
        <f t="shared" si="0"/>
        <v/>
      </c>
      <c r="Z16" s="438"/>
      <c r="AA16" s="438"/>
    </row>
    <row r="17" spans="1:27">
      <c r="R17" s="459"/>
      <c r="S17" s="433"/>
      <c r="T17" s="440"/>
      <c r="U17" s="407"/>
      <c r="V17" s="438"/>
      <c r="W17" s="438"/>
      <c r="X17" s="438"/>
      <c r="Y17" s="439" t="str">
        <f t="shared" si="0"/>
        <v/>
      </c>
      <c r="Z17" s="438"/>
      <c r="AA17" s="438"/>
    </row>
    <row r="18" spans="1:27">
      <c r="A18" s="1991" t="str">
        <f>IF(A10="Mismatch Error","You have selected an incompatible year or year type. Change one or the other to display data.","")</f>
        <v/>
      </c>
      <c r="B18" s="1991"/>
      <c r="C18" s="1991"/>
      <c r="D18" s="1991"/>
      <c r="R18" s="459"/>
      <c r="S18" s="433"/>
      <c r="T18" s="440"/>
      <c r="U18" s="407"/>
      <c r="V18" s="438"/>
      <c r="W18" s="438"/>
      <c r="X18" s="438"/>
      <c r="Y18" s="439" t="str">
        <f t="shared" si="0"/>
        <v/>
      </c>
      <c r="Z18" s="438"/>
      <c r="AA18" s="438"/>
    </row>
    <row r="19" spans="1:27">
      <c r="A19" s="1991"/>
      <c r="B19" s="1991"/>
      <c r="C19" s="1991"/>
      <c r="D19" s="1991"/>
      <c r="R19" s="459"/>
      <c r="S19" s="433"/>
      <c r="T19" s="440"/>
      <c r="U19" s="407"/>
      <c r="V19" s="438"/>
      <c r="W19" s="438"/>
      <c r="X19" s="438"/>
      <c r="Y19" s="439" t="str">
        <f t="shared" si="0"/>
        <v/>
      </c>
      <c r="Z19" s="438"/>
      <c r="AA19" s="438"/>
    </row>
    <row r="20" spans="1:27">
      <c r="A20" s="1991" t="str">
        <f>IF(OR(ISNA(A10),ISNA(A11),ISNA(A12),ISNA(A13),ISNA(A14),ISNA(#REF!),ISNA(#REF!),ISNA(#REF!),ISNA(#REF!),ISNA(#REF!),ISNA(C10),ISNA(C11),ISNA(C12),ISNA(C13),ISNA(C14),ISNA(#REF!),ISNA(#REF!),ISNA(#REF!),ISNA(#REF!),ISNA(#REF!)),"You have ecountered an NA Error. This is most likely caused by the accidental loss of an array formula in the table above. Click on the cell showing #N/A above, then click the formula bar and press Ctrl, Shift and Enter.","")</f>
        <v/>
      </c>
      <c r="B20" s="1991"/>
      <c r="C20" s="1991"/>
      <c r="D20" s="1991"/>
      <c r="R20" s="459"/>
      <c r="S20" s="433"/>
      <c r="T20" s="440"/>
      <c r="U20" s="407"/>
      <c r="V20" s="438"/>
      <c r="W20" s="438"/>
      <c r="X20" s="438"/>
      <c r="Y20" s="439" t="str">
        <f t="shared" si="0"/>
        <v/>
      </c>
      <c r="Z20" s="438"/>
      <c r="AA20" s="438"/>
    </row>
    <row r="21" spans="1:27">
      <c r="A21" s="1991"/>
      <c r="B21" s="1991"/>
      <c r="C21" s="1991"/>
      <c r="D21" s="1991"/>
      <c r="R21" s="459"/>
      <c r="S21" s="433"/>
      <c r="T21" s="440"/>
      <c r="U21" s="407"/>
      <c r="V21" s="438"/>
      <c r="W21" s="438"/>
      <c r="X21" s="438"/>
      <c r="Y21" s="439" t="str">
        <f t="shared" si="0"/>
        <v/>
      </c>
      <c r="Z21" s="438"/>
      <c r="AA21" s="438"/>
    </row>
    <row r="22" spans="1:27">
      <c r="A22" s="1991"/>
      <c r="B22" s="1991"/>
      <c r="C22" s="1991"/>
      <c r="D22" s="1991"/>
      <c r="R22" s="459"/>
      <c r="S22" s="433"/>
      <c r="T22" s="440"/>
      <c r="U22" s="407"/>
      <c r="V22" s="438"/>
      <c r="W22" s="438"/>
      <c r="X22" s="438"/>
      <c r="Y22" s="439" t="str">
        <f t="shared" si="0"/>
        <v/>
      </c>
      <c r="Z22" s="438"/>
      <c r="AA22" s="438"/>
    </row>
    <row r="23" spans="1:27">
      <c r="A23" s="1991"/>
      <c r="B23" s="1991"/>
      <c r="C23" s="1991"/>
      <c r="D23" s="1991"/>
      <c r="R23" s="459"/>
      <c r="S23" s="433"/>
      <c r="T23" s="440"/>
      <c r="U23" s="407"/>
      <c r="V23" s="438"/>
      <c r="W23" s="438"/>
      <c r="X23" s="438"/>
      <c r="Y23" s="439" t="str">
        <f t="shared" si="0"/>
        <v/>
      </c>
      <c r="Z23" s="438"/>
      <c r="AA23" s="438"/>
    </row>
    <row r="24" spans="1:27">
      <c r="V24" s="438"/>
      <c r="W24" s="438"/>
      <c r="X24" s="438"/>
      <c r="Y24" s="439" t="str">
        <f t="shared" si="0"/>
        <v/>
      </c>
      <c r="Z24" s="438"/>
      <c r="AA24" s="438"/>
    </row>
    <row r="25" spans="1:27" ht="15" customHeight="1">
      <c r="V25" s="438"/>
      <c r="W25" s="438"/>
      <c r="X25" s="438"/>
      <c r="Y25" s="439" t="str">
        <f t="shared" si="0"/>
        <v/>
      </c>
      <c r="Z25" s="438"/>
      <c r="AA25" s="438"/>
    </row>
    <row r="26" spans="1:27">
      <c r="V26" s="438"/>
      <c r="W26" s="438"/>
      <c r="X26" s="438"/>
      <c r="Y26" s="438"/>
      <c r="Z26" s="438"/>
      <c r="AA26" s="438"/>
    </row>
    <row r="27" spans="1:27">
      <c r="E27" s="430"/>
      <c r="V27" s="438"/>
      <c r="W27" s="438"/>
      <c r="X27" s="438"/>
      <c r="Y27" s="438"/>
      <c r="Z27" s="438"/>
      <c r="AA27" s="438"/>
    </row>
    <row r="28" spans="1:27">
      <c r="E28" s="430"/>
      <c r="V28" s="438"/>
      <c r="W28" s="438"/>
      <c r="X28" s="438"/>
      <c r="Y28" s="438"/>
      <c r="Z28" s="438"/>
      <c r="AA28" s="438"/>
    </row>
    <row r="29" spans="1:27">
      <c r="E29" s="430"/>
      <c r="V29" s="438"/>
      <c r="W29" s="438"/>
      <c r="X29" s="438"/>
      <c r="Y29" s="438"/>
      <c r="Z29" s="438"/>
      <c r="AA29" s="438"/>
    </row>
    <row r="30" spans="1:27">
      <c r="E30" s="430"/>
      <c r="V30" s="438"/>
      <c r="W30" s="438"/>
      <c r="X30" s="438"/>
      <c r="Y30" s="438"/>
      <c r="Z30" s="438"/>
      <c r="AA30" s="438"/>
    </row>
    <row r="31" spans="1:27">
      <c r="E31" s="430"/>
      <c r="V31" s="438"/>
      <c r="W31" s="438"/>
      <c r="X31" s="438"/>
      <c r="Y31" s="438"/>
      <c r="Z31" s="438"/>
      <c r="AA31" s="438"/>
    </row>
    <row r="32" spans="1:27">
      <c r="E32" s="430"/>
      <c r="M32" s="460"/>
      <c r="N32" s="459"/>
      <c r="V32" s="438"/>
      <c r="W32" s="438"/>
      <c r="X32" s="438"/>
      <c r="Y32" s="438"/>
      <c r="Z32" s="438"/>
      <c r="AA32" s="438"/>
    </row>
    <row r="33" spans="5:27">
      <c r="E33" s="430"/>
      <c r="K33" s="459"/>
      <c r="M33" s="460"/>
      <c r="V33" s="438"/>
      <c r="W33" s="438"/>
      <c r="X33" s="438"/>
      <c r="Y33" s="438"/>
      <c r="Z33" s="438"/>
      <c r="AA33" s="438"/>
    </row>
    <row r="34" spans="5:27">
      <c r="E34" s="430"/>
      <c r="K34" s="459"/>
      <c r="M34" s="460"/>
      <c r="V34" s="438"/>
      <c r="W34" s="438"/>
      <c r="X34" s="438"/>
      <c r="Y34" s="438"/>
      <c r="Z34" s="438"/>
      <c r="AA34" s="438"/>
    </row>
    <row r="35" spans="5:27">
      <c r="E35" s="430"/>
      <c r="K35" s="459"/>
      <c r="M35" s="460"/>
      <c r="V35" s="438"/>
      <c r="W35" s="438"/>
      <c r="X35" s="438"/>
      <c r="Y35" s="438"/>
      <c r="Z35" s="438"/>
      <c r="AA35" s="438"/>
    </row>
    <row r="36" spans="5:27">
      <c r="E36" s="430"/>
      <c r="K36" s="459"/>
      <c r="M36" s="460"/>
      <c r="W36" s="420"/>
      <c r="X36" s="420"/>
      <c r="Y36" s="420"/>
    </row>
    <row r="37" spans="5:27">
      <c r="E37" s="430"/>
      <c r="K37" s="459"/>
      <c r="M37" s="460"/>
      <c r="W37" s="420"/>
      <c r="X37" s="420"/>
      <c r="Y37" s="420"/>
    </row>
    <row r="38" spans="5:27">
      <c r="E38" s="430"/>
      <c r="M38" s="460"/>
      <c r="W38" s="420"/>
      <c r="X38" s="420"/>
      <c r="Y38" s="420"/>
    </row>
    <row r="39" spans="5:27">
      <c r="E39" s="430"/>
      <c r="M39" s="460"/>
    </row>
    <row r="40" spans="5:27">
      <c r="E40" s="430"/>
      <c r="M40" s="460"/>
    </row>
    <row r="41" spans="5:27">
      <c r="E41" s="430"/>
      <c r="M41" s="460"/>
    </row>
    <row r="42" spans="5:27">
      <c r="E42" s="430"/>
    </row>
    <row r="43" spans="5:27">
      <c r="E43" s="430"/>
    </row>
    <row r="44" spans="5:27">
      <c r="E44" s="430"/>
    </row>
    <row r="45" spans="5:27">
      <c r="E45" s="430"/>
    </row>
    <row r="46" spans="5:27">
      <c r="E46" s="430"/>
    </row>
    <row r="47" spans="5:27">
      <c r="E47" s="430"/>
    </row>
    <row r="48" spans="5:27">
      <c r="E48" s="430"/>
    </row>
    <row r="49" spans="5:5">
      <c r="E49" s="430"/>
    </row>
    <row r="50" spans="5:5">
      <c r="E50" s="430"/>
    </row>
    <row r="51" spans="5:5">
      <c r="E51" s="430"/>
    </row>
    <row r="52" spans="5:5">
      <c r="E52" s="430"/>
    </row>
    <row r="53" spans="5:5">
      <c r="E53" s="430"/>
    </row>
    <row r="54" spans="5:5">
      <c r="E54" s="430"/>
    </row>
    <row r="55" spans="5:5">
      <c r="E55" s="430"/>
    </row>
    <row r="56" spans="5:5">
      <c r="E56" s="430"/>
    </row>
    <row r="57" spans="5:5">
      <c r="E57" s="430"/>
    </row>
    <row r="58" spans="5:5">
      <c r="E58" s="430"/>
    </row>
    <row r="59" spans="5:5">
      <c r="E59" s="430"/>
    </row>
    <row r="62" spans="5:5">
      <c r="E62" s="430"/>
    </row>
    <row r="63" spans="5:5">
      <c r="E63" s="430"/>
    </row>
    <row r="64" spans="5:5">
      <c r="E64" s="430"/>
    </row>
    <row r="65" spans="5:5">
      <c r="E65" s="430"/>
    </row>
    <row r="66" spans="5:5">
      <c r="E66" s="430"/>
    </row>
    <row r="67" spans="5:5">
      <c r="E67" s="430"/>
    </row>
    <row r="68" spans="5:5">
      <c r="E68" s="430"/>
    </row>
    <row r="69" spans="5:5">
      <c r="E69" s="430"/>
    </row>
    <row r="70" spans="5:5">
      <c r="E70" s="430"/>
    </row>
    <row r="71" spans="5:5">
      <c r="E71" s="430"/>
    </row>
    <row r="72" spans="5:5">
      <c r="E72" s="430"/>
    </row>
    <row r="73" spans="5:5">
      <c r="E73" s="430"/>
    </row>
    <row r="74" spans="5:5">
      <c r="E74" s="430"/>
    </row>
    <row r="75" spans="5:5">
      <c r="E75" s="430"/>
    </row>
    <row r="76" spans="5:5">
      <c r="E76" s="430"/>
    </row>
  </sheetData>
  <mergeCells count="5">
    <mergeCell ref="B5:D5"/>
    <mergeCell ref="B6:D6"/>
    <mergeCell ref="A8:D8"/>
    <mergeCell ref="A18:D19"/>
    <mergeCell ref="A20:D23"/>
  </mergeCells>
  <conditionalFormatting sqref="A10">
    <cfRule type="containsText" dxfId="2" priority="1" operator="containsText" text="Mismatch Error">
      <formula>NOT(ISERROR(SEARCH("Mismatch Error",A10)))</formula>
    </cfRule>
  </conditionalFormatting>
  <dataValidations count="4">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allowBlank="1" promptTitle="Select a Display Factor:" prompt="Clicking here will bring up a message describing the selections you can make." sqref="E6"/>
    <dataValidation allowBlank="1" promptTitle="Select a Display Factor:" prompt="Clicking here will bring up a message describing the selections you can make." sqref="E5"/>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tint="0.39997558519241921"/>
  </sheetPr>
  <dimension ref="A2:M80"/>
  <sheetViews>
    <sheetView showGridLines="0" zoomScaleNormal="100" workbookViewId="0">
      <selection activeCell="I58" sqref="I58"/>
    </sheetView>
  </sheetViews>
  <sheetFormatPr defaultRowHeight="15"/>
  <cols>
    <col min="1" max="1" width="8" style="20" customWidth="1"/>
    <col min="2" max="2" width="21.85546875" style="20" bestFit="1" customWidth="1"/>
    <col min="3" max="3" width="20.140625" style="20" bestFit="1" customWidth="1"/>
    <col min="4" max="5" width="9.140625" style="20"/>
    <col min="6" max="6" width="21.85546875" style="20" bestFit="1" customWidth="1"/>
    <col min="7" max="7" width="20.140625" style="20" bestFit="1" customWidth="1"/>
    <col min="8" max="18" width="9.140625" style="20"/>
    <col min="19" max="21" width="19.140625" style="20" customWidth="1"/>
    <col min="22" max="16384" width="9.140625" style="20"/>
  </cols>
  <sheetData>
    <row r="2" spans="1:6">
      <c r="F2" s="169"/>
    </row>
    <row r="5" spans="1:6" ht="15.75" thickBot="1">
      <c r="A5" s="1992" t="s">
        <v>705</v>
      </c>
      <c r="B5" s="1992"/>
      <c r="C5" s="1992"/>
    </row>
    <row r="6" spans="1:6">
      <c r="A6" s="1433" t="s">
        <v>41</v>
      </c>
      <c r="B6" s="1425" t="s">
        <v>48</v>
      </c>
      <c r="C6" s="1432" t="s">
        <v>49</v>
      </c>
    </row>
    <row r="7" spans="1:6">
      <c r="A7" s="1337">
        <v>1950</v>
      </c>
      <c r="B7" s="706">
        <v>1.513401E-2</v>
      </c>
      <c r="C7" s="705">
        <v>2.403181</v>
      </c>
    </row>
    <row r="8" spans="1:6">
      <c r="A8" s="1337">
        <v>1951</v>
      </c>
      <c r="B8" s="873">
        <v>3.6224089999999994E-2</v>
      </c>
      <c r="C8" s="874">
        <v>2.4560900000000001</v>
      </c>
    </row>
    <row r="9" spans="1:6">
      <c r="A9" s="1337">
        <v>1952</v>
      </c>
      <c r="B9" s="706">
        <v>0.227379</v>
      </c>
      <c r="C9" s="705">
        <v>2.7460460000000002</v>
      </c>
    </row>
    <row r="10" spans="1:6">
      <c r="A10" s="1337">
        <v>1953</v>
      </c>
      <c r="B10" s="873">
        <v>0.71873390000000004</v>
      </c>
      <c r="C10" s="874">
        <v>2.644549</v>
      </c>
    </row>
    <row r="11" spans="1:6">
      <c r="A11" s="1337">
        <v>1954</v>
      </c>
      <c r="B11" s="706">
        <v>0.66220210000000002</v>
      </c>
      <c r="C11" s="705">
        <v>2.9250180000000001</v>
      </c>
    </row>
    <row r="12" spans="1:6">
      <c r="A12" s="1337">
        <v>1955</v>
      </c>
      <c r="B12" s="873">
        <v>0.53711259999999994</v>
      </c>
      <c r="C12" s="874">
        <v>3.1059420000000002</v>
      </c>
    </row>
    <row r="13" spans="1:6">
      <c r="A13" s="1337">
        <v>1956</v>
      </c>
      <c r="B13" s="706">
        <v>0.34229590000000004</v>
      </c>
      <c r="C13" s="705">
        <v>3.6605099999999999</v>
      </c>
    </row>
    <row r="14" spans="1:6">
      <c r="A14" s="1337">
        <v>1957</v>
      </c>
      <c r="B14" s="873">
        <v>0.42291509999999999</v>
      </c>
      <c r="C14" s="874">
        <v>3.458961</v>
      </c>
    </row>
    <row r="15" spans="1:6">
      <c r="A15" s="1337">
        <v>1958</v>
      </c>
      <c r="B15" s="706">
        <v>0.58212140000000001</v>
      </c>
      <c r="C15" s="705">
        <v>3.4155190000000002</v>
      </c>
    </row>
    <row r="16" spans="1:6">
      <c r="A16" s="1337">
        <v>1959</v>
      </c>
      <c r="B16" s="873">
        <v>0.73875109999999999</v>
      </c>
      <c r="C16" s="874">
        <v>3.492232</v>
      </c>
    </row>
    <row r="17" spans="1:3">
      <c r="A17" s="1338">
        <v>1960</v>
      </c>
      <c r="B17" s="706">
        <v>0.94336149999999996</v>
      </c>
      <c r="C17" s="705">
        <v>3.5111849999999998</v>
      </c>
    </row>
    <row r="18" spans="1:3">
      <c r="A18" s="1338">
        <v>1961</v>
      </c>
      <c r="B18" s="873">
        <v>1.381364</v>
      </c>
      <c r="C18" s="874">
        <v>4.0803659999999997</v>
      </c>
    </row>
    <row r="19" spans="1:3">
      <c r="A19" s="1338">
        <v>1962</v>
      </c>
      <c r="B19" s="706">
        <v>1.4537100000000001</v>
      </c>
      <c r="C19" s="705">
        <v>3.593019</v>
      </c>
    </row>
    <row r="20" spans="1:3">
      <c r="A20" s="1338">
        <v>1963</v>
      </c>
      <c r="B20" s="873">
        <v>1.35453</v>
      </c>
      <c r="C20" s="874">
        <v>4.3329839999999997</v>
      </c>
    </row>
    <row r="21" spans="1:3">
      <c r="A21" s="1338">
        <v>1964</v>
      </c>
      <c r="B21" s="706">
        <v>1.3795010000000001</v>
      </c>
      <c r="C21" s="705">
        <v>4.4646119999999998</v>
      </c>
    </row>
    <row r="22" spans="1:3">
      <c r="A22" s="1338">
        <v>1965</v>
      </c>
      <c r="B22" s="873">
        <v>2.2768980000000001</v>
      </c>
      <c r="C22" s="874">
        <v>4.5258060000000002</v>
      </c>
    </row>
    <row r="23" spans="1:3">
      <c r="A23" s="1338">
        <v>1966</v>
      </c>
      <c r="B23" s="706">
        <v>4.2331849999999998</v>
      </c>
      <c r="C23" s="705">
        <v>6.8346090000000004</v>
      </c>
    </row>
    <row r="24" spans="1:3">
      <c r="A24" s="1338">
        <v>1967</v>
      </c>
      <c r="B24" s="873">
        <v>10.13655</v>
      </c>
      <c r="C24" s="874">
        <v>7.0214290000000004</v>
      </c>
    </row>
    <row r="25" spans="1:3">
      <c r="A25" s="1338">
        <v>1968</v>
      </c>
      <c r="B25" s="706">
        <v>23.25123</v>
      </c>
      <c r="C25" s="705">
        <v>3.3736510000000002</v>
      </c>
    </row>
    <row r="26" spans="1:3">
      <c r="A26" s="1338">
        <v>1969</v>
      </c>
      <c r="B26" s="873">
        <v>25.077760000000001</v>
      </c>
      <c r="C26" s="874">
        <v>13.497769999999999</v>
      </c>
    </row>
    <row r="27" spans="1:3">
      <c r="A27" s="1338">
        <v>1970</v>
      </c>
      <c r="B27" s="706">
        <v>43.188070000000003</v>
      </c>
      <c r="C27" s="705">
        <v>8.0000599999999995</v>
      </c>
    </row>
    <row r="28" spans="1:3">
      <c r="A28" s="1338">
        <v>1971</v>
      </c>
      <c r="B28" s="873">
        <v>52.025660000000002</v>
      </c>
      <c r="C28" s="874">
        <v>10.037330000000001</v>
      </c>
    </row>
    <row r="29" spans="1:3">
      <c r="A29" s="1338">
        <v>1972</v>
      </c>
      <c r="B29" s="706">
        <v>56.121499999999997</v>
      </c>
      <c r="C29" s="705">
        <v>8.2794930000000004</v>
      </c>
    </row>
    <row r="30" spans="1:3">
      <c r="A30" s="1338">
        <v>1973</v>
      </c>
      <c r="B30" s="873">
        <v>75.896479999999997</v>
      </c>
      <c r="C30" s="874">
        <v>8.9315189999999998</v>
      </c>
    </row>
    <row r="31" spans="1:3">
      <c r="A31" s="1338">
        <v>1974</v>
      </c>
      <c r="B31" s="706">
        <v>87.000810000000001</v>
      </c>
      <c r="C31" s="705">
        <v>9.9491879999999995</v>
      </c>
    </row>
    <row r="32" spans="1:3">
      <c r="A32" s="1338">
        <v>1975</v>
      </c>
      <c r="B32" s="873">
        <v>85.190029999999993</v>
      </c>
      <c r="C32" s="874">
        <v>12.46097</v>
      </c>
    </row>
    <row r="33" spans="1:7">
      <c r="A33" s="1338">
        <v>1976</v>
      </c>
      <c r="B33" s="706">
        <v>85.572789999999998</v>
      </c>
      <c r="C33" s="705">
        <v>7.682334</v>
      </c>
    </row>
    <row r="34" spans="1:7">
      <c r="A34" s="1338">
        <v>1977</v>
      </c>
      <c r="B34" s="873">
        <v>83.517189999999999</v>
      </c>
      <c r="C34" s="874">
        <v>12.406219999999999</v>
      </c>
    </row>
    <row r="35" spans="1:7">
      <c r="A35" s="1338">
        <v>1978</v>
      </c>
      <c r="B35" s="706">
        <v>82.498580000000004</v>
      </c>
      <c r="C35" s="705">
        <v>10.635450000000001</v>
      </c>
    </row>
    <row r="36" spans="1:7">
      <c r="A36" s="1338">
        <v>1979</v>
      </c>
      <c r="B36" s="873">
        <v>85.171980000000005</v>
      </c>
      <c r="C36" s="874">
        <v>6.5450290000000004</v>
      </c>
    </row>
    <row r="37" spans="1:7">
      <c r="A37" s="1338">
        <v>1980</v>
      </c>
      <c r="B37" s="706">
        <v>84.971620000000001</v>
      </c>
      <c r="C37" s="705">
        <v>10.562340000000001</v>
      </c>
    </row>
    <row r="38" spans="1:7">
      <c r="A38" s="1338">
        <v>1981</v>
      </c>
      <c r="B38" s="873">
        <v>75.302639999999997</v>
      </c>
      <c r="C38" s="874">
        <v>9.358727</v>
      </c>
    </row>
    <row r="39" spans="1:7">
      <c r="A39" s="1338">
        <v>1982</v>
      </c>
      <c r="B39" s="706">
        <v>78.182389999999998</v>
      </c>
      <c r="C39" s="705">
        <v>9.5113850000000006</v>
      </c>
    </row>
    <row r="40" spans="1:7">
      <c r="A40" s="1338">
        <v>1983</v>
      </c>
      <c r="B40" s="873">
        <v>74.983540000000005</v>
      </c>
      <c r="C40" s="874">
        <v>6.0537559999999999</v>
      </c>
    </row>
    <row r="41" spans="1:7">
      <c r="A41" s="1338">
        <v>1984</v>
      </c>
      <c r="B41" s="706">
        <v>90.907129999999995</v>
      </c>
      <c r="C41" s="705">
        <v>4.13896</v>
      </c>
    </row>
    <row r="42" spans="1:7">
      <c r="A42" s="1338">
        <v>1985</v>
      </c>
      <c r="B42" s="873">
        <v>88.768079999999998</v>
      </c>
      <c r="C42" s="874">
        <v>8.7090270000000007</v>
      </c>
    </row>
    <row r="43" spans="1:7">
      <c r="A43" s="1338">
        <v>1986</v>
      </c>
      <c r="B43" s="706">
        <v>81.290940000000006</v>
      </c>
      <c r="C43" s="705">
        <v>1.2723880000000001</v>
      </c>
    </row>
    <row r="44" spans="1:7">
      <c r="A44" s="1338">
        <v>1987</v>
      </c>
      <c r="B44" s="873">
        <v>89.122739999999993</v>
      </c>
      <c r="C44" s="874">
        <v>1.25919</v>
      </c>
    </row>
    <row r="45" spans="1:7">
      <c r="A45" s="1338">
        <v>1988</v>
      </c>
      <c r="B45" s="706">
        <v>98.319090000000003</v>
      </c>
      <c r="C45" s="705">
        <v>1.6129899999999999</v>
      </c>
      <c r="E45" s="1981" t="s">
        <v>705</v>
      </c>
      <c r="F45" s="1981"/>
      <c r="G45" s="1981"/>
    </row>
    <row r="46" spans="1:7" ht="15.75" thickBot="1">
      <c r="A46" s="1338">
        <v>1989</v>
      </c>
      <c r="B46" s="873">
        <v>106</v>
      </c>
      <c r="C46" s="874">
        <v>4.5</v>
      </c>
      <c r="E46" s="1993" t="s">
        <v>710</v>
      </c>
      <c r="F46" s="1993"/>
      <c r="G46" s="1993"/>
    </row>
    <row r="47" spans="1:7" ht="15.75" thickBot="1">
      <c r="A47" s="1338">
        <v>1990</v>
      </c>
      <c r="B47" s="706">
        <v>105</v>
      </c>
      <c r="C47" s="705">
        <v>6.3490000000000002</v>
      </c>
      <c r="E47" s="1434" t="s">
        <v>41</v>
      </c>
      <c r="F47" s="875" t="str">
        <f>B6</f>
        <v>Western Australia (Mt)</v>
      </c>
      <c r="G47" s="882" t="str">
        <f>C6</f>
        <v>Rest of Australia (Mt)</v>
      </c>
    </row>
    <row r="48" spans="1:7">
      <c r="A48" s="1338">
        <v>1991</v>
      </c>
      <c r="B48" s="873">
        <v>113.687</v>
      </c>
      <c r="C48" s="874">
        <v>3.4470000000000001</v>
      </c>
      <c r="E48" s="1339">
        <f>LARGE(A$17:A$101,10)</f>
        <v>2011</v>
      </c>
      <c r="F48" s="728">
        <f t="shared" ref="F48:F57" si="0">SUMIF($A$17:$A$106,$E48,B$17:B$106)</f>
        <v>426.67287969500001</v>
      </c>
      <c r="G48" s="729">
        <f t="shared" ref="G48:G57" si="1">SUMIF($A$17:$A$106,$E48,C$17:C$106)</f>
        <v>14.381</v>
      </c>
    </row>
    <row r="49" spans="1:13">
      <c r="A49" s="1338">
        <v>1992</v>
      </c>
      <c r="B49" s="706">
        <v>108</v>
      </c>
      <c r="C49" s="705">
        <v>3.9369999999999998</v>
      </c>
      <c r="E49" s="1339">
        <f>LARGE(A$17:A$101,9)</f>
        <v>2012</v>
      </c>
      <c r="F49" s="893">
        <f t="shared" si="0"/>
        <v>478.32621689000001</v>
      </c>
      <c r="G49" s="894">
        <f t="shared" si="1"/>
        <v>14.849</v>
      </c>
    </row>
    <row r="50" spans="1:13">
      <c r="A50" s="1338">
        <v>1993</v>
      </c>
      <c r="B50" s="873">
        <v>116</v>
      </c>
      <c r="C50" s="874">
        <v>4.1459999999999999</v>
      </c>
      <c r="E50" s="1339">
        <f>LARGE(A$17:A$101,8)</f>
        <v>2013</v>
      </c>
      <c r="F50" s="728">
        <f t="shared" si="0"/>
        <v>554.93783338100002</v>
      </c>
      <c r="G50" s="729">
        <f t="shared" si="1"/>
        <v>16.393000000000001</v>
      </c>
    </row>
    <row r="51" spans="1:13">
      <c r="A51" s="1338">
        <v>1994</v>
      </c>
      <c r="B51" s="706">
        <v>124.172</v>
      </c>
      <c r="C51" s="705">
        <v>4.2309999999999999</v>
      </c>
      <c r="E51" s="1339">
        <f>LARGE(A$17:A$101,7)</f>
        <v>2014</v>
      </c>
      <c r="F51" s="893">
        <f t="shared" si="0"/>
        <v>686.23425861200008</v>
      </c>
      <c r="G51" s="894">
        <f t="shared" si="1"/>
        <v>15.496</v>
      </c>
    </row>
    <row r="52" spans="1:13">
      <c r="A52" s="1338">
        <v>1995</v>
      </c>
      <c r="B52" s="873">
        <v>135.9659</v>
      </c>
      <c r="C52" s="874">
        <v>6.9700949999999997</v>
      </c>
      <c r="E52" s="1339">
        <f>LARGE(A$17:A$101,6)</f>
        <v>2015</v>
      </c>
      <c r="F52" s="728">
        <f t="shared" si="0"/>
        <v>742.39410678800004</v>
      </c>
      <c r="G52" s="729">
        <f t="shared" si="1"/>
        <v>12.045</v>
      </c>
    </row>
    <row r="53" spans="1:13">
      <c r="A53" s="1338">
        <v>1996</v>
      </c>
      <c r="B53" s="706">
        <v>133.651298</v>
      </c>
      <c r="C53" s="705">
        <v>4.2309999999999901</v>
      </c>
      <c r="E53" s="1339">
        <f>LARGE(A$17:A$101,5)</f>
        <v>2016</v>
      </c>
      <c r="F53" s="893">
        <f t="shared" si="0"/>
        <v>769.27752114500004</v>
      </c>
      <c r="G53" s="894">
        <f t="shared" si="1"/>
        <v>11.536</v>
      </c>
    </row>
    <row r="54" spans="1:13">
      <c r="A54" s="1338">
        <v>1997</v>
      </c>
      <c r="B54" s="873">
        <v>151.718593</v>
      </c>
      <c r="C54" s="874">
        <v>6.05</v>
      </c>
      <c r="E54" s="1339">
        <f>LARGE(A$17:A$101,4)</f>
        <v>2017</v>
      </c>
      <c r="F54" s="728">
        <f t="shared" si="0"/>
        <v>814.119534714</v>
      </c>
      <c r="G54" s="729">
        <f t="shared" si="1"/>
        <v>8.06</v>
      </c>
      <c r="I54" s="140"/>
      <c r="J54" s="140"/>
      <c r="K54" s="140"/>
      <c r="L54" s="140"/>
      <c r="M54" s="140"/>
    </row>
    <row r="55" spans="1:13">
      <c r="A55" s="1338">
        <v>1998</v>
      </c>
      <c r="B55" s="706">
        <v>143.75200000000001</v>
      </c>
      <c r="C55" s="705">
        <v>9.49</v>
      </c>
      <c r="E55" s="1339">
        <f>LARGE(A$17:A$101,3)</f>
        <v>2018</v>
      </c>
      <c r="F55" s="893">
        <f t="shared" si="0"/>
        <v>813.57782015700002</v>
      </c>
      <c r="G55" s="894">
        <f t="shared" si="1"/>
        <v>7.3959999999999999</v>
      </c>
      <c r="I55" s="140"/>
      <c r="J55" s="140"/>
      <c r="K55" s="140"/>
      <c r="L55" s="140"/>
      <c r="M55" s="140"/>
    </row>
    <row r="56" spans="1:13">
      <c r="A56" s="1338">
        <v>1999</v>
      </c>
      <c r="B56" s="873">
        <f>SUMIF('Iron Ore - Q&amp;V'!F$8:F$508, A56,'Iron Ore - Q&amp;V'!D$8:D$508)</f>
        <v>143.006</v>
      </c>
      <c r="C56" s="874">
        <v>8.5527019999999823</v>
      </c>
      <c r="E56" s="1339">
        <f>LARGE(A$17:A$101,2)</f>
        <v>2019</v>
      </c>
      <c r="F56" s="728">
        <f t="shared" si="0"/>
        <v>807.36623009499999</v>
      </c>
      <c r="G56" s="729">
        <f t="shared" si="1"/>
        <v>8.0009999999999994</v>
      </c>
      <c r="I56" s="140"/>
      <c r="J56" s="140"/>
      <c r="K56" s="140"/>
      <c r="L56" s="140"/>
      <c r="M56" s="140"/>
    </row>
    <row r="57" spans="1:13" ht="15.75" thickBot="1">
      <c r="A57" s="1338">
        <v>2000</v>
      </c>
      <c r="B57" s="706">
        <f>SUMIF('Iron Ore - Q&amp;V'!F$8:F$508, A57,'Iron Ore - Q&amp;V'!D$8:D$508)</f>
        <v>158.86599999999999</v>
      </c>
      <c r="C57" s="705">
        <v>4.9779999999999998</v>
      </c>
      <c r="E57" s="897">
        <f>LARGE(A$17:A$101,1)</f>
        <v>2020</v>
      </c>
      <c r="F57" s="895">
        <f t="shared" si="0"/>
        <v>847.21186166400003</v>
      </c>
      <c r="G57" s="896">
        <f t="shared" si="1"/>
        <v>8.3030000000000008</v>
      </c>
      <c r="I57" s="499">
        <f>SUM(F57+G57)</f>
        <v>855.51486166400002</v>
      </c>
      <c r="J57" s="140"/>
      <c r="K57" s="498">
        <f>SUM(F57/I57)</f>
        <v>0.99029473318108063</v>
      </c>
      <c r="L57" s="140"/>
      <c r="M57" s="140"/>
    </row>
    <row r="58" spans="1:13">
      <c r="A58" s="1338">
        <v>2001</v>
      </c>
      <c r="B58" s="873">
        <f>SUMIF('Iron Ore - Q&amp;V'!F$8:F$508, A58,'Iron Ore - Q&amp;V'!D$8:D$508)</f>
        <v>166.01499999999999</v>
      </c>
      <c r="C58" s="874">
        <v>5.202</v>
      </c>
      <c r="E58" s="1605"/>
      <c r="F58" s="1606"/>
      <c r="G58" s="1606"/>
      <c r="I58" s="140"/>
      <c r="J58" s="140"/>
      <c r="K58" s="140"/>
      <c r="L58" s="140"/>
      <c r="M58" s="140"/>
    </row>
    <row r="59" spans="1:13">
      <c r="A59" s="1338">
        <v>2002</v>
      </c>
      <c r="B59" s="706">
        <f>SUMIF('Iron Ore - Q&amp;V'!F$8:F$508, A59,'Iron Ore - Q&amp;V'!D$8:D$508)</f>
        <v>171.767</v>
      </c>
      <c r="C59" s="705">
        <v>5.202</v>
      </c>
      <c r="I59" s="140"/>
      <c r="J59" s="140"/>
      <c r="K59" s="140"/>
      <c r="L59" s="140"/>
      <c r="M59" s="140"/>
    </row>
    <row r="60" spans="1:13">
      <c r="A60" s="1338">
        <v>2003</v>
      </c>
      <c r="B60" s="873">
        <f>SUMIF('Iron Ore - Q&amp;V'!F$8:F$508, A60,'Iron Ore - Q&amp;V'!D$8:D$508)</f>
        <v>194.59400316</v>
      </c>
      <c r="C60" s="874">
        <v>5.7729999999999997</v>
      </c>
    </row>
    <row r="61" spans="1:13">
      <c r="A61" s="1338">
        <v>2004</v>
      </c>
      <c r="B61" s="706">
        <f>SUMIF('Iron Ore - Q&amp;V'!F$8:F$508, A61,'Iron Ore - Q&amp;V'!D$8:D$508)</f>
        <v>213.53162907000001</v>
      </c>
      <c r="C61" s="705">
        <v>5.6210000000000004</v>
      </c>
    </row>
    <row r="62" spans="1:13">
      <c r="A62" s="1338">
        <v>2005</v>
      </c>
      <c r="B62" s="873">
        <f>SUMIF('Iron Ore - Q&amp;V'!F$8:F$508, A62,'Iron Ore - Q&amp;V'!D$8:D$508)</f>
        <v>240.50167369000002</v>
      </c>
      <c r="C62" s="874">
        <v>5.508</v>
      </c>
    </row>
    <row r="63" spans="1:13">
      <c r="A63" s="1338">
        <v>2006</v>
      </c>
      <c r="B63" s="706">
        <f>SUMIF('Iron Ore - Q&amp;V'!F$8:F$508, A63,'Iron Ore - Q&amp;V'!D$8:D$508)</f>
        <v>250.325766362</v>
      </c>
      <c r="C63" s="705">
        <v>5.5949999999999998</v>
      </c>
    </row>
    <row r="64" spans="1:13">
      <c r="A64" s="1338">
        <v>2007</v>
      </c>
      <c r="B64" s="873">
        <f>SUMIF('Iron Ore - Q&amp;V'!F$8:F$508, A64,'Iron Ore - Q&amp;V'!D$8:D$508)</f>
        <v>264.44915205099994</v>
      </c>
      <c r="C64" s="874">
        <v>9.2279999999999998</v>
      </c>
    </row>
    <row r="65" spans="1:7">
      <c r="A65" s="1338">
        <v>2008</v>
      </c>
      <c r="B65" s="706">
        <f>SUMIF('Iron Ore - Q&amp;V'!F$8:F$508, A65,'Iron Ore - Q&amp;V'!D$8:D$508)</f>
        <v>305.88447268200002</v>
      </c>
      <c r="C65" s="705">
        <v>11.244000000000002</v>
      </c>
    </row>
    <row r="66" spans="1:7">
      <c r="A66" s="1338">
        <v>2009</v>
      </c>
      <c r="B66" s="873">
        <f>SUMIF('Iron Ore - Q&amp;V'!F$8:F$508, A66,'Iron Ore - Q&amp;V'!D$8:D$508)</f>
        <v>356.06964630899995</v>
      </c>
      <c r="C66" s="874">
        <v>12.558</v>
      </c>
    </row>
    <row r="67" spans="1:7">
      <c r="A67" s="1338">
        <v>2010</v>
      </c>
      <c r="B67" s="706">
        <f>SUMIF('Iron Ore - Q&amp;V'!F$8:F$508, A67,'Iron Ore - Q&amp;V'!D$8:D$508)</f>
        <v>393.85115706600004</v>
      </c>
      <c r="C67" s="912">
        <v>13.754</v>
      </c>
      <c r="D67" s="102"/>
    </row>
    <row r="68" spans="1:7">
      <c r="A68" s="1338">
        <v>2011</v>
      </c>
      <c r="B68" s="873">
        <f>SUMIF('Iron Ore - Q&amp;V'!F$8:F$508, A68,'Iron Ore - Q&amp;V'!D$8:D$508)</f>
        <v>426.67287969500001</v>
      </c>
      <c r="C68" s="913">
        <v>14.381</v>
      </c>
      <c r="D68" s="571"/>
      <c r="E68" s="448"/>
      <c r="F68" s="448"/>
      <c r="G68" s="448"/>
    </row>
    <row r="69" spans="1:7">
      <c r="A69" s="1338">
        <v>2012</v>
      </c>
      <c r="B69" s="706">
        <f>SUMIF('Iron Ore - Q&amp;V'!F$8:F$508, A69,'Iron Ore - Q&amp;V'!D$8:D$508)</f>
        <v>478.32621689000001</v>
      </c>
      <c r="C69" s="912">
        <v>14.849</v>
      </c>
      <c r="D69" s="571"/>
      <c r="E69" s="570"/>
      <c r="F69" s="569"/>
      <c r="G69" s="569"/>
    </row>
    <row r="70" spans="1:7">
      <c r="A70" s="1338">
        <v>2013</v>
      </c>
      <c r="B70" s="873">
        <f>SUMIF('Iron Ore - Q&amp;V'!F$8:F$508, A70,'Iron Ore - Q&amp;V'!D$8:D$508)</f>
        <v>554.93783338100002</v>
      </c>
      <c r="C70" s="913">
        <v>16.393000000000001</v>
      </c>
      <c r="D70" s="571"/>
      <c r="E70" s="570"/>
      <c r="F70" s="569"/>
      <c r="G70" s="569"/>
    </row>
    <row r="71" spans="1:7">
      <c r="A71" s="1338">
        <v>2014</v>
      </c>
      <c r="B71" s="706">
        <f>SUMIF('Iron Ore - Q&amp;V'!F$8:F$508, A71,'Iron Ore - Q&amp;V'!D$8:D$508)</f>
        <v>686.23425861200008</v>
      </c>
      <c r="C71" s="912">
        <v>15.496</v>
      </c>
      <c r="D71" s="571"/>
      <c r="E71" s="570"/>
      <c r="F71" s="569"/>
      <c r="G71" s="569"/>
    </row>
    <row r="72" spans="1:7">
      <c r="A72" s="1338">
        <v>2015</v>
      </c>
      <c r="B72" s="873">
        <f>SUMIF('Iron Ore - Q&amp;V'!F$8:F$508, A72,'Iron Ore - Q&amp;V'!D$8:D$508)</f>
        <v>742.39410678800004</v>
      </c>
      <c r="C72" s="913">
        <v>12.045</v>
      </c>
      <c r="D72" s="571"/>
      <c r="E72" s="570"/>
      <c r="F72" s="569"/>
      <c r="G72" s="569"/>
    </row>
    <row r="73" spans="1:7">
      <c r="A73" s="1338">
        <v>2016</v>
      </c>
      <c r="B73" s="800">
        <f>SUMIF('Iron Ore - Q&amp;V'!F$8:F$508, A73,'Iron Ore - Q&amp;V'!D$8:D$508)</f>
        <v>769.27752114500004</v>
      </c>
      <c r="C73" s="914">
        <v>11.536</v>
      </c>
      <c r="D73" s="571"/>
      <c r="E73" s="570"/>
      <c r="F73" s="569"/>
      <c r="G73" s="569"/>
    </row>
    <row r="74" spans="1:7">
      <c r="A74" s="1338">
        <v>2017</v>
      </c>
      <c r="B74" s="873">
        <f>SUMIF('Iron Ore - Q&amp;V'!F$8:F$508, A74,'Iron Ore - Q&amp;V'!D$8:D$508)</f>
        <v>814.119534714</v>
      </c>
      <c r="C74" s="913">
        <v>8.06</v>
      </c>
      <c r="D74" s="571"/>
      <c r="E74" s="570"/>
      <c r="F74" s="569"/>
      <c r="G74" s="569"/>
    </row>
    <row r="75" spans="1:7">
      <c r="A75" s="1338">
        <v>2018</v>
      </c>
      <c r="B75" s="800">
        <f>SUMIF('Iron Ore - Q&amp;V'!F$8:F$508, A75,'Iron Ore - Q&amp;V'!D$8:D$508)</f>
        <v>813.57782015700002</v>
      </c>
      <c r="C75" s="914">
        <v>7.3959999999999999</v>
      </c>
      <c r="D75" s="571"/>
      <c r="E75" s="570"/>
      <c r="F75" s="569"/>
      <c r="G75" s="569"/>
    </row>
    <row r="76" spans="1:7">
      <c r="A76" s="1338">
        <v>2019</v>
      </c>
      <c r="B76" s="873">
        <f>SUMIF('Iron Ore - Q&amp;V'!F$8:F$508, A76,'Iron Ore - Q&amp;V'!D$8:D$508)</f>
        <v>807.36623009499999</v>
      </c>
      <c r="C76" s="917">
        <v>8.0009999999999994</v>
      </c>
      <c r="D76" s="571"/>
      <c r="E76" s="570"/>
      <c r="F76" s="569"/>
      <c r="G76" s="569"/>
    </row>
    <row r="77" spans="1:7" ht="15.75" thickBot="1">
      <c r="A77" s="1338">
        <v>2020</v>
      </c>
      <c r="B77" s="972">
        <f>SUMIF('Iron Ore - Q&amp;V'!F$8:F$508, A77,'Iron Ore - Q&amp;V'!D$8:D$508)</f>
        <v>847.21186166400003</v>
      </c>
      <c r="C77" s="918">
        <v>8.3030000000000008</v>
      </c>
      <c r="D77" s="448"/>
      <c r="E77" s="448"/>
      <c r="F77" s="448"/>
      <c r="G77" s="448"/>
    </row>
    <row r="80" spans="1:7">
      <c r="C80" s="126"/>
    </row>
  </sheetData>
  <mergeCells count="3">
    <mergeCell ref="A5:C5"/>
    <mergeCell ref="E45:G45"/>
    <mergeCell ref="E46:G46"/>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tint="0.39997558519241921"/>
  </sheetPr>
  <dimension ref="A2:AW103"/>
  <sheetViews>
    <sheetView showGridLines="0" zoomScaleNormal="100" workbookViewId="0">
      <selection activeCell="F66" sqref="F66:I69"/>
    </sheetView>
  </sheetViews>
  <sheetFormatPr defaultRowHeight="15"/>
  <cols>
    <col min="1" max="1" width="8" customWidth="1"/>
    <col min="2" max="2" width="34" bestFit="1" customWidth="1"/>
    <col min="3" max="3" width="27.85546875" bestFit="1" customWidth="1"/>
    <col min="4" max="4" width="4.7109375" customWidth="1"/>
    <col min="5" max="5" width="18.42578125" customWidth="1"/>
    <col min="6" max="6" width="18.140625" bestFit="1" customWidth="1"/>
    <col min="7" max="8" width="21.7109375" style="36" bestFit="1" customWidth="1"/>
    <col min="9" max="9" width="28.140625" bestFit="1" customWidth="1"/>
    <col min="10" max="10" width="20.28515625" bestFit="1" customWidth="1"/>
    <col min="11" max="11" width="12.7109375" customWidth="1"/>
    <col min="12" max="12" width="3.42578125" customWidth="1"/>
    <col min="13" max="13" width="15.42578125" style="36" hidden="1" customWidth="1"/>
    <col min="14" max="14" width="20.28515625" style="10" customWidth="1"/>
    <col min="15" max="15" width="22" style="10" bestFit="1" customWidth="1"/>
    <col min="16" max="16" width="20.85546875" style="10" bestFit="1" customWidth="1"/>
    <col min="17" max="17" width="14.42578125" style="10" customWidth="1"/>
  </cols>
  <sheetData>
    <row r="2" spans="1:17">
      <c r="F2" s="169"/>
      <c r="M2"/>
      <c r="N2"/>
      <c r="O2"/>
      <c r="P2"/>
      <c r="Q2"/>
    </row>
    <row r="5" spans="1:17" ht="15.75" thickBot="1">
      <c r="A5" s="2026" t="s">
        <v>126</v>
      </c>
      <c r="B5" s="1988"/>
      <c r="C5" s="1988"/>
      <c r="N5" s="1988" t="s">
        <v>797</v>
      </c>
      <c r="O5" s="1988"/>
      <c r="P5" s="592"/>
      <c r="Q5" s="592"/>
    </row>
    <row r="6" spans="1:17" ht="15.75" thickBot="1">
      <c r="A6" s="1424" t="s">
        <v>41</v>
      </c>
      <c r="B6" s="1425" t="s">
        <v>686</v>
      </c>
      <c r="C6" s="1426" t="s">
        <v>687</v>
      </c>
      <c r="M6" s="67" t="s">
        <v>140</v>
      </c>
      <c r="N6" s="1431" t="s">
        <v>37</v>
      </c>
      <c r="O6" s="1426" t="s">
        <v>688</v>
      </c>
      <c r="P6" s="536"/>
      <c r="Q6" s="536"/>
    </row>
    <row r="7" spans="1:17">
      <c r="A7" s="1337">
        <v>1980</v>
      </c>
      <c r="B7" s="900">
        <v>37121</v>
      </c>
      <c r="C7" s="901">
        <v>7524</v>
      </c>
      <c r="M7" s="68">
        <f>RANK(O7,O$7:O$87)</f>
        <v>1</v>
      </c>
      <c r="N7" s="1340" t="s">
        <v>127</v>
      </c>
      <c r="O7" s="919">
        <v>70844710.002999991</v>
      </c>
      <c r="P7" s="492"/>
      <c r="Q7"/>
    </row>
    <row r="8" spans="1:17">
      <c r="A8" s="1337">
        <v>1981</v>
      </c>
      <c r="B8" s="898">
        <v>35604</v>
      </c>
      <c r="C8" s="899">
        <v>3336</v>
      </c>
      <c r="M8" s="69">
        <f t="shared" ref="M8:M37" si="0">RANK(O8,O$7:O$87)</f>
        <v>2</v>
      </c>
      <c r="N8" s="1340" t="s">
        <v>55</v>
      </c>
      <c r="O8" s="920">
        <v>25722739.309</v>
      </c>
      <c r="P8" s="492"/>
      <c r="Q8"/>
    </row>
    <row r="9" spans="1:17">
      <c r="A9" s="1337">
        <v>1982</v>
      </c>
      <c r="B9" s="900">
        <v>37160</v>
      </c>
      <c r="C9" s="901">
        <v>3452</v>
      </c>
      <c r="M9" s="70">
        <f t="shared" si="0"/>
        <v>3</v>
      </c>
      <c r="N9" s="1340" t="s">
        <v>32</v>
      </c>
      <c r="O9" s="919">
        <v>4859477.5769999996</v>
      </c>
      <c r="P9" s="492"/>
      <c r="Q9"/>
    </row>
    <row r="10" spans="1:17">
      <c r="A10" s="1337">
        <v>1983</v>
      </c>
      <c r="B10" s="898">
        <v>40021</v>
      </c>
      <c r="C10" s="899">
        <v>4385</v>
      </c>
      <c r="M10" s="69">
        <f t="shared" si="0"/>
        <v>4</v>
      </c>
      <c r="N10" s="1340" t="s">
        <v>21</v>
      </c>
      <c r="O10" s="920">
        <v>4013389.5010000002</v>
      </c>
      <c r="P10" s="492"/>
      <c r="Q10"/>
    </row>
    <row r="11" spans="1:17">
      <c r="A11" s="1337">
        <v>1984</v>
      </c>
      <c r="B11" s="900">
        <v>43475</v>
      </c>
      <c r="C11" s="901">
        <v>5970</v>
      </c>
      <c r="M11" s="70">
        <f t="shared" si="0"/>
        <v>5</v>
      </c>
      <c r="N11" s="1340" t="s">
        <v>72</v>
      </c>
      <c r="O11" s="919">
        <v>2983976.83</v>
      </c>
      <c r="P11" s="492"/>
      <c r="Q11"/>
    </row>
    <row r="12" spans="1:17">
      <c r="A12" s="1337">
        <v>1985</v>
      </c>
      <c r="B12" s="898">
        <v>46794</v>
      </c>
      <c r="C12" s="899">
        <v>10114</v>
      </c>
      <c r="M12" s="69">
        <f t="shared" si="0"/>
        <v>6</v>
      </c>
      <c r="N12" s="1340" t="s">
        <v>56</v>
      </c>
      <c r="O12" s="920">
        <v>2033812.959</v>
      </c>
      <c r="P12" s="492"/>
      <c r="Q12"/>
    </row>
    <row r="13" spans="1:17">
      <c r="A13" s="1337">
        <v>1986</v>
      </c>
      <c r="B13" s="900">
        <v>52208</v>
      </c>
      <c r="C13" s="901">
        <v>12005</v>
      </c>
      <c r="M13" s="70">
        <f t="shared" si="0"/>
        <v>7</v>
      </c>
      <c r="N13" s="1340" t="s">
        <v>64</v>
      </c>
      <c r="O13" s="919">
        <v>1529677.3259999999</v>
      </c>
      <c r="P13" s="492"/>
      <c r="Q13"/>
    </row>
    <row r="14" spans="1:17">
      <c r="A14" s="1337">
        <v>1987</v>
      </c>
      <c r="B14" s="898">
        <v>56280</v>
      </c>
      <c r="C14" s="899">
        <v>12098</v>
      </c>
      <c r="M14" s="69">
        <f t="shared" si="0"/>
        <v>8</v>
      </c>
      <c r="N14" s="1340" t="s">
        <v>68</v>
      </c>
      <c r="O14" s="920">
        <v>1506299.399</v>
      </c>
      <c r="P14" s="492"/>
      <c r="Q14"/>
    </row>
    <row r="15" spans="1:17">
      <c r="A15" s="1337">
        <v>1988</v>
      </c>
      <c r="B15" s="900">
        <v>59430</v>
      </c>
      <c r="C15" s="901">
        <v>10756</v>
      </c>
      <c r="M15" s="70">
        <f t="shared" si="0"/>
        <v>9</v>
      </c>
      <c r="N15" s="1340" t="s">
        <v>30</v>
      </c>
      <c r="O15" s="919">
        <v>1356632.176</v>
      </c>
      <c r="P15" s="492"/>
      <c r="Q15"/>
    </row>
    <row r="16" spans="1:17">
      <c r="A16" s="1337">
        <v>1989</v>
      </c>
      <c r="B16" s="898">
        <v>61587</v>
      </c>
      <c r="C16" s="899">
        <v>12414</v>
      </c>
      <c r="M16" s="69">
        <f t="shared" si="0"/>
        <v>10</v>
      </c>
      <c r="N16" s="1340" t="s">
        <v>130</v>
      </c>
      <c r="O16" s="920">
        <v>857669.89299999992</v>
      </c>
      <c r="P16" s="492"/>
      <c r="Q16"/>
    </row>
    <row r="17" spans="1:17">
      <c r="A17" s="1337">
        <v>1990</v>
      </c>
      <c r="B17" s="900">
        <v>66350</v>
      </c>
      <c r="C17" s="901">
        <v>14191</v>
      </c>
      <c r="M17" s="70">
        <f t="shared" si="0"/>
        <v>11</v>
      </c>
      <c r="N17" s="1340" t="s">
        <v>62</v>
      </c>
      <c r="O17" s="919">
        <v>582834.76699999999</v>
      </c>
      <c r="P17" s="492"/>
      <c r="Q17"/>
    </row>
    <row r="18" spans="1:17">
      <c r="A18" s="1337">
        <v>1991</v>
      </c>
      <c r="B18" s="898">
        <v>71000</v>
      </c>
      <c r="C18" s="899">
        <v>19035</v>
      </c>
      <c r="K18" s="61"/>
      <c r="M18" s="69">
        <f t="shared" si="0"/>
        <v>12</v>
      </c>
      <c r="N18" s="1340" t="s">
        <v>65</v>
      </c>
      <c r="O18" s="920">
        <v>549688.14600000007</v>
      </c>
      <c r="P18" s="492"/>
      <c r="Q18"/>
    </row>
    <row r="19" spans="1:17">
      <c r="A19" s="1337">
        <v>1992</v>
      </c>
      <c r="B19" s="900">
        <v>80940</v>
      </c>
      <c r="C19" s="901">
        <v>25172</v>
      </c>
      <c r="K19" s="61"/>
      <c r="M19" s="70">
        <f t="shared" si="0"/>
        <v>13</v>
      </c>
      <c r="N19" s="1340" t="s">
        <v>131</v>
      </c>
      <c r="O19" s="919">
        <v>449698.32200000004</v>
      </c>
      <c r="P19" s="492"/>
      <c r="Q19"/>
    </row>
    <row r="20" spans="1:17">
      <c r="A20" s="1337">
        <v>1993</v>
      </c>
      <c r="B20" s="898">
        <v>89560</v>
      </c>
      <c r="C20" s="899">
        <v>33020</v>
      </c>
      <c r="K20" s="61"/>
      <c r="M20" s="69">
        <f t="shared" si="0"/>
        <v>14</v>
      </c>
      <c r="N20" s="1340" t="s">
        <v>25</v>
      </c>
      <c r="O20" s="920">
        <v>285228.58600000001</v>
      </c>
      <c r="P20" s="492"/>
      <c r="Q20"/>
    </row>
    <row r="21" spans="1:17">
      <c r="A21" s="1337">
        <v>1994</v>
      </c>
      <c r="B21" s="900">
        <v>92610</v>
      </c>
      <c r="C21" s="901">
        <v>37343</v>
      </c>
      <c r="K21" s="61"/>
      <c r="M21" s="70">
        <f t="shared" si="0"/>
        <v>15</v>
      </c>
      <c r="N21" s="1340" t="s">
        <v>128</v>
      </c>
      <c r="O21" s="919">
        <v>247116.34500000003</v>
      </c>
      <c r="P21" s="492"/>
      <c r="Q21"/>
    </row>
    <row r="22" spans="1:17">
      <c r="A22" s="1337">
        <v>1995</v>
      </c>
      <c r="B22" s="898">
        <v>95360</v>
      </c>
      <c r="C22" s="899">
        <v>41150</v>
      </c>
      <c r="K22" s="61"/>
      <c r="M22" s="69">
        <f t="shared" si="0"/>
        <v>16</v>
      </c>
      <c r="N22" s="1340" t="s">
        <v>28</v>
      </c>
      <c r="O22" s="920">
        <v>180113.61900000001</v>
      </c>
      <c r="P22" s="492"/>
      <c r="Q22"/>
    </row>
    <row r="23" spans="1:17">
      <c r="A23" s="1337">
        <v>1996</v>
      </c>
      <c r="B23" s="900">
        <v>101237</v>
      </c>
      <c r="C23" s="901">
        <v>43874</v>
      </c>
      <c r="K23" s="61"/>
      <c r="M23" s="70">
        <f t="shared" si="0"/>
        <v>17</v>
      </c>
      <c r="N23" s="1340" t="s">
        <v>22</v>
      </c>
      <c r="O23" s="919">
        <v>120724.337</v>
      </c>
      <c r="P23" s="492"/>
      <c r="Q23"/>
    </row>
    <row r="24" spans="1:17">
      <c r="A24" s="1337">
        <v>1997</v>
      </c>
      <c r="B24" s="898">
        <v>108911</v>
      </c>
      <c r="C24" s="899">
        <v>55106</v>
      </c>
      <c r="K24" s="61"/>
      <c r="M24" s="69">
        <f t="shared" si="0"/>
        <v>18</v>
      </c>
      <c r="N24" s="1340" t="s">
        <v>66</v>
      </c>
      <c r="O24" s="920">
        <v>120331.88700000002</v>
      </c>
      <c r="P24" s="492"/>
      <c r="Q24"/>
    </row>
    <row r="25" spans="1:17">
      <c r="A25" s="1337">
        <v>1998</v>
      </c>
      <c r="B25" s="900">
        <v>114588</v>
      </c>
      <c r="C25" s="901">
        <v>52030</v>
      </c>
      <c r="K25" s="61"/>
      <c r="M25" s="70">
        <f t="shared" si="0"/>
        <v>19</v>
      </c>
      <c r="N25" s="1340" t="s">
        <v>654</v>
      </c>
      <c r="O25" s="919">
        <v>102322.03400000001</v>
      </c>
      <c r="P25" s="492"/>
      <c r="Q25"/>
    </row>
    <row r="26" spans="1:17">
      <c r="A26" s="1337">
        <v>1999</v>
      </c>
      <c r="B26" s="898">
        <v>123954</v>
      </c>
      <c r="C26" s="899">
        <v>55390</v>
      </c>
      <c r="K26" s="61"/>
      <c r="M26" s="69">
        <f t="shared" si="0"/>
        <v>20</v>
      </c>
      <c r="N26" s="1340" t="s">
        <v>132</v>
      </c>
      <c r="O26" s="920">
        <v>90961.582999999999</v>
      </c>
      <c r="P26" s="492"/>
      <c r="Q26"/>
    </row>
    <row r="27" spans="1:17">
      <c r="A27" s="1337">
        <v>2000</v>
      </c>
      <c r="B27" s="900">
        <v>128500</v>
      </c>
      <c r="C27" s="901">
        <v>69990</v>
      </c>
      <c r="K27" s="61"/>
      <c r="M27" s="70">
        <f t="shared" si="0"/>
        <v>21</v>
      </c>
      <c r="N27" s="1340" t="s">
        <v>134</v>
      </c>
      <c r="O27" s="919">
        <v>90471.73</v>
      </c>
      <c r="P27" s="492"/>
      <c r="Q27"/>
    </row>
    <row r="28" spans="1:17">
      <c r="A28" s="1337">
        <v>2001</v>
      </c>
      <c r="B28" s="898">
        <v>151634</v>
      </c>
      <c r="C28" s="899">
        <v>92480</v>
      </c>
      <c r="K28" s="61"/>
      <c r="M28" s="69">
        <f t="shared" si="0"/>
        <v>22</v>
      </c>
      <c r="N28" s="1340" t="s">
        <v>71</v>
      </c>
      <c r="O28" s="920">
        <v>71896.483999999997</v>
      </c>
      <c r="P28" s="492"/>
      <c r="Q28"/>
    </row>
    <row r="29" spans="1:17">
      <c r="A29" s="1337">
        <v>2002</v>
      </c>
      <c r="B29" s="900">
        <v>182249</v>
      </c>
      <c r="C29" s="901">
        <v>114599</v>
      </c>
      <c r="K29" s="61"/>
      <c r="M29" s="70">
        <f t="shared" si="0"/>
        <v>23</v>
      </c>
      <c r="N29" s="1340" t="s">
        <v>133</v>
      </c>
      <c r="O29" s="919">
        <v>69030.069000000003</v>
      </c>
      <c r="P29" s="492"/>
      <c r="Q29"/>
    </row>
    <row r="30" spans="1:17">
      <c r="A30" s="1337">
        <v>2003</v>
      </c>
      <c r="B30" s="898">
        <v>222336</v>
      </c>
      <c r="C30" s="899">
        <v>148196</v>
      </c>
      <c r="K30" s="61"/>
      <c r="M30" s="69">
        <f t="shared" si="0"/>
        <v>25</v>
      </c>
      <c r="N30" s="1340" t="s">
        <v>35</v>
      </c>
      <c r="O30" s="920">
        <v>51982.815000000002</v>
      </c>
      <c r="P30" s="492"/>
      <c r="Q30"/>
    </row>
    <row r="31" spans="1:17">
      <c r="A31" s="1337">
        <v>2004</v>
      </c>
      <c r="B31" s="900">
        <v>272798</v>
      </c>
      <c r="C31" s="901">
        <v>208089</v>
      </c>
      <c r="K31" s="61"/>
      <c r="M31" s="70">
        <f t="shared" si="0"/>
        <v>26</v>
      </c>
      <c r="N31" s="1340" t="s">
        <v>527</v>
      </c>
      <c r="O31" s="919">
        <v>27133.539000000001</v>
      </c>
      <c r="P31" s="492"/>
      <c r="Q31"/>
    </row>
    <row r="32" spans="1:17">
      <c r="A32" s="1337">
        <v>2005</v>
      </c>
      <c r="B32" s="898">
        <v>355790</v>
      </c>
      <c r="C32" s="899">
        <v>275260</v>
      </c>
      <c r="K32" s="61"/>
      <c r="M32" s="69">
        <f t="shared" si="0"/>
        <v>27</v>
      </c>
      <c r="N32" s="1340" t="s">
        <v>67</v>
      </c>
      <c r="O32" s="920">
        <v>22256.720999999998</v>
      </c>
      <c r="P32" s="492"/>
      <c r="Q32"/>
    </row>
    <row r="33" spans="1:18">
      <c r="A33" s="1337">
        <v>2006</v>
      </c>
      <c r="B33" s="900">
        <v>421024</v>
      </c>
      <c r="C33" s="901">
        <v>327311.821</v>
      </c>
      <c r="K33" s="61"/>
      <c r="M33" s="70">
        <f t="shared" si="0"/>
        <v>28</v>
      </c>
      <c r="N33" s="1340" t="s">
        <v>60</v>
      </c>
      <c r="O33" s="919">
        <v>20949.359</v>
      </c>
      <c r="P33" s="492"/>
      <c r="Q33"/>
    </row>
    <row r="34" spans="1:18">
      <c r="A34" s="1337">
        <v>2007</v>
      </c>
      <c r="B34" s="898">
        <v>489712</v>
      </c>
      <c r="C34" s="899">
        <v>383672</v>
      </c>
      <c r="K34" s="61"/>
      <c r="M34" s="69">
        <f t="shared" si="0"/>
        <v>29</v>
      </c>
      <c r="N34" s="1340" t="s">
        <v>795</v>
      </c>
      <c r="O34" s="920">
        <v>20910.972999999998</v>
      </c>
      <c r="P34" s="492"/>
      <c r="Q34"/>
    </row>
    <row r="35" spans="1:18">
      <c r="A35" s="1337">
        <v>2008</v>
      </c>
      <c r="B35" s="900">
        <v>512339</v>
      </c>
      <c r="C35" s="901">
        <v>444134</v>
      </c>
      <c r="K35" s="61"/>
      <c r="M35" s="70">
        <f t="shared" si="0"/>
        <v>30</v>
      </c>
      <c r="N35" s="1340" t="s">
        <v>796</v>
      </c>
      <c r="O35" s="919">
        <v>18944.044000000002</v>
      </c>
      <c r="P35" s="492"/>
      <c r="Q35"/>
    </row>
    <row r="36" spans="1:18">
      <c r="A36" s="1337">
        <v>2009</v>
      </c>
      <c r="B36" s="898">
        <v>577070</v>
      </c>
      <c r="C36" s="899">
        <v>628190</v>
      </c>
      <c r="K36" s="61"/>
      <c r="M36" s="69">
        <f t="shared" si="0"/>
        <v>31</v>
      </c>
      <c r="N36" s="1340" t="s">
        <v>33</v>
      </c>
      <c r="O36" s="920">
        <v>18922.014999999999</v>
      </c>
      <c r="P36" s="492"/>
      <c r="Q36"/>
    </row>
    <row r="37" spans="1:18" ht="15.75" thickBot="1">
      <c r="A37" s="1337">
        <v>2010</v>
      </c>
      <c r="B37" s="900">
        <v>638743</v>
      </c>
      <c r="C37" s="901">
        <v>616354</v>
      </c>
      <c r="K37" s="61"/>
      <c r="M37" s="70">
        <f t="shared" si="0"/>
        <v>24</v>
      </c>
      <c r="N37" s="1341" t="s">
        <v>139</v>
      </c>
      <c r="O37" s="1628">
        <v>65950.372000008821</v>
      </c>
      <c r="P37" s="102"/>
      <c r="Q37" s="536"/>
    </row>
    <row r="38" spans="1:18">
      <c r="A38" s="1337">
        <v>2011</v>
      </c>
      <c r="B38" s="898">
        <v>701968</v>
      </c>
      <c r="C38" s="899">
        <v>686700</v>
      </c>
      <c r="K38" s="61"/>
      <c r="M38" s="586" t="e">
        <f t="shared" ref="M38:M46" si="1">RANK(O38,O$38:O$87)</f>
        <v>#N/A</v>
      </c>
      <c r="N38" s="442"/>
      <c r="O38" s="441"/>
      <c r="P38" s="63"/>
      <c r="Q38" s="63"/>
      <c r="R38" s="492"/>
    </row>
    <row r="39" spans="1:18">
      <c r="A39" s="1337">
        <v>2012</v>
      </c>
      <c r="B39" s="900">
        <v>731040</v>
      </c>
      <c r="C39" s="901">
        <v>745493.19700000004</v>
      </c>
      <c r="K39" s="61"/>
      <c r="M39" s="587" t="e">
        <f t="shared" si="1"/>
        <v>#N/A</v>
      </c>
      <c r="N39" s="588"/>
      <c r="O39" s="63"/>
      <c r="P39" s="63"/>
      <c r="Q39" s="63"/>
      <c r="R39" s="492"/>
    </row>
    <row r="40" spans="1:18">
      <c r="A40" s="1337">
        <v>2013</v>
      </c>
      <c r="B40" s="898">
        <v>822000</v>
      </c>
      <c r="C40" s="899">
        <v>820115</v>
      </c>
      <c r="K40" s="61"/>
      <c r="M40" s="586" t="e">
        <f t="shared" si="1"/>
        <v>#N/A</v>
      </c>
      <c r="N40" s="588"/>
      <c r="O40" s="63"/>
      <c r="P40" s="63"/>
      <c r="Q40" s="63"/>
      <c r="R40" s="492"/>
    </row>
    <row r="41" spans="1:18" s="36" customFormat="1">
      <c r="A41" s="1337">
        <v>2014</v>
      </c>
      <c r="B41" s="900">
        <v>822698</v>
      </c>
      <c r="C41" s="901">
        <v>933097</v>
      </c>
      <c r="K41" s="61"/>
      <c r="M41" s="587" t="e">
        <f t="shared" si="1"/>
        <v>#N/A</v>
      </c>
      <c r="N41" s="588"/>
      <c r="O41" s="63"/>
      <c r="P41" s="63"/>
      <c r="Q41" s="63"/>
      <c r="R41" s="492"/>
    </row>
    <row r="42" spans="1:18">
      <c r="A42" s="1337">
        <v>2015</v>
      </c>
      <c r="B42" s="898">
        <v>803800</v>
      </c>
      <c r="C42" s="899">
        <v>953320</v>
      </c>
      <c r="K42" s="61"/>
      <c r="M42" s="586" t="e">
        <f t="shared" si="1"/>
        <v>#N/A</v>
      </c>
      <c r="N42" s="588"/>
      <c r="O42" s="63"/>
      <c r="P42" s="63"/>
      <c r="Q42" s="63"/>
      <c r="R42" s="492"/>
    </row>
    <row r="43" spans="1:18">
      <c r="A43" s="1337">
        <v>2016</v>
      </c>
      <c r="B43" s="900">
        <v>808370</v>
      </c>
      <c r="C43" s="901">
        <v>1024722</v>
      </c>
      <c r="K43" s="61"/>
      <c r="M43" s="587" t="e">
        <f t="shared" si="1"/>
        <v>#N/A</v>
      </c>
      <c r="N43" s="588"/>
      <c r="O43" s="63"/>
      <c r="P43" s="63"/>
      <c r="Q43" s="63"/>
      <c r="R43" s="492"/>
    </row>
    <row r="44" spans="1:18">
      <c r="A44" s="1337">
        <v>2017</v>
      </c>
      <c r="B44" s="898">
        <v>831852</v>
      </c>
      <c r="C44" s="899">
        <v>1074689.9701640001</v>
      </c>
      <c r="K44" s="61"/>
      <c r="M44" s="70" t="e">
        <f t="shared" si="1"/>
        <v>#N/A</v>
      </c>
      <c r="N44" s="588"/>
      <c r="O44" s="64"/>
      <c r="P44" s="64"/>
      <c r="Q44" s="64"/>
    </row>
    <row r="45" spans="1:18">
      <c r="A45" s="1337">
        <v>2018</v>
      </c>
      <c r="B45" s="900">
        <v>920027</v>
      </c>
      <c r="C45" s="901">
        <v>1063004.6196299999</v>
      </c>
      <c r="K45" s="61"/>
      <c r="M45" s="70" t="e">
        <f t="shared" si="1"/>
        <v>#N/A</v>
      </c>
    </row>
    <row r="46" spans="1:18" ht="15.75" thickBot="1">
      <c r="A46" s="1607">
        <v>2019</v>
      </c>
      <c r="B46" s="898">
        <v>996342</v>
      </c>
      <c r="C46" s="899">
        <v>1068949</v>
      </c>
      <c r="K46" s="61"/>
      <c r="M46" s="70" t="e">
        <f t="shared" si="1"/>
        <v>#N/A</v>
      </c>
    </row>
    <row r="47" spans="1:18" ht="15.75" thickBot="1">
      <c r="A47" s="1674">
        <v>2020</v>
      </c>
      <c r="B47" s="1692">
        <v>1053000</v>
      </c>
      <c r="C47" s="1693">
        <v>1170370</v>
      </c>
      <c r="K47" s="61"/>
      <c r="M47" s="441"/>
    </row>
    <row r="48" spans="1:18">
      <c r="B48" s="169"/>
      <c r="K48" s="61"/>
    </row>
    <row r="49" spans="1:48">
      <c r="K49" s="61"/>
    </row>
    <row r="50" spans="1:48">
      <c r="A50" s="61"/>
      <c r="K50" s="61"/>
    </row>
    <row r="51" spans="1:48">
      <c r="K51" s="61"/>
    </row>
    <row r="52" spans="1:48">
      <c r="K52" s="61"/>
    </row>
    <row r="53" spans="1:48" ht="15.75" thickBot="1">
      <c r="A53" s="36"/>
      <c r="B53" s="36"/>
      <c r="C53" s="36"/>
      <c r="D53" s="36"/>
      <c r="E53" s="1993" t="str">
        <f>"Major China Iron Ore Suppliers "&amp;RIGHT(N5,4)</f>
        <v>Major China Iron Ore Suppliers 2020</v>
      </c>
      <c r="F53" s="1988"/>
      <c r="G53" s="1988"/>
      <c r="H53" s="1988"/>
      <c r="I53" s="1988"/>
      <c r="J53" s="1993"/>
      <c r="K53" s="61"/>
      <c r="L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row>
    <row r="54" spans="1:48">
      <c r="B54" s="36"/>
      <c r="D54" s="535"/>
      <c r="E54" s="1629"/>
      <c r="F54" s="1431" t="s">
        <v>37</v>
      </c>
      <c r="G54" s="1428" t="s">
        <v>38</v>
      </c>
      <c r="H54" s="1428" t="s">
        <v>794</v>
      </c>
      <c r="I54" s="1432" t="s">
        <v>141</v>
      </c>
      <c r="J54" s="102"/>
      <c r="L54" s="36"/>
      <c r="M54" s="10"/>
      <c r="Q54"/>
    </row>
    <row r="55" spans="1:48">
      <c r="B55" s="36"/>
      <c r="D55" s="535"/>
      <c r="F55" s="909" t="str">
        <f t="shared" ref="F55:F64" si="2">VLOOKUP(G55,M$7:Q$106,2,FALSE)</f>
        <v>Australia</v>
      </c>
      <c r="G55" s="885">
        <v>1</v>
      </c>
      <c r="H55" s="903">
        <f t="shared" ref="H55:H64" si="3">VLOOKUP(G55,M$7:Q$106,3,FALSE)</f>
        <v>70844710.002999991</v>
      </c>
      <c r="I55" s="886">
        <f>H55/(SUM(H$55:H$65))</f>
        <v>0.59575496775700176</v>
      </c>
      <c r="L55" s="36"/>
      <c r="M55" s="10"/>
      <c r="Q55"/>
    </row>
    <row r="56" spans="1:48">
      <c r="B56" s="36"/>
      <c r="D56" s="535"/>
      <c r="F56" s="910" t="str">
        <f t="shared" si="2"/>
        <v>Brazil</v>
      </c>
      <c r="G56" s="847">
        <v>2</v>
      </c>
      <c r="H56" s="904">
        <f t="shared" si="3"/>
        <v>25722739.309</v>
      </c>
      <c r="I56" s="905">
        <f t="shared" ref="I56:I65" si="4">H56/(SUM(H$55:H$65))</f>
        <v>0.21631043061657149</v>
      </c>
      <c r="J56" s="61"/>
      <c r="L56" s="36"/>
      <c r="M56" s="10"/>
      <c r="Q56"/>
    </row>
    <row r="57" spans="1:48">
      <c r="B57" s="36"/>
      <c r="D57" s="535"/>
      <c r="F57" s="909" t="str">
        <f t="shared" si="2"/>
        <v>South Africa</v>
      </c>
      <c r="G57" s="885">
        <v>3</v>
      </c>
      <c r="H57" s="903">
        <f t="shared" si="3"/>
        <v>4859477.5769999996</v>
      </c>
      <c r="I57" s="886">
        <f t="shared" si="4"/>
        <v>4.0864842372548546E-2</v>
      </c>
      <c r="L57" s="36"/>
      <c r="M57" s="10"/>
      <c r="Q57"/>
    </row>
    <row r="58" spans="1:48">
      <c r="B58" s="36"/>
      <c r="D58" s="535"/>
      <c r="F58" s="910" t="str">
        <f t="shared" si="2"/>
        <v>India</v>
      </c>
      <c r="G58" s="847">
        <v>4</v>
      </c>
      <c r="H58" s="904">
        <f t="shared" si="3"/>
        <v>4013389.5010000002</v>
      </c>
      <c r="I58" s="905">
        <f t="shared" si="4"/>
        <v>3.3749827371208033E-2</v>
      </c>
      <c r="L58" s="36"/>
      <c r="M58" s="10"/>
      <c r="Q58"/>
    </row>
    <row r="59" spans="1:48">
      <c r="B59" s="36"/>
      <c r="D59" s="535"/>
      <c r="F59" s="909" t="str">
        <f t="shared" si="2"/>
        <v>Ukraine</v>
      </c>
      <c r="G59" s="885">
        <v>5</v>
      </c>
      <c r="H59" s="903">
        <f t="shared" si="3"/>
        <v>2983976.83</v>
      </c>
      <c r="I59" s="886">
        <f t="shared" si="4"/>
        <v>2.5093179435260744E-2</v>
      </c>
      <c r="L59" s="36"/>
      <c r="M59" s="10"/>
      <c r="Q59"/>
    </row>
    <row r="60" spans="1:48">
      <c r="B60" s="36"/>
      <c r="D60" s="535"/>
      <c r="F60" s="910" t="str">
        <f t="shared" si="2"/>
        <v>Canada</v>
      </c>
      <c r="G60" s="847">
        <v>6</v>
      </c>
      <c r="H60" s="904">
        <f t="shared" si="3"/>
        <v>2033812.959</v>
      </c>
      <c r="I60" s="905">
        <f t="shared" si="4"/>
        <v>1.7102959046081334E-2</v>
      </c>
      <c r="L60" s="36"/>
      <c r="M60" s="10"/>
      <c r="Q60"/>
    </row>
    <row r="61" spans="1:48">
      <c r="B61" s="36"/>
      <c r="D61" s="535"/>
      <c r="F61" s="909" t="str">
        <f t="shared" si="2"/>
        <v>Chile</v>
      </c>
      <c r="G61" s="885">
        <v>7</v>
      </c>
      <c r="H61" s="903">
        <f t="shared" si="3"/>
        <v>1529677.3259999999</v>
      </c>
      <c r="I61" s="886">
        <f t="shared" si="4"/>
        <v>1.2863527368397106E-2</v>
      </c>
      <c r="L61" s="36"/>
      <c r="M61" s="10"/>
      <c r="Q61"/>
    </row>
    <row r="62" spans="1:48">
      <c r="B62" s="36"/>
      <c r="D62" s="535"/>
      <c r="F62" s="910" t="str">
        <f t="shared" si="2"/>
        <v>Peru</v>
      </c>
      <c r="G62" s="847">
        <v>8</v>
      </c>
      <c r="H62" s="904">
        <f t="shared" si="3"/>
        <v>1506299.399</v>
      </c>
      <c r="I62" s="905">
        <f t="shared" si="4"/>
        <v>1.266693518606591E-2</v>
      </c>
      <c r="L62" s="36"/>
      <c r="M62" s="10"/>
      <c r="Q62"/>
    </row>
    <row r="63" spans="1:48">
      <c r="B63" s="36"/>
      <c r="D63" s="535"/>
      <c r="F63" s="909" t="str">
        <f t="shared" si="2"/>
        <v>Russian Federation</v>
      </c>
      <c r="G63" s="885">
        <v>9</v>
      </c>
      <c r="H63" s="903">
        <f t="shared" si="3"/>
        <v>1356632.176</v>
      </c>
      <c r="I63" s="886">
        <f t="shared" si="4"/>
        <v>1.1408337450132356E-2</v>
      </c>
      <c r="L63" s="36"/>
      <c r="M63" s="10"/>
      <c r="Q63"/>
    </row>
    <row r="64" spans="1:48">
      <c r="D64" s="535"/>
      <c r="E64" s="65"/>
      <c r="F64" s="910" t="str">
        <f t="shared" si="2"/>
        <v>Mauritania</v>
      </c>
      <c r="G64" s="847">
        <v>10</v>
      </c>
      <c r="H64" s="904">
        <f t="shared" si="3"/>
        <v>857669.89299999992</v>
      </c>
      <c r="I64" s="905">
        <f t="shared" si="4"/>
        <v>7.2124100646149721E-3</v>
      </c>
      <c r="J64" s="36"/>
      <c r="K64" s="36"/>
      <c r="L64" s="36"/>
      <c r="M64" s="10"/>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row>
    <row r="65" spans="4:49" ht="15.75" thickBot="1">
      <c r="D65" s="535"/>
      <c r="E65" s="65"/>
      <c r="F65" s="911" t="s">
        <v>142</v>
      </c>
      <c r="G65" s="906"/>
      <c r="H65" s="907">
        <f>SUMIF(M7:M108,"&gt;10",O7:O108)</f>
        <v>3207467.7470000098</v>
      </c>
      <c r="I65" s="908">
        <f t="shared" si="4"/>
        <v>2.6972583332117481E-2</v>
      </c>
      <c r="J65" s="36"/>
      <c r="K65" s="36"/>
      <c r="L65" s="36"/>
      <c r="M65" s="10"/>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row>
    <row r="66" spans="4:49">
      <c r="D66" s="65"/>
      <c r="E66" s="63"/>
      <c r="F66" s="63"/>
      <c r="G66" s="63"/>
      <c r="H66" s="63"/>
      <c r="I66" s="64"/>
      <c r="J66" s="36"/>
      <c r="K66" s="36"/>
      <c r="L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row>
    <row r="67" spans="4:49">
      <c r="D67" s="65"/>
      <c r="E67" s="63"/>
      <c r="F67" s="63"/>
      <c r="G67" s="63"/>
      <c r="H67" s="63"/>
      <c r="I67" s="64"/>
      <c r="J67" s="36"/>
      <c r="K67" s="36"/>
      <c r="L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row>
    <row r="68" spans="4:49">
      <c r="D68" s="65"/>
      <c r="E68" s="63"/>
      <c r="F68" s="63"/>
      <c r="G68" s="63"/>
      <c r="H68" s="63"/>
      <c r="I68" s="64"/>
      <c r="J68" s="36"/>
      <c r="K68" s="36"/>
      <c r="L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row>
    <row r="69" spans="4:49">
      <c r="D69" s="65"/>
      <c r="E69" s="63"/>
      <c r="F69" s="63"/>
      <c r="G69" s="63"/>
      <c r="H69" s="63"/>
      <c r="I69" s="64"/>
      <c r="J69" s="36"/>
      <c r="K69" s="36"/>
      <c r="L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row>
    <row r="70" spans="4:49">
      <c r="D70" s="65"/>
      <c r="E70" s="63"/>
      <c r="F70" s="63"/>
      <c r="G70" s="63"/>
      <c r="H70" s="63"/>
      <c r="I70" s="64"/>
      <c r="J70" s="36"/>
      <c r="K70" s="36"/>
      <c r="L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row>
    <row r="71" spans="4:49">
      <c r="D71" s="65"/>
      <c r="E71" s="63"/>
      <c r="F71" s="63"/>
      <c r="G71" s="63"/>
      <c r="H71" s="63"/>
      <c r="I71" s="64"/>
      <c r="J71" s="36"/>
      <c r="K71" s="36"/>
      <c r="L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row>
    <row r="72" spans="4:49">
      <c r="D72" s="65"/>
      <c r="E72" s="63"/>
      <c r="F72" s="63"/>
      <c r="G72" s="63"/>
      <c r="H72" s="63"/>
      <c r="I72" s="64"/>
      <c r="J72" s="36"/>
      <c r="K72" s="36"/>
      <c r="L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row>
    <row r="73" spans="4:49">
      <c r="D73" s="65"/>
      <c r="E73" s="63"/>
      <c r="F73" s="63"/>
      <c r="G73" s="63"/>
      <c r="H73" s="63"/>
      <c r="I73" s="64"/>
      <c r="J73" s="36"/>
      <c r="K73" s="36"/>
      <c r="L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row>
    <row r="74" spans="4:49">
      <c r="D74" s="65"/>
      <c r="E74" s="63"/>
      <c r="F74" s="63"/>
      <c r="G74" s="63"/>
      <c r="H74" s="63"/>
      <c r="I74" s="64"/>
      <c r="J74" s="36"/>
      <c r="K74" s="36"/>
      <c r="L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row>
    <row r="75" spans="4:49">
      <c r="D75" s="65"/>
      <c r="E75" s="63"/>
      <c r="F75" s="63"/>
      <c r="G75" s="63"/>
      <c r="H75" s="63"/>
      <c r="I75" s="64"/>
      <c r="J75" s="36"/>
      <c r="K75" s="36"/>
      <c r="L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row>
    <row r="76" spans="4:49">
      <c r="D76" s="65"/>
      <c r="E76" s="63"/>
      <c r="F76" s="63"/>
      <c r="G76" s="63"/>
      <c r="H76" s="63"/>
      <c r="I76" s="64"/>
      <c r="J76" s="36"/>
      <c r="K76" s="36"/>
      <c r="L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row>
    <row r="77" spans="4:49">
      <c r="D77" s="65"/>
      <c r="E77" s="63"/>
      <c r="F77" s="63"/>
      <c r="G77" s="63"/>
      <c r="H77" s="63"/>
      <c r="I77" s="64"/>
      <c r="J77" s="36"/>
      <c r="K77" s="36"/>
      <c r="L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row>
    <row r="78" spans="4:49">
      <c r="D78" s="65"/>
      <c r="E78" s="63"/>
      <c r="F78" s="63"/>
      <c r="G78" s="63"/>
      <c r="H78" s="63"/>
      <c r="I78" s="64"/>
    </row>
    <row r="79" spans="4:49">
      <c r="D79" s="65"/>
      <c r="E79" s="63"/>
      <c r="F79" s="63"/>
      <c r="G79" s="63"/>
      <c r="H79" s="63"/>
      <c r="I79" s="64"/>
    </row>
    <row r="80" spans="4:49">
      <c r="D80" s="65"/>
      <c r="E80" s="63"/>
      <c r="F80" s="63"/>
      <c r="G80" s="63"/>
      <c r="H80" s="63"/>
      <c r="I80" s="64"/>
    </row>
    <row r="81" spans="4:9">
      <c r="D81" s="65"/>
      <c r="E81" s="63"/>
      <c r="F81" s="63"/>
      <c r="G81" s="63"/>
      <c r="H81" s="63"/>
      <c r="I81" s="64"/>
    </row>
    <row r="82" spans="4:9">
      <c r="D82" s="65"/>
      <c r="E82" s="63"/>
      <c r="F82" s="63"/>
      <c r="G82" s="63"/>
      <c r="H82" s="63"/>
      <c r="I82" s="64"/>
    </row>
    <row r="83" spans="4:9">
      <c r="D83" s="65"/>
      <c r="E83" s="64"/>
      <c r="F83" s="63"/>
      <c r="G83" s="63"/>
      <c r="H83" s="63"/>
      <c r="I83" s="64"/>
    </row>
    <row r="84" spans="4:9">
      <c r="D84" s="65"/>
      <c r="E84" s="64"/>
      <c r="F84" s="63"/>
      <c r="G84" s="63"/>
      <c r="H84" s="63"/>
      <c r="I84" s="64"/>
    </row>
    <row r="85" spans="4:9">
      <c r="D85" s="65"/>
      <c r="E85" s="64"/>
      <c r="F85" s="63"/>
      <c r="G85" s="63"/>
      <c r="H85" s="63"/>
      <c r="I85" s="64"/>
    </row>
    <row r="86" spans="4:9">
      <c r="D86" s="65"/>
      <c r="E86" s="64"/>
      <c r="F86" s="63"/>
      <c r="G86" s="63"/>
      <c r="H86" s="63"/>
      <c r="I86" s="64"/>
    </row>
    <row r="87" spans="4:9">
      <c r="D87" s="65"/>
      <c r="E87" s="64"/>
      <c r="F87" s="63"/>
      <c r="G87" s="63"/>
      <c r="H87" s="63"/>
      <c r="I87" s="64"/>
    </row>
    <row r="88" spans="4:9">
      <c r="D88" s="65"/>
      <c r="E88" s="64"/>
      <c r="F88" s="63"/>
      <c r="G88" s="63"/>
      <c r="H88" s="63"/>
      <c r="I88" s="64"/>
    </row>
    <row r="89" spans="4:9">
      <c r="D89" s="65"/>
      <c r="E89" s="64"/>
      <c r="F89" s="63"/>
      <c r="G89" s="63"/>
      <c r="H89" s="63"/>
      <c r="I89" s="64"/>
    </row>
    <row r="90" spans="4:9">
      <c r="D90" s="65"/>
      <c r="E90" s="64"/>
      <c r="F90" s="63"/>
      <c r="G90" s="63"/>
      <c r="H90" s="63"/>
      <c r="I90" s="64"/>
    </row>
    <row r="91" spans="4:9">
      <c r="D91" s="65"/>
      <c r="E91" s="64"/>
      <c r="F91" s="63"/>
      <c r="G91" s="63"/>
      <c r="H91" s="63"/>
      <c r="I91" s="64"/>
    </row>
    <row r="92" spans="4:9">
      <c r="D92" s="65"/>
      <c r="E92" s="64"/>
      <c r="F92" s="63"/>
      <c r="G92" s="63"/>
      <c r="H92" s="63"/>
      <c r="I92" s="64"/>
    </row>
    <row r="93" spans="4:9">
      <c r="D93" s="65"/>
      <c r="E93" s="64"/>
      <c r="F93" s="63"/>
      <c r="G93" s="63"/>
      <c r="H93" s="63"/>
      <c r="I93" s="64"/>
    </row>
    <row r="94" spans="4:9">
      <c r="D94" s="65"/>
      <c r="E94" s="64"/>
      <c r="F94" s="63"/>
      <c r="G94" s="63"/>
      <c r="H94" s="63"/>
      <c r="I94" s="64"/>
    </row>
    <row r="95" spans="4:9">
      <c r="D95" s="65"/>
      <c r="E95" s="64"/>
      <c r="F95" s="63"/>
      <c r="G95" s="63"/>
      <c r="H95" s="63"/>
      <c r="I95" s="64"/>
    </row>
    <row r="96" spans="4:9">
      <c r="D96" s="65"/>
      <c r="E96" s="64"/>
      <c r="F96" s="63"/>
      <c r="G96" s="63"/>
      <c r="H96" s="63"/>
      <c r="I96" s="64"/>
    </row>
    <row r="97" spans="4:9">
      <c r="D97" s="65"/>
      <c r="E97" s="64"/>
      <c r="F97" s="63"/>
      <c r="G97" s="63"/>
      <c r="H97" s="63"/>
      <c r="I97" s="64"/>
    </row>
    <row r="98" spans="4:9">
      <c r="D98" s="65"/>
      <c r="E98" s="64"/>
      <c r="F98" s="63"/>
      <c r="G98" s="63"/>
      <c r="H98" s="63"/>
      <c r="I98" s="64"/>
    </row>
    <row r="99" spans="4:9">
      <c r="D99" s="65"/>
      <c r="E99" s="64"/>
      <c r="F99" s="63"/>
      <c r="G99" s="63"/>
      <c r="H99" s="63"/>
      <c r="I99" s="64"/>
    </row>
    <row r="100" spans="4:9">
      <c r="D100" s="65"/>
      <c r="E100" s="64"/>
      <c r="F100" s="63"/>
      <c r="G100" s="63"/>
      <c r="H100" s="63"/>
      <c r="I100" s="64"/>
    </row>
    <row r="101" spans="4:9">
      <c r="D101" s="65"/>
      <c r="E101" s="64"/>
      <c r="F101" s="63"/>
      <c r="G101" s="63"/>
      <c r="H101" s="63"/>
      <c r="I101" s="64"/>
    </row>
    <row r="102" spans="4:9">
      <c r="D102" s="65"/>
      <c r="E102" s="64"/>
      <c r="F102" s="63"/>
      <c r="G102" s="63"/>
      <c r="H102" s="63"/>
      <c r="I102" s="64"/>
    </row>
    <row r="103" spans="4:9">
      <c r="D103" s="65"/>
      <c r="E103" s="64"/>
      <c r="F103" s="64"/>
      <c r="G103" s="64"/>
      <c r="H103" s="64"/>
      <c r="I103" s="64"/>
    </row>
  </sheetData>
  <mergeCells count="3">
    <mergeCell ref="A5:C5"/>
    <mergeCell ref="E53:J53"/>
    <mergeCell ref="N5:O5"/>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tint="0.39997558519241921"/>
  </sheetPr>
  <dimension ref="A2:Q104"/>
  <sheetViews>
    <sheetView showGridLines="0" zoomScaleNormal="100" workbookViewId="0">
      <selection activeCell="P15" sqref="P15"/>
    </sheetView>
  </sheetViews>
  <sheetFormatPr defaultRowHeight="15"/>
  <cols>
    <col min="1" max="1" width="9.140625" style="386"/>
    <col min="2" max="2" width="34" style="386" bestFit="1" customWidth="1"/>
    <col min="3" max="3" width="27.85546875" style="386" bestFit="1" customWidth="1"/>
    <col min="4" max="4" width="4.7109375" style="386" customWidth="1"/>
    <col min="5" max="5" width="12.7109375" style="386" customWidth="1"/>
    <col min="6" max="6" width="18.140625" style="386" bestFit="1" customWidth="1"/>
    <col min="7" max="7" width="22" style="386" bestFit="1" customWidth="1"/>
    <col min="8" max="8" width="22.5703125" style="386" bestFit="1" customWidth="1"/>
    <col min="9" max="9" width="18.42578125" style="386" bestFit="1" customWidth="1"/>
    <col min="10" max="10" width="20.28515625" style="386" bestFit="1" customWidth="1"/>
    <col min="11" max="11" width="12.7109375" style="386" customWidth="1"/>
    <col min="12" max="12" width="6.28515625" style="386" customWidth="1"/>
    <col min="13" max="13" width="13.5703125" style="386" hidden="1" customWidth="1"/>
    <col min="14" max="14" width="20.140625" style="373" bestFit="1" customWidth="1"/>
    <col min="15" max="15" width="22" style="373" bestFit="1" customWidth="1"/>
    <col min="16" max="16" width="20.85546875" style="373" bestFit="1" customWidth="1"/>
    <col min="17" max="17" width="10.5703125" style="373" bestFit="1" customWidth="1"/>
    <col min="18" max="16384" width="9.140625" style="386"/>
  </cols>
  <sheetData>
    <row r="2" spans="1:17">
      <c r="E2" s="169"/>
      <c r="F2" s="531"/>
      <c r="N2" s="386"/>
      <c r="O2" s="386"/>
      <c r="P2" s="386"/>
      <c r="Q2" s="386"/>
    </row>
    <row r="3" spans="1:17">
      <c r="F3" s="237"/>
    </row>
    <row r="5" spans="1:17" ht="15.75" thickBot="1">
      <c r="A5" s="2026" t="s">
        <v>126</v>
      </c>
      <c r="B5" s="1988"/>
      <c r="C5" s="1988"/>
      <c r="N5" s="2028" t="s">
        <v>818</v>
      </c>
      <c r="O5" s="2028"/>
      <c r="P5" s="592"/>
      <c r="Q5" s="592"/>
    </row>
    <row r="6" spans="1:17" ht="15.75" thickBot="1">
      <c r="A6" s="1424" t="s">
        <v>41</v>
      </c>
      <c r="B6" s="1425" t="s">
        <v>686</v>
      </c>
      <c r="C6" s="1426" t="s">
        <v>687</v>
      </c>
      <c r="M6" s="67" t="s">
        <v>793</v>
      </c>
      <c r="N6" s="1427" t="s">
        <v>37</v>
      </c>
      <c r="O6" s="1426" t="s">
        <v>688</v>
      </c>
      <c r="P6" s="536"/>
      <c r="Q6" s="536"/>
    </row>
    <row r="7" spans="1:17">
      <c r="A7" s="921" t="s">
        <v>481</v>
      </c>
      <c r="B7" s="915">
        <v>68599</v>
      </c>
      <c r="C7" s="919"/>
      <c r="M7" s="68">
        <f t="shared" ref="M7:M37" si="0">RANK(O7,O$7:O$88)</f>
        <v>1</v>
      </c>
      <c r="N7" s="493" t="s">
        <v>127</v>
      </c>
      <c r="O7" s="919">
        <v>97312040.69600001</v>
      </c>
      <c r="P7" s="536"/>
      <c r="Q7" s="536"/>
    </row>
    <row r="8" spans="1:17">
      <c r="A8" s="921" t="s">
        <v>482</v>
      </c>
      <c r="B8" s="916">
        <v>75768</v>
      </c>
      <c r="C8" s="920"/>
      <c r="M8" s="69">
        <f t="shared" si="0"/>
        <v>2</v>
      </c>
      <c r="N8" s="493" t="s">
        <v>55</v>
      </c>
      <c r="O8" s="920">
        <v>35260308.498000003</v>
      </c>
      <c r="P8" s="536"/>
      <c r="Q8" s="536"/>
    </row>
    <row r="9" spans="1:17">
      <c r="A9" s="921" t="s">
        <v>483</v>
      </c>
      <c r="B9" s="915">
        <v>85059</v>
      </c>
      <c r="C9" s="919"/>
      <c r="M9" s="70">
        <f t="shared" si="0"/>
        <v>3</v>
      </c>
      <c r="N9" s="493" t="s">
        <v>32</v>
      </c>
      <c r="O9" s="919">
        <v>6039047.2850000001</v>
      </c>
      <c r="P9" s="536"/>
      <c r="Q9" s="536"/>
    </row>
    <row r="10" spans="1:17">
      <c r="A10" s="921" t="s">
        <v>484</v>
      </c>
      <c r="B10" s="916">
        <v>92194</v>
      </c>
      <c r="C10" s="920"/>
      <c r="M10" s="69">
        <f t="shared" si="0"/>
        <v>4</v>
      </c>
      <c r="N10" s="493" t="s">
        <v>21</v>
      </c>
      <c r="O10" s="920">
        <v>5788958.1860000007</v>
      </c>
      <c r="P10" s="536"/>
      <c r="Q10" s="536"/>
    </row>
    <row r="11" spans="1:17">
      <c r="A11" s="921" t="s">
        <v>485</v>
      </c>
      <c r="B11" s="915">
        <v>93482</v>
      </c>
      <c r="C11" s="919"/>
      <c r="M11" s="70">
        <f t="shared" si="0"/>
        <v>5</v>
      </c>
      <c r="N11" s="493" t="s">
        <v>72</v>
      </c>
      <c r="O11" s="919">
        <v>3657261.4649999999</v>
      </c>
      <c r="P11" s="536"/>
      <c r="Q11" s="536"/>
    </row>
    <row r="12" spans="1:17">
      <c r="A12" s="921" t="s">
        <v>486</v>
      </c>
      <c r="B12" s="916">
        <v>95740</v>
      </c>
      <c r="C12" s="920"/>
      <c r="M12" s="69">
        <f t="shared" si="0"/>
        <v>6</v>
      </c>
      <c r="N12" s="493" t="s">
        <v>56</v>
      </c>
      <c r="O12" s="920">
        <v>2999236.983</v>
      </c>
      <c r="P12" s="536"/>
      <c r="Q12" s="536"/>
    </row>
    <row r="13" spans="1:17">
      <c r="A13" s="921" t="s">
        <v>487</v>
      </c>
      <c r="B13" s="915">
        <v>103514</v>
      </c>
      <c r="C13" s="919"/>
      <c r="M13" s="70">
        <f t="shared" si="0"/>
        <v>7</v>
      </c>
      <c r="N13" s="493" t="s">
        <v>68</v>
      </c>
      <c r="O13" s="919">
        <v>2387849.6469999999</v>
      </c>
      <c r="P13" s="536"/>
      <c r="Q13" s="536"/>
    </row>
    <row r="14" spans="1:17">
      <c r="A14" s="921" t="s">
        <v>488</v>
      </c>
      <c r="B14" s="916">
        <v>110778</v>
      </c>
      <c r="C14" s="920">
        <v>57166</v>
      </c>
      <c r="M14" s="69">
        <f t="shared" si="0"/>
        <v>8</v>
      </c>
      <c r="N14" s="493" t="s">
        <v>64</v>
      </c>
      <c r="O14" s="920">
        <v>2084871.0899999999</v>
      </c>
      <c r="P14" s="536"/>
      <c r="Q14" s="536"/>
    </row>
    <row r="15" spans="1:17">
      <c r="A15" s="921" t="s">
        <v>489</v>
      </c>
      <c r="B15" s="915">
        <v>118218</v>
      </c>
      <c r="C15" s="919">
        <v>51360</v>
      </c>
      <c r="M15" s="70">
        <f t="shared" si="0"/>
        <v>9</v>
      </c>
      <c r="N15" s="493" t="s">
        <v>30</v>
      </c>
      <c r="O15" s="919">
        <v>1526150.1320000002</v>
      </c>
      <c r="P15" s="536"/>
      <c r="Q15" s="536"/>
    </row>
    <row r="16" spans="1:17">
      <c r="A16" s="921" t="s">
        <v>490</v>
      </c>
      <c r="B16" s="916">
        <v>125495</v>
      </c>
      <c r="C16" s="920">
        <v>65820</v>
      </c>
      <c r="M16" s="69">
        <f t="shared" si="0"/>
        <v>10</v>
      </c>
      <c r="N16" s="493" t="s">
        <v>130</v>
      </c>
      <c r="O16" s="920">
        <v>1105148.8959999999</v>
      </c>
      <c r="P16" s="536"/>
      <c r="Q16" s="536"/>
    </row>
    <row r="17" spans="1:17">
      <c r="A17" s="921" t="s">
        <v>491</v>
      </c>
      <c r="B17" s="915">
        <v>133533</v>
      </c>
      <c r="C17" s="919">
        <v>77830</v>
      </c>
      <c r="M17" s="70">
        <f t="shared" si="0"/>
        <v>11</v>
      </c>
      <c r="N17" s="493" t="s">
        <v>65</v>
      </c>
      <c r="O17" s="919">
        <v>591037.076</v>
      </c>
      <c r="P17" s="536"/>
      <c r="Q17" s="536"/>
    </row>
    <row r="18" spans="1:17">
      <c r="A18" s="921" t="s">
        <v>492</v>
      </c>
      <c r="B18" s="916">
        <v>162240</v>
      </c>
      <c r="C18" s="920">
        <v>101486</v>
      </c>
      <c r="M18" s="69">
        <f t="shared" si="0"/>
        <v>12</v>
      </c>
      <c r="N18" s="493" t="s">
        <v>62</v>
      </c>
      <c r="O18" s="920">
        <v>567354.41700000002</v>
      </c>
      <c r="P18" s="536"/>
      <c r="Q18" s="536"/>
    </row>
    <row r="19" spans="1:17">
      <c r="A19" s="921" t="s">
        <v>493</v>
      </c>
      <c r="B19" s="915">
        <v>197475</v>
      </c>
      <c r="C19" s="919">
        <v>136012</v>
      </c>
      <c r="M19" s="70">
        <f t="shared" si="0"/>
        <v>13</v>
      </c>
      <c r="N19" s="493" t="s">
        <v>131</v>
      </c>
      <c r="O19" s="919">
        <v>558265.60100000002</v>
      </c>
      <c r="P19" s="536"/>
      <c r="Q19" s="536"/>
    </row>
    <row r="20" spans="1:17">
      <c r="A20" s="921" t="s">
        <v>494</v>
      </c>
      <c r="B20" s="916">
        <v>245395</v>
      </c>
      <c r="C20" s="920">
        <v>173468.54</v>
      </c>
      <c r="M20" s="69">
        <f t="shared" si="0"/>
        <v>14</v>
      </c>
      <c r="N20" s="493" t="s">
        <v>25</v>
      </c>
      <c r="O20" s="920">
        <v>474646.56200000003</v>
      </c>
      <c r="P20" s="536"/>
      <c r="Q20" s="536"/>
    </row>
    <row r="21" spans="1:17">
      <c r="A21" s="921" t="s">
        <v>471</v>
      </c>
      <c r="B21" s="915">
        <v>317055</v>
      </c>
      <c r="C21" s="919">
        <v>241353.51899999997</v>
      </c>
      <c r="M21" s="70">
        <f t="shared" si="0"/>
        <v>15</v>
      </c>
      <c r="N21" s="493" t="s">
        <v>132</v>
      </c>
      <c r="O21" s="919">
        <v>280182.67300000001</v>
      </c>
      <c r="P21" s="536"/>
      <c r="Q21" s="536"/>
    </row>
    <row r="22" spans="1:17">
      <c r="A22" s="921" t="s">
        <v>495</v>
      </c>
      <c r="B22" s="916">
        <v>386601</v>
      </c>
      <c r="C22" s="920">
        <v>305706.255</v>
      </c>
      <c r="M22" s="69">
        <f t="shared" si="0"/>
        <v>16</v>
      </c>
      <c r="N22" s="493" t="s">
        <v>128</v>
      </c>
      <c r="O22" s="920">
        <v>270048.03200000001</v>
      </c>
      <c r="P22" s="536"/>
      <c r="Q22" s="536"/>
    </row>
    <row r="23" spans="1:17">
      <c r="A23" s="921" t="s">
        <v>496</v>
      </c>
      <c r="B23" s="915">
        <v>464094</v>
      </c>
      <c r="C23" s="919">
        <v>353941.50699999998</v>
      </c>
      <c r="M23" s="70">
        <f t="shared" si="0"/>
        <v>17</v>
      </c>
      <c r="N23" s="493" t="s">
        <v>28</v>
      </c>
      <c r="O23" s="919">
        <v>269654.92499999999</v>
      </c>
      <c r="P23" s="536"/>
      <c r="Q23" s="536"/>
    </row>
    <row r="24" spans="1:17">
      <c r="A24" s="921" t="s">
        <v>497</v>
      </c>
      <c r="B24" s="916">
        <v>515959</v>
      </c>
      <c r="C24" s="920">
        <v>425804</v>
      </c>
      <c r="M24" s="69">
        <f t="shared" si="0"/>
        <v>18</v>
      </c>
      <c r="N24" s="493" t="s">
        <v>654</v>
      </c>
      <c r="O24" s="920">
        <v>240604.20300000001</v>
      </c>
      <c r="P24" s="536"/>
      <c r="Q24" s="536"/>
    </row>
    <row r="25" spans="1:17">
      <c r="A25" s="921" t="s">
        <v>498</v>
      </c>
      <c r="B25" s="915">
        <v>502098</v>
      </c>
      <c r="C25" s="919">
        <v>511080</v>
      </c>
      <c r="M25" s="70">
        <f t="shared" si="0"/>
        <v>19</v>
      </c>
      <c r="N25" s="493" t="s">
        <v>66</v>
      </c>
      <c r="O25" s="919">
        <v>213496.163</v>
      </c>
      <c r="P25" s="536"/>
      <c r="Q25" s="536"/>
    </row>
    <row r="26" spans="1:17">
      <c r="A26" s="921" t="s">
        <v>499</v>
      </c>
      <c r="B26" s="916">
        <v>622958</v>
      </c>
      <c r="C26" s="920">
        <v>640420</v>
      </c>
      <c r="M26" s="69">
        <f t="shared" si="0"/>
        <v>20</v>
      </c>
      <c r="N26" s="493" t="s">
        <v>71</v>
      </c>
      <c r="O26" s="920">
        <v>197252.095</v>
      </c>
      <c r="P26" s="536"/>
      <c r="Q26" s="536"/>
    </row>
    <row r="27" spans="1:17">
      <c r="A27" s="921" t="s">
        <v>500</v>
      </c>
      <c r="B27" s="915">
        <v>656143</v>
      </c>
      <c r="C27" s="919">
        <v>641204</v>
      </c>
      <c r="M27" s="70">
        <f t="shared" si="0"/>
        <v>21</v>
      </c>
      <c r="N27" s="493" t="s">
        <v>35</v>
      </c>
      <c r="O27" s="919">
        <v>170466.87099999998</v>
      </c>
      <c r="P27" s="536"/>
      <c r="Q27" s="536"/>
    </row>
    <row r="28" spans="1:17">
      <c r="A28" s="921" t="s">
        <v>501</v>
      </c>
      <c r="B28" s="916">
        <v>687691</v>
      </c>
      <c r="C28" s="920">
        <v>719450</v>
      </c>
      <c r="M28" s="69">
        <f t="shared" si="0"/>
        <v>22</v>
      </c>
      <c r="N28" s="493" t="s">
        <v>22</v>
      </c>
      <c r="O28" s="920">
        <v>138353.96899999998</v>
      </c>
      <c r="P28" s="536"/>
      <c r="Q28" s="536"/>
    </row>
    <row r="29" spans="1:17">
      <c r="A29" s="921" t="s">
        <v>502</v>
      </c>
      <c r="B29" s="915">
        <v>752285</v>
      </c>
      <c r="C29" s="919">
        <v>762985.19699999993</v>
      </c>
      <c r="M29" s="70">
        <f t="shared" si="0"/>
        <v>24</v>
      </c>
      <c r="N29" s="493" t="s">
        <v>134</v>
      </c>
      <c r="O29" s="919">
        <v>100943.78</v>
      </c>
      <c r="P29" s="536"/>
      <c r="Q29" s="536"/>
    </row>
    <row r="30" spans="1:17">
      <c r="A30" s="921" t="s">
        <v>503</v>
      </c>
      <c r="B30" s="916">
        <v>814148</v>
      </c>
      <c r="C30" s="920">
        <v>892986</v>
      </c>
      <c r="M30" s="69">
        <f t="shared" si="0"/>
        <v>25</v>
      </c>
      <c r="N30" s="493" t="s">
        <v>796</v>
      </c>
      <c r="O30" s="920">
        <v>71510.986000000004</v>
      </c>
      <c r="P30" s="536"/>
      <c r="Q30" s="536"/>
    </row>
    <row r="31" spans="1:17">
      <c r="A31" s="921" t="s">
        <v>504</v>
      </c>
      <c r="B31" s="915">
        <v>814817</v>
      </c>
      <c r="C31" s="919">
        <v>928784</v>
      </c>
      <c r="M31" s="70">
        <f t="shared" si="0"/>
        <v>26</v>
      </c>
      <c r="N31" s="493" t="s">
        <v>133</v>
      </c>
      <c r="O31" s="919">
        <v>41639.614000000001</v>
      </c>
      <c r="P31" s="536"/>
      <c r="Q31" s="536"/>
    </row>
    <row r="32" spans="1:17">
      <c r="A32" s="921" t="s">
        <v>505</v>
      </c>
      <c r="B32" s="916">
        <v>793820</v>
      </c>
      <c r="C32" s="920">
        <v>994144</v>
      </c>
      <c r="M32" s="69">
        <f t="shared" si="0"/>
        <v>27</v>
      </c>
      <c r="N32" s="493" t="s">
        <v>69</v>
      </c>
      <c r="O32" s="920">
        <v>39245.227999999996</v>
      </c>
      <c r="P32" s="536"/>
      <c r="Q32" s="536"/>
    </row>
    <row r="33" spans="1:17">
      <c r="A33" s="921" t="s">
        <v>535</v>
      </c>
      <c r="B33" s="915">
        <v>824621.35867446393</v>
      </c>
      <c r="C33" s="919">
        <v>1069907.3536100001</v>
      </c>
      <c r="M33" s="70">
        <f t="shared" si="0"/>
        <v>28</v>
      </c>
      <c r="N33" s="493" t="s">
        <v>67</v>
      </c>
      <c r="O33" s="919">
        <v>38989.294999999998</v>
      </c>
      <c r="P33" s="536"/>
      <c r="Q33" s="536"/>
    </row>
    <row r="34" spans="1:17">
      <c r="A34" s="921" t="s">
        <v>558</v>
      </c>
      <c r="B34" s="916">
        <v>872113.3</v>
      </c>
      <c r="C34" s="920">
        <v>1064958.34779</v>
      </c>
      <c r="M34" s="69">
        <f t="shared" si="0"/>
        <v>29</v>
      </c>
      <c r="N34" s="493" t="s">
        <v>795</v>
      </c>
      <c r="O34" s="920">
        <v>35923.345000000001</v>
      </c>
      <c r="P34" s="536"/>
      <c r="Q34" s="536"/>
    </row>
    <row r="35" spans="1:17">
      <c r="A35" s="921" t="s">
        <v>572</v>
      </c>
      <c r="B35" s="915">
        <v>968251.5</v>
      </c>
      <c r="C35" s="919">
        <v>1032526.294388</v>
      </c>
      <c r="M35" s="70">
        <f t="shared" si="0"/>
        <v>30</v>
      </c>
      <c r="N35" s="493" t="s">
        <v>527</v>
      </c>
      <c r="O35" s="919">
        <v>33312.115999999995</v>
      </c>
      <c r="P35" s="536"/>
      <c r="Q35" s="536"/>
    </row>
    <row r="36" spans="1:17" s="535" customFormat="1">
      <c r="A36" s="921" t="s">
        <v>666</v>
      </c>
      <c r="B36" s="916">
        <v>1003875</v>
      </c>
      <c r="C36" s="920">
        <v>1117260</v>
      </c>
      <c r="M36" s="69">
        <f t="shared" si="0"/>
        <v>31</v>
      </c>
      <c r="N36" s="493" t="s">
        <v>817</v>
      </c>
      <c r="O36" s="920">
        <v>31348.842000000001</v>
      </c>
      <c r="P36" s="536"/>
      <c r="Q36" s="536"/>
    </row>
    <row r="37" spans="1:17" ht="15.75" thickBot="1">
      <c r="A37" s="921" t="s">
        <v>808</v>
      </c>
      <c r="B37" s="1743">
        <v>1112073.2000000002</v>
      </c>
      <c r="C37" s="1744">
        <v>1184590</v>
      </c>
      <c r="M37" s="70">
        <f t="shared" si="0"/>
        <v>23</v>
      </c>
      <c r="N37" s="493" t="s">
        <v>139</v>
      </c>
      <c r="O37" s="919">
        <v>132867.57000002265</v>
      </c>
      <c r="P37" s="536"/>
      <c r="Q37" s="536"/>
    </row>
    <row r="38" spans="1:17">
      <c r="A38" s="492"/>
      <c r="B38" s="1180"/>
      <c r="C38" s="573"/>
      <c r="M38" s="587" t="e">
        <f t="shared" ref="M38:M48" si="1">RANK(O38,O$38:O$88)</f>
        <v>#N/A</v>
      </c>
      <c r="N38" s="589"/>
      <c r="O38" s="590"/>
      <c r="P38" s="503"/>
      <c r="Q38" s="543"/>
    </row>
    <row r="39" spans="1:17">
      <c r="M39" s="586" t="e">
        <f t="shared" si="1"/>
        <v>#N/A</v>
      </c>
      <c r="N39" s="94"/>
      <c r="O39" s="503"/>
      <c r="P39" s="503"/>
      <c r="Q39" s="543"/>
    </row>
    <row r="40" spans="1:17">
      <c r="M40" s="587" t="e">
        <f t="shared" si="1"/>
        <v>#N/A</v>
      </c>
      <c r="N40" s="94"/>
      <c r="O40" s="503"/>
      <c r="P40" s="503"/>
      <c r="Q40" s="543"/>
    </row>
    <row r="41" spans="1:17">
      <c r="M41" s="586" t="e">
        <f t="shared" si="1"/>
        <v>#N/A</v>
      </c>
      <c r="N41" s="94"/>
      <c r="O41" s="503"/>
      <c r="P41" s="503"/>
      <c r="Q41" s="543"/>
    </row>
    <row r="42" spans="1:17">
      <c r="M42" s="587" t="e">
        <f t="shared" si="1"/>
        <v>#N/A</v>
      </c>
      <c r="N42" s="94"/>
      <c r="O42" s="503"/>
      <c r="P42" s="503"/>
      <c r="Q42" s="543"/>
    </row>
    <row r="43" spans="1:17">
      <c r="M43" s="586" t="e">
        <f t="shared" si="1"/>
        <v>#N/A</v>
      </c>
      <c r="N43" s="94"/>
      <c r="O43" s="503"/>
      <c r="P43" s="503"/>
      <c r="Q43" s="543"/>
    </row>
    <row r="44" spans="1:17">
      <c r="M44" s="587" t="e">
        <f t="shared" si="1"/>
        <v>#N/A</v>
      </c>
      <c r="N44" s="94"/>
      <c r="O44" s="503"/>
      <c r="P44" s="503"/>
      <c r="Q44" s="543"/>
    </row>
    <row r="45" spans="1:17">
      <c r="M45" s="586" t="e">
        <f t="shared" si="1"/>
        <v>#N/A</v>
      </c>
      <c r="N45" s="94"/>
      <c r="O45" s="503"/>
      <c r="P45" s="503"/>
      <c r="Q45" s="543"/>
    </row>
    <row r="46" spans="1:17">
      <c r="M46" s="587" t="e">
        <f t="shared" si="1"/>
        <v>#N/A</v>
      </c>
      <c r="N46" s="94"/>
      <c r="O46" s="503"/>
      <c r="P46" s="503"/>
      <c r="Q46" s="543"/>
    </row>
    <row r="47" spans="1:17">
      <c r="M47" s="586" t="e">
        <f t="shared" si="1"/>
        <v>#N/A</v>
      </c>
      <c r="N47" s="94"/>
      <c r="O47" s="503"/>
      <c r="P47" s="503"/>
      <c r="Q47" s="543"/>
    </row>
    <row r="48" spans="1:17">
      <c r="M48" s="587" t="e">
        <f t="shared" si="1"/>
        <v>#N/A</v>
      </c>
      <c r="N48" s="94"/>
      <c r="O48" s="503"/>
      <c r="P48" s="503"/>
      <c r="Q48" s="543"/>
    </row>
    <row r="49" spans="6:17">
      <c r="M49" s="69" t="e">
        <f>RANK(#REF!,O$38:O$88)</f>
        <v>#REF!</v>
      </c>
    </row>
    <row r="50" spans="6:17">
      <c r="M50" s="70" t="e">
        <f>RANK(#REF!,O$38:O$88)</f>
        <v>#REF!</v>
      </c>
    </row>
    <row r="51" spans="6:17" ht="15.75" thickBot="1">
      <c r="M51" s="389" t="e">
        <f>RANK(#REF!,O$38:O$88)</f>
        <v>#REF!</v>
      </c>
      <c r="N51" s="386"/>
    </row>
    <row r="54" spans="6:17">
      <c r="I54" s="592"/>
      <c r="J54" s="592"/>
    </row>
    <row r="55" spans="6:17" ht="15.75" thickBot="1">
      <c r="F55" s="2027" t="str">
        <f>"Major China Iron Ore Suppliers "&amp;RIGHT(N5,7)</f>
        <v>Major China Iron Ore Suppliers 2020-21</v>
      </c>
      <c r="G55" s="2027"/>
      <c r="H55" s="2027"/>
      <c r="I55" s="2027"/>
      <c r="L55" s="373"/>
      <c r="M55" s="373"/>
      <c r="P55" s="386"/>
      <c r="Q55" s="386"/>
    </row>
    <row r="56" spans="6:17">
      <c r="F56" s="1427" t="s">
        <v>37</v>
      </c>
      <c r="G56" s="1428" t="s">
        <v>38</v>
      </c>
      <c r="H56" s="1429" t="s">
        <v>684</v>
      </c>
      <c r="I56" s="1430" t="s">
        <v>685</v>
      </c>
      <c r="L56" s="373"/>
      <c r="M56" s="373"/>
      <c r="P56" s="386"/>
      <c r="Q56" s="386"/>
    </row>
    <row r="57" spans="6:17">
      <c r="F57" s="71" t="str">
        <f t="shared" ref="F57:F66" si="2">VLOOKUP(G57,M$7:Q$107,2,FALSE)</f>
        <v>Australia</v>
      </c>
      <c r="G57" s="885">
        <v>1</v>
      </c>
      <c r="H57" s="903">
        <f t="shared" ref="H57:H66" si="3">VLOOKUP(G57,M$7:Q$107,3,FALSE)</f>
        <v>97312040.69600001</v>
      </c>
      <c r="I57" s="886">
        <f t="shared" ref="I57:I67" si="4">H57/(SUM(H$57:H$67))</f>
        <v>0.59826157323730644</v>
      </c>
      <c r="L57" s="373"/>
      <c r="M57" s="373"/>
      <c r="P57" s="386"/>
      <c r="Q57" s="386"/>
    </row>
    <row r="58" spans="6:17">
      <c r="F58" s="72" t="str">
        <f t="shared" si="2"/>
        <v>Brazil</v>
      </c>
      <c r="G58" s="847">
        <v>2</v>
      </c>
      <c r="H58" s="904">
        <f t="shared" si="3"/>
        <v>35260308.498000003</v>
      </c>
      <c r="I58" s="905">
        <f t="shared" si="4"/>
        <v>0.21677571946873525</v>
      </c>
      <c r="L58" s="373"/>
      <c r="M58" s="373"/>
      <c r="P58" s="386"/>
      <c r="Q58" s="386"/>
    </row>
    <row r="59" spans="6:17">
      <c r="F59" s="71" t="str">
        <f t="shared" si="2"/>
        <v>South Africa</v>
      </c>
      <c r="G59" s="885">
        <v>3</v>
      </c>
      <c r="H59" s="903">
        <f t="shared" si="3"/>
        <v>6039047.2850000001</v>
      </c>
      <c r="I59" s="886">
        <f t="shared" si="4"/>
        <v>3.7127265071598615E-2</v>
      </c>
      <c r="L59" s="373"/>
      <c r="M59" s="373"/>
      <c r="P59" s="386"/>
      <c r="Q59" s="386"/>
    </row>
    <row r="60" spans="6:17">
      <c r="F60" s="72" t="str">
        <f t="shared" si="2"/>
        <v>India</v>
      </c>
      <c r="G60" s="847">
        <v>4</v>
      </c>
      <c r="H60" s="904">
        <f t="shared" si="3"/>
        <v>5788958.1860000007</v>
      </c>
      <c r="I60" s="905">
        <f t="shared" si="4"/>
        <v>3.5589750322682343E-2</v>
      </c>
      <c r="L60" s="373"/>
      <c r="M60" s="373"/>
      <c r="P60" s="386"/>
      <c r="Q60" s="386"/>
    </row>
    <row r="61" spans="6:17">
      <c r="F61" s="71" t="str">
        <f t="shared" si="2"/>
        <v>Ukraine</v>
      </c>
      <c r="G61" s="885">
        <v>5</v>
      </c>
      <c r="H61" s="903">
        <f t="shared" si="3"/>
        <v>3657261.4649999999</v>
      </c>
      <c r="I61" s="886">
        <f t="shared" si="4"/>
        <v>2.2484360436200505E-2</v>
      </c>
      <c r="L61" s="373"/>
      <c r="M61" s="373"/>
      <c r="P61" s="386"/>
      <c r="Q61" s="386"/>
    </row>
    <row r="62" spans="6:17">
      <c r="F62" s="72" t="str">
        <f t="shared" si="2"/>
        <v>Canada</v>
      </c>
      <c r="G62" s="847">
        <v>6</v>
      </c>
      <c r="H62" s="904">
        <f t="shared" si="3"/>
        <v>2999236.983</v>
      </c>
      <c r="I62" s="905">
        <f t="shared" si="4"/>
        <v>1.843891283265266E-2</v>
      </c>
      <c r="L62" s="373"/>
      <c r="M62" s="373"/>
      <c r="P62" s="386"/>
      <c r="Q62" s="386"/>
    </row>
    <row r="63" spans="6:17">
      <c r="F63" s="71" t="str">
        <f t="shared" si="2"/>
        <v>Peru</v>
      </c>
      <c r="G63" s="885">
        <v>7</v>
      </c>
      <c r="H63" s="903">
        <f t="shared" si="3"/>
        <v>2387849.6469999999</v>
      </c>
      <c r="I63" s="886">
        <f t="shared" si="4"/>
        <v>1.4680184242884625E-2</v>
      </c>
      <c r="L63" s="373"/>
      <c r="M63" s="373"/>
      <c r="P63" s="386"/>
      <c r="Q63" s="386"/>
    </row>
    <row r="64" spans="6:17">
      <c r="F64" s="72" t="str">
        <f t="shared" si="2"/>
        <v>Chile</v>
      </c>
      <c r="G64" s="847">
        <v>8</v>
      </c>
      <c r="H64" s="904">
        <f t="shared" si="3"/>
        <v>2084871.0899999999</v>
      </c>
      <c r="I64" s="905">
        <f t="shared" si="4"/>
        <v>1.2817512091817099E-2</v>
      </c>
      <c r="L64" s="373"/>
      <c r="M64" s="373"/>
      <c r="P64" s="386"/>
      <c r="Q64" s="386"/>
    </row>
    <row r="65" spans="4:17">
      <c r="D65" s="65"/>
      <c r="F65" s="71" t="str">
        <f t="shared" si="2"/>
        <v>Russian Federation</v>
      </c>
      <c r="G65" s="885">
        <v>9</v>
      </c>
      <c r="H65" s="903">
        <f t="shared" si="3"/>
        <v>1526150.1320000002</v>
      </c>
      <c r="I65" s="886">
        <f t="shared" si="4"/>
        <v>9.3825694378246987E-3</v>
      </c>
      <c r="L65" s="373"/>
      <c r="M65" s="373"/>
      <c r="P65" s="386"/>
      <c r="Q65" s="386"/>
    </row>
    <row r="66" spans="4:17">
      <c r="D66" s="65"/>
      <c r="F66" s="72" t="str">
        <f t="shared" si="2"/>
        <v>Mauritania</v>
      </c>
      <c r="G66" s="847">
        <v>10</v>
      </c>
      <c r="H66" s="904">
        <f t="shared" si="3"/>
        <v>1105148.8959999999</v>
      </c>
      <c r="I66" s="905">
        <f t="shared" si="4"/>
        <v>6.7943094446852913E-3</v>
      </c>
      <c r="L66" s="373"/>
      <c r="M66" s="373"/>
      <c r="P66" s="386"/>
      <c r="Q66" s="386"/>
    </row>
    <row r="67" spans="4:17" ht="15.75" thickBot="1">
      <c r="D67" s="65"/>
      <c r="E67" s="63"/>
      <c r="F67" s="73" t="s">
        <v>142</v>
      </c>
      <c r="G67" s="906"/>
      <c r="H67" s="907">
        <f>SUMIF(M7:M108,"&gt;10",O7:O108)</f>
        <v>4497143.3630000232</v>
      </c>
      <c r="I67" s="908">
        <f t="shared" si="4"/>
        <v>2.7647843413612594E-2</v>
      </c>
    </row>
    <row r="68" spans="4:17">
      <c r="D68" s="65"/>
      <c r="E68" s="63"/>
      <c r="F68" s="63"/>
      <c r="G68" s="63"/>
      <c r="H68" s="63"/>
      <c r="I68" s="64"/>
    </row>
    <row r="69" spans="4:17">
      <c r="D69" s="65"/>
      <c r="I69" s="64"/>
    </row>
    <row r="70" spans="4:17">
      <c r="D70" s="65"/>
      <c r="I70" s="64"/>
    </row>
    <row r="71" spans="4:17">
      <c r="D71" s="65"/>
      <c r="I71" s="64"/>
    </row>
    <row r="72" spans="4:17">
      <c r="D72" s="65"/>
      <c r="I72" s="64"/>
    </row>
    <row r="73" spans="4:17">
      <c r="D73" s="65"/>
      <c r="I73" s="64"/>
    </row>
    <row r="74" spans="4:17">
      <c r="D74" s="65"/>
      <c r="I74" s="64"/>
    </row>
    <row r="75" spans="4:17">
      <c r="D75" s="65"/>
      <c r="I75" s="64"/>
    </row>
    <row r="76" spans="4:17">
      <c r="D76" s="65"/>
      <c r="I76" s="64"/>
    </row>
    <row r="77" spans="4:17">
      <c r="D77" s="65"/>
      <c r="I77" s="64"/>
    </row>
    <row r="78" spans="4:17">
      <c r="D78" s="65"/>
      <c r="I78" s="64"/>
    </row>
    <row r="79" spans="4:17">
      <c r="D79" s="65"/>
      <c r="I79" s="64"/>
    </row>
    <row r="80" spans="4:17">
      <c r="D80" s="65"/>
      <c r="I80" s="64"/>
    </row>
    <row r="81" spans="4:9">
      <c r="D81" s="65"/>
      <c r="I81" s="64"/>
    </row>
    <row r="82" spans="4:9">
      <c r="D82" s="65"/>
      <c r="E82" s="63"/>
      <c r="F82" s="63"/>
      <c r="G82" s="63"/>
      <c r="H82" s="63"/>
      <c r="I82" s="64"/>
    </row>
    <row r="83" spans="4:9">
      <c r="D83" s="65"/>
      <c r="E83" s="63"/>
      <c r="F83" s="63"/>
      <c r="G83" s="63"/>
      <c r="H83" s="63"/>
      <c r="I83" s="64"/>
    </row>
    <row r="84" spans="4:9">
      <c r="D84" s="65"/>
      <c r="E84" s="64"/>
      <c r="F84" s="63"/>
      <c r="G84" s="63"/>
      <c r="H84" s="63"/>
      <c r="I84" s="64"/>
    </row>
    <row r="85" spans="4:9">
      <c r="D85" s="65"/>
      <c r="E85" s="64"/>
      <c r="F85" s="63"/>
      <c r="G85" s="63"/>
      <c r="H85" s="63"/>
      <c r="I85" s="64"/>
    </row>
    <row r="86" spans="4:9">
      <c r="D86" s="65"/>
      <c r="E86" s="64"/>
      <c r="F86" s="63"/>
      <c r="G86" s="63"/>
      <c r="H86" s="63"/>
      <c r="I86" s="64"/>
    </row>
    <row r="87" spans="4:9">
      <c r="D87" s="65"/>
      <c r="E87" s="64"/>
      <c r="F87" s="63"/>
      <c r="G87" s="63"/>
      <c r="H87" s="63"/>
      <c r="I87" s="64"/>
    </row>
    <row r="88" spans="4:9">
      <c r="D88" s="65"/>
      <c r="E88" s="64"/>
      <c r="F88" s="63"/>
      <c r="G88" s="63"/>
      <c r="H88" s="63"/>
      <c r="I88" s="64"/>
    </row>
    <row r="89" spans="4:9">
      <c r="D89" s="65"/>
      <c r="E89" s="64"/>
      <c r="F89" s="63"/>
      <c r="G89" s="63"/>
      <c r="H89" s="63"/>
      <c r="I89" s="64"/>
    </row>
    <row r="90" spans="4:9">
      <c r="D90" s="65"/>
      <c r="E90" s="64"/>
      <c r="F90" s="63"/>
      <c r="G90" s="63"/>
      <c r="H90" s="63"/>
      <c r="I90" s="64"/>
    </row>
    <row r="91" spans="4:9">
      <c r="D91" s="65"/>
      <c r="E91" s="64"/>
      <c r="F91" s="63"/>
      <c r="G91" s="63"/>
      <c r="H91" s="63"/>
      <c r="I91" s="64"/>
    </row>
    <row r="92" spans="4:9">
      <c r="D92" s="65"/>
      <c r="E92" s="64"/>
      <c r="F92" s="63"/>
      <c r="G92" s="63"/>
      <c r="H92" s="63"/>
      <c r="I92" s="64"/>
    </row>
    <row r="93" spans="4:9">
      <c r="D93" s="65"/>
      <c r="E93" s="64"/>
      <c r="F93" s="63"/>
      <c r="G93" s="63"/>
      <c r="H93" s="63"/>
      <c r="I93" s="64"/>
    </row>
    <row r="94" spans="4:9">
      <c r="D94" s="65"/>
      <c r="E94" s="64"/>
      <c r="F94" s="63"/>
      <c r="G94" s="63"/>
      <c r="H94" s="63"/>
      <c r="I94" s="64"/>
    </row>
    <row r="95" spans="4:9">
      <c r="D95" s="65"/>
      <c r="E95" s="64"/>
      <c r="F95" s="63"/>
      <c r="G95" s="63"/>
      <c r="H95" s="63"/>
      <c r="I95" s="64"/>
    </row>
    <row r="96" spans="4:9">
      <c r="D96" s="65"/>
      <c r="E96" s="64"/>
      <c r="F96" s="63"/>
      <c r="G96" s="63"/>
      <c r="H96" s="63"/>
      <c r="I96" s="64"/>
    </row>
    <row r="97" spans="4:9">
      <c r="D97" s="65"/>
      <c r="E97" s="64"/>
      <c r="F97" s="63"/>
      <c r="G97" s="63"/>
      <c r="H97" s="63"/>
      <c r="I97" s="64"/>
    </row>
    <row r="98" spans="4:9">
      <c r="D98" s="65"/>
      <c r="E98" s="64"/>
      <c r="F98" s="63"/>
      <c r="G98" s="63"/>
      <c r="H98" s="63"/>
      <c r="I98" s="64"/>
    </row>
    <row r="99" spans="4:9">
      <c r="D99" s="65"/>
      <c r="E99" s="64"/>
      <c r="F99" s="63"/>
      <c r="G99" s="63"/>
      <c r="H99" s="63"/>
      <c r="I99" s="64"/>
    </row>
    <row r="100" spans="4:9">
      <c r="D100" s="65"/>
      <c r="E100" s="64"/>
      <c r="F100" s="63"/>
      <c r="G100" s="63"/>
      <c r="H100" s="63"/>
      <c r="I100" s="64"/>
    </row>
    <row r="101" spans="4:9">
      <c r="D101" s="65"/>
      <c r="E101" s="64"/>
      <c r="F101" s="63"/>
      <c r="G101" s="63"/>
      <c r="H101" s="63"/>
      <c r="I101" s="64"/>
    </row>
    <row r="102" spans="4:9">
      <c r="D102" s="65"/>
      <c r="E102" s="64"/>
      <c r="F102" s="63"/>
      <c r="G102" s="63"/>
      <c r="H102" s="63"/>
      <c r="I102" s="64"/>
    </row>
    <row r="103" spans="4:9">
      <c r="D103" s="65"/>
      <c r="E103" s="64"/>
      <c r="F103" s="63"/>
      <c r="G103" s="63"/>
      <c r="H103" s="63"/>
      <c r="I103" s="64"/>
    </row>
    <row r="104" spans="4:9">
      <c r="D104" s="65"/>
      <c r="E104" s="64"/>
      <c r="F104" s="64"/>
      <c r="G104" s="64"/>
      <c r="H104" s="64"/>
      <c r="I104" s="64"/>
    </row>
  </sheetData>
  <mergeCells count="3">
    <mergeCell ref="F55:I55"/>
    <mergeCell ref="A5:C5"/>
    <mergeCell ref="N5:O5"/>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71"/>
  </sheetPr>
  <dimension ref="A1:W253"/>
  <sheetViews>
    <sheetView showGridLines="0" topLeftCell="A34" workbookViewId="0">
      <selection activeCell="F70" sqref="F70"/>
    </sheetView>
  </sheetViews>
  <sheetFormatPr defaultRowHeight="15"/>
  <cols>
    <col min="1" max="1" width="10.85546875" customWidth="1"/>
    <col min="2" max="2" width="12.5703125" customWidth="1"/>
    <col min="3" max="3" width="15.7109375" customWidth="1"/>
    <col min="4" max="5" width="12.5703125" hidden="1" customWidth="1"/>
    <col min="6" max="6" width="14" customWidth="1"/>
    <col min="7" max="7" width="16" style="459" bestFit="1" customWidth="1"/>
    <col min="8" max="9" width="18.42578125" customWidth="1"/>
    <col min="16" max="16" width="13.42578125" style="459" bestFit="1" customWidth="1"/>
    <col min="17" max="17" width="22.28515625" customWidth="1"/>
    <col min="18" max="18" width="20.28515625" customWidth="1"/>
  </cols>
  <sheetData>
    <row r="1" spans="1:18">
      <c r="A1" s="140" t="s">
        <v>369</v>
      </c>
      <c r="B1" s="140" t="e">
        <f>#REF!</f>
        <v>#REF!</v>
      </c>
      <c r="C1" s="140" t="e">
        <f>IF($Q$23=B1,"B","F")</f>
        <v>#REF!</v>
      </c>
      <c r="D1" s="431"/>
      <c r="E1" s="431"/>
      <c r="F1" s="459"/>
      <c r="H1" s="459"/>
      <c r="I1" s="459"/>
      <c r="J1" s="459"/>
      <c r="K1" s="459"/>
      <c r="L1" s="459"/>
      <c r="M1" s="459"/>
      <c r="N1" s="459"/>
      <c r="Q1" s="148"/>
      <c r="R1" s="459"/>
    </row>
    <row r="2" spans="1:18">
      <c r="A2" s="140" t="s">
        <v>382</v>
      </c>
      <c r="B2" s="140" t="e">
        <f>#REF!</f>
        <v>#REF!</v>
      </c>
      <c r="C2" s="140" t="e">
        <f>IF($Q$23=B1,"C","G")</f>
        <v>#REF!</v>
      </c>
      <c r="D2" s="431"/>
      <c r="E2" s="431"/>
      <c r="F2" s="459"/>
      <c r="H2" s="459"/>
      <c r="I2" s="459"/>
      <c r="J2" s="459"/>
      <c r="K2" s="459"/>
      <c r="L2" s="459"/>
      <c r="M2" s="459"/>
      <c r="N2" s="459"/>
      <c r="Q2" s="459"/>
      <c r="R2" s="459"/>
    </row>
    <row r="3" spans="1:18">
      <c r="A3" s="459"/>
      <c r="B3" s="459"/>
      <c r="C3" s="459"/>
      <c r="D3" s="431"/>
      <c r="E3" s="431"/>
      <c r="F3" s="459"/>
      <c r="H3" s="459"/>
      <c r="I3" s="459"/>
      <c r="J3" s="459"/>
      <c r="K3" s="459"/>
      <c r="L3" s="459"/>
      <c r="M3" s="459"/>
      <c r="N3" s="459"/>
      <c r="Q3" s="459"/>
      <c r="R3" s="459"/>
    </row>
    <row r="4" spans="1:18">
      <c r="A4" s="459"/>
      <c r="B4" s="459"/>
      <c r="C4" s="459"/>
      <c r="D4" s="431"/>
      <c r="E4" s="431"/>
      <c r="F4" s="459"/>
      <c r="H4" s="459"/>
      <c r="I4" s="459"/>
      <c r="J4" s="459"/>
      <c r="K4" s="459"/>
      <c r="L4" s="459"/>
      <c r="M4" s="459"/>
      <c r="N4" s="459"/>
      <c r="Q4" s="459"/>
      <c r="R4" s="459"/>
    </row>
    <row r="5" spans="1:18">
      <c r="F5" s="459"/>
      <c r="H5" s="459"/>
      <c r="I5" s="459"/>
      <c r="J5" s="459"/>
      <c r="K5" s="459"/>
      <c r="L5" s="459"/>
      <c r="M5" s="459"/>
      <c r="N5" s="459"/>
      <c r="Q5" s="459"/>
      <c r="R5" s="459"/>
    </row>
    <row r="6" spans="1:18">
      <c r="A6" s="1992" t="s">
        <v>536</v>
      </c>
      <c r="B6" s="1992"/>
      <c r="C6" s="1992"/>
      <c r="D6" s="1992"/>
      <c r="E6" s="1992"/>
      <c r="F6" s="459"/>
      <c r="H6" s="459"/>
      <c r="I6" s="459"/>
      <c r="J6" s="459"/>
      <c r="K6" s="459"/>
      <c r="L6" s="459"/>
      <c r="M6" s="459"/>
      <c r="N6" s="459"/>
      <c r="Q6" s="459"/>
      <c r="R6" s="459"/>
    </row>
    <row r="7" spans="1:18" ht="15.75" thickBot="1">
      <c r="A7" s="2009" t="s">
        <v>744</v>
      </c>
      <c r="B7" s="2009"/>
      <c r="C7" s="2009"/>
      <c r="D7" s="650"/>
      <c r="E7" s="650"/>
      <c r="F7" s="459"/>
      <c r="G7"/>
      <c r="P7" s="2029" t="str">
        <f>CONCATENATE(A6," Quantity And Value")</f>
        <v>Spodumene Concentrate Quantity And Value</v>
      </c>
      <c r="Q7" s="2029"/>
      <c r="R7" s="2029"/>
    </row>
    <row r="8" spans="1:18" s="459" customFormat="1" ht="15.75" thickBot="1">
      <c r="A8" s="1415" t="s">
        <v>6</v>
      </c>
      <c r="B8" s="1418" t="s">
        <v>47</v>
      </c>
      <c r="C8" s="1419" t="s">
        <v>635</v>
      </c>
      <c r="D8" s="482"/>
      <c r="E8" s="483"/>
      <c r="P8" s="1993" t="s">
        <v>43</v>
      </c>
      <c r="Q8" s="1993"/>
      <c r="R8" s="1993"/>
    </row>
    <row r="9" spans="1:18">
      <c r="A9" s="1016">
        <v>37865</v>
      </c>
      <c r="B9" s="706">
        <v>31.434999999999999</v>
      </c>
      <c r="C9" s="705">
        <v>5.4547929999999996</v>
      </c>
      <c r="D9" s="321">
        <f>YEAR(A9)</f>
        <v>2003</v>
      </c>
      <c r="E9" s="321" t="str">
        <f>IF(MONTH(A9)=3,"1",IF(MONTH(A9)=6,"2",IF(MONTH(A9)=9,"3","4")))</f>
        <v>3</v>
      </c>
      <c r="F9" s="459"/>
      <c r="G9" s="460"/>
      <c r="P9" s="1415" t="s">
        <v>6</v>
      </c>
      <c r="Q9" s="1416" t="str">
        <f>B8</f>
        <v>Quantity (Kt)</v>
      </c>
      <c r="R9" s="1417" t="str">
        <f>C8</f>
        <v>Value ($ Million)</v>
      </c>
    </row>
    <row r="10" spans="1:18">
      <c r="A10" s="1016">
        <v>37956</v>
      </c>
      <c r="B10" s="922">
        <v>24.138999999999999</v>
      </c>
      <c r="C10" s="923">
        <v>4.6638279999999996</v>
      </c>
      <c r="D10" s="321">
        <f t="shared" ref="D10:D75" si="0">YEAR(A10)</f>
        <v>2003</v>
      </c>
      <c r="E10" s="321" t="str">
        <f t="shared" ref="E10:E75" si="1">IF(MONTH(A10)=3,"1",IF(MONTH(A10)=6,"2",IF(MONTH(A10)=9,"3","4")))</f>
        <v>4</v>
      </c>
      <c r="F10" s="459"/>
      <c r="G10" s="460"/>
      <c r="P10" s="1016">
        <f>LARGE($A$9:$A$252,10)</f>
        <v>43525</v>
      </c>
      <c r="Q10" s="706">
        <f>SUMIF($A$9:$A$741,$P10,$B$9:$B$741)</f>
        <v>405.89135299999998</v>
      </c>
      <c r="R10" s="705">
        <f>SUMIF($A$9:$A$741,$P10,$C$9:$C$741)</f>
        <v>391.29296499999998</v>
      </c>
    </row>
    <row r="11" spans="1:18">
      <c r="A11" s="1016">
        <v>38047</v>
      </c>
      <c r="B11" s="706">
        <v>32.378</v>
      </c>
      <c r="C11" s="705">
        <v>6.9491319999999996</v>
      </c>
      <c r="D11" s="321">
        <f t="shared" si="0"/>
        <v>2004</v>
      </c>
      <c r="E11" s="321" t="str">
        <f t="shared" si="1"/>
        <v>1</v>
      </c>
      <c r="F11" s="459"/>
      <c r="G11" s="460"/>
      <c r="P11" s="1016">
        <f>LARGE($A$9:$A$252,9)</f>
        <v>43617</v>
      </c>
      <c r="Q11" s="922">
        <f t="shared" ref="Q11:Q19" si="2">SUMIF($A$9:$A$741,$P11,$B$9:$B$741)</f>
        <v>398.65754000000004</v>
      </c>
      <c r="R11" s="923">
        <f t="shared" ref="R11:R19" si="3">SUMIF($A$9:$A$741,$P11,$C$9:$C$741)</f>
        <v>351.14332300000001</v>
      </c>
    </row>
    <row r="12" spans="1:18">
      <c r="A12" s="1016">
        <v>38139</v>
      </c>
      <c r="B12" s="922">
        <v>18.420999999999999</v>
      </c>
      <c r="C12" s="923">
        <v>4.3138500000000004</v>
      </c>
      <c r="D12" s="321">
        <f t="shared" si="0"/>
        <v>2004</v>
      </c>
      <c r="E12" s="321" t="str">
        <f t="shared" si="1"/>
        <v>2</v>
      </c>
      <c r="F12" s="459"/>
      <c r="G12" s="460"/>
      <c r="P12" s="1016">
        <f>LARGE($A$9:$A$252,8)</f>
        <v>43709</v>
      </c>
      <c r="Q12" s="706">
        <f t="shared" si="2"/>
        <v>407.50171049999994</v>
      </c>
      <c r="R12" s="705">
        <f t="shared" si="3"/>
        <v>326.05080600000002</v>
      </c>
    </row>
    <row r="13" spans="1:18">
      <c r="A13" s="1016">
        <v>38231</v>
      </c>
      <c r="B13" s="706">
        <v>9.7319999999999993</v>
      </c>
      <c r="C13" s="705">
        <v>2.6784500000000002</v>
      </c>
      <c r="D13" s="321">
        <f t="shared" si="0"/>
        <v>2004</v>
      </c>
      <c r="E13" s="321" t="str">
        <f t="shared" si="1"/>
        <v>3</v>
      </c>
      <c r="F13" s="459"/>
      <c r="G13" s="460"/>
      <c r="P13" s="1016">
        <f>LARGE($A$9:$A$252,7)</f>
        <v>43800</v>
      </c>
      <c r="Q13" s="922">
        <f t="shared" si="2"/>
        <v>376.21242000000001</v>
      </c>
      <c r="R13" s="923">
        <f t="shared" si="3"/>
        <v>248.86644699999999</v>
      </c>
    </row>
    <row r="14" spans="1:18">
      <c r="A14" s="1016">
        <v>38322</v>
      </c>
      <c r="B14" s="922">
        <v>49.725000000000001</v>
      </c>
      <c r="C14" s="923">
        <v>10.257918999999999</v>
      </c>
      <c r="D14" s="321">
        <f t="shared" si="0"/>
        <v>2004</v>
      </c>
      <c r="E14" s="321" t="str">
        <f t="shared" si="1"/>
        <v>4</v>
      </c>
      <c r="F14" s="459"/>
      <c r="G14" s="460"/>
      <c r="P14" s="1016">
        <f>LARGE($A$9:$A$252,6)</f>
        <v>43891</v>
      </c>
      <c r="Q14" s="706">
        <f t="shared" si="2"/>
        <v>363.39028000000002</v>
      </c>
      <c r="R14" s="705">
        <f t="shared" si="3"/>
        <v>234.55637300000001</v>
      </c>
    </row>
    <row r="15" spans="1:18">
      <c r="A15" s="1016">
        <v>38412</v>
      </c>
      <c r="B15" s="706">
        <v>18.204000000000001</v>
      </c>
      <c r="C15" s="705">
        <v>4.2521890000000004</v>
      </c>
      <c r="D15" s="321">
        <f t="shared" si="0"/>
        <v>2005</v>
      </c>
      <c r="E15" s="321" t="str">
        <f t="shared" si="1"/>
        <v>1</v>
      </c>
      <c r="F15" s="459"/>
      <c r="G15" s="460"/>
      <c r="P15" s="1016">
        <f>LARGE($A$9:$A$252,5)</f>
        <v>43983</v>
      </c>
      <c r="Q15" s="922">
        <f t="shared" si="2"/>
        <v>312.69251000000003</v>
      </c>
      <c r="R15" s="923">
        <f t="shared" si="3"/>
        <v>189.18253200000001</v>
      </c>
    </row>
    <row r="16" spans="1:18">
      <c r="A16" s="1016">
        <v>38504</v>
      </c>
      <c r="B16" s="922">
        <v>31.143000000000001</v>
      </c>
      <c r="C16" s="923">
        <v>6.2776129999999997</v>
      </c>
      <c r="D16" s="321">
        <f t="shared" si="0"/>
        <v>2005</v>
      </c>
      <c r="E16" s="321" t="str">
        <f t="shared" si="1"/>
        <v>2</v>
      </c>
      <c r="F16" s="459"/>
      <c r="G16" t="str">
        <f>B6&amp;CHAR(10)&amp;"Quantity and Value by Quarter"</f>
        <v xml:space="preserve">
Quantity and Value by Quarter</v>
      </c>
      <c r="H16" s="460"/>
      <c r="P16" s="1016">
        <f>LARGE($A$9:$A$252,4)</f>
        <v>44075</v>
      </c>
      <c r="Q16" s="706">
        <f>SUMIF($A$9:$A$741,$P16,$B$9:$B$741)</f>
        <v>360.40602199999995</v>
      </c>
      <c r="R16" s="705">
        <f>SUMIF($A$9:$A$741,$P16,$C$9:$C$741)</f>
        <v>176.94475600000001</v>
      </c>
    </row>
    <row r="17" spans="1:18">
      <c r="A17" s="1016">
        <v>38596</v>
      </c>
      <c r="B17" s="706">
        <v>45.238</v>
      </c>
      <c r="C17" s="705">
        <v>8.3987689999999997</v>
      </c>
      <c r="D17" s="321">
        <f t="shared" si="0"/>
        <v>2005</v>
      </c>
      <c r="E17" s="321" t="str">
        <f t="shared" si="1"/>
        <v>3</v>
      </c>
      <c r="F17" s="459"/>
      <c r="G17" s="460"/>
      <c r="P17" s="1016">
        <f>LARGE($A$9:$A$252,3)</f>
        <v>44166</v>
      </c>
      <c r="Q17" s="922">
        <f t="shared" si="2"/>
        <v>443.38334499999996</v>
      </c>
      <c r="R17" s="923">
        <f t="shared" si="3"/>
        <v>222.063152</v>
      </c>
    </row>
    <row r="18" spans="1:18">
      <c r="A18" s="1016">
        <v>38687</v>
      </c>
      <c r="B18" s="922">
        <v>79.05</v>
      </c>
      <c r="C18" s="923">
        <v>11.389708000000001</v>
      </c>
      <c r="D18" s="321">
        <f t="shared" si="0"/>
        <v>2005</v>
      </c>
      <c r="E18" s="321" t="str">
        <f t="shared" si="1"/>
        <v>4</v>
      </c>
      <c r="F18" s="459"/>
      <c r="G18" s="460"/>
      <c r="P18" s="1016">
        <f>LARGE($A$9:$A$252,2)</f>
        <v>44256</v>
      </c>
      <c r="Q18" s="706">
        <f t="shared" si="2"/>
        <v>353.38284000000004</v>
      </c>
      <c r="R18" s="705">
        <f t="shared" si="3"/>
        <v>231.33901499999999</v>
      </c>
    </row>
    <row r="19" spans="1:18" ht="15.75" thickBot="1">
      <c r="A19" s="1016">
        <v>38777</v>
      </c>
      <c r="B19" s="706">
        <v>45.436</v>
      </c>
      <c r="C19" s="705">
        <v>10.884611</v>
      </c>
      <c r="D19" s="321">
        <f t="shared" si="0"/>
        <v>2006</v>
      </c>
      <c r="E19" s="321" t="str">
        <f t="shared" si="1"/>
        <v>1</v>
      </c>
      <c r="F19" s="459"/>
      <c r="G19" s="460"/>
      <c r="P19" s="1018">
        <f>LARGE($A$9:$A$252,1)</f>
        <v>44348</v>
      </c>
      <c r="Q19" s="929">
        <f t="shared" si="2"/>
        <v>470.59901000000002</v>
      </c>
      <c r="R19" s="930">
        <f t="shared" si="3"/>
        <v>307.95810299999999</v>
      </c>
    </row>
    <row r="20" spans="1:18">
      <c r="A20" s="1016">
        <v>38869</v>
      </c>
      <c r="B20" s="922">
        <v>23.504999999999999</v>
      </c>
      <c r="C20" s="923">
        <v>5.963374</v>
      </c>
      <c r="D20" s="321">
        <f t="shared" si="0"/>
        <v>2006</v>
      </c>
      <c r="E20" s="321" t="str">
        <f t="shared" si="1"/>
        <v>2</v>
      </c>
      <c r="F20" s="459"/>
      <c r="G20" s="460"/>
      <c r="P20"/>
    </row>
    <row r="21" spans="1:18">
      <c r="A21" s="1016">
        <v>38961</v>
      </c>
      <c r="B21" s="706">
        <v>87.096000000000004</v>
      </c>
      <c r="C21" s="705">
        <v>17.803229999999999</v>
      </c>
      <c r="D21" s="321">
        <f t="shared" si="0"/>
        <v>2006</v>
      </c>
      <c r="E21" s="321" t="str">
        <f t="shared" si="1"/>
        <v>3</v>
      </c>
      <c r="F21" s="459"/>
      <c r="G21" s="460"/>
      <c r="P21"/>
    </row>
    <row r="22" spans="1:18">
      <c r="A22" s="1016">
        <v>39052</v>
      </c>
      <c r="B22" s="922">
        <v>66.063999999999993</v>
      </c>
      <c r="C22" s="923">
        <v>17.133371</v>
      </c>
      <c r="D22" s="321">
        <f t="shared" si="0"/>
        <v>2006</v>
      </c>
      <c r="E22" s="321" t="str">
        <f t="shared" si="1"/>
        <v>4</v>
      </c>
      <c r="F22" s="459"/>
      <c r="G22" s="460"/>
      <c r="P22"/>
    </row>
    <row r="23" spans="1:18" ht="15.75" thickBot="1">
      <c r="A23" s="1016">
        <v>39142</v>
      </c>
      <c r="B23" s="706">
        <v>67.822999999999993</v>
      </c>
      <c r="C23" s="705">
        <v>18.376117000000001</v>
      </c>
      <c r="D23" s="321">
        <f t="shared" si="0"/>
        <v>2007</v>
      </c>
      <c r="E23" s="321" t="str">
        <f t="shared" si="1"/>
        <v>1</v>
      </c>
      <c r="F23" s="459"/>
      <c r="G23" s="460"/>
      <c r="P23" s="550"/>
      <c r="Q23" s="551"/>
      <c r="R23" s="551"/>
    </row>
    <row r="24" spans="1:18" ht="15.75" thickBot="1">
      <c r="A24" s="1016">
        <v>39234</v>
      </c>
      <c r="B24" s="922">
        <v>69.448999999999998</v>
      </c>
      <c r="C24" s="923">
        <v>18.888226</v>
      </c>
      <c r="D24" s="321">
        <f t="shared" si="0"/>
        <v>2007</v>
      </c>
      <c r="E24" s="321" t="str">
        <f t="shared" si="1"/>
        <v>2</v>
      </c>
      <c r="F24" s="459"/>
      <c r="G24" s="460"/>
      <c r="P24" s="497" t="s">
        <v>383</v>
      </c>
      <c r="Q24" s="2030" t="s">
        <v>382</v>
      </c>
      <c r="R24" s="2031"/>
    </row>
    <row r="25" spans="1:18" ht="15.75" thickBot="1">
      <c r="A25" s="1016">
        <v>39326</v>
      </c>
      <c r="B25" s="706">
        <v>44.738</v>
      </c>
      <c r="C25" s="705">
        <v>12.719006</v>
      </c>
      <c r="D25" s="321">
        <f t="shared" si="0"/>
        <v>2007</v>
      </c>
      <c r="E25" s="321" t="str">
        <f t="shared" si="1"/>
        <v>3</v>
      </c>
      <c r="F25" s="459"/>
      <c r="G25" s="460"/>
      <c r="P25" s="1975" t="str">
        <f>CONCATENATE(A6," Quantity And Value By Year")</f>
        <v>Spodumene Concentrate Quantity And Value By Year</v>
      </c>
      <c r="Q25" s="1976"/>
      <c r="R25" s="1977"/>
    </row>
    <row r="26" spans="1:18">
      <c r="A26" s="1016">
        <v>39417</v>
      </c>
      <c r="B26" s="922">
        <v>63.268999999999998</v>
      </c>
      <c r="C26" s="923">
        <v>17.921375999999999</v>
      </c>
      <c r="D26" s="321">
        <f t="shared" si="0"/>
        <v>2007</v>
      </c>
      <c r="E26" s="321" t="str">
        <f t="shared" si="1"/>
        <v>4</v>
      </c>
      <c r="F26" s="459"/>
      <c r="G26" s="460"/>
      <c r="P26" s="1415" t="s">
        <v>41</v>
      </c>
      <c r="Q26" s="1416" t="str">
        <f>Q9</f>
        <v>Quantity (Kt)</v>
      </c>
      <c r="R26" s="1417" t="str">
        <f>R9</f>
        <v>Value ($ Million)</v>
      </c>
    </row>
    <row r="27" spans="1:18">
      <c r="A27" s="1016">
        <v>39508</v>
      </c>
      <c r="B27" s="706">
        <v>59.527999999999999</v>
      </c>
      <c r="C27" s="705">
        <v>16.824276000000001</v>
      </c>
      <c r="D27" s="321">
        <f t="shared" si="0"/>
        <v>2008</v>
      </c>
      <c r="E27" s="321" t="str">
        <f t="shared" si="1"/>
        <v>1</v>
      </c>
      <c r="F27" s="459"/>
      <c r="G27" s="460"/>
      <c r="P27" s="1343" t="str">
        <f>IF($Q$24="Calendar Year",YEAR(MIN($A$9:$A$203)),CONCATENATE(YEAR(MIN($A$9:$A$203)),"-",((YEAR(MIN($A$9:$A$203))+1))))</f>
        <v>2003-2004</v>
      </c>
      <c r="Q27" s="706">
        <f>IF($P27="","",IF($Q$24="Calendar Year",SUMIF($D$9:$D$200,$P27,$B$9:$B$200),SUMIFS($B$9:$B$200,$D$9:$D$200,LEFT($P27,4),$E$9:$E$200,3)+SUMIFS($B$9:$B$200,$D$9:$D$200,LEFT($P27,4),$E$9:$E$200,4)+SUMIFS($B$9:$B$200,$D$9:$D$200,LEFT($P27,4)+1,$E$9:$E$200,1)+SUMIFS($B$9:$B$200,$D$9:$D$200,LEFT($P27,4)+1,$E$9:$E$200,2)))</f>
        <v>106.37299999999999</v>
      </c>
      <c r="R27" s="705">
        <f>IF($P27="","",IF($Q$24="Calendar Year",SUMIF($D$9:$D$200,$P27,$C$9:$C$200),SUMIFS($C$9:$C$200,$D$9:$D$200,LEFT($P27,4),$E$9:$E$200,3)+SUMIFS($C$9:$C$200,$D$9:$D$200,LEFT($P27,4),$E$9:$E$200,4)+SUMIFS($C$9:$C$200,$D$9:$D$200,LEFT($P27,4)+1,$E$9:$E$200,1)+SUMIFS($C$9:$C$200,$D$9:$D$200,LEFT($P27,4)+1,$E$9:$E$200,2)))</f>
        <v>21.381602999999998</v>
      </c>
    </row>
    <row r="28" spans="1:18">
      <c r="A28" s="1016">
        <v>39600</v>
      </c>
      <c r="B28" s="922">
        <v>78.48</v>
      </c>
      <c r="C28" s="923">
        <v>22.511177</v>
      </c>
      <c r="D28" s="98">
        <f t="shared" si="0"/>
        <v>2008</v>
      </c>
      <c r="E28" s="98" t="str">
        <f t="shared" si="1"/>
        <v>2</v>
      </c>
      <c r="F28" s="459"/>
      <c r="G28" s="460"/>
      <c r="P28" s="1343" t="str">
        <f>IFERROR(IF(YEAR(MAX('Commodity Prices'!$C$9:$C4975))=VALUE(RIGHT(P27,4)),"",IF($Q$24="Calendar Year",P27+1,CONCATENATE(LEFT(P27,4)+1,"-",RIGHT(P27,4)+1))),"")</f>
        <v>2004-2005</v>
      </c>
      <c r="Q28" s="922">
        <f t="shared" ref="Q28:Q52" si="4">IF($P28="","",IF($Q$24="Calendar Year",SUMIF($D$9:$D$200,$P28,$B$9:$B$200),SUMIFS($B$9:$B$200,$D$9:$D$200,LEFT($P28,4),$E$9:$E$200,3)+SUMIFS($B$9:$B$200,$D$9:$D$200,LEFT($P28,4),$E$9:$E$200,4)+SUMIFS($B$9:$B$200,$D$9:$D$200,LEFT($P28,4)+1,$E$9:$E$200,1)+SUMIFS($B$9:$B$200,$D$9:$D$200,LEFT($P28,4)+1,$E$9:$E$200,2)))</f>
        <v>108.804</v>
      </c>
      <c r="R28" s="923">
        <f t="shared" ref="R28:R52" si="5">IF($P28="","",IF($Q$24="Calendar Year",SUMIF($D$9:$D$200,$P28,$C$9:$C$200),SUMIFS($C$9:$C$200,$D$9:$D$200,LEFT($P28,4),$E$9:$E$200,3)+SUMIFS($C$9:$C$200,$D$9:$D$200,LEFT($P28,4),$E$9:$E$200,4)+SUMIFS($C$9:$C$200,$D$9:$D$200,LEFT($P28,4)+1,$E$9:$E$200,1)+SUMIFS($C$9:$C$200,$D$9:$D$200,LEFT($P28,4)+1,$E$9:$E$200,2)))</f>
        <v>23.466170999999999</v>
      </c>
    </row>
    <row r="29" spans="1:18">
      <c r="A29" s="1016">
        <v>39692</v>
      </c>
      <c r="B29" s="706">
        <v>49.969000000000001</v>
      </c>
      <c r="C29" s="705">
        <v>16.469846329999999</v>
      </c>
      <c r="D29" s="98">
        <f t="shared" si="0"/>
        <v>2008</v>
      </c>
      <c r="E29" s="98" t="str">
        <f t="shared" si="1"/>
        <v>3</v>
      </c>
      <c r="F29" s="459"/>
      <c r="G29" s="460"/>
      <c r="P29" s="1343" t="str">
        <f>IFERROR(IF(YEAR(MAX('Commodity Prices'!$C$9:$C4976))=VALUE(RIGHT(P28,4)),"",IF($Q$24="Calendar Year",P28+1,CONCATENATE(LEFT(P28,4)+1,"-",RIGHT(P28,4)+1))),"")</f>
        <v>2005-2006</v>
      </c>
      <c r="Q29" s="706">
        <f t="shared" si="4"/>
        <v>193.22899999999998</v>
      </c>
      <c r="R29" s="705">
        <f t="shared" si="5"/>
        <v>36.636462000000002</v>
      </c>
    </row>
    <row r="30" spans="1:18">
      <c r="A30" s="1016">
        <v>39783</v>
      </c>
      <c r="B30" s="922">
        <v>51.551000000000002</v>
      </c>
      <c r="C30" s="923">
        <v>17.532228</v>
      </c>
      <c r="D30" s="98">
        <f t="shared" si="0"/>
        <v>2008</v>
      </c>
      <c r="E30" s="98" t="str">
        <f t="shared" si="1"/>
        <v>4</v>
      </c>
      <c r="F30" s="459"/>
      <c r="G30" s="460"/>
      <c r="P30" s="1343" t="str">
        <f>IFERROR(IF(YEAR(MAX('Commodity Prices'!$C$9:$C4977))=VALUE(RIGHT(P29,4)),"",IF($Q$24="Calendar Year",P29+1,CONCATENATE(LEFT(P29,4)+1,"-",RIGHT(P29,4)+1))),"")</f>
        <v>2006-2007</v>
      </c>
      <c r="Q30" s="922">
        <f t="shared" si="4"/>
        <v>290.43200000000002</v>
      </c>
      <c r="R30" s="923">
        <f t="shared" si="5"/>
        <v>72.200943999999993</v>
      </c>
    </row>
    <row r="31" spans="1:18">
      <c r="A31" s="1016">
        <v>39873</v>
      </c>
      <c r="B31" s="706">
        <v>39.302999999999997</v>
      </c>
      <c r="C31" s="705">
        <v>15.850790999999999</v>
      </c>
      <c r="D31" s="98">
        <f t="shared" si="0"/>
        <v>2009</v>
      </c>
      <c r="E31" s="98" t="str">
        <f t="shared" si="1"/>
        <v>1</v>
      </c>
      <c r="F31" s="459"/>
      <c r="G31" s="460"/>
      <c r="P31" s="1343" t="str">
        <f>IFERROR(IF(YEAR(MAX('Commodity Prices'!$C$9:$C4978))=VALUE(RIGHT(P30,4)),"",IF($Q$24="Calendar Year",P30+1,CONCATENATE(LEFT(P30,4)+1,"-",RIGHT(P30,4)+1))),"")</f>
        <v>2007-2008</v>
      </c>
      <c r="Q31" s="706">
        <f t="shared" si="4"/>
        <v>246.01499999999999</v>
      </c>
      <c r="R31" s="705">
        <f t="shared" si="5"/>
        <v>69.975835000000004</v>
      </c>
    </row>
    <row r="32" spans="1:18">
      <c r="A32" s="1016">
        <v>39965</v>
      </c>
      <c r="B32" s="922">
        <v>82.933149999999998</v>
      </c>
      <c r="C32" s="923">
        <v>30.210339000000001</v>
      </c>
      <c r="D32" s="98">
        <f t="shared" si="0"/>
        <v>2009</v>
      </c>
      <c r="E32" s="98" t="str">
        <f t="shared" si="1"/>
        <v>2</v>
      </c>
      <c r="F32" s="459"/>
      <c r="G32" s="460"/>
      <c r="P32" s="1343" t="str">
        <f>IFERROR(IF(YEAR(MAX('Commodity Prices'!$C$9:$C4979))=VALUE(RIGHT(P31,4)),"",IF($Q$24="Calendar Year",P31+1,CONCATENATE(LEFT(P31,4)+1,"-",RIGHT(P31,4)+1))),"")</f>
        <v>2008-2009</v>
      </c>
      <c r="Q32" s="922">
        <f t="shared" si="4"/>
        <v>223.75614999999999</v>
      </c>
      <c r="R32" s="923">
        <f t="shared" si="5"/>
        <v>80.063204330000005</v>
      </c>
    </row>
    <row r="33" spans="1:23">
      <c r="A33" s="1016">
        <v>40057</v>
      </c>
      <c r="B33" s="706">
        <v>26.47</v>
      </c>
      <c r="C33" s="705">
        <v>10.037209000000001</v>
      </c>
      <c r="D33" s="98">
        <f t="shared" si="0"/>
        <v>2009</v>
      </c>
      <c r="E33" s="98" t="str">
        <f t="shared" si="1"/>
        <v>3</v>
      </c>
      <c r="F33" s="459"/>
      <c r="G33" s="460"/>
      <c r="P33" s="1343" t="str">
        <f>IFERROR(IF(YEAR(MAX('Commodity Prices'!$C$9:$C4980))=VALUE(RIGHT(P32,4)),"",IF($Q$24="Calendar Year",P32+1,CONCATENATE(LEFT(P32,4)+1,"-",RIGHT(P32,4)+1))),"")</f>
        <v>2009-2010</v>
      </c>
      <c r="Q33" s="706">
        <f t="shared" si="4"/>
        <v>247.42200000000003</v>
      </c>
      <c r="R33" s="705">
        <f t="shared" si="5"/>
        <v>73.436811000000006</v>
      </c>
    </row>
    <row r="34" spans="1:23">
      <c r="A34" s="1016">
        <v>40148</v>
      </c>
      <c r="B34" s="922">
        <v>48.776000000000003</v>
      </c>
      <c r="C34" s="923">
        <v>15.605207999999999</v>
      </c>
      <c r="D34" s="324">
        <f t="shared" si="0"/>
        <v>2009</v>
      </c>
      <c r="E34" s="324" t="str">
        <f t="shared" si="1"/>
        <v>4</v>
      </c>
      <c r="F34" s="459"/>
      <c r="G34" s="460"/>
      <c r="P34" s="1343" t="str">
        <f>IFERROR(IF(YEAR(MAX('Commodity Prices'!$C$9:$C4981))=VALUE(RIGHT(P33,4)),"",IF($Q$24="Calendar Year",P33+1,CONCATENATE(LEFT(P33,4)+1,"-",RIGHT(P33,4)+1))),"")</f>
        <v>2010-2011</v>
      </c>
      <c r="Q34" s="922">
        <f t="shared" si="4"/>
        <v>352.41769999999997</v>
      </c>
      <c r="R34" s="923">
        <f t="shared" si="5"/>
        <v>103.31767997</v>
      </c>
    </row>
    <row r="35" spans="1:23">
      <c r="A35" s="1016">
        <v>40238</v>
      </c>
      <c r="B35" s="706">
        <v>77.483000000000004</v>
      </c>
      <c r="C35" s="705">
        <v>21.716777</v>
      </c>
      <c r="D35" s="98">
        <f t="shared" si="0"/>
        <v>2010</v>
      </c>
      <c r="E35" s="98" t="str">
        <f t="shared" si="1"/>
        <v>1</v>
      </c>
      <c r="F35" s="459"/>
      <c r="G35" s="460"/>
      <c r="P35" s="1343" t="str">
        <f>IFERROR(IF(YEAR(MAX('Commodity Prices'!$C$9:$C4982))=VALUE(RIGHT(P34,4)),"",IF($Q$24="Calendar Year",P34+1,CONCATENATE(LEFT(P34,4)+1,"-",RIGHT(P34,4)+1))),"")</f>
        <v>2011-2012</v>
      </c>
      <c r="Q35" s="706">
        <f t="shared" si="4"/>
        <v>461.12081000000001</v>
      </c>
      <c r="R35" s="705">
        <f t="shared" si="5"/>
        <v>138.41382105999998</v>
      </c>
    </row>
    <row r="36" spans="1:23">
      <c r="A36" s="1016">
        <v>40330</v>
      </c>
      <c r="B36" s="922">
        <v>94.692999999999998</v>
      </c>
      <c r="C36" s="923">
        <v>26.077617</v>
      </c>
      <c r="D36" s="98">
        <f t="shared" si="0"/>
        <v>2010</v>
      </c>
      <c r="E36" s="98" t="str">
        <f t="shared" si="1"/>
        <v>2</v>
      </c>
      <c r="F36" s="459"/>
      <c r="G36" s="460"/>
      <c r="P36" s="1343" t="str">
        <f>IFERROR(IF(YEAR(MAX('Commodity Prices'!$C$9:$C4983))=VALUE(RIGHT(P35,4)),"",IF($Q$24="Calendar Year",P35+1,CONCATENATE(LEFT(P35,4)+1,"-",RIGHT(P35,4)+1))),"")</f>
        <v>2012-2013</v>
      </c>
      <c r="Q36" s="922">
        <f t="shared" si="4"/>
        <v>485.87888999999996</v>
      </c>
      <c r="R36" s="923">
        <f t="shared" si="5"/>
        <v>178.78668435</v>
      </c>
    </row>
    <row r="37" spans="1:23">
      <c r="A37" s="1016">
        <v>40422</v>
      </c>
      <c r="B37" s="706">
        <v>101.34699999999999</v>
      </c>
      <c r="C37" s="705">
        <v>27.66628781</v>
      </c>
      <c r="D37" s="98">
        <f t="shared" si="0"/>
        <v>2010</v>
      </c>
      <c r="E37" s="98" t="str">
        <f t="shared" si="1"/>
        <v>3</v>
      </c>
      <c r="F37" s="459"/>
      <c r="G37" s="460"/>
      <c r="P37" s="1343" t="str">
        <f>IFERROR(IF(YEAR(MAX('Commodity Prices'!$C$9:$C4984))=VALUE(RIGHT(P36,4)),"",IF($Q$24="Calendar Year",P36+1,CONCATENATE(LEFT(P36,4)+1,"-",RIGHT(P36,4)+1))),"")</f>
        <v>2013-2014</v>
      </c>
      <c r="Q37" s="706">
        <f t="shared" si="4"/>
        <v>342.065</v>
      </c>
      <c r="R37" s="705">
        <f t="shared" si="5"/>
        <v>150.56437763999998</v>
      </c>
    </row>
    <row r="38" spans="1:23">
      <c r="A38" s="1016">
        <v>40513</v>
      </c>
      <c r="B38" s="922">
        <v>53.341999999999999</v>
      </c>
      <c r="C38" s="923">
        <v>16.721578000000001</v>
      </c>
      <c r="D38" s="98">
        <f t="shared" si="0"/>
        <v>2010</v>
      </c>
      <c r="E38" s="98" t="str">
        <f t="shared" si="1"/>
        <v>4</v>
      </c>
      <c r="F38" s="459"/>
      <c r="G38" s="460"/>
      <c r="I38" s="140"/>
      <c r="J38" s="140"/>
      <c r="K38" s="140"/>
      <c r="L38" s="140"/>
      <c r="M38" s="140"/>
      <c r="N38" s="140"/>
      <c r="O38" s="140"/>
      <c r="P38" s="1343" t="str">
        <f>IFERROR(IF(YEAR(MAX('Commodity Prices'!$C$9:$C4985))=VALUE(RIGHT(P37,4)),"",IF($Q$24="Calendar Year",P37+1,CONCATENATE(LEFT(P37,4)+1,"-",RIGHT(P37,4)+1))),"")</f>
        <v>2014-2015</v>
      </c>
      <c r="Q38" s="922">
        <f t="shared" si="4"/>
        <v>489.07399999999996</v>
      </c>
      <c r="R38" s="923">
        <f t="shared" si="5"/>
        <v>245.87438700000001</v>
      </c>
      <c r="S38" s="140"/>
      <c r="T38" s="140"/>
      <c r="U38" s="140"/>
      <c r="V38" s="140"/>
      <c r="W38" s="140"/>
    </row>
    <row r="39" spans="1:23">
      <c r="A39" s="1016">
        <v>40603</v>
      </c>
      <c r="B39" s="706">
        <v>101.30500000000001</v>
      </c>
      <c r="C39" s="705">
        <v>29.212876999999999</v>
      </c>
      <c r="D39" s="98">
        <f t="shared" si="0"/>
        <v>2011</v>
      </c>
      <c r="E39" s="98" t="str">
        <f t="shared" si="1"/>
        <v>1</v>
      </c>
      <c r="F39" s="459"/>
      <c r="G39" s="460"/>
      <c r="I39" s="140"/>
      <c r="J39" s="140"/>
      <c r="K39" s="140"/>
      <c r="L39" s="140"/>
      <c r="M39" s="140"/>
      <c r="N39" s="140"/>
      <c r="O39" s="140"/>
      <c r="P39" s="1343" t="str">
        <f>IFERROR(IF(YEAR(MAX('Commodity Prices'!$C$9:$C4986))=VALUE(RIGHT(P38,4)),"",IF($Q$24="Calendar Year",P38+1,CONCATENATE(LEFT(P38,4)+1,"-",RIGHT(P38,4)+1))),"")</f>
        <v>2015-2016</v>
      </c>
      <c r="Q39" s="706">
        <f t="shared" si="4"/>
        <v>465.81700000000001</v>
      </c>
      <c r="R39" s="705">
        <f t="shared" si="5"/>
        <v>260.72154</v>
      </c>
      <c r="S39" s="140"/>
      <c r="T39" s="140"/>
      <c r="U39" s="140"/>
      <c r="V39" s="140"/>
      <c r="W39" s="140"/>
    </row>
    <row r="40" spans="1:23">
      <c r="A40" s="1016">
        <v>40695</v>
      </c>
      <c r="B40" s="922">
        <v>96.423699999999997</v>
      </c>
      <c r="C40" s="923">
        <v>29.716937160000001</v>
      </c>
      <c r="D40" s="98">
        <f t="shared" si="0"/>
        <v>2011</v>
      </c>
      <c r="E40" s="98" t="str">
        <f t="shared" si="1"/>
        <v>2</v>
      </c>
      <c r="F40" s="459"/>
      <c r="G40" s="460"/>
      <c r="I40" s="140"/>
      <c r="J40" s="140"/>
      <c r="K40" s="140"/>
      <c r="L40" s="140"/>
      <c r="M40" s="140"/>
      <c r="N40" s="140"/>
      <c r="O40" s="140"/>
      <c r="P40" s="1343" t="str">
        <f>IFERROR(IF(YEAR(MAX('Commodity Prices'!$C$9:$C4987))=VALUE(RIGHT(P39,4)),"",IF($Q$24="Calendar Year",P39+1,CONCATENATE(LEFT(P39,4)+1,"-",RIGHT(P39,4)+1))),"")</f>
        <v>2016-2017</v>
      </c>
      <c r="Q40" s="922">
        <f t="shared" si="4"/>
        <v>914.05627500000003</v>
      </c>
      <c r="R40" s="923">
        <f t="shared" si="5"/>
        <v>595.47209499999997</v>
      </c>
      <c r="S40" s="140"/>
      <c r="T40" s="140"/>
      <c r="U40" s="140"/>
      <c r="V40" s="140"/>
      <c r="W40" s="140"/>
    </row>
    <row r="41" spans="1:23">
      <c r="A41" s="1016">
        <v>40787</v>
      </c>
      <c r="B41" s="706">
        <v>108.71615</v>
      </c>
      <c r="C41" s="705">
        <v>31.224095949999999</v>
      </c>
      <c r="D41" s="98">
        <f t="shared" si="0"/>
        <v>2011</v>
      </c>
      <c r="E41" s="98" t="str">
        <f t="shared" si="1"/>
        <v>3</v>
      </c>
      <c r="F41" s="459"/>
      <c r="G41" s="460"/>
      <c r="I41" s="140"/>
      <c r="J41" s="140"/>
      <c r="K41" s="140"/>
      <c r="L41" s="140"/>
      <c r="M41" s="140"/>
      <c r="N41" s="140"/>
      <c r="O41" s="140"/>
      <c r="P41" s="1343" t="str">
        <f>IFERROR(IF(YEAR(MAX('Commodity Prices'!$C$9:$C4988))=VALUE(RIGHT(P40,4)),"",IF($Q$24="Calendar Year",P40+1,CONCATENATE(LEFT(P40,4)+1,"-",RIGHT(P40,4)+1))),"")</f>
        <v>2017-2018</v>
      </c>
      <c r="Q41" s="706">
        <f t="shared" si="4"/>
        <v>2138.2260175000001</v>
      </c>
      <c r="R41" s="705">
        <f t="shared" si="5"/>
        <v>1698.4669669999998</v>
      </c>
      <c r="S41" s="140"/>
      <c r="T41" s="140"/>
      <c r="U41" s="140"/>
      <c r="V41" s="140"/>
      <c r="W41" s="140"/>
    </row>
    <row r="42" spans="1:23">
      <c r="A42" s="1016">
        <v>40878</v>
      </c>
      <c r="B42" s="922">
        <v>95.090999999999994</v>
      </c>
      <c r="C42" s="923">
        <v>27.173378789999997</v>
      </c>
      <c r="D42" s="98">
        <f t="shared" si="0"/>
        <v>2011</v>
      </c>
      <c r="E42" s="98" t="str">
        <f t="shared" si="1"/>
        <v>4</v>
      </c>
      <c r="F42" s="459"/>
      <c r="G42" s="460"/>
      <c r="I42" s="140"/>
      <c r="J42" s="140"/>
      <c r="K42" s="140"/>
      <c r="L42" s="140"/>
      <c r="M42" s="140"/>
      <c r="N42" s="140"/>
      <c r="O42" s="140"/>
      <c r="P42" s="1343" t="str">
        <f>IFERROR(IF(YEAR(MAX('Commodity Prices'!$C$9:$C4989))=VALUE(RIGHT(P41,4)),"",IF($Q$24="Calendar Year",P41+1,CONCATENATE(LEFT(P41,4)+1,"-",RIGHT(P41,4)+1))),"")</f>
        <v>2018-2019</v>
      </c>
      <c r="Q42" s="922">
        <f t="shared" si="4"/>
        <v>1696.9076605</v>
      </c>
      <c r="R42" s="923">
        <f t="shared" si="5"/>
        <v>1661.1034990000001</v>
      </c>
      <c r="S42" s="140"/>
      <c r="T42" s="140"/>
      <c r="U42" s="140"/>
      <c r="V42" s="140"/>
      <c r="W42" s="140"/>
    </row>
    <row r="43" spans="1:23">
      <c r="A43" s="1016">
        <v>40969</v>
      </c>
      <c r="B43" s="706">
        <v>143.05491000000001</v>
      </c>
      <c r="C43" s="705">
        <v>44.613789560000001</v>
      </c>
      <c r="D43" s="98">
        <f t="shared" si="0"/>
        <v>2012</v>
      </c>
      <c r="E43" s="98" t="str">
        <f t="shared" si="1"/>
        <v>1</v>
      </c>
      <c r="F43" s="459"/>
      <c r="G43" s="460"/>
      <c r="I43" s="140"/>
      <c r="J43" s="140"/>
      <c r="K43" s="140"/>
      <c r="L43" s="140"/>
      <c r="M43" s="140"/>
      <c r="N43" s="140"/>
      <c r="O43" s="140"/>
      <c r="P43" s="1343" t="str">
        <f>IFERROR(IF(YEAR(MAX('Commodity Prices'!$C$9:$C4990))=VALUE(RIGHT(P42,4)),"",IF($Q$24="Calendar Year",P42+1,CONCATENATE(LEFT(P42,4)+1,"-",RIGHT(P42,4)+1))),"")</f>
        <v>2019-2020</v>
      </c>
      <c r="Q43" s="706">
        <f t="shared" si="4"/>
        <v>1459.7969205000002</v>
      </c>
      <c r="R43" s="705">
        <f t="shared" si="5"/>
        <v>998.65615800000012</v>
      </c>
      <c r="S43" s="140"/>
      <c r="T43" s="140"/>
      <c r="U43" s="140"/>
      <c r="V43" s="140"/>
      <c r="W43" s="140"/>
    </row>
    <row r="44" spans="1:23" ht="15.75" thickBot="1">
      <c r="A44" s="1016">
        <v>41061</v>
      </c>
      <c r="B44" s="922">
        <v>114.25875000000001</v>
      </c>
      <c r="C44" s="923">
        <v>35.402556759999996</v>
      </c>
      <c r="D44" s="98">
        <f t="shared" si="0"/>
        <v>2012</v>
      </c>
      <c r="E44" s="98" t="str">
        <f t="shared" si="1"/>
        <v>2</v>
      </c>
      <c r="F44" s="459"/>
      <c r="G44" s="460"/>
      <c r="I44" s="140"/>
      <c r="J44" s="140"/>
      <c r="K44" s="140"/>
      <c r="L44" s="140"/>
      <c r="M44" s="140" t="e">
        <f>#REF!&amp;CHAR(10)&amp;"Quantity and Value by "&amp;Q24</f>
        <v>#REF!</v>
      </c>
      <c r="N44" s="140"/>
      <c r="O44" s="140"/>
      <c r="P44" s="1343" t="str">
        <f>IFERROR(IF(YEAR(MAX('Commodity Prices'!$C$9:$C4991))=VALUE(RIGHT(P43,4)),"",IF($Q$24="Calendar Year",P43+1,CONCATENATE(LEFT(P43,4)+1,"-",RIGHT(P43,4)+1))),"")</f>
        <v>2020-2021</v>
      </c>
      <c r="Q44" s="922">
        <f t="shared" si="4"/>
        <v>1627.771217</v>
      </c>
      <c r="R44" s="923">
        <f t="shared" si="5"/>
        <v>938.305026</v>
      </c>
      <c r="S44" s="140"/>
      <c r="T44" s="140"/>
      <c r="U44" s="140"/>
      <c r="V44" s="140"/>
      <c r="W44" s="140"/>
    </row>
    <row r="45" spans="1:23">
      <c r="A45" s="1016">
        <v>41153</v>
      </c>
      <c r="B45" s="706">
        <v>124.63388999999999</v>
      </c>
      <c r="C45" s="705">
        <v>40.680747100000005</v>
      </c>
      <c r="D45" s="98">
        <f t="shared" si="0"/>
        <v>2012</v>
      </c>
      <c r="E45" s="98" t="str">
        <f t="shared" si="1"/>
        <v>3</v>
      </c>
      <c r="F45" s="459"/>
      <c r="G45" s="460"/>
      <c r="I45" s="140"/>
      <c r="J45" s="140"/>
      <c r="K45" s="140"/>
      <c r="L45" s="140"/>
      <c r="M45" s="140"/>
      <c r="N45" s="140"/>
      <c r="O45" s="140"/>
      <c r="P45" s="696" t="str">
        <f>IFERROR(IF(YEAR(MAX('Commodity Prices'!$C$9:$C4991))=VALUE(RIGHT(P44,4)),"",IF($Q$24="Calendar Year",P44+1,CONCATENATE(LEFT(P44,4)+1,"-",RIGHT(P44,4)+1))),"")</f>
        <v/>
      </c>
      <c r="Q45" s="878" t="str">
        <f t="shared" si="4"/>
        <v/>
      </c>
      <c r="R45" s="878" t="str">
        <f t="shared" si="5"/>
        <v/>
      </c>
      <c r="S45" s="140"/>
      <c r="T45" s="140"/>
      <c r="U45" s="140"/>
      <c r="V45" s="140"/>
      <c r="W45" s="140"/>
    </row>
    <row r="46" spans="1:23">
      <c r="A46" s="1016">
        <v>41244</v>
      </c>
      <c r="B46" s="922">
        <v>118.95099999999999</v>
      </c>
      <c r="C46" s="923">
        <v>41.492288469999998</v>
      </c>
      <c r="D46" s="98">
        <f t="shared" si="0"/>
        <v>2012</v>
      </c>
      <c r="E46" s="98" t="str">
        <f t="shared" si="1"/>
        <v>4</v>
      </c>
      <c r="F46" s="459"/>
      <c r="G46" s="460"/>
      <c r="I46" s="140"/>
      <c r="J46" s="140"/>
      <c r="K46" s="140"/>
      <c r="L46" s="140"/>
      <c r="M46" s="140"/>
      <c r="N46" s="140"/>
      <c r="O46" s="140"/>
      <c r="P46" s="660" t="str">
        <f>IFERROR(IF(YEAR(MAX('Commodity Prices'!$C$9:$C4992))=VALUE(RIGHT(P45,4)),"",IF($Q$24="Calendar Year",P45+1,CONCATENATE(LEFT(P45,4)+1,"-",RIGHT(P45,4)+1))),"")</f>
        <v/>
      </c>
      <c r="Q46" s="748" t="str">
        <f t="shared" si="4"/>
        <v/>
      </c>
      <c r="R46" s="748" t="str">
        <f t="shared" si="5"/>
        <v/>
      </c>
      <c r="S46" s="140"/>
      <c r="T46" s="140"/>
      <c r="U46" s="140"/>
      <c r="V46" s="140"/>
      <c r="W46" s="140"/>
    </row>
    <row r="47" spans="1:23">
      <c r="A47" s="1016">
        <v>41334</v>
      </c>
      <c r="B47" s="706">
        <v>87.549000000000007</v>
      </c>
      <c r="C47" s="705">
        <v>32.08433471</v>
      </c>
      <c r="D47" s="98">
        <f t="shared" si="0"/>
        <v>2013</v>
      </c>
      <c r="E47" s="98" t="str">
        <f t="shared" si="1"/>
        <v>1</v>
      </c>
      <c r="F47" s="459"/>
      <c r="G47" s="460"/>
      <c r="I47" s="140"/>
      <c r="J47" s="140"/>
      <c r="K47" s="140"/>
      <c r="L47" s="140"/>
      <c r="M47" s="140"/>
      <c r="N47" s="140"/>
      <c r="O47" s="140"/>
      <c r="P47" s="660" t="str">
        <f>IFERROR(IF(YEAR(MAX('Commodity Prices'!$C$9:$C4993))=VALUE(RIGHT(P46,4)),"",IF($Q$24="Calendar Year",P46+1,CONCATENATE(LEFT(P46,4)+1,"-",RIGHT(P46,4)+1))),"")</f>
        <v/>
      </c>
      <c r="Q47" s="748" t="str">
        <f t="shared" si="4"/>
        <v/>
      </c>
      <c r="R47" s="748" t="str">
        <f t="shared" si="5"/>
        <v/>
      </c>
      <c r="S47" s="140"/>
      <c r="T47" s="140"/>
      <c r="U47" s="140"/>
      <c r="V47" s="140"/>
      <c r="W47" s="140"/>
    </row>
    <row r="48" spans="1:23">
      <c r="A48" s="1016">
        <v>41426</v>
      </c>
      <c r="B48" s="922">
        <v>154.745</v>
      </c>
      <c r="C48" s="923">
        <v>64.529314069999998</v>
      </c>
      <c r="D48" s="98">
        <f t="shared" si="0"/>
        <v>2013</v>
      </c>
      <c r="E48" s="98" t="str">
        <f t="shared" si="1"/>
        <v>2</v>
      </c>
      <c r="F48" s="459"/>
      <c r="G48" s="460"/>
      <c r="I48" s="140"/>
      <c r="J48" s="140"/>
      <c r="K48" s="140"/>
      <c r="L48" s="140"/>
      <c r="M48" s="140"/>
      <c r="N48" s="140"/>
      <c r="O48" s="140"/>
      <c r="P48" s="660" t="str">
        <f>IFERROR(IF(YEAR(MAX('Commodity Prices'!$C$9:$C4994))=VALUE(RIGHT(P47,4)),"",IF($Q$24="Calendar Year",P47+1,CONCATENATE(LEFT(P47,4)+1,"-",RIGHT(P47,4)+1))),"")</f>
        <v/>
      </c>
      <c r="Q48" s="748" t="str">
        <f t="shared" si="4"/>
        <v/>
      </c>
      <c r="R48" s="748" t="str">
        <f t="shared" si="5"/>
        <v/>
      </c>
      <c r="S48" s="140"/>
      <c r="T48" s="140"/>
      <c r="U48" s="140"/>
      <c r="V48" s="140"/>
      <c r="W48" s="140"/>
    </row>
    <row r="49" spans="1:23">
      <c r="A49" s="1016">
        <v>41518</v>
      </c>
      <c r="B49" s="706">
        <v>69.808999999999997</v>
      </c>
      <c r="C49" s="705">
        <v>31.50990835</v>
      </c>
      <c r="D49" s="98">
        <f t="shared" si="0"/>
        <v>2013</v>
      </c>
      <c r="E49" s="98" t="str">
        <f t="shared" si="1"/>
        <v>3</v>
      </c>
      <c r="F49" s="459"/>
      <c r="G49" s="460"/>
      <c r="I49" s="140"/>
      <c r="J49" s="140"/>
      <c r="K49" s="140"/>
      <c r="L49" s="140"/>
      <c r="M49" s="140"/>
      <c r="N49" s="140"/>
      <c r="O49" s="140"/>
      <c r="P49" s="660" t="str">
        <f>IFERROR(IF(YEAR(MAX('Commodity Prices'!$C$9:$C4995))=VALUE(RIGHT(P48,4)),"",IF($Q$24="Calendar Year",P48+1,CONCATENATE(LEFT(P48,4)+1,"-",RIGHT(P48,4)+1))),"")</f>
        <v/>
      </c>
      <c r="Q49" s="748" t="str">
        <f t="shared" si="4"/>
        <v/>
      </c>
      <c r="R49" s="748" t="str">
        <f t="shared" si="5"/>
        <v/>
      </c>
      <c r="S49" s="140"/>
      <c r="T49" s="140"/>
      <c r="U49" s="140"/>
      <c r="V49" s="140"/>
      <c r="W49" s="140"/>
    </row>
    <row r="50" spans="1:23">
      <c r="A50" s="1016">
        <v>41609</v>
      </c>
      <c r="B50" s="922">
        <v>93.016000000000005</v>
      </c>
      <c r="C50" s="923">
        <v>41.162987289999997</v>
      </c>
      <c r="D50" s="98">
        <f t="shared" si="0"/>
        <v>2013</v>
      </c>
      <c r="E50" s="98" t="str">
        <f t="shared" si="1"/>
        <v>4</v>
      </c>
      <c r="F50" s="459"/>
      <c r="G50" s="460"/>
      <c r="I50" s="140"/>
      <c r="J50" s="140"/>
      <c r="K50" s="140"/>
      <c r="L50" s="140"/>
      <c r="M50" s="140"/>
      <c r="N50" s="140"/>
      <c r="O50" s="140"/>
      <c r="P50" s="660" t="str">
        <f>IFERROR(IF(YEAR(MAX('Commodity Prices'!$C$9:$C4996))=VALUE(RIGHT(P49,4)),"",IF($Q$24="Calendar Year",P49+1,CONCATENATE(LEFT(P49,4)+1,"-",RIGHT(P49,4)+1))),"")</f>
        <v/>
      </c>
      <c r="Q50" s="748" t="str">
        <f t="shared" si="4"/>
        <v/>
      </c>
      <c r="R50" s="748" t="str">
        <f t="shared" si="5"/>
        <v/>
      </c>
      <c r="S50" s="140"/>
      <c r="T50" s="140"/>
      <c r="U50" s="140"/>
      <c r="V50" s="140"/>
      <c r="W50" s="140"/>
    </row>
    <row r="51" spans="1:23">
      <c r="A51" s="1016">
        <v>41699</v>
      </c>
      <c r="B51" s="706">
        <v>68.242000000000004</v>
      </c>
      <c r="C51" s="705">
        <v>32.743884000000001</v>
      </c>
      <c r="D51" s="98">
        <f t="shared" si="0"/>
        <v>2014</v>
      </c>
      <c r="E51" s="98" t="str">
        <f t="shared" si="1"/>
        <v>1</v>
      </c>
      <c r="F51" s="459"/>
      <c r="G51" s="460"/>
      <c r="P51" s="660" t="str">
        <f>IFERROR(IF(YEAR(MAX('Commodity Prices'!$C$9:$C4997))=VALUE(RIGHT(P50,4)),"",IF($Q$24="Calendar Year",P50+1,CONCATENATE(LEFT(P50,4)+1,"-",RIGHT(P50,4)+1))),"")</f>
        <v/>
      </c>
      <c r="Q51" s="748" t="str">
        <f t="shared" si="4"/>
        <v/>
      </c>
      <c r="R51" s="748" t="str">
        <f t="shared" si="5"/>
        <v/>
      </c>
    </row>
    <row r="52" spans="1:23">
      <c r="A52" s="1016">
        <v>41791</v>
      </c>
      <c r="B52" s="922">
        <v>110.998</v>
      </c>
      <c r="C52" s="923">
        <v>45.147598000000002</v>
      </c>
      <c r="D52" s="98">
        <f t="shared" si="0"/>
        <v>2014</v>
      </c>
      <c r="E52" s="98" t="str">
        <f t="shared" si="1"/>
        <v>2</v>
      </c>
      <c r="F52" s="459"/>
      <c r="G52" s="460"/>
      <c r="P52" s="660" t="str">
        <f>IFERROR(IF(YEAR(MAX('Commodity Prices'!$C$9:$C4998))=VALUE(RIGHT(P51,4)),"",IF($Q$24="Calendar Year",P51+1,CONCATENATE(LEFT(P51,4)+1,"-",RIGHT(P51,4)+1))),"")</f>
        <v/>
      </c>
      <c r="Q52" s="748" t="str">
        <f t="shared" si="4"/>
        <v/>
      </c>
      <c r="R52" s="748" t="str">
        <f t="shared" si="5"/>
        <v/>
      </c>
    </row>
    <row r="53" spans="1:23">
      <c r="A53" s="1016">
        <v>41883</v>
      </c>
      <c r="B53" s="706">
        <v>98.152000000000001</v>
      </c>
      <c r="C53" s="705">
        <v>41.524011999999999</v>
      </c>
      <c r="D53" s="98">
        <f t="shared" si="0"/>
        <v>2014</v>
      </c>
      <c r="E53" s="98" t="str">
        <f t="shared" si="1"/>
        <v>3</v>
      </c>
      <c r="F53" s="459"/>
      <c r="P53"/>
    </row>
    <row r="54" spans="1:23">
      <c r="A54" s="1016">
        <v>41974</v>
      </c>
      <c r="B54" s="922">
        <v>167.154</v>
      </c>
      <c r="C54" s="923">
        <v>82.102267999999995</v>
      </c>
      <c r="D54" s="98">
        <f t="shared" si="0"/>
        <v>2014</v>
      </c>
      <c r="E54" s="98" t="str">
        <f t="shared" si="1"/>
        <v>4</v>
      </c>
      <c r="F54" s="459"/>
      <c r="P54" s="460"/>
    </row>
    <row r="55" spans="1:23">
      <c r="A55" s="1016">
        <v>42064</v>
      </c>
      <c r="B55" s="706">
        <v>117.108</v>
      </c>
      <c r="C55" s="705">
        <v>63.922114000000001</v>
      </c>
      <c r="D55" s="98">
        <f t="shared" si="0"/>
        <v>2015</v>
      </c>
      <c r="E55" s="98" t="str">
        <f t="shared" si="1"/>
        <v>1</v>
      </c>
      <c r="F55" s="459"/>
      <c r="P55"/>
      <c r="Q55" s="460"/>
    </row>
    <row r="56" spans="1:23">
      <c r="A56" s="1016">
        <v>42156</v>
      </c>
      <c r="B56" s="924">
        <v>106.66</v>
      </c>
      <c r="C56" s="925">
        <v>58.325992999999997</v>
      </c>
      <c r="D56" s="98">
        <f t="shared" si="0"/>
        <v>2015</v>
      </c>
      <c r="E56" s="98" t="str">
        <f t="shared" si="1"/>
        <v>2</v>
      </c>
      <c r="F56" s="459"/>
      <c r="P56" s="112"/>
      <c r="Q56" s="486"/>
    </row>
    <row r="57" spans="1:23">
      <c r="A57" s="1016">
        <v>42248</v>
      </c>
      <c r="B57" s="926">
        <v>169.30600000000001</v>
      </c>
      <c r="C57" s="821">
        <v>91.582151999999994</v>
      </c>
      <c r="D57" s="98">
        <f t="shared" si="0"/>
        <v>2015</v>
      </c>
      <c r="E57" s="98" t="str">
        <f t="shared" si="1"/>
        <v>3</v>
      </c>
      <c r="F57" s="459"/>
      <c r="P57" s="460"/>
      <c r="Q57" s="491"/>
    </row>
    <row r="58" spans="1:23">
      <c r="A58" s="1016">
        <v>42339</v>
      </c>
      <c r="B58" s="924">
        <v>46.44</v>
      </c>
      <c r="C58" s="925">
        <v>26.348013000000002</v>
      </c>
      <c r="D58" s="98">
        <f t="shared" si="0"/>
        <v>2015</v>
      </c>
      <c r="E58" s="98" t="str">
        <f t="shared" si="1"/>
        <v>4</v>
      </c>
      <c r="F58" s="492"/>
      <c r="G58" s="460"/>
      <c r="H58" s="433"/>
      <c r="P58" s="460"/>
      <c r="Q58" s="496"/>
    </row>
    <row r="59" spans="1:23">
      <c r="A59" s="1016">
        <v>42430</v>
      </c>
      <c r="B59" s="926">
        <v>112.768</v>
      </c>
      <c r="C59" s="821">
        <v>67.054581999999996</v>
      </c>
      <c r="D59" s="98">
        <f t="shared" si="0"/>
        <v>2016</v>
      </c>
      <c r="E59" s="98" t="str">
        <f t="shared" si="1"/>
        <v>1</v>
      </c>
      <c r="F59" s="492"/>
      <c r="G59"/>
      <c r="H59" s="433"/>
      <c r="P59"/>
      <c r="R59" s="459"/>
    </row>
    <row r="60" spans="1:23">
      <c r="A60" s="1016">
        <v>42522</v>
      </c>
      <c r="B60" s="924">
        <v>137.303</v>
      </c>
      <c r="C60" s="925">
        <v>75.736793000000006</v>
      </c>
      <c r="D60" s="98">
        <f t="shared" si="0"/>
        <v>2016</v>
      </c>
      <c r="E60" s="98" t="str">
        <f t="shared" si="1"/>
        <v>2</v>
      </c>
      <c r="F60" s="492"/>
      <c r="G60"/>
      <c r="H60" s="433"/>
      <c r="P60"/>
      <c r="R60" s="459"/>
    </row>
    <row r="61" spans="1:23">
      <c r="A61" s="1016">
        <v>42614</v>
      </c>
      <c r="B61" s="926">
        <v>122.422</v>
      </c>
      <c r="C61" s="821">
        <v>66.685486999999995</v>
      </c>
      <c r="D61" s="98">
        <f t="shared" si="0"/>
        <v>2016</v>
      </c>
      <c r="E61" s="98" t="str">
        <f t="shared" si="1"/>
        <v>3</v>
      </c>
      <c r="F61" s="492"/>
      <c r="G61"/>
      <c r="P61"/>
      <c r="R61" s="459"/>
    </row>
    <row r="62" spans="1:23">
      <c r="A62" s="1016">
        <v>42705</v>
      </c>
      <c r="B62" s="924">
        <v>149.68799999999999</v>
      </c>
      <c r="C62" s="925">
        <v>84.382779999999997</v>
      </c>
      <c r="D62" s="98">
        <f t="shared" si="0"/>
        <v>2016</v>
      </c>
      <c r="E62" s="98" t="str">
        <f t="shared" si="1"/>
        <v>4</v>
      </c>
      <c r="F62" s="492"/>
      <c r="G62"/>
      <c r="P62"/>
    </row>
    <row r="63" spans="1:23">
      <c r="A63" s="1016">
        <v>42795</v>
      </c>
      <c r="B63" s="706">
        <v>197.61622999999997</v>
      </c>
      <c r="C63" s="705">
        <v>134.485433</v>
      </c>
      <c r="D63" s="98">
        <f t="shared" si="0"/>
        <v>2017</v>
      </c>
      <c r="E63" s="98" t="str">
        <f t="shared" si="1"/>
        <v>1</v>
      </c>
      <c r="F63" s="492"/>
      <c r="G63"/>
      <c r="H63" s="459"/>
      <c r="P63"/>
    </row>
    <row r="64" spans="1:23">
      <c r="A64" s="1016">
        <v>42887</v>
      </c>
      <c r="B64" s="922">
        <v>444.33004500000004</v>
      </c>
      <c r="C64" s="923">
        <v>309.91839499999998</v>
      </c>
      <c r="D64" s="98">
        <f t="shared" si="0"/>
        <v>2017</v>
      </c>
      <c r="E64" s="98" t="str">
        <f t="shared" si="1"/>
        <v>2</v>
      </c>
      <c r="F64" s="492"/>
      <c r="G64"/>
      <c r="P64"/>
      <c r="Q64" s="6"/>
    </row>
    <row r="65" spans="1:18">
      <c r="A65" s="1016">
        <v>42979</v>
      </c>
      <c r="B65" s="706">
        <v>443.59343750000005</v>
      </c>
      <c r="C65" s="705">
        <v>305.88752999999997</v>
      </c>
      <c r="D65" s="98">
        <f t="shared" si="0"/>
        <v>2017</v>
      </c>
      <c r="E65" s="98" t="str">
        <f t="shared" si="1"/>
        <v>3</v>
      </c>
      <c r="F65" s="492"/>
      <c r="G65"/>
      <c r="P65"/>
      <c r="Q65" s="6"/>
    </row>
    <row r="66" spans="1:18">
      <c r="A66" s="1016">
        <v>43070</v>
      </c>
      <c r="B66" s="922">
        <v>621.07889750000004</v>
      </c>
      <c r="C66" s="923">
        <v>448.23720900000001</v>
      </c>
      <c r="D66" s="98">
        <f t="shared" si="0"/>
        <v>2017</v>
      </c>
      <c r="E66" s="98" t="str">
        <f t="shared" si="1"/>
        <v>4</v>
      </c>
      <c r="F66" s="459"/>
      <c r="G66"/>
      <c r="P66"/>
      <c r="Q66" s="6"/>
    </row>
    <row r="67" spans="1:18">
      <c r="A67" s="1016">
        <v>43160</v>
      </c>
      <c r="B67" s="706">
        <v>535.00334250000003</v>
      </c>
      <c r="C67" s="705">
        <v>448.96411000000001</v>
      </c>
      <c r="D67" s="98">
        <f t="shared" si="0"/>
        <v>2018</v>
      </c>
      <c r="E67" s="98" t="str">
        <f t="shared" si="1"/>
        <v>1</v>
      </c>
      <c r="F67" s="459"/>
      <c r="G67"/>
      <c r="P67"/>
    </row>
    <row r="68" spans="1:18">
      <c r="A68" s="1016">
        <v>43252</v>
      </c>
      <c r="B68" s="922">
        <v>538.55034000000001</v>
      </c>
      <c r="C68" s="923">
        <v>495.37811799999997</v>
      </c>
      <c r="D68" s="98">
        <f t="shared" si="0"/>
        <v>2018</v>
      </c>
      <c r="E68" s="98" t="str">
        <f t="shared" si="1"/>
        <v>2</v>
      </c>
      <c r="F68" s="459"/>
      <c r="G68"/>
      <c r="P68"/>
    </row>
    <row r="69" spans="1:18">
      <c r="A69" s="1016">
        <v>43344</v>
      </c>
      <c r="B69" s="706">
        <v>472.00327750000008</v>
      </c>
      <c r="C69" s="705">
        <v>461.28776000000005</v>
      </c>
      <c r="D69" s="98">
        <f t="shared" si="0"/>
        <v>2018</v>
      </c>
      <c r="E69" s="98" t="str">
        <f t="shared" si="1"/>
        <v>3</v>
      </c>
      <c r="F69" s="459"/>
      <c r="G69"/>
      <c r="P69"/>
    </row>
    <row r="70" spans="1:18">
      <c r="A70" s="1016">
        <v>43435</v>
      </c>
      <c r="B70" s="922">
        <v>420.35548999999992</v>
      </c>
      <c r="C70" s="923">
        <v>457.37945100000002</v>
      </c>
      <c r="D70" s="98">
        <f t="shared" si="0"/>
        <v>2018</v>
      </c>
      <c r="E70" s="98" t="str">
        <f t="shared" si="1"/>
        <v>4</v>
      </c>
      <c r="F70" s="459"/>
      <c r="G70"/>
      <c r="P70"/>
    </row>
    <row r="71" spans="1:18">
      <c r="A71" s="1016">
        <v>43525</v>
      </c>
      <c r="B71" s="706">
        <v>405.89135299999998</v>
      </c>
      <c r="C71" s="705">
        <v>391.29296499999998</v>
      </c>
      <c r="D71" s="98">
        <f t="shared" si="0"/>
        <v>2019</v>
      </c>
      <c r="E71" s="98" t="str">
        <f t="shared" si="1"/>
        <v>1</v>
      </c>
      <c r="F71" s="459"/>
      <c r="G71"/>
      <c r="P71"/>
    </row>
    <row r="72" spans="1:18" s="535" customFormat="1">
      <c r="A72" s="1016">
        <v>43617</v>
      </c>
      <c r="B72" s="927">
        <v>398.65754000000004</v>
      </c>
      <c r="C72" s="928">
        <v>351.14332300000001</v>
      </c>
      <c r="D72" s="98">
        <f t="shared" ref="D72:D74" si="6">YEAR(A72)</f>
        <v>2019</v>
      </c>
      <c r="E72" s="98" t="str">
        <f t="shared" ref="E72:E74" si="7">IF(MONTH(A72)=3,"1",IF(MONTH(A72)=6,"2",IF(MONTH(A72)=9,"3","4")))</f>
        <v>2</v>
      </c>
      <c r="P72"/>
      <c r="Q72"/>
      <c r="R72"/>
    </row>
    <row r="73" spans="1:18" s="535" customFormat="1">
      <c r="A73" s="1342">
        <v>43709</v>
      </c>
      <c r="B73" s="706">
        <v>407.50171049999994</v>
      </c>
      <c r="C73" s="705">
        <v>326.05080600000002</v>
      </c>
      <c r="D73" s="98">
        <f t="shared" si="6"/>
        <v>2019</v>
      </c>
      <c r="E73" s="98" t="str">
        <f t="shared" si="7"/>
        <v>3</v>
      </c>
    </row>
    <row r="74" spans="1:18">
      <c r="A74" s="1016">
        <v>43800</v>
      </c>
      <c r="B74" s="922">
        <v>376.21242000000001</v>
      </c>
      <c r="C74" s="923">
        <v>248.86644699999999</v>
      </c>
      <c r="D74" s="98">
        <f t="shared" si="6"/>
        <v>2019</v>
      </c>
      <c r="E74" s="98" t="str">
        <f t="shared" si="7"/>
        <v>4</v>
      </c>
      <c r="P74" s="535"/>
      <c r="Q74" s="535"/>
      <c r="R74" s="535"/>
    </row>
    <row r="75" spans="1:18">
      <c r="A75" s="1342">
        <v>43891</v>
      </c>
      <c r="B75" s="706">
        <v>363.39028000000002</v>
      </c>
      <c r="C75" s="705">
        <v>234.55637300000001</v>
      </c>
      <c r="D75" s="98">
        <f t="shared" si="0"/>
        <v>2020</v>
      </c>
      <c r="E75" s="98" t="str">
        <f t="shared" si="1"/>
        <v>1</v>
      </c>
    </row>
    <row r="76" spans="1:18">
      <c r="A76" s="1016">
        <v>43983</v>
      </c>
      <c r="B76" s="922">
        <v>312.69251000000003</v>
      </c>
      <c r="C76" s="923">
        <v>189.18253200000001</v>
      </c>
      <c r="D76" s="98">
        <f t="shared" ref="D76:D139" si="8">YEAR(A76)</f>
        <v>2020</v>
      </c>
      <c r="E76" s="98" t="str">
        <f t="shared" ref="E76:E139" si="9">IF(MONTH(A76)=3,"1",IF(MONTH(A76)=6,"2",IF(MONTH(A76)=9,"3","4")))</f>
        <v>2</v>
      </c>
    </row>
    <row r="77" spans="1:18">
      <c r="A77" s="1016">
        <v>44075</v>
      </c>
      <c r="B77" s="706">
        <v>360.40602199999995</v>
      </c>
      <c r="C77" s="705">
        <v>176.94475600000001</v>
      </c>
      <c r="D77" s="98">
        <f t="shared" si="8"/>
        <v>2020</v>
      </c>
      <c r="E77" s="98" t="str">
        <f t="shared" si="9"/>
        <v>3</v>
      </c>
    </row>
    <row r="78" spans="1:18">
      <c r="A78" s="1016">
        <v>44166</v>
      </c>
      <c r="B78" s="922">
        <v>443.38334499999996</v>
      </c>
      <c r="C78" s="923">
        <v>222.063152</v>
      </c>
      <c r="D78" s="98">
        <f t="shared" si="8"/>
        <v>2020</v>
      </c>
      <c r="E78" s="98" t="str">
        <f t="shared" si="9"/>
        <v>4</v>
      </c>
    </row>
    <row r="79" spans="1:18">
      <c r="A79" s="1016">
        <v>44256</v>
      </c>
      <c r="B79" s="706">
        <v>353.38284000000004</v>
      </c>
      <c r="C79" s="705">
        <v>231.33901499999999</v>
      </c>
      <c r="D79" s="98">
        <f t="shared" si="8"/>
        <v>2021</v>
      </c>
      <c r="E79" s="98" t="str">
        <f t="shared" si="9"/>
        <v>1</v>
      </c>
    </row>
    <row r="80" spans="1:18" ht="15.75" thickBot="1">
      <c r="A80" s="1810">
        <v>44348</v>
      </c>
      <c r="B80" s="929">
        <v>470.59901000000002</v>
      </c>
      <c r="C80" s="930">
        <v>307.95810299999999</v>
      </c>
      <c r="D80" s="98">
        <f t="shared" si="8"/>
        <v>2021</v>
      </c>
      <c r="E80" s="98" t="str">
        <f t="shared" si="9"/>
        <v>2</v>
      </c>
    </row>
    <row r="81" spans="4:5">
      <c r="D81" s="98">
        <f t="shared" si="8"/>
        <v>1900</v>
      </c>
      <c r="E81" s="98" t="str">
        <f t="shared" si="9"/>
        <v>4</v>
      </c>
    </row>
    <row r="82" spans="4:5">
      <c r="D82" s="98">
        <f t="shared" si="8"/>
        <v>1900</v>
      </c>
      <c r="E82" s="98" t="str">
        <f t="shared" si="9"/>
        <v>4</v>
      </c>
    </row>
    <row r="83" spans="4:5">
      <c r="D83" s="98">
        <f t="shared" si="8"/>
        <v>1900</v>
      </c>
      <c r="E83" s="98" t="str">
        <f t="shared" si="9"/>
        <v>4</v>
      </c>
    </row>
    <row r="84" spans="4:5">
      <c r="D84" s="98">
        <f t="shared" si="8"/>
        <v>1900</v>
      </c>
      <c r="E84" s="98" t="str">
        <f t="shared" si="9"/>
        <v>4</v>
      </c>
    </row>
    <row r="85" spans="4:5">
      <c r="D85" s="98">
        <f t="shared" si="8"/>
        <v>1900</v>
      </c>
      <c r="E85" s="98" t="str">
        <f t="shared" si="9"/>
        <v>4</v>
      </c>
    </row>
    <row r="86" spans="4:5">
      <c r="D86" s="98">
        <f t="shared" si="8"/>
        <v>1900</v>
      </c>
      <c r="E86" s="98" t="str">
        <f t="shared" si="9"/>
        <v>4</v>
      </c>
    </row>
    <row r="87" spans="4:5">
      <c r="D87" s="98">
        <f t="shared" si="8"/>
        <v>1900</v>
      </c>
      <c r="E87" s="98" t="str">
        <f t="shared" si="9"/>
        <v>4</v>
      </c>
    </row>
    <row r="88" spans="4:5">
      <c r="D88" s="98">
        <f t="shared" si="8"/>
        <v>1900</v>
      </c>
      <c r="E88" s="98" t="str">
        <f t="shared" si="9"/>
        <v>4</v>
      </c>
    </row>
    <row r="89" spans="4:5">
      <c r="D89" s="98">
        <f t="shared" si="8"/>
        <v>1900</v>
      </c>
      <c r="E89" s="98" t="str">
        <f t="shared" si="9"/>
        <v>4</v>
      </c>
    </row>
    <row r="90" spans="4:5">
      <c r="D90" s="98">
        <f t="shared" si="8"/>
        <v>1900</v>
      </c>
      <c r="E90" s="98" t="str">
        <f t="shared" si="9"/>
        <v>4</v>
      </c>
    </row>
    <row r="91" spans="4:5">
      <c r="D91" s="98">
        <f t="shared" si="8"/>
        <v>1900</v>
      </c>
      <c r="E91" s="98" t="str">
        <f t="shared" si="9"/>
        <v>4</v>
      </c>
    </row>
    <row r="92" spans="4:5">
      <c r="D92" s="98">
        <f t="shared" si="8"/>
        <v>1900</v>
      </c>
      <c r="E92" s="98" t="str">
        <f t="shared" si="9"/>
        <v>4</v>
      </c>
    </row>
    <row r="93" spans="4:5">
      <c r="D93" s="98">
        <f t="shared" si="8"/>
        <v>1900</v>
      </c>
      <c r="E93" s="98" t="str">
        <f t="shared" si="9"/>
        <v>4</v>
      </c>
    </row>
    <row r="94" spans="4:5">
      <c r="D94" s="98">
        <f t="shared" si="8"/>
        <v>1900</v>
      </c>
      <c r="E94" s="98" t="str">
        <f t="shared" si="9"/>
        <v>4</v>
      </c>
    </row>
    <row r="95" spans="4:5">
      <c r="D95" s="98">
        <f t="shared" si="8"/>
        <v>1900</v>
      </c>
      <c r="E95" s="98" t="str">
        <f t="shared" si="9"/>
        <v>4</v>
      </c>
    </row>
    <row r="96" spans="4:5">
      <c r="D96" s="98">
        <f t="shared" si="8"/>
        <v>1900</v>
      </c>
      <c r="E96" s="98" t="str">
        <f t="shared" si="9"/>
        <v>4</v>
      </c>
    </row>
    <row r="97" spans="4:5">
      <c r="D97" s="98">
        <f t="shared" si="8"/>
        <v>1900</v>
      </c>
      <c r="E97" s="98" t="str">
        <f t="shared" si="9"/>
        <v>4</v>
      </c>
    </row>
    <row r="98" spans="4:5">
      <c r="D98" s="98">
        <f t="shared" si="8"/>
        <v>1900</v>
      </c>
      <c r="E98" s="98" t="str">
        <f t="shared" si="9"/>
        <v>4</v>
      </c>
    </row>
    <row r="99" spans="4:5">
      <c r="D99" s="98">
        <f t="shared" si="8"/>
        <v>1900</v>
      </c>
      <c r="E99" s="98" t="str">
        <f t="shared" si="9"/>
        <v>4</v>
      </c>
    </row>
    <row r="100" spans="4:5">
      <c r="D100" s="98">
        <f t="shared" si="8"/>
        <v>1900</v>
      </c>
      <c r="E100" s="98" t="str">
        <f t="shared" si="9"/>
        <v>4</v>
      </c>
    </row>
    <row r="101" spans="4:5">
      <c r="D101" s="98">
        <f t="shared" si="8"/>
        <v>1900</v>
      </c>
      <c r="E101" s="98" t="str">
        <f t="shared" si="9"/>
        <v>4</v>
      </c>
    </row>
    <row r="102" spans="4:5">
      <c r="D102" s="98">
        <f t="shared" si="8"/>
        <v>1900</v>
      </c>
      <c r="E102" s="98" t="str">
        <f t="shared" si="9"/>
        <v>4</v>
      </c>
    </row>
    <row r="103" spans="4:5">
      <c r="D103" s="98">
        <f t="shared" si="8"/>
        <v>1900</v>
      </c>
      <c r="E103" s="98" t="str">
        <f t="shared" si="9"/>
        <v>4</v>
      </c>
    </row>
    <row r="104" spans="4:5">
      <c r="D104" s="98">
        <f t="shared" si="8"/>
        <v>1900</v>
      </c>
      <c r="E104" s="98" t="str">
        <f t="shared" si="9"/>
        <v>4</v>
      </c>
    </row>
    <row r="105" spans="4:5">
      <c r="D105" s="98">
        <f t="shared" si="8"/>
        <v>1900</v>
      </c>
      <c r="E105" s="98" t="str">
        <f t="shared" si="9"/>
        <v>4</v>
      </c>
    </row>
    <row r="106" spans="4:5">
      <c r="D106" s="98">
        <f t="shared" si="8"/>
        <v>1900</v>
      </c>
      <c r="E106" s="98" t="str">
        <f t="shared" si="9"/>
        <v>4</v>
      </c>
    </row>
    <row r="107" spans="4:5">
      <c r="D107" s="98">
        <f t="shared" si="8"/>
        <v>1900</v>
      </c>
      <c r="E107" s="98" t="str">
        <f t="shared" si="9"/>
        <v>4</v>
      </c>
    </row>
    <row r="108" spans="4:5">
      <c r="D108" s="98">
        <f t="shared" si="8"/>
        <v>1900</v>
      </c>
      <c r="E108" s="98" t="str">
        <f t="shared" si="9"/>
        <v>4</v>
      </c>
    </row>
    <row r="109" spans="4:5">
      <c r="D109" s="98">
        <f t="shared" si="8"/>
        <v>1900</v>
      </c>
      <c r="E109" s="98" t="str">
        <f t="shared" si="9"/>
        <v>4</v>
      </c>
    </row>
    <row r="110" spans="4:5">
      <c r="D110" s="98">
        <f t="shared" si="8"/>
        <v>1900</v>
      </c>
      <c r="E110" s="98" t="str">
        <f t="shared" si="9"/>
        <v>4</v>
      </c>
    </row>
    <row r="111" spans="4:5">
      <c r="D111" s="98">
        <f t="shared" si="8"/>
        <v>1900</v>
      </c>
      <c r="E111" s="98" t="str">
        <f t="shared" si="9"/>
        <v>4</v>
      </c>
    </row>
    <row r="112" spans="4:5">
      <c r="D112" s="98">
        <f t="shared" si="8"/>
        <v>1900</v>
      </c>
      <c r="E112" s="98" t="str">
        <f t="shared" si="9"/>
        <v>4</v>
      </c>
    </row>
    <row r="113" spans="4:5">
      <c r="D113" s="98">
        <f t="shared" si="8"/>
        <v>1900</v>
      </c>
      <c r="E113" s="98" t="str">
        <f t="shared" si="9"/>
        <v>4</v>
      </c>
    </row>
    <row r="114" spans="4:5">
      <c r="D114" s="98">
        <f t="shared" si="8"/>
        <v>1900</v>
      </c>
      <c r="E114" s="98" t="str">
        <f t="shared" si="9"/>
        <v>4</v>
      </c>
    </row>
    <row r="115" spans="4:5">
      <c r="D115" s="98">
        <f t="shared" si="8"/>
        <v>1900</v>
      </c>
      <c r="E115" s="98" t="str">
        <f t="shared" si="9"/>
        <v>4</v>
      </c>
    </row>
    <row r="116" spans="4:5">
      <c r="D116" s="98">
        <f t="shared" si="8"/>
        <v>1900</v>
      </c>
      <c r="E116" s="98" t="str">
        <f t="shared" si="9"/>
        <v>4</v>
      </c>
    </row>
    <row r="117" spans="4:5">
      <c r="D117" s="98">
        <f t="shared" si="8"/>
        <v>1900</v>
      </c>
      <c r="E117" s="98" t="str">
        <f t="shared" si="9"/>
        <v>4</v>
      </c>
    </row>
    <row r="118" spans="4:5">
      <c r="D118" s="98">
        <f t="shared" si="8"/>
        <v>1900</v>
      </c>
      <c r="E118" s="98" t="str">
        <f t="shared" si="9"/>
        <v>4</v>
      </c>
    </row>
    <row r="119" spans="4:5">
      <c r="D119" s="98">
        <f t="shared" si="8"/>
        <v>1900</v>
      </c>
      <c r="E119" s="98" t="str">
        <f t="shared" si="9"/>
        <v>4</v>
      </c>
    </row>
    <row r="120" spans="4:5">
      <c r="D120" s="98">
        <f t="shared" si="8"/>
        <v>1900</v>
      </c>
      <c r="E120" s="98" t="str">
        <f t="shared" si="9"/>
        <v>4</v>
      </c>
    </row>
    <row r="121" spans="4:5">
      <c r="D121" s="98">
        <f t="shared" si="8"/>
        <v>1900</v>
      </c>
      <c r="E121" s="98" t="str">
        <f t="shared" si="9"/>
        <v>4</v>
      </c>
    </row>
    <row r="122" spans="4:5">
      <c r="D122" s="98">
        <f t="shared" si="8"/>
        <v>1900</v>
      </c>
      <c r="E122" s="98" t="str">
        <f t="shared" si="9"/>
        <v>4</v>
      </c>
    </row>
    <row r="123" spans="4:5">
      <c r="D123" s="98">
        <f t="shared" si="8"/>
        <v>1900</v>
      </c>
      <c r="E123" s="98" t="str">
        <f t="shared" si="9"/>
        <v>4</v>
      </c>
    </row>
    <row r="124" spans="4:5">
      <c r="D124" s="98">
        <f t="shared" si="8"/>
        <v>1900</v>
      </c>
      <c r="E124" s="98" t="str">
        <f t="shared" si="9"/>
        <v>4</v>
      </c>
    </row>
    <row r="125" spans="4:5">
      <c r="D125" s="98">
        <f t="shared" si="8"/>
        <v>1900</v>
      </c>
      <c r="E125" s="98" t="str">
        <f t="shared" si="9"/>
        <v>4</v>
      </c>
    </row>
    <row r="126" spans="4:5">
      <c r="D126" s="98">
        <f t="shared" si="8"/>
        <v>1900</v>
      </c>
      <c r="E126" s="98" t="str">
        <f t="shared" si="9"/>
        <v>4</v>
      </c>
    </row>
    <row r="127" spans="4:5">
      <c r="D127" s="98">
        <f t="shared" si="8"/>
        <v>1900</v>
      </c>
      <c r="E127" s="98" t="str">
        <f t="shared" si="9"/>
        <v>4</v>
      </c>
    </row>
    <row r="128" spans="4:5">
      <c r="D128" s="98">
        <f t="shared" si="8"/>
        <v>1900</v>
      </c>
      <c r="E128" s="98" t="str">
        <f t="shared" si="9"/>
        <v>4</v>
      </c>
    </row>
    <row r="129" spans="4:5">
      <c r="D129" s="98">
        <f t="shared" si="8"/>
        <v>1900</v>
      </c>
      <c r="E129" s="98" t="str">
        <f t="shared" si="9"/>
        <v>4</v>
      </c>
    </row>
    <row r="130" spans="4:5">
      <c r="D130" s="98">
        <f t="shared" si="8"/>
        <v>1900</v>
      </c>
      <c r="E130" s="98" t="str">
        <f t="shared" si="9"/>
        <v>4</v>
      </c>
    </row>
    <row r="131" spans="4:5">
      <c r="D131" s="98">
        <f t="shared" si="8"/>
        <v>1900</v>
      </c>
      <c r="E131" s="98" t="str">
        <f t="shared" si="9"/>
        <v>4</v>
      </c>
    </row>
    <row r="132" spans="4:5">
      <c r="D132" s="98">
        <f t="shared" si="8"/>
        <v>1900</v>
      </c>
      <c r="E132" s="98" t="str">
        <f t="shared" si="9"/>
        <v>4</v>
      </c>
    </row>
    <row r="133" spans="4:5">
      <c r="D133" s="98">
        <f t="shared" si="8"/>
        <v>1900</v>
      </c>
      <c r="E133" s="98" t="str">
        <f t="shared" si="9"/>
        <v>4</v>
      </c>
    </row>
    <row r="134" spans="4:5">
      <c r="D134" s="98">
        <f t="shared" si="8"/>
        <v>1900</v>
      </c>
      <c r="E134" s="98" t="str">
        <f t="shared" si="9"/>
        <v>4</v>
      </c>
    </row>
    <row r="135" spans="4:5">
      <c r="D135" s="98">
        <f t="shared" si="8"/>
        <v>1900</v>
      </c>
      <c r="E135" s="98" t="str">
        <f t="shared" si="9"/>
        <v>4</v>
      </c>
    </row>
    <row r="136" spans="4:5">
      <c r="D136" s="98">
        <f t="shared" si="8"/>
        <v>1900</v>
      </c>
      <c r="E136" s="98" t="str">
        <f t="shared" si="9"/>
        <v>4</v>
      </c>
    </row>
    <row r="137" spans="4:5">
      <c r="D137" s="98">
        <f t="shared" si="8"/>
        <v>1900</v>
      </c>
      <c r="E137" s="98" t="str">
        <f t="shared" si="9"/>
        <v>4</v>
      </c>
    </row>
    <row r="138" spans="4:5">
      <c r="D138" s="98">
        <f t="shared" si="8"/>
        <v>1900</v>
      </c>
      <c r="E138" s="98" t="str">
        <f t="shared" si="9"/>
        <v>4</v>
      </c>
    </row>
    <row r="139" spans="4:5">
      <c r="D139" s="98">
        <f t="shared" si="8"/>
        <v>1900</v>
      </c>
      <c r="E139" s="98" t="str">
        <f t="shared" si="9"/>
        <v>4</v>
      </c>
    </row>
    <row r="140" spans="4:5">
      <c r="D140" s="98">
        <f t="shared" ref="D140:D203" si="10">YEAR(A140)</f>
        <v>1900</v>
      </c>
      <c r="E140" s="98" t="str">
        <f t="shared" ref="E140:E203" si="11">IF(MONTH(A140)=3,"1",IF(MONTH(A140)=6,"2",IF(MONTH(A140)=9,"3","4")))</f>
        <v>4</v>
      </c>
    </row>
    <row r="141" spans="4:5">
      <c r="D141" s="98">
        <f t="shared" si="10"/>
        <v>1900</v>
      </c>
      <c r="E141" s="98" t="str">
        <f t="shared" si="11"/>
        <v>4</v>
      </c>
    </row>
    <row r="142" spans="4:5">
      <c r="D142" s="98">
        <f t="shared" si="10"/>
        <v>1900</v>
      </c>
      <c r="E142" s="98" t="str">
        <f t="shared" si="11"/>
        <v>4</v>
      </c>
    </row>
    <row r="143" spans="4:5">
      <c r="D143" s="98">
        <f t="shared" si="10"/>
        <v>1900</v>
      </c>
      <c r="E143" s="98" t="str">
        <f t="shared" si="11"/>
        <v>4</v>
      </c>
    </row>
    <row r="144" spans="4:5">
      <c r="D144" s="98">
        <f t="shared" si="10"/>
        <v>1900</v>
      </c>
      <c r="E144" s="98" t="str">
        <f t="shared" si="11"/>
        <v>4</v>
      </c>
    </row>
    <row r="145" spans="4:5">
      <c r="D145" s="98">
        <f t="shared" si="10"/>
        <v>1900</v>
      </c>
      <c r="E145" s="98" t="str">
        <f t="shared" si="11"/>
        <v>4</v>
      </c>
    </row>
    <row r="146" spans="4:5">
      <c r="D146" s="98">
        <f t="shared" si="10"/>
        <v>1900</v>
      </c>
      <c r="E146" s="98" t="str">
        <f t="shared" si="11"/>
        <v>4</v>
      </c>
    </row>
    <row r="147" spans="4:5">
      <c r="D147" s="98">
        <f t="shared" si="10"/>
        <v>1900</v>
      </c>
      <c r="E147" s="98" t="str">
        <f t="shared" si="11"/>
        <v>4</v>
      </c>
    </row>
    <row r="148" spans="4:5">
      <c r="D148" s="98">
        <f t="shared" si="10"/>
        <v>1900</v>
      </c>
      <c r="E148" s="98" t="str">
        <f t="shared" si="11"/>
        <v>4</v>
      </c>
    </row>
    <row r="149" spans="4:5">
      <c r="D149" s="98">
        <f t="shared" si="10"/>
        <v>1900</v>
      </c>
      <c r="E149" s="98" t="str">
        <f t="shared" si="11"/>
        <v>4</v>
      </c>
    </row>
    <row r="150" spans="4:5">
      <c r="D150" s="98">
        <f t="shared" si="10"/>
        <v>1900</v>
      </c>
      <c r="E150" s="98" t="str">
        <f t="shared" si="11"/>
        <v>4</v>
      </c>
    </row>
    <row r="151" spans="4:5">
      <c r="D151" s="98">
        <f t="shared" si="10"/>
        <v>1900</v>
      </c>
      <c r="E151" s="98" t="str">
        <f t="shared" si="11"/>
        <v>4</v>
      </c>
    </row>
    <row r="152" spans="4:5">
      <c r="D152" s="98">
        <f t="shared" si="10"/>
        <v>1900</v>
      </c>
      <c r="E152" s="98" t="str">
        <f t="shared" si="11"/>
        <v>4</v>
      </c>
    </row>
    <row r="153" spans="4:5">
      <c r="D153" s="98">
        <f t="shared" si="10"/>
        <v>1900</v>
      </c>
      <c r="E153" s="98" t="str">
        <f t="shared" si="11"/>
        <v>4</v>
      </c>
    </row>
    <row r="154" spans="4:5">
      <c r="D154" s="98">
        <f t="shared" si="10"/>
        <v>1900</v>
      </c>
      <c r="E154" s="98" t="str">
        <f t="shared" si="11"/>
        <v>4</v>
      </c>
    </row>
    <row r="155" spans="4:5">
      <c r="D155" s="98">
        <f t="shared" si="10"/>
        <v>1900</v>
      </c>
      <c r="E155" s="98" t="str">
        <f t="shared" si="11"/>
        <v>4</v>
      </c>
    </row>
    <row r="156" spans="4:5">
      <c r="D156" s="98">
        <f t="shared" si="10"/>
        <v>1900</v>
      </c>
      <c r="E156" s="98" t="str">
        <f t="shared" si="11"/>
        <v>4</v>
      </c>
    </row>
    <row r="157" spans="4:5">
      <c r="D157" s="98">
        <f t="shared" si="10"/>
        <v>1900</v>
      </c>
      <c r="E157" s="98" t="str">
        <f t="shared" si="11"/>
        <v>4</v>
      </c>
    </row>
    <row r="158" spans="4:5">
      <c r="D158" s="98">
        <f t="shared" si="10"/>
        <v>1900</v>
      </c>
      <c r="E158" s="98" t="str">
        <f t="shared" si="11"/>
        <v>4</v>
      </c>
    </row>
    <row r="159" spans="4:5">
      <c r="D159" s="98">
        <f t="shared" si="10"/>
        <v>1900</v>
      </c>
      <c r="E159" s="98" t="str">
        <f t="shared" si="11"/>
        <v>4</v>
      </c>
    </row>
    <row r="160" spans="4:5">
      <c r="D160" s="98">
        <f t="shared" si="10"/>
        <v>1900</v>
      </c>
      <c r="E160" s="98" t="str">
        <f t="shared" si="11"/>
        <v>4</v>
      </c>
    </row>
    <row r="161" spans="4:5">
      <c r="D161" s="98">
        <f t="shared" si="10"/>
        <v>1900</v>
      </c>
      <c r="E161" s="98" t="str">
        <f t="shared" si="11"/>
        <v>4</v>
      </c>
    </row>
    <row r="162" spans="4:5">
      <c r="D162" s="98">
        <f t="shared" si="10"/>
        <v>1900</v>
      </c>
      <c r="E162" s="98" t="str">
        <f t="shared" si="11"/>
        <v>4</v>
      </c>
    </row>
    <row r="163" spans="4:5">
      <c r="D163" s="98">
        <f t="shared" si="10"/>
        <v>1900</v>
      </c>
      <c r="E163" s="98" t="str">
        <f t="shared" si="11"/>
        <v>4</v>
      </c>
    </row>
    <row r="164" spans="4:5">
      <c r="D164" s="98">
        <f t="shared" si="10"/>
        <v>1900</v>
      </c>
      <c r="E164" s="98" t="str">
        <f t="shared" si="11"/>
        <v>4</v>
      </c>
    </row>
    <row r="165" spans="4:5">
      <c r="D165" s="98">
        <f t="shared" si="10"/>
        <v>1900</v>
      </c>
      <c r="E165" s="98" t="str">
        <f t="shared" si="11"/>
        <v>4</v>
      </c>
    </row>
    <row r="166" spans="4:5">
      <c r="D166" s="98">
        <f t="shared" si="10"/>
        <v>1900</v>
      </c>
      <c r="E166" s="98" t="str">
        <f t="shared" si="11"/>
        <v>4</v>
      </c>
    </row>
    <row r="167" spans="4:5">
      <c r="D167" s="98">
        <f t="shared" si="10"/>
        <v>1900</v>
      </c>
      <c r="E167" s="98" t="str">
        <f t="shared" si="11"/>
        <v>4</v>
      </c>
    </row>
    <row r="168" spans="4:5">
      <c r="D168" s="98">
        <f t="shared" si="10"/>
        <v>1900</v>
      </c>
      <c r="E168" s="98" t="str">
        <f t="shared" si="11"/>
        <v>4</v>
      </c>
    </row>
    <row r="169" spans="4:5">
      <c r="D169" s="98">
        <f t="shared" si="10"/>
        <v>1900</v>
      </c>
      <c r="E169" s="98" t="str">
        <f t="shared" si="11"/>
        <v>4</v>
      </c>
    </row>
    <row r="170" spans="4:5">
      <c r="D170" s="98">
        <f t="shared" si="10"/>
        <v>1900</v>
      </c>
      <c r="E170" s="98" t="str">
        <f t="shared" si="11"/>
        <v>4</v>
      </c>
    </row>
    <row r="171" spans="4:5">
      <c r="D171" s="98">
        <f t="shared" si="10"/>
        <v>1900</v>
      </c>
      <c r="E171" s="98" t="str">
        <f t="shared" si="11"/>
        <v>4</v>
      </c>
    </row>
    <row r="172" spans="4:5">
      <c r="D172" s="98">
        <f t="shared" si="10"/>
        <v>1900</v>
      </c>
      <c r="E172" s="98" t="str">
        <f t="shared" si="11"/>
        <v>4</v>
      </c>
    </row>
    <row r="173" spans="4:5">
      <c r="D173" s="98">
        <f t="shared" si="10"/>
        <v>1900</v>
      </c>
      <c r="E173" s="98" t="str">
        <f t="shared" si="11"/>
        <v>4</v>
      </c>
    </row>
    <row r="174" spans="4:5">
      <c r="D174" s="98">
        <f t="shared" si="10"/>
        <v>1900</v>
      </c>
      <c r="E174" s="98" t="str">
        <f t="shared" si="11"/>
        <v>4</v>
      </c>
    </row>
    <row r="175" spans="4:5">
      <c r="D175" s="98">
        <f t="shared" si="10"/>
        <v>1900</v>
      </c>
      <c r="E175" s="98" t="str">
        <f t="shared" si="11"/>
        <v>4</v>
      </c>
    </row>
    <row r="176" spans="4:5">
      <c r="D176" s="98">
        <f t="shared" si="10"/>
        <v>1900</v>
      </c>
      <c r="E176" s="98" t="str">
        <f t="shared" si="11"/>
        <v>4</v>
      </c>
    </row>
    <row r="177" spans="4:5">
      <c r="D177" s="98">
        <f t="shared" si="10"/>
        <v>1900</v>
      </c>
      <c r="E177" s="98" t="str">
        <f t="shared" si="11"/>
        <v>4</v>
      </c>
    </row>
    <row r="178" spans="4:5">
      <c r="D178" s="98">
        <f t="shared" si="10"/>
        <v>1900</v>
      </c>
      <c r="E178" s="98" t="str">
        <f t="shared" si="11"/>
        <v>4</v>
      </c>
    </row>
    <row r="179" spans="4:5">
      <c r="D179" s="98">
        <f t="shared" si="10"/>
        <v>1900</v>
      </c>
      <c r="E179" s="98" t="str">
        <f t="shared" si="11"/>
        <v>4</v>
      </c>
    </row>
    <row r="180" spans="4:5">
      <c r="D180" s="98">
        <f t="shared" si="10"/>
        <v>1900</v>
      </c>
      <c r="E180" s="98" t="str">
        <f t="shared" si="11"/>
        <v>4</v>
      </c>
    </row>
    <row r="181" spans="4:5">
      <c r="D181" s="98">
        <f t="shared" si="10"/>
        <v>1900</v>
      </c>
      <c r="E181" s="98" t="str">
        <f t="shared" si="11"/>
        <v>4</v>
      </c>
    </row>
    <row r="182" spans="4:5">
      <c r="D182" s="98">
        <f t="shared" si="10"/>
        <v>1900</v>
      </c>
      <c r="E182" s="98" t="str">
        <f t="shared" si="11"/>
        <v>4</v>
      </c>
    </row>
    <row r="183" spans="4:5">
      <c r="D183" s="98">
        <f t="shared" si="10"/>
        <v>1900</v>
      </c>
      <c r="E183" s="98" t="str">
        <f t="shared" si="11"/>
        <v>4</v>
      </c>
    </row>
    <row r="184" spans="4:5">
      <c r="D184" s="98">
        <f t="shared" si="10"/>
        <v>1900</v>
      </c>
      <c r="E184" s="98" t="str">
        <f t="shared" si="11"/>
        <v>4</v>
      </c>
    </row>
    <row r="185" spans="4:5">
      <c r="D185" s="98">
        <f t="shared" si="10"/>
        <v>1900</v>
      </c>
      <c r="E185" s="98" t="str">
        <f t="shared" si="11"/>
        <v>4</v>
      </c>
    </row>
    <row r="186" spans="4:5">
      <c r="D186" s="98">
        <f t="shared" si="10"/>
        <v>1900</v>
      </c>
      <c r="E186" s="98" t="str">
        <f t="shared" si="11"/>
        <v>4</v>
      </c>
    </row>
    <row r="187" spans="4:5">
      <c r="D187" s="98">
        <f t="shared" si="10"/>
        <v>1900</v>
      </c>
      <c r="E187" s="98" t="str">
        <f t="shared" si="11"/>
        <v>4</v>
      </c>
    </row>
    <row r="188" spans="4:5">
      <c r="D188" s="98">
        <f t="shared" si="10"/>
        <v>1900</v>
      </c>
      <c r="E188" s="98" t="str">
        <f t="shared" si="11"/>
        <v>4</v>
      </c>
    </row>
    <row r="189" spans="4:5">
      <c r="D189" s="98">
        <f t="shared" si="10"/>
        <v>1900</v>
      </c>
      <c r="E189" s="98" t="str">
        <f t="shared" si="11"/>
        <v>4</v>
      </c>
    </row>
    <row r="190" spans="4:5">
      <c r="D190" s="98">
        <f t="shared" si="10"/>
        <v>1900</v>
      </c>
      <c r="E190" s="98" t="str">
        <f t="shared" si="11"/>
        <v>4</v>
      </c>
    </row>
    <row r="191" spans="4:5">
      <c r="D191" s="98">
        <f t="shared" si="10"/>
        <v>1900</v>
      </c>
      <c r="E191" s="98" t="str">
        <f t="shared" si="11"/>
        <v>4</v>
      </c>
    </row>
    <row r="192" spans="4:5">
      <c r="D192" s="98">
        <f t="shared" si="10"/>
        <v>1900</v>
      </c>
      <c r="E192" s="98" t="str">
        <f t="shared" si="11"/>
        <v>4</v>
      </c>
    </row>
    <row r="193" spans="4:5">
      <c r="D193" s="98">
        <f t="shared" si="10"/>
        <v>1900</v>
      </c>
      <c r="E193" s="98" t="str">
        <f t="shared" si="11"/>
        <v>4</v>
      </c>
    </row>
    <row r="194" spans="4:5">
      <c r="D194" s="98">
        <f t="shared" si="10"/>
        <v>1900</v>
      </c>
      <c r="E194" s="98" t="str">
        <f t="shared" si="11"/>
        <v>4</v>
      </c>
    </row>
    <row r="195" spans="4:5">
      <c r="D195" s="98">
        <f t="shared" si="10"/>
        <v>1900</v>
      </c>
      <c r="E195" s="98" t="str">
        <f t="shared" si="11"/>
        <v>4</v>
      </c>
    </row>
    <row r="196" spans="4:5">
      <c r="D196" s="98">
        <f t="shared" si="10"/>
        <v>1900</v>
      </c>
      <c r="E196" s="98" t="str">
        <f t="shared" si="11"/>
        <v>4</v>
      </c>
    </row>
    <row r="197" spans="4:5">
      <c r="D197" s="98">
        <f t="shared" si="10"/>
        <v>1900</v>
      </c>
      <c r="E197" s="98" t="str">
        <f t="shared" si="11"/>
        <v>4</v>
      </c>
    </row>
    <row r="198" spans="4:5">
      <c r="D198" s="98">
        <f t="shared" si="10"/>
        <v>1900</v>
      </c>
      <c r="E198" s="98" t="str">
        <f t="shared" si="11"/>
        <v>4</v>
      </c>
    </row>
    <row r="199" spans="4:5">
      <c r="D199" s="98">
        <f t="shared" si="10"/>
        <v>1900</v>
      </c>
      <c r="E199" s="98" t="str">
        <f t="shared" si="11"/>
        <v>4</v>
      </c>
    </row>
    <row r="200" spans="4:5">
      <c r="D200" s="98">
        <f t="shared" si="10"/>
        <v>1900</v>
      </c>
      <c r="E200" s="98" t="str">
        <f t="shared" si="11"/>
        <v>4</v>
      </c>
    </row>
    <row r="201" spans="4:5">
      <c r="D201" s="98">
        <f t="shared" si="10"/>
        <v>1900</v>
      </c>
      <c r="E201" s="98" t="str">
        <f t="shared" si="11"/>
        <v>4</v>
      </c>
    </row>
    <row r="202" spans="4:5">
      <c r="D202" s="98">
        <f t="shared" si="10"/>
        <v>1900</v>
      </c>
      <c r="E202" s="98" t="str">
        <f t="shared" si="11"/>
        <v>4</v>
      </c>
    </row>
    <row r="203" spans="4:5">
      <c r="D203" s="98">
        <f t="shared" si="10"/>
        <v>1900</v>
      </c>
      <c r="E203" s="98" t="str">
        <f t="shared" si="11"/>
        <v>4</v>
      </c>
    </row>
    <row r="204" spans="4:5">
      <c r="D204" s="98">
        <f t="shared" ref="D204:D253" si="12">YEAR(A204)</f>
        <v>1900</v>
      </c>
      <c r="E204" s="98" t="str">
        <f t="shared" ref="E204:E253" si="13">IF(MONTH(A204)=3,"1",IF(MONTH(A204)=6,"2",IF(MONTH(A204)=9,"3","4")))</f>
        <v>4</v>
      </c>
    </row>
    <row r="205" spans="4:5">
      <c r="D205" s="98">
        <f t="shared" si="12"/>
        <v>1900</v>
      </c>
      <c r="E205" s="98" t="str">
        <f t="shared" si="13"/>
        <v>4</v>
      </c>
    </row>
    <row r="206" spans="4:5">
      <c r="D206" s="98">
        <f t="shared" si="12"/>
        <v>1900</v>
      </c>
      <c r="E206" s="98" t="str">
        <f t="shared" si="13"/>
        <v>4</v>
      </c>
    </row>
    <row r="207" spans="4:5">
      <c r="D207" s="98">
        <f t="shared" si="12"/>
        <v>1900</v>
      </c>
      <c r="E207" s="98" t="str">
        <f t="shared" si="13"/>
        <v>4</v>
      </c>
    </row>
    <row r="208" spans="4:5">
      <c r="D208" s="98">
        <f t="shared" si="12"/>
        <v>1900</v>
      </c>
      <c r="E208" s="98" t="str">
        <f t="shared" si="13"/>
        <v>4</v>
      </c>
    </row>
    <row r="209" spans="4:5">
      <c r="D209" s="98">
        <f t="shared" si="12"/>
        <v>1900</v>
      </c>
      <c r="E209" s="98" t="str">
        <f t="shared" si="13"/>
        <v>4</v>
      </c>
    </row>
    <row r="210" spans="4:5">
      <c r="D210" s="98">
        <f t="shared" si="12"/>
        <v>1900</v>
      </c>
      <c r="E210" s="98" t="str">
        <f t="shared" si="13"/>
        <v>4</v>
      </c>
    </row>
    <row r="211" spans="4:5">
      <c r="D211" s="98">
        <f t="shared" si="12"/>
        <v>1900</v>
      </c>
      <c r="E211" s="98" t="str">
        <f t="shared" si="13"/>
        <v>4</v>
      </c>
    </row>
    <row r="212" spans="4:5">
      <c r="D212" s="98">
        <f t="shared" si="12"/>
        <v>1900</v>
      </c>
      <c r="E212" s="98" t="str">
        <f t="shared" si="13"/>
        <v>4</v>
      </c>
    </row>
    <row r="213" spans="4:5">
      <c r="D213" s="98">
        <f t="shared" si="12"/>
        <v>1900</v>
      </c>
      <c r="E213" s="98" t="str">
        <f t="shared" si="13"/>
        <v>4</v>
      </c>
    </row>
    <row r="214" spans="4:5">
      <c r="D214" s="98">
        <f t="shared" si="12"/>
        <v>1900</v>
      </c>
      <c r="E214" s="98" t="str">
        <f t="shared" si="13"/>
        <v>4</v>
      </c>
    </row>
    <row r="215" spans="4:5">
      <c r="D215" s="98">
        <f t="shared" si="12"/>
        <v>1900</v>
      </c>
      <c r="E215" s="98" t="str">
        <f t="shared" si="13"/>
        <v>4</v>
      </c>
    </row>
    <row r="216" spans="4:5">
      <c r="D216" s="98">
        <f t="shared" si="12"/>
        <v>1900</v>
      </c>
      <c r="E216" s="98" t="str">
        <f t="shared" si="13"/>
        <v>4</v>
      </c>
    </row>
    <row r="217" spans="4:5">
      <c r="D217" s="98">
        <f t="shared" si="12"/>
        <v>1900</v>
      </c>
      <c r="E217" s="98" t="str">
        <f t="shared" si="13"/>
        <v>4</v>
      </c>
    </row>
    <row r="218" spans="4:5">
      <c r="D218" s="98">
        <f t="shared" si="12"/>
        <v>1900</v>
      </c>
      <c r="E218" s="98" t="str">
        <f t="shared" si="13"/>
        <v>4</v>
      </c>
    </row>
    <row r="219" spans="4:5">
      <c r="D219" s="98">
        <f t="shared" si="12"/>
        <v>1900</v>
      </c>
      <c r="E219" s="98" t="str">
        <f t="shared" si="13"/>
        <v>4</v>
      </c>
    </row>
    <row r="220" spans="4:5">
      <c r="D220" s="98">
        <f t="shared" si="12"/>
        <v>1900</v>
      </c>
      <c r="E220" s="98" t="str">
        <f t="shared" si="13"/>
        <v>4</v>
      </c>
    </row>
    <row r="221" spans="4:5">
      <c r="D221" s="98">
        <f t="shared" si="12"/>
        <v>1900</v>
      </c>
      <c r="E221" s="98" t="str">
        <f t="shared" si="13"/>
        <v>4</v>
      </c>
    </row>
    <row r="222" spans="4:5">
      <c r="D222" s="98">
        <f t="shared" si="12"/>
        <v>1900</v>
      </c>
      <c r="E222" s="98" t="str">
        <f t="shared" si="13"/>
        <v>4</v>
      </c>
    </row>
    <row r="223" spans="4:5">
      <c r="D223" s="98">
        <f t="shared" si="12"/>
        <v>1900</v>
      </c>
      <c r="E223" s="98" t="str">
        <f t="shared" si="13"/>
        <v>4</v>
      </c>
    </row>
    <row r="224" spans="4:5">
      <c r="D224" s="98">
        <f t="shared" si="12"/>
        <v>1900</v>
      </c>
      <c r="E224" s="98" t="str">
        <f t="shared" si="13"/>
        <v>4</v>
      </c>
    </row>
    <row r="225" spans="4:5">
      <c r="D225" s="98">
        <f t="shared" si="12"/>
        <v>1900</v>
      </c>
      <c r="E225" s="98" t="str">
        <f t="shared" si="13"/>
        <v>4</v>
      </c>
    </row>
    <row r="226" spans="4:5">
      <c r="D226" s="98">
        <f t="shared" si="12"/>
        <v>1900</v>
      </c>
      <c r="E226" s="98" t="str">
        <f t="shared" si="13"/>
        <v>4</v>
      </c>
    </row>
    <row r="227" spans="4:5">
      <c r="D227" s="98">
        <f t="shared" si="12"/>
        <v>1900</v>
      </c>
      <c r="E227" s="98" t="str">
        <f t="shared" si="13"/>
        <v>4</v>
      </c>
    </row>
    <row r="228" spans="4:5">
      <c r="D228" s="98">
        <f t="shared" si="12"/>
        <v>1900</v>
      </c>
      <c r="E228" s="98" t="str">
        <f t="shared" si="13"/>
        <v>4</v>
      </c>
    </row>
    <row r="229" spans="4:5">
      <c r="D229" s="98">
        <f t="shared" si="12"/>
        <v>1900</v>
      </c>
      <c r="E229" s="98" t="str">
        <f t="shared" si="13"/>
        <v>4</v>
      </c>
    </row>
    <row r="230" spans="4:5">
      <c r="D230" s="98">
        <f t="shared" si="12"/>
        <v>1900</v>
      </c>
      <c r="E230" s="98" t="str">
        <f t="shared" si="13"/>
        <v>4</v>
      </c>
    </row>
    <row r="231" spans="4:5">
      <c r="D231" s="98">
        <f t="shared" si="12"/>
        <v>1900</v>
      </c>
      <c r="E231" s="98" t="str">
        <f t="shared" si="13"/>
        <v>4</v>
      </c>
    </row>
    <row r="232" spans="4:5">
      <c r="D232" s="98">
        <f t="shared" si="12"/>
        <v>1900</v>
      </c>
      <c r="E232" s="98" t="str">
        <f t="shared" si="13"/>
        <v>4</v>
      </c>
    </row>
    <row r="233" spans="4:5">
      <c r="D233" s="98">
        <f t="shared" si="12"/>
        <v>1900</v>
      </c>
      <c r="E233" s="98" t="str">
        <f t="shared" si="13"/>
        <v>4</v>
      </c>
    </row>
    <row r="234" spans="4:5">
      <c r="D234" s="98">
        <f t="shared" si="12"/>
        <v>1900</v>
      </c>
      <c r="E234" s="98" t="str">
        <f t="shared" si="13"/>
        <v>4</v>
      </c>
    </row>
    <row r="235" spans="4:5">
      <c r="D235" s="98">
        <f t="shared" si="12"/>
        <v>1900</v>
      </c>
      <c r="E235" s="98" t="str">
        <f t="shared" si="13"/>
        <v>4</v>
      </c>
    </row>
    <row r="236" spans="4:5">
      <c r="D236" s="98">
        <f t="shared" si="12"/>
        <v>1900</v>
      </c>
      <c r="E236" s="98" t="str">
        <f t="shared" si="13"/>
        <v>4</v>
      </c>
    </row>
    <row r="237" spans="4:5">
      <c r="D237" s="98">
        <f t="shared" si="12"/>
        <v>1900</v>
      </c>
      <c r="E237" s="98" t="str">
        <f t="shared" si="13"/>
        <v>4</v>
      </c>
    </row>
    <row r="238" spans="4:5">
      <c r="D238" s="98">
        <f t="shared" si="12"/>
        <v>1900</v>
      </c>
      <c r="E238" s="98" t="str">
        <f t="shared" si="13"/>
        <v>4</v>
      </c>
    </row>
    <row r="239" spans="4:5">
      <c r="D239" s="98">
        <f t="shared" si="12"/>
        <v>1900</v>
      </c>
      <c r="E239" s="98" t="str">
        <f t="shared" si="13"/>
        <v>4</v>
      </c>
    </row>
    <row r="240" spans="4:5">
      <c r="D240" s="98">
        <f t="shared" si="12"/>
        <v>1900</v>
      </c>
      <c r="E240" s="98" t="str">
        <f t="shared" si="13"/>
        <v>4</v>
      </c>
    </row>
    <row r="241" spans="4:5">
      <c r="D241" s="98">
        <f t="shared" si="12"/>
        <v>1900</v>
      </c>
      <c r="E241" s="98" t="str">
        <f t="shared" si="13"/>
        <v>4</v>
      </c>
    </row>
    <row r="242" spans="4:5">
      <c r="D242" s="98">
        <f t="shared" si="12"/>
        <v>1900</v>
      </c>
      <c r="E242" s="98" t="str">
        <f t="shared" si="13"/>
        <v>4</v>
      </c>
    </row>
    <row r="243" spans="4:5">
      <c r="D243" s="98">
        <f t="shared" si="12"/>
        <v>1900</v>
      </c>
      <c r="E243" s="98" t="str">
        <f t="shared" si="13"/>
        <v>4</v>
      </c>
    </row>
    <row r="244" spans="4:5">
      <c r="D244" s="98">
        <f t="shared" si="12"/>
        <v>1900</v>
      </c>
      <c r="E244" s="98" t="str">
        <f t="shared" si="13"/>
        <v>4</v>
      </c>
    </row>
    <row r="245" spans="4:5">
      <c r="D245" s="98">
        <f t="shared" si="12"/>
        <v>1900</v>
      </c>
      <c r="E245" s="98" t="str">
        <f t="shared" si="13"/>
        <v>4</v>
      </c>
    </row>
    <row r="246" spans="4:5">
      <c r="D246" s="98">
        <f t="shared" si="12"/>
        <v>1900</v>
      </c>
      <c r="E246" s="98" t="str">
        <f t="shared" si="13"/>
        <v>4</v>
      </c>
    </row>
    <row r="247" spans="4:5">
      <c r="D247" s="98">
        <f t="shared" si="12"/>
        <v>1900</v>
      </c>
      <c r="E247" s="98" t="str">
        <f t="shared" si="13"/>
        <v>4</v>
      </c>
    </row>
    <row r="248" spans="4:5">
      <c r="D248" s="98">
        <f t="shared" si="12"/>
        <v>1900</v>
      </c>
      <c r="E248" s="98" t="str">
        <f t="shared" si="13"/>
        <v>4</v>
      </c>
    </row>
    <row r="249" spans="4:5">
      <c r="D249" s="98">
        <f t="shared" si="12"/>
        <v>1900</v>
      </c>
      <c r="E249" s="98" t="str">
        <f t="shared" si="13"/>
        <v>4</v>
      </c>
    </row>
    <row r="250" spans="4:5">
      <c r="D250" s="98">
        <f t="shared" si="12"/>
        <v>1900</v>
      </c>
      <c r="E250" s="98" t="str">
        <f t="shared" si="13"/>
        <v>4</v>
      </c>
    </row>
    <row r="251" spans="4:5">
      <c r="D251" s="98">
        <f t="shared" si="12"/>
        <v>1900</v>
      </c>
      <c r="E251" s="98" t="str">
        <f t="shared" si="13"/>
        <v>4</v>
      </c>
    </row>
    <row r="252" spans="4:5">
      <c r="D252" s="98">
        <f t="shared" si="12"/>
        <v>1900</v>
      </c>
      <c r="E252" s="98" t="str">
        <f t="shared" si="13"/>
        <v>4</v>
      </c>
    </row>
    <row r="253" spans="4:5">
      <c r="D253" s="98">
        <f t="shared" si="12"/>
        <v>1900</v>
      </c>
      <c r="E253" s="98" t="str">
        <f t="shared" si="13"/>
        <v>4</v>
      </c>
    </row>
  </sheetData>
  <mergeCells count="6">
    <mergeCell ref="P25:R25"/>
    <mergeCell ref="A6:E6"/>
    <mergeCell ref="P8:R8"/>
    <mergeCell ref="P7:R7"/>
    <mergeCell ref="Q24:R24"/>
    <mergeCell ref="A7:C7"/>
  </mergeCells>
  <dataValidations count="2">
    <dataValidation type="list" allowBlank="1" showInputMessage="1" showErrorMessage="1" sqref="Q24">
      <formula1>$A$1:$A$2</formula1>
    </dataValidation>
    <dataValidation type="list" allowBlank="1" showInputMessage="1" showErrorMessage="1" sqref="Q23">
      <formula1>$B$1:$B$2</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15"/>
  <sheetViews>
    <sheetView showGridLines="0" workbookViewId="0">
      <selection activeCell="I13" sqref="I13:L13"/>
    </sheetView>
  </sheetViews>
  <sheetFormatPr defaultRowHeight="15"/>
  <cols>
    <col min="1" max="1" width="17.7109375" style="386" customWidth="1"/>
    <col min="2" max="2" width="44" style="386" customWidth="1"/>
    <col min="3" max="8" width="9.140625" style="386"/>
    <col min="9" max="9" width="13.28515625" style="386" bestFit="1" customWidth="1"/>
    <col min="10" max="11" width="9.140625" style="386"/>
    <col min="12" max="12" width="14" style="386" customWidth="1"/>
    <col min="13" max="16384" width="9.140625" style="386"/>
  </cols>
  <sheetData>
    <row r="1" spans="1:25">
      <c r="Y1" s="420" t="s">
        <v>510</v>
      </c>
    </row>
    <row r="2" spans="1:25">
      <c r="Y2" s="420" t="s">
        <v>511</v>
      </c>
    </row>
    <row r="3" spans="1:25">
      <c r="Y3" s="420" t="s">
        <v>512</v>
      </c>
    </row>
    <row r="4" spans="1:25">
      <c r="Y4" s="420" t="s">
        <v>511</v>
      </c>
    </row>
    <row r="8" spans="1:25" ht="15.75" thickBot="1"/>
    <row r="9" spans="1:25" ht="15.75" thickBot="1">
      <c r="A9" s="6"/>
      <c r="H9" s="1942" t="s">
        <v>506</v>
      </c>
      <c r="I9" s="1943"/>
      <c r="J9" s="1943"/>
      <c r="K9" s="1943"/>
      <c r="L9" s="1944"/>
    </row>
    <row r="10" spans="1:25" ht="15.75" thickBot="1">
      <c r="H10" s="1945" t="s">
        <v>510</v>
      </c>
      <c r="I10" s="1946"/>
      <c r="J10" s="1946"/>
      <c r="K10" s="1946"/>
      <c r="L10" s="1947"/>
    </row>
    <row r="11" spans="1:25">
      <c r="H11" s="1948" t="s">
        <v>513</v>
      </c>
      <c r="I11" s="1948"/>
      <c r="J11" s="1948"/>
      <c r="K11" s="1948"/>
      <c r="L11" s="1948"/>
    </row>
    <row r="12" spans="1:25" ht="15.75" thickBot="1">
      <c r="A12" s="6"/>
    </row>
    <row r="13" spans="1:25" ht="15.75" thickBot="1">
      <c r="H13" s="9" t="s">
        <v>383</v>
      </c>
      <c r="I13" s="1949" t="s">
        <v>510</v>
      </c>
      <c r="J13" s="1949"/>
      <c r="K13" s="1949"/>
      <c r="L13" s="1950"/>
    </row>
    <row r="15" spans="1:25">
      <c r="H15" s="1951" t="s">
        <v>512</v>
      </c>
      <c r="I15" s="1952"/>
      <c r="J15" s="1952"/>
      <c r="K15" s="1952"/>
      <c r="L15" s="1952"/>
    </row>
  </sheetData>
  <mergeCells count="5">
    <mergeCell ref="H9:L9"/>
    <mergeCell ref="H10:L10"/>
    <mergeCell ref="H11:L11"/>
    <mergeCell ref="I13:L13"/>
    <mergeCell ref="H15:L15"/>
  </mergeCells>
  <dataValidations count="2">
    <dataValidation type="list" allowBlank="1" showInputMessage="1" showErrorMessage="1" promptTitle="Select a Display Factor:" prompt="Clicking here will bring up a message describing the selections you can make." sqref="H15:L15">
      <formula1>$Y$3:$Y$4</formula1>
    </dataValidation>
    <dataValidation type="list" allowBlank="1" showInputMessage="1" showErrorMessage="1" promptTitle="Select a Display Factor:" prompt="Clicking here will bring up a message describing the selections you can make." sqref="H10:L10 I13:L13">
      <formula1>$Y$1:$Y$2</formula1>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71"/>
  </sheetPr>
  <dimension ref="A1:AB69"/>
  <sheetViews>
    <sheetView showGridLines="0" zoomScaleNormal="100" workbookViewId="0">
      <selection activeCell="L57" sqref="L57:W57"/>
    </sheetView>
  </sheetViews>
  <sheetFormatPr defaultRowHeight="15"/>
  <cols>
    <col min="1" max="1" width="8" style="459" bestFit="1" customWidth="1"/>
    <col min="2" max="3" width="23.42578125" style="459" customWidth="1"/>
    <col min="4" max="4" width="14" style="573" customWidth="1"/>
    <col min="5" max="6" width="7.85546875" style="459" hidden="1" customWidth="1"/>
    <col min="7" max="7" width="7.85546875" style="459" customWidth="1"/>
    <col min="8" max="8" width="19.7109375" style="459" customWidth="1"/>
    <col min="9" max="9" width="23.42578125" style="459" bestFit="1" customWidth="1"/>
    <col min="10" max="10" width="23.42578125" style="535" hidden="1" customWidth="1"/>
    <col min="11" max="11" width="9.140625" style="459" hidden="1" customWidth="1"/>
    <col min="12" max="12" width="19.7109375" style="459" customWidth="1"/>
    <col min="13" max="13" width="19.7109375" style="535" customWidth="1"/>
    <col min="14" max="14" width="9.140625" style="459" customWidth="1"/>
    <col min="15" max="15" width="9.140625" style="535" customWidth="1"/>
    <col min="16" max="16384" width="9.140625" style="459"/>
  </cols>
  <sheetData>
    <row r="1" spans="1:28">
      <c r="AB1" s="342" t="s">
        <v>463</v>
      </c>
    </row>
    <row r="2" spans="1:28">
      <c r="AB2" s="342" t="s">
        <v>464</v>
      </c>
    </row>
    <row r="3" spans="1:28" s="492" customFormat="1">
      <c r="D3" s="573"/>
      <c r="J3" s="535"/>
      <c r="M3" s="535"/>
      <c r="O3" s="535"/>
      <c r="AB3" s="342"/>
    </row>
    <row r="5" spans="1:28">
      <c r="H5" s="343"/>
    </row>
    <row r="6" spans="1:28">
      <c r="A6" s="1981" t="s">
        <v>695</v>
      </c>
      <c r="B6" s="1981"/>
      <c r="C6" s="1981"/>
      <c r="D6" s="583"/>
      <c r="E6" s="373"/>
      <c r="G6" s="1981" t="s">
        <v>694</v>
      </c>
      <c r="H6" s="1981"/>
      <c r="I6" s="1981"/>
      <c r="J6" s="591"/>
      <c r="M6" s="538"/>
    </row>
    <row r="7" spans="1:28" ht="15.75" thickBot="1">
      <c r="A7" s="1988" t="s">
        <v>703</v>
      </c>
      <c r="B7" s="1988"/>
      <c r="C7" s="1988"/>
      <c r="D7" s="584"/>
      <c r="E7" s="373"/>
      <c r="G7" s="1988" t="str">
        <f>G25</f>
        <v>Historic Financial Year</v>
      </c>
      <c r="H7" s="1988"/>
      <c r="I7" s="1988"/>
      <c r="J7" s="592"/>
      <c r="M7" s="538"/>
    </row>
    <row r="8" spans="1:28">
      <c r="A8" s="484"/>
      <c r="B8" s="485" t="s">
        <v>575</v>
      </c>
      <c r="C8" s="552" t="s">
        <v>536</v>
      </c>
      <c r="D8" s="95"/>
      <c r="E8" s="373"/>
      <c r="F8" s="373"/>
      <c r="G8" s="484"/>
      <c r="H8" s="485" t="s">
        <v>575</v>
      </c>
      <c r="I8" s="552" t="s">
        <v>536</v>
      </c>
      <c r="J8" s="102"/>
      <c r="M8" s="459"/>
      <c r="O8" s="459"/>
    </row>
    <row r="9" spans="1:28">
      <c r="A9" s="1413" t="s">
        <v>44</v>
      </c>
      <c r="B9" s="1420" t="s">
        <v>683</v>
      </c>
      <c r="C9" s="1421" t="s">
        <v>683</v>
      </c>
      <c r="D9" s="95"/>
      <c r="E9" s="373"/>
      <c r="F9" s="373"/>
      <c r="G9" s="1414" t="s">
        <v>41</v>
      </c>
      <c r="H9" s="1420" t="s">
        <v>683</v>
      </c>
      <c r="I9" s="1421" t="s">
        <v>683</v>
      </c>
      <c r="J9" s="459"/>
      <c r="M9" s="459"/>
      <c r="O9" s="459"/>
    </row>
    <row r="10" spans="1:28">
      <c r="A10" s="1016">
        <f>LARGE('Commodity Prices'!C$159:C$902,60)</f>
        <v>42552</v>
      </c>
      <c r="B10" s="1017">
        <f>SUMIF('Commodity Prices'!$C$159:$C$902,$A10,'Commodity Prices'!V$159:V$902)</f>
        <v>31772.784374804603</v>
      </c>
      <c r="C10" s="937"/>
      <c r="D10" s="18"/>
      <c r="E10" s="373">
        <v>2012</v>
      </c>
      <c r="F10" s="373">
        <f>E10+1</f>
        <v>2013</v>
      </c>
      <c r="G10" s="931" t="str">
        <f>IF($G$7="Historic Calendar Year",2012,CONCATENATE(E10,"-",RIGHT(F10,2)))</f>
        <v>2012-13</v>
      </c>
      <c r="H10" s="780">
        <f t="array" ref="H10">IF($G$7="Historic Calendar Year",IFERROR(AVERAGE(IF($G10=YEAR('Commodity Prices'!C$100:C$1000),'Commodity Prices'!W$100:W$1000)),"N/A"),IFERROR(IF(J10=0,"N/A",J10),"N/A"))</f>
        <v>6684.4612017716236</v>
      </c>
      <c r="I10" s="1423"/>
      <c r="J10" s="459">
        <f>(SUMIFS('Commodity Prices'!$V$9:$V$2500,'Commodity Prices'!$A$9:$A$2500,E10,'Commodity Prices'!$B$9:$B$2500,3)+
SUMIFS('Commodity Prices'!$V$9:$V$2500,'Commodity Prices'!$A$9:$A$2500,E10,'Commodity Prices'!$B$9:$B$2500,4)+
SUMIFS('Commodity Prices'!$V$9:$V$2500,'Commodity Prices'!$A$9:$A$2500,F10,'Commodity Prices'!$B$9:$B$2500,1)+
SUMIFS('Commodity Prices'!$V$9:$V$2500,'Commodity Prices'!$A$9:$A$2500,F10,'Commodity Prices'!$B$9:$B$2500,2))
/(COUNTIFS('Commodity Prices'!$A$9:$A$2500,E10,'Commodity Prices'!$B$9:$B$2500,3)+
COUNTIFS('Commodity Prices'!$A$9:$A$2500,E10,'Commodity Prices'!$B$9:$B$2500,4)+
COUNTIFS('Commodity Prices'!$A$9:$A$2500,F10,'Commodity Prices'!$B$9:$B$2500,1)+
COUNTIFS('Commodity Prices'!$A$9:$A$2500,F10,'Commodity Prices'!$B$9:$B$2500,2))</f>
        <v>6684.4612017716236</v>
      </c>
      <c r="K10" s="535">
        <f>(SUMIFS('Commodity Prices'!$W$9:$W$2500,'Commodity Prices'!$A$9:$A$2500,E10,'Commodity Prices'!$B$9:$B$2500,3)+
SUMIFS('Commodity Prices'!$W$9:$W$2500,'Commodity Prices'!$A$9:$A$2500,E10,'Commodity Prices'!$B$9:$B$2500,4)+
SUMIFS('Commodity Prices'!$W$9:$W$2500,'Commodity Prices'!$A$9:$A$2500,F10,'Commodity Prices'!$B$9:$B$2500,1)+
SUMIFS('Commodity Prices'!$W$9:$W$2500,'Commodity Prices'!$A$9:$A$2500,F10,'Commodity Prices'!$B$9:$B$2500,2))
/(COUNTIFS('Commodity Prices'!$A$9:$A$2500,E10,'Commodity Prices'!$B$9:$B$2500,3)+
COUNTIFS('Commodity Prices'!$A$9:$A$2500,E10,'Commodity Prices'!$B$9:$B$2500,4)+
COUNTIFS('Commodity Prices'!$A$9:$A$2500,F10,'Commodity Prices'!$B$9:$B$2500,1)+
COUNTIFS('Commodity Prices'!$A$9:$A$2500,F10,'Commodity Prices'!$B$9:$B$2500,2))</f>
        <v>0</v>
      </c>
      <c r="M10" s="459"/>
      <c r="O10" s="459"/>
    </row>
    <row r="11" spans="1:28">
      <c r="A11" s="1016">
        <f>LARGE('Commodity Prices'!C$159:C$902,59)</f>
        <v>42583</v>
      </c>
      <c r="B11" s="880">
        <f>SUMIF('Commodity Prices'!$C$159:$C$902,$A11,'Commodity Prices'!V$159:V$902)</f>
        <v>31236.982724255471</v>
      </c>
      <c r="C11" s="724"/>
      <c r="D11" s="18"/>
      <c r="E11" s="373">
        <f t="shared" ref="E11:F11" si="0">E10+1</f>
        <v>2013</v>
      </c>
      <c r="F11" s="373">
        <f t="shared" si="0"/>
        <v>2014</v>
      </c>
      <c r="G11" s="936" t="str">
        <f t="shared" ref="G11:G18" si="1">IF($G$7="Historic Calendar Year",G10+1,CONCATENATE(E11,"-",RIGHT(F11,2)))</f>
        <v>2013-14</v>
      </c>
      <c r="H11" s="1422">
        <f t="array" ref="H11">IF($G$7="Historic Calendar Year",IFERROR(AVERAGE(IF($G11=YEAR('Commodity Prices'!C$100:C$1000),'Commodity Prices'!V$100:V$1000)),"N/A"),IFERROR(IF(J11=0,"N/A",J11),"N/A"))</f>
        <v>7339.6579158074246</v>
      </c>
      <c r="I11" s="937"/>
      <c r="J11" s="459">
        <f>(SUMIFS('Commodity Prices'!$V$9:$V$2500,'Commodity Prices'!$A$9:$A$2500,E11,'Commodity Prices'!$B$9:$B$2500,3)+
SUMIFS('Commodity Prices'!$V$9:$V$2500,'Commodity Prices'!$A$9:$A$2500,E11,'Commodity Prices'!$B$9:$B$2500,4)+
SUMIFS('Commodity Prices'!$V$9:$V$2500,'Commodity Prices'!$A$9:$A$2500,F11,'Commodity Prices'!$B$9:$B$2500,1)+
SUMIFS('Commodity Prices'!$V$9:$V$2500,'Commodity Prices'!$A$9:$A$2500,F11,'Commodity Prices'!$B$9:$B$2500,2))
/(COUNTIFS('Commodity Prices'!$A$9:$A$2500,E11,'Commodity Prices'!$B$9:$B$2500,3)+
COUNTIFS('Commodity Prices'!$A$9:$A$2500,E11,'Commodity Prices'!$B$9:$B$2500,4)+
COUNTIFS('Commodity Prices'!$A$9:$A$2500,F11,'Commodity Prices'!$B$9:$B$2500,1)+
COUNTIFS('Commodity Prices'!$A$9:$A$2500,F11,'Commodity Prices'!$B$9:$B$2500,2))</f>
        <v>7339.6579158074246</v>
      </c>
      <c r="K11" s="535">
        <f>(SUMIFS('Commodity Prices'!$W$9:$W$2500,'Commodity Prices'!$A$9:$A$2500,E11,'Commodity Prices'!$B$9:$B$2500,3)+
SUMIFS('Commodity Prices'!$W$9:$W$2500,'Commodity Prices'!$A$9:$A$2500,E11,'Commodity Prices'!$B$9:$B$2500,4)+
SUMIFS('Commodity Prices'!$W$9:$W$2500,'Commodity Prices'!$A$9:$A$2500,F11,'Commodity Prices'!$B$9:$B$2500,1)+
SUMIFS('Commodity Prices'!$W$9:$W$2500,'Commodity Prices'!$A$9:$A$2500,F11,'Commodity Prices'!$B$9:$B$2500,2))
/(COUNTIFS('Commodity Prices'!$A$9:$A$2500,E11,'Commodity Prices'!$B$9:$B$2500,3)+
COUNTIFS('Commodity Prices'!$A$9:$A$2500,E11,'Commodity Prices'!$B$9:$B$2500,4)+
COUNTIFS('Commodity Prices'!$A$9:$A$2500,F11,'Commodity Prices'!$B$9:$B$2500,1)+
COUNTIFS('Commodity Prices'!$A$9:$A$2500,F11,'Commodity Prices'!$B$9:$B$2500,2))</f>
        <v>0</v>
      </c>
      <c r="M11" s="459"/>
      <c r="O11" s="459"/>
    </row>
    <row r="12" spans="1:28">
      <c r="A12" s="1016">
        <f>LARGE('Commodity Prices'!C$159:C$902,58)</f>
        <v>42614</v>
      </c>
      <c r="B12" s="1017">
        <f>SUMIF('Commodity Prices'!$C$159:$C$902,$A12,'Commodity Prices'!V$159:V$902)</f>
        <v>31107.406002190342</v>
      </c>
      <c r="C12" s="937"/>
      <c r="D12" s="18"/>
      <c r="E12" s="373">
        <f t="shared" ref="E12:F21" si="2">E11+1</f>
        <v>2014</v>
      </c>
      <c r="F12" s="373">
        <f t="shared" si="2"/>
        <v>2015</v>
      </c>
      <c r="G12" s="931" t="str">
        <f t="shared" si="1"/>
        <v>2014-15</v>
      </c>
      <c r="H12" s="780">
        <f t="array" ref="H12">IF($G$7="Historic Calendar Year",IFERROR(AVERAGE(IF($G12=YEAR('Commodity Prices'!C$100:C$1000),'Commodity Prices'!V$100:V$1000)),"N/A"),IFERROR(IF(J12=0,"N/A",J12),"N/A"))</f>
        <v>8308.5057034873953</v>
      </c>
      <c r="I12" s="724"/>
      <c r="J12" s="459">
        <f>(SUMIFS('Commodity Prices'!$V$9:$V$2500,'Commodity Prices'!$A$9:$A$2500,E12,'Commodity Prices'!$B$9:$B$2500,3)+
SUMIFS('Commodity Prices'!$V$9:$V$2500,'Commodity Prices'!$A$9:$A$2500,E12,'Commodity Prices'!$B$9:$B$2500,4)+
SUMIFS('Commodity Prices'!$V$9:$V$2500,'Commodity Prices'!$A$9:$A$2500,F12,'Commodity Prices'!$B$9:$B$2500,1)+
SUMIFS('Commodity Prices'!$V$9:$V$2500,'Commodity Prices'!$A$9:$A$2500,F12,'Commodity Prices'!$B$9:$B$2500,2))
/(COUNTIFS('Commodity Prices'!$A$9:$A$2500,E12,'Commodity Prices'!$B$9:$B$2500,3)+
COUNTIFS('Commodity Prices'!$A$9:$A$2500,E12,'Commodity Prices'!$B$9:$B$2500,4)+
COUNTIFS('Commodity Prices'!$A$9:$A$2500,F12,'Commodity Prices'!$B$9:$B$2500,1)+
COUNTIFS('Commodity Prices'!$A$9:$A$2500,F12,'Commodity Prices'!$B$9:$B$2500,2))</f>
        <v>8308.5057034873953</v>
      </c>
      <c r="K12" s="535">
        <f>(SUMIFS('Commodity Prices'!$W$9:$W$2500,'Commodity Prices'!$A$9:$A$2500,E12,'Commodity Prices'!$B$9:$B$2500,3)+
SUMIFS('Commodity Prices'!$W$9:$W$2500,'Commodity Prices'!$A$9:$A$2500,E12,'Commodity Prices'!$B$9:$B$2500,4)+
SUMIFS('Commodity Prices'!$W$9:$W$2500,'Commodity Prices'!$A$9:$A$2500,F12,'Commodity Prices'!$B$9:$B$2500,1)+
SUMIFS('Commodity Prices'!$W$9:$W$2500,'Commodity Prices'!$A$9:$A$2500,F12,'Commodity Prices'!$B$9:$B$2500,2))
/(COUNTIFS('Commodity Prices'!$A$9:$A$2500,E12,'Commodity Prices'!$B$9:$B$2500,3)+
COUNTIFS('Commodity Prices'!$A$9:$A$2500,E12,'Commodity Prices'!$B$9:$B$2500,4)+
COUNTIFS('Commodity Prices'!$A$9:$A$2500,F12,'Commodity Prices'!$B$9:$B$2500,1)+
COUNTIFS('Commodity Prices'!$A$9:$A$2500,F12,'Commodity Prices'!$B$9:$B$2500,2))</f>
        <v>0</v>
      </c>
      <c r="M12" s="459"/>
      <c r="O12" s="459"/>
    </row>
    <row r="13" spans="1:28">
      <c r="A13" s="1016">
        <f>LARGE('Commodity Prices'!C$159:C$902,57)</f>
        <v>42644</v>
      </c>
      <c r="B13" s="880">
        <f>SUMIF('Commodity Prices'!$C$159:$C$902,$A13,'Commodity Prices'!V$159:V$902)</f>
        <v>30635.27369370688</v>
      </c>
      <c r="C13" s="724"/>
      <c r="D13" s="18"/>
      <c r="E13" s="373">
        <f t="shared" si="2"/>
        <v>2015</v>
      </c>
      <c r="F13" s="373">
        <f t="shared" si="2"/>
        <v>2016</v>
      </c>
      <c r="G13" s="936" t="str">
        <f t="shared" si="1"/>
        <v>2015-16</v>
      </c>
      <c r="H13" s="1422">
        <f t="array" ref="H13">IF($G$7="Historic Calendar Year",IFERROR(AVERAGE(IF($G13=YEAR('Commodity Prices'!C$100:C$1000),'Commodity Prices'!V$100:V$1000)),"N/A"),IFERROR(IF(J13=0,"N/A",J13),"N/A"))</f>
        <v>21919.628411655431</v>
      </c>
      <c r="I13" s="937"/>
      <c r="J13" s="459">
        <f>(SUMIFS('Commodity Prices'!$V$9:$V$2500,'Commodity Prices'!$A$9:$A$2500,E13,'Commodity Prices'!$B$9:$B$2500,3)+
SUMIFS('Commodity Prices'!$V$9:$V$2500,'Commodity Prices'!$A$9:$A$2500,E13,'Commodity Prices'!$B$9:$B$2500,4)+
SUMIFS('Commodity Prices'!$V$9:$V$2500,'Commodity Prices'!$A$9:$A$2500,F13,'Commodity Prices'!$B$9:$B$2500,1)+
SUMIFS('Commodity Prices'!$V$9:$V$2500,'Commodity Prices'!$A$9:$A$2500,F13,'Commodity Prices'!$B$9:$B$2500,2))
/(COUNTIFS('Commodity Prices'!$A$9:$A$2500,E13,'Commodity Prices'!$B$9:$B$2500,3)+
COUNTIFS('Commodity Prices'!$A$9:$A$2500,E13,'Commodity Prices'!$B$9:$B$2500,4)+
COUNTIFS('Commodity Prices'!$A$9:$A$2500,F13,'Commodity Prices'!$B$9:$B$2500,1)+
COUNTIFS('Commodity Prices'!$A$9:$A$2500,F13,'Commodity Prices'!$B$9:$B$2500,2))</f>
        <v>21919.628411655431</v>
      </c>
      <c r="K13" s="535">
        <f>(SUMIFS('Commodity Prices'!$W$9:$W$2500,'Commodity Prices'!$A$9:$A$2500,E13,'Commodity Prices'!$B$9:$B$2500,3)+
SUMIFS('Commodity Prices'!$W$9:$W$2500,'Commodity Prices'!$A$9:$A$2500,E13,'Commodity Prices'!$B$9:$B$2500,4)+
SUMIFS('Commodity Prices'!$W$9:$W$2500,'Commodity Prices'!$A$9:$A$2500,F13,'Commodity Prices'!$B$9:$B$2500,1)+
SUMIFS('Commodity Prices'!$W$9:$W$2500,'Commodity Prices'!$A$9:$A$2500,F13,'Commodity Prices'!$B$9:$B$2500,2))
/(COUNTIFS('Commodity Prices'!$A$9:$A$2500,E13,'Commodity Prices'!$B$9:$B$2500,3)+
COUNTIFS('Commodity Prices'!$A$9:$A$2500,E13,'Commodity Prices'!$B$9:$B$2500,4)+
COUNTIFS('Commodity Prices'!$A$9:$A$2500,F13,'Commodity Prices'!$B$9:$B$2500,1)+
COUNTIFS('Commodity Prices'!$A$9:$A$2500,F13,'Commodity Prices'!$B$9:$B$2500,2))</f>
        <v>0</v>
      </c>
      <c r="M13" s="459"/>
      <c r="O13" s="459"/>
    </row>
    <row r="14" spans="1:28">
      <c r="A14" s="1016">
        <f>LARGE('Commodity Prices'!C$159:C$902,56)</f>
        <v>42675</v>
      </c>
      <c r="B14" s="1017">
        <f>SUMIF('Commodity Prices'!$C$159:$C$902,$A14,'Commodity Prices'!V$159:V$902)</f>
        <v>29782.53545770916</v>
      </c>
      <c r="C14" s="937"/>
      <c r="D14" s="18"/>
      <c r="E14" s="373">
        <f t="shared" si="2"/>
        <v>2016</v>
      </c>
      <c r="F14" s="373">
        <f t="shared" si="2"/>
        <v>2017</v>
      </c>
      <c r="G14" s="936" t="str">
        <f t="shared" si="1"/>
        <v>2016-17</v>
      </c>
      <c r="H14" s="780">
        <f t="array" ref="H14">IF($G$7="Historic Calendar Year",IFERROR(AVERAGE(IF($G14=YEAR('Commodity Prices'!C$100:C$1000),'Commodity Prices'!V$100:V$1000)),"N/A"),IFERROR(IF(J14=0,"N/A",J14),"N/A"))</f>
        <v>28951.808033693265</v>
      </c>
      <c r="I14" s="724"/>
      <c r="J14" s="459">
        <f>(SUMIFS('Commodity Prices'!$V$9:$V$2500,'Commodity Prices'!$A$9:$A$2500,E14,'Commodity Prices'!$B$9:$B$2500,3)+
SUMIFS('Commodity Prices'!$V$9:$V$2500,'Commodity Prices'!$A$9:$A$2500,E14,'Commodity Prices'!$B$9:$B$2500,4)+
SUMIFS('Commodity Prices'!$V$9:$V$2500,'Commodity Prices'!$A$9:$A$2500,F14,'Commodity Prices'!$B$9:$B$2500,1)+
SUMIFS('Commodity Prices'!$V$9:$V$2500,'Commodity Prices'!$A$9:$A$2500,F14,'Commodity Prices'!$B$9:$B$2500,2))
/(COUNTIFS('Commodity Prices'!$A$9:$A$2500,E14,'Commodity Prices'!$B$9:$B$2500,3)+
COUNTIFS('Commodity Prices'!$A$9:$A$2500,E14,'Commodity Prices'!$B$9:$B$2500,4)+
COUNTIFS('Commodity Prices'!$A$9:$A$2500,F14,'Commodity Prices'!$B$9:$B$2500,1)+
COUNTIFS('Commodity Prices'!$A$9:$A$2500,F14,'Commodity Prices'!$B$9:$B$2500,2))</f>
        <v>28951.808033693265</v>
      </c>
      <c r="K14" s="535">
        <f>(SUMIFS('Commodity Prices'!$W$9:$W$2500,'Commodity Prices'!$A$9:$A$2500,E14,'Commodity Prices'!$B$9:$B$2500,3)+
SUMIFS('Commodity Prices'!$W$9:$W$2500,'Commodity Prices'!$A$9:$A$2500,E14,'Commodity Prices'!$B$9:$B$2500,4)+
SUMIFS('Commodity Prices'!$W$9:$W$2500,'Commodity Prices'!$A$9:$A$2500,F14,'Commodity Prices'!$B$9:$B$2500,1)+
SUMIFS('Commodity Prices'!$W$9:$W$2500,'Commodity Prices'!$A$9:$A$2500,F14,'Commodity Prices'!$B$9:$B$2500,2))
/(COUNTIFS('Commodity Prices'!$A$9:$A$2500,E14,'Commodity Prices'!$B$9:$B$2500,3)+
COUNTIFS('Commodity Prices'!$A$9:$A$2500,E14,'Commodity Prices'!$B$9:$B$2500,4)+
COUNTIFS('Commodity Prices'!$A$9:$A$2500,F14,'Commodity Prices'!$B$9:$B$2500,1)+
COUNTIFS('Commodity Prices'!$A$9:$A$2500,F14,'Commodity Prices'!$B$9:$B$2500,2))</f>
        <v>0</v>
      </c>
      <c r="M14" s="459"/>
      <c r="O14" s="459"/>
    </row>
    <row r="15" spans="1:28">
      <c r="A15" s="1016">
        <f>LARGE('Commodity Prices'!C$159:C$902,55)</f>
        <v>42705</v>
      </c>
      <c r="B15" s="880">
        <f>SUMIF('Commodity Prices'!$C$159:$C$902,$A15,'Commodity Prices'!V$159:V$902)</f>
        <v>30155.384594243897</v>
      </c>
      <c r="C15" s="724"/>
      <c r="D15" s="18"/>
      <c r="E15" s="373">
        <f t="shared" si="2"/>
        <v>2017</v>
      </c>
      <c r="F15" s="373">
        <f t="shared" si="2"/>
        <v>2018</v>
      </c>
      <c r="G15" s="936" t="str">
        <f t="shared" si="1"/>
        <v>2017-18</v>
      </c>
      <c r="H15" s="1422">
        <f t="array" ref="H15">IF($G$7="Historic Calendar Year",IFERROR(AVERAGE(IF($G15=YEAR('Commodity Prices'!C$100:C$1000),'Commodity Prices'!V$100:V$1000)),"N/A"),IFERROR(IF(J15=0,"N/A",J15),"N/A"))</f>
        <v>27707.464578312512</v>
      </c>
      <c r="I15" s="937"/>
      <c r="J15" s="459">
        <f>(SUMIFS('Commodity Prices'!$V$9:$V$2500,'Commodity Prices'!$A$9:$A$2500,E15,'Commodity Prices'!$B$9:$B$2500,3)+
SUMIFS('Commodity Prices'!$V$9:$V$2500,'Commodity Prices'!$A$9:$A$2500,E15,'Commodity Prices'!$B$9:$B$2500,4)+
SUMIFS('Commodity Prices'!$V$9:$V$2500,'Commodity Prices'!$A$9:$A$2500,F15,'Commodity Prices'!$B$9:$B$2500,1)+
SUMIFS('Commodity Prices'!$V$9:$V$2500,'Commodity Prices'!$A$9:$A$2500,F15,'Commodity Prices'!$B$9:$B$2500,2))
/(COUNTIFS('Commodity Prices'!$A$9:$A$2500,E15,'Commodity Prices'!$B$9:$B$2500,3)+
COUNTIFS('Commodity Prices'!$A$9:$A$2500,E15,'Commodity Prices'!$B$9:$B$2500,4)+
COUNTIFS('Commodity Prices'!$A$9:$A$2500,F15,'Commodity Prices'!$B$9:$B$2500,1)+
COUNTIFS('Commodity Prices'!$A$9:$A$2500,F15,'Commodity Prices'!$B$9:$B$2500,2))</f>
        <v>27707.464578312512</v>
      </c>
      <c r="K15" s="535">
        <f>(SUMIFS('Commodity Prices'!$W$9:$W$2500,'Commodity Prices'!$A$9:$A$2500,E15,'Commodity Prices'!$B$9:$B$2500,3)+
SUMIFS('Commodity Prices'!$W$9:$W$2500,'Commodity Prices'!$A$9:$A$2500,E15,'Commodity Prices'!$B$9:$B$2500,4)+
SUMIFS('Commodity Prices'!$W$9:$W$2500,'Commodity Prices'!$A$9:$A$2500,F15,'Commodity Prices'!$B$9:$B$2500,1)+
SUMIFS('Commodity Prices'!$W$9:$W$2500,'Commodity Prices'!$A$9:$A$2500,F15,'Commodity Prices'!$B$9:$B$2500,2))
/(COUNTIFS('Commodity Prices'!$A$9:$A$2500,E15,'Commodity Prices'!$B$9:$B$2500,3)+
COUNTIFS('Commodity Prices'!$A$9:$A$2500,E15,'Commodity Prices'!$B$9:$B$2500,4)+
COUNTIFS('Commodity Prices'!$A$9:$A$2500,F15,'Commodity Prices'!$B$9:$B$2500,1)+
COUNTIFS('Commodity Prices'!$A$9:$A$2500,F15,'Commodity Prices'!$B$9:$B$2500,2))</f>
        <v>618.06495359026633</v>
      </c>
      <c r="M15" s="459"/>
      <c r="O15" s="459"/>
    </row>
    <row r="16" spans="1:28">
      <c r="A16" s="1016">
        <f>LARGE('Commodity Prices'!C$159:C$902,54)</f>
        <v>42736</v>
      </c>
      <c r="B16" s="1017">
        <f>SUMIF('Commodity Prices'!$C$159:$C$902,$A16,'Commodity Prices'!V$159:V$902)</f>
        <v>27899.47047746514</v>
      </c>
      <c r="C16" s="937"/>
      <c r="D16" s="18"/>
      <c r="E16" s="373">
        <f t="shared" si="2"/>
        <v>2018</v>
      </c>
      <c r="F16" s="373">
        <f t="shared" si="2"/>
        <v>2019</v>
      </c>
      <c r="G16" s="936" t="str">
        <f t="shared" si="1"/>
        <v>2018-19</v>
      </c>
      <c r="H16" s="780">
        <f t="array" ref="H16">IF($G$7="Historic Calendar Year",IFERROR(AVERAGE(IF($G16=YEAR('Commodity Prices'!C$100:C$1000),'Commodity Prices'!V$100:V$1000)),"N/A"),IFERROR(IF(J16=0,"NA",J16),"NA"))</f>
        <v>19929.085133016622</v>
      </c>
      <c r="I16" s="724">
        <f t="array" ref="I16">IF($G$7="Historic Calendar Year",IFERROR(AVERAGE(IF($G16=YEAR('Commodity Prices'!C$100:C$1000),'Commodity Prices'!W$100:W$1000)),"N/A"),IFERROR(IF(K16=0,"N/A",K16),"N/A"))</f>
        <v>1018.3725172605829</v>
      </c>
      <c r="J16" s="459">
        <f>(SUMIFS('Commodity Prices'!$V$9:$V$2500,'Commodity Prices'!$A$9:$A$2500,E16,'Commodity Prices'!$B$9:$B$2500,3)+
SUMIFS('Commodity Prices'!$V$9:$V$2500,'Commodity Prices'!$A$9:$A$2500,E16,'Commodity Prices'!$B$9:$B$2500,4)+
SUMIFS('Commodity Prices'!$V$9:$V$2500,'Commodity Prices'!$A$9:$A$2500,F16,'Commodity Prices'!$B$9:$B$2500,1)+
SUMIFS('Commodity Prices'!$V$9:$V$2500,'Commodity Prices'!$A$9:$A$2500,F16,'Commodity Prices'!$B$9:$B$2500,2))
/(COUNTIFS('Commodity Prices'!$A$9:$A$2500,E16,'Commodity Prices'!$B$9:$B$2500,3)+
COUNTIFS('Commodity Prices'!$A$9:$A$2500,E16,'Commodity Prices'!$B$9:$B$2500,4)+
COUNTIFS('Commodity Prices'!$A$9:$A$2500,F16,'Commodity Prices'!$B$9:$B$2500,1)+
COUNTIFS('Commodity Prices'!$A$9:$A$2500,F16,'Commodity Prices'!$B$9:$B$2500,2))</f>
        <v>19929.085133016622</v>
      </c>
      <c r="K16" s="535">
        <f>(SUMIFS('Commodity Prices'!$W$9:$W$2500,'Commodity Prices'!$A$9:$A$2500,E16,'Commodity Prices'!$B$9:$B$2500,3)+
SUMIFS('Commodity Prices'!$W$9:$W$2500,'Commodity Prices'!$A$9:$A$2500,E16,'Commodity Prices'!$B$9:$B$2500,4)+
SUMIFS('Commodity Prices'!$W$9:$W$2500,'Commodity Prices'!$A$9:$A$2500,F16,'Commodity Prices'!$B$9:$B$2500,1)+
SUMIFS('Commodity Prices'!$W$9:$W$2500,'Commodity Prices'!$A$9:$A$2500,F16,'Commodity Prices'!$B$9:$B$2500,2))
/(COUNTIFS('Commodity Prices'!$A$9:$A$2500,E16,'Commodity Prices'!$B$9:$B$2500,3)+
COUNTIFS('Commodity Prices'!$A$9:$A$2500,E16,'Commodity Prices'!$B$9:$B$2500,4)+
COUNTIFS('Commodity Prices'!$A$9:$A$2500,F16,'Commodity Prices'!$B$9:$B$2500,1)+
COUNTIFS('Commodity Prices'!$A$9:$A$2500,F16,'Commodity Prices'!$B$9:$B$2500,2))</f>
        <v>1018.3725172605829</v>
      </c>
      <c r="M16" s="459"/>
      <c r="O16" s="459"/>
    </row>
    <row r="17" spans="1:17">
      <c r="A17" s="1016">
        <f>LARGE('Commodity Prices'!C$159:C$902,53)</f>
        <v>42767</v>
      </c>
      <c r="B17" s="880">
        <f>SUMIF('Commodity Prices'!$C$159:$C$902,$A17,'Commodity Prices'!V$159:V$902)</f>
        <v>26466.294367801813</v>
      </c>
      <c r="C17" s="724"/>
      <c r="D17" s="18"/>
      <c r="E17" s="373">
        <f t="shared" si="2"/>
        <v>2019</v>
      </c>
      <c r="F17" s="373">
        <f t="shared" si="2"/>
        <v>2020</v>
      </c>
      <c r="G17" s="936" t="str">
        <f t="shared" si="1"/>
        <v>2019-20</v>
      </c>
      <c r="H17" s="1641">
        <f t="array" ref="H17">IF($G$7="Historic Calendar Year",IFERROR(AVERAGE(IF($G17=YEAR('Commodity Prices'!C$100:C$1000),'Commodity Prices'!V$100:V$1000)),"N/A"),IFERROR(IF(J17=0,"NA",J17),"NA"))</f>
        <v>11568.90885216256</v>
      </c>
      <c r="I17" s="1642">
        <f t="array" ref="I17">IF($G$7="Historic Calendar Year",IFERROR(AVERAGE(IF($G17=YEAR('Commodity Prices'!C$100:C$1000),'Commodity Prices'!W$100:W$1000)),"N/A"),IFERROR(IF(K17=0,"N/A",K17),"N/A"))</f>
        <v>761.53626079314165</v>
      </c>
      <c r="J17" s="459">
        <f>(SUMIFS('Commodity Prices'!$V$9:$V$2500,'Commodity Prices'!$A$9:$A$2500,E17,'Commodity Prices'!$B$9:$B$2500,3)+
SUMIFS('Commodity Prices'!$V$9:$V$2500,'Commodity Prices'!$A$9:$A$2500,E17,'Commodity Prices'!$B$9:$B$2500,4)+
SUMIFS('Commodity Prices'!$V$9:$V$2500,'Commodity Prices'!$A$9:$A$2500,F17,'Commodity Prices'!$B$9:$B$2500,1)+
SUMIFS('Commodity Prices'!$V$9:$V$2500,'Commodity Prices'!$A$9:$A$2500,F17,'Commodity Prices'!$B$9:$B$2500,2))
/(COUNTIFS('Commodity Prices'!$A$9:$A$2500,E17,'Commodity Prices'!$B$9:$B$2500,3)+
COUNTIFS('Commodity Prices'!$A$9:$A$2500,E17,'Commodity Prices'!$B$9:$B$2500,4)+
COUNTIFS('Commodity Prices'!$A$9:$A$2500,F17,'Commodity Prices'!$B$9:$B$2500,1)+
COUNTIFS('Commodity Prices'!$A$9:$A$2500,F17,'Commodity Prices'!$B$9:$B$2500,2))</f>
        <v>11568.90885216256</v>
      </c>
      <c r="K17" s="535">
        <f>(SUMIFS('Commodity Prices'!$W$9:$W$2500,'Commodity Prices'!$A$9:$A$2500,E17,'Commodity Prices'!$B$9:$B$2500,3)+
SUMIFS('Commodity Prices'!$W$9:$W$2500,'Commodity Prices'!$A$9:$A$2500,E17,'Commodity Prices'!$B$9:$B$2500,4)+
SUMIFS('Commodity Prices'!$W$9:$W$2500,'Commodity Prices'!$A$9:$A$2500,F17,'Commodity Prices'!$B$9:$B$2500,1)+
SUMIFS('Commodity Prices'!$W$9:$W$2500,'Commodity Prices'!$A$9:$A$2500,F17,'Commodity Prices'!$B$9:$B$2500,2))
/(COUNTIFS('Commodity Prices'!$A$9:$A$2500,E17,'Commodity Prices'!$B$9:$B$2500,3)+
COUNTIFS('Commodity Prices'!$A$9:$A$2500,E17,'Commodity Prices'!$B$9:$B$2500,4)+
COUNTIFS('Commodity Prices'!$A$9:$A$2500,F17,'Commodity Prices'!$B$9:$B$2500,1)+
COUNTIFS('Commodity Prices'!$A$9:$A$2500,F17,'Commodity Prices'!$B$9:$B$2500,2))</f>
        <v>761.53626079314165</v>
      </c>
      <c r="M17" s="459"/>
      <c r="O17" s="459"/>
    </row>
    <row r="18" spans="1:17" ht="15.75" thickBot="1">
      <c r="A18" s="1016">
        <f>LARGE('Commodity Prices'!C$159:C$902,52)</f>
        <v>42795</v>
      </c>
      <c r="B18" s="1017">
        <f>SUMIF('Commodity Prices'!$C$159:$C$902,$A18,'Commodity Prices'!V$159:V$902)</f>
        <v>26555.367219024934</v>
      </c>
      <c r="C18" s="937"/>
      <c r="D18" s="18"/>
      <c r="E18" s="373">
        <f t="shared" si="2"/>
        <v>2020</v>
      </c>
      <c r="F18" s="373">
        <f t="shared" si="2"/>
        <v>2021</v>
      </c>
      <c r="G18" s="936" t="str">
        <f t="shared" si="1"/>
        <v>2020-21</v>
      </c>
      <c r="H18" s="780">
        <f t="array" ref="H18">IF($G$7="Historic Calendar Year",IFERROR(AVERAGE(IF($G18=YEAR('Commodity Prices'!C$100:C$1000),'Commodity Prices'!V$100:V$1000)),"N/A"),IFERROR(IF(J18=0,"NA",J18),"NA"))</f>
        <v>11169.031607872821</v>
      </c>
      <c r="I18" s="724">
        <f t="array" ref="I18">IF($G$7="Historic Calendar Year",IFERROR(AVERAGE(IF($G18=YEAR('Commodity Prices'!C$100:C$1000),'Commodity Prices'!W$100:W$1000)),"N/A"),IFERROR(IF(K18=0,"N/A",K18),"N/A"))</f>
        <v>639.5956321561988</v>
      </c>
      <c r="J18" s="459">
        <f>(SUMIFS('Commodity Prices'!$V$9:$V$2500,'Commodity Prices'!$A$9:$A$2500,E18,'Commodity Prices'!$B$9:$B$2500,3)+
SUMIFS('Commodity Prices'!$V$9:$V$2500,'Commodity Prices'!$A$9:$A$2500,E18,'Commodity Prices'!$B$9:$B$2500,4)+
SUMIFS('Commodity Prices'!$V$9:$V$2500,'Commodity Prices'!$A$9:$A$2500,F18,'Commodity Prices'!$B$9:$B$2500,1)+
SUMIFS('Commodity Prices'!$V$9:$V$2500,'Commodity Prices'!$A$9:$A$2500,F18,'Commodity Prices'!$B$9:$B$2500,2))
/(COUNTIFS('Commodity Prices'!$A$9:$A$2500,E18,'Commodity Prices'!$B$9:$B$2500,3)+
COUNTIFS('Commodity Prices'!$A$9:$A$2500,E18,'Commodity Prices'!$B$9:$B$2500,4)+
COUNTIFS('Commodity Prices'!$A$9:$A$2500,F18,'Commodity Prices'!$B$9:$B$2500,1)+
COUNTIFS('Commodity Prices'!$A$9:$A$2500,F18,'Commodity Prices'!$B$9:$B$2500,2))</f>
        <v>11169.031607872821</v>
      </c>
      <c r="K18" s="535">
        <f>(SUMIFS('Commodity Prices'!$W$9:$W$2500,'Commodity Prices'!$A$9:$A$2500,E18,'Commodity Prices'!$B$9:$B$2500,3)+
SUMIFS('Commodity Prices'!$W$9:$W$2500,'Commodity Prices'!$A$9:$A$2500,E18,'Commodity Prices'!$B$9:$B$2500,4)+
SUMIFS('Commodity Prices'!$W$9:$W$2500,'Commodity Prices'!$A$9:$A$2500,F18,'Commodity Prices'!$B$9:$B$2500,1)+
SUMIFS('Commodity Prices'!$W$9:$W$2500,'Commodity Prices'!$A$9:$A$2500,F18,'Commodity Prices'!$B$9:$B$2500,2))
/(COUNTIFS('Commodity Prices'!$A$9:$A$2500,E18,'Commodity Prices'!$B$9:$B$2500,3)+
COUNTIFS('Commodity Prices'!$A$9:$A$2500,E18,'Commodity Prices'!$B$9:$B$2500,4)+
COUNTIFS('Commodity Prices'!$A$9:$A$2500,F18,'Commodity Prices'!$B$9:$B$2500,1)+
COUNTIFS('Commodity Prices'!$A$9:$A$2500,F18,'Commodity Prices'!$B$9:$B$2500,2))</f>
        <v>639.5956321561988</v>
      </c>
      <c r="M18" s="459"/>
      <c r="O18" s="459"/>
    </row>
    <row r="19" spans="1:17">
      <c r="A19" s="1016">
        <f>LARGE('Commodity Prices'!C$159:C$902,51)</f>
        <v>42826</v>
      </c>
      <c r="B19" s="880">
        <f>SUMIF('Commodity Prices'!$C$159:$C$902,$A19,'Commodity Prices'!V$159:V$902)</f>
        <v>27066.351940765649</v>
      </c>
      <c r="C19" s="724"/>
      <c r="D19" s="18"/>
      <c r="E19" s="373">
        <f t="shared" si="2"/>
        <v>2021</v>
      </c>
      <c r="F19" s="373">
        <f t="shared" si="2"/>
        <v>2022</v>
      </c>
      <c r="G19" s="782" t="str">
        <f>IF($G$7="Historic Calendar Year",G18+1,CONCATENATE(E18,"-",RIGHT(F18,2)))</f>
        <v>2020-21</v>
      </c>
      <c r="H19" s="938">
        <f t="array" ref="H19">IF($G$7="Historic Calendar Year",IFERROR(AVERAGE(IF($G19=YEAR('Commodity Prices'!C$100:C$1000),'Commodity Prices'!V$100:V$1000)),"N/A"),IFERROR(IF(J18=0,"N/A",J18),"N/A"))</f>
        <v>11169.031607872821</v>
      </c>
      <c r="I19" s="938">
        <f t="array" ref="I19">IF($G$7="Historic Calendar Year",IFERROR(AVERAGE(IF($G19=YEAR('Commodity Prices'!C$100:C$1000),'Commodity Prices'!W$100:W$1000)),"N/A"),IFERROR(IF(K18=0,"N/A",K18),"N/A"))</f>
        <v>639.5956321561988</v>
      </c>
      <c r="J19" s="459" t="e">
        <f>(SUMIFS('Commodity Prices'!$V$9:$V$2500,'Commodity Prices'!$A$9:$A$2500,E19,'Commodity Prices'!$B$9:$B$2500,3)+
SUMIFS('Commodity Prices'!$V$9:$V$2500,'Commodity Prices'!$A$9:$A$2500,E19,'Commodity Prices'!$B$9:$B$2500,4)+
SUMIFS('Commodity Prices'!$V$9:$V$2500,'Commodity Prices'!$A$9:$A$2500,F19,'Commodity Prices'!$B$9:$B$2500,1)+
SUMIFS('Commodity Prices'!$V$9:$V$2500,'Commodity Prices'!$A$9:$A$2500,F19,'Commodity Prices'!$B$9:$B$2500,2))
/(COUNTIFS('Commodity Prices'!$A$9:$A$2500,E19,'Commodity Prices'!$B$9:$B$2500,3)+
COUNTIFS('Commodity Prices'!$A$9:$A$2500,E19,'Commodity Prices'!$B$9:$B$2500,4)+
COUNTIFS('Commodity Prices'!$A$9:$A$2500,F19,'Commodity Prices'!$B$9:$B$2500,1)+
COUNTIFS('Commodity Prices'!$A$9:$A$2500,F19,'Commodity Prices'!$B$9:$B$2500,2))</f>
        <v>#DIV/0!</v>
      </c>
      <c r="K19" s="535" t="e">
        <f>(SUMIFS('Commodity Prices'!$W$9:$W$2500,'Commodity Prices'!$A$9:$A$2500,E19,'Commodity Prices'!$B$9:$B$2500,3)+
SUMIFS('Commodity Prices'!$W$9:$W$2500,'Commodity Prices'!$A$9:$A$2500,E19,'Commodity Prices'!$B$9:$B$2500,4)+
SUMIFS('Commodity Prices'!$W$9:$W$2500,'Commodity Prices'!$A$9:$A$2500,F19,'Commodity Prices'!$B$9:$B$2500,1)+
SUMIFS('Commodity Prices'!$W$9:$W$2500,'Commodity Prices'!$A$9:$A$2500,F19,'Commodity Prices'!$B$9:$B$2500,2))
/(COUNTIFS('Commodity Prices'!$A$9:$A$2500,E19,'Commodity Prices'!$B$9:$B$2500,3)+
COUNTIFS('Commodity Prices'!$A$9:$A$2500,E19,'Commodity Prices'!$B$9:$B$2500,4)+
COUNTIFS('Commodity Prices'!$A$9:$A$2500,F19,'Commodity Prices'!$B$9:$B$2500,1)+
COUNTIFS('Commodity Prices'!$A$9:$A$2500,F19,'Commodity Prices'!$B$9:$B$2500,2))</f>
        <v>#DIV/0!</v>
      </c>
      <c r="M19" s="459"/>
      <c r="O19" s="459"/>
      <c r="Q19" s="459" t="str">
        <f>G6&amp;CHAR(10)&amp;G7</f>
        <v>Lithium Average Annual Prices
Historic Financial Year</v>
      </c>
    </row>
    <row r="20" spans="1:17">
      <c r="A20" s="1016">
        <f>LARGE('Commodity Prices'!C$159:C$902,50)</f>
        <v>42856</v>
      </c>
      <c r="B20" s="1017">
        <f>SUMIF('Commodity Prices'!$C$159:$C$902,$A20,'Commodity Prices'!V$159:V$902)</f>
        <v>27443.713423597947</v>
      </c>
      <c r="C20" s="937"/>
      <c r="D20" s="18"/>
      <c r="E20" s="373">
        <f t="shared" si="2"/>
        <v>2022</v>
      </c>
      <c r="F20" s="373">
        <f t="shared" si="2"/>
        <v>2023</v>
      </c>
      <c r="G20" s="570" t="str">
        <f>IF($G$7="Historic Calendar Year",G19+1,CONCATENATE(E19,"-",RIGHT(F19,2)))</f>
        <v>2021-22</v>
      </c>
      <c r="H20" s="879"/>
      <c r="I20" s="879"/>
      <c r="J20" s="459" t="e">
        <f>(SUMIFS('Commodity Prices'!$V$9:$V$2500,'Commodity Prices'!$A$9:$A$2500,E20,'Commodity Prices'!$B$9:$B$2500,3)+
SUMIFS('Commodity Prices'!$V$9:$V$2500,'Commodity Prices'!$A$9:$A$2500,E20,'Commodity Prices'!$B$9:$B$2500,4)+
SUMIFS('Commodity Prices'!$V$9:$V$2500,'Commodity Prices'!$A$9:$A$2500,F20,'Commodity Prices'!$B$9:$B$2500,1)+
SUMIFS('Commodity Prices'!$V$9:$V$2500,'Commodity Prices'!$A$9:$A$2500,F20,'Commodity Prices'!$B$9:$B$2500,2))
/(COUNTIFS('Commodity Prices'!$A$9:$A$2500,E20,'Commodity Prices'!$B$9:$B$2500,3)+
COUNTIFS('Commodity Prices'!$A$9:$A$2500,E20,'Commodity Prices'!$B$9:$B$2500,4)+
COUNTIFS('Commodity Prices'!$A$9:$A$2500,F20,'Commodity Prices'!$B$9:$B$2500,1)+
COUNTIFS('Commodity Prices'!$A$9:$A$2500,F20,'Commodity Prices'!$B$9:$B$2500,2))</f>
        <v>#DIV/0!</v>
      </c>
      <c r="K20" s="535" t="e">
        <f>(SUMIFS('Commodity Prices'!$W$9:$W$2500,'Commodity Prices'!$A$9:$A$2500,E20,'Commodity Prices'!$B$9:$B$2500,3)+
SUMIFS('Commodity Prices'!$W$9:$W$2500,'Commodity Prices'!$A$9:$A$2500,E20,'Commodity Prices'!$B$9:$B$2500,4)+
SUMIFS('Commodity Prices'!$W$9:$W$2500,'Commodity Prices'!$A$9:$A$2500,F20,'Commodity Prices'!$B$9:$B$2500,1)+
SUMIFS('Commodity Prices'!$W$9:$W$2500,'Commodity Prices'!$A$9:$A$2500,F20,'Commodity Prices'!$B$9:$B$2500,2))
/(COUNTIFS('Commodity Prices'!$A$9:$A$2500,E20,'Commodity Prices'!$B$9:$B$2500,3)+
COUNTIFS('Commodity Prices'!$A$9:$A$2500,E20,'Commodity Prices'!$B$9:$B$2500,4)+
COUNTIFS('Commodity Prices'!$A$9:$A$2500,F20,'Commodity Prices'!$B$9:$B$2500,1)+
COUNTIFS('Commodity Prices'!$A$9:$A$2500,F20,'Commodity Prices'!$B$9:$B$2500,2))</f>
        <v>#DIV/0!</v>
      </c>
      <c r="M20" s="459"/>
      <c r="O20" s="459"/>
    </row>
    <row r="21" spans="1:17">
      <c r="A21" s="1016">
        <f>LARGE('Commodity Prices'!C$159:C$902,49)</f>
        <v>42887</v>
      </c>
      <c r="B21" s="880">
        <f>SUMIF('Commodity Prices'!$C$159:$C$902,$A21,'Commodity Prices'!V$159:V$902)</f>
        <v>27300.132128753361</v>
      </c>
      <c r="C21" s="724"/>
      <c r="D21" s="18"/>
      <c r="E21" s="373">
        <f t="shared" si="2"/>
        <v>2023</v>
      </c>
      <c r="F21" s="373">
        <f t="shared" si="2"/>
        <v>2024</v>
      </c>
      <c r="G21" s="570" t="str">
        <f>IF($G$7="Historic Calendar Year",G20+1,CONCATENATE(E20,"-",RIGHT(F20,2)))</f>
        <v>2022-23</v>
      </c>
      <c r="H21" s="879"/>
      <c r="I21" s="879"/>
      <c r="J21" s="459" t="e">
        <f>(SUMIFS('Commodity Prices'!$V$9:$V$2500,'Commodity Prices'!$A$9:$A$2500,E21,'Commodity Prices'!$B$9:$B$2500,3)+
SUMIFS('Commodity Prices'!$V$9:$V$2500,'Commodity Prices'!$A$9:$A$2500,E21,'Commodity Prices'!$B$9:$B$2500,4)+
SUMIFS('Commodity Prices'!$V$9:$V$2500,'Commodity Prices'!$A$9:$A$2500,F21,'Commodity Prices'!$B$9:$B$2500,1)+
SUMIFS('Commodity Prices'!$V$9:$V$2500,'Commodity Prices'!$A$9:$A$2500,F21,'Commodity Prices'!$B$9:$B$2500,2))
/(COUNTIFS('Commodity Prices'!$A$9:$A$2500,E21,'Commodity Prices'!$B$9:$B$2500,3)+
COUNTIFS('Commodity Prices'!$A$9:$A$2500,E21,'Commodity Prices'!$B$9:$B$2500,4)+
COUNTIFS('Commodity Prices'!$A$9:$A$2500,F21,'Commodity Prices'!$B$9:$B$2500,1)+
COUNTIFS('Commodity Prices'!$A$9:$A$2500,F21,'Commodity Prices'!$B$9:$B$2500,2))</f>
        <v>#DIV/0!</v>
      </c>
      <c r="K21" s="535" t="e">
        <f>(SUMIFS('Commodity Prices'!$W$9:$W$2500,'Commodity Prices'!$A$9:$A$2500,E21,'Commodity Prices'!$B$9:$B$2500,3)+
SUMIFS('Commodity Prices'!$W$9:$W$2500,'Commodity Prices'!$A$9:$A$2500,E21,'Commodity Prices'!$B$9:$B$2500,4)+
SUMIFS('Commodity Prices'!$W$9:$W$2500,'Commodity Prices'!$A$9:$A$2500,F21,'Commodity Prices'!$B$9:$B$2500,1)+
SUMIFS('Commodity Prices'!$W$9:$W$2500,'Commodity Prices'!$A$9:$A$2500,F21,'Commodity Prices'!$B$9:$B$2500,2))
/(COUNTIFS('Commodity Prices'!$A$9:$A$2500,E21,'Commodity Prices'!$B$9:$B$2500,3)+
COUNTIFS('Commodity Prices'!$A$9:$A$2500,E21,'Commodity Prices'!$B$9:$B$2500,4)+
COUNTIFS('Commodity Prices'!$A$9:$A$2500,F21,'Commodity Prices'!$B$9:$B$2500,1)+
COUNTIFS('Commodity Prices'!$A$9:$A$2500,F21,'Commodity Prices'!$B$9:$B$2500,2))</f>
        <v>#DIV/0!</v>
      </c>
      <c r="M21" s="459"/>
      <c r="O21" s="459"/>
    </row>
    <row r="22" spans="1:17">
      <c r="A22" s="1016">
        <f>LARGE('Commodity Prices'!C$159:C$902,48)</f>
        <v>42917</v>
      </c>
      <c r="B22" s="1017">
        <f>SUMIF('Commodity Prices'!$C$159:$C$902,$A22,'Commodity Prices'!V$159:V$902)</f>
        <v>26062.485179978667</v>
      </c>
      <c r="C22" s="937"/>
      <c r="D22" s="18"/>
      <c r="E22" s="373"/>
      <c r="F22" s="373"/>
      <c r="G22" s="570" t="str">
        <f>IF($G$7="Historic Calendar Year",G21+1,CONCATENATE(E21,"-",RIGHT(F21,2)))</f>
        <v>2023-24</v>
      </c>
      <c r="H22" s="879"/>
      <c r="I22" s="879"/>
      <c r="J22" s="373"/>
      <c r="M22" s="459"/>
      <c r="O22" s="459"/>
    </row>
    <row r="23" spans="1:17" ht="15.75" thickBot="1">
      <c r="A23" s="1016">
        <f>LARGE('Commodity Prices'!C$159:C$902,47)</f>
        <v>42948</v>
      </c>
      <c r="B23" s="880">
        <f>SUMIF('Commodity Prices'!$C$159:$C$902,$A23,'Commodity Prices'!V$159:V$902)</f>
        <v>25606.338943652878</v>
      </c>
      <c r="C23" s="724"/>
      <c r="D23" s="18"/>
      <c r="E23" s="373"/>
      <c r="F23" s="373"/>
      <c r="G23" s="373"/>
      <c r="H23" s="373"/>
      <c r="I23" s="373"/>
      <c r="J23" s="593"/>
      <c r="M23" s="459"/>
      <c r="O23" s="459"/>
    </row>
    <row r="24" spans="1:17" ht="15.75" thickBot="1">
      <c r="A24" s="1016">
        <f>LARGE('Commodity Prices'!C$159:C$902,46)</f>
        <v>42979</v>
      </c>
      <c r="B24" s="1017">
        <f>SUMIF('Commodity Prices'!$C$159:$C$902,$A24,'Commodity Prices'!V$159:V$902)</f>
        <v>25933.760090656757</v>
      </c>
      <c r="C24" s="937"/>
      <c r="D24" s="18"/>
      <c r="E24" s="373"/>
      <c r="F24" s="373"/>
      <c r="G24" s="2032" t="s">
        <v>506</v>
      </c>
      <c r="H24" s="2033"/>
      <c r="I24" s="2034"/>
      <c r="J24" s="594"/>
      <c r="M24" s="459"/>
      <c r="O24" s="459"/>
    </row>
    <row r="25" spans="1:17" ht="15.75" thickBot="1">
      <c r="A25" s="1016">
        <f>LARGE('Commodity Prices'!C$159:C$902,45)</f>
        <v>43009</v>
      </c>
      <c r="B25" s="880">
        <f>SUMIF('Commodity Prices'!$C$159:$C$902,$A25,'Commodity Prices'!V$159:V$902)</f>
        <v>27463.954277295663</v>
      </c>
      <c r="C25" s="724"/>
      <c r="D25" s="18"/>
      <c r="E25" s="373"/>
      <c r="F25" s="373"/>
      <c r="G25" s="1975" t="s">
        <v>464</v>
      </c>
      <c r="H25" s="1976"/>
      <c r="I25" s="1977"/>
      <c r="J25" s="1631"/>
      <c r="L25" s="373"/>
      <c r="M25" s="459"/>
      <c r="O25" s="459"/>
    </row>
    <row r="26" spans="1:17">
      <c r="A26" s="1016">
        <f>LARGE('Commodity Prices'!C$159:C$902,44)</f>
        <v>43040</v>
      </c>
      <c r="B26" s="1017">
        <f>SUMIF('Commodity Prices'!$C$159:$C$902,$A26,'Commodity Prices'!V$159:V$902)</f>
        <v>28421.623120454744</v>
      </c>
      <c r="C26" s="937"/>
      <c r="D26" s="18"/>
      <c r="E26" s="373"/>
      <c r="F26" s="373"/>
      <c r="G26" s="1653"/>
      <c r="H26" s="1657" t="s">
        <v>507</v>
      </c>
      <c r="I26" s="1657"/>
      <c r="J26" s="373"/>
      <c r="L26" s="95"/>
      <c r="M26" s="459"/>
      <c r="O26" s="459"/>
    </row>
    <row r="27" spans="1:17">
      <c r="A27" s="1016">
        <f>LARGE('Commodity Prices'!C$159:C$902,43)</f>
        <v>43070</v>
      </c>
      <c r="B27" s="880">
        <f>SUMIF('Commodity Prices'!$C$159:$C$902,$A27,'Commodity Prices'!V$159:V$902)</f>
        <v>28479.538394366144</v>
      </c>
      <c r="C27" s="724"/>
      <c r="D27" s="18"/>
      <c r="E27" s="373"/>
      <c r="F27" s="373"/>
      <c r="G27" s="373"/>
      <c r="H27" s="373"/>
      <c r="I27" s="373"/>
      <c r="J27" s="373"/>
      <c r="L27" s="539"/>
      <c r="M27" s="459"/>
      <c r="O27" s="459"/>
    </row>
    <row r="28" spans="1:17">
      <c r="A28" s="1016">
        <f>LARGE('Commodity Prices'!C$159:C$902,42)</f>
        <v>43101</v>
      </c>
      <c r="B28" s="1017">
        <f>SUMIF('Commodity Prices'!$C$159:$C$902,$A28,'Commodity Prices'!V$159:V$902)</f>
        <v>27702.474712042906</v>
      </c>
      <c r="C28" s="937"/>
      <c r="D28" s="18"/>
      <c r="E28" s="373"/>
      <c r="F28" s="373"/>
      <c r="G28" s="2022"/>
      <c r="H28" s="2022"/>
      <c r="I28" s="2022"/>
      <c r="J28" s="373"/>
      <c r="L28" s="540"/>
      <c r="M28" s="459"/>
      <c r="O28" s="459"/>
    </row>
    <row r="29" spans="1:17">
      <c r="A29" s="1016">
        <f>LARGE('Commodity Prices'!C$159:C$902,41)</f>
        <v>43132</v>
      </c>
      <c r="B29" s="880">
        <f>SUMIF('Commodity Prices'!$C$159:$C$902,$A29,'Commodity Prices'!V$159:V$902)</f>
        <v>27812.026844128144</v>
      </c>
      <c r="C29" s="724"/>
      <c r="D29" s="18"/>
      <c r="E29" s="373"/>
      <c r="F29" s="373"/>
      <c r="G29" s="2022"/>
      <c r="H29" s="2022"/>
      <c r="I29" s="2022"/>
      <c r="J29" s="373"/>
      <c r="L29" s="373"/>
      <c r="M29" s="459"/>
      <c r="O29" s="459"/>
    </row>
    <row r="30" spans="1:17">
      <c r="A30" s="1016">
        <f>LARGE('Commodity Prices'!C$159:C$902,40)</f>
        <v>43160</v>
      </c>
      <c r="B30" s="1017">
        <f>SUMIF('Commodity Prices'!$C$159:$C$902,$A30,'Commodity Prices'!V$159:V$902)</f>
        <v>28394.32199082875</v>
      </c>
      <c r="C30" s="937"/>
      <c r="D30" s="18"/>
      <c r="E30" s="373"/>
      <c r="F30" s="373"/>
      <c r="G30" s="373"/>
      <c r="H30" s="373"/>
      <c r="I30" s="373"/>
      <c r="J30" s="373"/>
      <c r="L30" s="373"/>
      <c r="M30" s="459"/>
      <c r="O30" s="459"/>
    </row>
    <row r="31" spans="1:17">
      <c r="A31" s="1016">
        <f>LARGE('Commodity Prices'!C$159:C$902,39)</f>
        <v>43191</v>
      </c>
      <c r="B31" s="880">
        <f>SUMIF('Commodity Prices'!$C$159:$C$902,$A31,'Commodity Prices'!V$159:V$902)</f>
        <v>29606.263301915478</v>
      </c>
      <c r="C31" s="724"/>
      <c r="D31" s="18"/>
      <c r="E31" s="373"/>
      <c r="F31" s="373"/>
      <c r="G31" s="373"/>
      <c r="H31" s="373"/>
      <c r="I31" s="373"/>
      <c r="J31" s="373"/>
      <c r="L31" s="373"/>
      <c r="M31" s="459"/>
      <c r="O31" s="459"/>
    </row>
    <row r="32" spans="1:17">
      <c r="A32" s="1016">
        <f>LARGE('Commodity Prices'!C$159:C$902,38)</f>
        <v>43221</v>
      </c>
      <c r="B32" s="1017">
        <f>SUMIF('Commodity Prices'!$C$159:$C$902,$A32,'Commodity Prices'!V$159:V$902)</f>
        <v>28935.019304984304</v>
      </c>
      <c r="C32" s="937"/>
      <c r="D32" s="18"/>
      <c r="E32" s="373"/>
      <c r="F32" s="373"/>
      <c r="G32" s="373"/>
      <c r="H32" s="373"/>
      <c r="I32" s="373"/>
      <c r="J32" s="373"/>
      <c r="L32" s="373"/>
      <c r="M32" s="459"/>
      <c r="O32" s="459"/>
    </row>
    <row r="33" spans="1:15">
      <c r="A33" s="1016">
        <f>LARGE('Commodity Prices'!C$159:C$902,37)</f>
        <v>43252</v>
      </c>
      <c r="B33" s="880">
        <f>SUMIF('Commodity Prices'!$C$159:$C$902,$A33,'Commodity Prices'!V$159:V$902)</f>
        <v>28071.768779445687</v>
      </c>
      <c r="C33" s="724"/>
      <c r="D33" s="18"/>
      <c r="E33" s="373"/>
      <c r="F33" s="373"/>
      <c r="G33" s="373"/>
      <c r="H33" s="373"/>
      <c r="I33" s="373"/>
      <c r="J33" s="373"/>
      <c r="L33" s="373"/>
      <c r="M33" s="459"/>
      <c r="O33" s="459"/>
    </row>
    <row r="34" spans="1:15">
      <c r="A34" s="1016">
        <f>LARGE('Commodity Prices'!C$159:C$902,36)</f>
        <v>43282</v>
      </c>
      <c r="B34" s="1017">
        <f>SUMIF('Commodity Prices'!$C$159:$C$902,$A34,'Commodity Prices'!V$159:V$902)</f>
        <v>26068.921037309086</v>
      </c>
      <c r="C34" s="937"/>
      <c r="D34" s="18"/>
      <c r="E34" s="373"/>
      <c r="F34" s="373"/>
      <c r="G34" s="373"/>
      <c r="H34" s="373"/>
      <c r="I34" s="373"/>
      <c r="J34" s="373"/>
      <c r="L34" s="373"/>
      <c r="M34" s="459"/>
      <c r="O34" s="459"/>
    </row>
    <row r="35" spans="1:15">
      <c r="A35" s="1016">
        <f>LARGE('Commodity Prices'!C$159:C$902,35)</f>
        <v>43313</v>
      </c>
      <c r="B35" s="880">
        <f>SUMIF('Commodity Prices'!$C$159:$C$902,$A35,'Commodity Prices'!V$159:V$902)</f>
        <v>22659.945202005336</v>
      </c>
      <c r="C35" s="724"/>
      <c r="D35" s="18"/>
      <c r="E35" s="373"/>
      <c r="F35" s="373"/>
      <c r="G35" s="373"/>
      <c r="H35" s="373"/>
      <c r="I35" s="373"/>
      <c r="J35" s="373"/>
      <c r="L35" s="373"/>
      <c r="M35" s="459"/>
      <c r="O35" s="459"/>
    </row>
    <row r="36" spans="1:15">
      <c r="A36" s="1016">
        <f>LARGE('Commodity Prices'!C$159:C$902,34)</f>
        <v>43344</v>
      </c>
      <c r="B36" s="1017">
        <f>SUMIF('Commodity Prices'!$C$159:$C$902,$A36,'Commodity Prices'!V$159:V$902)</f>
        <v>22784.394816094496</v>
      </c>
      <c r="C36" s="937"/>
      <c r="D36" s="18"/>
      <c r="E36" s="373"/>
      <c r="F36" s="373"/>
      <c r="G36" s="373"/>
      <c r="H36" s="373"/>
      <c r="I36" s="373"/>
      <c r="J36" s="373"/>
      <c r="L36" s="373"/>
      <c r="M36" s="459"/>
      <c r="O36" s="459"/>
    </row>
    <row r="37" spans="1:15">
      <c r="A37" s="1016">
        <f>LARGE('Commodity Prices'!C$159:C$902,33)</f>
        <v>43374</v>
      </c>
      <c r="B37" s="880">
        <f>SUMIF('Commodity Prices'!$C$159:$C$902,$A37,'Commodity Prices'!V$159:V$902)</f>
        <v>22679.112287955384</v>
      </c>
      <c r="C37" s="724"/>
      <c r="D37" s="18"/>
      <c r="E37" s="373"/>
      <c r="F37" s="373"/>
      <c r="G37" s="373"/>
      <c r="H37" s="373"/>
      <c r="I37" s="373"/>
      <c r="J37" s="373"/>
      <c r="L37" s="373"/>
      <c r="M37" s="459"/>
      <c r="O37" s="459"/>
    </row>
    <row r="38" spans="1:15">
      <c r="A38" s="1016">
        <f>LARGE('Commodity Prices'!C$159:C$902,32)</f>
        <v>43405</v>
      </c>
      <c r="B38" s="1017">
        <f>SUMIF('Commodity Prices'!$C$159:$C$902,$A38,'Commodity Prices'!V$159:V$902)</f>
        <v>20695.663671067283</v>
      </c>
      <c r="C38" s="937"/>
      <c r="D38" s="18"/>
      <c r="E38" s="373"/>
      <c r="F38" s="373"/>
      <c r="G38" s="373"/>
      <c r="H38" s="373"/>
      <c r="I38" s="373"/>
      <c r="J38" s="373"/>
      <c r="L38" s="373"/>
      <c r="M38" s="459"/>
      <c r="N38" s="535"/>
      <c r="O38" s="459"/>
    </row>
    <row r="39" spans="1:15">
      <c r="A39" s="1016">
        <f>LARGE('Commodity Prices'!C$159:C$902,31)</f>
        <v>43435</v>
      </c>
      <c r="B39" s="880">
        <f>SUMIF('Commodity Prices'!$C$159:$C$902,$A39,'Commodity Prices'!V$159:V$902)</f>
        <v>18939.730514559233</v>
      </c>
      <c r="C39" s="724"/>
      <c r="D39" s="18"/>
      <c r="E39" s="373"/>
      <c r="F39" s="373"/>
      <c r="G39" s="373"/>
      <c r="H39" s="373"/>
      <c r="I39" s="373"/>
      <c r="J39" s="373"/>
      <c r="L39" s="373"/>
      <c r="M39" s="459"/>
      <c r="N39" s="535"/>
      <c r="O39" s="459"/>
    </row>
    <row r="40" spans="1:15">
      <c r="A40" s="1016">
        <f>LARGE('Commodity Prices'!C$159:C$902,30)</f>
        <v>43466</v>
      </c>
      <c r="B40" s="1017">
        <f>SUMIF('Commodity Prices'!$C$159:$C$902,$A40,'Commodity Prices'!V$159:V$902)</f>
        <v>18656.295186666022</v>
      </c>
      <c r="C40" s="937"/>
      <c r="D40" s="18"/>
      <c r="E40" s="373"/>
      <c r="F40" s="373"/>
      <c r="G40" s="373"/>
      <c r="H40" s="373"/>
      <c r="I40" s="373"/>
      <c r="J40" s="373"/>
      <c r="L40" s="373"/>
      <c r="M40" s="459"/>
      <c r="N40" s="535"/>
      <c r="O40" s="459"/>
    </row>
    <row r="41" spans="1:15">
      <c r="A41" s="1016">
        <f>LARGE('Commodity Prices'!C$159:C$902,29)</f>
        <v>43497</v>
      </c>
      <c r="B41" s="880">
        <f>SUMIF('Commodity Prices'!$C$159:$C$902,$A41,'Commodity Prices'!V$159:V$902)</f>
        <v>18524.309259695921</v>
      </c>
      <c r="C41" s="724"/>
      <c r="D41" s="18"/>
      <c r="E41" s="373"/>
      <c r="F41" s="373"/>
      <c r="G41" s="373"/>
      <c r="H41" s="373"/>
      <c r="I41" s="373"/>
      <c r="J41" s="373"/>
      <c r="L41" s="373"/>
      <c r="M41" s="459"/>
      <c r="N41" s="535"/>
      <c r="O41" s="459"/>
    </row>
    <row r="42" spans="1:15">
      <c r="A42" s="1016">
        <f>LARGE('Commodity Prices'!C$159:C$902,28)</f>
        <v>43525</v>
      </c>
      <c r="B42" s="1017">
        <f>SUMIF('Commodity Prices'!$C$159:$C$902,$A42,'Commodity Prices'!V$159:V$902)</f>
        <v>17581.147038310763</v>
      </c>
      <c r="C42" s="937"/>
      <c r="D42" s="18"/>
      <c r="E42" s="373"/>
      <c r="F42" s="373"/>
      <c r="G42" s="373"/>
      <c r="H42" s="373"/>
      <c r="I42" s="373"/>
      <c r="J42" s="373"/>
      <c r="L42" s="373"/>
      <c r="M42" s="459"/>
      <c r="N42" s="535"/>
      <c r="O42" s="459"/>
    </row>
    <row r="43" spans="1:15">
      <c r="A43" s="1016">
        <f>LARGE('Commodity Prices'!C$159:C$902,27)</f>
        <v>43556</v>
      </c>
      <c r="B43" s="880">
        <f>SUMIF('Commodity Prices'!$C$159:$C$902,$A43,'Commodity Prices'!V$159:V$902)</f>
        <v>17407.996343169332</v>
      </c>
      <c r="C43" s="724"/>
      <c r="D43" s="18"/>
      <c r="E43" s="373"/>
      <c r="F43" s="373"/>
      <c r="G43" s="373"/>
      <c r="H43" s="373"/>
      <c r="I43" s="373"/>
      <c r="J43" s="373"/>
      <c r="L43" s="373"/>
      <c r="M43" s="459"/>
      <c r="N43" s="535"/>
      <c r="O43" s="459"/>
    </row>
    <row r="44" spans="1:15">
      <c r="A44" s="1016">
        <f>LARGE('Commodity Prices'!C$159:C$902,26)</f>
        <v>43586</v>
      </c>
      <c r="B44" s="1017">
        <f>SUMIF('Commodity Prices'!$C$159:$C$902,$A44,'Commodity Prices'!V$159:V$902)</f>
        <v>16905.788691794187</v>
      </c>
      <c r="C44" s="937"/>
      <c r="D44" s="18"/>
      <c r="E44" s="373"/>
      <c r="F44" s="373"/>
      <c r="G44" s="373"/>
      <c r="H44" s="373"/>
      <c r="I44" s="373"/>
      <c r="J44" s="373"/>
      <c r="L44" s="373"/>
      <c r="M44" s="459"/>
      <c r="N44" s="535"/>
      <c r="O44" s="459"/>
    </row>
    <row r="45" spans="1:15">
      <c r="A45" s="1016">
        <f>LARGE('Commodity Prices'!C$159:C$902,25)</f>
        <v>43617</v>
      </c>
      <c r="B45" s="880">
        <f>SUMIF('Commodity Prices'!$C$159:$C$902,$A45,'Commodity Prices'!V$159:V$902)</f>
        <v>16245.717547572425</v>
      </c>
      <c r="C45" s="724"/>
      <c r="D45" s="18"/>
      <c r="E45" s="373"/>
      <c r="F45" s="373"/>
      <c r="G45" s="373"/>
      <c r="H45" s="373"/>
      <c r="I45" s="373"/>
      <c r="J45" s="373"/>
      <c r="L45" s="373"/>
      <c r="M45" s="459"/>
      <c r="N45" s="535"/>
      <c r="O45" s="459"/>
    </row>
    <row r="46" spans="1:15">
      <c r="A46" s="1016">
        <f>LARGE('Commodity Prices'!C$159:C$902,24)</f>
        <v>43647</v>
      </c>
      <c r="B46" s="1017">
        <f>SUMIF('Commodity Prices'!$C$159:$C$902,$A46,'Commodity Prices'!V$159:V$902)</f>
        <v>15191.188206064531</v>
      </c>
      <c r="C46" s="937">
        <f>SUMIF('Commodity Prices'!$C$159:$C$902,$A46,'Commodity Prices'!W$159:W$902)</f>
        <v>878.85083822897275</v>
      </c>
      <c r="D46" s="18"/>
      <c r="E46" s="373"/>
      <c r="F46" s="373"/>
      <c r="G46" s="373"/>
      <c r="H46" s="373"/>
      <c r="I46" s="373"/>
      <c r="J46" s="373"/>
      <c r="L46" s="373"/>
      <c r="M46" s="459"/>
      <c r="N46" s="535"/>
      <c r="O46" s="459"/>
    </row>
    <row r="47" spans="1:15">
      <c r="A47" s="1016">
        <f>LARGE('Commodity Prices'!C$159:C$902,23)</f>
        <v>43678</v>
      </c>
      <c r="B47" s="880">
        <f>SUMIF('Commodity Prices'!$C$159:$C$902,$A47,'Commodity Prices'!V$159:V$902)</f>
        <v>14305.463591486414</v>
      </c>
      <c r="C47" s="724">
        <f>SUMIF('Commodity Prices'!$C$159:$C$902,$A47,'Commodity Prices'!W$159:W$902)</f>
        <v>882.29643859908379</v>
      </c>
      <c r="D47" s="18"/>
      <c r="G47" s="373"/>
      <c r="H47" s="373"/>
      <c r="I47" s="373"/>
      <c r="L47" s="373"/>
      <c r="M47" s="459"/>
      <c r="N47" s="535"/>
      <c r="O47" s="459"/>
    </row>
    <row r="48" spans="1:15">
      <c r="A48" s="1016">
        <f>LARGE('Commodity Prices'!C$159:C$902,22)</f>
        <v>43709</v>
      </c>
      <c r="B48" s="1017">
        <f>SUMIF('Commodity Prices'!$C$159:$C$902,$A48,'Commodity Prices'!V$159:V$902)</f>
        <v>12876.336263444689</v>
      </c>
      <c r="C48" s="937">
        <f>SUMIF('Commodity Prices'!$C$159:$C$902,$A48,'Commodity Prices'!W$159:W$902)</f>
        <v>836.44437973209097</v>
      </c>
      <c r="D48" s="18"/>
      <c r="L48" s="373"/>
      <c r="M48" s="459"/>
      <c r="N48" s="535"/>
      <c r="O48" s="459"/>
    </row>
    <row r="49" spans="1:15">
      <c r="A49" s="1016">
        <f>LARGE('Commodity Prices'!C$159:C$902,21)</f>
        <v>43739</v>
      </c>
      <c r="B49" s="880">
        <f>SUMIF('Commodity Prices'!$C$159:$C$902,$A49,'Commodity Prices'!V$159:V$902)</f>
        <v>12374.576592392568</v>
      </c>
      <c r="C49" s="724">
        <f>SUMIF('Commodity Prices'!$C$159:$C$902,$A49,'Commodity Prices'!W$159:W$902)</f>
        <v>789.70285378052381</v>
      </c>
      <c r="D49" s="18"/>
      <c r="L49" s="373"/>
      <c r="M49" s="459"/>
      <c r="N49" s="535"/>
      <c r="O49" s="459"/>
    </row>
    <row r="50" spans="1:15">
      <c r="A50" s="1016">
        <f>LARGE('Commodity Prices'!C$159:C$902,20)</f>
        <v>43770</v>
      </c>
      <c r="B50" s="1017">
        <f>SUMIF('Commodity Prices'!$C$159:$C$902,$A50,'Commodity Prices'!V$159:V$902)</f>
        <v>11560.590007240267</v>
      </c>
      <c r="C50" s="937">
        <f>SUMIF('Commodity Prices'!$C$159:$C$902,$A50,'Commodity Prices'!W$159:W$902)</f>
        <v>773.30794022853797</v>
      </c>
      <c r="D50" s="18"/>
      <c r="L50" s="535"/>
      <c r="M50" s="459"/>
      <c r="N50" s="535"/>
      <c r="O50" s="459"/>
    </row>
    <row r="51" spans="1:15">
      <c r="A51" s="1016">
        <f>LARGE('Commodity Prices'!C$159:C$902,19)</f>
        <v>43800</v>
      </c>
      <c r="B51" s="880">
        <f>SUMIF('Commodity Prices'!$C$159:$C$902,$A51,'Commodity Prices'!V$159:V$902)</f>
        <v>10365.987243195748</v>
      </c>
      <c r="C51" s="724">
        <f>SUMIF('Commodity Prices'!$C$159:$C$902,$A51,'Commodity Prices'!W$159:W$902)</f>
        <v>731.73174626215712</v>
      </c>
      <c r="D51" s="18"/>
      <c r="L51" s="535"/>
      <c r="M51" s="459"/>
      <c r="N51" s="535"/>
      <c r="O51" s="459"/>
    </row>
    <row r="52" spans="1:15">
      <c r="A52" s="1016">
        <f>LARGE('Commodity Prices'!C$159:C$902,18)</f>
        <v>43831</v>
      </c>
      <c r="B52" s="1017">
        <f>SUMIF('Commodity Prices'!$C$159:$C$902,$A52,'Commodity Prices'!V$159:V$902)</f>
        <v>10197.522557700855</v>
      </c>
      <c r="C52" s="937">
        <f>SUMIF('Commodity Prices'!$C$159:$C$902,$A52,'Commodity Prices'!W$159:W$902)</f>
        <v>720.01166010785596</v>
      </c>
      <c r="D52" s="18"/>
      <c r="L52" s="535"/>
      <c r="M52" s="459"/>
      <c r="N52" s="535"/>
      <c r="O52" s="459"/>
    </row>
    <row r="53" spans="1:15">
      <c r="A53" s="1016">
        <f>LARGE('Commodity Prices'!C$159:C$902,17)</f>
        <v>43862</v>
      </c>
      <c r="B53" s="880">
        <f>SUMIF('Commodity Prices'!$C$159:$C$902,$A53,'Commodity Prices'!V$159:V$902)</f>
        <v>10384.071476668489</v>
      </c>
      <c r="C53" s="724">
        <f>SUMIF('Commodity Prices'!$C$159:$C$902,$A53,'Commodity Prices'!W$159:W$902)</f>
        <v>735.18379594898727</v>
      </c>
      <c r="D53" s="18"/>
      <c r="L53" s="535"/>
      <c r="M53" s="459"/>
      <c r="N53" s="535"/>
      <c r="O53" s="459"/>
    </row>
    <row r="54" spans="1:15">
      <c r="A54" s="1016">
        <f>LARGE('Commodity Prices'!C$159:C$902,16)</f>
        <v>43891</v>
      </c>
      <c r="B54" s="1017">
        <f>SUMIF('Commodity Prices'!$C$159:$C$902,$A54,'Commodity Prices'!V$159:V$902)</f>
        <v>11196.346404779892</v>
      </c>
      <c r="C54" s="937">
        <f>SUMIF('Commodity Prices'!$C$159:$C$902,$A54,'Commodity Prices'!W$159:W$902)</f>
        <v>777.15205148833456</v>
      </c>
      <c r="D54" s="18"/>
      <c r="L54" s="535"/>
      <c r="M54" s="459"/>
      <c r="N54" s="535"/>
      <c r="O54" s="459"/>
    </row>
    <row r="55" spans="1:15">
      <c r="A55" s="1016">
        <f>LARGE('Commodity Prices'!C$159:C$902,15)</f>
        <v>43922</v>
      </c>
      <c r="B55" s="880">
        <f>SUMIF('Commodity Prices'!$C$159:$C$902,$A55,'Commodity Prices'!V$159:V$902)</f>
        <v>10851.659138894684</v>
      </c>
      <c r="C55" s="724">
        <f>SUMIF('Commodity Prices'!$C$159:$C$902,$A55,'Commodity Prices'!W$159:W$902)</f>
        <v>730.47060687688167</v>
      </c>
      <c r="D55" s="18"/>
      <c r="L55" s="535"/>
      <c r="M55" s="459"/>
      <c r="N55" s="535"/>
      <c r="O55" s="459"/>
    </row>
    <row r="56" spans="1:15">
      <c r="A56" s="1016">
        <f>LARGE('Commodity Prices'!C$159:C$902,14)</f>
        <v>43952</v>
      </c>
      <c r="B56" s="1017">
        <f>SUMIF('Commodity Prices'!$C$159:$C$902,$A56,'Commodity Prices'!V$159:V$902)</f>
        <v>10303.793338467303</v>
      </c>
      <c r="C56" s="937">
        <f>SUMIF('Commodity Prices'!$C$159:$C$902,$A56,'Commodity Prices'!W$159:W$902)</f>
        <v>670.61982203129787</v>
      </c>
      <c r="D56" s="18"/>
      <c r="L56" s="535"/>
      <c r="M56" s="459"/>
      <c r="N56" s="535"/>
      <c r="O56" s="459"/>
    </row>
    <row r="57" spans="1:15">
      <c r="A57" s="1016">
        <f>LARGE('Commodity Prices'!C$159:C$902,13)</f>
        <v>43983</v>
      </c>
      <c r="B57" s="880">
        <f>SUMIF('Commodity Prices'!$C$159:$C$902,$A57,'Commodity Prices'!V$159:V$902)</f>
        <v>9219.3714056152839</v>
      </c>
      <c r="C57" s="724">
        <f>SUMIF('Commodity Prices'!$C$159:$C$902,$A57,'Commodity Prices'!W$159:W$902)</f>
        <v>612.66299623297596</v>
      </c>
      <c r="D57" s="18"/>
      <c r="N57" s="535"/>
      <c r="O57" s="459"/>
    </row>
    <row r="58" spans="1:15">
      <c r="A58" s="1016">
        <f>LARGE('Commodity Prices'!C$159:C$902,12)</f>
        <v>44013</v>
      </c>
      <c r="B58" s="1017">
        <f>SUMIF('Commodity Prices'!$C$159:$C$902,$A58,'Commodity Prices'!V$159:V$902)</f>
        <v>8596.4169463020626</v>
      </c>
      <c r="C58" s="937">
        <f>SUMIF('Commodity Prices'!$C$159:$C$902,$A58,'Commodity Prices'!W$159:W$902)</f>
        <v>575.38734896943856</v>
      </c>
      <c r="D58" s="18"/>
      <c r="N58" s="535"/>
      <c r="O58" s="459"/>
    </row>
    <row r="59" spans="1:15">
      <c r="A59" s="1016">
        <f>LARGE('Commodity Prices'!C$159:C$902,11)</f>
        <v>44044</v>
      </c>
      <c r="B59" s="880">
        <f>SUMIF('Commodity Prices'!$C$159:$C$902,$A59,'Commodity Prices'!V$159:V$902)</f>
        <v>8395.4904659604563</v>
      </c>
      <c r="C59" s="724">
        <f>SUMIF('Commodity Prices'!$C$159:$C$902,$A59,'Commodity Prices'!W$159:W$902)</f>
        <v>541.92473267601724</v>
      </c>
      <c r="D59" s="18"/>
      <c r="N59" s="535"/>
      <c r="O59" s="459"/>
    </row>
    <row r="60" spans="1:15">
      <c r="A60" s="1016">
        <f>LARGE('Commodity Prices'!C$159:C$902,10)</f>
        <v>44075</v>
      </c>
      <c r="B60" s="1017">
        <f>SUMIF('Commodity Prices'!$C$159:$C$902,$A60,'Commodity Prices'!V$159:V$902)</f>
        <v>8365.7824288147985</v>
      </c>
      <c r="C60" s="937">
        <f>SUMIF('Commodity Prices'!$C$159:$C$902,$A60,'Commodity Prices'!W$159:W$902)</f>
        <v>539.9750933997509</v>
      </c>
      <c r="D60" s="18"/>
      <c r="N60" s="535"/>
      <c r="O60" s="459"/>
    </row>
    <row r="61" spans="1:15">
      <c r="A61" s="1016">
        <f>LARGE('Commodity Prices'!C$159:C$902,9)</f>
        <v>44105</v>
      </c>
      <c r="B61" s="880">
        <f>SUMIF('Commodity Prices'!$C$159:$C$902,$A61,'Commodity Prices'!V$159:V$902)</f>
        <v>8543.370468777015</v>
      </c>
      <c r="C61" s="724">
        <f>SUMIF('Commodity Prices'!$C$159:$C$902,$A61,'Commodity Prices'!W$159:W$902)</f>
        <v>548.00673778775968</v>
      </c>
      <c r="D61" s="18"/>
      <c r="N61" s="535"/>
      <c r="O61" s="459"/>
    </row>
    <row r="62" spans="1:15">
      <c r="A62" s="1016">
        <f>LARGE('Commodity Prices'!C$159:C$902,8)</f>
        <v>44136</v>
      </c>
      <c r="B62" s="1017">
        <f>SUMIF('Commodity Prices'!$C$159:$C$902,$A62,'Commodity Prices'!V$159:V$902)</f>
        <v>8494.1506246414247</v>
      </c>
      <c r="C62" s="937">
        <f>SUMIF('Commodity Prices'!$C$159:$C$902,$A62,'Commodity Prices'!W$159:W$902)</f>
        <v>538.3136500961275</v>
      </c>
      <c r="D62" s="18"/>
      <c r="N62" s="535"/>
      <c r="O62" s="459"/>
    </row>
    <row r="63" spans="1:15">
      <c r="A63" s="1016">
        <f>LARGE('Commodity Prices'!C$159:C$902,7)</f>
        <v>44166</v>
      </c>
      <c r="B63" s="880">
        <f>SUMIF('Commodity Prices'!$C$159:$C$902,$A63,'Commodity Prices'!V$159:V$902)</f>
        <v>8329.9899054519283</v>
      </c>
      <c r="C63" s="724">
        <f>SUMIF('Commodity Prices'!$C$159:$C$902,$A63,'Commodity Prices'!W$159:W$902)</f>
        <v>526.31997877421065</v>
      </c>
      <c r="D63" s="18"/>
      <c r="N63" s="535"/>
      <c r="O63" s="459"/>
    </row>
    <row r="64" spans="1:15">
      <c r="A64" s="1016">
        <f>LARGE('Commodity Prices'!C$159:C$902,6)</f>
        <v>44197</v>
      </c>
      <c r="B64" s="1017">
        <f>SUMIF('Commodity Prices'!$C$159:$C$902,$A64,'Commodity Prices'!V$159:V$902)</f>
        <v>9688.6919015456424</v>
      </c>
      <c r="C64" s="937">
        <f>SUMIF('Commodity Prices'!$C$159:$C$902,$A64,'Commodity Prices'!W$159:W$902)</f>
        <v>540.9167421986275</v>
      </c>
      <c r="D64" s="18"/>
      <c r="N64" s="535"/>
      <c r="O64" s="459"/>
    </row>
    <row r="65" spans="1:15">
      <c r="A65" s="1016">
        <f>LARGE('Commodity Prices'!C$159:C$902,5)</f>
        <v>44228</v>
      </c>
      <c r="B65" s="880">
        <f>SUMIF('Commodity Prices'!$C$159:$C$902,$A65,'Commodity Prices'!V$159:V$902)</f>
        <v>11330.398410749405</v>
      </c>
      <c r="C65" s="724">
        <f>SUMIF('Commodity Prices'!$C$159:$C$902,$A65,'Commodity Prices'!W$159:W$902)</f>
        <v>559.63894261766609</v>
      </c>
      <c r="D65" s="18"/>
      <c r="N65" s="535"/>
      <c r="O65" s="459"/>
    </row>
    <row r="66" spans="1:15">
      <c r="A66" s="1016">
        <f>LARGE('Commodity Prices'!C$159:C$902,4)</f>
        <v>44256</v>
      </c>
      <c r="B66" s="1017">
        <f>SUMIF('Commodity Prices'!$C$159:$C$902,$A66,'Commodity Prices'!V$159:V$902)</f>
        <v>12968.340269131497</v>
      </c>
      <c r="C66" s="937">
        <f>SUMIF('Commodity Prices'!$C$159:$C$902,$A66,'Commodity Prices'!W$159:W$902)</f>
        <v>626.61562418894368</v>
      </c>
      <c r="D66" s="18"/>
      <c r="N66" s="535"/>
      <c r="O66" s="459"/>
    </row>
    <row r="67" spans="1:15">
      <c r="A67" s="1016">
        <f>LARGE('Commodity Prices'!C$159:C$902,3)</f>
        <v>44287</v>
      </c>
      <c r="B67" s="880">
        <f>SUMIF('Commodity Prices'!$C$159:$C$902,$A67,'Commodity Prices'!V$159:V$902)</f>
        <v>14746.858258150602</v>
      </c>
      <c r="C67" s="724">
        <f>SUMIF('Commodity Prices'!$C$159:$C$902,$A67,'Commodity Prices'!W$159:W$902)</f>
        <v>990.5868605556999</v>
      </c>
      <c r="D67" s="18"/>
      <c r="N67" s="535"/>
      <c r="O67" s="459"/>
    </row>
    <row r="68" spans="1:15">
      <c r="A68" s="1016">
        <f>LARGE('Commodity Prices'!C$159:C$902,2)</f>
        <v>44317</v>
      </c>
      <c r="B68" s="1017">
        <f>SUMIF('Commodity Prices'!$C$159:$C$902,$A68,'Commodity Prices'!V$159:V$902)</f>
        <v>16624.71169246942</v>
      </c>
      <c r="C68" s="937">
        <f>SUMIF('Commodity Prices'!$C$159:$C$902,$A68,'Commodity Prices'!W$159:W$902)</f>
        <v>817.85852338616155</v>
      </c>
      <c r="D68" s="18"/>
      <c r="N68" s="535"/>
      <c r="O68" s="459"/>
    </row>
    <row r="69" spans="1:15" ht="15.75" thickBot="1">
      <c r="A69" s="1018">
        <f>LARGE('Commodity Prices'!C$159:C$902,1)</f>
        <v>44348</v>
      </c>
      <c r="B69" s="1621">
        <f>SUMIF('Commodity Prices'!$C$159:$C$902,$A69,'Commodity Prices'!V$159:V$902)</f>
        <v>17944.177922479594</v>
      </c>
      <c r="C69" s="918">
        <f>SUMIF('Commodity Prices'!$C$159:$C$902,$A69,'Commodity Prices'!W$159:W$902)</f>
        <v>869.60335122398214</v>
      </c>
      <c r="D69" s="18"/>
      <c r="N69" s="535"/>
      <c r="O69" s="459"/>
    </row>
  </sheetData>
  <mergeCells count="7">
    <mergeCell ref="G28:I29"/>
    <mergeCell ref="A6:C6"/>
    <mergeCell ref="A7:C7"/>
    <mergeCell ref="G24:I24"/>
    <mergeCell ref="G25:I25"/>
    <mergeCell ref="G6:I6"/>
    <mergeCell ref="G7:I7"/>
  </mergeCells>
  <dataValidations count="1">
    <dataValidation type="list" allowBlank="1" showInputMessage="1" showErrorMessage="1" promptTitle="Select a Period:" prompt="Select Financial or Calendar years." sqref="G25 L27">
      <formula1>$AB$1:$AB$2</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39997558519241921"/>
  </sheetPr>
  <dimension ref="A1:AJ826"/>
  <sheetViews>
    <sheetView showGridLines="0" zoomScaleNormal="100" workbookViewId="0">
      <selection activeCell="T33" sqref="T33:U58"/>
    </sheetView>
  </sheetViews>
  <sheetFormatPr defaultRowHeight="15"/>
  <cols>
    <col min="1" max="1" width="7.85546875" style="20" bestFit="1" customWidth="1"/>
    <col min="2" max="2" width="13.140625" style="20" bestFit="1" customWidth="1"/>
    <col min="3" max="3" width="15.42578125" style="20" customWidth="1"/>
    <col min="4" max="5" width="11.5703125" style="25" hidden="1" customWidth="1"/>
    <col min="6" max="6" width="14.85546875" style="20" bestFit="1" customWidth="1"/>
    <col min="7" max="13" width="9.140625" style="20"/>
    <col min="14" max="15" width="0" style="20" hidden="1" customWidth="1"/>
    <col min="16" max="16" width="3" style="20" customWidth="1"/>
    <col min="17" max="17" width="13.28515625" style="20" customWidth="1"/>
    <col min="18" max="19" width="20.28515625" style="20" customWidth="1"/>
    <col min="20" max="34" width="9.140625" style="20"/>
    <col min="35" max="35" width="11.28515625" style="20" bestFit="1" customWidth="1"/>
    <col min="36" max="16384" width="9.140625" style="20"/>
  </cols>
  <sheetData>
    <row r="1" spans="1:19">
      <c r="A1" s="118" t="s">
        <v>369</v>
      </c>
    </row>
    <row r="2" spans="1:19">
      <c r="A2" s="118" t="s">
        <v>382</v>
      </c>
    </row>
    <row r="5" spans="1:19">
      <c r="A5" s="1992" t="s">
        <v>457</v>
      </c>
      <c r="B5" s="1992"/>
      <c r="C5" s="1992"/>
      <c r="D5" s="100"/>
      <c r="E5" s="100"/>
    </row>
    <row r="6" spans="1:19" ht="15.75" thickBot="1">
      <c r="A6" s="2009" t="s">
        <v>744</v>
      </c>
      <c r="B6" s="2009"/>
      <c r="C6" s="2009"/>
      <c r="D6" s="101"/>
      <c r="E6" s="101"/>
    </row>
    <row r="7" spans="1:19" ht="15.75" thickBot="1">
      <c r="A7" s="1409" t="s">
        <v>6</v>
      </c>
      <c r="B7" s="22" t="s">
        <v>47</v>
      </c>
      <c r="C7" s="23" t="s">
        <v>635</v>
      </c>
      <c r="D7" s="94"/>
      <c r="E7" s="94"/>
      <c r="Q7" s="1981" t="s">
        <v>750</v>
      </c>
      <c r="R7" s="1981"/>
      <c r="S7" s="1981"/>
    </row>
    <row r="8" spans="1:19" ht="15.75" thickBot="1">
      <c r="A8" s="1344">
        <v>36220</v>
      </c>
      <c r="B8" s="706">
        <v>607.9707503030304</v>
      </c>
      <c r="C8" s="705">
        <v>182.762</v>
      </c>
      <c r="D8" s="96">
        <f t="shared" ref="D8:D71" si="0">YEAR(A8)</f>
        <v>1999</v>
      </c>
      <c r="E8" s="98" t="str">
        <f>IF(MONTH(A8)=3,"1",IF(MONTH(A8)=6,"2",IF(MONTH(A8)=9,"3","4")))</f>
        <v>1</v>
      </c>
      <c r="Q8" s="1993" t="s">
        <v>43</v>
      </c>
      <c r="R8" s="1993"/>
      <c r="S8" s="1993"/>
    </row>
    <row r="9" spans="1:19" ht="15.75" thickBot="1">
      <c r="A9" s="1344">
        <v>36312</v>
      </c>
      <c r="B9" s="939">
        <v>615.53115151515146</v>
      </c>
      <c r="C9" s="940">
        <v>166.893</v>
      </c>
      <c r="D9" s="96">
        <f t="shared" si="0"/>
        <v>1999</v>
      </c>
      <c r="E9" s="98" t="str">
        <f t="shared" ref="E9:E72" si="1">IF(MONTH(A9)=3,"1",IF(MONTH(A9)=6,"2",IF(MONTH(A9)=9,"3","4")))</f>
        <v>2</v>
      </c>
      <c r="Q9" s="1411" t="s">
        <v>6</v>
      </c>
      <c r="R9" s="948" t="s">
        <v>47</v>
      </c>
      <c r="S9" s="949" t="s">
        <v>635</v>
      </c>
    </row>
    <row r="10" spans="1:19">
      <c r="A10" s="1344">
        <v>36404</v>
      </c>
      <c r="B10" s="706">
        <v>504.66172727272732</v>
      </c>
      <c r="C10" s="705">
        <v>156.68299999999999</v>
      </c>
      <c r="D10" s="96">
        <f t="shared" si="0"/>
        <v>1999</v>
      </c>
      <c r="E10" s="98" t="str">
        <f t="shared" si="1"/>
        <v>3</v>
      </c>
      <c r="Q10" s="1344">
        <f>LARGE(A$8:A$750,10)</f>
        <v>43525</v>
      </c>
      <c r="R10" s="932">
        <f t="shared" ref="R10:R19" si="2">SUMIF($A$8:$A$738,$Q10,B$8:B$750)</f>
        <v>230.07744727272726</v>
      </c>
      <c r="S10" s="933">
        <f t="shared" ref="S10:S19" si="3">SUMIF($A$8:$A$738,$Q10,C$8:C$750)</f>
        <v>164.42243355541385</v>
      </c>
    </row>
    <row r="11" spans="1:19">
      <c r="A11" s="1344">
        <v>36495</v>
      </c>
      <c r="B11" s="939">
        <v>595.74552818181803</v>
      </c>
      <c r="C11" s="940">
        <v>182.15100000000001</v>
      </c>
      <c r="D11" s="96">
        <f t="shared" si="0"/>
        <v>1999</v>
      </c>
      <c r="E11" s="98" t="str">
        <f t="shared" si="1"/>
        <v>4</v>
      </c>
      <c r="Q11" s="1344">
        <f>LARGE(A$8:A$750,9)</f>
        <v>43617</v>
      </c>
      <c r="R11" s="939">
        <f t="shared" si="2"/>
        <v>282.13175180606061</v>
      </c>
      <c r="S11" s="940">
        <f t="shared" si="3"/>
        <v>187.92049914552902</v>
      </c>
    </row>
    <row r="12" spans="1:19">
      <c r="A12" s="1344">
        <v>36586</v>
      </c>
      <c r="B12" s="706">
        <v>512.03651545454545</v>
      </c>
      <c r="C12" s="705">
        <v>174.09700000000001</v>
      </c>
      <c r="D12" s="96">
        <f t="shared" si="0"/>
        <v>2000</v>
      </c>
      <c r="E12" s="98" t="str">
        <f t="shared" si="1"/>
        <v>1</v>
      </c>
      <c r="Q12" s="1344">
        <f>LARGE(A$8:A$750,8)</f>
        <v>43709</v>
      </c>
      <c r="R12" s="706">
        <f t="shared" si="2"/>
        <v>266.20872970121206</v>
      </c>
      <c r="S12" s="705">
        <f t="shared" si="3"/>
        <v>163.96965803899189</v>
      </c>
    </row>
    <row r="13" spans="1:19">
      <c r="A13" s="1344">
        <v>36678</v>
      </c>
      <c r="B13" s="939">
        <v>692.56772727272732</v>
      </c>
      <c r="C13" s="940">
        <v>218.27099999999999</v>
      </c>
      <c r="D13" s="96">
        <f t="shared" si="0"/>
        <v>2000</v>
      </c>
      <c r="E13" s="98" t="str">
        <f t="shared" si="1"/>
        <v>2</v>
      </c>
      <c r="Q13" s="1344">
        <f>LARGE(A$8:A$750,7)</f>
        <v>43800</v>
      </c>
      <c r="R13" s="939">
        <f t="shared" si="2"/>
        <v>284.86224576060607</v>
      </c>
      <c r="S13" s="940">
        <f t="shared" si="3"/>
        <v>213.5988059211069</v>
      </c>
    </row>
    <row r="14" spans="1:19">
      <c r="A14" s="1344">
        <v>36770</v>
      </c>
      <c r="B14" s="706">
        <v>694.32842424242426</v>
      </c>
      <c r="C14" s="705">
        <v>224.471</v>
      </c>
      <c r="D14" s="96">
        <f t="shared" si="0"/>
        <v>2000</v>
      </c>
      <c r="E14" s="98" t="str">
        <f t="shared" si="1"/>
        <v>3</v>
      </c>
      <c r="Q14" s="1344">
        <f>LARGE(A$8:A$750,6)</f>
        <v>43891</v>
      </c>
      <c r="R14" s="706">
        <f t="shared" si="2"/>
        <v>280.45567884848481</v>
      </c>
      <c r="S14" s="705">
        <f t="shared" si="3"/>
        <v>176.87793696419902</v>
      </c>
    </row>
    <row r="15" spans="1:19">
      <c r="A15" s="1344">
        <v>36861</v>
      </c>
      <c r="B15" s="939">
        <v>620.45824242424248</v>
      </c>
      <c r="C15" s="940">
        <v>244.02</v>
      </c>
      <c r="D15" s="96">
        <f t="shared" si="0"/>
        <v>2000</v>
      </c>
      <c r="E15" s="98" t="str">
        <f t="shared" si="1"/>
        <v>4</v>
      </c>
      <c r="Q15" s="1344">
        <f>LARGE(A$8:A$750,5)</f>
        <v>43983</v>
      </c>
      <c r="R15" s="939">
        <f t="shared" si="2"/>
        <v>286.05264612121215</v>
      </c>
      <c r="S15" s="940">
        <f t="shared" si="3"/>
        <v>220.85130706165938</v>
      </c>
    </row>
    <row r="16" spans="1:19">
      <c r="A16" s="1344">
        <v>36951</v>
      </c>
      <c r="B16" s="706">
        <v>481.92836363636366</v>
      </c>
      <c r="C16" s="705">
        <v>207.05799999999999</v>
      </c>
      <c r="D16" s="96">
        <f t="shared" si="0"/>
        <v>2001</v>
      </c>
      <c r="E16" s="98" t="str">
        <f t="shared" si="1"/>
        <v>1</v>
      </c>
      <c r="Q16" s="1344">
        <f>LARGE(A$8:A$750,4)</f>
        <v>44075</v>
      </c>
      <c r="R16" s="706">
        <f t="shared" si="2"/>
        <v>295.96322115151514</v>
      </c>
      <c r="S16" s="705">
        <f t="shared" si="3"/>
        <v>204.03094745904173</v>
      </c>
    </row>
    <row r="17" spans="1:19">
      <c r="A17" s="1344">
        <v>37043</v>
      </c>
      <c r="B17" s="939">
        <v>557.10702909090901</v>
      </c>
      <c r="C17" s="940">
        <v>241.45699999999999</v>
      </c>
      <c r="D17" s="96">
        <f t="shared" si="0"/>
        <v>2001</v>
      </c>
      <c r="E17" s="98" t="str">
        <f t="shared" si="1"/>
        <v>2</v>
      </c>
      <c r="Q17" s="1344">
        <f>LARGE(A$8:A$750,3)</f>
        <v>44166</v>
      </c>
      <c r="R17" s="939">
        <f t="shared" si="2"/>
        <v>374.59849848484851</v>
      </c>
      <c r="S17" s="940">
        <f t="shared" si="3"/>
        <v>256.61730948303119</v>
      </c>
    </row>
    <row r="18" spans="1:19">
      <c r="A18" s="1344">
        <v>37135</v>
      </c>
      <c r="B18" s="706">
        <v>532.71918181818194</v>
      </c>
      <c r="C18" s="705">
        <v>229.02699999999999</v>
      </c>
      <c r="D18" s="96">
        <f t="shared" si="0"/>
        <v>2001</v>
      </c>
      <c r="E18" s="98" t="str">
        <f t="shared" si="1"/>
        <v>3</v>
      </c>
      <c r="Q18" s="1344">
        <f>LARGE(A$8:A$750,2)</f>
        <v>44256</v>
      </c>
      <c r="R18" s="706">
        <f t="shared" si="2"/>
        <v>257.09602363636367</v>
      </c>
      <c r="S18" s="705">
        <f t="shared" si="3"/>
        <v>176.99544584044929</v>
      </c>
    </row>
    <row r="19" spans="1:19" ht="15.75" thickBot="1">
      <c r="A19" s="1344">
        <v>37226</v>
      </c>
      <c r="B19" s="939">
        <v>509.69533333333339</v>
      </c>
      <c r="C19" s="940">
        <v>231.68299999999999</v>
      </c>
      <c r="D19" s="96">
        <f t="shared" si="0"/>
        <v>2001</v>
      </c>
      <c r="E19" s="98" t="str">
        <f t="shared" si="1"/>
        <v>4</v>
      </c>
      <c r="Q19" s="1345">
        <f>LARGE(A$8:A$750,1)</f>
        <v>44348</v>
      </c>
      <c r="R19" s="941">
        <f t="shared" si="2"/>
        <v>270.43576460606062</v>
      </c>
      <c r="S19" s="942">
        <f t="shared" si="3"/>
        <v>186.80293692137607</v>
      </c>
    </row>
    <row r="20" spans="1:19">
      <c r="A20" s="1344">
        <v>37316</v>
      </c>
      <c r="B20" s="706">
        <v>492.80342424242423</v>
      </c>
      <c r="C20" s="705">
        <v>188.23400000000001</v>
      </c>
      <c r="D20" s="96">
        <f t="shared" si="0"/>
        <v>2002</v>
      </c>
      <c r="E20" s="98" t="str">
        <f t="shared" si="1"/>
        <v>1</v>
      </c>
      <c r="Q20" s="2"/>
    </row>
    <row r="21" spans="1:19">
      <c r="A21" s="1344">
        <v>37408</v>
      </c>
      <c r="B21" s="939">
        <v>430.57439393939393</v>
      </c>
      <c r="C21" s="940">
        <v>201.25899999999999</v>
      </c>
      <c r="D21" s="96">
        <f t="shared" si="0"/>
        <v>2002</v>
      </c>
      <c r="E21" s="98" t="str">
        <f t="shared" si="1"/>
        <v>2</v>
      </c>
      <c r="Q21" s="2"/>
    </row>
    <row r="22" spans="1:19">
      <c r="A22" s="1344">
        <v>37500</v>
      </c>
      <c r="B22" s="706">
        <v>552.94709090909089</v>
      </c>
      <c r="C22" s="705">
        <v>219.47300000000001</v>
      </c>
      <c r="D22" s="96">
        <f t="shared" si="0"/>
        <v>2002</v>
      </c>
      <c r="E22" s="98" t="str">
        <f t="shared" si="1"/>
        <v>3</v>
      </c>
      <c r="Q22" s="2"/>
    </row>
    <row r="23" spans="1:19">
      <c r="A23" s="1344">
        <v>37591</v>
      </c>
      <c r="B23" s="939">
        <v>572.48742424242437</v>
      </c>
      <c r="C23" s="940">
        <v>257.88600000000002</v>
      </c>
      <c r="D23" s="96">
        <f t="shared" si="0"/>
        <v>2002</v>
      </c>
      <c r="E23" s="98" t="str">
        <f t="shared" si="1"/>
        <v>4</v>
      </c>
      <c r="Q23" s="2"/>
    </row>
    <row r="24" spans="1:19">
      <c r="A24" s="1344">
        <v>37681</v>
      </c>
      <c r="B24" s="706">
        <v>415.87169696969704</v>
      </c>
      <c r="C24" s="705">
        <v>179.92400000000001</v>
      </c>
      <c r="D24" s="96">
        <f t="shared" si="0"/>
        <v>2003</v>
      </c>
      <c r="E24" s="98" t="str">
        <f t="shared" si="1"/>
        <v>1</v>
      </c>
      <c r="Q24" s="2"/>
    </row>
    <row r="25" spans="1:19">
      <c r="A25" s="1344">
        <v>37773</v>
      </c>
      <c r="B25" s="939">
        <v>600.56672727272735</v>
      </c>
      <c r="C25" s="940">
        <v>201.46199999999999</v>
      </c>
      <c r="D25" s="96">
        <f t="shared" si="0"/>
        <v>2003</v>
      </c>
      <c r="E25" s="98" t="str">
        <f t="shared" si="1"/>
        <v>2</v>
      </c>
      <c r="Q25" s="2"/>
    </row>
    <row r="26" spans="1:19">
      <c r="A26" s="1344">
        <v>37865</v>
      </c>
      <c r="B26" s="706">
        <v>561.44992999999999</v>
      </c>
      <c r="C26" s="705">
        <v>183.99054675333332</v>
      </c>
      <c r="D26" s="96">
        <f t="shared" si="0"/>
        <v>2003</v>
      </c>
      <c r="E26" s="98" t="str">
        <f t="shared" si="1"/>
        <v>3</v>
      </c>
      <c r="Q26" s="2"/>
    </row>
    <row r="27" spans="1:19">
      <c r="A27" s="1344">
        <v>37956</v>
      </c>
      <c r="B27" s="939">
        <v>709.22357</v>
      </c>
      <c r="C27" s="940">
        <v>224.472241149697</v>
      </c>
      <c r="D27" s="96">
        <f t="shared" si="0"/>
        <v>2003</v>
      </c>
      <c r="E27" s="98" t="str">
        <f t="shared" si="1"/>
        <v>4</v>
      </c>
    </row>
    <row r="28" spans="1:19">
      <c r="A28" s="1344">
        <v>38047</v>
      </c>
      <c r="B28" s="706">
        <v>598.08763999999985</v>
      </c>
      <c r="C28" s="705">
        <v>167.37318637727273</v>
      </c>
      <c r="D28" s="96">
        <f t="shared" si="0"/>
        <v>2004</v>
      </c>
      <c r="E28" s="98" t="str">
        <f t="shared" si="1"/>
        <v>1</v>
      </c>
    </row>
    <row r="29" spans="1:19">
      <c r="A29" s="1344">
        <v>38139</v>
      </c>
      <c r="B29" s="939">
        <v>667.86923000000002</v>
      </c>
      <c r="C29" s="940">
        <v>201.70191933121214</v>
      </c>
      <c r="D29" s="96">
        <f t="shared" si="0"/>
        <v>2004</v>
      </c>
      <c r="E29" s="98" t="str">
        <f t="shared" si="1"/>
        <v>2</v>
      </c>
    </row>
    <row r="30" spans="1:19">
      <c r="A30" s="1344">
        <v>38231</v>
      </c>
      <c r="B30" s="706">
        <v>598.51212999999996</v>
      </c>
      <c r="C30" s="705">
        <v>185.35964952</v>
      </c>
      <c r="D30" s="96">
        <f t="shared" si="0"/>
        <v>2004</v>
      </c>
      <c r="E30" s="98" t="str">
        <f t="shared" si="1"/>
        <v>3</v>
      </c>
    </row>
    <row r="31" spans="1:19">
      <c r="A31" s="1344">
        <v>38322</v>
      </c>
      <c r="B31" s="939">
        <v>690.77266999999995</v>
      </c>
      <c r="C31" s="940">
        <v>210.47602398363637</v>
      </c>
      <c r="D31" s="96">
        <f t="shared" si="0"/>
        <v>2004</v>
      </c>
      <c r="E31" s="98" t="str">
        <f t="shared" si="1"/>
        <v>4</v>
      </c>
    </row>
    <row r="32" spans="1:19" ht="15.75" thickBot="1">
      <c r="A32" s="1344">
        <v>38412</v>
      </c>
      <c r="B32" s="706">
        <v>577.42081000000007</v>
      </c>
      <c r="C32" s="705">
        <v>163.20437653696968</v>
      </c>
      <c r="D32" s="96">
        <f t="shared" si="0"/>
        <v>2005</v>
      </c>
      <c r="E32" s="98" t="str">
        <f t="shared" si="1"/>
        <v>1</v>
      </c>
    </row>
    <row r="33" spans="1:36" ht="15.75" thickBot="1">
      <c r="A33" s="1344">
        <v>38504</v>
      </c>
      <c r="B33" s="939">
        <v>733.49322999999993</v>
      </c>
      <c r="C33" s="940">
        <v>249.406867639697</v>
      </c>
      <c r="D33" s="96">
        <f t="shared" si="0"/>
        <v>2005</v>
      </c>
      <c r="E33" s="98" t="str">
        <f t="shared" si="1"/>
        <v>2</v>
      </c>
      <c r="Q33" s="403" t="s">
        <v>383</v>
      </c>
      <c r="R33" s="2035" t="s">
        <v>382</v>
      </c>
      <c r="S33" s="2036"/>
    </row>
    <row r="34" spans="1:36" ht="15.75" thickBot="1">
      <c r="A34" s="1344">
        <v>38596</v>
      </c>
      <c r="B34" s="706">
        <v>638.90314000000001</v>
      </c>
      <c r="C34" s="705">
        <v>206.5326046829091</v>
      </c>
      <c r="D34" s="96">
        <f t="shared" si="0"/>
        <v>2005</v>
      </c>
      <c r="E34" s="98" t="str">
        <f t="shared" si="1"/>
        <v>3</v>
      </c>
      <c r="Q34" s="1975" t="str">
        <f>CONCATENATE(A5," Quantity And Value By Year")</f>
        <v>Mineral Sands Quantity And Value By Year</v>
      </c>
      <c r="R34" s="1976"/>
      <c r="S34" s="1977"/>
    </row>
    <row r="35" spans="1:36" ht="15.75" thickBot="1">
      <c r="A35" s="1344">
        <v>38687</v>
      </c>
      <c r="B35" s="939">
        <v>685.25354000000004</v>
      </c>
      <c r="C35" s="940">
        <v>227.64974277981818</v>
      </c>
      <c r="D35" s="96">
        <f t="shared" si="0"/>
        <v>2005</v>
      </c>
      <c r="E35" s="98" t="str">
        <f t="shared" si="1"/>
        <v>4</v>
      </c>
      <c r="Q35" s="1412" t="s">
        <v>41</v>
      </c>
      <c r="R35" s="944" t="str">
        <f>B7</f>
        <v>Quantity (Kt)</v>
      </c>
      <c r="S35" s="945" t="str">
        <f>C7</f>
        <v>Value ($ Million)</v>
      </c>
    </row>
    <row r="36" spans="1:36">
      <c r="A36" s="1344">
        <v>38777</v>
      </c>
      <c r="B36" s="706">
        <v>460.74187000000001</v>
      </c>
      <c r="C36" s="705">
        <v>187.91728033527272</v>
      </c>
      <c r="D36" s="96">
        <f t="shared" si="0"/>
        <v>2006</v>
      </c>
      <c r="E36" s="98" t="str">
        <f t="shared" si="1"/>
        <v>1</v>
      </c>
      <c r="Q36" s="1346" t="str">
        <f>IF($R$33="Calendar Year",YEAR(MIN($A$8:$A$200)),CONCATENATE(YEAR(MIN($A$8:$A$200)),"-",((YEAR(MIN($A$8:$A$200))+1))))</f>
        <v>1999-2000</v>
      </c>
      <c r="R36" s="751">
        <f>IF($R$33="Calendar Year",SUMIF($D$8:$D$200,$Q36,$B$8:$B$200),SUMIFS($B$8:$B$200,$D$8:$D$200,LEFT($Q36,4),$E$8:$E$200,3)+SUMIFS($B$8:$B$200,$D$8:$D$200,LEFT($Q36,4),$E$8:$E$200,4)+SUMIFS($B$8:$B$200,$D$8:$D$200,LEFT($Q36,4)+1,$E$8:$E$200,1)+SUMIFS($B$8:$B$200,$D$8:$D$200,LEFT($Q36,4)+1,$E$8:$E$200,2))</f>
        <v>2305.0114981818178</v>
      </c>
      <c r="S36" s="752">
        <f>IF($R$33="Calendar Year",SUMIF($D$8:$D$200,$Q36,$C$8:$C$200),SUMIFS($C$8:$C$200,$D$8:$D$200,LEFT($Q36,4),$E$8:$E$200,3)+SUMIFS($C$8:$C$200,$D$8:$D$200,LEFT($Q36,4),$E$8:$E$200,4)+SUMIFS($C$8:$C$200,$D$8:$D$200,LEFT($Q36,4)+1,$E$8:$E$200,1)+SUMIFS($C$8:$C$200,$D$8:$D$200,LEFT($Q36,4)+1,$E$8:$E$200,2))</f>
        <v>731.202</v>
      </c>
    </row>
    <row r="37" spans="1:36">
      <c r="A37" s="1344">
        <v>38869</v>
      </c>
      <c r="B37" s="939">
        <v>662.94859899999994</v>
      </c>
      <c r="C37" s="940">
        <v>213.5316214871273</v>
      </c>
      <c r="D37" s="96">
        <f t="shared" si="0"/>
        <v>2006</v>
      </c>
      <c r="E37" s="98" t="str">
        <f t="shared" si="1"/>
        <v>2</v>
      </c>
      <c r="Q37" s="1346" t="str">
        <f>IFERROR(IF(YEAR(MAX('Commodity Prices'!$C$9:$C4984))=VALUE(RIGHT(Q36,4)),"",IF($R$33="Calendar Year",Q36+1,CONCATENATE(LEFT(Q36,4)+1,"-",RIGHT(Q36,4)+1))),"")</f>
        <v>2000-2001</v>
      </c>
      <c r="R37" s="946">
        <f>IF(Q37="","",IF($R$33="Calendar Year",SUMIF($D$8:$D$200,$Q37,$B$8:$B$200),SUMIFS($B$8:$B$200,$D$8:$D$200,LEFT($Q37,4),$E$8:$E$200,3)+SUMIFS($B$8:$B$200,$D$8:$D$200,LEFT($Q37,4),$E$8:$E$200,4)+SUMIFS($B$8:$B$200,$D$8:$D$200,LEFT($Q37,4)+1,$E$8:$E$200,1)+SUMIFS($B$8:$B$200,$D$8:$D$200,LEFT($Q37,4)+1,$E$8:$E$200,2)))</f>
        <v>2353.8220593939395</v>
      </c>
      <c r="S37" s="947">
        <f t="shared" ref="S37:S52" si="4">IF(Q37="","",IF($R$33="Calendar Year",SUMIF($D$8:$D$200,$Q37,$C$8:$C$200),SUMIFS($C$8:$C$200,$D$8:$D$200,LEFT($Q37,4),$E$8:$E$200,3)+SUMIFS($C$8:$C$200,$D$8:$D$200,LEFT($Q37,4),$E$8:$E$200,4)+SUMIFS($C$8:$C$200,$D$8:$D$200,LEFT($Q37,4)+1,$E$8:$E$200,1)+SUMIFS($C$8:$C$200,$D$8:$D$200,LEFT($Q37,4)+1,$E$8:$E$200,2)))</f>
        <v>917.00599999999997</v>
      </c>
      <c r="AE37" s="492"/>
      <c r="AF37" s="492"/>
      <c r="AG37" s="492"/>
      <c r="AH37" s="492"/>
      <c r="AI37" s="492"/>
      <c r="AJ37" s="492"/>
    </row>
    <row r="38" spans="1:36">
      <c r="A38" s="1344">
        <v>38961</v>
      </c>
      <c r="B38" s="706">
        <v>667.25884000000008</v>
      </c>
      <c r="C38" s="705">
        <v>221.68141107430307</v>
      </c>
      <c r="D38" s="96">
        <f t="shared" si="0"/>
        <v>2006</v>
      </c>
      <c r="E38" s="98" t="str">
        <f t="shared" si="1"/>
        <v>3</v>
      </c>
      <c r="Q38" s="1346" t="str">
        <f>IFERROR(IF(YEAR(MAX('Commodity Prices'!$C$9:$C4985))=VALUE(RIGHT(Q37,4)),"",IF($R$33="Calendar Year",Q37+1,CONCATENATE(LEFT(Q37,4)+1,"-",RIGHT(Q37,4)+1))),"")</f>
        <v>2001-2002</v>
      </c>
      <c r="R38" s="753">
        <f t="shared" ref="R38:R61" si="5">IF(Q38="","",IF($R$33="Calendar Year",SUMIF($D$8:$D$200,$Q38,$B$8:$B$200),SUMIFS($B$8:$B$200,$D$8:$D$200,LEFT($Q38,4),$E$8:$E$200,3)+SUMIFS($B$8:$B$200,$D$8:$D$200,LEFT($Q38,4),$E$8:$E$200,4)+SUMIFS($B$8:$B$200,$D$8:$D$200,LEFT($Q38,4)+1,$E$8:$E$200,1)+SUMIFS($B$8:$B$200,$D$8:$D$200,LEFT($Q38,4)+1,$E$8:$E$200,2)))</f>
        <v>1965.7923333333335</v>
      </c>
      <c r="S38" s="754">
        <f t="shared" si="4"/>
        <v>850.20299999999997</v>
      </c>
      <c r="AE38" s="492"/>
      <c r="AF38" s="492"/>
      <c r="AG38" s="492"/>
      <c r="AH38" s="492"/>
      <c r="AI38" s="492"/>
      <c r="AJ38" s="492"/>
    </row>
    <row r="39" spans="1:36">
      <c r="A39" s="1344">
        <v>39052</v>
      </c>
      <c r="B39" s="939">
        <v>839.01774900000009</v>
      </c>
      <c r="C39" s="940">
        <v>263.13249746460605</v>
      </c>
      <c r="D39" s="96">
        <f t="shared" si="0"/>
        <v>2006</v>
      </c>
      <c r="E39" s="98" t="str">
        <f t="shared" si="1"/>
        <v>4</v>
      </c>
      <c r="Q39" s="1346" t="str">
        <f>IFERROR(IF(YEAR(MAX('Commodity Prices'!$C$9:$C4986))=VALUE(RIGHT(Q38,4)),"",IF($R$33="Calendar Year",Q38+1,CONCATENATE(LEFT(Q38,4)+1,"-",RIGHT(Q38,4)+1))),"")</f>
        <v>2002-2003</v>
      </c>
      <c r="R39" s="946">
        <f t="shared" si="5"/>
        <v>2141.8729393939398</v>
      </c>
      <c r="S39" s="947">
        <f t="shared" si="4"/>
        <v>858.745</v>
      </c>
      <c r="AE39" s="492"/>
      <c r="AF39" s="492"/>
      <c r="AG39" s="492"/>
      <c r="AH39" s="492"/>
      <c r="AI39" s="492"/>
      <c r="AJ39" s="492"/>
    </row>
    <row r="40" spans="1:36">
      <c r="A40" s="1344">
        <v>39142</v>
      </c>
      <c r="B40" s="706">
        <v>712.67406999999992</v>
      </c>
      <c r="C40" s="705">
        <v>208.19747113642427</v>
      </c>
      <c r="D40" s="96">
        <f t="shared" si="0"/>
        <v>2007</v>
      </c>
      <c r="E40" s="98" t="str">
        <f t="shared" si="1"/>
        <v>1</v>
      </c>
      <c r="Q40" s="1346" t="str">
        <f>IFERROR(IF(YEAR(MAX('Commodity Prices'!$C$9:$C4987))=VALUE(RIGHT(Q39,4)),"",IF($R$33="Calendar Year",Q39+1,CONCATENATE(LEFT(Q39,4)+1,"-",RIGHT(Q39,4)+1))),"")</f>
        <v>2003-2004</v>
      </c>
      <c r="R40" s="753">
        <f t="shared" si="5"/>
        <v>2536.6303699999999</v>
      </c>
      <c r="S40" s="754">
        <f t="shared" si="4"/>
        <v>777.53789361151519</v>
      </c>
      <c r="AE40" s="492"/>
      <c r="AF40" s="492"/>
      <c r="AG40" s="492"/>
      <c r="AH40" s="492"/>
      <c r="AI40" s="492"/>
      <c r="AJ40" s="492"/>
    </row>
    <row r="41" spans="1:36">
      <c r="A41" s="1344">
        <v>39234</v>
      </c>
      <c r="B41" s="939">
        <v>525.55197999999996</v>
      </c>
      <c r="C41" s="940">
        <v>152.51562924866667</v>
      </c>
      <c r="D41" s="96">
        <f t="shared" si="0"/>
        <v>2007</v>
      </c>
      <c r="E41" s="98" t="str">
        <f t="shared" si="1"/>
        <v>2</v>
      </c>
      <c r="Q41" s="1346" t="str">
        <f>IFERROR(IF(YEAR(MAX('Commodity Prices'!$C$9:$C4988))=VALUE(RIGHT(Q40,4)),"",IF($R$33="Calendar Year",Q40+1,CONCATENATE(LEFT(Q40,4)+1,"-",RIGHT(Q40,4)+1))),"")</f>
        <v>2004-2005</v>
      </c>
      <c r="R41" s="946">
        <f t="shared" si="5"/>
        <v>2600.19884</v>
      </c>
      <c r="S41" s="947">
        <f t="shared" si="4"/>
        <v>808.44691768030305</v>
      </c>
      <c r="AE41" s="492"/>
      <c r="AF41" s="492"/>
      <c r="AG41" s="492"/>
      <c r="AH41" s="492"/>
      <c r="AI41" s="492"/>
      <c r="AJ41" s="492"/>
    </row>
    <row r="42" spans="1:36">
      <c r="A42" s="1344">
        <v>39326</v>
      </c>
      <c r="B42" s="706">
        <v>579.62850000000003</v>
      </c>
      <c r="C42" s="705">
        <v>139.81280604818181</v>
      </c>
      <c r="D42" s="96">
        <f t="shared" si="0"/>
        <v>2007</v>
      </c>
      <c r="E42" s="98" t="str">
        <f t="shared" si="1"/>
        <v>3</v>
      </c>
      <c r="Q42" s="1346" t="str">
        <f>IFERROR(IF(YEAR(MAX('Commodity Prices'!$C$9:$C4989))=VALUE(RIGHT(Q41,4)),"",IF($R$33="Calendar Year",Q41+1,CONCATENATE(LEFT(Q41,4)+1,"-",RIGHT(Q41,4)+1))),"")</f>
        <v>2005-2006</v>
      </c>
      <c r="R42" s="753">
        <f t="shared" si="5"/>
        <v>2447.8471490000002</v>
      </c>
      <c r="S42" s="754">
        <f t="shared" si="4"/>
        <v>835.6312492851273</v>
      </c>
      <c r="AE42" s="492"/>
      <c r="AF42" s="492"/>
      <c r="AG42" s="492"/>
      <c r="AH42" s="492"/>
      <c r="AI42" s="492"/>
      <c r="AJ42" s="492"/>
    </row>
    <row r="43" spans="1:36">
      <c r="A43" s="1344">
        <v>39417</v>
      </c>
      <c r="B43" s="939">
        <v>671.90129000000002</v>
      </c>
      <c r="C43" s="940">
        <v>190.52980717102545</v>
      </c>
      <c r="D43" s="96">
        <f t="shared" si="0"/>
        <v>2007</v>
      </c>
      <c r="E43" s="98" t="str">
        <f t="shared" si="1"/>
        <v>4</v>
      </c>
      <c r="Q43" s="1346" t="str">
        <f>IFERROR(IF(YEAR(MAX('Commodity Prices'!$C$9:$C4990))=VALUE(RIGHT(Q42,4)),"",IF($R$33="Calendar Year",Q42+1,CONCATENATE(LEFT(Q42,4)+1,"-",RIGHT(Q42,4)+1))),"")</f>
        <v>2006-2007</v>
      </c>
      <c r="R43" s="946">
        <f t="shared" si="5"/>
        <v>2744.5026390000003</v>
      </c>
      <c r="S43" s="947">
        <f t="shared" si="4"/>
        <v>845.52700892400003</v>
      </c>
      <c r="AE43" s="492"/>
      <c r="AF43" s="492"/>
      <c r="AG43" s="492"/>
      <c r="AH43" s="492"/>
      <c r="AI43" s="492"/>
      <c r="AJ43" s="492"/>
    </row>
    <row r="44" spans="1:36">
      <c r="A44" s="1344">
        <v>39508</v>
      </c>
      <c r="B44" s="706">
        <v>563.33965000000001</v>
      </c>
      <c r="C44" s="705">
        <v>150.9215735699818</v>
      </c>
      <c r="D44" s="96">
        <f t="shared" si="0"/>
        <v>2008</v>
      </c>
      <c r="E44" s="98" t="str">
        <f t="shared" si="1"/>
        <v>1</v>
      </c>
      <c r="Q44" s="1346" t="str">
        <f>IFERROR(IF(YEAR(MAX('Commodity Prices'!$C$9:$C4991))=VALUE(RIGHT(Q43,4)),"",IF($R$33="Calendar Year",Q43+1,CONCATENATE(LEFT(Q43,4)+1,"-",RIGHT(Q43,4)+1))),"")</f>
        <v>2007-2008</v>
      </c>
      <c r="R44" s="753">
        <f t="shared" si="5"/>
        <v>2492.9801179999999</v>
      </c>
      <c r="S44" s="754">
        <f t="shared" si="4"/>
        <v>677.25430563102907</v>
      </c>
      <c r="AE44" s="492"/>
      <c r="AF44" s="492"/>
      <c r="AG44" s="492"/>
      <c r="AH44" s="492"/>
      <c r="AI44" s="492"/>
      <c r="AJ44" s="492"/>
    </row>
    <row r="45" spans="1:36">
      <c r="A45" s="1344">
        <v>39600</v>
      </c>
      <c r="B45" s="939">
        <v>678.11067800000001</v>
      </c>
      <c r="C45" s="940">
        <v>195.99011884184003</v>
      </c>
      <c r="D45" s="96">
        <f t="shared" si="0"/>
        <v>2008</v>
      </c>
      <c r="E45" s="98" t="str">
        <f t="shared" si="1"/>
        <v>2</v>
      </c>
      <c r="Q45" s="1346" t="str">
        <f>IFERROR(IF(YEAR(MAX('Commodity Prices'!$C$9:$C4992))=VALUE(RIGHT(Q44,4)),"",IF($R$33="Calendar Year",Q44+1,CONCATENATE(LEFT(Q44,4)+1,"-",RIGHT(Q44,4)+1))),"")</f>
        <v>2008-2009</v>
      </c>
      <c r="R45" s="946">
        <f t="shared" si="5"/>
        <v>1989.43614</v>
      </c>
      <c r="S45" s="947">
        <f t="shared" si="4"/>
        <v>704.60226726061012</v>
      </c>
      <c r="AE45" s="492"/>
      <c r="AF45" s="492"/>
      <c r="AG45" s="492"/>
      <c r="AH45" s="492"/>
      <c r="AI45" s="492"/>
      <c r="AJ45" s="492"/>
    </row>
    <row r="46" spans="1:36">
      <c r="A46" s="1344">
        <v>39692</v>
      </c>
      <c r="B46" s="706">
        <v>563.2937730000001</v>
      </c>
      <c r="C46" s="705">
        <v>203.25011357072</v>
      </c>
      <c r="D46" s="96">
        <f t="shared" si="0"/>
        <v>2008</v>
      </c>
      <c r="E46" s="98" t="str">
        <f t="shared" si="1"/>
        <v>3</v>
      </c>
      <c r="Q46" s="1346" t="str">
        <f>IFERROR(IF(YEAR(MAX('Commodity Prices'!$C$9:$C4993))=VALUE(RIGHT(Q45,4)),"",IF($R$33="Calendar Year",Q45+1,CONCATENATE(LEFT(Q45,4)+1,"-",RIGHT(Q45,4)+1))),"")</f>
        <v>2009-2010</v>
      </c>
      <c r="R46" s="753">
        <f t="shared" si="5"/>
        <v>1899.58538</v>
      </c>
      <c r="S46" s="754">
        <f t="shared" si="4"/>
        <v>664.48502962650196</v>
      </c>
      <c r="AE46" s="492"/>
      <c r="AF46" s="492"/>
      <c r="AG46" s="492"/>
      <c r="AH46" s="492"/>
      <c r="AI46" s="492"/>
      <c r="AJ46" s="492"/>
    </row>
    <row r="47" spans="1:36">
      <c r="A47" s="1344">
        <v>39783</v>
      </c>
      <c r="B47" s="939">
        <v>543.64428799999996</v>
      </c>
      <c r="C47" s="940">
        <v>226.97491200870695</v>
      </c>
      <c r="D47" s="96">
        <f t="shared" si="0"/>
        <v>2008</v>
      </c>
      <c r="E47" s="98" t="str">
        <f t="shared" si="1"/>
        <v>4</v>
      </c>
      <c r="Q47" s="1346" t="str">
        <f>IFERROR(IF(YEAR(MAX('Commodity Prices'!$C$9:$C4994))=VALUE(RIGHT(Q46,4)),"",IF($R$33="Calendar Year",Q46+1,CONCATENATE(LEFT(Q46,4)+1,"-",RIGHT(Q46,4)+1))),"")</f>
        <v>2010-2011</v>
      </c>
      <c r="R47" s="946">
        <f t="shared" si="5"/>
        <v>1416.7950290000001</v>
      </c>
      <c r="S47" s="947">
        <f t="shared" si="4"/>
        <v>476.18254696690906</v>
      </c>
      <c r="AE47" s="492"/>
      <c r="AF47" s="492"/>
      <c r="AG47" s="492"/>
      <c r="AH47" s="492"/>
      <c r="AI47" s="492"/>
      <c r="AJ47" s="492"/>
    </row>
    <row r="48" spans="1:36">
      <c r="A48" s="1344">
        <v>39873</v>
      </c>
      <c r="B48" s="706">
        <v>494.34247199999993</v>
      </c>
      <c r="C48" s="705">
        <v>160.56678365354668</v>
      </c>
      <c r="D48" s="96">
        <f t="shared" si="0"/>
        <v>2009</v>
      </c>
      <c r="E48" s="98" t="str">
        <f t="shared" si="1"/>
        <v>1</v>
      </c>
      <c r="Q48" s="1346" t="str">
        <f>IFERROR(IF(YEAR(MAX('Commodity Prices'!$C$9:$C4995))=VALUE(RIGHT(Q47,4)),"",IF($R$33="Calendar Year",Q47+1,CONCATENATE(LEFT(Q47,4)+1,"-",RIGHT(Q47,4)+1))),"")</f>
        <v>2011-2012</v>
      </c>
      <c r="R48" s="753">
        <f t="shared" si="5"/>
        <v>1415.5614430000001</v>
      </c>
      <c r="S48" s="754">
        <f t="shared" si="4"/>
        <v>864.11256307318536</v>
      </c>
    </row>
    <row r="49" spans="1:19">
      <c r="A49" s="1344">
        <v>39965</v>
      </c>
      <c r="B49" s="939">
        <v>388.15560699999997</v>
      </c>
      <c r="C49" s="940">
        <v>113.81045802763637</v>
      </c>
      <c r="D49" s="96">
        <f t="shared" si="0"/>
        <v>2009</v>
      </c>
      <c r="E49" s="98" t="str">
        <f t="shared" si="1"/>
        <v>2</v>
      </c>
      <c r="Q49" s="1346" t="str">
        <f>IFERROR(IF(YEAR(MAX('Commodity Prices'!$C$9:$C4996))=VALUE(RIGHT(Q48,4)),"",IF($R$33="Calendar Year",Q48+1,CONCATENATE(LEFT(Q48,4)+1,"-",RIGHT(Q48,4)+1))),"")</f>
        <v>2012-2013</v>
      </c>
      <c r="R49" s="946">
        <f t="shared" si="5"/>
        <v>1355.3569259999999</v>
      </c>
      <c r="S49" s="947">
        <f t="shared" si="4"/>
        <v>810.67967457436362</v>
      </c>
    </row>
    <row r="50" spans="1:19">
      <c r="A50" s="1344">
        <v>40057</v>
      </c>
      <c r="B50" s="706">
        <v>448.44291999999996</v>
      </c>
      <c r="C50" s="705">
        <v>161.38295638874911</v>
      </c>
      <c r="D50" s="96">
        <f t="shared" si="0"/>
        <v>2009</v>
      </c>
      <c r="E50" s="98" t="str">
        <f t="shared" si="1"/>
        <v>3</v>
      </c>
      <c r="Q50" s="1346" t="str">
        <f>IFERROR(IF(YEAR(MAX('Commodity Prices'!$C$9:$C4997))=VALUE(RIGHT(Q49,4)),"",IF($R$33="Calendar Year",Q49+1,CONCATENATE(LEFT(Q49,4)+1,"-",RIGHT(Q49,4)+1))),"")</f>
        <v>2013-2014</v>
      </c>
      <c r="R50" s="753">
        <f t="shared" si="5"/>
        <v>1017.1688641515152</v>
      </c>
      <c r="S50" s="754">
        <f t="shared" si="4"/>
        <v>471.03130640545459</v>
      </c>
    </row>
    <row r="51" spans="1:19">
      <c r="A51" s="1344">
        <v>40148</v>
      </c>
      <c r="B51" s="939">
        <v>550.50907999999993</v>
      </c>
      <c r="C51" s="940">
        <v>206.07074279666182</v>
      </c>
      <c r="D51" s="96">
        <f t="shared" si="0"/>
        <v>2009</v>
      </c>
      <c r="E51" s="98" t="str">
        <f t="shared" si="1"/>
        <v>4</v>
      </c>
      <c r="Q51" s="1346" t="str">
        <f>IFERROR(IF(YEAR(MAX('Commodity Prices'!$C$9:$C4998))=VALUE(RIGHT(Q50,4)),"",IF($R$33="Calendar Year",Q50+1,CONCATENATE(LEFT(Q50,4)+1,"-",RIGHT(Q50,4)+1))),"")</f>
        <v>2014-2015</v>
      </c>
      <c r="R51" s="946">
        <f t="shared" si="5"/>
        <v>853.848618466483</v>
      </c>
      <c r="S51" s="947">
        <f t="shared" si="4"/>
        <v>470.6305509320938</v>
      </c>
    </row>
    <row r="52" spans="1:19">
      <c r="A52" s="1344">
        <v>40238</v>
      </c>
      <c r="B52" s="706">
        <v>432.03534000000002</v>
      </c>
      <c r="C52" s="705">
        <v>146.44246715351517</v>
      </c>
      <c r="D52" s="96">
        <f t="shared" si="0"/>
        <v>2010</v>
      </c>
      <c r="E52" s="98" t="str">
        <f t="shared" si="1"/>
        <v>1</v>
      </c>
      <c r="Q52" s="1346" t="str">
        <f>IFERROR(IF(YEAR(MAX('Commodity Prices'!$C$9:$C4999))=VALUE(RIGHT(Q51,4)),"",IF($R$33="Calendar Year",Q51+1,CONCATENATE(LEFT(Q51,4)+1,"-",RIGHT(Q51,4)+1))),"")</f>
        <v>2015-2016</v>
      </c>
      <c r="R52" s="753">
        <f t="shared" si="5"/>
        <v>958.10269050097577</v>
      </c>
      <c r="S52" s="754">
        <f t="shared" si="4"/>
        <v>571.54806013582822</v>
      </c>
    </row>
    <row r="53" spans="1:19">
      <c r="A53" s="1344">
        <v>40330</v>
      </c>
      <c r="B53" s="939">
        <v>468.59804000000003</v>
      </c>
      <c r="C53" s="940">
        <v>150.58886328757575</v>
      </c>
      <c r="D53" s="96">
        <f t="shared" si="0"/>
        <v>2010</v>
      </c>
      <c r="E53" s="98" t="str">
        <f t="shared" si="1"/>
        <v>2</v>
      </c>
      <c r="Q53" s="1346" t="str">
        <f>IFERROR(IF(YEAR(MAX('Commodity Prices'!$C$9:$C5000))=VALUE(RIGHT(Q52,4)),"",IF($R$33="Calendar Year",Q52+1,CONCATENATE(LEFT(Q52,4)+1,"-",RIGHT(Q52,4)+1))),"")</f>
        <v>2016-2017</v>
      </c>
      <c r="R53" s="946">
        <f t="shared" ref="R53:R57" si="6">IF(Q53="","",IF($R$33="Calendar Year",SUMIF($D$8:$D$200,$Q53,$B$8:$B$200),SUMIFS($B$8:$B$200,$D$8:$D$200,LEFT($Q53,4),$E$8:$E$200,3)+SUMIFS($B$8:$B$200,$D$8:$D$200,LEFT($Q53,4),$E$8:$E$200,4)+SUMIFS($B$8:$B$200,$D$8:$D$200,LEFT($Q53,4)+1,$E$8:$E$200,1)+SUMIFS($B$8:$B$200,$D$8:$D$200,LEFT($Q53,4)+1,$E$8:$E$200,2)))</f>
        <v>1238.9820773333333</v>
      </c>
      <c r="S53" s="947">
        <f t="shared" ref="S53:S57" si="7">IF(Q53="","",IF($R$33="Calendar Year",SUMIF($D$8:$D$200,$Q53,$C$8:$C$200),SUMIFS($C$8:$C$200,$D$8:$D$200,LEFT($Q53,4),$E$8:$E$200,3)+SUMIFS($C$8:$C$200,$D$8:$D$200,LEFT($Q53,4),$E$8:$E$200,4)+SUMIFS($C$8:$C$200,$D$8:$D$200,LEFT($Q53,4)+1,$E$8:$E$200,1)+SUMIFS($C$8:$C$200,$D$8:$D$200,LEFT($Q53,4)+1,$E$8:$E$200,2)))</f>
        <v>583.44693704640042</v>
      </c>
    </row>
    <row r="54" spans="1:19">
      <c r="A54" s="1344">
        <v>40422</v>
      </c>
      <c r="B54" s="706">
        <v>369.87650800000006</v>
      </c>
      <c r="C54" s="705">
        <v>119.27838987599999</v>
      </c>
      <c r="D54" s="96">
        <f t="shared" si="0"/>
        <v>2010</v>
      </c>
      <c r="E54" s="98" t="str">
        <f t="shared" si="1"/>
        <v>3</v>
      </c>
      <c r="F54" s="333"/>
      <c r="Q54" s="1346" t="str">
        <f>IFERROR(IF(YEAR(MAX('Commodity Prices'!$C$9:$C5001))=VALUE(RIGHT(Q53,4)),"",IF($R$33="Calendar Year",Q53+1,CONCATENATE(LEFT(Q53,4)+1,"-",RIGHT(Q53,4)+1))),"")</f>
        <v>2017-2018</v>
      </c>
      <c r="R54" s="753">
        <f t="shared" si="6"/>
        <v>894.46903266666675</v>
      </c>
      <c r="S54" s="754">
        <f t="shared" si="7"/>
        <v>550.39225787739633</v>
      </c>
    </row>
    <row r="55" spans="1:19">
      <c r="A55" s="1344">
        <v>40513</v>
      </c>
      <c r="B55" s="939">
        <v>328.74014699999998</v>
      </c>
      <c r="C55" s="940">
        <v>110.16079512666667</v>
      </c>
      <c r="D55" s="96">
        <f t="shared" si="0"/>
        <v>2010</v>
      </c>
      <c r="E55" s="98" t="str">
        <f t="shared" si="1"/>
        <v>4</v>
      </c>
      <c r="F55" s="333"/>
      <c r="Q55" s="1346" t="str">
        <f>IFERROR(IF(YEAR(MAX('Commodity Prices'!$C$9:$C5002))=VALUE(RIGHT(Q54,4)),"",IF($R$33="Calendar Year",Q54+1,CONCATENATE(LEFT(Q54,4)+1,"-",RIGHT(Q54,4)+1))),"")</f>
        <v>2018-2019</v>
      </c>
      <c r="R55" s="946">
        <f t="shared" si="6"/>
        <v>1022.9388255030303</v>
      </c>
      <c r="S55" s="947">
        <f t="shared" si="7"/>
        <v>714.99888109164658</v>
      </c>
    </row>
    <row r="56" spans="1:19">
      <c r="A56" s="1344">
        <v>40603</v>
      </c>
      <c r="B56" s="706">
        <v>369.869034</v>
      </c>
      <c r="C56" s="705">
        <v>113.38754588096971</v>
      </c>
      <c r="D56" s="96">
        <f t="shared" si="0"/>
        <v>2011</v>
      </c>
      <c r="E56" s="98" t="str">
        <f t="shared" si="1"/>
        <v>1</v>
      </c>
      <c r="F56" s="333"/>
      <c r="Q56" s="1346" t="str">
        <f>IFERROR(IF(YEAR(MAX('Commodity Prices'!$C$9:$C5003))=VALUE(RIGHT(Q55,4)),"",IF($R$33="Calendar Year",Q55+1,CONCATENATE(LEFT(Q55,4)+1,"-",RIGHT(Q55,4)+1))),"")</f>
        <v>2019-2020</v>
      </c>
      <c r="R56" s="753">
        <f t="shared" si="6"/>
        <v>1117.5793004315151</v>
      </c>
      <c r="S56" s="754">
        <f t="shared" si="7"/>
        <v>775.29770798595723</v>
      </c>
    </row>
    <row r="57" spans="1:19" ht="15.75" thickBot="1">
      <c r="A57" s="1344">
        <v>40695</v>
      </c>
      <c r="B57" s="939">
        <v>348.30933999999996</v>
      </c>
      <c r="C57" s="940">
        <v>133.35581608327271</v>
      </c>
      <c r="D57" s="96">
        <f t="shared" si="0"/>
        <v>2011</v>
      </c>
      <c r="E57" s="98" t="str">
        <f t="shared" si="1"/>
        <v>2</v>
      </c>
      <c r="F57" s="333"/>
      <c r="Q57" s="1346" t="str">
        <f>IFERROR(IF(YEAR(MAX('Commodity Prices'!$C$9:$C5004))=VALUE(RIGHT(Q56,4)),"",IF($R$33="Calendar Year",Q56+1,CONCATENATE(LEFT(Q56,4)+1,"-",RIGHT(Q56,4)+1))),"")</f>
        <v>2020-2021</v>
      </c>
      <c r="R57" s="946">
        <f t="shared" si="6"/>
        <v>1198.0935078787879</v>
      </c>
      <c r="S57" s="947">
        <f t="shared" si="7"/>
        <v>824.44663970389831</v>
      </c>
    </row>
    <row r="58" spans="1:19">
      <c r="A58" s="1344">
        <v>40787</v>
      </c>
      <c r="B58" s="706">
        <v>381.62442499999997</v>
      </c>
      <c r="C58" s="705">
        <v>174.96184977763636</v>
      </c>
      <c r="D58" s="96">
        <f t="shared" si="0"/>
        <v>2011</v>
      </c>
      <c r="E58" s="98" t="str">
        <f t="shared" si="1"/>
        <v>3</v>
      </c>
      <c r="F58" s="333"/>
      <c r="Q58" s="658" t="str">
        <f>IFERROR(IF(YEAR(MAX('Commodity Prices'!$C$9:$C5004))=VALUE(RIGHT(Q57,4)),"",IF($R$33="Calendar Year",Q57+1,CONCATENATE(LEFT(Q57,4)+1,"-",RIGHT(Q57,4)+1))),"")</f>
        <v/>
      </c>
      <c r="R58" s="808" t="str">
        <f t="shared" si="5"/>
        <v/>
      </c>
      <c r="S58" s="837" t="str">
        <f t="shared" ref="S58:S61" si="8">IF(Q58="","",IF($R$33="Calendar Year",SUMIF($D$8:$D$200,$Q58,$C$8:$C$200),SUMIFS($C$8:$C$200,$D$8:$D$200,LEFT($Q58,4),$E$8:$E$200,3)+SUMIFS($C$8:$C$200,$D$8:$D$200,LEFT($Q58,4),$E$8:$E$200,4)+SUMIFS($C$8:$C$200,$D$8:$D$200,LEFT($Q58,4)+1,$E$8:$E$200,1)+SUMIFS($C$8:$C$200,$D$8:$D$200,LEFT($Q58,4)+1,$E$8:$E$200,2)))</f>
        <v/>
      </c>
    </row>
    <row r="59" spans="1:19">
      <c r="A59" s="1344">
        <v>40878</v>
      </c>
      <c r="B59" s="939">
        <v>355.35508999999996</v>
      </c>
      <c r="C59" s="940">
        <v>169.91689286379153</v>
      </c>
      <c r="D59" s="96">
        <f t="shared" si="0"/>
        <v>2011</v>
      </c>
      <c r="E59" s="98" t="str">
        <f t="shared" si="1"/>
        <v>4</v>
      </c>
      <c r="F59" s="333"/>
      <c r="Q59" s="656" t="str">
        <f>IFERROR(IF(YEAR(MAX('Commodity Prices'!$C$9:$C5005))=VALUE(RIGHT(Q58,4)),"",IF($R$33="Calendar Year",Q58+1,CONCATENATE(LEFT(Q58,4)+1,"-",RIGHT(Q58,4)+1))),"")</f>
        <v/>
      </c>
      <c r="R59" s="943" t="str">
        <f t="shared" si="5"/>
        <v/>
      </c>
      <c r="S59" s="879" t="str">
        <f t="shared" si="8"/>
        <v/>
      </c>
    </row>
    <row r="60" spans="1:19">
      <c r="A60" s="1344">
        <v>40969</v>
      </c>
      <c r="B60" s="706">
        <v>347.86962800000003</v>
      </c>
      <c r="C60" s="705">
        <v>240.15949792703032</v>
      </c>
      <c r="D60" s="96">
        <f t="shared" si="0"/>
        <v>2012</v>
      </c>
      <c r="E60" s="98" t="str">
        <f t="shared" si="1"/>
        <v>1</v>
      </c>
      <c r="F60" s="333"/>
      <c r="Q60" s="656" t="str">
        <f>IFERROR(IF(YEAR(MAX('Commodity Prices'!$C$9:$C5006))=VALUE(RIGHT(Q59,4)),"",IF($R$33="Calendar Year",Q59+1,CONCATENATE(LEFT(Q59,4)+1,"-",RIGHT(Q59,4)+1))),"")</f>
        <v/>
      </c>
      <c r="R60" s="943" t="str">
        <f t="shared" si="5"/>
        <v/>
      </c>
      <c r="S60" s="879" t="str">
        <f t="shared" si="8"/>
        <v/>
      </c>
    </row>
    <row r="61" spans="1:19">
      <c r="A61" s="1344">
        <v>41061</v>
      </c>
      <c r="B61" s="939">
        <v>330.71230000000003</v>
      </c>
      <c r="C61" s="940">
        <v>279.07432250472726</v>
      </c>
      <c r="D61" s="96">
        <f t="shared" si="0"/>
        <v>2012</v>
      </c>
      <c r="E61" s="98" t="str">
        <f t="shared" si="1"/>
        <v>2</v>
      </c>
      <c r="F61" s="333"/>
      <c r="Q61" s="656" t="str">
        <f>IFERROR(IF(YEAR(MAX('Commodity Prices'!$C$9:$C5007))=VALUE(RIGHT(Q60,4)),"",IF($R$33="Calendar Year",Q60+1,CONCATENATE(LEFT(Q60,4)+1,"-",RIGHT(Q60,4)+1))),"")</f>
        <v/>
      </c>
      <c r="R61" s="943" t="str">
        <f t="shared" si="5"/>
        <v/>
      </c>
      <c r="S61" s="879" t="str">
        <f t="shared" si="8"/>
        <v/>
      </c>
    </row>
    <row r="62" spans="1:19">
      <c r="A62" s="1344">
        <v>41153</v>
      </c>
      <c r="B62" s="706">
        <v>323.30175000000003</v>
      </c>
      <c r="C62" s="705">
        <v>240.53327604000003</v>
      </c>
      <c r="D62" s="96">
        <f t="shared" si="0"/>
        <v>2012</v>
      </c>
      <c r="E62" s="98" t="str">
        <f t="shared" si="1"/>
        <v>3</v>
      </c>
      <c r="F62" s="333"/>
      <c r="G62" s="333"/>
      <c r="H62" s="126"/>
      <c r="I62" s="126"/>
    </row>
    <row r="63" spans="1:19">
      <c r="A63" s="1344">
        <v>41244</v>
      </c>
      <c r="B63" s="939">
        <v>332.43790000000001</v>
      </c>
      <c r="C63" s="940">
        <v>211.03993559484849</v>
      </c>
      <c r="D63" s="96">
        <f t="shared" si="0"/>
        <v>2012</v>
      </c>
      <c r="E63" s="98" t="str">
        <f t="shared" si="1"/>
        <v>4</v>
      </c>
      <c r="F63" s="333"/>
      <c r="G63" s="333"/>
      <c r="H63" s="126"/>
      <c r="I63" s="126"/>
    </row>
    <row r="64" spans="1:19">
      <c r="A64" s="1344">
        <v>41334</v>
      </c>
      <c r="B64" s="706">
        <v>373.32617000000005</v>
      </c>
      <c r="C64" s="705">
        <v>199.17467351818183</v>
      </c>
      <c r="D64" s="96">
        <f t="shared" si="0"/>
        <v>2013</v>
      </c>
      <c r="E64" s="98" t="str">
        <f t="shared" si="1"/>
        <v>1</v>
      </c>
      <c r="F64" s="333"/>
      <c r="G64" s="333"/>
      <c r="H64" s="126"/>
      <c r="I64" s="126"/>
    </row>
    <row r="65" spans="1:9">
      <c r="A65" s="1344">
        <v>41426</v>
      </c>
      <c r="B65" s="939">
        <v>326.29110600000001</v>
      </c>
      <c r="C65" s="940">
        <v>159.93178942133332</v>
      </c>
      <c r="D65" s="96">
        <f t="shared" si="0"/>
        <v>2013</v>
      </c>
      <c r="E65" s="98" t="str">
        <f t="shared" si="1"/>
        <v>2</v>
      </c>
      <c r="F65" s="333"/>
      <c r="G65" s="333"/>
      <c r="H65" s="126"/>
      <c r="I65" s="126"/>
    </row>
    <row r="66" spans="1:9">
      <c r="A66" s="1344">
        <v>41518</v>
      </c>
      <c r="B66" s="706">
        <v>307.72275999999999</v>
      </c>
      <c r="C66" s="705">
        <v>140.54976079818184</v>
      </c>
      <c r="D66" s="96">
        <f t="shared" si="0"/>
        <v>2013</v>
      </c>
      <c r="E66" s="98" t="str">
        <f t="shared" si="1"/>
        <v>3</v>
      </c>
      <c r="F66" s="333"/>
      <c r="G66" s="333"/>
      <c r="H66" s="126"/>
      <c r="I66" s="126"/>
    </row>
    <row r="67" spans="1:9">
      <c r="A67" s="1344">
        <v>41609</v>
      </c>
      <c r="B67" s="939">
        <v>337.59269999999998</v>
      </c>
      <c r="C67" s="940">
        <v>145.50901386181818</v>
      </c>
      <c r="D67" s="96">
        <f t="shared" si="0"/>
        <v>2013</v>
      </c>
      <c r="E67" s="98" t="str">
        <f t="shared" si="1"/>
        <v>4</v>
      </c>
      <c r="F67" s="333"/>
      <c r="G67" s="333"/>
      <c r="H67" s="126"/>
      <c r="I67" s="126"/>
    </row>
    <row r="68" spans="1:9">
      <c r="A68" s="1344">
        <v>41699</v>
      </c>
      <c r="B68" s="706">
        <v>167.99979263636365</v>
      </c>
      <c r="C68" s="705">
        <v>76.715109290909098</v>
      </c>
      <c r="D68" s="96">
        <f t="shared" si="0"/>
        <v>2014</v>
      </c>
      <c r="E68" s="98" t="str">
        <f t="shared" si="1"/>
        <v>1</v>
      </c>
      <c r="F68" s="333"/>
      <c r="G68" s="333"/>
      <c r="H68" s="126"/>
      <c r="I68" s="126"/>
    </row>
    <row r="69" spans="1:9">
      <c r="A69" s="1344">
        <v>41791</v>
      </c>
      <c r="B69" s="939">
        <v>203.85361151515153</v>
      </c>
      <c r="C69" s="940">
        <v>108.25742245454546</v>
      </c>
      <c r="D69" s="96">
        <f t="shared" si="0"/>
        <v>2014</v>
      </c>
      <c r="E69" s="98" t="str">
        <f t="shared" si="1"/>
        <v>2</v>
      </c>
      <c r="F69" s="333"/>
      <c r="G69" s="333"/>
      <c r="H69" s="126"/>
      <c r="I69" s="126"/>
    </row>
    <row r="70" spans="1:9">
      <c r="A70" s="1344">
        <v>41883</v>
      </c>
      <c r="B70" s="706">
        <v>192.05296030303029</v>
      </c>
      <c r="C70" s="705">
        <v>108.58870309090909</v>
      </c>
      <c r="D70" s="96">
        <f t="shared" si="0"/>
        <v>2014</v>
      </c>
      <c r="E70" s="98" t="str">
        <f t="shared" si="1"/>
        <v>3</v>
      </c>
      <c r="F70" s="333"/>
      <c r="G70" s="333"/>
      <c r="H70" s="126"/>
      <c r="I70" s="126"/>
    </row>
    <row r="71" spans="1:9">
      <c r="A71" s="1344">
        <v>41974</v>
      </c>
      <c r="B71" s="939">
        <v>160.60663452708908</v>
      </c>
      <c r="C71" s="940">
        <v>89.600475701744713</v>
      </c>
      <c r="D71" s="96">
        <f t="shared" si="0"/>
        <v>2014</v>
      </c>
      <c r="E71" s="98" t="str">
        <f t="shared" si="1"/>
        <v>4</v>
      </c>
      <c r="F71" s="333"/>
      <c r="G71" s="333"/>
      <c r="H71" s="126"/>
      <c r="I71" s="126"/>
    </row>
    <row r="72" spans="1:9">
      <c r="A72" s="1344">
        <v>42064</v>
      </c>
      <c r="B72" s="706">
        <v>219.84536454545454</v>
      </c>
      <c r="C72" s="705">
        <v>116.41049234948926</v>
      </c>
      <c r="D72" s="96">
        <f>YEAR(A72)</f>
        <v>2015</v>
      </c>
      <c r="E72" s="98" t="str">
        <f t="shared" si="1"/>
        <v>1</v>
      </c>
      <c r="F72" s="333"/>
      <c r="G72" s="333"/>
      <c r="H72" s="126"/>
      <c r="I72" s="126"/>
    </row>
    <row r="73" spans="1:9">
      <c r="A73" s="1344">
        <v>42156</v>
      </c>
      <c r="B73" s="939">
        <v>281.34365909090911</v>
      </c>
      <c r="C73" s="940">
        <v>156.03087978995072</v>
      </c>
      <c r="D73" s="96">
        <f>YEAR(A73)</f>
        <v>2015</v>
      </c>
      <c r="E73" s="98" t="str">
        <f>IF(MONTH(A73)=3,"1",IF(MONTH(A73)=6,"2",IF(MONTH(A73)=9,"3","4")))</f>
        <v>2</v>
      </c>
      <c r="F73" s="333"/>
      <c r="G73" s="333"/>
      <c r="H73" s="126"/>
      <c r="I73" s="126"/>
    </row>
    <row r="74" spans="1:9">
      <c r="A74" s="1344">
        <v>42248</v>
      </c>
      <c r="B74" s="706">
        <v>181.19125757575762</v>
      </c>
      <c r="C74" s="705">
        <v>134.82173197609356</v>
      </c>
      <c r="D74" s="96">
        <f>YEAR(A74)</f>
        <v>2015</v>
      </c>
      <c r="E74" s="98" t="str">
        <f>IF(MONTH(A74)=3,"1",IF(MONTH(A74)=6,"2",IF(MONTH(A74)=9,"3","4")))</f>
        <v>3</v>
      </c>
      <c r="F74" s="333"/>
      <c r="G74" s="333"/>
      <c r="H74" s="126"/>
      <c r="I74" s="126"/>
    </row>
    <row r="75" spans="1:9">
      <c r="A75" s="1344">
        <v>42339</v>
      </c>
      <c r="B75" s="939">
        <v>330.95598625855155</v>
      </c>
      <c r="C75" s="940">
        <v>179.15049324888349</v>
      </c>
      <c r="D75" s="96">
        <f>YEAR(A75)</f>
        <v>2015</v>
      </c>
      <c r="E75" s="98" t="str">
        <f>IF(MONTH(A75)=3,"1",IF(MONTH(A75)=6,"2",IF(MONTH(A75)=9,"3","4")))</f>
        <v>4</v>
      </c>
      <c r="F75" s="333"/>
      <c r="G75" s="333"/>
      <c r="H75" s="126"/>
      <c r="I75" s="126"/>
    </row>
    <row r="76" spans="1:9">
      <c r="A76" s="1344">
        <v>42430</v>
      </c>
      <c r="B76" s="706">
        <v>242.61038606060609</v>
      </c>
      <c r="C76" s="705">
        <v>122.58967324767676</v>
      </c>
      <c r="D76" s="96">
        <f t="shared" ref="D76:D139" si="9">YEAR(A76)</f>
        <v>2016</v>
      </c>
      <c r="E76" s="98" t="str">
        <f t="shared" ref="E76:E139" si="10">IF(MONTH(A76)=3,"1",IF(MONTH(A76)=6,"2",IF(MONTH(A76)=9,"3","4")))</f>
        <v>1</v>
      </c>
      <c r="F76" s="333"/>
    </row>
    <row r="77" spans="1:9">
      <c r="A77" s="1344">
        <v>42522</v>
      </c>
      <c r="B77" s="939">
        <v>203.3450606060606</v>
      </c>
      <c r="C77" s="940">
        <v>134.9861616631745</v>
      </c>
      <c r="D77" s="96">
        <f t="shared" si="9"/>
        <v>2016</v>
      </c>
      <c r="E77" s="98" t="str">
        <f t="shared" si="10"/>
        <v>2</v>
      </c>
      <c r="F77" s="333"/>
    </row>
    <row r="78" spans="1:9">
      <c r="A78" s="1344">
        <v>42614</v>
      </c>
      <c r="B78" s="706">
        <v>278.46633333333335</v>
      </c>
      <c r="C78" s="705">
        <v>135.27440645425679</v>
      </c>
      <c r="D78" s="96">
        <f t="shared" si="9"/>
        <v>2016</v>
      </c>
      <c r="E78" s="98" t="str">
        <f t="shared" si="10"/>
        <v>3</v>
      </c>
    </row>
    <row r="79" spans="1:9">
      <c r="A79" s="1344">
        <v>42705</v>
      </c>
      <c r="B79" s="939">
        <v>550.46686363636377</v>
      </c>
      <c r="C79" s="940">
        <v>219.61378664574022</v>
      </c>
      <c r="D79" s="96">
        <f t="shared" si="9"/>
        <v>2016</v>
      </c>
      <c r="E79" s="98" t="str">
        <f t="shared" si="10"/>
        <v>4</v>
      </c>
    </row>
    <row r="80" spans="1:9">
      <c r="A80" s="1344">
        <v>42795</v>
      </c>
      <c r="B80" s="706">
        <v>211.91792727272727</v>
      </c>
      <c r="C80" s="705">
        <v>120.67501350397534</v>
      </c>
      <c r="D80" s="96">
        <f t="shared" si="9"/>
        <v>2017</v>
      </c>
      <c r="E80" s="98" t="str">
        <f t="shared" si="10"/>
        <v>1</v>
      </c>
    </row>
    <row r="81" spans="1:7">
      <c r="A81" s="1344">
        <v>42887</v>
      </c>
      <c r="B81" s="939">
        <v>198.13095309090909</v>
      </c>
      <c r="C81" s="940">
        <v>107.88373044242809</v>
      </c>
      <c r="D81" s="96">
        <f t="shared" si="9"/>
        <v>2017</v>
      </c>
      <c r="E81" s="98" t="str">
        <f t="shared" si="10"/>
        <v>2</v>
      </c>
    </row>
    <row r="82" spans="1:7">
      <c r="A82" s="1344">
        <v>42979</v>
      </c>
      <c r="B82" s="706">
        <v>215.16577915151515</v>
      </c>
      <c r="C82" s="705">
        <v>138.57047057801478</v>
      </c>
      <c r="D82" s="96">
        <f t="shared" si="9"/>
        <v>2017</v>
      </c>
      <c r="E82" s="98" t="str">
        <f t="shared" si="10"/>
        <v>3</v>
      </c>
    </row>
    <row r="83" spans="1:7">
      <c r="A83" s="1344">
        <v>43070</v>
      </c>
      <c r="B83" s="939">
        <v>253.44498418181817</v>
      </c>
      <c r="C83" s="940">
        <v>146.37994829323446</v>
      </c>
      <c r="D83" s="96">
        <f t="shared" si="9"/>
        <v>2017</v>
      </c>
      <c r="E83" s="98" t="str">
        <f t="shared" si="10"/>
        <v>4</v>
      </c>
    </row>
    <row r="84" spans="1:7">
      <c r="A84" s="1344">
        <v>43160</v>
      </c>
      <c r="B84" s="706">
        <v>224.91579139393943</v>
      </c>
      <c r="C84" s="705">
        <v>127.05420793713439</v>
      </c>
      <c r="D84" s="96">
        <f t="shared" si="9"/>
        <v>2018</v>
      </c>
      <c r="E84" s="98" t="str">
        <f t="shared" si="10"/>
        <v>1</v>
      </c>
    </row>
    <row r="85" spans="1:7">
      <c r="A85" s="1344">
        <v>43252</v>
      </c>
      <c r="B85" s="939">
        <v>200.94247793939391</v>
      </c>
      <c r="C85" s="940">
        <v>138.38763106901277</v>
      </c>
      <c r="D85" s="96">
        <f t="shared" si="9"/>
        <v>2018</v>
      </c>
      <c r="E85" s="98" t="str">
        <f t="shared" si="10"/>
        <v>2</v>
      </c>
    </row>
    <row r="86" spans="1:7">
      <c r="A86" s="1344">
        <v>43344</v>
      </c>
      <c r="B86" s="706">
        <v>266.82648236363639</v>
      </c>
      <c r="C86" s="705">
        <v>193.86647576907268</v>
      </c>
      <c r="D86" s="96">
        <f t="shared" si="9"/>
        <v>2018</v>
      </c>
      <c r="E86" s="98" t="str">
        <f t="shared" si="10"/>
        <v>3</v>
      </c>
    </row>
    <row r="87" spans="1:7">
      <c r="A87" s="1344">
        <v>43435</v>
      </c>
      <c r="B87" s="939">
        <v>243.90314406060608</v>
      </c>
      <c r="C87" s="940">
        <v>168.78947262163106</v>
      </c>
      <c r="D87" s="96">
        <f t="shared" si="9"/>
        <v>2018</v>
      </c>
      <c r="E87" s="98" t="str">
        <f t="shared" si="10"/>
        <v>4</v>
      </c>
      <c r="G87" s="536"/>
    </row>
    <row r="88" spans="1:7">
      <c r="A88" s="1344">
        <v>43525</v>
      </c>
      <c r="B88" s="706">
        <v>230.07744727272726</v>
      </c>
      <c r="C88" s="705">
        <v>164.42243355541385</v>
      </c>
      <c r="D88" s="96">
        <f t="shared" si="9"/>
        <v>2019</v>
      </c>
      <c r="E88" s="98" t="str">
        <f t="shared" si="10"/>
        <v>1</v>
      </c>
    </row>
    <row r="89" spans="1:7">
      <c r="A89" s="1344">
        <v>43617</v>
      </c>
      <c r="B89" s="939">
        <v>282.13175180606061</v>
      </c>
      <c r="C89" s="940">
        <v>187.92049914552902</v>
      </c>
      <c r="D89" s="96">
        <f t="shared" si="9"/>
        <v>2019</v>
      </c>
      <c r="E89" s="98" t="str">
        <f t="shared" si="10"/>
        <v>2</v>
      </c>
    </row>
    <row r="90" spans="1:7">
      <c r="A90" s="1344">
        <v>43709</v>
      </c>
      <c r="B90" s="706">
        <v>266.20872970121206</v>
      </c>
      <c r="C90" s="705">
        <v>163.96965803899189</v>
      </c>
      <c r="D90" s="96">
        <f t="shared" si="9"/>
        <v>2019</v>
      </c>
      <c r="E90" s="98" t="str">
        <f t="shared" si="10"/>
        <v>3</v>
      </c>
    </row>
    <row r="91" spans="1:7">
      <c r="A91" s="1344">
        <v>43800</v>
      </c>
      <c r="B91" s="939">
        <v>284.86224576060607</v>
      </c>
      <c r="C91" s="940">
        <v>213.5988059211069</v>
      </c>
      <c r="D91" s="96">
        <f t="shared" si="9"/>
        <v>2019</v>
      </c>
      <c r="E91" s="98" t="str">
        <f t="shared" si="10"/>
        <v>4</v>
      </c>
    </row>
    <row r="92" spans="1:7">
      <c r="A92" s="1344">
        <v>43891</v>
      </c>
      <c r="B92" s="706">
        <v>280.45567884848481</v>
      </c>
      <c r="C92" s="705">
        <v>176.87793696419902</v>
      </c>
      <c r="D92" s="96">
        <f t="shared" si="9"/>
        <v>2020</v>
      </c>
      <c r="E92" s="98" t="str">
        <f t="shared" si="10"/>
        <v>1</v>
      </c>
    </row>
    <row r="93" spans="1:7">
      <c r="A93" s="1344">
        <v>43983</v>
      </c>
      <c r="B93" s="939">
        <v>286.05264612121215</v>
      </c>
      <c r="C93" s="940">
        <v>220.85130706165938</v>
      </c>
      <c r="D93" s="96">
        <f t="shared" si="9"/>
        <v>2020</v>
      </c>
      <c r="E93" s="98" t="str">
        <f t="shared" si="10"/>
        <v>2</v>
      </c>
    </row>
    <row r="94" spans="1:7">
      <c r="A94" s="1344">
        <v>44075</v>
      </c>
      <c r="B94" s="706">
        <v>295.96322115151514</v>
      </c>
      <c r="C94" s="705">
        <v>204.03094745904173</v>
      </c>
      <c r="D94" s="96">
        <f t="shared" si="9"/>
        <v>2020</v>
      </c>
      <c r="E94" s="98" t="str">
        <f t="shared" si="10"/>
        <v>3</v>
      </c>
    </row>
    <row r="95" spans="1:7">
      <c r="A95" s="1344">
        <v>44166</v>
      </c>
      <c r="B95" s="939">
        <v>374.59849848484851</v>
      </c>
      <c r="C95" s="940">
        <v>256.61730948303119</v>
      </c>
      <c r="D95" s="96">
        <f t="shared" si="9"/>
        <v>2020</v>
      </c>
      <c r="E95" s="98" t="str">
        <f t="shared" si="10"/>
        <v>4</v>
      </c>
    </row>
    <row r="96" spans="1:7">
      <c r="A96" s="1344">
        <v>44256</v>
      </c>
      <c r="B96" s="706">
        <v>257.09602363636367</v>
      </c>
      <c r="C96" s="705">
        <v>176.99544584044929</v>
      </c>
      <c r="D96" s="96">
        <f t="shared" si="9"/>
        <v>2021</v>
      </c>
      <c r="E96" s="98" t="str">
        <f t="shared" si="10"/>
        <v>1</v>
      </c>
    </row>
    <row r="97" spans="1:5" ht="15.75" thickBot="1">
      <c r="A97" s="1345">
        <v>44348</v>
      </c>
      <c r="B97" s="941">
        <v>270.43576460606062</v>
      </c>
      <c r="C97" s="942">
        <v>186.80293692137607</v>
      </c>
      <c r="D97" s="96">
        <f t="shared" si="9"/>
        <v>2021</v>
      </c>
      <c r="E97" s="98" t="str">
        <f t="shared" si="10"/>
        <v>2</v>
      </c>
    </row>
    <row r="98" spans="1:5">
      <c r="B98" s="126"/>
      <c r="C98" s="17"/>
      <c r="D98" s="96">
        <f t="shared" si="9"/>
        <v>1900</v>
      </c>
      <c r="E98" s="98" t="str">
        <f t="shared" si="10"/>
        <v>4</v>
      </c>
    </row>
    <row r="99" spans="1:5">
      <c r="B99" s="126"/>
      <c r="C99" s="17"/>
      <c r="D99" s="96">
        <f t="shared" si="9"/>
        <v>1900</v>
      </c>
      <c r="E99" s="98" t="str">
        <f t="shared" si="10"/>
        <v>4</v>
      </c>
    </row>
    <row r="100" spans="1:5">
      <c r="B100" s="126"/>
      <c r="C100" s="17"/>
      <c r="D100" s="96">
        <f t="shared" si="9"/>
        <v>1900</v>
      </c>
      <c r="E100" s="98" t="str">
        <f t="shared" si="10"/>
        <v>4</v>
      </c>
    </row>
    <row r="101" spans="1:5">
      <c r="B101" s="126"/>
      <c r="C101" s="17"/>
      <c r="D101" s="96">
        <f t="shared" si="9"/>
        <v>1900</v>
      </c>
      <c r="E101" s="98" t="str">
        <f t="shared" si="10"/>
        <v>4</v>
      </c>
    </row>
    <row r="102" spans="1:5">
      <c r="B102" s="126"/>
      <c r="C102" s="17"/>
      <c r="D102" s="96">
        <f t="shared" si="9"/>
        <v>1900</v>
      </c>
      <c r="E102" s="98" t="str">
        <f t="shared" si="10"/>
        <v>4</v>
      </c>
    </row>
    <row r="103" spans="1:5">
      <c r="B103" s="126"/>
      <c r="C103" s="17"/>
      <c r="D103" s="96">
        <f t="shared" si="9"/>
        <v>1900</v>
      </c>
      <c r="E103" s="98" t="str">
        <f t="shared" si="10"/>
        <v>4</v>
      </c>
    </row>
    <row r="104" spans="1:5">
      <c r="B104" s="126"/>
      <c r="C104" s="17"/>
      <c r="D104" s="96">
        <f t="shared" si="9"/>
        <v>1900</v>
      </c>
      <c r="E104" s="98" t="str">
        <f t="shared" si="10"/>
        <v>4</v>
      </c>
    </row>
    <row r="105" spans="1:5">
      <c r="B105" s="126"/>
      <c r="C105" s="17"/>
      <c r="D105" s="96">
        <f t="shared" si="9"/>
        <v>1900</v>
      </c>
      <c r="E105" s="98" t="str">
        <f t="shared" si="10"/>
        <v>4</v>
      </c>
    </row>
    <row r="106" spans="1:5">
      <c r="B106" s="126"/>
      <c r="C106" s="17"/>
      <c r="D106" s="96">
        <f t="shared" si="9"/>
        <v>1900</v>
      </c>
      <c r="E106" s="98" t="str">
        <f t="shared" si="10"/>
        <v>4</v>
      </c>
    </row>
    <row r="107" spans="1:5">
      <c r="B107" s="126"/>
      <c r="C107" s="17"/>
      <c r="D107" s="96">
        <f t="shared" si="9"/>
        <v>1900</v>
      </c>
      <c r="E107" s="98" t="str">
        <f t="shared" si="10"/>
        <v>4</v>
      </c>
    </row>
    <row r="108" spans="1:5">
      <c r="B108" s="126"/>
      <c r="C108" s="17"/>
      <c r="D108" s="96">
        <f t="shared" si="9"/>
        <v>1900</v>
      </c>
      <c r="E108" s="98" t="str">
        <f t="shared" si="10"/>
        <v>4</v>
      </c>
    </row>
    <row r="109" spans="1:5">
      <c r="B109" s="126"/>
      <c r="C109" s="17"/>
      <c r="D109" s="96">
        <f t="shared" si="9"/>
        <v>1900</v>
      </c>
      <c r="E109" s="98" t="str">
        <f t="shared" si="10"/>
        <v>4</v>
      </c>
    </row>
    <row r="110" spans="1:5">
      <c r="B110" s="126"/>
      <c r="C110" s="17"/>
      <c r="D110" s="96">
        <f t="shared" si="9"/>
        <v>1900</v>
      </c>
      <c r="E110" s="98" t="str">
        <f t="shared" si="10"/>
        <v>4</v>
      </c>
    </row>
    <row r="111" spans="1:5">
      <c r="B111" s="126"/>
      <c r="C111" s="17"/>
      <c r="D111" s="96">
        <f t="shared" si="9"/>
        <v>1900</v>
      </c>
      <c r="E111" s="98" t="str">
        <f t="shared" si="10"/>
        <v>4</v>
      </c>
    </row>
    <row r="112" spans="1:5">
      <c r="B112" s="126"/>
      <c r="C112" s="17"/>
      <c r="D112" s="96">
        <f t="shared" si="9"/>
        <v>1900</v>
      </c>
      <c r="E112" s="98" t="str">
        <f t="shared" si="10"/>
        <v>4</v>
      </c>
    </row>
    <row r="113" spans="2:5">
      <c r="B113" s="126"/>
      <c r="C113" s="17"/>
      <c r="D113" s="96">
        <f t="shared" si="9"/>
        <v>1900</v>
      </c>
      <c r="E113" s="98" t="str">
        <f t="shared" si="10"/>
        <v>4</v>
      </c>
    </row>
    <row r="114" spans="2:5">
      <c r="B114" s="126"/>
      <c r="C114" s="17"/>
      <c r="D114" s="96">
        <f t="shared" si="9"/>
        <v>1900</v>
      </c>
      <c r="E114" s="98" t="str">
        <f t="shared" si="10"/>
        <v>4</v>
      </c>
    </row>
    <row r="115" spans="2:5">
      <c r="B115" s="126"/>
      <c r="C115" s="17"/>
      <c r="D115" s="96">
        <f t="shared" si="9"/>
        <v>1900</v>
      </c>
      <c r="E115" s="98" t="str">
        <f t="shared" si="10"/>
        <v>4</v>
      </c>
    </row>
    <row r="116" spans="2:5">
      <c r="B116" s="126"/>
      <c r="C116" s="17"/>
      <c r="D116" s="96">
        <f t="shared" si="9"/>
        <v>1900</v>
      </c>
      <c r="E116" s="98" t="str">
        <f t="shared" si="10"/>
        <v>4</v>
      </c>
    </row>
    <row r="117" spans="2:5">
      <c r="B117" s="126"/>
      <c r="C117" s="17"/>
      <c r="D117" s="96">
        <f t="shared" si="9"/>
        <v>1900</v>
      </c>
      <c r="E117" s="98" t="str">
        <f t="shared" si="10"/>
        <v>4</v>
      </c>
    </row>
    <row r="118" spans="2:5">
      <c r="B118" s="126"/>
      <c r="C118" s="17"/>
      <c r="D118" s="96">
        <f t="shared" si="9"/>
        <v>1900</v>
      </c>
      <c r="E118" s="98" t="str">
        <f t="shared" si="10"/>
        <v>4</v>
      </c>
    </row>
    <row r="119" spans="2:5">
      <c r="B119" s="126"/>
      <c r="C119" s="17"/>
      <c r="D119" s="96">
        <f t="shared" si="9"/>
        <v>1900</v>
      </c>
      <c r="E119" s="98" t="str">
        <f t="shared" si="10"/>
        <v>4</v>
      </c>
    </row>
    <row r="120" spans="2:5">
      <c r="B120" s="126"/>
      <c r="C120" s="17"/>
      <c r="D120" s="96">
        <f t="shared" si="9"/>
        <v>1900</v>
      </c>
      <c r="E120" s="98" t="str">
        <f t="shared" si="10"/>
        <v>4</v>
      </c>
    </row>
    <row r="121" spans="2:5">
      <c r="B121" s="126"/>
      <c r="C121" s="17"/>
      <c r="D121" s="96">
        <f t="shared" si="9"/>
        <v>1900</v>
      </c>
      <c r="E121" s="98" t="str">
        <f t="shared" si="10"/>
        <v>4</v>
      </c>
    </row>
    <row r="122" spans="2:5">
      <c r="B122" s="126"/>
      <c r="C122" s="17"/>
      <c r="D122" s="96">
        <f t="shared" si="9"/>
        <v>1900</v>
      </c>
      <c r="E122" s="98" t="str">
        <f t="shared" si="10"/>
        <v>4</v>
      </c>
    </row>
    <row r="123" spans="2:5">
      <c r="B123" s="126"/>
      <c r="C123" s="17"/>
      <c r="D123" s="96">
        <f t="shared" si="9"/>
        <v>1900</v>
      </c>
      <c r="E123" s="98" t="str">
        <f t="shared" si="10"/>
        <v>4</v>
      </c>
    </row>
    <row r="124" spans="2:5">
      <c r="B124" s="126"/>
      <c r="C124" s="17"/>
      <c r="D124" s="96">
        <f t="shared" si="9"/>
        <v>1900</v>
      </c>
      <c r="E124" s="98" t="str">
        <f t="shared" si="10"/>
        <v>4</v>
      </c>
    </row>
    <row r="125" spans="2:5">
      <c r="B125" s="126"/>
      <c r="C125" s="17"/>
      <c r="D125" s="96">
        <f t="shared" si="9"/>
        <v>1900</v>
      </c>
      <c r="E125" s="98" t="str">
        <f t="shared" si="10"/>
        <v>4</v>
      </c>
    </row>
    <row r="126" spans="2:5">
      <c r="B126" s="126"/>
      <c r="C126" s="17"/>
      <c r="D126" s="96">
        <f t="shared" si="9"/>
        <v>1900</v>
      </c>
      <c r="E126" s="98" t="str">
        <f t="shared" si="10"/>
        <v>4</v>
      </c>
    </row>
    <row r="127" spans="2:5">
      <c r="B127" s="126"/>
      <c r="C127" s="17"/>
      <c r="D127" s="96">
        <f t="shared" si="9"/>
        <v>1900</v>
      </c>
      <c r="E127" s="98" t="str">
        <f t="shared" si="10"/>
        <v>4</v>
      </c>
    </row>
    <row r="128" spans="2:5">
      <c r="B128" s="126"/>
      <c r="C128" s="17"/>
      <c r="D128" s="96">
        <f t="shared" si="9"/>
        <v>1900</v>
      </c>
      <c r="E128" s="98" t="str">
        <f t="shared" si="10"/>
        <v>4</v>
      </c>
    </row>
    <row r="129" spans="2:5">
      <c r="B129" s="126"/>
      <c r="C129" s="17"/>
      <c r="D129" s="96">
        <f t="shared" si="9"/>
        <v>1900</v>
      </c>
      <c r="E129" s="98" t="str">
        <f t="shared" si="10"/>
        <v>4</v>
      </c>
    </row>
    <row r="130" spans="2:5">
      <c r="B130" s="126"/>
      <c r="C130" s="17"/>
      <c r="D130" s="96">
        <f t="shared" si="9"/>
        <v>1900</v>
      </c>
      <c r="E130" s="98" t="str">
        <f t="shared" si="10"/>
        <v>4</v>
      </c>
    </row>
    <row r="131" spans="2:5">
      <c r="B131" s="126"/>
      <c r="C131" s="17"/>
      <c r="D131" s="96">
        <f t="shared" si="9"/>
        <v>1900</v>
      </c>
      <c r="E131" s="98" t="str">
        <f t="shared" si="10"/>
        <v>4</v>
      </c>
    </row>
    <row r="132" spans="2:5">
      <c r="B132" s="126"/>
      <c r="C132" s="17"/>
      <c r="D132" s="96">
        <f t="shared" si="9"/>
        <v>1900</v>
      </c>
      <c r="E132" s="98" t="str">
        <f t="shared" si="10"/>
        <v>4</v>
      </c>
    </row>
    <row r="133" spans="2:5">
      <c r="B133" s="126"/>
      <c r="C133" s="17"/>
      <c r="D133" s="96">
        <f t="shared" si="9"/>
        <v>1900</v>
      </c>
      <c r="E133" s="98" t="str">
        <f t="shared" si="10"/>
        <v>4</v>
      </c>
    </row>
    <row r="134" spans="2:5">
      <c r="B134" s="126"/>
      <c r="C134" s="17"/>
      <c r="D134" s="96">
        <f t="shared" si="9"/>
        <v>1900</v>
      </c>
      <c r="E134" s="98" t="str">
        <f t="shared" si="10"/>
        <v>4</v>
      </c>
    </row>
    <row r="135" spans="2:5">
      <c r="B135" s="126"/>
      <c r="C135" s="17"/>
      <c r="D135" s="96">
        <f t="shared" si="9"/>
        <v>1900</v>
      </c>
      <c r="E135" s="98" t="str">
        <f t="shared" si="10"/>
        <v>4</v>
      </c>
    </row>
    <row r="136" spans="2:5">
      <c r="B136" s="126"/>
      <c r="C136" s="17"/>
      <c r="D136" s="96">
        <f t="shared" si="9"/>
        <v>1900</v>
      </c>
      <c r="E136" s="98" t="str">
        <f t="shared" si="10"/>
        <v>4</v>
      </c>
    </row>
    <row r="137" spans="2:5">
      <c r="B137" s="126"/>
      <c r="C137" s="17"/>
      <c r="D137" s="96">
        <f t="shared" si="9"/>
        <v>1900</v>
      </c>
      <c r="E137" s="98" t="str">
        <f t="shared" si="10"/>
        <v>4</v>
      </c>
    </row>
    <row r="138" spans="2:5">
      <c r="B138" s="126"/>
      <c r="C138" s="17"/>
      <c r="D138" s="96">
        <f t="shared" si="9"/>
        <v>1900</v>
      </c>
      <c r="E138" s="98" t="str">
        <f t="shared" si="10"/>
        <v>4</v>
      </c>
    </row>
    <row r="139" spans="2:5">
      <c r="B139" s="126"/>
      <c r="C139" s="17"/>
      <c r="D139" s="96">
        <f t="shared" si="9"/>
        <v>1900</v>
      </c>
      <c r="E139" s="98" t="str">
        <f t="shared" si="10"/>
        <v>4</v>
      </c>
    </row>
    <row r="140" spans="2:5">
      <c r="B140" s="126"/>
      <c r="C140" s="17"/>
      <c r="D140" s="96">
        <f t="shared" ref="D140:D203" si="11">YEAR(A140)</f>
        <v>1900</v>
      </c>
      <c r="E140" s="98" t="str">
        <f t="shared" ref="E140:E203" si="12">IF(MONTH(A140)=3,"1",IF(MONTH(A140)=6,"2",IF(MONTH(A140)=9,"3","4")))</f>
        <v>4</v>
      </c>
    </row>
    <row r="141" spans="2:5">
      <c r="B141" s="126"/>
      <c r="C141" s="17"/>
      <c r="D141" s="96">
        <f t="shared" si="11"/>
        <v>1900</v>
      </c>
      <c r="E141" s="98" t="str">
        <f t="shared" si="12"/>
        <v>4</v>
      </c>
    </row>
    <row r="142" spans="2:5">
      <c r="C142" s="17"/>
      <c r="D142" s="96">
        <f t="shared" si="11"/>
        <v>1900</v>
      </c>
      <c r="E142" s="98" t="str">
        <f t="shared" si="12"/>
        <v>4</v>
      </c>
    </row>
    <row r="143" spans="2:5">
      <c r="C143" s="17"/>
      <c r="D143" s="96">
        <f t="shared" si="11"/>
        <v>1900</v>
      </c>
      <c r="E143" s="98" t="str">
        <f t="shared" si="12"/>
        <v>4</v>
      </c>
    </row>
    <row r="144" spans="2:5">
      <c r="C144" s="17"/>
      <c r="D144" s="96">
        <f t="shared" si="11"/>
        <v>1900</v>
      </c>
      <c r="E144" s="98" t="str">
        <f t="shared" si="12"/>
        <v>4</v>
      </c>
    </row>
    <row r="145" spans="3:5">
      <c r="C145" s="17"/>
      <c r="D145" s="96">
        <f t="shared" si="11"/>
        <v>1900</v>
      </c>
      <c r="E145" s="98" t="str">
        <f t="shared" si="12"/>
        <v>4</v>
      </c>
    </row>
    <row r="146" spans="3:5">
      <c r="C146" s="17"/>
      <c r="D146" s="96">
        <f t="shared" si="11"/>
        <v>1900</v>
      </c>
      <c r="E146" s="98" t="str">
        <f t="shared" si="12"/>
        <v>4</v>
      </c>
    </row>
    <row r="147" spans="3:5">
      <c r="C147" s="17"/>
      <c r="D147" s="96">
        <f t="shared" si="11"/>
        <v>1900</v>
      </c>
      <c r="E147" s="98" t="str">
        <f t="shared" si="12"/>
        <v>4</v>
      </c>
    </row>
    <row r="148" spans="3:5">
      <c r="C148" s="17"/>
      <c r="D148" s="96">
        <f t="shared" si="11"/>
        <v>1900</v>
      </c>
      <c r="E148" s="98" t="str">
        <f t="shared" si="12"/>
        <v>4</v>
      </c>
    </row>
    <row r="149" spans="3:5">
      <c r="C149" s="17"/>
      <c r="D149" s="96">
        <f t="shared" si="11"/>
        <v>1900</v>
      </c>
      <c r="E149" s="98" t="str">
        <f t="shared" si="12"/>
        <v>4</v>
      </c>
    </row>
    <row r="150" spans="3:5">
      <c r="C150" s="17"/>
      <c r="D150" s="96">
        <f t="shared" si="11"/>
        <v>1900</v>
      </c>
      <c r="E150" s="98" t="str">
        <f t="shared" si="12"/>
        <v>4</v>
      </c>
    </row>
    <row r="151" spans="3:5">
      <c r="C151" s="17"/>
      <c r="D151" s="96">
        <f t="shared" si="11"/>
        <v>1900</v>
      </c>
      <c r="E151" s="98" t="str">
        <f t="shared" si="12"/>
        <v>4</v>
      </c>
    </row>
    <row r="152" spans="3:5">
      <c r="C152" s="17"/>
      <c r="D152" s="96">
        <f t="shared" si="11"/>
        <v>1900</v>
      </c>
      <c r="E152" s="98" t="str">
        <f t="shared" si="12"/>
        <v>4</v>
      </c>
    </row>
    <row r="153" spans="3:5">
      <c r="C153" s="17"/>
      <c r="D153" s="96">
        <f t="shared" si="11"/>
        <v>1900</v>
      </c>
      <c r="E153" s="98" t="str">
        <f t="shared" si="12"/>
        <v>4</v>
      </c>
    </row>
    <row r="154" spans="3:5">
      <c r="C154" s="17"/>
      <c r="D154" s="96">
        <f t="shared" si="11"/>
        <v>1900</v>
      </c>
      <c r="E154" s="98" t="str">
        <f t="shared" si="12"/>
        <v>4</v>
      </c>
    </row>
    <row r="155" spans="3:5">
      <c r="C155" s="17"/>
      <c r="D155" s="96">
        <f t="shared" si="11"/>
        <v>1900</v>
      </c>
      <c r="E155" s="98" t="str">
        <f t="shared" si="12"/>
        <v>4</v>
      </c>
    </row>
    <row r="156" spans="3:5">
      <c r="C156" s="17"/>
      <c r="D156" s="96">
        <f t="shared" si="11"/>
        <v>1900</v>
      </c>
      <c r="E156" s="98" t="str">
        <f t="shared" si="12"/>
        <v>4</v>
      </c>
    </row>
    <row r="157" spans="3:5">
      <c r="C157" s="17"/>
      <c r="D157" s="96">
        <f t="shared" si="11"/>
        <v>1900</v>
      </c>
      <c r="E157" s="98" t="str">
        <f t="shared" si="12"/>
        <v>4</v>
      </c>
    </row>
    <row r="158" spans="3:5">
      <c r="C158" s="17"/>
      <c r="D158" s="96">
        <f t="shared" si="11"/>
        <v>1900</v>
      </c>
      <c r="E158" s="98" t="str">
        <f t="shared" si="12"/>
        <v>4</v>
      </c>
    </row>
    <row r="159" spans="3:5">
      <c r="C159" s="17"/>
      <c r="D159" s="96">
        <f t="shared" si="11"/>
        <v>1900</v>
      </c>
      <c r="E159" s="98" t="str">
        <f t="shared" si="12"/>
        <v>4</v>
      </c>
    </row>
    <row r="160" spans="3:5">
      <c r="C160" s="17"/>
      <c r="D160" s="96">
        <f t="shared" si="11"/>
        <v>1900</v>
      </c>
      <c r="E160" s="98" t="str">
        <f t="shared" si="12"/>
        <v>4</v>
      </c>
    </row>
    <row r="161" spans="3:5">
      <c r="C161" s="17"/>
      <c r="D161" s="96">
        <f t="shared" si="11"/>
        <v>1900</v>
      </c>
      <c r="E161" s="98" t="str">
        <f t="shared" si="12"/>
        <v>4</v>
      </c>
    </row>
    <row r="162" spans="3:5">
      <c r="C162" s="17"/>
      <c r="D162" s="96">
        <f t="shared" si="11"/>
        <v>1900</v>
      </c>
      <c r="E162" s="98" t="str">
        <f t="shared" si="12"/>
        <v>4</v>
      </c>
    </row>
    <row r="163" spans="3:5">
      <c r="C163" s="17"/>
      <c r="D163" s="96">
        <f t="shared" si="11"/>
        <v>1900</v>
      </c>
      <c r="E163" s="98" t="str">
        <f t="shared" si="12"/>
        <v>4</v>
      </c>
    </row>
    <row r="164" spans="3:5">
      <c r="C164" s="17"/>
      <c r="D164" s="96">
        <f t="shared" si="11"/>
        <v>1900</v>
      </c>
      <c r="E164" s="98" t="str">
        <f t="shared" si="12"/>
        <v>4</v>
      </c>
    </row>
    <row r="165" spans="3:5">
      <c r="C165" s="17"/>
      <c r="D165" s="96">
        <f t="shared" si="11"/>
        <v>1900</v>
      </c>
      <c r="E165" s="98" t="str">
        <f t="shared" si="12"/>
        <v>4</v>
      </c>
    </row>
    <row r="166" spans="3:5">
      <c r="C166" s="17"/>
      <c r="D166" s="96">
        <f t="shared" si="11"/>
        <v>1900</v>
      </c>
      <c r="E166" s="98" t="str">
        <f t="shared" si="12"/>
        <v>4</v>
      </c>
    </row>
    <row r="167" spans="3:5">
      <c r="C167" s="17"/>
      <c r="D167" s="96">
        <f t="shared" si="11"/>
        <v>1900</v>
      </c>
      <c r="E167" s="98" t="str">
        <f t="shared" si="12"/>
        <v>4</v>
      </c>
    </row>
    <row r="168" spans="3:5">
      <c r="C168" s="17"/>
      <c r="D168" s="96">
        <f t="shared" si="11"/>
        <v>1900</v>
      </c>
      <c r="E168" s="98" t="str">
        <f t="shared" si="12"/>
        <v>4</v>
      </c>
    </row>
    <row r="169" spans="3:5">
      <c r="C169" s="17"/>
      <c r="D169" s="96">
        <f t="shared" si="11"/>
        <v>1900</v>
      </c>
      <c r="E169" s="98" t="str">
        <f t="shared" si="12"/>
        <v>4</v>
      </c>
    </row>
    <row r="170" spans="3:5">
      <c r="C170" s="17"/>
      <c r="D170" s="96">
        <f t="shared" si="11"/>
        <v>1900</v>
      </c>
      <c r="E170" s="98" t="str">
        <f t="shared" si="12"/>
        <v>4</v>
      </c>
    </row>
    <row r="171" spans="3:5">
      <c r="C171" s="17"/>
      <c r="D171" s="96">
        <f t="shared" si="11"/>
        <v>1900</v>
      </c>
      <c r="E171" s="98" t="str">
        <f t="shared" si="12"/>
        <v>4</v>
      </c>
    </row>
    <row r="172" spans="3:5">
      <c r="C172" s="17"/>
      <c r="D172" s="96">
        <f t="shared" si="11"/>
        <v>1900</v>
      </c>
      <c r="E172" s="98" t="str">
        <f t="shared" si="12"/>
        <v>4</v>
      </c>
    </row>
    <row r="173" spans="3:5">
      <c r="C173" s="17"/>
      <c r="D173" s="96">
        <f t="shared" si="11"/>
        <v>1900</v>
      </c>
      <c r="E173" s="98" t="str">
        <f t="shared" si="12"/>
        <v>4</v>
      </c>
    </row>
    <row r="174" spans="3:5">
      <c r="C174" s="17"/>
      <c r="D174" s="96">
        <f t="shared" si="11"/>
        <v>1900</v>
      </c>
      <c r="E174" s="98" t="str">
        <f t="shared" si="12"/>
        <v>4</v>
      </c>
    </row>
    <row r="175" spans="3:5">
      <c r="C175" s="17"/>
      <c r="D175" s="96">
        <f t="shared" si="11"/>
        <v>1900</v>
      </c>
      <c r="E175" s="98" t="str">
        <f t="shared" si="12"/>
        <v>4</v>
      </c>
    </row>
    <row r="176" spans="3:5">
      <c r="C176" s="17"/>
      <c r="D176" s="96">
        <f t="shared" si="11"/>
        <v>1900</v>
      </c>
      <c r="E176" s="98" t="str">
        <f t="shared" si="12"/>
        <v>4</v>
      </c>
    </row>
    <row r="177" spans="3:5">
      <c r="C177" s="17"/>
      <c r="D177" s="96">
        <f t="shared" si="11"/>
        <v>1900</v>
      </c>
      <c r="E177" s="98" t="str">
        <f t="shared" si="12"/>
        <v>4</v>
      </c>
    </row>
    <row r="178" spans="3:5">
      <c r="C178" s="17"/>
      <c r="D178" s="96">
        <f t="shared" si="11"/>
        <v>1900</v>
      </c>
      <c r="E178" s="98" t="str">
        <f t="shared" si="12"/>
        <v>4</v>
      </c>
    </row>
    <row r="179" spans="3:5">
      <c r="C179" s="17"/>
      <c r="D179" s="96">
        <f t="shared" si="11"/>
        <v>1900</v>
      </c>
      <c r="E179" s="98" t="str">
        <f t="shared" si="12"/>
        <v>4</v>
      </c>
    </row>
    <row r="180" spans="3:5">
      <c r="C180" s="17"/>
      <c r="D180" s="96">
        <f t="shared" si="11"/>
        <v>1900</v>
      </c>
      <c r="E180" s="98" t="str">
        <f t="shared" si="12"/>
        <v>4</v>
      </c>
    </row>
    <row r="181" spans="3:5">
      <c r="C181" s="17"/>
      <c r="D181" s="96">
        <f t="shared" si="11"/>
        <v>1900</v>
      </c>
      <c r="E181" s="98" t="str">
        <f t="shared" si="12"/>
        <v>4</v>
      </c>
    </row>
    <row r="182" spans="3:5">
      <c r="C182" s="17"/>
      <c r="D182" s="96">
        <f t="shared" si="11"/>
        <v>1900</v>
      </c>
      <c r="E182" s="98" t="str">
        <f t="shared" si="12"/>
        <v>4</v>
      </c>
    </row>
    <row r="183" spans="3:5">
      <c r="C183" s="17"/>
      <c r="D183" s="96">
        <f t="shared" si="11"/>
        <v>1900</v>
      </c>
      <c r="E183" s="98" t="str">
        <f t="shared" si="12"/>
        <v>4</v>
      </c>
    </row>
    <row r="184" spans="3:5">
      <c r="C184" s="17"/>
      <c r="D184" s="96">
        <f t="shared" si="11"/>
        <v>1900</v>
      </c>
      <c r="E184" s="98" t="str">
        <f t="shared" si="12"/>
        <v>4</v>
      </c>
    </row>
    <row r="185" spans="3:5">
      <c r="C185" s="17"/>
      <c r="D185" s="96">
        <f t="shared" si="11"/>
        <v>1900</v>
      </c>
      <c r="E185" s="98" t="str">
        <f t="shared" si="12"/>
        <v>4</v>
      </c>
    </row>
    <row r="186" spans="3:5">
      <c r="C186" s="17"/>
      <c r="D186" s="96">
        <f t="shared" si="11"/>
        <v>1900</v>
      </c>
      <c r="E186" s="98" t="str">
        <f t="shared" si="12"/>
        <v>4</v>
      </c>
    </row>
    <row r="187" spans="3:5">
      <c r="C187" s="17"/>
      <c r="D187" s="96">
        <f t="shared" si="11"/>
        <v>1900</v>
      </c>
      <c r="E187" s="98" t="str">
        <f t="shared" si="12"/>
        <v>4</v>
      </c>
    </row>
    <row r="188" spans="3:5">
      <c r="C188" s="17"/>
      <c r="D188" s="96">
        <f t="shared" si="11"/>
        <v>1900</v>
      </c>
      <c r="E188" s="98" t="str">
        <f t="shared" si="12"/>
        <v>4</v>
      </c>
    </row>
    <row r="189" spans="3:5">
      <c r="C189" s="17"/>
      <c r="D189" s="96">
        <f t="shared" si="11"/>
        <v>1900</v>
      </c>
      <c r="E189" s="98" t="str">
        <f t="shared" si="12"/>
        <v>4</v>
      </c>
    </row>
    <row r="190" spans="3:5">
      <c r="C190" s="17"/>
      <c r="D190" s="96">
        <f t="shared" si="11"/>
        <v>1900</v>
      </c>
      <c r="E190" s="98" t="str">
        <f t="shared" si="12"/>
        <v>4</v>
      </c>
    </row>
    <row r="191" spans="3:5">
      <c r="C191" s="17"/>
      <c r="D191" s="96">
        <f t="shared" si="11"/>
        <v>1900</v>
      </c>
      <c r="E191" s="98" t="str">
        <f t="shared" si="12"/>
        <v>4</v>
      </c>
    </row>
    <row r="192" spans="3:5">
      <c r="C192" s="17"/>
      <c r="D192" s="96">
        <f t="shared" si="11"/>
        <v>1900</v>
      </c>
      <c r="E192" s="98" t="str">
        <f t="shared" si="12"/>
        <v>4</v>
      </c>
    </row>
    <row r="193" spans="3:5">
      <c r="C193" s="17"/>
      <c r="D193" s="96">
        <f t="shared" si="11"/>
        <v>1900</v>
      </c>
      <c r="E193" s="98" t="str">
        <f t="shared" si="12"/>
        <v>4</v>
      </c>
    </row>
    <row r="194" spans="3:5">
      <c r="C194" s="17"/>
      <c r="D194" s="96">
        <f t="shared" si="11"/>
        <v>1900</v>
      </c>
      <c r="E194" s="98" t="str">
        <f t="shared" si="12"/>
        <v>4</v>
      </c>
    </row>
    <row r="195" spans="3:5">
      <c r="C195" s="17"/>
      <c r="D195" s="96">
        <f t="shared" si="11"/>
        <v>1900</v>
      </c>
      <c r="E195" s="98" t="str">
        <f t="shared" si="12"/>
        <v>4</v>
      </c>
    </row>
    <row r="196" spans="3:5">
      <c r="C196" s="17"/>
      <c r="D196" s="96">
        <f t="shared" si="11"/>
        <v>1900</v>
      </c>
      <c r="E196" s="98" t="str">
        <f t="shared" si="12"/>
        <v>4</v>
      </c>
    </row>
    <row r="197" spans="3:5">
      <c r="C197" s="17"/>
      <c r="D197" s="96">
        <f t="shared" si="11"/>
        <v>1900</v>
      </c>
      <c r="E197" s="98" t="str">
        <f t="shared" si="12"/>
        <v>4</v>
      </c>
    </row>
    <row r="198" spans="3:5">
      <c r="C198" s="17"/>
      <c r="D198" s="96">
        <f t="shared" si="11"/>
        <v>1900</v>
      </c>
      <c r="E198" s="98" t="str">
        <f t="shared" si="12"/>
        <v>4</v>
      </c>
    </row>
    <row r="199" spans="3:5">
      <c r="C199" s="17"/>
      <c r="D199" s="96">
        <f t="shared" si="11"/>
        <v>1900</v>
      </c>
      <c r="E199" s="98" t="str">
        <f t="shared" si="12"/>
        <v>4</v>
      </c>
    </row>
    <row r="200" spans="3:5">
      <c r="C200" s="17"/>
      <c r="D200" s="96">
        <f t="shared" si="11"/>
        <v>1900</v>
      </c>
      <c r="E200" s="98" t="str">
        <f t="shared" si="12"/>
        <v>4</v>
      </c>
    </row>
    <row r="201" spans="3:5">
      <c r="C201" s="17"/>
      <c r="D201" s="96">
        <f t="shared" si="11"/>
        <v>1900</v>
      </c>
      <c r="E201" s="98" t="str">
        <f t="shared" si="12"/>
        <v>4</v>
      </c>
    </row>
    <row r="202" spans="3:5">
      <c r="C202" s="17"/>
      <c r="D202" s="96">
        <f t="shared" si="11"/>
        <v>1900</v>
      </c>
      <c r="E202" s="98" t="str">
        <f t="shared" si="12"/>
        <v>4</v>
      </c>
    </row>
    <row r="203" spans="3:5">
      <c r="C203" s="17"/>
      <c r="D203" s="96">
        <f t="shared" si="11"/>
        <v>1900</v>
      </c>
      <c r="E203" s="98" t="str">
        <f t="shared" si="12"/>
        <v>4</v>
      </c>
    </row>
    <row r="204" spans="3:5">
      <c r="C204" s="17"/>
      <c r="D204" s="96">
        <f t="shared" ref="D204:D250" si="13">YEAR(A204)</f>
        <v>1900</v>
      </c>
      <c r="E204" s="98" t="str">
        <f t="shared" ref="E204:E250" si="14">IF(MONTH(A204)=3,"1",IF(MONTH(A204)=6,"2",IF(MONTH(A204)=9,"3","4")))</f>
        <v>4</v>
      </c>
    </row>
    <row r="205" spans="3:5">
      <c r="C205" s="17"/>
      <c r="D205" s="96">
        <f t="shared" si="13"/>
        <v>1900</v>
      </c>
      <c r="E205" s="98" t="str">
        <f t="shared" si="14"/>
        <v>4</v>
      </c>
    </row>
    <row r="206" spans="3:5">
      <c r="C206" s="17"/>
      <c r="D206" s="96">
        <f t="shared" si="13"/>
        <v>1900</v>
      </c>
      <c r="E206" s="98" t="str">
        <f t="shared" si="14"/>
        <v>4</v>
      </c>
    </row>
    <row r="207" spans="3:5">
      <c r="C207" s="17"/>
      <c r="D207" s="96">
        <f t="shared" si="13"/>
        <v>1900</v>
      </c>
      <c r="E207" s="98" t="str">
        <f t="shared" si="14"/>
        <v>4</v>
      </c>
    </row>
    <row r="208" spans="3:5">
      <c r="C208" s="17"/>
      <c r="D208" s="96">
        <f t="shared" si="13"/>
        <v>1900</v>
      </c>
      <c r="E208" s="98" t="str">
        <f t="shared" si="14"/>
        <v>4</v>
      </c>
    </row>
    <row r="209" spans="3:5">
      <c r="C209" s="17"/>
      <c r="D209" s="96">
        <f t="shared" si="13"/>
        <v>1900</v>
      </c>
      <c r="E209" s="98" t="str">
        <f t="shared" si="14"/>
        <v>4</v>
      </c>
    </row>
    <row r="210" spans="3:5">
      <c r="C210" s="17"/>
      <c r="D210" s="96">
        <f t="shared" si="13"/>
        <v>1900</v>
      </c>
      <c r="E210" s="98" t="str">
        <f t="shared" si="14"/>
        <v>4</v>
      </c>
    </row>
    <row r="211" spans="3:5">
      <c r="C211" s="17"/>
      <c r="D211" s="96">
        <f t="shared" si="13"/>
        <v>1900</v>
      </c>
      <c r="E211" s="98" t="str">
        <f t="shared" si="14"/>
        <v>4</v>
      </c>
    </row>
    <row r="212" spans="3:5">
      <c r="C212" s="17"/>
      <c r="D212" s="96">
        <f t="shared" si="13"/>
        <v>1900</v>
      </c>
      <c r="E212" s="98" t="str">
        <f t="shared" si="14"/>
        <v>4</v>
      </c>
    </row>
    <row r="213" spans="3:5">
      <c r="C213" s="17"/>
      <c r="D213" s="96">
        <f t="shared" si="13"/>
        <v>1900</v>
      </c>
      <c r="E213" s="98" t="str">
        <f t="shared" si="14"/>
        <v>4</v>
      </c>
    </row>
    <row r="214" spans="3:5">
      <c r="C214" s="17"/>
      <c r="D214" s="96">
        <f t="shared" si="13"/>
        <v>1900</v>
      </c>
      <c r="E214" s="98" t="str">
        <f t="shared" si="14"/>
        <v>4</v>
      </c>
    </row>
    <row r="215" spans="3:5">
      <c r="C215" s="17"/>
      <c r="D215" s="96">
        <f t="shared" si="13"/>
        <v>1900</v>
      </c>
      <c r="E215" s="98" t="str">
        <f t="shared" si="14"/>
        <v>4</v>
      </c>
    </row>
    <row r="216" spans="3:5">
      <c r="C216" s="17"/>
      <c r="D216" s="96">
        <f t="shared" si="13"/>
        <v>1900</v>
      </c>
      <c r="E216" s="98" t="str">
        <f t="shared" si="14"/>
        <v>4</v>
      </c>
    </row>
    <row r="217" spans="3:5">
      <c r="C217" s="17"/>
      <c r="D217" s="96">
        <f t="shared" si="13"/>
        <v>1900</v>
      </c>
      <c r="E217" s="98" t="str">
        <f t="shared" si="14"/>
        <v>4</v>
      </c>
    </row>
    <row r="218" spans="3:5">
      <c r="C218" s="17"/>
      <c r="D218" s="96">
        <f t="shared" si="13"/>
        <v>1900</v>
      </c>
      <c r="E218" s="98" t="str">
        <f t="shared" si="14"/>
        <v>4</v>
      </c>
    </row>
    <row r="219" spans="3:5">
      <c r="C219" s="17"/>
      <c r="D219" s="96">
        <f t="shared" si="13"/>
        <v>1900</v>
      </c>
      <c r="E219" s="98" t="str">
        <f t="shared" si="14"/>
        <v>4</v>
      </c>
    </row>
    <row r="220" spans="3:5">
      <c r="C220" s="17"/>
      <c r="D220" s="96">
        <f t="shared" si="13"/>
        <v>1900</v>
      </c>
      <c r="E220" s="98" t="str">
        <f t="shared" si="14"/>
        <v>4</v>
      </c>
    </row>
    <row r="221" spans="3:5">
      <c r="C221" s="17"/>
      <c r="D221" s="96">
        <f t="shared" si="13"/>
        <v>1900</v>
      </c>
      <c r="E221" s="98" t="str">
        <f t="shared" si="14"/>
        <v>4</v>
      </c>
    </row>
    <row r="222" spans="3:5">
      <c r="C222" s="17"/>
      <c r="D222" s="96">
        <f t="shared" si="13"/>
        <v>1900</v>
      </c>
      <c r="E222" s="98" t="str">
        <f t="shared" si="14"/>
        <v>4</v>
      </c>
    </row>
    <row r="223" spans="3:5">
      <c r="C223" s="17"/>
      <c r="D223" s="96">
        <f t="shared" si="13"/>
        <v>1900</v>
      </c>
      <c r="E223" s="98" t="str">
        <f t="shared" si="14"/>
        <v>4</v>
      </c>
    </row>
    <row r="224" spans="3:5">
      <c r="C224" s="17"/>
      <c r="D224" s="96">
        <f t="shared" si="13"/>
        <v>1900</v>
      </c>
      <c r="E224" s="98" t="str">
        <f t="shared" si="14"/>
        <v>4</v>
      </c>
    </row>
    <row r="225" spans="3:5">
      <c r="C225" s="17"/>
      <c r="D225" s="96">
        <f t="shared" si="13"/>
        <v>1900</v>
      </c>
      <c r="E225" s="98" t="str">
        <f t="shared" si="14"/>
        <v>4</v>
      </c>
    </row>
    <row r="226" spans="3:5">
      <c r="C226" s="17"/>
      <c r="D226" s="96">
        <f t="shared" si="13"/>
        <v>1900</v>
      </c>
      <c r="E226" s="98" t="str">
        <f t="shared" si="14"/>
        <v>4</v>
      </c>
    </row>
    <row r="227" spans="3:5">
      <c r="C227" s="17"/>
      <c r="D227" s="96">
        <f t="shared" si="13"/>
        <v>1900</v>
      </c>
      <c r="E227" s="98" t="str">
        <f t="shared" si="14"/>
        <v>4</v>
      </c>
    </row>
    <row r="228" spans="3:5">
      <c r="C228" s="17"/>
      <c r="D228" s="96">
        <f t="shared" si="13"/>
        <v>1900</v>
      </c>
      <c r="E228" s="98" t="str">
        <f t="shared" si="14"/>
        <v>4</v>
      </c>
    </row>
    <row r="229" spans="3:5">
      <c r="C229" s="17"/>
      <c r="D229" s="96">
        <f t="shared" si="13"/>
        <v>1900</v>
      </c>
      <c r="E229" s="98" t="str">
        <f t="shared" si="14"/>
        <v>4</v>
      </c>
    </row>
    <row r="230" spans="3:5">
      <c r="C230" s="17"/>
      <c r="D230" s="96">
        <f t="shared" si="13"/>
        <v>1900</v>
      </c>
      <c r="E230" s="98" t="str">
        <f t="shared" si="14"/>
        <v>4</v>
      </c>
    </row>
    <row r="231" spans="3:5">
      <c r="C231" s="17"/>
      <c r="D231" s="96">
        <f t="shared" si="13"/>
        <v>1900</v>
      </c>
      <c r="E231" s="98" t="str">
        <f t="shared" si="14"/>
        <v>4</v>
      </c>
    </row>
    <row r="232" spans="3:5">
      <c r="C232" s="17"/>
      <c r="D232" s="96">
        <f t="shared" si="13"/>
        <v>1900</v>
      </c>
      <c r="E232" s="98" t="str">
        <f t="shared" si="14"/>
        <v>4</v>
      </c>
    </row>
    <row r="233" spans="3:5">
      <c r="C233" s="17"/>
      <c r="D233" s="96">
        <f t="shared" si="13"/>
        <v>1900</v>
      </c>
      <c r="E233" s="98" t="str">
        <f t="shared" si="14"/>
        <v>4</v>
      </c>
    </row>
    <row r="234" spans="3:5">
      <c r="C234" s="17"/>
      <c r="D234" s="96">
        <f t="shared" si="13"/>
        <v>1900</v>
      </c>
      <c r="E234" s="98" t="str">
        <f t="shared" si="14"/>
        <v>4</v>
      </c>
    </row>
    <row r="235" spans="3:5">
      <c r="C235" s="17"/>
      <c r="D235" s="96">
        <f t="shared" si="13"/>
        <v>1900</v>
      </c>
      <c r="E235" s="98" t="str">
        <f t="shared" si="14"/>
        <v>4</v>
      </c>
    </row>
    <row r="236" spans="3:5">
      <c r="C236" s="17"/>
      <c r="D236" s="96">
        <f t="shared" si="13"/>
        <v>1900</v>
      </c>
      <c r="E236" s="98" t="str">
        <f t="shared" si="14"/>
        <v>4</v>
      </c>
    </row>
    <row r="237" spans="3:5">
      <c r="C237" s="17"/>
      <c r="D237" s="96">
        <f t="shared" si="13"/>
        <v>1900</v>
      </c>
      <c r="E237" s="98" t="str">
        <f t="shared" si="14"/>
        <v>4</v>
      </c>
    </row>
    <row r="238" spans="3:5">
      <c r="C238" s="17"/>
      <c r="D238" s="96">
        <f t="shared" si="13"/>
        <v>1900</v>
      </c>
      <c r="E238" s="98" t="str">
        <f t="shared" si="14"/>
        <v>4</v>
      </c>
    </row>
    <row r="239" spans="3:5">
      <c r="C239" s="17"/>
      <c r="D239" s="96">
        <f t="shared" si="13"/>
        <v>1900</v>
      </c>
      <c r="E239" s="98" t="str">
        <f t="shared" si="14"/>
        <v>4</v>
      </c>
    </row>
    <row r="240" spans="3:5">
      <c r="C240" s="17"/>
      <c r="D240" s="96">
        <f t="shared" si="13"/>
        <v>1900</v>
      </c>
      <c r="E240" s="98" t="str">
        <f t="shared" si="14"/>
        <v>4</v>
      </c>
    </row>
    <row r="241" spans="3:5">
      <c r="C241" s="17"/>
      <c r="D241" s="96">
        <f t="shared" si="13"/>
        <v>1900</v>
      </c>
      <c r="E241" s="98" t="str">
        <f t="shared" si="14"/>
        <v>4</v>
      </c>
    </row>
    <row r="242" spans="3:5">
      <c r="C242" s="17"/>
      <c r="D242" s="96">
        <f t="shared" si="13"/>
        <v>1900</v>
      </c>
      <c r="E242" s="98" t="str">
        <f t="shared" si="14"/>
        <v>4</v>
      </c>
    </row>
    <row r="243" spans="3:5">
      <c r="C243" s="17"/>
      <c r="D243" s="96">
        <f t="shared" si="13"/>
        <v>1900</v>
      </c>
      <c r="E243" s="98" t="str">
        <f t="shared" si="14"/>
        <v>4</v>
      </c>
    </row>
    <row r="244" spans="3:5">
      <c r="C244" s="17"/>
      <c r="D244" s="96">
        <f t="shared" si="13"/>
        <v>1900</v>
      </c>
      <c r="E244" s="98" t="str">
        <f t="shared" si="14"/>
        <v>4</v>
      </c>
    </row>
    <row r="245" spans="3:5">
      <c r="C245" s="17"/>
      <c r="D245" s="96">
        <f t="shared" si="13"/>
        <v>1900</v>
      </c>
      <c r="E245" s="98" t="str">
        <f t="shared" si="14"/>
        <v>4</v>
      </c>
    </row>
    <row r="246" spans="3:5">
      <c r="C246" s="17"/>
      <c r="D246" s="96">
        <f t="shared" si="13"/>
        <v>1900</v>
      </c>
      <c r="E246" s="98" t="str">
        <f t="shared" si="14"/>
        <v>4</v>
      </c>
    </row>
    <row r="247" spans="3:5">
      <c r="C247" s="17"/>
      <c r="D247" s="96">
        <f t="shared" si="13"/>
        <v>1900</v>
      </c>
      <c r="E247" s="98" t="str">
        <f t="shared" si="14"/>
        <v>4</v>
      </c>
    </row>
    <row r="248" spans="3:5">
      <c r="C248" s="17"/>
      <c r="D248" s="96">
        <f t="shared" si="13"/>
        <v>1900</v>
      </c>
      <c r="E248" s="98" t="str">
        <f t="shared" si="14"/>
        <v>4</v>
      </c>
    </row>
    <row r="249" spans="3:5">
      <c r="C249" s="17"/>
      <c r="D249" s="96">
        <f t="shared" si="13"/>
        <v>1900</v>
      </c>
      <c r="E249" s="98" t="str">
        <f t="shared" si="14"/>
        <v>4</v>
      </c>
    </row>
    <row r="250" spans="3:5">
      <c r="C250" s="17"/>
      <c r="D250" s="96">
        <f t="shared" si="13"/>
        <v>1900</v>
      </c>
      <c r="E250" s="98" t="str">
        <f t="shared" si="14"/>
        <v>4</v>
      </c>
    </row>
    <row r="251" spans="3:5">
      <c r="C251" s="17"/>
      <c r="D251" s="99"/>
      <c r="E251" s="99"/>
    </row>
    <row r="252" spans="3:5">
      <c r="C252" s="17"/>
      <c r="D252" s="99"/>
      <c r="E252" s="99"/>
    </row>
    <row r="253" spans="3:5">
      <c r="C253" s="17"/>
      <c r="D253" s="99"/>
      <c r="E253" s="99"/>
    </row>
    <row r="254" spans="3:5">
      <c r="C254" s="17"/>
      <c r="D254" s="99"/>
      <c r="E254" s="99"/>
    </row>
    <row r="255" spans="3:5">
      <c r="C255" s="17"/>
      <c r="D255" s="99"/>
      <c r="E255" s="99"/>
    </row>
    <row r="256" spans="3:5">
      <c r="C256" s="17"/>
      <c r="D256" s="99"/>
      <c r="E256" s="99"/>
    </row>
    <row r="257" spans="3:5">
      <c r="C257" s="17"/>
      <c r="D257" s="99"/>
      <c r="E257" s="99"/>
    </row>
    <row r="258" spans="3:5">
      <c r="C258" s="17"/>
      <c r="D258" s="99"/>
      <c r="E258" s="99"/>
    </row>
    <row r="259" spans="3:5">
      <c r="C259" s="17"/>
      <c r="D259" s="99"/>
      <c r="E259" s="99"/>
    </row>
    <row r="260" spans="3:5">
      <c r="C260" s="17"/>
      <c r="D260" s="99"/>
      <c r="E260" s="99"/>
    </row>
    <row r="261" spans="3:5">
      <c r="C261" s="17"/>
      <c r="D261" s="99"/>
      <c r="E261" s="99"/>
    </row>
    <row r="262" spans="3:5">
      <c r="C262" s="17"/>
      <c r="D262" s="99"/>
      <c r="E262" s="99"/>
    </row>
    <row r="263" spans="3:5">
      <c r="C263" s="17"/>
      <c r="D263" s="99"/>
      <c r="E263" s="99"/>
    </row>
    <row r="264" spans="3:5">
      <c r="C264" s="17"/>
      <c r="D264" s="99"/>
      <c r="E264" s="99"/>
    </row>
    <row r="265" spans="3:5">
      <c r="C265" s="17"/>
      <c r="D265" s="99"/>
      <c r="E265" s="99"/>
    </row>
    <row r="266" spans="3:5">
      <c r="C266" s="17"/>
      <c r="D266" s="99"/>
      <c r="E266" s="99"/>
    </row>
    <row r="267" spans="3:5">
      <c r="C267" s="17"/>
      <c r="D267" s="99"/>
      <c r="E267" s="99"/>
    </row>
    <row r="268" spans="3:5">
      <c r="C268" s="17"/>
      <c r="D268" s="99"/>
      <c r="E268" s="99"/>
    </row>
    <row r="269" spans="3:5">
      <c r="C269" s="17"/>
      <c r="D269" s="99"/>
      <c r="E269" s="99"/>
    </row>
    <row r="270" spans="3:5">
      <c r="C270" s="17"/>
      <c r="D270" s="99"/>
      <c r="E270" s="99"/>
    </row>
    <row r="271" spans="3:5">
      <c r="C271" s="17"/>
      <c r="D271" s="99"/>
      <c r="E271" s="99"/>
    </row>
    <row r="272" spans="3:5">
      <c r="C272" s="17"/>
      <c r="D272" s="99"/>
      <c r="E272" s="99"/>
    </row>
    <row r="273" spans="3:5">
      <c r="C273" s="17"/>
      <c r="D273" s="99"/>
      <c r="E273" s="99"/>
    </row>
    <row r="274" spans="3:5">
      <c r="C274" s="17"/>
      <c r="D274" s="99"/>
      <c r="E274" s="99"/>
    </row>
    <row r="275" spans="3:5">
      <c r="C275" s="17"/>
      <c r="D275" s="99"/>
      <c r="E275" s="99"/>
    </row>
    <row r="276" spans="3:5">
      <c r="C276" s="17"/>
      <c r="D276" s="99"/>
      <c r="E276" s="99"/>
    </row>
    <row r="277" spans="3:5">
      <c r="C277" s="17"/>
      <c r="D277" s="99"/>
      <c r="E277" s="99"/>
    </row>
    <row r="278" spans="3:5">
      <c r="C278" s="17"/>
      <c r="D278" s="99"/>
      <c r="E278" s="99"/>
    </row>
    <row r="279" spans="3:5">
      <c r="C279" s="17"/>
      <c r="D279" s="99"/>
      <c r="E279" s="99"/>
    </row>
    <row r="280" spans="3:5">
      <c r="C280" s="17"/>
      <c r="D280" s="99"/>
      <c r="E280" s="99"/>
    </row>
    <row r="281" spans="3:5">
      <c r="C281" s="17"/>
      <c r="D281" s="99"/>
      <c r="E281" s="99"/>
    </row>
    <row r="282" spans="3:5">
      <c r="C282" s="17"/>
      <c r="D282" s="99"/>
      <c r="E282" s="99"/>
    </row>
    <row r="283" spans="3:5">
      <c r="C283" s="17"/>
      <c r="D283" s="99"/>
      <c r="E283" s="99"/>
    </row>
    <row r="284" spans="3:5">
      <c r="C284" s="17"/>
      <c r="D284" s="99"/>
      <c r="E284" s="99"/>
    </row>
    <row r="285" spans="3:5">
      <c r="C285" s="17"/>
      <c r="D285" s="99"/>
      <c r="E285" s="99"/>
    </row>
    <row r="286" spans="3:5">
      <c r="C286" s="17"/>
      <c r="D286" s="99"/>
      <c r="E286" s="99"/>
    </row>
    <row r="287" spans="3:5">
      <c r="C287" s="17"/>
      <c r="D287" s="99"/>
      <c r="E287" s="99"/>
    </row>
    <row r="288" spans="3:5">
      <c r="C288" s="17"/>
      <c r="D288" s="99"/>
      <c r="E288" s="99"/>
    </row>
    <row r="289" spans="3:5">
      <c r="C289" s="17"/>
      <c r="D289" s="99"/>
      <c r="E289" s="99"/>
    </row>
    <row r="290" spans="3:5">
      <c r="C290" s="17"/>
      <c r="D290" s="99"/>
      <c r="E290" s="99"/>
    </row>
    <row r="291" spans="3:5">
      <c r="C291" s="17"/>
      <c r="D291" s="99"/>
      <c r="E291" s="99"/>
    </row>
    <row r="292" spans="3:5">
      <c r="C292" s="17"/>
      <c r="D292" s="99"/>
      <c r="E292" s="99"/>
    </row>
    <row r="293" spans="3:5">
      <c r="C293" s="17"/>
      <c r="D293" s="99"/>
      <c r="E293" s="99"/>
    </row>
    <row r="294" spans="3:5">
      <c r="C294" s="17"/>
      <c r="D294" s="99"/>
      <c r="E294" s="99"/>
    </row>
    <row r="295" spans="3:5">
      <c r="C295" s="17"/>
      <c r="D295" s="99"/>
      <c r="E295" s="99"/>
    </row>
    <row r="296" spans="3:5">
      <c r="C296" s="17"/>
      <c r="D296" s="99"/>
      <c r="E296" s="99"/>
    </row>
    <row r="297" spans="3:5">
      <c r="C297" s="17"/>
      <c r="D297" s="99"/>
      <c r="E297" s="99"/>
    </row>
    <row r="298" spans="3:5">
      <c r="C298" s="17"/>
      <c r="D298" s="99"/>
      <c r="E298" s="99"/>
    </row>
    <row r="299" spans="3:5">
      <c r="C299" s="17"/>
      <c r="D299" s="99"/>
      <c r="E299" s="99"/>
    </row>
    <row r="300" spans="3:5">
      <c r="C300" s="17"/>
      <c r="D300" s="99"/>
      <c r="E300" s="99"/>
    </row>
    <row r="301" spans="3:5">
      <c r="C301" s="17"/>
      <c r="D301" s="99"/>
      <c r="E301" s="99"/>
    </row>
    <row r="302" spans="3:5">
      <c r="C302" s="17"/>
      <c r="D302" s="99"/>
      <c r="E302" s="99"/>
    </row>
    <row r="303" spans="3:5">
      <c r="C303" s="17"/>
      <c r="D303" s="99"/>
      <c r="E303" s="99"/>
    </row>
    <row r="304" spans="3:5">
      <c r="C304" s="17"/>
      <c r="D304" s="99"/>
      <c r="E304" s="99"/>
    </row>
    <row r="305" spans="3:5">
      <c r="C305" s="17"/>
      <c r="D305" s="99"/>
      <c r="E305" s="99"/>
    </row>
    <row r="306" spans="3:5">
      <c r="C306" s="17"/>
      <c r="D306" s="99"/>
      <c r="E306" s="99"/>
    </row>
    <row r="307" spans="3:5">
      <c r="C307" s="17"/>
      <c r="D307" s="99"/>
      <c r="E307" s="99"/>
    </row>
    <row r="308" spans="3:5">
      <c r="C308" s="17"/>
      <c r="D308" s="99"/>
      <c r="E308" s="99"/>
    </row>
    <row r="309" spans="3:5">
      <c r="C309" s="17"/>
      <c r="D309" s="99"/>
      <c r="E309" s="99"/>
    </row>
    <row r="310" spans="3:5">
      <c r="C310" s="17"/>
      <c r="D310" s="99"/>
      <c r="E310" s="99"/>
    </row>
    <row r="311" spans="3:5">
      <c r="C311" s="17"/>
      <c r="D311" s="99"/>
      <c r="E311" s="99"/>
    </row>
    <row r="312" spans="3:5">
      <c r="C312" s="17"/>
      <c r="D312" s="99"/>
      <c r="E312" s="99"/>
    </row>
    <row r="313" spans="3:5">
      <c r="C313" s="17"/>
      <c r="D313" s="99"/>
      <c r="E313" s="99"/>
    </row>
    <row r="314" spans="3:5">
      <c r="C314" s="17"/>
      <c r="D314" s="99"/>
      <c r="E314" s="99"/>
    </row>
    <row r="315" spans="3:5">
      <c r="C315" s="17"/>
      <c r="D315" s="99"/>
      <c r="E315" s="99"/>
    </row>
    <row r="316" spans="3:5">
      <c r="C316" s="17"/>
      <c r="D316" s="99"/>
      <c r="E316" s="99"/>
    </row>
    <row r="317" spans="3:5">
      <c r="C317" s="17"/>
      <c r="D317" s="99"/>
      <c r="E317" s="99"/>
    </row>
    <row r="318" spans="3:5">
      <c r="C318" s="17"/>
      <c r="D318" s="99"/>
      <c r="E318" s="99"/>
    </row>
    <row r="319" spans="3:5">
      <c r="C319" s="17"/>
      <c r="D319" s="99"/>
      <c r="E319" s="99"/>
    </row>
    <row r="320" spans="3:5">
      <c r="C320" s="17"/>
      <c r="D320" s="99"/>
      <c r="E320" s="99"/>
    </row>
    <row r="321" spans="3:5">
      <c r="C321" s="17"/>
      <c r="D321" s="99"/>
      <c r="E321" s="99"/>
    </row>
    <row r="322" spans="3:5">
      <c r="C322" s="17"/>
      <c r="D322" s="99"/>
      <c r="E322" s="99"/>
    </row>
    <row r="323" spans="3:5">
      <c r="C323" s="17"/>
      <c r="D323" s="99"/>
      <c r="E323" s="99"/>
    </row>
    <row r="324" spans="3:5">
      <c r="C324" s="17"/>
      <c r="D324" s="99"/>
      <c r="E324" s="99"/>
    </row>
    <row r="325" spans="3:5">
      <c r="C325" s="17"/>
      <c r="D325" s="99"/>
      <c r="E325" s="99"/>
    </row>
    <row r="326" spans="3:5">
      <c r="C326" s="17"/>
      <c r="D326" s="99"/>
      <c r="E326" s="99"/>
    </row>
    <row r="327" spans="3:5">
      <c r="C327" s="17"/>
      <c r="D327" s="99"/>
      <c r="E327" s="99"/>
    </row>
    <row r="328" spans="3:5">
      <c r="C328" s="17"/>
      <c r="D328" s="99"/>
      <c r="E328" s="99"/>
    </row>
    <row r="329" spans="3:5">
      <c r="C329" s="17"/>
      <c r="D329" s="99"/>
      <c r="E329" s="99"/>
    </row>
    <row r="330" spans="3:5">
      <c r="C330" s="17"/>
      <c r="D330" s="99"/>
      <c r="E330" s="99"/>
    </row>
    <row r="331" spans="3:5">
      <c r="C331" s="17"/>
      <c r="D331" s="99"/>
      <c r="E331" s="99"/>
    </row>
    <row r="332" spans="3:5">
      <c r="C332" s="17"/>
      <c r="D332" s="99"/>
      <c r="E332" s="99"/>
    </row>
    <row r="333" spans="3:5">
      <c r="C333" s="17"/>
      <c r="D333" s="99"/>
      <c r="E333" s="99"/>
    </row>
    <row r="334" spans="3:5">
      <c r="C334" s="17"/>
      <c r="D334" s="99"/>
      <c r="E334" s="99"/>
    </row>
    <row r="335" spans="3:5">
      <c r="C335" s="17"/>
      <c r="D335" s="99"/>
      <c r="E335" s="99"/>
    </row>
    <row r="336" spans="3:5">
      <c r="C336" s="17"/>
      <c r="D336" s="99"/>
      <c r="E336" s="99"/>
    </row>
    <row r="337" spans="3:5">
      <c r="C337" s="17"/>
      <c r="D337" s="99"/>
      <c r="E337" s="99"/>
    </row>
    <row r="338" spans="3:5">
      <c r="C338" s="17"/>
      <c r="D338" s="99"/>
      <c r="E338" s="99"/>
    </row>
    <row r="339" spans="3:5">
      <c r="C339" s="17"/>
      <c r="D339" s="99"/>
      <c r="E339" s="99"/>
    </row>
    <row r="340" spans="3:5">
      <c r="C340" s="17"/>
      <c r="D340" s="99"/>
      <c r="E340" s="99"/>
    </row>
    <row r="341" spans="3:5">
      <c r="C341" s="17"/>
      <c r="D341" s="99"/>
      <c r="E341" s="99"/>
    </row>
    <row r="342" spans="3:5">
      <c r="C342" s="17"/>
      <c r="D342" s="99"/>
      <c r="E342" s="99"/>
    </row>
    <row r="343" spans="3:5">
      <c r="C343" s="17"/>
      <c r="D343" s="99"/>
      <c r="E343" s="99"/>
    </row>
    <row r="344" spans="3:5">
      <c r="C344" s="17"/>
      <c r="D344" s="99"/>
      <c r="E344" s="99"/>
    </row>
    <row r="345" spans="3:5">
      <c r="C345" s="17"/>
      <c r="D345" s="99"/>
      <c r="E345" s="99"/>
    </row>
    <row r="346" spans="3:5">
      <c r="C346" s="17"/>
      <c r="D346" s="99"/>
      <c r="E346" s="99"/>
    </row>
    <row r="347" spans="3:5">
      <c r="C347" s="17"/>
      <c r="D347" s="99"/>
      <c r="E347" s="99"/>
    </row>
    <row r="348" spans="3:5">
      <c r="C348" s="17"/>
      <c r="D348" s="99"/>
      <c r="E348" s="99"/>
    </row>
    <row r="349" spans="3:5">
      <c r="C349" s="17"/>
      <c r="D349" s="99"/>
      <c r="E349" s="99"/>
    </row>
    <row r="350" spans="3:5">
      <c r="C350" s="17"/>
      <c r="D350" s="99"/>
      <c r="E350" s="99"/>
    </row>
    <row r="351" spans="3:5">
      <c r="C351" s="17"/>
      <c r="D351" s="99"/>
      <c r="E351" s="99"/>
    </row>
    <row r="352" spans="3:5">
      <c r="C352" s="17"/>
      <c r="D352" s="99"/>
      <c r="E352" s="99"/>
    </row>
    <row r="353" spans="3:5">
      <c r="C353" s="17"/>
      <c r="D353" s="99"/>
      <c r="E353" s="99"/>
    </row>
    <row r="354" spans="3:5">
      <c r="C354" s="17"/>
      <c r="D354" s="99"/>
      <c r="E354" s="99"/>
    </row>
    <row r="355" spans="3:5">
      <c r="C355" s="17"/>
      <c r="D355" s="99"/>
      <c r="E355" s="99"/>
    </row>
    <row r="356" spans="3:5">
      <c r="C356" s="17"/>
      <c r="D356" s="99"/>
      <c r="E356" s="99"/>
    </row>
    <row r="357" spans="3:5">
      <c r="C357" s="17"/>
      <c r="D357" s="99"/>
      <c r="E357" s="99"/>
    </row>
    <row r="358" spans="3:5">
      <c r="C358" s="17"/>
      <c r="D358" s="99"/>
      <c r="E358" s="99"/>
    </row>
    <row r="359" spans="3:5">
      <c r="C359" s="17"/>
      <c r="D359" s="99"/>
      <c r="E359" s="99"/>
    </row>
    <row r="360" spans="3:5">
      <c r="C360" s="17"/>
      <c r="D360" s="99"/>
      <c r="E360" s="99"/>
    </row>
    <row r="361" spans="3:5">
      <c r="C361" s="17"/>
      <c r="D361" s="99"/>
      <c r="E361" s="99"/>
    </row>
    <row r="362" spans="3:5">
      <c r="C362" s="17"/>
      <c r="D362" s="99"/>
      <c r="E362" s="99"/>
    </row>
    <row r="363" spans="3:5">
      <c r="C363" s="17"/>
      <c r="D363" s="99"/>
      <c r="E363" s="99"/>
    </row>
    <row r="364" spans="3:5">
      <c r="C364" s="17"/>
      <c r="D364" s="99"/>
      <c r="E364" s="99"/>
    </row>
    <row r="365" spans="3:5">
      <c r="C365" s="17"/>
      <c r="D365" s="99"/>
      <c r="E365" s="99"/>
    </row>
    <row r="366" spans="3:5">
      <c r="C366" s="17"/>
      <c r="D366" s="99"/>
      <c r="E366" s="99"/>
    </row>
    <row r="367" spans="3:5">
      <c r="C367" s="17"/>
      <c r="D367" s="99"/>
      <c r="E367" s="99"/>
    </row>
    <row r="368" spans="3:5">
      <c r="C368" s="17"/>
      <c r="D368" s="99"/>
      <c r="E368" s="99"/>
    </row>
    <row r="369" spans="3:5">
      <c r="C369" s="17"/>
      <c r="D369" s="99"/>
      <c r="E369" s="99"/>
    </row>
    <row r="370" spans="3:5">
      <c r="C370" s="17"/>
      <c r="D370" s="99"/>
      <c r="E370" s="99"/>
    </row>
    <row r="371" spans="3:5">
      <c r="C371" s="17"/>
      <c r="D371" s="99"/>
      <c r="E371" s="99"/>
    </row>
    <row r="372" spans="3:5">
      <c r="C372" s="17"/>
      <c r="D372" s="99"/>
      <c r="E372" s="99"/>
    </row>
    <row r="373" spans="3:5">
      <c r="C373" s="17"/>
      <c r="D373" s="99"/>
      <c r="E373" s="99"/>
    </row>
    <row r="374" spans="3:5">
      <c r="C374" s="17"/>
      <c r="D374" s="99"/>
      <c r="E374" s="99"/>
    </row>
    <row r="375" spans="3:5">
      <c r="C375" s="17"/>
      <c r="D375" s="99"/>
      <c r="E375" s="99"/>
    </row>
    <row r="376" spans="3:5">
      <c r="C376" s="17"/>
      <c r="D376" s="99"/>
      <c r="E376" s="99"/>
    </row>
    <row r="377" spans="3:5">
      <c r="C377" s="17"/>
      <c r="D377" s="99"/>
      <c r="E377" s="99"/>
    </row>
    <row r="378" spans="3:5">
      <c r="C378" s="17"/>
      <c r="D378" s="99"/>
      <c r="E378" s="99"/>
    </row>
    <row r="379" spans="3:5">
      <c r="C379" s="17"/>
      <c r="D379" s="99"/>
      <c r="E379" s="99"/>
    </row>
    <row r="380" spans="3:5">
      <c r="C380" s="17"/>
      <c r="D380" s="99"/>
      <c r="E380" s="99"/>
    </row>
    <row r="381" spans="3:5">
      <c r="C381" s="17"/>
      <c r="D381" s="99"/>
      <c r="E381" s="99"/>
    </row>
    <row r="382" spans="3:5">
      <c r="C382" s="17"/>
      <c r="D382" s="99"/>
      <c r="E382" s="99"/>
    </row>
    <row r="383" spans="3:5">
      <c r="C383" s="17"/>
      <c r="D383" s="99"/>
      <c r="E383" s="99"/>
    </row>
    <row r="384" spans="3:5">
      <c r="C384" s="17"/>
      <c r="D384" s="99"/>
      <c r="E384" s="99"/>
    </row>
    <row r="385" spans="3:5">
      <c r="C385" s="17"/>
      <c r="D385" s="99"/>
      <c r="E385" s="99"/>
    </row>
    <row r="386" spans="3:5">
      <c r="C386" s="17"/>
      <c r="D386" s="99"/>
      <c r="E386" s="99"/>
    </row>
    <row r="387" spans="3:5">
      <c r="C387" s="17"/>
      <c r="D387" s="99"/>
      <c r="E387" s="99"/>
    </row>
    <row r="388" spans="3:5">
      <c r="C388" s="17"/>
      <c r="D388" s="99"/>
      <c r="E388" s="99"/>
    </row>
    <row r="389" spans="3:5">
      <c r="C389" s="17"/>
      <c r="D389" s="99"/>
      <c r="E389" s="99"/>
    </row>
    <row r="390" spans="3:5">
      <c r="C390" s="17"/>
      <c r="D390" s="99"/>
      <c r="E390" s="99"/>
    </row>
    <row r="391" spans="3:5">
      <c r="C391" s="17"/>
      <c r="D391" s="99"/>
      <c r="E391" s="99"/>
    </row>
    <row r="392" spans="3:5">
      <c r="C392" s="17"/>
      <c r="D392" s="99"/>
      <c r="E392" s="99"/>
    </row>
    <row r="393" spans="3:5">
      <c r="C393" s="17"/>
      <c r="D393" s="99"/>
      <c r="E393" s="99"/>
    </row>
    <row r="394" spans="3:5">
      <c r="C394" s="17"/>
      <c r="D394" s="99"/>
      <c r="E394" s="99"/>
    </row>
    <row r="395" spans="3:5">
      <c r="C395" s="17"/>
      <c r="D395" s="99"/>
      <c r="E395" s="99"/>
    </row>
    <row r="396" spans="3:5">
      <c r="C396" s="17"/>
      <c r="D396" s="99"/>
      <c r="E396" s="99"/>
    </row>
    <row r="397" spans="3:5">
      <c r="C397" s="17"/>
      <c r="D397" s="99"/>
      <c r="E397" s="99"/>
    </row>
    <row r="398" spans="3:5">
      <c r="C398" s="17"/>
      <c r="D398" s="99"/>
      <c r="E398" s="99"/>
    </row>
    <row r="399" spans="3:5">
      <c r="C399" s="17"/>
      <c r="D399" s="99"/>
      <c r="E399" s="99"/>
    </row>
    <row r="400" spans="3:5">
      <c r="C400" s="17"/>
      <c r="D400" s="99"/>
      <c r="E400" s="99"/>
    </row>
    <row r="401" spans="3:5">
      <c r="C401" s="17"/>
      <c r="D401" s="99"/>
      <c r="E401" s="99"/>
    </row>
    <row r="402" spans="3:5">
      <c r="C402" s="17"/>
      <c r="D402" s="99"/>
      <c r="E402" s="99"/>
    </row>
    <row r="403" spans="3:5">
      <c r="C403" s="17"/>
      <c r="D403" s="99"/>
      <c r="E403" s="99"/>
    </row>
    <row r="404" spans="3:5">
      <c r="C404" s="17"/>
      <c r="D404" s="99"/>
      <c r="E404" s="99"/>
    </row>
    <row r="405" spans="3:5">
      <c r="C405" s="17"/>
      <c r="D405" s="99"/>
      <c r="E405" s="99"/>
    </row>
    <row r="406" spans="3:5">
      <c r="C406" s="17"/>
      <c r="D406" s="99"/>
      <c r="E406" s="99"/>
    </row>
    <row r="407" spans="3:5">
      <c r="C407" s="17"/>
      <c r="D407" s="99"/>
      <c r="E407" s="99"/>
    </row>
    <row r="408" spans="3:5">
      <c r="C408" s="17"/>
      <c r="D408" s="99"/>
      <c r="E408" s="99"/>
    </row>
    <row r="409" spans="3:5">
      <c r="C409" s="17"/>
      <c r="D409" s="99"/>
      <c r="E409" s="99"/>
    </row>
    <row r="410" spans="3:5">
      <c r="C410" s="17"/>
      <c r="D410" s="99"/>
      <c r="E410" s="99"/>
    </row>
    <row r="411" spans="3:5">
      <c r="C411" s="17"/>
      <c r="D411" s="99"/>
      <c r="E411" s="99"/>
    </row>
    <row r="412" spans="3:5">
      <c r="C412" s="17"/>
      <c r="D412" s="99"/>
      <c r="E412" s="99"/>
    </row>
    <row r="413" spans="3:5">
      <c r="C413" s="17"/>
      <c r="D413" s="99"/>
      <c r="E413" s="99"/>
    </row>
    <row r="414" spans="3:5">
      <c r="C414" s="17"/>
      <c r="D414" s="99"/>
      <c r="E414" s="99"/>
    </row>
    <row r="415" spans="3:5">
      <c r="C415" s="17"/>
      <c r="D415" s="99"/>
      <c r="E415" s="99"/>
    </row>
    <row r="416" spans="3:5">
      <c r="C416" s="17"/>
      <c r="D416" s="99"/>
      <c r="E416" s="99"/>
    </row>
    <row r="417" spans="3:5">
      <c r="C417" s="17"/>
      <c r="D417" s="99"/>
      <c r="E417" s="99"/>
    </row>
    <row r="418" spans="3:5">
      <c r="C418" s="17"/>
      <c r="D418" s="99"/>
      <c r="E418" s="99"/>
    </row>
    <row r="419" spans="3:5">
      <c r="C419" s="17"/>
      <c r="D419" s="99"/>
      <c r="E419" s="99"/>
    </row>
    <row r="420" spans="3:5">
      <c r="C420" s="17"/>
      <c r="D420" s="99"/>
      <c r="E420" s="99"/>
    </row>
    <row r="421" spans="3:5">
      <c r="C421" s="17"/>
      <c r="D421" s="99"/>
      <c r="E421" s="99"/>
    </row>
    <row r="422" spans="3:5">
      <c r="C422" s="17"/>
      <c r="D422" s="99"/>
      <c r="E422" s="99"/>
    </row>
    <row r="423" spans="3:5">
      <c r="C423" s="17"/>
      <c r="D423" s="99"/>
      <c r="E423" s="99"/>
    </row>
    <row r="424" spans="3:5">
      <c r="C424" s="17"/>
      <c r="D424" s="99"/>
      <c r="E424" s="99"/>
    </row>
    <row r="425" spans="3:5">
      <c r="C425" s="17"/>
      <c r="D425" s="99"/>
      <c r="E425" s="99"/>
    </row>
    <row r="426" spans="3:5">
      <c r="C426" s="17"/>
      <c r="D426" s="99"/>
      <c r="E426" s="99"/>
    </row>
    <row r="427" spans="3:5">
      <c r="C427" s="17"/>
      <c r="D427" s="99"/>
      <c r="E427" s="99"/>
    </row>
    <row r="428" spans="3:5">
      <c r="C428" s="17"/>
      <c r="D428" s="99"/>
      <c r="E428" s="99"/>
    </row>
    <row r="429" spans="3:5">
      <c r="C429" s="17"/>
      <c r="D429" s="99"/>
      <c r="E429" s="99"/>
    </row>
    <row r="430" spans="3:5">
      <c r="C430" s="17"/>
      <c r="D430" s="99"/>
      <c r="E430" s="99"/>
    </row>
    <row r="431" spans="3:5">
      <c r="C431" s="17"/>
      <c r="D431" s="99"/>
      <c r="E431" s="99"/>
    </row>
    <row r="432" spans="3:5">
      <c r="C432" s="17"/>
      <c r="D432" s="99"/>
      <c r="E432" s="99"/>
    </row>
    <row r="433" spans="3:5">
      <c r="C433" s="17"/>
      <c r="D433" s="99"/>
      <c r="E433" s="99"/>
    </row>
    <row r="434" spans="3:5">
      <c r="C434" s="17"/>
      <c r="D434" s="99"/>
      <c r="E434" s="99"/>
    </row>
    <row r="435" spans="3:5">
      <c r="C435" s="17"/>
      <c r="D435" s="99"/>
      <c r="E435" s="99"/>
    </row>
    <row r="436" spans="3:5">
      <c r="C436" s="17"/>
      <c r="D436" s="99"/>
      <c r="E436" s="99"/>
    </row>
    <row r="437" spans="3:5">
      <c r="C437" s="17"/>
      <c r="D437" s="99"/>
      <c r="E437" s="99"/>
    </row>
    <row r="438" spans="3:5">
      <c r="C438" s="17"/>
      <c r="D438" s="99"/>
      <c r="E438" s="99"/>
    </row>
    <row r="439" spans="3:5">
      <c r="C439" s="17"/>
      <c r="D439" s="99"/>
      <c r="E439" s="99"/>
    </row>
    <row r="440" spans="3:5">
      <c r="C440" s="17"/>
      <c r="D440" s="99"/>
      <c r="E440" s="99"/>
    </row>
    <row r="441" spans="3:5">
      <c r="C441" s="17"/>
      <c r="D441" s="99"/>
      <c r="E441" s="99"/>
    </row>
    <row r="442" spans="3:5">
      <c r="C442" s="17"/>
      <c r="D442" s="99"/>
      <c r="E442" s="99"/>
    </row>
    <row r="443" spans="3:5">
      <c r="C443" s="17"/>
      <c r="D443" s="99"/>
      <c r="E443" s="99"/>
    </row>
    <row r="444" spans="3:5">
      <c r="C444" s="17"/>
      <c r="D444" s="99"/>
      <c r="E444" s="99"/>
    </row>
    <row r="445" spans="3:5">
      <c r="C445" s="17"/>
      <c r="D445" s="99"/>
      <c r="E445" s="99"/>
    </row>
    <row r="446" spans="3:5">
      <c r="C446" s="17"/>
      <c r="D446" s="99"/>
      <c r="E446" s="99"/>
    </row>
    <row r="447" spans="3:5">
      <c r="C447" s="17"/>
      <c r="D447" s="99"/>
      <c r="E447" s="99"/>
    </row>
    <row r="448" spans="3:5">
      <c r="C448" s="17"/>
      <c r="D448" s="99"/>
      <c r="E448" s="99"/>
    </row>
    <row r="449" spans="3:5">
      <c r="C449" s="17"/>
      <c r="D449" s="99"/>
      <c r="E449" s="99"/>
    </row>
    <row r="450" spans="3:5">
      <c r="C450" s="17"/>
      <c r="D450" s="99"/>
      <c r="E450" s="99"/>
    </row>
    <row r="451" spans="3:5">
      <c r="C451" s="17"/>
      <c r="D451" s="99"/>
      <c r="E451" s="99"/>
    </row>
    <row r="452" spans="3:5">
      <c r="C452" s="17"/>
      <c r="D452" s="99"/>
      <c r="E452" s="99"/>
    </row>
    <row r="453" spans="3:5">
      <c r="C453" s="17"/>
      <c r="D453" s="99"/>
      <c r="E453" s="99"/>
    </row>
    <row r="454" spans="3:5">
      <c r="C454" s="17"/>
      <c r="D454" s="99"/>
      <c r="E454" s="99"/>
    </row>
    <row r="455" spans="3:5">
      <c r="C455" s="17"/>
      <c r="D455" s="99"/>
      <c r="E455" s="99"/>
    </row>
    <row r="456" spans="3:5">
      <c r="C456" s="17"/>
      <c r="D456" s="99"/>
      <c r="E456" s="99"/>
    </row>
    <row r="457" spans="3:5">
      <c r="C457" s="17"/>
      <c r="D457" s="99"/>
      <c r="E457" s="99"/>
    </row>
    <row r="458" spans="3:5">
      <c r="C458" s="17"/>
      <c r="D458" s="99"/>
      <c r="E458" s="99"/>
    </row>
    <row r="459" spans="3:5">
      <c r="C459" s="17"/>
      <c r="D459" s="99"/>
      <c r="E459" s="99"/>
    </row>
    <row r="460" spans="3:5">
      <c r="C460" s="17"/>
      <c r="D460" s="99"/>
      <c r="E460" s="99"/>
    </row>
    <row r="461" spans="3:5">
      <c r="C461" s="17"/>
      <c r="D461" s="99"/>
      <c r="E461" s="99"/>
    </row>
    <row r="462" spans="3:5">
      <c r="C462" s="17"/>
      <c r="D462" s="99"/>
      <c r="E462" s="99"/>
    </row>
    <row r="463" spans="3:5">
      <c r="C463" s="17"/>
      <c r="D463" s="99"/>
      <c r="E463" s="99"/>
    </row>
    <row r="464" spans="3:5">
      <c r="C464" s="17"/>
      <c r="D464" s="99"/>
      <c r="E464" s="99"/>
    </row>
    <row r="465" spans="3:5">
      <c r="C465" s="17"/>
      <c r="D465" s="99"/>
      <c r="E465" s="99"/>
    </row>
    <row r="466" spans="3:5">
      <c r="C466" s="17"/>
      <c r="D466" s="99"/>
      <c r="E466" s="99"/>
    </row>
    <row r="467" spans="3:5">
      <c r="C467" s="17"/>
      <c r="D467" s="99"/>
      <c r="E467" s="99"/>
    </row>
    <row r="468" spans="3:5">
      <c r="C468" s="17"/>
      <c r="D468" s="99"/>
      <c r="E468" s="99"/>
    </row>
    <row r="469" spans="3:5">
      <c r="C469" s="17"/>
      <c r="D469" s="99"/>
      <c r="E469" s="99"/>
    </row>
    <row r="470" spans="3:5">
      <c r="C470" s="17"/>
      <c r="D470" s="99"/>
      <c r="E470" s="99"/>
    </row>
    <row r="471" spans="3:5">
      <c r="C471" s="17"/>
      <c r="D471" s="99"/>
      <c r="E471" s="99"/>
    </row>
    <row r="472" spans="3:5">
      <c r="C472" s="17"/>
      <c r="D472" s="99"/>
      <c r="E472" s="99"/>
    </row>
    <row r="473" spans="3:5">
      <c r="C473" s="17"/>
      <c r="D473" s="99"/>
      <c r="E473" s="99"/>
    </row>
    <row r="474" spans="3:5">
      <c r="C474" s="17"/>
      <c r="D474" s="99"/>
      <c r="E474" s="99"/>
    </row>
    <row r="475" spans="3:5">
      <c r="C475" s="17"/>
      <c r="D475" s="99"/>
      <c r="E475" s="99"/>
    </row>
    <row r="476" spans="3:5">
      <c r="C476" s="17"/>
      <c r="D476" s="99"/>
      <c r="E476" s="99"/>
    </row>
    <row r="477" spans="3:5">
      <c r="C477" s="17"/>
      <c r="D477" s="99"/>
      <c r="E477" s="99"/>
    </row>
    <row r="478" spans="3:5">
      <c r="C478" s="17"/>
      <c r="D478" s="99"/>
      <c r="E478" s="99"/>
    </row>
    <row r="479" spans="3:5">
      <c r="C479" s="17"/>
      <c r="D479" s="99"/>
      <c r="E479" s="99"/>
    </row>
    <row r="480" spans="3:5">
      <c r="C480" s="17"/>
      <c r="D480" s="99"/>
      <c r="E480" s="99"/>
    </row>
    <row r="481" spans="3:5">
      <c r="C481" s="17"/>
      <c r="D481" s="99"/>
      <c r="E481" s="99"/>
    </row>
    <row r="482" spans="3:5">
      <c r="C482" s="17"/>
      <c r="D482" s="99"/>
      <c r="E482" s="99"/>
    </row>
    <row r="483" spans="3:5">
      <c r="C483" s="17"/>
      <c r="D483" s="99"/>
      <c r="E483" s="99"/>
    </row>
    <row r="484" spans="3:5">
      <c r="C484" s="17"/>
      <c r="D484" s="99"/>
      <c r="E484" s="99"/>
    </row>
    <row r="485" spans="3:5">
      <c r="C485" s="17"/>
      <c r="D485" s="99"/>
      <c r="E485" s="99"/>
    </row>
    <row r="486" spans="3:5">
      <c r="C486" s="17"/>
      <c r="D486" s="99"/>
      <c r="E486" s="99"/>
    </row>
    <row r="487" spans="3:5">
      <c r="C487" s="17"/>
      <c r="D487" s="99"/>
      <c r="E487" s="99"/>
    </row>
    <row r="488" spans="3:5">
      <c r="C488" s="17"/>
      <c r="D488" s="99"/>
      <c r="E488" s="99"/>
    </row>
    <row r="489" spans="3:5">
      <c r="C489" s="17"/>
      <c r="D489" s="99"/>
      <c r="E489" s="99"/>
    </row>
    <row r="490" spans="3:5">
      <c r="C490" s="17"/>
      <c r="D490" s="99"/>
      <c r="E490" s="99"/>
    </row>
    <row r="491" spans="3:5">
      <c r="C491" s="17"/>
      <c r="D491" s="99"/>
      <c r="E491" s="99"/>
    </row>
    <row r="492" spans="3:5">
      <c r="C492" s="17"/>
      <c r="D492" s="99"/>
      <c r="E492" s="99"/>
    </row>
    <row r="493" spans="3:5">
      <c r="C493" s="17"/>
      <c r="D493" s="99"/>
      <c r="E493" s="99"/>
    </row>
    <row r="494" spans="3:5">
      <c r="C494" s="17"/>
      <c r="D494" s="99"/>
      <c r="E494" s="99"/>
    </row>
    <row r="495" spans="3:5">
      <c r="C495" s="17"/>
      <c r="D495" s="99"/>
      <c r="E495" s="99"/>
    </row>
    <row r="496" spans="3:5">
      <c r="C496" s="17"/>
      <c r="D496" s="99"/>
      <c r="E496" s="99"/>
    </row>
    <row r="497" spans="3:5">
      <c r="C497" s="17"/>
      <c r="D497" s="99"/>
      <c r="E497" s="99"/>
    </row>
    <row r="498" spans="3:5">
      <c r="C498" s="17"/>
      <c r="D498" s="99"/>
      <c r="E498" s="99"/>
    </row>
    <row r="499" spans="3:5">
      <c r="C499" s="17"/>
      <c r="D499" s="99"/>
      <c r="E499" s="99"/>
    </row>
    <row r="500" spans="3:5">
      <c r="C500" s="17"/>
      <c r="D500" s="99"/>
      <c r="E500" s="99"/>
    </row>
    <row r="501" spans="3:5">
      <c r="C501" s="17"/>
      <c r="D501" s="99"/>
      <c r="E501" s="99"/>
    </row>
    <row r="502" spans="3:5">
      <c r="C502" s="17"/>
      <c r="D502" s="99"/>
      <c r="E502" s="99"/>
    </row>
    <row r="503" spans="3:5">
      <c r="C503" s="17"/>
      <c r="D503" s="99"/>
      <c r="E503" s="99"/>
    </row>
    <row r="504" spans="3:5">
      <c r="C504" s="17"/>
      <c r="D504" s="99"/>
      <c r="E504" s="99"/>
    </row>
    <row r="505" spans="3:5">
      <c r="C505" s="17"/>
      <c r="D505" s="99"/>
      <c r="E505" s="99"/>
    </row>
    <row r="506" spans="3:5">
      <c r="C506" s="17"/>
      <c r="D506" s="99"/>
      <c r="E506" s="99"/>
    </row>
    <row r="507" spans="3:5">
      <c r="C507" s="17"/>
      <c r="D507" s="99"/>
      <c r="E507" s="99"/>
    </row>
    <row r="508" spans="3:5">
      <c r="C508" s="17"/>
      <c r="D508" s="99"/>
      <c r="E508" s="99"/>
    </row>
    <row r="509" spans="3:5">
      <c r="C509" s="17"/>
      <c r="D509" s="99"/>
      <c r="E509" s="99"/>
    </row>
    <row r="510" spans="3:5">
      <c r="C510" s="17"/>
      <c r="D510" s="99"/>
      <c r="E510" s="99"/>
    </row>
    <row r="511" spans="3:5">
      <c r="C511" s="17"/>
      <c r="D511" s="99"/>
      <c r="E511" s="99"/>
    </row>
    <row r="512" spans="3:5">
      <c r="C512" s="17"/>
      <c r="D512" s="99"/>
      <c r="E512" s="99"/>
    </row>
    <row r="513" spans="3:5">
      <c r="C513" s="17"/>
      <c r="D513" s="99"/>
      <c r="E513" s="99"/>
    </row>
    <row r="514" spans="3:5">
      <c r="C514" s="17"/>
      <c r="D514" s="99"/>
      <c r="E514" s="99"/>
    </row>
    <row r="515" spans="3:5">
      <c r="C515" s="17"/>
      <c r="D515" s="99"/>
      <c r="E515" s="99"/>
    </row>
    <row r="516" spans="3:5">
      <c r="C516" s="17"/>
      <c r="D516" s="99"/>
      <c r="E516" s="99"/>
    </row>
    <row r="517" spans="3:5">
      <c r="C517" s="17"/>
      <c r="D517" s="99"/>
      <c r="E517" s="99"/>
    </row>
    <row r="518" spans="3:5">
      <c r="C518" s="17"/>
      <c r="D518" s="99"/>
      <c r="E518" s="99"/>
    </row>
    <row r="519" spans="3:5">
      <c r="C519" s="17"/>
      <c r="D519" s="99"/>
      <c r="E519" s="99"/>
    </row>
    <row r="520" spans="3:5">
      <c r="C520" s="17"/>
      <c r="D520" s="99"/>
      <c r="E520" s="99"/>
    </row>
    <row r="521" spans="3:5">
      <c r="C521" s="17"/>
      <c r="D521" s="99"/>
      <c r="E521" s="99"/>
    </row>
    <row r="522" spans="3:5">
      <c r="C522" s="17"/>
      <c r="D522" s="99"/>
      <c r="E522" s="99"/>
    </row>
    <row r="523" spans="3:5">
      <c r="C523" s="17"/>
      <c r="D523" s="99"/>
      <c r="E523" s="99"/>
    </row>
    <row r="524" spans="3:5">
      <c r="C524" s="17"/>
      <c r="D524" s="99"/>
      <c r="E524" s="99"/>
    </row>
    <row r="525" spans="3:5">
      <c r="C525" s="17"/>
      <c r="D525" s="99"/>
      <c r="E525" s="99"/>
    </row>
    <row r="526" spans="3:5">
      <c r="C526" s="17"/>
      <c r="D526" s="99"/>
      <c r="E526" s="99"/>
    </row>
    <row r="527" spans="3:5">
      <c r="C527" s="17"/>
      <c r="D527" s="99"/>
      <c r="E527" s="99"/>
    </row>
    <row r="528" spans="3:5">
      <c r="C528" s="17"/>
      <c r="D528" s="99"/>
      <c r="E528" s="99"/>
    </row>
    <row r="529" spans="3:5">
      <c r="C529" s="17"/>
      <c r="D529" s="99"/>
      <c r="E529" s="99"/>
    </row>
    <row r="530" spans="3:5">
      <c r="C530" s="17"/>
      <c r="D530" s="99"/>
      <c r="E530" s="99"/>
    </row>
    <row r="531" spans="3:5">
      <c r="C531" s="17"/>
      <c r="D531" s="99"/>
      <c r="E531" s="99"/>
    </row>
    <row r="532" spans="3:5">
      <c r="C532" s="17"/>
      <c r="D532" s="99"/>
      <c r="E532" s="99"/>
    </row>
    <row r="533" spans="3:5">
      <c r="C533" s="17"/>
      <c r="D533" s="99"/>
      <c r="E533" s="99"/>
    </row>
    <row r="534" spans="3:5">
      <c r="C534" s="17"/>
      <c r="D534" s="99"/>
      <c r="E534" s="99"/>
    </row>
    <row r="535" spans="3:5">
      <c r="C535" s="17"/>
      <c r="D535" s="99"/>
      <c r="E535" s="99"/>
    </row>
    <row r="536" spans="3:5">
      <c r="C536" s="17"/>
      <c r="D536" s="99"/>
      <c r="E536" s="99"/>
    </row>
    <row r="537" spans="3:5">
      <c r="C537" s="17"/>
      <c r="D537" s="99"/>
      <c r="E537" s="99"/>
    </row>
    <row r="538" spans="3:5">
      <c r="C538" s="17"/>
      <c r="D538" s="99"/>
      <c r="E538" s="99"/>
    </row>
    <row r="539" spans="3:5">
      <c r="C539" s="17"/>
      <c r="D539" s="99"/>
      <c r="E539" s="99"/>
    </row>
    <row r="540" spans="3:5">
      <c r="C540" s="17"/>
      <c r="D540" s="99"/>
      <c r="E540" s="99"/>
    </row>
    <row r="541" spans="3:5">
      <c r="C541" s="17"/>
      <c r="D541" s="99"/>
      <c r="E541" s="99"/>
    </row>
    <row r="542" spans="3:5">
      <c r="C542" s="17"/>
      <c r="D542" s="99"/>
      <c r="E542" s="99"/>
    </row>
    <row r="543" spans="3:5">
      <c r="C543" s="17"/>
      <c r="D543" s="99"/>
      <c r="E543" s="99"/>
    </row>
    <row r="544" spans="3:5">
      <c r="C544" s="17"/>
      <c r="D544" s="99"/>
      <c r="E544" s="99"/>
    </row>
    <row r="545" spans="3:5">
      <c r="C545" s="17"/>
      <c r="D545" s="99"/>
      <c r="E545" s="99"/>
    </row>
    <row r="546" spans="3:5">
      <c r="C546" s="17"/>
      <c r="D546" s="99"/>
      <c r="E546" s="99"/>
    </row>
    <row r="547" spans="3:5">
      <c r="C547" s="17"/>
      <c r="D547" s="99"/>
      <c r="E547" s="99"/>
    </row>
    <row r="548" spans="3:5">
      <c r="C548" s="17"/>
      <c r="D548" s="99"/>
      <c r="E548" s="99"/>
    </row>
    <row r="549" spans="3:5">
      <c r="C549" s="17"/>
      <c r="D549" s="99"/>
      <c r="E549" s="99"/>
    </row>
    <row r="550" spans="3:5">
      <c r="C550" s="17"/>
      <c r="D550" s="99"/>
      <c r="E550" s="99"/>
    </row>
    <row r="551" spans="3:5">
      <c r="C551" s="17"/>
      <c r="D551" s="99"/>
      <c r="E551" s="99"/>
    </row>
    <row r="552" spans="3:5">
      <c r="C552" s="17"/>
      <c r="D552" s="99"/>
      <c r="E552" s="99"/>
    </row>
    <row r="553" spans="3:5">
      <c r="C553" s="17"/>
      <c r="D553" s="99"/>
      <c r="E553" s="99"/>
    </row>
    <row r="554" spans="3:5">
      <c r="C554" s="17"/>
      <c r="D554" s="99"/>
      <c r="E554" s="99"/>
    </row>
    <row r="555" spans="3:5">
      <c r="C555" s="17"/>
      <c r="D555" s="99"/>
      <c r="E555" s="99"/>
    </row>
    <row r="556" spans="3:5">
      <c r="C556" s="17"/>
      <c r="D556" s="99"/>
      <c r="E556" s="99"/>
    </row>
    <row r="557" spans="3:5">
      <c r="C557" s="17"/>
      <c r="D557" s="99"/>
      <c r="E557" s="99"/>
    </row>
    <row r="558" spans="3:5">
      <c r="C558" s="17"/>
      <c r="D558" s="99"/>
      <c r="E558" s="99"/>
    </row>
    <row r="559" spans="3:5">
      <c r="C559" s="17"/>
      <c r="D559" s="99"/>
      <c r="E559" s="99"/>
    </row>
    <row r="560" spans="3:5">
      <c r="C560" s="17"/>
      <c r="D560" s="99"/>
      <c r="E560" s="99"/>
    </row>
    <row r="561" spans="3:5">
      <c r="C561" s="17"/>
      <c r="D561" s="99"/>
      <c r="E561" s="99"/>
    </row>
    <row r="562" spans="3:5">
      <c r="C562" s="17"/>
      <c r="D562" s="99"/>
      <c r="E562" s="99"/>
    </row>
    <row r="563" spans="3:5">
      <c r="C563" s="17"/>
      <c r="D563" s="99"/>
      <c r="E563" s="99"/>
    </row>
    <row r="564" spans="3:5">
      <c r="C564" s="17"/>
      <c r="D564" s="99"/>
      <c r="E564" s="99"/>
    </row>
    <row r="565" spans="3:5">
      <c r="C565" s="17"/>
      <c r="D565" s="99"/>
      <c r="E565" s="99"/>
    </row>
    <row r="566" spans="3:5">
      <c r="C566" s="17"/>
      <c r="D566" s="99"/>
      <c r="E566" s="99"/>
    </row>
    <row r="567" spans="3:5">
      <c r="C567" s="17"/>
      <c r="D567" s="99"/>
      <c r="E567" s="99"/>
    </row>
    <row r="568" spans="3:5">
      <c r="C568" s="17"/>
      <c r="D568" s="99"/>
      <c r="E568" s="99"/>
    </row>
    <row r="569" spans="3:5">
      <c r="C569" s="17"/>
      <c r="D569" s="99"/>
      <c r="E569" s="99"/>
    </row>
    <row r="570" spans="3:5">
      <c r="C570" s="17"/>
      <c r="D570" s="99"/>
      <c r="E570" s="99"/>
    </row>
    <row r="571" spans="3:5">
      <c r="C571" s="17"/>
      <c r="D571" s="99"/>
      <c r="E571" s="99"/>
    </row>
    <row r="572" spans="3:5">
      <c r="C572" s="17"/>
      <c r="D572" s="99"/>
      <c r="E572" s="99"/>
    </row>
    <row r="573" spans="3:5">
      <c r="C573" s="17"/>
      <c r="D573" s="99"/>
      <c r="E573" s="99"/>
    </row>
    <row r="574" spans="3:5">
      <c r="C574" s="17"/>
      <c r="D574" s="99"/>
      <c r="E574" s="99"/>
    </row>
    <row r="575" spans="3:5">
      <c r="C575" s="17"/>
      <c r="D575" s="99"/>
      <c r="E575" s="99"/>
    </row>
    <row r="576" spans="3:5">
      <c r="C576" s="17"/>
      <c r="D576" s="99"/>
      <c r="E576" s="99"/>
    </row>
    <row r="577" spans="3:5">
      <c r="C577" s="17"/>
      <c r="D577" s="99"/>
      <c r="E577" s="99"/>
    </row>
    <row r="578" spans="3:5">
      <c r="C578" s="17"/>
      <c r="D578" s="99"/>
      <c r="E578" s="99"/>
    </row>
    <row r="579" spans="3:5">
      <c r="C579" s="17"/>
      <c r="D579" s="99"/>
      <c r="E579" s="99"/>
    </row>
    <row r="580" spans="3:5">
      <c r="C580" s="17"/>
      <c r="D580" s="99"/>
      <c r="E580" s="99"/>
    </row>
    <row r="581" spans="3:5">
      <c r="C581" s="17"/>
      <c r="D581" s="99"/>
      <c r="E581" s="99"/>
    </row>
    <row r="582" spans="3:5">
      <c r="C582" s="17"/>
      <c r="D582" s="99"/>
      <c r="E582" s="99"/>
    </row>
    <row r="583" spans="3:5">
      <c r="C583" s="17"/>
      <c r="D583" s="99"/>
      <c r="E583" s="99"/>
    </row>
    <row r="584" spans="3:5">
      <c r="C584" s="17"/>
      <c r="D584" s="99"/>
      <c r="E584" s="99"/>
    </row>
    <row r="585" spans="3:5">
      <c r="C585" s="17"/>
      <c r="D585" s="99"/>
      <c r="E585" s="99"/>
    </row>
    <row r="586" spans="3:5">
      <c r="C586" s="17"/>
      <c r="D586" s="99"/>
      <c r="E586" s="99"/>
    </row>
    <row r="587" spans="3:5">
      <c r="C587" s="17"/>
      <c r="D587" s="99"/>
      <c r="E587" s="99"/>
    </row>
    <row r="588" spans="3:5">
      <c r="C588" s="17"/>
      <c r="D588" s="99"/>
      <c r="E588" s="99"/>
    </row>
    <row r="589" spans="3:5">
      <c r="C589" s="17"/>
      <c r="D589" s="99"/>
      <c r="E589" s="99"/>
    </row>
    <row r="590" spans="3:5">
      <c r="C590" s="17"/>
      <c r="D590" s="99"/>
      <c r="E590" s="99"/>
    </row>
    <row r="591" spans="3:5">
      <c r="C591" s="17"/>
      <c r="D591" s="99"/>
      <c r="E591" s="99"/>
    </row>
    <row r="592" spans="3:5">
      <c r="C592" s="17"/>
      <c r="D592" s="99"/>
      <c r="E592" s="99"/>
    </row>
    <row r="593" spans="3:5">
      <c r="C593" s="17"/>
      <c r="D593" s="99"/>
      <c r="E593" s="99"/>
    </row>
    <row r="594" spans="3:5">
      <c r="C594" s="17"/>
      <c r="D594" s="99"/>
      <c r="E594" s="99"/>
    </row>
    <row r="595" spans="3:5">
      <c r="C595" s="17"/>
      <c r="D595" s="99"/>
      <c r="E595" s="99"/>
    </row>
    <row r="596" spans="3:5">
      <c r="C596" s="17"/>
      <c r="D596" s="99"/>
      <c r="E596" s="99"/>
    </row>
    <row r="597" spans="3:5">
      <c r="C597" s="17"/>
      <c r="D597" s="99"/>
      <c r="E597" s="99"/>
    </row>
    <row r="598" spans="3:5">
      <c r="C598" s="17"/>
      <c r="D598" s="99"/>
      <c r="E598" s="99"/>
    </row>
    <row r="599" spans="3:5">
      <c r="C599" s="17"/>
      <c r="D599" s="99"/>
      <c r="E599" s="99"/>
    </row>
    <row r="600" spans="3:5">
      <c r="C600" s="17"/>
      <c r="D600" s="99"/>
      <c r="E600" s="99"/>
    </row>
    <row r="601" spans="3:5">
      <c r="C601" s="17"/>
      <c r="D601" s="99"/>
      <c r="E601" s="99"/>
    </row>
    <row r="602" spans="3:5">
      <c r="C602" s="17"/>
      <c r="D602" s="99"/>
      <c r="E602" s="99"/>
    </row>
    <row r="603" spans="3:5">
      <c r="C603" s="17"/>
      <c r="D603" s="99"/>
      <c r="E603" s="99"/>
    </row>
    <row r="604" spans="3:5">
      <c r="C604" s="17"/>
      <c r="D604" s="99"/>
      <c r="E604" s="99"/>
    </row>
    <row r="605" spans="3:5">
      <c r="C605" s="17"/>
      <c r="D605" s="99"/>
      <c r="E605" s="99"/>
    </row>
    <row r="606" spans="3:5">
      <c r="C606" s="17"/>
      <c r="D606" s="99"/>
      <c r="E606" s="99"/>
    </row>
    <row r="607" spans="3:5">
      <c r="C607" s="17"/>
      <c r="D607" s="99"/>
      <c r="E607" s="99"/>
    </row>
    <row r="608" spans="3:5">
      <c r="C608" s="17"/>
      <c r="D608" s="99"/>
      <c r="E608" s="99"/>
    </row>
    <row r="609" spans="3:5">
      <c r="C609" s="17"/>
      <c r="D609" s="99"/>
      <c r="E609" s="99"/>
    </row>
    <row r="610" spans="3:5">
      <c r="C610" s="17"/>
      <c r="D610" s="99"/>
      <c r="E610" s="99"/>
    </row>
    <row r="611" spans="3:5">
      <c r="C611" s="17"/>
      <c r="D611" s="99"/>
      <c r="E611" s="99"/>
    </row>
    <row r="612" spans="3:5">
      <c r="C612" s="17"/>
      <c r="D612" s="99"/>
      <c r="E612" s="99"/>
    </row>
    <row r="613" spans="3:5">
      <c r="C613" s="17"/>
      <c r="D613" s="99"/>
      <c r="E613" s="99"/>
    </row>
    <row r="614" spans="3:5">
      <c r="C614" s="17"/>
      <c r="D614" s="99"/>
      <c r="E614" s="99"/>
    </row>
    <row r="615" spans="3:5">
      <c r="C615" s="17"/>
      <c r="D615" s="99"/>
      <c r="E615" s="99"/>
    </row>
    <row r="616" spans="3:5">
      <c r="C616" s="17"/>
      <c r="D616" s="99"/>
      <c r="E616" s="99"/>
    </row>
    <row r="617" spans="3:5">
      <c r="C617" s="17"/>
      <c r="D617" s="99"/>
      <c r="E617" s="99"/>
    </row>
    <row r="618" spans="3:5">
      <c r="C618" s="17"/>
      <c r="D618" s="99"/>
      <c r="E618" s="99"/>
    </row>
    <row r="619" spans="3:5">
      <c r="C619" s="17"/>
      <c r="D619" s="99"/>
      <c r="E619" s="99"/>
    </row>
    <row r="620" spans="3:5">
      <c r="C620" s="17"/>
      <c r="D620" s="99"/>
      <c r="E620" s="99"/>
    </row>
    <row r="621" spans="3:5">
      <c r="C621" s="17"/>
      <c r="D621" s="99"/>
      <c r="E621" s="99"/>
    </row>
    <row r="622" spans="3:5">
      <c r="C622" s="17"/>
      <c r="D622" s="99"/>
      <c r="E622" s="99"/>
    </row>
    <row r="623" spans="3:5">
      <c r="C623" s="17"/>
      <c r="D623" s="99"/>
      <c r="E623" s="99"/>
    </row>
    <row r="624" spans="3:5">
      <c r="C624" s="17"/>
      <c r="D624" s="99"/>
      <c r="E624" s="99"/>
    </row>
    <row r="625" spans="3:5">
      <c r="C625" s="17"/>
      <c r="D625" s="99"/>
      <c r="E625" s="99"/>
    </row>
    <row r="626" spans="3:5">
      <c r="C626" s="17"/>
      <c r="D626" s="99"/>
      <c r="E626" s="99"/>
    </row>
    <row r="627" spans="3:5">
      <c r="C627" s="17"/>
      <c r="D627" s="99"/>
      <c r="E627" s="99"/>
    </row>
    <row r="628" spans="3:5">
      <c r="C628" s="17"/>
      <c r="D628" s="99"/>
      <c r="E628" s="99"/>
    </row>
    <row r="629" spans="3:5">
      <c r="C629" s="17"/>
      <c r="D629" s="99"/>
      <c r="E629" s="99"/>
    </row>
    <row r="630" spans="3:5">
      <c r="C630" s="17"/>
      <c r="D630" s="99"/>
      <c r="E630" s="99"/>
    </row>
    <row r="631" spans="3:5">
      <c r="C631" s="17"/>
      <c r="D631" s="99"/>
      <c r="E631" s="99"/>
    </row>
    <row r="632" spans="3:5">
      <c r="C632" s="17"/>
      <c r="D632" s="99"/>
      <c r="E632" s="99"/>
    </row>
    <row r="633" spans="3:5">
      <c r="C633" s="17"/>
      <c r="D633" s="99"/>
      <c r="E633" s="99"/>
    </row>
    <row r="634" spans="3:5">
      <c r="C634" s="17"/>
      <c r="D634" s="99"/>
      <c r="E634" s="99"/>
    </row>
    <row r="635" spans="3:5">
      <c r="C635" s="17"/>
      <c r="D635" s="99"/>
      <c r="E635" s="99"/>
    </row>
    <row r="636" spans="3:5">
      <c r="C636" s="17"/>
      <c r="D636" s="99"/>
      <c r="E636" s="99"/>
    </row>
    <row r="637" spans="3:5">
      <c r="C637" s="17"/>
      <c r="D637" s="99"/>
      <c r="E637" s="99"/>
    </row>
    <row r="638" spans="3:5">
      <c r="C638" s="17"/>
      <c r="D638" s="99"/>
      <c r="E638" s="99"/>
    </row>
    <row r="639" spans="3:5">
      <c r="C639" s="17"/>
      <c r="D639" s="99"/>
      <c r="E639" s="99"/>
    </row>
    <row r="640" spans="3:5">
      <c r="C640" s="17"/>
      <c r="D640" s="99"/>
      <c r="E640" s="99"/>
    </row>
    <row r="641" spans="3:5">
      <c r="C641" s="17"/>
      <c r="D641" s="99"/>
      <c r="E641" s="99"/>
    </row>
    <row r="642" spans="3:5">
      <c r="C642" s="17"/>
      <c r="D642" s="99"/>
      <c r="E642" s="99"/>
    </row>
    <row r="643" spans="3:5">
      <c r="C643" s="17"/>
      <c r="D643" s="99"/>
      <c r="E643" s="99"/>
    </row>
    <row r="644" spans="3:5">
      <c r="C644" s="17"/>
      <c r="D644" s="99"/>
      <c r="E644" s="99"/>
    </row>
    <row r="645" spans="3:5">
      <c r="C645" s="17"/>
      <c r="D645" s="99"/>
      <c r="E645" s="99"/>
    </row>
    <row r="646" spans="3:5">
      <c r="C646" s="17"/>
      <c r="D646" s="99"/>
      <c r="E646" s="99"/>
    </row>
    <row r="647" spans="3:5">
      <c r="C647" s="17"/>
      <c r="D647" s="99"/>
      <c r="E647" s="99"/>
    </row>
    <row r="648" spans="3:5">
      <c r="C648" s="17"/>
      <c r="D648" s="99"/>
      <c r="E648" s="99"/>
    </row>
    <row r="649" spans="3:5">
      <c r="C649" s="17"/>
      <c r="D649" s="99"/>
      <c r="E649" s="99"/>
    </row>
    <row r="650" spans="3:5">
      <c r="C650" s="17"/>
      <c r="D650" s="99"/>
      <c r="E650" s="99"/>
    </row>
    <row r="651" spans="3:5">
      <c r="C651" s="17"/>
      <c r="D651" s="99"/>
      <c r="E651" s="99"/>
    </row>
    <row r="652" spans="3:5">
      <c r="C652" s="17"/>
      <c r="D652" s="99"/>
      <c r="E652" s="99"/>
    </row>
    <row r="653" spans="3:5">
      <c r="C653" s="17"/>
      <c r="D653" s="99"/>
      <c r="E653" s="99"/>
    </row>
    <row r="654" spans="3:5">
      <c r="C654" s="17"/>
      <c r="D654" s="99"/>
      <c r="E654" s="99"/>
    </row>
    <row r="655" spans="3:5">
      <c r="C655" s="17"/>
      <c r="D655" s="99"/>
      <c r="E655" s="99"/>
    </row>
    <row r="656" spans="3:5">
      <c r="C656" s="17"/>
      <c r="D656" s="99"/>
      <c r="E656" s="99"/>
    </row>
    <row r="657" spans="3:5">
      <c r="C657" s="17"/>
      <c r="D657" s="99"/>
      <c r="E657" s="99"/>
    </row>
    <row r="658" spans="3:5">
      <c r="C658" s="17"/>
      <c r="D658" s="99"/>
      <c r="E658" s="99"/>
    </row>
    <row r="659" spans="3:5">
      <c r="C659" s="17"/>
      <c r="D659" s="99"/>
      <c r="E659" s="99"/>
    </row>
    <row r="660" spans="3:5">
      <c r="C660" s="17"/>
      <c r="D660" s="99"/>
      <c r="E660" s="99"/>
    </row>
    <row r="661" spans="3:5">
      <c r="C661" s="17"/>
      <c r="D661" s="99"/>
      <c r="E661" s="99"/>
    </row>
    <row r="662" spans="3:5">
      <c r="C662" s="17"/>
      <c r="D662" s="99"/>
      <c r="E662" s="99"/>
    </row>
    <row r="663" spans="3:5">
      <c r="C663" s="17"/>
      <c r="D663" s="99"/>
      <c r="E663" s="99"/>
    </row>
    <row r="664" spans="3:5">
      <c r="C664" s="17"/>
      <c r="D664" s="99"/>
      <c r="E664" s="99"/>
    </row>
    <row r="665" spans="3:5">
      <c r="C665" s="17"/>
      <c r="D665" s="99"/>
      <c r="E665" s="99"/>
    </row>
    <row r="666" spans="3:5">
      <c r="C666" s="17"/>
      <c r="D666" s="99"/>
      <c r="E666" s="99"/>
    </row>
    <row r="667" spans="3:5">
      <c r="C667" s="17"/>
      <c r="D667" s="99"/>
      <c r="E667" s="99"/>
    </row>
    <row r="668" spans="3:5">
      <c r="C668" s="17"/>
      <c r="D668" s="99"/>
      <c r="E668" s="99"/>
    </row>
    <row r="669" spans="3:5">
      <c r="C669" s="17"/>
      <c r="D669" s="99"/>
      <c r="E669" s="99"/>
    </row>
    <row r="670" spans="3:5">
      <c r="C670" s="17"/>
      <c r="D670" s="99"/>
      <c r="E670" s="99"/>
    </row>
    <row r="671" spans="3:5">
      <c r="C671" s="17"/>
      <c r="D671" s="99"/>
      <c r="E671" s="99"/>
    </row>
    <row r="672" spans="3:5">
      <c r="C672" s="17"/>
      <c r="D672" s="99"/>
      <c r="E672" s="99"/>
    </row>
    <row r="673" spans="3:5">
      <c r="C673" s="17"/>
      <c r="D673" s="99"/>
      <c r="E673" s="99"/>
    </row>
    <row r="674" spans="3:5">
      <c r="C674" s="17"/>
      <c r="D674" s="99"/>
      <c r="E674" s="99"/>
    </row>
    <row r="675" spans="3:5">
      <c r="C675" s="17"/>
      <c r="D675" s="99"/>
      <c r="E675" s="99"/>
    </row>
    <row r="676" spans="3:5">
      <c r="C676" s="17"/>
      <c r="D676" s="99"/>
      <c r="E676" s="99"/>
    </row>
    <row r="677" spans="3:5">
      <c r="C677" s="17"/>
      <c r="D677" s="99"/>
      <c r="E677" s="99"/>
    </row>
    <row r="678" spans="3:5">
      <c r="C678" s="17"/>
      <c r="D678" s="99"/>
      <c r="E678" s="99"/>
    </row>
    <row r="679" spans="3:5">
      <c r="C679" s="17"/>
      <c r="D679" s="99"/>
      <c r="E679" s="99"/>
    </row>
    <row r="680" spans="3:5">
      <c r="C680" s="17"/>
      <c r="D680" s="99"/>
      <c r="E680" s="99"/>
    </row>
    <row r="681" spans="3:5">
      <c r="C681" s="17"/>
      <c r="D681" s="99"/>
      <c r="E681" s="99"/>
    </row>
    <row r="682" spans="3:5">
      <c r="C682" s="17"/>
      <c r="D682" s="99"/>
      <c r="E682" s="99"/>
    </row>
    <row r="683" spans="3:5">
      <c r="C683" s="17"/>
      <c r="D683" s="99"/>
      <c r="E683" s="99"/>
    </row>
    <row r="684" spans="3:5">
      <c r="C684" s="17"/>
      <c r="D684" s="99"/>
      <c r="E684" s="99"/>
    </row>
    <row r="685" spans="3:5">
      <c r="C685" s="17"/>
      <c r="D685" s="99"/>
      <c r="E685" s="99"/>
    </row>
    <row r="686" spans="3:5">
      <c r="C686" s="17"/>
      <c r="D686" s="99"/>
      <c r="E686" s="99"/>
    </row>
    <row r="687" spans="3:5">
      <c r="C687" s="17"/>
      <c r="D687" s="99"/>
      <c r="E687" s="99"/>
    </row>
    <row r="688" spans="3:5">
      <c r="C688" s="17"/>
      <c r="D688" s="99"/>
      <c r="E688" s="99"/>
    </row>
    <row r="689" spans="3:5">
      <c r="C689" s="17"/>
      <c r="D689" s="99"/>
      <c r="E689" s="99"/>
    </row>
    <row r="690" spans="3:5">
      <c r="C690" s="17"/>
      <c r="D690" s="99"/>
      <c r="E690" s="99"/>
    </row>
    <row r="691" spans="3:5">
      <c r="C691" s="17"/>
      <c r="D691" s="99"/>
      <c r="E691" s="99"/>
    </row>
    <row r="692" spans="3:5">
      <c r="C692" s="17"/>
      <c r="D692" s="99"/>
      <c r="E692" s="99"/>
    </row>
    <row r="693" spans="3:5">
      <c r="C693" s="17"/>
      <c r="D693" s="99"/>
      <c r="E693" s="99"/>
    </row>
    <row r="694" spans="3:5">
      <c r="C694" s="17"/>
      <c r="D694" s="99"/>
      <c r="E694" s="99"/>
    </row>
    <row r="695" spans="3:5">
      <c r="C695" s="17"/>
      <c r="D695" s="99"/>
      <c r="E695" s="99"/>
    </row>
    <row r="696" spans="3:5">
      <c r="C696" s="17"/>
      <c r="D696" s="99"/>
      <c r="E696" s="99"/>
    </row>
    <row r="697" spans="3:5">
      <c r="C697" s="17"/>
      <c r="D697" s="99"/>
      <c r="E697" s="99"/>
    </row>
    <row r="698" spans="3:5">
      <c r="C698" s="17"/>
      <c r="D698" s="99"/>
      <c r="E698" s="99"/>
    </row>
    <row r="699" spans="3:5">
      <c r="C699" s="17"/>
      <c r="D699" s="99"/>
      <c r="E699" s="99"/>
    </row>
    <row r="700" spans="3:5">
      <c r="C700" s="17"/>
      <c r="D700" s="99"/>
      <c r="E700" s="99"/>
    </row>
    <row r="701" spans="3:5">
      <c r="C701" s="17"/>
      <c r="D701" s="99"/>
      <c r="E701" s="99"/>
    </row>
    <row r="702" spans="3:5">
      <c r="C702" s="17"/>
      <c r="D702" s="99"/>
      <c r="E702" s="99"/>
    </row>
    <row r="703" spans="3:5">
      <c r="C703" s="17"/>
      <c r="D703" s="99"/>
      <c r="E703" s="99"/>
    </row>
    <row r="704" spans="3:5">
      <c r="C704" s="17"/>
      <c r="D704" s="99"/>
      <c r="E704" s="99"/>
    </row>
    <row r="705" spans="3:5">
      <c r="C705" s="17"/>
      <c r="D705" s="99"/>
      <c r="E705" s="99"/>
    </row>
    <row r="706" spans="3:5">
      <c r="C706" s="17"/>
      <c r="D706" s="99"/>
      <c r="E706" s="99"/>
    </row>
    <row r="707" spans="3:5">
      <c r="C707" s="17"/>
      <c r="D707" s="99"/>
      <c r="E707" s="99"/>
    </row>
    <row r="708" spans="3:5">
      <c r="C708" s="17"/>
      <c r="D708" s="99"/>
      <c r="E708" s="99"/>
    </row>
    <row r="709" spans="3:5">
      <c r="C709" s="17"/>
      <c r="D709" s="99"/>
      <c r="E709" s="99"/>
    </row>
    <row r="710" spans="3:5">
      <c r="C710" s="17"/>
      <c r="D710" s="99"/>
      <c r="E710" s="99"/>
    </row>
    <row r="711" spans="3:5">
      <c r="C711" s="17"/>
      <c r="D711" s="99"/>
      <c r="E711" s="99"/>
    </row>
    <row r="712" spans="3:5">
      <c r="C712" s="17"/>
      <c r="D712" s="99"/>
      <c r="E712" s="99"/>
    </row>
    <row r="713" spans="3:5">
      <c r="C713" s="17"/>
      <c r="D713" s="99"/>
      <c r="E713" s="99"/>
    </row>
    <row r="714" spans="3:5">
      <c r="C714" s="17"/>
      <c r="D714" s="99"/>
      <c r="E714" s="99"/>
    </row>
    <row r="715" spans="3:5">
      <c r="C715" s="17"/>
      <c r="D715" s="99"/>
      <c r="E715" s="99"/>
    </row>
    <row r="716" spans="3:5">
      <c r="C716" s="17"/>
      <c r="D716" s="99"/>
      <c r="E716" s="99"/>
    </row>
    <row r="717" spans="3:5">
      <c r="C717" s="17"/>
      <c r="D717" s="99"/>
      <c r="E717" s="99"/>
    </row>
    <row r="718" spans="3:5">
      <c r="C718" s="17"/>
      <c r="D718" s="99"/>
      <c r="E718" s="99"/>
    </row>
    <row r="719" spans="3:5">
      <c r="C719" s="17"/>
      <c r="D719" s="99"/>
      <c r="E719" s="99"/>
    </row>
    <row r="720" spans="3:5">
      <c r="C720" s="17"/>
      <c r="D720" s="99"/>
      <c r="E720" s="99"/>
    </row>
    <row r="721" spans="3:5">
      <c r="C721" s="17"/>
      <c r="D721" s="99"/>
      <c r="E721" s="99"/>
    </row>
    <row r="722" spans="3:5">
      <c r="C722" s="17"/>
      <c r="D722" s="99"/>
      <c r="E722" s="99"/>
    </row>
    <row r="723" spans="3:5">
      <c r="C723" s="17"/>
      <c r="D723" s="99"/>
      <c r="E723" s="99"/>
    </row>
    <row r="724" spans="3:5">
      <c r="C724" s="17"/>
      <c r="D724" s="99"/>
      <c r="E724" s="99"/>
    </row>
    <row r="725" spans="3:5">
      <c r="C725" s="17"/>
      <c r="D725" s="99"/>
      <c r="E725" s="99"/>
    </row>
    <row r="726" spans="3:5">
      <c r="C726" s="17"/>
      <c r="D726" s="99"/>
      <c r="E726" s="99"/>
    </row>
    <row r="727" spans="3:5">
      <c r="C727" s="17"/>
      <c r="D727" s="99"/>
      <c r="E727" s="99"/>
    </row>
    <row r="728" spans="3:5">
      <c r="C728" s="17"/>
      <c r="D728" s="99"/>
      <c r="E728" s="99"/>
    </row>
    <row r="729" spans="3:5">
      <c r="C729" s="17"/>
      <c r="D729" s="99"/>
      <c r="E729" s="99"/>
    </row>
    <row r="730" spans="3:5">
      <c r="C730" s="17"/>
      <c r="D730" s="99"/>
      <c r="E730" s="99"/>
    </row>
    <row r="731" spans="3:5">
      <c r="C731" s="17"/>
      <c r="D731" s="99"/>
      <c r="E731" s="99"/>
    </row>
    <row r="732" spans="3:5">
      <c r="C732" s="17"/>
      <c r="D732" s="99"/>
      <c r="E732" s="99"/>
    </row>
    <row r="733" spans="3:5">
      <c r="C733" s="17"/>
      <c r="D733" s="99"/>
      <c r="E733" s="99"/>
    </row>
    <row r="734" spans="3:5">
      <c r="C734" s="17"/>
      <c r="D734" s="99"/>
      <c r="E734" s="99"/>
    </row>
    <row r="735" spans="3:5">
      <c r="C735" s="17"/>
      <c r="D735" s="99"/>
      <c r="E735" s="99"/>
    </row>
    <row r="736" spans="3:5">
      <c r="C736" s="17"/>
      <c r="D736" s="99"/>
      <c r="E736" s="99"/>
    </row>
    <row r="737" spans="3:5">
      <c r="C737" s="17"/>
      <c r="D737" s="99"/>
      <c r="E737" s="99"/>
    </row>
    <row r="738" spans="3:5">
      <c r="C738" s="17"/>
      <c r="D738" s="99"/>
      <c r="E738" s="99"/>
    </row>
    <row r="739" spans="3:5">
      <c r="C739" s="17"/>
      <c r="D739" s="99"/>
      <c r="E739" s="99"/>
    </row>
    <row r="740" spans="3:5">
      <c r="C740" s="17"/>
      <c r="D740" s="99"/>
      <c r="E740" s="99"/>
    </row>
    <row r="741" spans="3:5">
      <c r="C741" s="17"/>
      <c r="D741" s="99"/>
      <c r="E741" s="99"/>
    </row>
    <row r="742" spans="3:5">
      <c r="C742" s="17"/>
      <c r="D742" s="99"/>
      <c r="E742" s="99"/>
    </row>
    <row r="743" spans="3:5">
      <c r="C743" s="17"/>
      <c r="D743" s="99"/>
      <c r="E743" s="99"/>
    </row>
    <row r="744" spans="3:5">
      <c r="C744" s="17"/>
      <c r="D744" s="99"/>
      <c r="E744" s="99"/>
    </row>
    <row r="745" spans="3:5">
      <c r="C745" s="17"/>
      <c r="D745" s="99"/>
      <c r="E745" s="99"/>
    </row>
    <row r="746" spans="3:5">
      <c r="C746" s="17"/>
      <c r="D746" s="99"/>
      <c r="E746" s="99"/>
    </row>
    <row r="747" spans="3:5">
      <c r="C747" s="17"/>
      <c r="D747" s="99"/>
      <c r="E747" s="99"/>
    </row>
    <row r="748" spans="3:5">
      <c r="C748" s="17"/>
      <c r="D748" s="99"/>
      <c r="E748" s="99"/>
    </row>
    <row r="749" spans="3:5">
      <c r="C749" s="17"/>
      <c r="D749" s="99"/>
      <c r="E749" s="99"/>
    </row>
    <row r="750" spans="3:5">
      <c r="C750" s="17"/>
      <c r="D750" s="99"/>
      <c r="E750" s="99"/>
    </row>
    <row r="751" spans="3:5">
      <c r="C751" s="17"/>
      <c r="D751" s="99"/>
      <c r="E751" s="99"/>
    </row>
    <row r="752" spans="3:5">
      <c r="C752" s="17"/>
      <c r="D752" s="99"/>
      <c r="E752" s="99"/>
    </row>
    <row r="753" spans="3:5">
      <c r="C753" s="17"/>
      <c r="D753" s="99"/>
      <c r="E753" s="99"/>
    </row>
    <row r="754" spans="3:5">
      <c r="C754" s="17"/>
      <c r="D754" s="99"/>
      <c r="E754" s="99"/>
    </row>
    <row r="755" spans="3:5">
      <c r="C755" s="17"/>
      <c r="D755" s="99"/>
      <c r="E755" s="99"/>
    </row>
    <row r="756" spans="3:5">
      <c r="C756" s="17"/>
      <c r="D756" s="99"/>
      <c r="E756" s="99"/>
    </row>
    <row r="757" spans="3:5">
      <c r="C757" s="17"/>
      <c r="D757" s="99"/>
      <c r="E757" s="99"/>
    </row>
    <row r="758" spans="3:5">
      <c r="C758" s="17"/>
      <c r="D758" s="99"/>
      <c r="E758" s="99"/>
    </row>
    <row r="759" spans="3:5">
      <c r="C759" s="17"/>
      <c r="D759" s="99"/>
      <c r="E759" s="99"/>
    </row>
    <row r="760" spans="3:5">
      <c r="C760" s="17"/>
      <c r="D760" s="99"/>
      <c r="E760" s="99"/>
    </row>
    <row r="761" spans="3:5">
      <c r="C761" s="17"/>
      <c r="D761" s="99"/>
      <c r="E761" s="99"/>
    </row>
    <row r="762" spans="3:5">
      <c r="C762" s="17"/>
      <c r="D762" s="99"/>
      <c r="E762" s="99"/>
    </row>
    <row r="763" spans="3:5">
      <c r="C763" s="17"/>
      <c r="D763" s="99"/>
      <c r="E763" s="99"/>
    </row>
    <row r="764" spans="3:5">
      <c r="C764" s="17"/>
      <c r="D764" s="99"/>
      <c r="E764" s="99"/>
    </row>
    <row r="765" spans="3:5">
      <c r="C765" s="17"/>
      <c r="D765" s="99"/>
      <c r="E765" s="99"/>
    </row>
    <row r="766" spans="3:5">
      <c r="C766" s="17"/>
      <c r="D766" s="99"/>
      <c r="E766" s="99"/>
    </row>
    <row r="767" spans="3:5">
      <c r="C767" s="17"/>
      <c r="D767" s="99"/>
      <c r="E767" s="99"/>
    </row>
    <row r="768" spans="3:5">
      <c r="C768" s="17"/>
      <c r="D768" s="99"/>
      <c r="E768" s="99"/>
    </row>
    <row r="769" spans="3:5">
      <c r="C769" s="17"/>
      <c r="D769" s="99"/>
      <c r="E769" s="99"/>
    </row>
    <row r="770" spans="3:5">
      <c r="C770" s="17"/>
      <c r="D770" s="99"/>
      <c r="E770" s="99"/>
    </row>
    <row r="771" spans="3:5">
      <c r="C771" s="17"/>
      <c r="D771" s="99"/>
      <c r="E771" s="99"/>
    </row>
    <row r="772" spans="3:5">
      <c r="C772" s="17"/>
      <c r="D772" s="99"/>
      <c r="E772" s="99"/>
    </row>
    <row r="773" spans="3:5">
      <c r="C773" s="17"/>
      <c r="D773" s="99"/>
      <c r="E773" s="99"/>
    </row>
    <row r="774" spans="3:5">
      <c r="C774" s="17"/>
      <c r="D774" s="99"/>
      <c r="E774" s="99"/>
    </row>
    <row r="775" spans="3:5">
      <c r="C775" s="17"/>
      <c r="D775" s="99"/>
      <c r="E775" s="99"/>
    </row>
    <row r="776" spans="3:5">
      <c r="C776" s="17"/>
      <c r="D776" s="99"/>
      <c r="E776" s="99"/>
    </row>
    <row r="777" spans="3:5">
      <c r="C777" s="17"/>
      <c r="D777" s="99"/>
      <c r="E777" s="99"/>
    </row>
    <row r="778" spans="3:5">
      <c r="C778" s="17"/>
      <c r="D778" s="99"/>
      <c r="E778" s="99"/>
    </row>
    <row r="779" spans="3:5">
      <c r="C779" s="17"/>
      <c r="D779" s="99"/>
      <c r="E779" s="99"/>
    </row>
    <row r="780" spans="3:5">
      <c r="C780" s="17"/>
      <c r="D780" s="99"/>
      <c r="E780" s="99"/>
    </row>
    <row r="781" spans="3:5">
      <c r="C781" s="17"/>
      <c r="D781" s="99"/>
      <c r="E781" s="99"/>
    </row>
    <row r="782" spans="3:5">
      <c r="C782" s="17"/>
      <c r="D782" s="99"/>
      <c r="E782" s="99"/>
    </row>
    <row r="783" spans="3:5">
      <c r="C783" s="17"/>
      <c r="D783" s="99"/>
      <c r="E783" s="99"/>
    </row>
    <row r="784" spans="3:5">
      <c r="C784" s="17"/>
      <c r="D784" s="99"/>
      <c r="E784" s="99"/>
    </row>
    <row r="785" spans="3:5">
      <c r="C785" s="17"/>
      <c r="D785" s="99"/>
      <c r="E785" s="99"/>
    </row>
    <row r="786" spans="3:5">
      <c r="C786" s="17"/>
      <c r="D786" s="99"/>
      <c r="E786" s="99"/>
    </row>
    <row r="787" spans="3:5">
      <c r="C787" s="17"/>
      <c r="D787" s="99"/>
      <c r="E787" s="99"/>
    </row>
    <row r="788" spans="3:5">
      <c r="C788" s="17"/>
      <c r="D788" s="99"/>
      <c r="E788" s="99"/>
    </row>
    <row r="789" spans="3:5">
      <c r="C789" s="17"/>
      <c r="D789" s="99"/>
      <c r="E789" s="99"/>
    </row>
    <row r="790" spans="3:5">
      <c r="C790" s="17"/>
      <c r="D790" s="99"/>
      <c r="E790" s="99"/>
    </row>
    <row r="791" spans="3:5">
      <c r="C791" s="17"/>
      <c r="D791" s="99"/>
      <c r="E791" s="99"/>
    </row>
    <row r="792" spans="3:5">
      <c r="C792" s="17"/>
      <c r="D792" s="99"/>
      <c r="E792" s="99"/>
    </row>
    <row r="793" spans="3:5">
      <c r="C793" s="17"/>
      <c r="D793" s="99"/>
      <c r="E793" s="99"/>
    </row>
    <row r="794" spans="3:5">
      <c r="C794" s="17"/>
      <c r="D794" s="99"/>
      <c r="E794" s="99"/>
    </row>
    <row r="795" spans="3:5">
      <c r="C795" s="17"/>
      <c r="D795" s="99"/>
      <c r="E795" s="99"/>
    </row>
    <row r="796" spans="3:5">
      <c r="C796" s="17"/>
      <c r="D796" s="99"/>
      <c r="E796" s="99"/>
    </row>
    <row r="797" spans="3:5">
      <c r="C797" s="17"/>
      <c r="D797" s="99"/>
      <c r="E797" s="99"/>
    </row>
    <row r="798" spans="3:5">
      <c r="C798" s="17"/>
      <c r="D798" s="99"/>
      <c r="E798" s="99"/>
    </row>
    <row r="799" spans="3:5">
      <c r="C799" s="17"/>
      <c r="D799" s="99"/>
      <c r="E799" s="99"/>
    </row>
    <row r="800" spans="3:5">
      <c r="C800" s="17"/>
      <c r="D800" s="99"/>
      <c r="E800" s="99"/>
    </row>
    <row r="801" spans="3:5">
      <c r="C801" s="17"/>
      <c r="D801" s="99"/>
      <c r="E801" s="99"/>
    </row>
    <row r="802" spans="3:5">
      <c r="C802" s="17"/>
      <c r="D802" s="99"/>
      <c r="E802" s="99"/>
    </row>
    <row r="803" spans="3:5">
      <c r="C803" s="17"/>
      <c r="D803" s="99"/>
      <c r="E803" s="99"/>
    </row>
    <row r="804" spans="3:5">
      <c r="C804" s="17"/>
      <c r="D804" s="99"/>
      <c r="E804" s="99"/>
    </row>
    <row r="805" spans="3:5">
      <c r="C805" s="17"/>
      <c r="D805" s="99"/>
      <c r="E805" s="99"/>
    </row>
    <row r="806" spans="3:5">
      <c r="C806" s="17"/>
      <c r="D806" s="99"/>
      <c r="E806" s="99"/>
    </row>
    <row r="807" spans="3:5">
      <c r="C807" s="17"/>
      <c r="D807" s="99"/>
      <c r="E807" s="99"/>
    </row>
    <row r="808" spans="3:5">
      <c r="C808" s="17"/>
      <c r="D808" s="99"/>
      <c r="E808" s="99"/>
    </row>
    <row r="809" spans="3:5">
      <c r="C809" s="17"/>
      <c r="D809" s="99"/>
      <c r="E809" s="99"/>
    </row>
    <row r="810" spans="3:5">
      <c r="C810" s="17"/>
      <c r="D810" s="99"/>
      <c r="E810" s="99"/>
    </row>
    <row r="811" spans="3:5">
      <c r="C811" s="17"/>
      <c r="D811" s="99"/>
      <c r="E811" s="99"/>
    </row>
    <row r="812" spans="3:5">
      <c r="C812" s="17"/>
      <c r="D812" s="99"/>
      <c r="E812" s="99"/>
    </row>
    <row r="813" spans="3:5">
      <c r="C813" s="17"/>
      <c r="D813" s="99"/>
      <c r="E813" s="99"/>
    </row>
    <row r="814" spans="3:5">
      <c r="C814" s="17"/>
      <c r="D814" s="99"/>
      <c r="E814" s="99"/>
    </row>
    <row r="815" spans="3:5">
      <c r="C815" s="17"/>
      <c r="D815" s="99"/>
      <c r="E815" s="99"/>
    </row>
    <row r="816" spans="3:5">
      <c r="C816" s="17"/>
      <c r="D816" s="99"/>
      <c r="E816" s="99"/>
    </row>
    <row r="817" spans="3:5">
      <c r="C817" s="17"/>
      <c r="D817" s="99"/>
      <c r="E817" s="99"/>
    </row>
    <row r="818" spans="3:5">
      <c r="C818" s="17"/>
      <c r="D818" s="99"/>
      <c r="E818" s="99"/>
    </row>
    <row r="819" spans="3:5">
      <c r="C819" s="17"/>
      <c r="D819" s="99"/>
      <c r="E819" s="99"/>
    </row>
    <row r="820" spans="3:5">
      <c r="C820" s="17"/>
      <c r="D820" s="99"/>
      <c r="E820" s="99"/>
    </row>
    <row r="821" spans="3:5">
      <c r="C821" s="17"/>
      <c r="D821" s="99"/>
      <c r="E821" s="99"/>
    </row>
    <row r="822" spans="3:5">
      <c r="C822" s="17"/>
      <c r="D822" s="99"/>
      <c r="E822" s="99"/>
    </row>
    <row r="823" spans="3:5">
      <c r="C823" s="17"/>
      <c r="D823" s="99"/>
      <c r="E823" s="99"/>
    </row>
    <row r="824" spans="3:5">
      <c r="C824" s="17"/>
      <c r="D824" s="99"/>
      <c r="E824" s="99"/>
    </row>
    <row r="825" spans="3:5">
      <c r="C825" s="17"/>
      <c r="D825" s="99"/>
      <c r="E825" s="99"/>
    </row>
    <row r="826" spans="3:5">
      <c r="C826" s="17"/>
      <c r="D826" s="99"/>
      <c r="E826" s="99"/>
    </row>
  </sheetData>
  <mergeCells count="6">
    <mergeCell ref="A5:C5"/>
    <mergeCell ref="A6:C6"/>
    <mergeCell ref="Q7:S7"/>
    <mergeCell ref="Q8:S8"/>
    <mergeCell ref="Q34:S34"/>
    <mergeCell ref="R33:S33"/>
  </mergeCells>
  <dataValidations count="1">
    <dataValidation type="list" allowBlank="1" showInputMessage="1" showErrorMessage="1" promptTitle="Select a Period:" prompt="Select Financial or Calendar years." sqref="R33:S33">
      <formula1>A1:A2</formula1>
    </dataValidation>
  </dataValidation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7" tint="0.39997558519241921"/>
  </sheetPr>
  <dimension ref="A1:AA69"/>
  <sheetViews>
    <sheetView showGridLines="0" workbookViewId="0">
      <selection activeCell="I59" sqref="I59"/>
    </sheetView>
  </sheetViews>
  <sheetFormatPr defaultRowHeight="15"/>
  <cols>
    <col min="1" max="1" width="9.140625" style="127"/>
    <col min="2" max="2" width="15.85546875" style="127" bestFit="1" customWidth="1"/>
    <col min="3" max="3" width="15.85546875" style="127" customWidth="1"/>
    <col min="4" max="4" width="15.85546875" style="535" customWidth="1"/>
    <col min="5" max="5" width="3.140625" style="127" customWidth="1"/>
    <col min="6" max="7" width="5" style="333" hidden="1" customWidth="1"/>
    <col min="8" max="8" width="8.42578125" style="127" bestFit="1" customWidth="1"/>
    <col min="9" max="10" width="15.85546875" style="127" bestFit="1" customWidth="1"/>
    <col min="11" max="11" width="15.85546875" style="535" customWidth="1"/>
    <col min="12" max="13" width="12" style="333" hidden="1" customWidth="1"/>
    <col min="14" max="14" width="9.140625" style="127" hidden="1" customWidth="1"/>
    <col min="15" max="16384" width="9.140625" style="127"/>
  </cols>
  <sheetData>
    <row r="1" spans="1:27">
      <c r="K1" s="1649"/>
      <c r="AA1" s="342" t="s">
        <v>463</v>
      </c>
    </row>
    <row r="2" spans="1:27">
      <c r="M2" s="169"/>
      <c r="AA2" s="342" t="s">
        <v>464</v>
      </c>
    </row>
    <row r="3" spans="1:27">
      <c r="N3" s="343"/>
    </row>
    <row r="4" spans="1:27" ht="20.25" customHeight="1"/>
    <row r="5" spans="1:27">
      <c r="A5" s="1981" t="s">
        <v>459</v>
      </c>
      <c r="B5" s="1981"/>
      <c r="C5" s="1981"/>
      <c r="D5" s="1981"/>
      <c r="E5" s="128"/>
      <c r="H5" s="1981" t="s">
        <v>458</v>
      </c>
      <c r="I5" s="1981"/>
      <c r="J5" s="1981"/>
      <c r="K5" s="1981"/>
    </row>
    <row r="6" spans="1:27" ht="15.75" thickBot="1">
      <c r="A6" s="1988" t="s">
        <v>703</v>
      </c>
      <c r="B6" s="1988"/>
      <c r="C6" s="1988"/>
      <c r="D6" s="1988"/>
      <c r="E6" s="128"/>
      <c r="F6" s="128"/>
      <c r="G6" s="128"/>
      <c r="H6" s="2009" t="str">
        <f>H47</f>
        <v>Historic Financial Year</v>
      </c>
      <c r="I6" s="2009"/>
      <c r="J6" s="2009"/>
      <c r="K6" s="2009"/>
    </row>
    <row r="7" spans="1:27">
      <c r="A7" s="952"/>
      <c r="B7" s="953" t="s">
        <v>309</v>
      </c>
      <c r="C7" s="1643" t="s">
        <v>300</v>
      </c>
      <c r="D7" s="954" t="s">
        <v>792</v>
      </c>
      <c r="E7" s="128"/>
      <c r="F7" s="128"/>
      <c r="G7" s="128"/>
      <c r="H7" s="961"/>
      <c r="I7" s="953" t="s">
        <v>309</v>
      </c>
      <c r="J7" s="1643" t="s">
        <v>300</v>
      </c>
      <c r="K7" s="954" t="s">
        <v>792</v>
      </c>
    </row>
    <row r="8" spans="1:27" ht="15.75" thickBot="1">
      <c r="A8" s="962" t="s">
        <v>676</v>
      </c>
      <c r="B8" s="955" t="s">
        <v>683</v>
      </c>
      <c r="C8" s="1644" t="s">
        <v>683</v>
      </c>
      <c r="D8" s="956" t="s">
        <v>683</v>
      </c>
      <c r="E8" s="128"/>
      <c r="F8" s="128"/>
      <c r="G8" s="128"/>
      <c r="H8" s="1410" t="s">
        <v>41</v>
      </c>
      <c r="I8" s="955" t="s">
        <v>45</v>
      </c>
      <c r="J8" s="1644" t="s">
        <v>45</v>
      </c>
      <c r="K8" s="956" t="s">
        <v>45</v>
      </c>
    </row>
    <row r="9" spans="1:27">
      <c r="A9" s="610">
        <f>LARGE('Commodity Prices'!C$159:C$902,60)</f>
        <v>42552</v>
      </c>
      <c r="B9" s="957">
        <f>SUMIF('Commodity Prices'!C$159:C$902,A9,'Commodity Prices'!R$159:R$902)</f>
        <v>1103.5824732229796</v>
      </c>
      <c r="C9" s="1645">
        <f>SUMIF('Commodity Prices'!C$109:C$902,A9,'Commodity Prices'!S$109:S$902)</f>
        <v>1183.8377883121539</v>
      </c>
      <c r="D9" s="1647">
        <f>SUMIF('Commodity Prices'!C$109:C$902,A9,'Commodity Prices'!T$109:T$902)</f>
        <v>2841.7541924077586</v>
      </c>
      <c r="E9" s="128"/>
      <c r="F9" s="128">
        <v>1986</v>
      </c>
      <c r="G9" s="128">
        <v>1987</v>
      </c>
      <c r="H9" s="960" t="str">
        <f>IF($H$6="Historic Calendar Year",1986,CONCATENATE(F9,"-",RIGHT(G9,2)))</f>
        <v>1986-87</v>
      </c>
      <c r="I9" s="963">
        <f>IF($H$6="Historic Calendar Year",IFERROR(AVERAGE(IF($H9=YEAR('Commodity Prices'!$C$9:$C$1000),'Commodity Prices'!$R$9:$R$1000)),"NA"),IFERROR(IF(L9=0,"NA",L9),"NA"))</f>
        <v>636.16666666666663</v>
      </c>
      <c r="J9" s="1648">
        <f t="array" ref="J9">IF($H$6="Historic Calendar Year",IFERROR(AVERAGE(IF($H9=YEAR('Commodity Prices'!$C$9:$C$1000),'Commodity Prices'!$S$9:$S$1000)),"NA"),IFERROR(IF(M9=0,"NA",M9),"NA"))</f>
        <v>215</v>
      </c>
      <c r="K9" s="726" t="str">
        <f t="array" ref="K9">IF($H$6="Historic Calendar Year",IFERROR(AVERAGE(IF($H9=YEAR('Commodity Prices'!$C$9:$C$1000),'Commodity Prices'!$T$9:$T$1000)),"N/A"),IFERROR(IF(N9=0,"N/A",N9),"N/A"))</f>
        <v>N/A</v>
      </c>
      <c r="L9" s="333">
        <f>(SUMIFS('Commodity Prices'!$R$9:$R$2500,'Commodity Prices'!$A$9:$A$2500,'Mineral Sands - Prices'!F9,'Commodity Prices'!$B$9:$B$2500,3)+
SUMIFS('Commodity Prices'!$R$9:$R$2500,'Commodity Prices'!$A$9:$A$2500,'Mineral Sands - Prices'!F9,'Commodity Prices'!$B$9:$B$2500,4)+
SUMIFS('Commodity Prices'!$R$9:$R$2500,'Commodity Prices'!$A$9:$A$2500,'Mineral Sands - Prices'!G9,'Commodity Prices'!$B$9:$B$2500,1)+
SUMIFS('Commodity Prices'!$R$9:$R$2500,'Commodity Prices'!$A$9:$A$2500,'Mineral Sands - Prices'!G9,'Commodity Prices'!$B$9:$B$2500,2))
/(COUNTIFS('Commodity Prices'!$A$9:$A$2500,'Mineral Sands - Prices'!F9,'Commodity Prices'!$B$9:$B$2500,3)+
COUNTIFS('Commodity Prices'!$A$9:$A$2500,'Mineral Sands - Prices'!F9,'Commodity Prices'!$B$9:$B$2500,4)+
COUNTIFS('Commodity Prices'!$A$9:$A$2500,'Mineral Sands - Prices'!G9,'Commodity Prices'!$B$9:$B$2500,1)+
COUNTIFS('Commodity Prices'!$A$9:$A$2500,'Mineral Sands - Prices'!G9,'Commodity Prices'!$B$9:$B$2500,2))</f>
        <v>636.16666666666663</v>
      </c>
      <c r="M9" s="333">
        <f>(SUMIFS('Commodity Prices'!$S$9:$S$2500,'Commodity Prices'!$A$9:$A$2500,'Mineral Sands - Prices'!F9,'Commodity Prices'!$B$9:$B$2500,3)+
SUMIFS('Commodity Prices'!$S$9:$S$2500,'Commodity Prices'!$A$9:$A$2500,'Mineral Sands - Prices'!F9,'Commodity Prices'!$B$9:$B$2500,4)+
SUMIFS('Commodity Prices'!$S$9:$S$2500,'Commodity Prices'!$A$9:$A$2500,'Mineral Sands - Prices'!G9,'Commodity Prices'!$B$9:$B$2500,1)+
SUMIFS('Commodity Prices'!$S$9:$S$2500,'Commodity Prices'!$A$9:$A$2500,'Mineral Sands - Prices'!G9,'Commodity Prices'!$B$9:$B$2500,2))
/(COUNTIFS('Commodity Prices'!$A$9:$A$2500,'Mineral Sands - Prices'!F9,'Commodity Prices'!$B$9:$B$2500,3)+
COUNTIFS('Commodity Prices'!$A$9:$A$2500,'Mineral Sands - Prices'!F9,'Commodity Prices'!$B$9:$B$2500,4)+
COUNTIFS('Commodity Prices'!$A$9:$A$2500,'Mineral Sands - Prices'!G9,'Commodity Prices'!$B$9:$B$2500,1)+
COUNTIFS('Commodity Prices'!$A$9:$A$2500,'Mineral Sands - Prices'!G9,'Commodity Prices'!$B$9:$B$2500,2))</f>
        <v>215</v>
      </c>
      <c r="N9" s="127">
        <f>(SUMIFS('Commodity Prices'!$T$9:$T$2500,'Commodity Prices'!$A$9:$A$2500,'Mineral Sands - Prices'!F9,'Commodity Prices'!$B$9:$B$2500,3)+
SUMIFS('Commodity Prices'!$T$9:$T$2500,'Commodity Prices'!$A$9:$A$2500,'Mineral Sands - Prices'!F9,'Commodity Prices'!$B$9:$B$2500,4)+
SUMIFS('Commodity Prices'!$T$9:$T$2500,'Commodity Prices'!$A$9:$A$2500,'Mineral Sands - Prices'!G9,'Commodity Prices'!$B$9:$B$2500,1)+
SUMIFS('Commodity Prices'!$T$9:$T$2500,'Commodity Prices'!$A$9:$A$2500,'Mineral Sands - Prices'!G9,'Commodity Prices'!$B$9:$B$2500,2))
/(COUNTIFS('Commodity Prices'!$A$9:$A$2500,'Mineral Sands - Prices'!F9,'Commodity Prices'!$B$9:$B$2500,3)+
COUNTIFS('Commodity Prices'!$A$9:$A$2500,'Mineral Sands - Prices'!F9,'Commodity Prices'!$B$9:$B$2500,4)+
COUNTIFS('Commodity Prices'!$A$9:$A$2500,'Mineral Sands - Prices'!G9,'Commodity Prices'!$B$9:$B$2500,1)+
COUNTIFS('Commodity Prices'!$A$9:$A$2500,'Mineral Sands - Prices'!G9,'Commodity Prices'!$B$9:$B$2500,2))</f>
        <v>0</v>
      </c>
    </row>
    <row r="10" spans="1:27">
      <c r="A10" s="611">
        <f>LARGE('Commodity Prices'!C$159:C$902,59)</f>
        <v>42583</v>
      </c>
      <c r="B10" s="880">
        <f>SUMIF('Commodity Prices'!C$159:C$902,A10,'Commodity Prices'!R$159:R$902)</f>
        <v>1053.5592643775913</v>
      </c>
      <c r="C10" s="780">
        <f>SUMIF('Commodity Prices'!C$109:C$902,A10,'Commodity Prices'!S$109:S$902)</f>
        <v>1142.5105130012855</v>
      </c>
      <c r="D10" s="724">
        <f>SUMIF('Commodity Prices'!C$109:C$902,A10,'Commodity Prices'!T$109:T$902)</f>
        <v>2812.0002918709124</v>
      </c>
      <c r="E10" s="128"/>
      <c r="F10" s="128">
        <f>F9+1</f>
        <v>1987</v>
      </c>
      <c r="G10" s="128">
        <f>G9+1</f>
        <v>1988</v>
      </c>
      <c r="H10" s="959" t="str">
        <f t="shared" ref="H10:H43" si="0">IF($H$6="Historic Calendar Year",H9+1,CONCATENATE(F10,"-",RIGHT(G10,2)))</f>
        <v>1987-88</v>
      </c>
      <c r="I10" s="957">
        <f t="array" ref="I10">IF($H$6="Historic Calendar Year",IFERROR(AVERAGE(IF($H10=YEAR('Commodity Prices'!$C$9:$C$1000),'Commodity Prices'!$R$9:$R$1000)),"NA"),IFERROR(IF(L10=0,"NA",L10),"NA"))</f>
        <v>634.5</v>
      </c>
      <c r="J10" s="1645">
        <f t="array" ref="J10">IF($H$6="Historic Calendar Year",IFERROR(AVERAGE(IF($H10=YEAR('Commodity Prices'!$C$9:$C$1000),'Commodity Prices'!$S$9:$S$1000)),"NA"),IFERROR(IF(M10=0,"NA",M10),"NA"))</f>
        <v>287.5</v>
      </c>
      <c r="K10" s="950">
        <f t="array" ref="K10">IF($H$6="Historic Calendar Year",IFERROR(AVERAGE(IF($H10=YEAR('Commodity Prices'!$C$9:$C$1000),'Commodity Prices'!$T$9:$T$1000)),"N/A"),IFERROR(IF(N10=0,"N/A",N10),"N/A"))</f>
        <v>1246.1232787963488</v>
      </c>
      <c r="L10" s="333">
        <f>(SUMIFS('Commodity Prices'!$R$9:$R$2500,'Commodity Prices'!$A$9:$A$2500,'Mineral Sands - Prices'!F10,'Commodity Prices'!$B$9:$B$2500,3)+
SUMIFS('Commodity Prices'!$R$9:$R$2500,'Commodity Prices'!$A$9:$A$2500,'Mineral Sands - Prices'!F10,'Commodity Prices'!$B$9:$B$2500,4)+
SUMIFS('Commodity Prices'!$R$9:$R$2500,'Commodity Prices'!$A$9:$A$2500,'Mineral Sands - Prices'!G10,'Commodity Prices'!$B$9:$B$2500,1)+
SUMIFS('Commodity Prices'!$R$9:$R$2500,'Commodity Prices'!$A$9:$A$2500,'Mineral Sands - Prices'!G10,'Commodity Prices'!$B$9:$B$2500,2))
/(COUNTIFS('Commodity Prices'!$A$9:$A$2500,'Mineral Sands - Prices'!F10,'Commodity Prices'!$B$9:$B$2500,3)+
COUNTIFS('Commodity Prices'!$A$9:$A$2500,'Mineral Sands - Prices'!F10,'Commodity Prices'!$B$9:$B$2500,4)+
COUNTIFS('Commodity Prices'!$A$9:$A$2500,'Mineral Sands - Prices'!G10,'Commodity Prices'!$B$9:$B$2500,1)+
COUNTIFS('Commodity Prices'!$A$9:$A$2500,'Mineral Sands - Prices'!G10,'Commodity Prices'!$B$9:$B$2500,2))</f>
        <v>634.5</v>
      </c>
      <c r="M10" s="333">
        <f>(SUMIFS('Commodity Prices'!$S$9:$S$2500,'Commodity Prices'!$A$9:$A$2500,'Mineral Sands - Prices'!F10,'Commodity Prices'!$B$9:$B$2500,3)+
SUMIFS('Commodity Prices'!$S$9:$S$2500,'Commodity Prices'!$A$9:$A$2500,'Mineral Sands - Prices'!F10,'Commodity Prices'!$B$9:$B$2500,4)+
SUMIFS('Commodity Prices'!$S$9:$S$2500,'Commodity Prices'!$A$9:$A$2500,'Mineral Sands - Prices'!G10,'Commodity Prices'!$B$9:$B$2500,1)+
SUMIFS('Commodity Prices'!$S$9:$S$2500,'Commodity Prices'!$A$9:$A$2500,'Mineral Sands - Prices'!G10,'Commodity Prices'!$B$9:$B$2500,2))
/(COUNTIFS('Commodity Prices'!$A$9:$A$2500,'Mineral Sands - Prices'!F10,'Commodity Prices'!$B$9:$B$2500,3)+
COUNTIFS('Commodity Prices'!$A$9:$A$2500,'Mineral Sands - Prices'!F10,'Commodity Prices'!$B$9:$B$2500,4)+
COUNTIFS('Commodity Prices'!$A$9:$A$2500,'Mineral Sands - Prices'!G10,'Commodity Prices'!$B$9:$B$2500,1)+
COUNTIFS('Commodity Prices'!$A$9:$A$2500,'Mineral Sands - Prices'!G10,'Commodity Prices'!$B$9:$B$2500,2))</f>
        <v>287.5</v>
      </c>
      <c r="N10" s="535">
        <f>(SUMIFS('Commodity Prices'!$T$9:$T$2500,'Commodity Prices'!$A$9:$A$2500,'Mineral Sands - Prices'!F10,'Commodity Prices'!$B$9:$B$2500,3)+
SUMIFS('Commodity Prices'!$T$9:$T$2500,'Commodity Prices'!$A$9:$A$2500,'Mineral Sands - Prices'!F10,'Commodity Prices'!$B$9:$B$2500,4)+
SUMIFS('Commodity Prices'!$T$9:$T$2500,'Commodity Prices'!$A$9:$A$2500,'Mineral Sands - Prices'!G10,'Commodity Prices'!$B$9:$B$2500,1)+
SUMIFS('Commodity Prices'!$T$9:$T$2500,'Commodity Prices'!$A$9:$A$2500,'Mineral Sands - Prices'!G10,'Commodity Prices'!$B$9:$B$2500,2))
/(COUNTIFS('Commodity Prices'!$A$9:$A$2500,'Mineral Sands - Prices'!F10,'Commodity Prices'!$B$9:$B$2500,3)+
COUNTIFS('Commodity Prices'!$A$9:$A$2500,'Mineral Sands - Prices'!F10,'Commodity Prices'!$B$9:$B$2500,4)+
COUNTIFS('Commodity Prices'!$A$9:$A$2500,'Mineral Sands - Prices'!G10,'Commodity Prices'!$B$9:$B$2500,1)+
COUNTIFS('Commodity Prices'!$A$9:$A$2500,'Mineral Sands - Prices'!G10,'Commodity Prices'!$B$9:$B$2500,2))</f>
        <v>1246.1232787963488</v>
      </c>
    </row>
    <row r="11" spans="1:27">
      <c r="A11" s="610">
        <f>LARGE('Commodity Prices'!C$159:C$902,58)</f>
        <v>42614</v>
      </c>
      <c r="B11" s="957">
        <f>SUMIF('Commodity Prices'!C$159:C$902,A11,'Commodity Prices'!R$159:R$902)</f>
        <v>1153.4440303302918</v>
      </c>
      <c r="C11" s="1645">
        <f>SUMIF('Commodity Prices'!C$109:C$902,A11,'Commodity Prices'!S$109:S$902)</f>
        <v>1135.416575743028</v>
      </c>
      <c r="D11" s="950">
        <f>SUMIF('Commodity Prices'!C$109:C$902,A11,'Commodity Prices'!T$109:T$902)</f>
        <v>2962.1183911553348</v>
      </c>
      <c r="E11" s="128"/>
      <c r="F11" s="128">
        <f t="shared" ref="F11:G43" si="1">F10+1</f>
        <v>1988</v>
      </c>
      <c r="G11" s="128">
        <f t="shared" si="1"/>
        <v>1989</v>
      </c>
      <c r="H11" s="960" t="str">
        <f t="shared" si="0"/>
        <v>1988-89</v>
      </c>
      <c r="I11" s="880">
        <f t="array" ref="I11">IF($H$6="Historic Calendar Year",IFERROR(AVERAGE(IF($H11=YEAR('Commodity Prices'!$C$9:$C$1000),'Commodity Prices'!$R$9:$R$1000)),"NA"),IFERROR(IF(L11=0,"NA",L11),"NA"))</f>
        <v>686.66666666666663</v>
      </c>
      <c r="J11" s="780">
        <f t="array" ref="J11">IF($H$6="Historic Calendar Year",IFERROR(AVERAGE(IF($H11=YEAR('Commodity Prices'!$C$9:$C$1000),'Commodity Prices'!$S$9:$S$1000)),"NA"),IFERROR(IF(M11=0,"NA",M11),"NA"))</f>
        <v>410</v>
      </c>
      <c r="K11" s="724">
        <f t="array" ref="K11">IF($H$6="Historic Calendar Year",IFERROR(AVERAGE(IF($H11=YEAR('Commodity Prices'!$C$9:$C$1000),'Commodity Prices'!$T$9:$T$1000)),"N/A"),IFERROR(IF(N11=0,"N/A",N11),"N/A"))</f>
        <v>2590.2992069403367</v>
      </c>
      <c r="L11" s="535">
        <f>(SUMIFS('Commodity Prices'!$R$9:$R$2500,'Commodity Prices'!$A$9:$A$2500,'Mineral Sands - Prices'!F11,'Commodity Prices'!$B$9:$B$2500,3)+
SUMIFS('Commodity Prices'!$R$9:$R$2500,'Commodity Prices'!$A$9:$A$2500,'Mineral Sands - Prices'!F11,'Commodity Prices'!$B$9:$B$2500,4)+
SUMIFS('Commodity Prices'!$R$9:$R$2500,'Commodity Prices'!$A$9:$A$2500,'Mineral Sands - Prices'!G11,'Commodity Prices'!$B$9:$B$2500,1)+
SUMIFS('Commodity Prices'!$R$9:$R$2500,'Commodity Prices'!$A$9:$A$2500,'Mineral Sands - Prices'!G11,'Commodity Prices'!$B$9:$B$2500,2))
/(COUNTIFS('Commodity Prices'!$A$9:$A$2500,'Mineral Sands - Prices'!F11,'Commodity Prices'!$B$9:$B$2500,3)+
COUNTIFS('Commodity Prices'!$A$9:$A$2500,'Mineral Sands - Prices'!F11,'Commodity Prices'!$B$9:$B$2500,4)+
COUNTIFS('Commodity Prices'!$A$9:$A$2500,'Mineral Sands - Prices'!G11,'Commodity Prices'!$B$9:$B$2500,1)+
COUNTIFS('Commodity Prices'!$A$9:$A$2500,'Mineral Sands - Prices'!G11,'Commodity Prices'!$B$9:$B$2500,2))</f>
        <v>686.66666666666663</v>
      </c>
      <c r="M11" s="333">
        <f>(SUMIFS('Commodity Prices'!$S$9:$S$2500,'Commodity Prices'!$A$9:$A$2500,'Mineral Sands - Prices'!F11,'Commodity Prices'!$B$9:$B$2500,3)+
SUMIFS('Commodity Prices'!$S$9:$S$2500,'Commodity Prices'!$A$9:$A$2500,'Mineral Sands - Prices'!F11,'Commodity Prices'!$B$9:$B$2500,4)+
SUMIFS('Commodity Prices'!$S$9:$S$2500,'Commodity Prices'!$A$9:$A$2500,'Mineral Sands - Prices'!G11,'Commodity Prices'!$B$9:$B$2500,1)+
SUMIFS('Commodity Prices'!$S$9:$S$2500,'Commodity Prices'!$A$9:$A$2500,'Mineral Sands - Prices'!G11,'Commodity Prices'!$B$9:$B$2500,2))
/(COUNTIFS('Commodity Prices'!$A$9:$A$2500,'Mineral Sands - Prices'!F11,'Commodity Prices'!$B$9:$B$2500,3)+
COUNTIFS('Commodity Prices'!$A$9:$A$2500,'Mineral Sands - Prices'!F11,'Commodity Prices'!$B$9:$B$2500,4)+
COUNTIFS('Commodity Prices'!$A$9:$A$2500,'Mineral Sands - Prices'!G11,'Commodity Prices'!$B$9:$B$2500,1)+
COUNTIFS('Commodity Prices'!$A$9:$A$2500,'Mineral Sands - Prices'!G11,'Commodity Prices'!$B$9:$B$2500,2))</f>
        <v>410</v>
      </c>
      <c r="N11" s="535">
        <f>(SUMIFS('Commodity Prices'!$T$9:$T$2500,'Commodity Prices'!$A$9:$A$2500,'Mineral Sands - Prices'!F11,'Commodity Prices'!$B$9:$B$2500,3)+
SUMIFS('Commodity Prices'!$T$9:$T$2500,'Commodity Prices'!$A$9:$A$2500,'Mineral Sands - Prices'!F11,'Commodity Prices'!$B$9:$B$2500,4)+
SUMIFS('Commodity Prices'!$T$9:$T$2500,'Commodity Prices'!$A$9:$A$2500,'Mineral Sands - Prices'!G11,'Commodity Prices'!$B$9:$B$2500,1)+
SUMIFS('Commodity Prices'!$T$9:$T$2500,'Commodity Prices'!$A$9:$A$2500,'Mineral Sands - Prices'!G11,'Commodity Prices'!$B$9:$B$2500,2))
/(COUNTIFS('Commodity Prices'!$A$9:$A$2500,'Mineral Sands - Prices'!F11,'Commodity Prices'!$B$9:$B$2500,3)+
COUNTIFS('Commodity Prices'!$A$9:$A$2500,'Mineral Sands - Prices'!F11,'Commodity Prices'!$B$9:$B$2500,4)+
COUNTIFS('Commodity Prices'!$A$9:$A$2500,'Mineral Sands - Prices'!G11,'Commodity Prices'!$B$9:$B$2500,1)+
COUNTIFS('Commodity Prices'!$A$9:$A$2500,'Mineral Sands - Prices'!G11,'Commodity Prices'!$B$9:$B$2500,2))</f>
        <v>2590.2992069403367</v>
      </c>
    </row>
    <row r="12" spans="1:27">
      <c r="A12" s="611">
        <f>LARGE('Commodity Prices'!C$159:C$902,57)</f>
        <v>42644</v>
      </c>
      <c r="B12" s="880">
        <f>SUMIF('Commodity Prices'!C$159:C$902,A12,'Commodity Prices'!R$159:R$902)</f>
        <v>1140.2731515598134</v>
      </c>
      <c r="C12" s="780">
        <f>SUMIF('Commodity Prices'!C$109:C$902,A12,'Commodity Prices'!S$109:S$902)</f>
        <v>1146.3494258872652</v>
      </c>
      <c r="D12" s="724">
        <f>SUMIF('Commodity Prices'!C$109:C$902,A12,'Commodity Prices'!T$109:T$902)</f>
        <v>2957.1161483043402</v>
      </c>
      <c r="E12" s="128"/>
      <c r="F12" s="128">
        <f t="shared" si="1"/>
        <v>1989</v>
      </c>
      <c r="G12" s="128">
        <f t="shared" si="1"/>
        <v>1990</v>
      </c>
      <c r="H12" s="959" t="str">
        <f t="shared" si="0"/>
        <v>1989-90</v>
      </c>
      <c r="I12" s="957">
        <f t="array" ref="I12">IF($H$6="Historic Calendar Year",IFERROR(AVERAGE(IF($H12=YEAR('Commodity Prices'!$C$9:$C$1000),'Commodity Prices'!$R$9:$R$1000)),"NA"),IFERROR(IF(L12=0,"NA",L12),"NA"))</f>
        <v>825</v>
      </c>
      <c r="J12" s="1645">
        <f t="array" ref="J12">IF($H$6="Historic Calendar Year",IFERROR(AVERAGE(IF($H12=YEAR('Commodity Prices'!$C$9:$C$1000),'Commodity Prices'!$S$9:$S$1000)),"NA"),IFERROR(IF(M12=0,"NA",M12),"NA"))</f>
        <v>568.33333333333337</v>
      </c>
      <c r="K12" s="950">
        <f t="array" ref="K12">IF($H$6="Historic Calendar Year",IFERROR(AVERAGE(IF($H12=YEAR('Commodity Prices'!$C$9:$C$1000),'Commodity Prices'!$T$9:$T$1000)),"N/A"),IFERROR(IF(N12=0,"N/A",N12),"N/A"))</f>
        <v>2968.9487602839145</v>
      </c>
      <c r="L12" s="535">
        <f>(SUMIFS('Commodity Prices'!$R$9:$R$2500,'Commodity Prices'!$A$9:$A$2500,'Mineral Sands - Prices'!F12,'Commodity Prices'!$B$9:$B$2500,3)+
SUMIFS('Commodity Prices'!$R$9:$R$2500,'Commodity Prices'!$A$9:$A$2500,'Mineral Sands - Prices'!F12,'Commodity Prices'!$B$9:$B$2500,4)+
SUMIFS('Commodity Prices'!$R$9:$R$2500,'Commodity Prices'!$A$9:$A$2500,'Mineral Sands - Prices'!G12,'Commodity Prices'!$B$9:$B$2500,1)+
SUMIFS('Commodity Prices'!$R$9:$R$2500,'Commodity Prices'!$A$9:$A$2500,'Mineral Sands - Prices'!G12,'Commodity Prices'!$B$9:$B$2500,2))
/(COUNTIFS('Commodity Prices'!$A$9:$A$2500,'Mineral Sands - Prices'!F12,'Commodity Prices'!$B$9:$B$2500,3)+
COUNTIFS('Commodity Prices'!$A$9:$A$2500,'Mineral Sands - Prices'!F12,'Commodity Prices'!$B$9:$B$2500,4)+
COUNTIFS('Commodity Prices'!$A$9:$A$2500,'Mineral Sands - Prices'!G12,'Commodity Prices'!$B$9:$B$2500,1)+
COUNTIFS('Commodity Prices'!$A$9:$A$2500,'Mineral Sands - Prices'!G12,'Commodity Prices'!$B$9:$B$2500,2))</f>
        <v>825</v>
      </c>
      <c r="M12" s="333">
        <f>(SUMIFS('Commodity Prices'!$S$9:$S$2500,'Commodity Prices'!$A$9:$A$2500,'Mineral Sands - Prices'!F12,'Commodity Prices'!$B$9:$B$2500,3)+
SUMIFS('Commodity Prices'!$S$9:$S$2500,'Commodity Prices'!$A$9:$A$2500,'Mineral Sands - Prices'!F12,'Commodity Prices'!$B$9:$B$2500,4)+
SUMIFS('Commodity Prices'!$S$9:$S$2500,'Commodity Prices'!$A$9:$A$2500,'Mineral Sands - Prices'!G12,'Commodity Prices'!$B$9:$B$2500,1)+
SUMIFS('Commodity Prices'!$S$9:$S$2500,'Commodity Prices'!$A$9:$A$2500,'Mineral Sands - Prices'!G12,'Commodity Prices'!$B$9:$B$2500,2))
/(COUNTIFS('Commodity Prices'!$A$9:$A$2500,'Mineral Sands - Prices'!F12,'Commodity Prices'!$B$9:$B$2500,3)+
COUNTIFS('Commodity Prices'!$A$9:$A$2500,'Mineral Sands - Prices'!F12,'Commodity Prices'!$B$9:$B$2500,4)+
COUNTIFS('Commodity Prices'!$A$9:$A$2500,'Mineral Sands - Prices'!G12,'Commodity Prices'!$B$9:$B$2500,1)+
COUNTIFS('Commodity Prices'!$A$9:$A$2500,'Mineral Sands - Prices'!G12,'Commodity Prices'!$B$9:$B$2500,2))</f>
        <v>568.33333333333337</v>
      </c>
      <c r="N12" s="535">
        <f>(SUMIFS('Commodity Prices'!$T$9:$T$2500,'Commodity Prices'!$A$9:$A$2500,'Mineral Sands - Prices'!F12,'Commodity Prices'!$B$9:$B$2500,3)+
SUMIFS('Commodity Prices'!$T$9:$T$2500,'Commodity Prices'!$A$9:$A$2500,'Mineral Sands - Prices'!F12,'Commodity Prices'!$B$9:$B$2500,4)+
SUMIFS('Commodity Prices'!$T$9:$T$2500,'Commodity Prices'!$A$9:$A$2500,'Mineral Sands - Prices'!G12,'Commodity Prices'!$B$9:$B$2500,1)+
SUMIFS('Commodity Prices'!$T$9:$T$2500,'Commodity Prices'!$A$9:$A$2500,'Mineral Sands - Prices'!G12,'Commodity Prices'!$B$9:$B$2500,2))
/(COUNTIFS('Commodity Prices'!$A$9:$A$2500,'Mineral Sands - Prices'!F12,'Commodity Prices'!$B$9:$B$2500,3)+
COUNTIFS('Commodity Prices'!$A$9:$A$2500,'Mineral Sands - Prices'!F12,'Commodity Prices'!$B$9:$B$2500,4)+
COUNTIFS('Commodity Prices'!$A$9:$A$2500,'Mineral Sands - Prices'!G12,'Commodity Prices'!$B$9:$B$2500,1)+
COUNTIFS('Commodity Prices'!$A$9:$A$2500,'Mineral Sands - Prices'!G12,'Commodity Prices'!$B$9:$B$2500,2))</f>
        <v>2968.9487602839145</v>
      </c>
    </row>
    <row r="13" spans="1:27">
      <c r="A13" s="610">
        <f>LARGE('Commodity Prices'!C$159:C$902,56)</f>
        <v>42675</v>
      </c>
      <c r="B13" s="957">
        <f>SUMIF('Commodity Prices'!C$159:C$902,A13,'Commodity Prices'!R$159:R$902)</f>
        <v>1147.314632000782</v>
      </c>
      <c r="C13" s="1645">
        <f>SUMIF('Commodity Prices'!C$109:C$902,A13,'Commodity Prices'!S$109:S$902)</f>
        <v>1175.3088181148746</v>
      </c>
      <c r="D13" s="950">
        <f>SUMIF('Commodity Prices'!C$109:C$902,A13,'Commodity Prices'!T$109:T$902)</f>
        <v>3003.1435572387186</v>
      </c>
      <c r="E13" s="128"/>
      <c r="F13" s="128">
        <f t="shared" si="1"/>
        <v>1990</v>
      </c>
      <c r="G13" s="128">
        <f t="shared" si="1"/>
        <v>1991</v>
      </c>
      <c r="H13" s="960" t="str">
        <f t="shared" si="0"/>
        <v>1990-91</v>
      </c>
      <c r="I13" s="880">
        <f t="array" ref="I13">IF($H$6="Historic Calendar Year",IFERROR(AVERAGE(IF($H13=YEAR('Commodity Prices'!$C$9:$C$1000),'Commodity Prices'!$R$9:$R$1000)),"NA"),IFERROR(IF(L13=0,"NA",L13),"NA"))</f>
        <v>755</v>
      </c>
      <c r="J13" s="780">
        <f t="array" ref="J13">IF($H$6="Historic Calendar Year",IFERROR(AVERAGE(IF($H13=YEAR('Commodity Prices'!$C$9:$C$1000),'Commodity Prices'!$S$9:$S$1000)),"NA"),IFERROR(IF(M13=0,"NA",M13),"NA"))</f>
        <v>510.25</v>
      </c>
      <c r="K13" s="724">
        <f t="array" ref="K13">IF($H$6="Historic Calendar Year",IFERROR(AVERAGE(IF($H13=YEAR('Commodity Prices'!$C$9:$C$1000),'Commodity Prices'!$T$9:$T$1000)),"N/A"),IFERROR(IF(N13=0,"N/A",N13),"N/A"))</f>
        <v>2393.4499976221373</v>
      </c>
      <c r="L13" s="535">
        <f>(SUMIFS('Commodity Prices'!$R$9:$R$2500,'Commodity Prices'!$A$9:$A$2500,'Mineral Sands - Prices'!F13,'Commodity Prices'!$B$9:$B$2500,3)+
SUMIFS('Commodity Prices'!$R$9:$R$2500,'Commodity Prices'!$A$9:$A$2500,'Mineral Sands - Prices'!F13,'Commodity Prices'!$B$9:$B$2500,4)+
SUMIFS('Commodity Prices'!$R$9:$R$2500,'Commodity Prices'!$A$9:$A$2500,'Mineral Sands - Prices'!G13,'Commodity Prices'!$B$9:$B$2500,1)+
SUMIFS('Commodity Prices'!$R$9:$R$2500,'Commodity Prices'!$A$9:$A$2500,'Mineral Sands - Prices'!G13,'Commodity Prices'!$B$9:$B$2500,2))
/(COUNTIFS('Commodity Prices'!$A$9:$A$2500,'Mineral Sands - Prices'!F13,'Commodity Prices'!$B$9:$B$2500,3)+
COUNTIFS('Commodity Prices'!$A$9:$A$2500,'Mineral Sands - Prices'!F13,'Commodity Prices'!$B$9:$B$2500,4)+
COUNTIFS('Commodity Prices'!$A$9:$A$2500,'Mineral Sands - Prices'!G13,'Commodity Prices'!$B$9:$B$2500,1)+
COUNTIFS('Commodity Prices'!$A$9:$A$2500,'Mineral Sands - Prices'!G13,'Commodity Prices'!$B$9:$B$2500,2))</f>
        <v>755</v>
      </c>
      <c r="M13" s="333">
        <f>(SUMIFS('Commodity Prices'!$S$9:$S$2500,'Commodity Prices'!$A$9:$A$2500,'Mineral Sands - Prices'!F13,'Commodity Prices'!$B$9:$B$2500,3)+
SUMIFS('Commodity Prices'!$S$9:$S$2500,'Commodity Prices'!$A$9:$A$2500,'Mineral Sands - Prices'!F13,'Commodity Prices'!$B$9:$B$2500,4)+
SUMIFS('Commodity Prices'!$S$9:$S$2500,'Commodity Prices'!$A$9:$A$2500,'Mineral Sands - Prices'!G13,'Commodity Prices'!$B$9:$B$2500,1)+
SUMIFS('Commodity Prices'!$S$9:$S$2500,'Commodity Prices'!$A$9:$A$2500,'Mineral Sands - Prices'!G13,'Commodity Prices'!$B$9:$B$2500,2))
/(COUNTIFS('Commodity Prices'!$A$9:$A$2500,'Mineral Sands - Prices'!F13,'Commodity Prices'!$B$9:$B$2500,3)+
COUNTIFS('Commodity Prices'!$A$9:$A$2500,'Mineral Sands - Prices'!F13,'Commodity Prices'!$B$9:$B$2500,4)+
COUNTIFS('Commodity Prices'!$A$9:$A$2500,'Mineral Sands - Prices'!G13,'Commodity Prices'!$B$9:$B$2500,1)+
COUNTIFS('Commodity Prices'!$A$9:$A$2500,'Mineral Sands - Prices'!G13,'Commodity Prices'!$B$9:$B$2500,2))</f>
        <v>510.25</v>
      </c>
      <c r="N13" s="535">
        <f>(SUMIFS('Commodity Prices'!$T$9:$T$2500,'Commodity Prices'!$A$9:$A$2500,'Mineral Sands - Prices'!F13,'Commodity Prices'!$B$9:$B$2500,3)+
SUMIFS('Commodity Prices'!$T$9:$T$2500,'Commodity Prices'!$A$9:$A$2500,'Mineral Sands - Prices'!F13,'Commodity Prices'!$B$9:$B$2500,4)+
SUMIFS('Commodity Prices'!$T$9:$T$2500,'Commodity Prices'!$A$9:$A$2500,'Mineral Sands - Prices'!G13,'Commodity Prices'!$B$9:$B$2500,1)+
SUMIFS('Commodity Prices'!$T$9:$T$2500,'Commodity Prices'!$A$9:$A$2500,'Mineral Sands - Prices'!G13,'Commodity Prices'!$B$9:$B$2500,2))
/(COUNTIFS('Commodity Prices'!$A$9:$A$2500,'Mineral Sands - Prices'!F13,'Commodity Prices'!$B$9:$B$2500,3)+
COUNTIFS('Commodity Prices'!$A$9:$A$2500,'Mineral Sands - Prices'!F13,'Commodity Prices'!$B$9:$B$2500,4)+
COUNTIFS('Commodity Prices'!$A$9:$A$2500,'Mineral Sands - Prices'!G13,'Commodity Prices'!$B$9:$B$2500,1)+
COUNTIFS('Commodity Prices'!$A$9:$A$2500,'Mineral Sands - Prices'!G13,'Commodity Prices'!$B$9:$B$2500,2))</f>
        <v>2393.4499976221373</v>
      </c>
    </row>
    <row r="14" spans="1:27">
      <c r="A14" s="611">
        <f>LARGE('Commodity Prices'!C$159:C$902,55)</f>
        <v>42705</v>
      </c>
      <c r="B14" s="880">
        <f>SUMIF('Commodity Prices'!C$159:C$902,A14,'Commodity Prices'!R$159:R$902)</f>
        <v>1197.9728260869565</v>
      </c>
      <c r="C14" s="780">
        <f>SUMIF('Commodity Prices'!C$109:C$902,A14,'Commodity Prices'!S$109:S$902)</f>
        <v>1227.4514660353304</v>
      </c>
      <c r="D14" s="724">
        <f>SUMIF('Commodity Prices'!C$109:C$902,A14,'Commodity Prices'!T$109:T$902)</f>
        <v>3046.0021342332784</v>
      </c>
      <c r="E14" s="128"/>
      <c r="F14" s="128">
        <f t="shared" si="1"/>
        <v>1991</v>
      </c>
      <c r="G14" s="128">
        <f t="shared" si="1"/>
        <v>1992</v>
      </c>
      <c r="H14" s="959" t="str">
        <f t="shared" si="0"/>
        <v>1991-92</v>
      </c>
      <c r="I14" s="957">
        <f t="array" ref="I14">IF($H$6="Historic Calendar Year",IFERROR(AVERAGE(IF($H14=YEAR('Commodity Prices'!$C$9:$C$1000),'Commodity Prices'!$R$9:$R$1000)),"NA"),IFERROR(IF(L14=0,"NA",L14),"NA"))</f>
        <v>621.5</v>
      </c>
      <c r="J14" s="1645">
        <f t="array" ref="J14">IF($H$6="Historic Calendar Year",IFERROR(AVERAGE(IF($H14=YEAR('Commodity Prices'!$C$9:$C$1000),'Commodity Prices'!$S$9:$S$1000)),"NA"),IFERROR(IF(M14=0,"NA",M14),"NA"))</f>
        <v>292</v>
      </c>
      <c r="K14" s="950">
        <f t="array" ref="K14">IF($H$6="Historic Calendar Year",IFERROR(AVERAGE(IF($H14=YEAR('Commodity Prices'!$C$9:$C$1000),'Commodity Prices'!$T$9:$T$1000)),"N/A"),IFERROR(IF(N14=0,"N/A",N14),"N/A"))</f>
        <v>2118.0479771251762</v>
      </c>
      <c r="L14" s="535">
        <f>(SUMIFS('Commodity Prices'!$R$9:$R$2500,'Commodity Prices'!$A$9:$A$2500,'Mineral Sands - Prices'!F14,'Commodity Prices'!$B$9:$B$2500,3)+
SUMIFS('Commodity Prices'!$R$9:$R$2500,'Commodity Prices'!$A$9:$A$2500,'Mineral Sands - Prices'!F14,'Commodity Prices'!$B$9:$B$2500,4)+
SUMIFS('Commodity Prices'!$R$9:$R$2500,'Commodity Prices'!$A$9:$A$2500,'Mineral Sands - Prices'!G14,'Commodity Prices'!$B$9:$B$2500,1)+
SUMIFS('Commodity Prices'!$R$9:$R$2500,'Commodity Prices'!$A$9:$A$2500,'Mineral Sands - Prices'!G14,'Commodity Prices'!$B$9:$B$2500,2))
/(COUNTIFS('Commodity Prices'!$A$9:$A$2500,'Mineral Sands - Prices'!F14,'Commodity Prices'!$B$9:$B$2500,3)+
COUNTIFS('Commodity Prices'!$A$9:$A$2500,'Mineral Sands - Prices'!F14,'Commodity Prices'!$B$9:$B$2500,4)+
COUNTIFS('Commodity Prices'!$A$9:$A$2500,'Mineral Sands - Prices'!G14,'Commodity Prices'!$B$9:$B$2500,1)+
COUNTIFS('Commodity Prices'!$A$9:$A$2500,'Mineral Sands - Prices'!G14,'Commodity Prices'!$B$9:$B$2500,2))</f>
        <v>621.5</v>
      </c>
      <c r="M14" s="333">
        <f>(SUMIFS('Commodity Prices'!$S$9:$S$2500,'Commodity Prices'!$A$9:$A$2500,'Mineral Sands - Prices'!F14,'Commodity Prices'!$B$9:$B$2500,3)+
SUMIFS('Commodity Prices'!$S$9:$S$2500,'Commodity Prices'!$A$9:$A$2500,'Mineral Sands - Prices'!F14,'Commodity Prices'!$B$9:$B$2500,4)+
SUMIFS('Commodity Prices'!$S$9:$S$2500,'Commodity Prices'!$A$9:$A$2500,'Mineral Sands - Prices'!G14,'Commodity Prices'!$B$9:$B$2500,1)+
SUMIFS('Commodity Prices'!$S$9:$S$2500,'Commodity Prices'!$A$9:$A$2500,'Mineral Sands - Prices'!G14,'Commodity Prices'!$B$9:$B$2500,2))
/(COUNTIFS('Commodity Prices'!$A$9:$A$2500,'Mineral Sands - Prices'!F14,'Commodity Prices'!$B$9:$B$2500,3)+
COUNTIFS('Commodity Prices'!$A$9:$A$2500,'Mineral Sands - Prices'!F14,'Commodity Prices'!$B$9:$B$2500,4)+
COUNTIFS('Commodity Prices'!$A$9:$A$2500,'Mineral Sands - Prices'!G14,'Commodity Prices'!$B$9:$B$2500,1)+
COUNTIFS('Commodity Prices'!$A$9:$A$2500,'Mineral Sands - Prices'!G14,'Commodity Prices'!$B$9:$B$2500,2))</f>
        <v>292</v>
      </c>
      <c r="N14" s="535">
        <f>(SUMIFS('Commodity Prices'!$T$9:$T$2500,'Commodity Prices'!$A$9:$A$2500,'Mineral Sands - Prices'!F14,'Commodity Prices'!$B$9:$B$2500,3)+
SUMIFS('Commodity Prices'!$T$9:$T$2500,'Commodity Prices'!$A$9:$A$2500,'Mineral Sands - Prices'!F14,'Commodity Prices'!$B$9:$B$2500,4)+
SUMIFS('Commodity Prices'!$T$9:$T$2500,'Commodity Prices'!$A$9:$A$2500,'Mineral Sands - Prices'!G14,'Commodity Prices'!$B$9:$B$2500,1)+
SUMIFS('Commodity Prices'!$T$9:$T$2500,'Commodity Prices'!$A$9:$A$2500,'Mineral Sands - Prices'!G14,'Commodity Prices'!$B$9:$B$2500,2))
/(COUNTIFS('Commodity Prices'!$A$9:$A$2500,'Mineral Sands - Prices'!F14,'Commodity Prices'!$B$9:$B$2500,3)+
COUNTIFS('Commodity Prices'!$A$9:$A$2500,'Mineral Sands - Prices'!F14,'Commodity Prices'!$B$9:$B$2500,4)+
COUNTIFS('Commodity Prices'!$A$9:$A$2500,'Mineral Sands - Prices'!G14,'Commodity Prices'!$B$9:$B$2500,1)+
COUNTIFS('Commodity Prices'!$A$9:$A$2500,'Mineral Sands - Prices'!G14,'Commodity Prices'!$B$9:$B$2500,2))</f>
        <v>2118.0479771251762</v>
      </c>
    </row>
    <row r="15" spans="1:27">
      <c r="A15" s="610">
        <f>LARGE('Commodity Prices'!C$159:C$902,54)</f>
        <v>42736</v>
      </c>
      <c r="B15" s="957">
        <f>SUMIF('Commodity Prices'!C$159:C$902,A15,'Commodity Prices'!R$159:R$902)</f>
        <v>1123.7136586895183</v>
      </c>
      <c r="C15" s="1645">
        <f>SUMIF('Commodity Prices'!C$109:C$902,A15,'Commodity Prices'!S$109:S$902)</f>
        <v>1235.5819881053526</v>
      </c>
      <c r="D15" s="950">
        <f>SUMIF('Commodity Prices'!C$109:C$902,A15,'Commodity Prices'!T$109:T$902)</f>
        <v>2929.625272268594</v>
      </c>
      <c r="E15" s="128"/>
      <c r="F15" s="128">
        <f t="shared" si="1"/>
        <v>1992</v>
      </c>
      <c r="G15" s="128">
        <f t="shared" si="1"/>
        <v>1993</v>
      </c>
      <c r="H15" s="960" t="str">
        <f t="shared" si="0"/>
        <v>1992-93</v>
      </c>
      <c r="I15" s="880">
        <f t="array" ref="I15">IF($H$6="Historic Calendar Year",IFERROR(AVERAGE(IF($H15=YEAR('Commodity Prices'!$C$9:$C$1000),'Commodity Prices'!$R$9:$R$1000)),"NA"),IFERROR(IF(L15=0,"NA",L15),"NA"))</f>
        <v>539</v>
      </c>
      <c r="J15" s="780">
        <f t="array" ref="J15">IF($H$6="Historic Calendar Year",IFERROR(AVERAGE(IF($H15=YEAR('Commodity Prices'!$C$9:$C$1000),'Commodity Prices'!$S$9:$S$1000)),"NA"),IFERROR(IF(M15=0,"NA",M15),"NA"))</f>
        <v>181.75</v>
      </c>
      <c r="K15" s="724">
        <f t="array" ref="K15">IF($H$6="Historic Calendar Year",IFERROR(AVERAGE(IF($H15=YEAR('Commodity Prices'!$C$9:$C$1000),'Commodity Prices'!$T$9:$T$1000)),"N/A"),IFERROR(IF(N15=0,"N/A",N15),"N/A"))</f>
        <v>2242.1244266201338</v>
      </c>
      <c r="L15" s="535">
        <f>(SUMIFS('Commodity Prices'!$R$9:$R$2500,'Commodity Prices'!$A$9:$A$2500,'Mineral Sands - Prices'!F15,'Commodity Prices'!$B$9:$B$2500,3)+
SUMIFS('Commodity Prices'!$R$9:$R$2500,'Commodity Prices'!$A$9:$A$2500,'Mineral Sands - Prices'!F15,'Commodity Prices'!$B$9:$B$2500,4)+
SUMIFS('Commodity Prices'!$R$9:$R$2500,'Commodity Prices'!$A$9:$A$2500,'Mineral Sands - Prices'!G15,'Commodity Prices'!$B$9:$B$2500,1)+
SUMIFS('Commodity Prices'!$R$9:$R$2500,'Commodity Prices'!$A$9:$A$2500,'Mineral Sands - Prices'!G15,'Commodity Prices'!$B$9:$B$2500,2))
/(COUNTIFS('Commodity Prices'!$A$9:$A$2500,'Mineral Sands - Prices'!F15,'Commodity Prices'!$B$9:$B$2500,3)+
COUNTIFS('Commodity Prices'!$A$9:$A$2500,'Mineral Sands - Prices'!F15,'Commodity Prices'!$B$9:$B$2500,4)+
COUNTIFS('Commodity Prices'!$A$9:$A$2500,'Mineral Sands - Prices'!G15,'Commodity Prices'!$B$9:$B$2500,1)+
COUNTIFS('Commodity Prices'!$A$9:$A$2500,'Mineral Sands - Prices'!G15,'Commodity Prices'!$B$9:$B$2500,2))</f>
        <v>539</v>
      </c>
      <c r="M15" s="333">
        <f>(SUMIFS('Commodity Prices'!$S$9:$S$2500,'Commodity Prices'!$A$9:$A$2500,'Mineral Sands - Prices'!F15,'Commodity Prices'!$B$9:$B$2500,3)+
SUMIFS('Commodity Prices'!$S$9:$S$2500,'Commodity Prices'!$A$9:$A$2500,'Mineral Sands - Prices'!F15,'Commodity Prices'!$B$9:$B$2500,4)+
SUMIFS('Commodity Prices'!$S$9:$S$2500,'Commodity Prices'!$A$9:$A$2500,'Mineral Sands - Prices'!G15,'Commodity Prices'!$B$9:$B$2500,1)+
SUMIFS('Commodity Prices'!$S$9:$S$2500,'Commodity Prices'!$A$9:$A$2500,'Mineral Sands - Prices'!G15,'Commodity Prices'!$B$9:$B$2500,2))
/(COUNTIFS('Commodity Prices'!$A$9:$A$2500,'Mineral Sands - Prices'!F15,'Commodity Prices'!$B$9:$B$2500,3)+
COUNTIFS('Commodity Prices'!$A$9:$A$2500,'Mineral Sands - Prices'!F15,'Commodity Prices'!$B$9:$B$2500,4)+
COUNTIFS('Commodity Prices'!$A$9:$A$2500,'Mineral Sands - Prices'!G15,'Commodity Prices'!$B$9:$B$2500,1)+
COUNTIFS('Commodity Prices'!$A$9:$A$2500,'Mineral Sands - Prices'!G15,'Commodity Prices'!$B$9:$B$2500,2))</f>
        <v>181.75</v>
      </c>
      <c r="N15" s="535">
        <f>(SUMIFS('Commodity Prices'!$T$9:$T$2500,'Commodity Prices'!$A$9:$A$2500,'Mineral Sands - Prices'!F15,'Commodity Prices'!$B$9:$B$2500,3)+
SUMIFS('Commodity Prices'!$T$9:$T$2500,'Commodity Prices'!$A$9:$A$2500,'Mineral Sands - Prices'!F15,'Commodity Prices'!$B$9:$B$2500,4)+
SUMIFS('Commodity Prices'!$T$9:$T$2500,'Commodity Prices'!$A$9:$A$2500,'Mineral Sands - Prices'!G15,'Commodity Prices'!$B$9:$B$2500,1)+
SUMIFS('Commodity Prices'!$T$9:$T$2500,'Commodity Prices'!$A$9:$A$2500,'Mineral Sands - Prices'!G15,'Commodity Prices'!$B$9:$B$2500,2))
/(COUNTIFS('Commodity Prices'!$A$9:$A$2500,'Mineral Sands - Prices'!F15,'Commodity Prices'!$B$9:$B$2500,3)+
COUNTIFS('Commodity Prices'!$A$9:$A$2500,'Mineral Sands - Prices'!F15,'Commodity Prices'!$B$9:$B$2500,4)+
COUNTIFS('Commodity Prices'!$A$9:$A$2500,'Mineral Sands - Prices'!G15,'Commodity Prices'!$B$9:$B$2500,1)+
COUNTIFS('Commodity Prices'!$A$9:$A$2500,'Mineral Sands - Prices'!G15,'Commodity Prices'!$B$9:$B$2500,2))</f>
        <v>2242.1244266201338</v>
      </c>
    </row>
    <row r="16" spans="1:27">
      <c r="A16" s="611">
        <f>LARGE('Commodity Prices'!C$159:C$902,53)</f>
        <v>42767</v>
      </c>
      <c r="B16" s="880">
        <f>SUMIF('Commodity Prices'!C$159:C$902,A16,'Commodity Prices'!R$159:R$902)</f>
        <v>1082.0640740740741</v>
      </c>
      <c r="C16" s="780">
        <f>SUMIF('Commodity Prices'!C$109:C$902,A16,'Commodity Prices'!S$109:S$902)</f>
        <v>1121.9014401440145</v>
      </c>
      <c r="D16" s="724">
        <f>SUMIF('Commodity Prices'!C$109:C$902,A16,'Commodity Prices'!T$109:T$902)</f>
        <v>3001.1198010127423</v>
      </c>
      <c r="E16" s="128"/>
      <c r="F16" s="128">
        <f t="shared" si="1"/>
        <v>1993</v>
      </c>
      <c r="G16" s="128">
        <f t="shared" si="1"/>
        <v>1994</v>
      </c>
      <c r="H16" s="959" t="str">
        <f t="shared" si="0"/>
        <v>1993-94</v>
      </c>
      <c r="I16" s="957">
        <f t="array" ref="I16">IF($H$6="Historic Calendar Year",IFERROR(AVERAGE(IF($H16=YEAR('Commodity Prices'!$C$9:$C$1000),'Commodity Prices'!$R$9:$R$1000)),"NA"),IFERROR(IF(L16=0,"NA",L16),"NA"))</f>
        <v>485.25</v>
      </c>
      <c r="J16" s="1645">
        <f t="array" ref="J16">IF($H$6="Historic Calendar Year",IFERROR(AVERAGE(IF($H16=YEAR('Commodity Prices'!$C$9:$C$1000),'Commodity Prices'!$S$9:$S$1000)),"NA"),IFERROR(IF(M16=0,"NA",M16),"NA"))</f>
        <v>192.25</v>
      </c>
      <c r="K16" s="950">
        <f t="array" ref="K16">IF($H$6="Historic Calendar Year",IFERROR(AVERAGE(IF($H16=YEAR('Commodity Prices'!$C$9:$C$1000),'Commodity Prices'!$T$9:$T$1000)),"N/A"),IFERROR(IF(N16=0,"N/A",N16),"N/A"))</f>
        <v>2397.0213150117547</v>
      </c>
      <c r="L16" s="535">
        <f>(SUMIFS('Commodity Prices'!$R$9:$R$2500,'Commodity Prices'!$A$9:$A$2500,'Mineral Sands - Prices'!F16,'Commodity Prices'!$B$9:$B$2500,3)+
SUMIFS('Commodity Prices'!$R$9:$R$2500,'Commodity Prices'!$A$9:$A$2500,'Mineral Sands - Prices'!F16,'Commodity Prices'!$B$9:$B$2500,4)+
SUMIFS('Commodity Prices'!$R$9:$R$2500,'Commodity Prices'!$A$9:$A$2500,'Mineral Sands - Prices'!G16,'Commodity Prices'!$B$9:$B$2500,1)+
SUMIFS('Commodity Prices'!$R$9:$R$2500,'Commodity Prices'!$A$9:$A$2500,'Mineral Sands - Prices'!G16,'Commodity Prices'!$B$9:$B$2500,2))
/(COUNTIFS('Commodity Prices'!$A$9:$A$2500,'Mineral Sands - Prices'!F16,'Commodity Prices'!$B$9:$B$2500,3)+
COUNTIFS('Commodity Prices'!$A$9:$A$2500,'Mineral Sands - Prices'!F16,'Commodity Prices'!$B$9:$B$2500,4)+
COUNTIFS('Commodity Prices'!$A$9:$A$2500,'Mineral Sands - Prices'!G16,'Commodity Prices'!$B$9:$B$2500,1)+
COUNTIFS('Commodity Prices'!$A$9:$A$2500,'Mineral Sands - Prices'!G16,'Commodity Prices'!$B$9:$B$2500,2))</f>
        <v>485.25</v>
      </c>
      <c r="M16" s="333">
        <f>(SUMIFS('Commodity Prices'!$S$9:$S$2500,'Commodity Prices'!$A$9:$A$2500,'Mineral Sands - Prices'!F16,'Commodity Prices'!$B$9:$B$2500,3)+
SUMIFS('Commodity Prices'!$S$9:$S$2500,'Commodity Prices'!$A$9:$A$2500,'Mineral Sands - Prices'!F16,'Commodity Prices'!$B$9:$B$2500,4)+
SUMIFS('Commodity Prices'!$S$9:$S$2500,'Commodity Prices'!$A$9:$A$2500,'Mineral Sands - Prices'!G16,'Commodity Prices'!$B$9:$B$2500,1)+
SUMIFS('Commodity Prices'!$S$9:$S$2500,'Commodity Prices'!$A$9:$A$2500,'Mineral Sands - Prices'!G16,'Commodity Prices'!$B$9:$B$2500,2))
/(COUNTIFS('Commodity Prices'!$A$9:$A$2500,'Mineral Sands - Prices'!F16,'Commodity Prices'!$B$9:$B$2500,3)+
COUNTIFS('Commodity Prices'!$A$9:$A$2500,'Mineral Sands - Prices'!F16,'Commodity Prices'!$B$9:$B$2500,4)+
COUNTIFS('Commodity Prices'!$A$9:$A$2500,'Mineral Sands - Prices'!G16,'Commodity Prices'!$B$9:$B$2500,1)+
COUNTIFS('Commodity Prices'!$A$9:$A$2500,'Mineral Sands - Prices'!G16,'Commodity Prices'!$B$9:$B$2500,2))</f>
        <v>192.25</v>
      </c>
      <c r="N16" s="535">
        <f>(SUMIFS('Commodity Prices'!$T$9:$T$2500,'Commodity Prices'!$A$9:$A$2500,'Mineral Sands - Prices'!F16,'Commodity Prices'!$B$9:$B$2500,3)+
SUMIFS('Commodity Prices'!$T$9:$T$2500,'Commodity Prices'!$A$9:$A$2500,'Mineral Sands - Prices'!F16,'Commodity Prices'!$B$9:$B$2500,4)+
SUMIFS('Commodity Prices'!$T$9:$T$2500,'Commodity Prices'!$A$9:$A$2500,'Mineral Sands - Prices'!G16,'Commodity Prices'!$B$9:$B$2500,1)+
SUMIFS('Commodity Prices'!$T$9:$T$2500,'Commodity Prices'!$A$9:$A$2500,'Mineral Sands - Prices'!G16,'Commodity Prices'!$B$9:$B$2500,2))
/(COUNTIFS('Commodity Prices'!$A$9:$A$2500,'Mineral Sands - Prices'!F16,'Commodity Prices'!$B$9:$B$2500,3)+
COUNTIFS('Commodity Prices'!$A$9:$A$2500,'Mineral Sands - Prices'!F16,'Commodity Prices'!$B$9:$B$2500,4)+
COUNTIFS('Commodity Prices'!$A$9:$A$2500,'Mineral Sands - Prices'!G16,'Commodity Prices'!$B$9:$B$2500,1)+
COUNTIFS('Commodity Prices'!$A$9:$A$2500,'Mineral Sands - Prices'!G16,'Commodity Prices'!$B$9:$B$2500,2))</f>
        <v>2397.0213150117547</v>
      </c>
    </row>
    <row r="17" spans="1:14">
      <c r="A17" s="610">
        <f>LARGE('Commodity Prices'!C$159:C$902,52)</f>
        <v>42795</v>
      </c>
      <c r="B17" s="957">
        <f>SUMIF('Commodity Prices'!C$159:C$902,A17,'Commodity Prices'!R$159:R$902)</f>
        <v>1142.3251568739304</v>
      </c>
      <c r="C17" s="1645">
        <f>SUMIF('Commodity Prices'!C$109:C$902,A17,'Commodity Prices'!S$109:S$902)</f>
        <v>1195.6817040699887</v>
      </c>
      <c r="D17" s="950">
        <f>SUMIF('Commodity Prices'!C$109:C$902,A17,'Commodity Prices'!T$109:T$902)</f>
        <v>2991.2053741348891</v>
      </c>
      <c r="E17" s="128"/>
      <c r="F17" s="128">
        <f t="shared" si="1"/>
        <v>1994</v>
      </c>
      <c r="G17" s="128">
        <f t="shared" si="1"/>
        <v>1995</v>
      </c>
      <c r="H17" s="960" t="str">
        <f t="shared" si="0"/>
        <v>1994-95</v>
      </c>
      <c r="I17" s="880">
        <f t="array" ref="I17">IF($H$6="Historic Calendar Year",IFERROR(AVERAGE(IF($H17=YEAR('Commodity Prices'!$C$9:$C$1000),'Commodity Prices'!$R$9:$R$1000)),"NA"),IFERROR(IF(L17=0,"NA",L17),"NA"))</f>
        <v>510.75</v>
      </c>
      <c r="J17" s="780">
        <f t="array" ref="J17">IF($H$6="Historic Calendar Year",IFERROR(AVERAGE(IF($H17=YEAR('Commodity Prices'!$C$9:$C$1000),'Commodity Prices'!$S$9:$S$1000)),"NA"),IFERROR(IF(M17=0,"NA",M17),"NA"))</f>
        <v>277.5</v>
      </c>
      <c r="K17" s="724">
        <f t="array" ref="K17">IF($H$6="Historic Calendar Year",IFERROR(AVERAGE(IF($H17=YEAR('Commodity Prices'!$C$9:$C$1000),'Commodity Prices'!$T$9:$T$1000)),"N/A"),IFERROR(IF(N17=0,"N/A",N17),"N/A"))</f>
        <v>2661</v>
      </c>
      <c r="L17" s="535">
        <f>(SUMIFS('Commodity Prices'!$R$9:$R$2500,'Commodity Prices'!$A$9:$A$2500,'Mineral Sands - Prices'!F17,'Commodity Prices'!$B$9:$B$2500,3)+
SUMIFS('Commodity Prices'!$R$9:$R$2500,'Commodity Prices'!$A$9:$A$2500,'Mineral Sands - Prices'!F17,'Commodity Prices'!$B$9:$B$2500,4)+
SUMIFS('Commodity Prices'!$R$9:$R$2500,'Commodity Prices'!$A$9:$A$2500,'Mineral Sands - Prices'!G17,'Commodity Prices'!$B$9:$B$2500,1)+
SUMIFS('Commodity Prices'!$R$9:$R$2500,'Commodity Prices'!$A$9:$A$2500,'Mineral Sands - Prices'!G17,'Commodity Prices'!$B$9:$B$2500,2))
/(COUNTIFS('Commodity Prices'!$A$9:$A$2500,'Mineral Sands - Prices'!F17,'Commodity Prices'!$B$9:$B$2500,3)+
COUNTIFS('Commodity Prices'!$A$9:$A$2500,'Mineral Sands - Prices'!F17,'Commodity Prices'!$B$9:$B$2500,4)+
COUNTIFS('Commodity Prices'!$A$9:$A$2500,'Mineral Sands - Prices'!G17,'Commodity Prices'!$B$9:$B$2500,1)+
COUNTIFS('Commodity Prices'!$A$9:$A$2500,'Mineral Sands - Prices'!G17,'Commodity Prices'!$B$9:$B$2500,2))</f>
        <v>510.75</v>
      </c>
      <c r="M17" s="333">
        <f>(SUMIFS('Commodity Prices'!$S$9:$S$2500,'Commodity Prices'!$A$9:$A$2500,'Mineral Sands - Prices'!F17,'Commodity Prices'!$B$9:$B$2500,3)+
SUMIFS('Commodity Prices'!$S$9:$S$2500,'Commodity Prices'!$A$9:$A$2500,'Mineral Sands - Prices'!F17,'Commodity Prices'!$B$9:$B$2500,4)+
SUMIFS('Commodity Prices'!$S$9:$S$2500,'Commodity Prices'!$A$9:$A$2500,'Mineral Sands - Prices'!G17,'Commodity Prices'!$B$9:$B$2500,1)+
SUMIFS('Commodity Prices'!$S$9:$S$2500,'Commodity Prices'!$A$9:$A$2500,'Mineral Sands - Prices'!G17,'Commodity Prices'!$B$9:$B$2500,2))
/(COUNTIFS('Commodity Prices'!$A$9:$A$2500,'Mineral Sands - Prices'!F17,'Commodity Prices'!$B$9:$B$2500,3)+
COUNTIFS('Commodity Prices'!$A$9:$A$2500,'Mineral Sands - Prices'!F17,'Commodity Prices'!$B$9:$B$2500,4)+
COUNTIFS('Commodity Prices'!$A$9:$A$2500,'Mineral Sands - Prices'!G17,'Commodity Prices'!$B$9:$B$2500,1)+
COUNTIFS('Commodity Prices'!$A$9:$A$2500,'Mineral Sands - Prices'!G17,'Commodity Prices'!$B$9:$B$2500,2))</f>
        <v>277.5</v>
      </c>
      <c r="N17" s="535">
        <f>(SUMIFS('Commodity Prices'!$T$9:$T$2500,'Commodity Prices'!$A$9:$A$2500,'Mineral Sands - Prices'!F17,'Commodity Prices'!$B$9:$B$2500,3)+
SUMIFS('Commodity Prices'!$T$9:$T$2500,'Commodity Prices'!$A$9:$A$2500,'Mineral Sands - Prices'!F17,'Commodity Prices'!$B$9:$B$2500,4)+
SUMIFS('Commodity Prices'!$T$9:$T$2500,'Commodity Prices'!$A$9:$A$2500,'Mineral Sands - Prices'!G17,'Commodity Prices'!$B$9:$B$2500,1)+
SUMIFS('Commodity Prices'!$T$9:$T$2500,'Commodity Prices'!$A$9:$A$2500,'Mineral Sands - Prices'!G17,'Commodity Prices'!$B$9:$B$2500,2))
/(COUNTIFS('Commodity Prices'!$A$9:$A$2500,'Mineral Sands - Prices'!F17,'Commodity Prices'!$B$9:$B$2500,3)+
COUNTIFS('Commodity Prices'!$A$9:$A$2500,'Mineral Sands - Prices'!F17,'Commodity Prices'!$B$9:$B$2500,4)+
COUNTIFS('Commodity Prices'!$A$9:$A$2500,'Mineral Sands - Prices'!G17,'Commodity Prices'!$B$9:$B$2500,1)+
COUNTIFS('Commodity Prices'!$A$9:$A$2500,'Mineral Sands - Prices'!G17,'Commodity Prices'!$B$9:$B$2500,2))</f>
        <v>2661</v>
      </c>
    </row>
    <row r="18" spans="1:14">
      <c r="A18" s="611">
        <f>LARGE('Commodity Prices'!C$159:C$902,51)</f>
        <v>42826</v>
      </c>
      <c r="B18" s="880">
        <f>SUMIF('Commodity Prices'!C$159:C$902,A18,'Commodity Prices'!R$159:R$902)</f>
        <v>1182.8298176617805</v>
      </c>
      <c r="C18" s="780">
        <f>SUMIF('Commodity Prices'!C$109:C$902,A18,'Commodity Prices'!S$109:S$902)</f>
        <v>1295.7932028792093</v>
      </c>
      <c r="D18" s="724">
        <f>SUMIF('Commodity Prices'!C$109:C$902,A18,'Commodity Prices'!T$109:T$902)</f>
        <v>3164.2275457867495</v>
      </c>
      <c r="E18" s="128"/>
      <c r="F18" s="128">
        <f t="shared" si="1"/>
        <v>1995</v>
      </c>
      <c r="G18" s="128">
        <f t="shared" si="1"/>
        <v>1996</v>
      </c>
      <c r="H18" s="959" t="str">
        <f t="shared" si="0"/>
        <v>1995-96</v>
      </c>
      <c r="I18" s="957">
        <f t="array" ref="I18">IF($H$6="Historic Calendar Year",IFERROR(AVERAGE(IF($H18=YEAR('Commodity Prices'!$C$9:$C$1000),'Commodity Prices'!$R$9:$R$1000)),"NA"),IFERROR(IF(L18=0,"NA",L18),"NA"))</f>
        <v>634.5</v>
      </c>
      <c r="J18" s="1645">
        <f t="array" ref="J18">IF($H$6="Historic Calendar Year",IFERROR(AVERAGE(IF($H18=YEAR('Commodity Prices'!$C$9:$C$1000),'Commodity Prices'!$S$9:$S$1000)),"NA"),IFERROR(IF(M18=0,"NA",M18),"NA"))</f>
        <v>477.75</v>
      </c>
      <c r="K18" s="950">
        <f t="array" ref="K18">IF($H$6="Historic Calendar Year",IFERROR(AVERAGE(IF($H18=YEAR('Commodity Prices'!$C$9:$C$1000),'Commodity Prices'!$T$9:$T$1000)),"N/A"),IFERROR(IF(N18=0,"N/A",N18),"N/A"))</f>
        <v>2573.25</v>
      </c>
      <c r="L18" s="535">
        <f>(SUMIFS('Commodity Prices'!$R$9:$R$2500,'Commodity Prices'!$A$9:$A$2500,'Mineral Sands - Prices'!F18,'Commodity Prices'!$B$9:$B$2500,3)+
SUMIFS('Commodity Prices'!$R$9:$R$2500,'Commodity Prices'!$A$9:$A$2500,'Mineral Sands - Prices'!F18,'Commodity Prices'!$B$9:$B$2500,4)+
SUMIFS('Commodity Prices'!$R$9:$R$2500,'Commodity Prices'!$A$9:$A$2500,'Mineral Sands - Prices'!G18,'Commodity Prices'!$B$9:$B$2500,1)+
SUMIFS('Commodity Prices'!$R$9:$R$2500,'Commodity Prices'!$A$9:$A$2500,'Mineral Sands - Prices'!G18,'Commodity Prices'!$B$9:$B$2500,2))
/(COUNTIFS('Commodity Prices'!$A$9:$A$2500,'Mineral Sands - Prices'!F18,'Commodity Prices'!$B$9:$B$2500,3)+
COUNTIFS('Commodity Prices'!$A$9:$A$2500,'Mineral Sands - Prices'!F18,'Commodity Prices'!$B$9:$B$2500,4)+
COUNTIFS('Commodity Prices'!$A$9:$A$2500,'Mineral Sands - Prices'!G18,'Commodity Prices'!$B$9:$B$2500,1)+
COUNTIFS('Commodity Prices'!$A$9:$A$2500,'Mineral Sands - Prices'!G18,'Commodity Prices'!$B$9:$B$2500,2))</f>
        <v>634.5</v>
      </c>
      <c r="M18" s="333">
        <f>(SUMIFS('Commodity Prices'!$S$9:$S$2500,'Commodity Prices'!$A$9:$A$2500,'Mineral Sands - Prices'!F18,'Commodity Prices'!$B$9:$B$2500,3)+
SUMIFS('Commodity Prices'!$S$9:$S$2500,'Commodity Prices'!$A$9:$A$2500,'Mineral Sands - Prices'!F18,'Commodity Prices'!$B$9:$B$2500,4)+
SUMIFS('Commodity Prices'!$S$9:$S$2500,'Commodity Prices'!$A$9:$A$2500,'Mineral Sands - Prices'!G18,'Commodity Prices'!$B$9:$B$2500,1)+
SUMIFS('Commodity Prices'!$S$9:$S$2500,'Commodity Prices'!$A$9:$A$2500,'Mineral Sands - Prices'!G18,'Commodity Prices'!$B$9:$B$2500,2))
/(COUNTIFS('Commodity Prices'!$A$9:$A$2500,'Mineral Sands - Prices'!F18,'Commodity Prices'!$B$9:$B$2500,3)+
COUNTIFS('Commodity Prices'!$A$9:$A$2500,'Mineral Sands - Prices'!F18,'Commodity Prices'!$B$9:$B$2500,4)+
COUNTIFS('Commodity Prices'!$A$9:$A$2500,'Mineral Sands - Prices'!G18,'Commodity Prices'!$B$9:$B$2500,1)+
COUNTIFS('Commodity Prices'!$A$9:$A$2500,'Mineral Sands - Prices'!G18,'Commodity Prices'!$B$9:$B$2500,2))</f>
        <v>477.75</v>
      </c>
      <c r="N18" s="535">
        <f>(SUMIFS('Commodity Prices'!$T$9:$T$2500,'Commodity Prices'!$A$9:$A$2500,'Mineral Sands - Prices'!F18,'Commodity Prices'!$B$9:$B$2500,3)+
SUMIFS('Commodity Prices'!$T$9:$T$2500,'Commodity Prices'!$A$9:$A$2500,'Mineral Sands - Prices'!F18,'Commodity Prices'!$B$9:$B$2500,4)+
SUMIFS('Commodity Prices'!$T$9:$T$2500,'Commodity Prices'!$A$9:$A$2500,'Mineral Sands - Prices'!G18,'Commodity Prices'!$B$9:$B$2500,1)+
SUMIFS('Commodity Prices'!$T$9:$T$2500,'Commodity Prices'!$A$9:$A$2500,'Mineral Sands - Prices'!G18,'Commodity Prices'!$B$9:$B$2500,2))
/(COUNTIFS('Commodity Prices'!$A$9:$A$2500,'Mineral Sands - Prices'!F18,'Commodity Prices'!$B$9:$B$2500,3)+
COUNTIFS('Commodity Prices'!$A$9:$A$2500,'Mineral Sands - Prices'!F18,'Commodity Prices'!$B$9:$B$2500,4)+
COUNTIFS('Commodity Prices'!$A$9:$A$2500,'Mineral Sands - Prices'!G18,'Commodity Prices'!$B$9:$B$2500,1)+
COUNTIFS('Commodity Prices'!$A$9:$A$2500,'Mineral Sands - Prices'!G18,'Commodity Prices'!$B$9:$B$2500,2))</f>
        <v>2573.25</v>
      </c>
    </row>
    <row r="19" spans="1:14">
      <c r="A19" s="610">
        <f>LARGE('Commodity Prices'!C$159:C$902,50)</f>
        <v>42856</v>
      </c>
      <c r="B19" s="957">
        <f>SUMIF('Commodity Prices'!C$159:C$902,A19,'Commodity Prices'!R$159:R$902)</f>
        <v>1208.9384993849937</v>
      </c>
      <c r="C19" s="1645">
        <f>SUMIF('Commodity Prices'!C$109:C$902,A19,'Commodity Prices'!S$109:S$902)</f>
        <v>1268.9786068353769</v>
      </c>
      <c r="D19" s="950">
        <f>SUMIF('Commodity Prices'!C$109:C$902,A19,'Commodity Prices'!T$109:T$902)</f>
        <v>3370.8339925781129</v>
      </c>
      <c r="E19" s="128"/>
      <c r="F19" s="128">
        <f>F18+1</f>
        <v>1996</v>
      </c>
      <c r="G19" s="128">
        <f>G18+1</f>
        <v>1997</v>
      </c>
      <c r="H19" s="960" t="str">
        <f t="shared" si="0"/>
        <v>1996-97</v>
      </c>
      <c r="I19" s="880">
        <f t="array" ref="I19">IF($H$6="Historic Calendar Year",IFERROR(AVERAGE(IF($H19=YEAR('Commodity Prices'!$C$9:$C$1000),'Commodity Prices'!$R$9:$R$1000)),"NA"),IFERROR(IF(L19=0,"NA",L19),"NA"))</f>
        <v>688</v>
      </c>
      <c r="J19" s="780">
        <f t="array" ref="J19">IF($H$6="Historic Calendar Year",IFERROR(AVERAGE(IF($H19=YEAR('Commodity Prices'!$C$9:$C$1000),'Commodity Prices'!$S$9:$S$1000)),"NA"),IFERROR(IF(M19=0,"NA",M19),"NA"))</f>
        <v>581.5</v>
      </c>
      <c r="K19" s="724">
        <f t="array" ref="K19">IF($H$6="Historic Calendar Year",IFERROR(AVERAGE(IF($H19=YEAR('Commodity Prices'!$C$9:$C$1000),'Commodity Prices'!$T$9:$T$1000)),"N/A"),IFERROR(IF(N19=0,"N/A",N19),"N/A"))</f>
        <v>1971.25</v>
      </c>
      <c r="L19" s="535">
        <f>(SUMIFS('Commodity Prices'!$R$9:$R$2500,'Commodity Prices'!$A$9:$A$2500,'Mineral Sands - Prices'!F19,'Commodity Prices'!$B$9:$B$2500,3)+
SUMIFS('Commodity Prices'!$R$9:$R$2500,'Commodity Prices'!$A$9:$A$2500,'Mineral Sands - Prices'!F19,'Commodity Prices'!$B$9:$B$2500,4)+
SUMIFS('Commodity Prices'!$R$9:$R$2500,'Commodity Prices'!$A$9:$A$2500,'Mineral Sands - Prices'!G19,'Commodity Prices'!$B$9:$B$2500,1)+
SUMIFS('Commodity Prices'!$R$9:$R$2500,'Commodity Prices'!$A$9:$A$2500,'Mineral Sands - Prices'!G19,'Commodity Prices'!$B$9:$B$2500,2))
/(COUNTIFS('Commodity Prices'!$A$9:$A$2500,'Mineral Sands - Prices'!F19,'Commodity Prices'!$B$9:$B$2500,3)+
COUNTIFS('Commodity Prices'!$A$9:$A$2500,'Mineral Sands - Prices'!F19,'Commodity Prices'!$B$9:$B$2500,4)+
COUNTIFS('Commodity Prices'!$A$9:$A$2500,'Mineral Sands - Prices'!G19,'Commodity Prices'!$B$9:$B$2500,1)+
COUNTIFS('Commodity Prices'!$A$9:$A$2500,'Mineral Sands - Prices'!G19,'Commodity Prices'!$B$9:$B$2500,2))</f>
        <v>688</v>
      </c>
      <c r="M19" s="333">
        <f>(SUMIFS('Commodity Prices'!$S$9:$S$2500,'Commodity Prices'!$A$9:$A$2500,'Mineral Sands - Prices'!F19,'Commodity Prices'!$B$9:$B$2500,3)+
SUMIFS('Commodity Prices'!$S$9:$S$2500,'Commodity Prices'!$A$9:$A$2500,'Mineral Sands - Prices'!F19,'Commodity Prices'!$B$9:$B$2500,4)+
SUMIFS('Commodity Prices'!$S$9:$S$2500,'Commodity Prices'!$A$9:$A$2500,'Mineral Sands - Prices'!G19,'Commodity Prices'!$B$9:$B$2500,1)+
SUMIFS('Commodity Prices'!$S$9:$S$2500,'Commodity Prices'!$A$9:$A$2500,'Mineral Sands - Prices'!G19,'Commodity Prices'!$B$9:$B$2500,2))
/(COUNTIFS('Commodity Prices'!$A$9:$A$2500,'Mineral Sands - Prices'!F19,'Commodity Prices'!$B$9:$B$2500,3)+
COUNTIFS('Commodity Prices'!$A$9:$A$2500,'Mineral Sands - Prices'!F19,'Commodity Prices'!$B$9:$B$2500,4)+
COUNTIFS('Commodity Prices'!$A$9:$A$2500,'Mineral Sands - Prices'!G19,'Commodity Prices'!$B$9:$B$2500,1)+
COUNTIFS('Commodity Prices'!$A$9:$A$2500,'Mineral Sands - Prices'!G19,'Commodity Prices'!$B$9:$B$2500,2))</f>
        <v>581.5</v>
      </c>
      <c r="N19" s="535">
        <f>(SUMIFS('Commodity Prices'!$T$9:$T$2500,'Commodity Prices'!$A$9:$A$2500,'Mineral Sands - Prices'!F19,'Commodity Prices'!$B$9:$B$2500,3)+
SUMIFS('Commodity Prices'!$T$9:$T$2500,'Commodity Prices'!$A$9:$A$2500,'Mineral Sands - Prices'!F19,'Commodity Prices'!$B$9:$B$2500,4)+
SUMIFS('Commodity Prices'!$T$9:$T$2500,'Commodity Prices'!$A$9:$A$2500,'Mineral Sands - Prices'!G19,'Commodity Prices'!$B$9:$B$2500,1)+
SUMIFS('Commodity Prices'!$T$9:$T$2500,'Commodity Prices'!$A$9:$A$2500,'Mineral Sands - Prices'!G19,'Commodity Prices'!$B$9:$B$2500,2))
/(COUNTIFS('Commodity Prices'!$A$9:$A$2500,'Mineral Sands - Prices'!F19,'Commodity Prices'!$B$9:$B$2500,3)+
COUNTIFS('Commodity Prices'!$A$9:$A$2500,'Mineral Sands - Prices'!F19,'Commodity Prices'!$B$9:$B$2500,4)+
COUNTIFS('Commodity Prices'!$A$9:$A$2500,'Mineral Sands - Prices'!G19,'Commodity Prices'!$B$9:$B$2500,1)+
COUNTIFS('Commodity Prices'!$A$9:$A$2500,'Mineral Sands - Prices'!G19,'Commodity Prices'!$B$9:$B$2500,2))</f>
        <v>1971.25</v>
      </c>
    </row>
    <row r="20" spans="1:14">
      <c r="A20" s="611">
        <f>LARGE('Commodity Prices'!C$159:C$902,49)</f>
        <v>42887</v>
      </c>
      <c r="B20" s="880">
        <f>SUMIF('Commodity Prices'!C$159:C$902,A20,'Commodity Prices'!R$159:R$902)</f>
        <v>1184.3826378539493</v>
      </c>
      <c r="C20" s="780">
        <f>SUMIF('Commodity Prices'!C$109:C$902,A20,'Commodity Prices'!S$109:S$902)</f>
        <v>1264.2666238613106</v>
      </c>
      <c r="D20" s="724">
        <f>SUMIF('Commodity Prices'!C$109:C$902,A20,'Commodity Prices'!T$109:T$902)</f>
        <v>3323.3696326004456</v>
      </c>
      <c r="E20" s="128"/>
      <c r="F20" s="128">
        <f t="shared" si="1"/>
        <v>1997</v>
      </c>
      <c r="G20" s="128">
        <f t="shared" si="1"/>
        <v>1998</v>
      </c>
      <c r="H20" s="959" t="str">
        <f t="shared" si="0"/>
        <v>1997-98</v>
      </c>
      <c r="I20" s="957">
        <f t="array" ref="I20">IF($H$6="Historic Calendar Year",IFERROR(AVERAGE(IF($H20=YEAR('Commodity Prices'!$C$9:$C$1000),'Commodity Prices'!$R$9:$R$1000)),"NA"),IFERROR(IF(L20=0,"NA",L20),"NA"))</f>
        <v>762.6026244588744</v>
      </c>
      <c r="J20" s="1645">
        <f t="array" ref="J20">IF($H$6="Historic Calendar Year",IFERROR(AVERAGE(IF($H20=YEAR('Commodity Prices'!$C$9:$C$1000),'Commodity Prices'!$S$9:$S$1000)),"NA"),IFERROR(IF(M20=0,"NA",M20),"NA"))</f>
        <v>559.83666835261636</v>
      </c>
      <c r="K20" s="950">
        <f t="array" ref="K20">IF($H$6="Historic Calendar Year",IFERROR(AVERAGE(IF($H20=YEAR('Commodity Prices'!$C$9:$C$1000),'Commodity Prices'!$T$9:$T$1000)),"N/A"),IFERROR(IF(N20=0,"N/A",N20),"N/A"))</f>
        <v>2553.1802872474746</v>
      </c>
      <c r="L20" s="535">
        <f>(SUMIFS('Commodity Prices'!$R$9:$R$2500,'Commodity Prices'!$A$9:$A$2500,'Mineral Sands - Prices'!F20,'Commodity Prices'!$B$9:$B$2500,3)+
SUMIFS('Commodity Prices'!$R$9:$R$2500,'Commodity Prices'!$A$9:$A$2500,'Mineral Sands - Prices'!F20,'Commodity Prices'!$B$9:$B$2500,4)+
SUMIFS('Commodity Prices'!$R$9:$R$2500,'Commodity Prices'!$A$9:$A$2500,'Mineral Sands - Prices'!G20,'Commodity Prices'!$B$9:$B$2500,1)+
SUMIFS('Commodity Prices'!$R$9:$R$2500,'Commodity Prices'!$A$9:$A$2500,'Mineral Sands - Prices'!G20,'Commodity Prices'!$B$9:$B$2500,2))
/(COUNTIFS('Commodity Prices'!$A$9:$A$2500,'Mineral Sands - Prices'!F20,'Commodity Prices'!$B$9:$B$2500,3)+
COUNTIFS('Commodity Prices'!$A$9:$A$2500,'Mineral Sands - Prices'!F20,'Commodity Prices'!$B$9:$B$2500,4)+
COUNTIFS('Commodity Prices'!$A$9:$A$2500,'Mineral Sands - Prices'!G20,'Commodity Prices'!$B$9:$B$2500,1)+
COUNTIFS('Commodity Prices'!$A$9:$A$2500,'Mineral Sands - Prices'!G20,'Commodity Prices'!$B$9:$B$2500,2))</f>
        <v>762.6026244588744</v>
      </c>
      <c r="M20" s="333">
        <f>(SUMIFS('Commodity Prices'!$S$9:$S$2500,'Commodity Prices'!$A$9:$A$2500,'Mineral Sands - Prices'!F20,'Commodity Prices'!$B$9:$B$2500,3)+
SUMIFS('Commodity Prices'!$S$9:$S$2500,'Commodity Prices'!$A$9:$A$2500,'Mineral Sands - Prices'!F20,'Commodity Prices'!$B$9:$B$2500,4)+
SUMIFS('Commodity Prices'!$S$9:$S$2500,'Commodity Prices'!$A$9:$A$2500,'Mineral Sands - Prices'!G20,'Commodity Prices'!$B$9:$B$2500,1)+
SUMIFS('Commodity Prices'!$S$9:$S$2500,'Commodity Prices'!$A$9:$A$2500,'Mineral Sands - Prices'!G20,'Commodity Prices'!$B$9:$B$2500,2))
/(COUNTIFS('Commodity Prices'!$A$9:$A$2500,'Mineral Sands - Prices'!F20,'Commodity Prices'!$B$9:$B$2500,3)+
COUNTIFS('Commodity Prices'!$A$9:$A$2500,'Mineral Sands - Prices'!F20,'Commodity Prices'!$B$9:$B$2500,4)+
COUNTIFS('Commodity Prices'!$A$9:$A$2500,'Mineral Sands - Prices'!G20,'Commodity Prices'!$B$9:$B$2500,1)+
COUNTIFS('Commodity Prices'!$A$9:$A$2500,'Mineral Sands - Prices'!G20,'Commodity Prices'!$B$9:$B$2500,2))</f>
        <v>559.83666835261636</v>
      </c>
      <c r="N20" s="535">
        <f>(SUMIFS('Commodity Prices'!$T$9:$T$2500,'Commodity Prices'!$A$9:$A$2500,'Mineral Sands - Prices'!F20,'Commodity Prices'!$B$9:$B$2500,3)+
SUMIFS('Commodity Prices'!$T$9:$T$2500,'Commodity Prices'!$A$9:$A$2500,'Mineral Sands - Prices'!F20,'Commodity Prices'!$B$9:$B$2500,4)+
SUMIFS('Commodity Prices'!$T$9:$T$2500,'Commodity Prices'!$A$9:$A$2500,'Mineral Sands - Prices'!G20,'Commodity Prices'!$B$9:$B$2500,1)+
SUMIFS('Commodity Prices'!$T$9:$T$2500,'Commodity Prices'!$A$9:$A$2500,'Mineral Sands - Prices'!G20,'Commodity Prices'!$B$9:$B$2500,2))
/(COUNTIFS('Commodity Prices'!$A$9:$A$2500,'Mineral Sands - Prices'!F20,'Commodity Prices'!$B$9:$B$2500,3)+
COUNTIFS('Commodity Prices'!$A$9:$A$2500,'Mineral Sands - Prices'!F20,'Commodity Prices'!$B$9:$B$2500,4)+
COUNTIFS('Commodity Prices'!$A$9:$A$2500,'Mineral Sands - Prices'!G20,'Commodity Prices'!$B$9:$B$2500,1)+
COUNTIFS('Commodity Prices'!$A$9:$A$2500,'Mineral Sands - Prices'!G20,'Commodity Prices'!$B$9:$B$2500,2))</f>
        <v>2553.1802872474746</v>
      </c>
    </row>
    <row r="21" spans="1:14">
      <c r="A21" s="610">
        <f>LARGE('Commodity Prices'!C$159:C$902,48)</f>
        <v>42917</v>
      </c>
      <c r="B21" s="957">
        <f>SUMIF('Commodity Prices'!C$159:C$902,A21,'Commodity Prices'!R$159:R$902)</f>
        <v>1157.2112326043737</v>
      </c>
      <c r="C21" s="1645">
        <f>SUMIF('Commodity Prices'!C$109:C$902,A21,'Commodity Prices'!S$109:S$902)</f>
        <v>1269.6128239033103</v>
      </c>
      <c r="D21" s="950">
        <f>SUMIF('Commodity Prices'!C$109:C$902,A21,'Commodity Prices'!T$109:T$902)</f>
        <v>3318.3984275703165</v>
      </c>
      <c r="E21" s="128"/>
      <c r="F21" s="128">
        <f t="shared" si="1"/>
        <v>1998</v>
      </c>
      <c r="G21" s="128">
        <f t="shared" si="1"/>
        <v>1999</v>
      </c>
      <c r="H21" s="960" t="str">
        <f t="shared" si="0"/>
        <v>1998-99</v>
      </c>
      <c r="I21" s="880">
        <f t="array" ref="I21">IF($H$6="Historic Calendar Year",IFERROR(AVERAGE(IF($H21=YEAR('Commodity Prices'!$C$9:$C$1000),'Commodity Prices'!$R$9:$R$1000)),"NA"),IFERROR(IF(L21=0,"NA",L21),"NA"))</f>
        <v>799.32292910557396</v>
      </c>
      <c r="J21" s="780">
        <f t="array" ref="J21">IF($H$6="Historic Calendar Year",IFERROR(AVERAGE(IF($H21=YEAR('Commodity Prices'!$C$9:$C$1000),'Commodity Prices'!$S$9:$S$1000)),"NA"),IFERROR(IF(M21=0,"NA",M21),"NA"))</f>
        <v>516.58662277796691</v>
      </c>
      <c r="K21" s="724">
        <f t="array" ref="K21">IF($H$6="Historic Calendar Year",IFERROR(AVERAGE(IF($H21=YEAR('Commodity Prices'!$C$9:$C$1000),'Commodity Prices'!$T$9:$T$1000)),"N/A"),IFERROR(IF(N21=0,"N/A",N21),"N/A"))</f>
        <v>2919.1080924375387</v>
      </c>
      <c r="L21" s="535">
        <f>(SUMIFS('Commodity Prices'!$R$9:$R$2500,'Commodity Prices'!$A$9:$A$2500,'Mineral Sands - Prices'!F21,'Commodity Prices'!$B$9:$B$2500,3)+
SUMIFS('Commodity Prices'!$R$9:$R$2500,'Commodity Prices'!$A$9:$A$2500,'Mineral Sands - Prices'!F21,'Commodity Prices'!$B$9:$B$2500,4)+
SUMIFS('Commodity Prices'!$R$9:$R$2500,'Commodity Prices'!$A$9:$A$2500,'Mineral Sands - Prices'!G21,'Commodity Prices'!$B$9:$B$2500,1)+
SUMIFS('Commodity Prices'!$R$9:$R$2500,'Commodity Prices'!$A$9:$A$2500,'Mineral Sands - Prices'!G21,'Commodity Prices'!$B$9:$B$2500,2))
/(COUNTIFS('Commodity Prices'!$A$9:$A$2500,'Mineral Sands - Prices'!F21,'Commodity Prices'!$B$9:$B$2500,3)+
COUNTIFS('Commodity Prices'!$A$9:$A$2500,'Mineral Sands - Prices'!F21,'Commodity Prices'!$B$9:$B$2500,4)+
COUNTIFS('Commodity Prices'!$A$9:$A$2500,'Mineral Sands - Prices'!G21,'Commodity Prices'!$B$9:$B$2500,1)+
COUNTIFS('Commodity Prices'!$A$9:$A$2500,'Mineral Sands - Prices'!G21,'Commodity Prices'!$B$9:$B$2500,2))</f>
        <v>799.32292910557396</v>
      </c>
      <c r="M21" s="333">
        <f>(SUMIFS('Commodity Prices'!$S$9:$S$2500,'Commodity Prices'!$A$9:$A$2500,'Mineral Sands - Prices'!F21,'Commodity Prices'!$B$9:$B$2500,3)+
SUMIFS('Commodity Prices'!$S$9:$S$2500,'Commodity Prices'!$A$9:$A$2500,'Mineral Sands - Prices'!F21,'Commodity Prices'!$B$9:$B$2500,4)+
SUMIFS('Commodity Prices'!$S$9:$S$2500,'Commodity Prices'!$A$9:$A$2500,'Mineral Sands - Prices'!G21,'Commodity Prices'!$B$9:$B$2500,1)+
SUMIFS('Commodity Prices'!$S$9:$S$2500,'Commodity Prices'!$A$9:$A$2500,'Mineral Sands - Prices'!G21,'Commodity Prices'!$B$9:$B$2500,2))
/(COUNTIFS('Commodity Prices'!$A$9:$A$2500,'Mineral Sands - Prices'!F21,'Commodity Prices'!$B$9:$B$2500,3)+
COUNTIFS('Commodity Prices'!$A$9:$A$2500,'Mineral Sands - Prices'!F21,'Commodity Prices'!$B$9:$B$2500,4)+
COUNTIFS('Commodity Prices'!$A$9:$A$2500,'Mineral Sands - Prices'!G21,'Commodity Prices'!$B$9:$B$2500,1)+
COUNTIFS('Commodity Prices'!$A$9:$A$2500,'Mineral Sands - Prices'!G21,'Commodity Prices'!$B$9:$B$2500,2))</f>
        <v>516.58662277796691</v>
      </c>
      <c r="N21" s="535">
        <f>(SUMIFS('Commodity Prices'!$T$9:$T$2500,'Commodity Prices'!$A$9:$A$2500,'Mineral Sands - Prices'!F21,'Commodity Prices'!$B$9:$B$2500,3)+
SUMIFS('Commodity Prices'!$T$9:$T$2500,'Commodity Prices'!$A$9:$A$2500,'Mineral Sands - Prices'!F21,'Commodity Prices'!$B$9:$B$2500,4)+
SUMIFS('Commodity Prices'!$T$9:$T$2500,'Commodity Prices'!$A$9:$A$2500,'Mineral Sands - Prices'!G21,'Commodity Prices'!$B$9:$B$2500,1)+
SUMIFS('Commodity Prices'!$T$9:$T$2500,'Commodity Prices'!$A$9:$A$2500,'Mineral Sands - Prices'!G21,'Commodity Prices'!$B$9:$B$2500,2))
/(COUNTIFS('Commodity Prices'!$A$9:$A$2500,'Mineral Sands - Prices'!F21,'Commodity Prices'!$B$9:$B$2500,3)+
COUNTIFS('Commodity Prices'!$A$9:$A$2500,'Mineral Sands - Prices'!F21,'Commodity Prices'!$B$9:$B$2500,4)+
COUNTIFS('Commodity Prices'!$A$9:$A$2500,'Mineral Sands - Prices'!G21,'Commodity Prices'!$B$9:$B$2500,1)+
COUNTIFS('Commodity Prices'!$A$9:$A$2500,'Mineral Sands - Prices'!G21,'Commodity Prices'!$B$9:$B$2500,2))</f>
        <v>2919.1080924375387</v>
      </c>
    </row>
    <row r="22" spans="1:14">
      <c r="A22" s="611">
        <f>LARGE('Commodity Prices'!C$159:C$902,47)</f>
        <v>42948</v>
      </c>
      <c r="B22" s="880">
        <f>SUMIF('Commodity Prices'!C$159:C$902,A22,'Commodity Prices'!R$159:R$902)</f>
        <v>1081.4808238636363</v>
      </c>
      <c r="C22" s="780">
        <f>SUMIF('Commodity Prices'!C$109:C$902,A22,'Commodity Prices'!S$109:S$902)</f>
        <v>1363.271260199456</v>
      </c>
      <c r="D22" s="724">
        <f>SUMIF('Commodity Prices'!C$109:C$902,A22,'Commodity Prices'!T$109:T$902)</f>
        <v>3350.8418650210456</v>
      </c>
      <c r="E22" s="128"/>
      <c r="F22" s="128">
        <f t="shared" si="1"/>
        <v>1999</v>
      </c>
      <c r="G22" s="128">
        <f t="shared" si="1"/>
        <v>2000</v>
      </c>
      <c r="H22" s="959" t="str">
        <f t="shared" si="0"/>
        <v>1999-00</v>
      </c>
      <c r="I22" s="957">
        <f t="array" ref="I22">IF($H$6="Historic Calendar Year",IFERROR(AVERAGE(IF($H22=YEAR('Commodity Prices'!$C$9:$C$1000),'Commodity Prices'!$R$9:$R$1000)),"NA"),IFERROR(IF(L22=0,"NA",L22),"NA"))</f>
        <v>787.02869281045753</v>
      </c>
      <c r="J22" s="1645">
        <f t="array" ref="J22">IF($H$6="Historic Calendar Year",IFERROR(AVERAGE(IF($H22=YEAR('Commodity Prices'!$C$9:$C$1000),'Commodity Prices'!$S$9:$S$1000)),"NA"),IFERROR(IF(M22=0,"NA",M22),"NA"))</f>
        <v>565.05416666666667</v>
      </c>
      <c r="K22" s="950">
        <f t="array" ref="K22">IF($H$6="Historic Calendar Year",IFERROR(AVERAGE(IF($H22=YEAR('Commodity Prices'!$C$9:$C$1000),'Commodity Prices'!$T$9:$T$1000)),"N/A"),IFERROR(IF(N22=0,"N/A",N22),"N/A"))</f>
        <v>2971.1541666666667</v>
      </c>
      <c r="L22" s="535">
        <f>(SUMIFS('Commodity Prices'!$R$9:$R$2500,'Commodity Prices'!$A$9:$A$2500,'Mineral Sands - Prices'!F22,'Commodity Prices'!$B$9:$B$2500,3)+
SUMIFS('Commodity Prices'!$R$9:$R$2500,'Commodity Prices'!$A$9:$A$2500,'Mineral Sands - Prices'!F22,'Commodity Prices'!$B$9:$B$2500,4)+
SUMIFS('Commodity Prices'!$R$9:$R$2500,'Commodity Prices'!$A$9:$A$2500,'Mineral Sands - Prices'!G22,'Commodity Prices'!$B$9:$B$2500,1)+
SUMIFS('Commodity Prices'!$R$9:$R$2500,'Commodity Prices'!$A$9:$A$2500,'Mineral Sands - Prices'!G22,'Commodity Prices'!$B$9:$B$2500,2))
/(COUNTIFS('Commodity Prices'!$A$9:$A$2500,'Mineral Sands - Prices'!F22,'Commodity Prices'!$B$9:$B$2500,3)+
COUNTIFS('Commodity Prices'!$A$9:$A$2500,'Mineral Sands - Prices'!F22,'Commodity Prices'!$B$9:$B$2500,4)+
COUNTIFS('Commodity Prices'!$A$9:$A$2500,'Mineral Sands - Prices'!G22,'Commodity Prices'!$B$9:$B$2500,1)+
COUNTIFS('Commodity Prices'!$A$9:$A$2500,'Mineral Sands - Prices'!G22,'Commodity Prices'!$B$9:$B$2500,2))</f>
        <v>787.02869281045753</v>
      </c>
      <c r="M22" s="333">
        <f>(SUMIFS('Commodity Prices'!$S$9:$S$2500,'Commodity Prices'!$A$9:$A$2500,'Mineral Sands - Prices'!F22,'Commodity Prices'!$B$9:$B$2500,3)+
SUMIFS('Commodity Prices'!$S$9:$S$2500,'Commodity Prices'!$A$9:$A$2500,'Mineral Sands - Prices'!F22,'Commodity Prices'!$B$9:$B$2500,4)+
SUMIFS('Commodity Prices'!$S$9:$S$2500,'Commodity Prices'!$A$9:$A$2500,'Mineral Sands - Prices'!G22,'Commodity Prices'!$B$9:$B$2500,1)+
SUMIFS('Commodity Prices'!$S$9:$S$2500,'Commodity Prices'!$A$9:$A$2500,'Mineral Sands - Prices'!G22,'Commodity Prices'!$B$9:$B$2500,2))
/(COUNTIFS('Commodity Prices'!$A$9:$A$2500,'Mineral Sands - Prices'!F22,'Commodity Prices'!$B$9:$B$2500,3)+
COUNTIFS('Commodity Prices'!$A$9:$A$2500,'Mineral Sands - Prices'!F22,'Commodity Prices'!$B$9:$B$2500,4)+
COUNTIFS('Commodity Prices'!$A$9:$A$2500,'Mineral Sands - Prices'!G22,'Commodity Prices'!$B$9:$B$2500,1)+
COUNTIFS('Commodity Prices'!$A$9:$A$2500,'Mineral Sands - Prices'!G22,'Commodity Prices'!$B$9:$B$2500,2))</f>
        <v>565.05416666666667</v>
      </c>
      <c r="N22" s="535">
        <f>(SUMIFS('Commodity Prices'!$T$9:$T$2500,'Commodity Prices'!$A$9:$A$2500,'Mineral Sands - Prices'!F22,'Commodity Prices'!$B$9:$B$2500,3)+
SUMIFS('Commodity Prices'!$T$9:$T$2500,'Commodity Prices'!$A$9:$A$2500,'Mineral Sands - Prices'!F22,'Commodity Prices'!$B$9:$B$2500,4)+
SUMIFS('Commodity Prices'!$T$9:$T$2500,'Commodity Prices'!$A$9:$A$2500,'Mineral Sands - Prices'!G22,'Commodity Prices'!$B$9:$B$2500,1)+
SUMIFS('Commodity Prices'!$T$9:$T$2500,'Commodity Prices'!$A$9:$A$2500,'Mineral Sands - Prices'!G22,'Commodity Prices'!$B$9:$B$2500,2))
/(COUNTIFS('Commodity Prices'!$A$9:$A$2500,'Mineral Sands - Prices'!F22,'Commodity Prices'!$B$9:$B$2500,3)+
COUNTIFS('Commodity Prices'!$A$9:$A$2500,'Mineral Sands - Prices'!F22,'Commodity Prices'!$B$9:$B$2500,4)+
COUNTIFS('Commodity Prices'!$A$9:$A$2500,'Mineral Sands - Prices'!G22,'Commodity Prices'!$B$9:$B$2500,1)+
COUNTIFS('Commodity Prices'!$A$9:$A$2500,'Mineral Sands - Prices'!G22,'Commodity Prices'!$B$9:$B$2500,2))</f>
        <v>2971.1541666666667</v>
      </c>
    </row>
    <row r="23" spans="1:14">
      <c r="A23" s="610">
        <f>LARGE('Commodity Prices'!C$159:C$902,46)</f>
        <v>42979</v>
      </c>
      <c r="B23" s="957">
        <f>SUMIF('Commodity Prices'!C$159:C$902,A23,'Commodity Prices'!R$159:R$902)</f>
        <v>1133.4576188143067</v>
      </c>
      <c r="C23" s="1645">
        <f>SUMIF('Commodity Prices'!C$109:C$902,A23,'Commodity Prices'!S$109:S$902)</f>
        <v>1281.6329396744334</v>
      </c>
      <c r="D23" s="950">
        <f>SUMIF('Commodity Prices'!C$109:C$902,A23,'Commodity Prices'!T$109:T$902)</f>
        <v>3384.4954903369435</v>
      </c>
      <c r="E23" s="128"/>
      <c r="F23" s="128">
        <f t="shared" si="1"/>
        <v>2000</v>
      </c>
      <c r="G23" s="128">
        <f t="shared" si="1"/>
        <v>2001</v>
      </c>
      <c r="H23" s="960" t="str">
        <f t="shared" si="0"/>
        <v>2000-01</v>
      </c>
      <c r="I23" s="880">
        <f t="array" ref="I23">IF($H$6="Historic Calendar Year",IFERROR(AVERAGE(IF($H23=YEAR('Commodity Prices'!$C$9:$C$1000),'Commodity Prices'!$R$9:$R$1000)),"NA"),IFERROR(IF(L23=0,"NA",L23),"NA"))</f>
        <v>923.30083333333334</v>
      </c>
      <c r="J23" s="780">
        <f t="array" ref="J23">IF($H$6="Historic Calendar Year",IFERROR(AVERAGE(IF($H23=YEAR('Commodity Prices'!$C$9:$C$1000),'Commodity Prices'!$S$9:$S$1000)),"NA"),IFERROR(IF(M23=0,"NA",M23),"NA"))</f>
        <v>718.13333333333333</v>
      </c>
      <c r="K23" s="724">
        <f t="array" ref="K23">IF($H$6="Historic Calendar Year",IFERROR(AVERAGE(IF($H23=YEAR('Commodity Prices'!$C$9:$C$1000),'Commodity Prices'!$T$9:$T$1000)),"N/A"),IFERROR(IF(N23=0,"N/A",N23),"N/A"))</f>
        <v>3545.5</v>
      </c>
      <c r="L23" s="535">
        <f>(SUMIFS('Commodity Prices'!$R$9:$R$2500,'Commodity Prices'!$A$9:$A$2500,'Mineral Sands - Prices'!F23,'Commodity Prices'!$B$9:$B$2500,3)+
SUMIFS('Commodity Prices'!$R$9:$R$2500,'Commodity Prices'!$A$9:$A$2500,'Mineral Sands - Prices'!F23,'Commodity Prices'!$B$9:$B$2500,4)+
SUMIFS('Commodity Prices'!$R$9:$R$2500,'Commodity Prices'!$A$9:$A$2500,'Mineral Sands - Prices'!G23,'Commodity Prices'!$B$9:$B$2500,1)+
SUMIFS('Commodity Prices'!$R$9:$R$2500,'Commodity Prices'!$A$9:$A$2500,'Mineral Sands - Prices'!G23,'Commodity Prices'!$B$9:$B$2500,2))
/(COUNTIFS('Commodity Prices'!$A$9:$A$2500,'Mineral Sands - Prices'!F23,'Commodity Prices'!$B$9:$B$2500,3)+
COUNTIFS('Commodity Prices'!$A$9:$A$2500,'Mineral Sands - Prices'!F23,'Commodity Prices'!$B$9:$B$2500,4)+
COUNTIFS('Commodity Prices'!$A$9:$A$2500,'Mineral Sands - Prices'!G23,'Commodity Prices'!$B$9:$B$2500,1)+
COUNTIFS('Commodity Prices'!$A$9:$A$2500,'Mineral Sands - Prices'!G23,'Commodity Prices'!$B$9:$B$2500,2))</f>
        <v>923.30083333333334</v>
      </c>
      <c r="M23" s="333">
        <f>(SUMIFS('Commodity Prices'!$S$9:$S$2500,'Commodity Prices'!$A$9:$A$2500,'Mineral Sands - Prices'!F23,'Commodity Prices'!$B$9:$B$2500,3)+
SUMIFS('Commodity Prices'!$S$9:$S$2500,'Commodity Prices'!$A$9:$A$2500,'Mineral Sands - Prices'!F23,'Commodity Prices'!$B$9:$B$2500,4)+
SUMIFS('Commodity Prices'!$S$9:$S$2500,'Commodity Prices'!$A$9:$A$2500,'Mineral Sands - Prices'!G23,'Commodity Prices'!$B$9:$B$2500,1)+
SUMIFS('Commodity Prices'!$S$9:$S$2500,'Commodity Prices'!$A$9:$A$2500,'Mineral Sands - Prices'!G23,'Commodity Prices'!$B$9:$B$2500,2))
/(COUNTIFS('Commodity Prices'!$A$9:$A$2500,'Mineral Sands - Prices'!F23,'Commodity Prices'!$B$9:$B$2500,3)+
COUNTIFS('Commodity Prices'!$A$9:$A$2500,'Mineral Sands - Prices'!F23,'Commodity Prices'!$B$9:$B$2500,4)+
COUNTIFS('Commodity Prices'!$A$9:$A$2500,'Mineral Sands - Prices'!G23,'Commodity Prices'!$B$9:$B$2500,1)+
COUNTIFS('Commodity Prices'!$A$9:$A$2500,'Mineral Sands - Prices'!G23,'Commodity Prices'!$B$9:$B$2500,2))</f>
        <v>718.13333333333333</v>
      </c>
      <c r="N23" s="535">
        <f>(SUMIFS('Commodity Prices'!$T$9:$T$2500,'Commodity Prices'!$A$9:$A$2500,'Mineral Sands - Prices'!F23,'Commodity Prices'!$B$9:$B$2500,3)+
SUMIFS('Commodity Prices'!$T$9:$T$2500,'Commodity Prices'!$A$9:$A$2500,'Mineral Sands - Prices'!F23,'Commodity Prices'!$B$9:$B$2500,4)+
SUMIFS('Commodity Prices'!$T$9:$T$2500,'Commodity Prices'!$A$9:$A$2500,'Mineral Sands - Prices'!G23,'Commodity Prices'!$B$9:$B$2500,1)+
SUMIFS('Commodity Prices'!$T$9:$T$2500,'Commodity Prices'!$A$9:$A$2500,'Mineral Sands - Prices'!G23,'Commodity Prices'!$B$9:$B$2500,2))
/(COUNTIFS('Commodity Prices'!$A$9:$A$2500,'Mineral Sands - Prices'!F23,'Commodity Prices'!$B$9:$B$2500,3)+
COUNTIFS('Commodity Prices'!$A$9:$A$2500,'Mineral Sands - Prices'!F23,'Commodity Prices'!$B$9:$B$2500,4)+
COUNTIFS('Commodity Prices'!$A$9:$A$2500,'Mineral Sands - Prices'!G23,'Commodity Prices'!$B$9:$B$2500,1)+
COUNTIFS('Commodity Prices'!$A$9:$A$2500,'Mineral Sands - Prices'!G23,'Commodity Prices'!$B$9:$B$2500,2))</f>
        <v>3545.5</v>
      </c>
    </row>
    <row r="24" spans="1:14">
      <c r="A24" s="611">
        <f>LARGE('Commodity Prices'!C$159:C$902,45)</f>
        <v>43009</v>
      </c>
      <c r="B24" s="880">
        <f>SUMIF('Commodity Prices'!C$159:C$902,A24,'Commodity Prices'!R$159:R$902)</f>
        <v>1232.1185062965569</v>
      </c>
      <c r="C24" s="780">
        <f>SUMIF('Commodity Prices'!C$109:C$902,A24,'Commodity Prices'!S$109:S$902)</f>
        <v>1568.7805748637986</v>
      </c>
      <c r="D24" s="724">
        <f>SUMIF('Commodity Prices'!C$109:C$902,A24,'Commodity Prices'!T$109:T$902)</f>
        <v>3501.856694978143</v>
      </c>
      <c r="E24" s="128"/>
      <c r="F24" s="128">
        <f t="shared" si="1"/>
        <v>2001</v>
      </c>
      <c r="G24" s="128">
        <f t="shared" si="1"/>
        <v>2002</v>
      </c>
      <c r="H24" s="959" t="str">
        <f t="shared" si="0"/>
        <v>2001-02</v>
      </c>
      <c r="I24" s="957">
        <f t="array" ref="I24">IF($H$6="Historic Calendar Year",IFERROR(AVERAGE(IF($H24=YEAR('Commodity Prices'!$C$9:$C$1000),'Commodity Prices'!$R$9:$R$1000)),"NA"),IFERROR(IF(L24=0,"NA",L24),"NA"))</f>
        <v>962.51416666666648</v>
      </c>
      <c r="J24" s="1645">
        <f t="array" ref="J24">IF($H$6="Historic Calendar Year",IFERROR(AVERAGE(IF($H24=YEAR('Commodity Prices'!$C$9:$C$1000),'Commodity Prices'!$S$9:$S$1000)),"NA"),IFERROR(IF(M24=0,"NA",M24),"NA"))</f>
        <v>847.75166666666667</v>
      </c>
      <c r="K24" s="950">
        <f t="array" ref="K24">IF($H$6="Historic Calendar Year",IFERROR(AVERAGE(IF($H24=YEAR('Commodity Prices'!$C$9:$C$1000),'Commodity Prices'!$T$9:$T$1000)),"N/A"),IFERROR(IF(N24=0,"N/A",N24),"N/A"))</f>
        <v>3204.1302500000002</v>
      </c>
      <c r="L24" s="535">
        <f>(SUMIFS('Commodity Prices'!$R$9:$R$2500,'Commodity Prices'!$A$9:$A$2500,'Mineral Sands - Prices'!F24,'Commodity Prices'!$B$9:$B$2500,3)+
SUMIFS('Commodity Prices'!$R$9:$R$2500,'Commodity Prices'!$A$9:$A$2500,'Mineral Sands - Prices'!F24,'Commodity Prices'!$B$9:$B$2500,4)+
SUMIFS('Commodity Prices'!$R$9:$R$2500,'Commodity Prices'!$A$9:$A$2500,'Mineral Sands - Prices'!G24,'Commodity Prices'!$B$9:$B$2500,1)+
SUMIFS('Commodity Prices'!$R$9:$R$2500,'Commodity Prices'!$A$9:$A$2500,'Mineral Sands - Prices'!G24,'Commodity Prices'!$B$9:$B$2500,2))
/(COUNTIFS('Commodity Prices'!$A$9:$A$2500,'Mineral Sands - Prices'!F24,'Commodity Prices'!$B$9:$B$2500,3)+
COUNTIFS('Commodity Prices'!$A$9:$A$2500,'Mineral Sands - Prices'!F24,'Commodity Prices'!$B$9:$B$2500,4)+
COUNTIFS('Commodity Prices'!$A$9:$A$2500,'Mineral Sands - Prices'!G24,'Commodity Prices'!$B$9:$B$2500,1)+
COUNTIFS('Commodity Prices'!$A$9:$A$2500,'Mineral Sands - Prices'!G24,'Commodity Prices'!$B$9:$B$2500,2))</f>
        <v>962.51416666666648</v>
      </c>
      <c r="M24" s="333">
        <f>(SUMIFS('Commodity Prices'!$S$9:$S$2500,'Commodity Prices'!$A$9:$A$2500,'Mineral Sands - Prices'!F24,'Commodity Prices'!$B$9:$B$2500,3)+
SUMIFS('Commodity Prices'!$S$9:$S$2500,'Commodity Prices'!$A$9:$A$2500,'Mineral Sands - Prices'!F24,'Commodity Prices'!$B$9:$B$2500,4)+
SUMIFS('Commodity Prices'!$S$9:$S$2500,'Commodity Prices'!$A$9:$A$2500,'Mineral Sands - Prices'!G24,'Commodity Prices'!$B$9:$B$2500,1)+
SUMIFS('Commodity Prices'!$S$9:$S$2500,'Commodity Prices'!$A$9:$A$2500,'Mineral Sands - Prices'!G24,'Commodity Prices'!$B$9:$B$2500,2))
/(COUNTIFS('Commodity Prices'!$A$9:$A$2500,'Mineral Sands - Prices'!F24,'Commodity Prices'!$B$9:$B$2500,3)+
COUNTIFS('Commodity Prices'!$A$9:$A$2500,'Mineral Sands - Prices'!F24,'Commodity Prices'!$B$9:$B$2500,4)+
COUNTIFS('Commodity Prices'!$A$9:$A$2500,'Mineral Sands - Prices'!G24,'Commodity Prices'!$B$9:$B$2500,1)+
COUNTIFS('Commodity Prices'!$A$9:$A$2500,'Mineral Sands - Prices'!G24,'Commodity Prices'!$B$9:$B$2500,2))</f>
        <v>847.75166666666667</v>
      </c>
      <c r="N24" s="535">
        <f>(SUMIFS('Commodity Prices'!$T$9:$T$2500,'Commodity Prices'!$A$9:$A$2500,'Mineral Sands - Prices'!F24,'Commodity Prices'!$B$9:$B$2500,3)+
SUMIFS('Commodity Prices'!$T$9:$T$2500,'Commodity Prices'!$A$9:$A$2500,'Mineral Sands - Prices'!F24,'Commodity Prices'!$B$9:$B$2500,4)+
SUMIFS('Commodity Prices'!$T$9:$T$2500,'Commodity Prices'!$A$9:$A$2500,'Mineral Sands - Prices'!G24,'Commodity Prices'!$B$9:$B$2500,1)+
SUMIFS('Commodity Prices'!$T$9:$T$2500,'Commodity Prices'!$A$9:$A$2500,'Mineral Sands - Prices'!G24,'Commodity Prices'!$B$9:$B$2500,2))
/(COUNTIFS('Commodity Prices'!$A$9:$A$2500,'Mineral Sands - Prices'!F24,'Commodity Prices'!$B$9:$B$2500,3)+
COUNTIFS('Commodity Prices'!$A$9:$A$2500,'Mineral Sands - Prices'!F24,'Commodity Prices'!$B$9:$B$2500,4)+
COUNTIFS('Commodity Prices'!$A$9:$A$2500,'Mineral Sands - Prices'!G24,'Commodity Prices'!$B$9:$B$2500,1)+
COUNTIFS('Commodity Prices'!$A$9:$A$2500,'Mineral Sands - Prices'!G24,'Commodity Prices'!$B$9:$B$2500,2))</f>
        <v>3204.1302500000002</v>
      </c>
    </row>
    <row r="25" spans="1:14">
      <c r="A25" s="610">
        <f>LARGE('Commodity Prices'!C$159:C$902,44)</f>
        <v>43040</v>
      </c>
      <c r="B25" s="957">
        <f>SUMIF('Commodity Prices'!C$159:C$902,A25,'Commodity Prices'!R$159:R$902)</f>
        <v>1253.5497441728255</v>
      </c>
      <c r="C25" s="1645">
        <f>SUMIF('Commodity Prices'!C$109:C$902,A25,'Commodity Prices'!S$109:S$902)</f>
        <v>1651.0540428472702</v>
      </c>
      <c r="D25" s="950">
        <f>SUMIF('Commodity Prices'!C$109:C$902,A25,'Commodity Prices'!T$109:T$902)</f>
        <v>3644.2045816794775</v>
      </c>
      <c r="E25" s="128"/>
      <c r="F25" s="128">
        <f t="shared" si="1"/>
        <v>2002</v>
      </c>
      <c r="G25" s="128">
        <f t="shared" si="1"/>
        <v>2003</v>
      </c>
      <c r="H25" s="960" t="str">
        <f t="shared" si="0"/>
        <v>2002-03</v>
      </c>
      <c r="I25" s="880">
        <f t="array" ref="I25">IF($H$6="Historic Calendar Year",IFERROR(AVERAGE(IF($H25=YEAR('Commodity Prices'!$C$9:$C$1000),'Commodity Prices'!$R$9:$R$1000)),"NA"),IFERROR(IF(L25=0,"NA",L25),"NA"))</f>
        <v>848.40333333333331</v>
      </c>
      <c r="J25" s="780">
        <f t="array" ref="J25">IF($H$6="Historic Calendar Year",IFERROR(AVERAGE(IF($H25=YEAR('Commodity Prices'!$C$9:$C$1000),'Commodity Prices'!$S$9:$S$1000)),"NA"),IFERROR(IF(M25=0,"NA",M25),"NA"))</f>
        <v>763.84416666666675</v>
      </c>
      <c r="K25" s="724">
        <f t="array" ref="K25">IF($H$6="Historic Calendar Year",IFERROR(AVERAGE(IF($H25=YEAR('Commodity Prices'!$C$9:$C$1000),'Commodity Prices'!$T$9:$T$1000)),"N/A"),IFERROR(IF(N25=0,"N/A",N25),"N/A"))</f>
        <v>2927.3741666666665</v>
      </c>
      <c r="L25" s="535">
        <f>(SUMIFS('Commodity Prices'!$R$9:$R$2500,'Commodity Prices'!$A$9:$A$2500,'Mineral Sands - Prices'!F25,'Commodity Prices'!$B$9:$B$2500,3)+
SUMIFS('Commodity Prices'!$R$9:$R$2500,'Commodity Prices'!$A$9:$A$2500,'Mineral Sands - Prices'!F25,'Commodity Prices'!$B$9:$B$2500,4)+
SUMIFS('Commodity Prices'!$R$9:$R$2500,'Commodity Prices'!$A$9:$A$2500,'Mineral Sands - Prices'!G25,'Commodity Prices'!$B$9:$B$2500,1)+
SUMIFS('Commodity Prices'!$R$9:$R$2500,'Commodity Prices'!$A$9:$A$2500,'Mineral Sands - Prices'!G25,'Commodity Prices'!$B$9:$B$2500,2))
/(COUNTIFS('Commodity Prices'!$A$9:$A$2500,'Mineral Sands - Prices'!F25,'Commodity Prices'!$B$9:$B$2500,3)+
COUNTIFS('Commodity Prices'!$A$9:$A$2500,'Mineral Sands - Prices'!F25,'Commodity Prices'!$B$9:$B$2500,4)+
COUNTIFS('Commodity Prices'!$A$9:$A$2500,'Mineral Sands - Prices'!G25,'Commodity Prices'!$B$9:$B$2500,1)+
COUNTIFS('Commodity Prices'!$A$9:$A$2500,'Mineral Sands - Prices'!G25,'Commodity Prices'!$B$9:$B$2500,2))</f>
        <v>848.40333333333331</v>
      </c>
      <c r="M25" s="333">
        <f>(SUMIFS('Commodity Prices'!$S$9:$S$2500,'Commodity Prices'!$A$9:$A$2500,'Mineral Sands - Prices'!F25,'Commodity Prices'!$B$9:$B$2500,3)+
SUMIFS('Commodity Prices'!$S$9:$S$2500,'Commodity Prices'!$A$9:$A$2500,'Mineral Sands - Prices'!F25,'Commodity Prices'!$B$9:$B$2500,4)+
SUMIFS('Commodity Prices'!$S$9:$S$2500,'Commodity Prices'!$A$9:$A$2500,'Mineral Sands - Prices'!G25,'Commodity Prices'!$B$9:$B$2500,1)+
SUMIFS('Commodity Prices'!$S$9:$S$2500,'Commodity Prices'!$A$9:$A$2500,'Mineral Sands - Prices'!G25,'Commodity Prices'!$B$9:$B$2500,2))
/(COUNTIFS('Commodity Prices'!$A$9:$A$2500,'Mineral Sands - Prices'!F25,'Commodity Prices'!$B$9:$B$2500,3)+
COUNTIFS('Commodity Prices'!$A$9:$A$2500,'Mineral Sands - Prices'!F25,'Commodity Prices'!$B$9:$B$2500,4)+
COUNTIFS('Commodity Prices'!$A$9:$A$2500,'Mineral Sands - Prices'!G25,'Commodity Prices'!$B$9:$B$2500,1)+
COUNTIFS('Commodity Prices'!$A$9:$A$2500,'Mineral Sands - Prices'!G25,'Commodity Prices'!$B$9:$B$2500,2))</f>
        <v>763.84416666666675</v>
      </c>
      <c r="N25" s="535">
        <f>(SUMIFS('Commodity Prices'!$T$9:$T$2500,'Commodity Prices'!$A$9:$A$2500,'Mineral Sands - Prices'!F25,'Commodity Prices'!$B$9:$B$2500,3)+
SUMIFS('Commodity Prices'!$T$9:$T$2500,'Commodity Prices'!$A$9:$A$2500,'Mineral Sands - Prices'!F25,'Commodity Prices'!$B$9:$B$2500,4)+
SUMIFS('Commodity Prices'!$T$9:$T$2500,'Commodity Prices'!$A$9:$A$2500,'Mineral Sands - Prices'!G25,'Commodity Prices'!$B$9:$B$2500,1)+
SUMIFS('Commodity Prices'!$T$9:$T$2500,'Commodity Prices'!$A$9:$A$2500,'Mineral Sands - Prices'!G25,'Commodity Prices'!$B$9:$B$2500,2))
/(COUNTIFS('Commodity Prices'!$A$9:$A$2500,'Mineral Sands - Prices'!F25,'Commodity Prices'!$B$9:$B$2500,3)+
COUNTIFS('Commodity Prices'!$A$9:$A$2500,'Mineral Sands - Prices'!F25,'Commodity Prices'!$B$9:$B$2500,4)+
COUNTIFS('Commodity Prices'!$A$9:$A$2500,'Mineral Sands - Prices'!G25,'Commodity Prices'!$B$9:$B$2500,1)+
COUNTIFS('Commodity Prices'!$A$9:$A$2500,'Mineral Sands - Prices'!G25,'Commodity Prices'!$B$9:$B$2500,2))</f>
        <v>2927.3741666666665</v>
      </c>
    </row>
    <row r="26" spans="1:14">
      <c r="A26" s="611">
        <f>LARGE('Commodity Prices'!C$159:C$902,43)</f>
        <v>43070</v>
      </c>
      <c r="B26" s="880">
        <f>SUMIF('Commodity Prices'!C$159:C$902,A26,'Commodity Prices'!R$159:R$902)</f>
        <v>1210.3602569986233</v>
      </c>
      <c r="C26" s="780">
        <f>SUMIF('Commodity Prices'!C$109:C$902,A26,'Commodity Prices'!S$109:S$902)</f>
        <v>1657.3379351295182</v>
      </c>
      <c r="D26" s="724">
        <f>SUMIF('Commodity Prices'!C$109:C$902,A26,'Commodity Prices'!T$109:T$902)</f>
        <v>3676.5585893366697</v>
      </c>
      <c r="E26" s="128"/>
      <c r="F26" s="128">
        <f t="shared" si="1"/>
        <v>2003</v>
      </c>
      <c r="G26" s="128">
        <f t="shared" si="1"/>
        <v>2004</v>
      </c>
      <c r="H26" s="959" t="str">
        <f t="shared" si="0"/>
        <v>2003-04</v>
      </c>
      <c r="I26" s="957">
        <f t="array" ref="I26">IF($H$6="Historic Calendar Year",IFERROR(AVERAGE(IF($H26=YEAR('Commodity Prices'!$C$9:$C$1000),'Commodity Prices'!$R$9:$R$1000)),"NA"),IFERROR(IF(L26=0,"NA",L26),"NA"))</f>
        <v>704.95759018036063</v>
      </c>
      <c r="J26" s="1645">
        <f t="array" ref="J26">IF($H$6="Historic Calendar Year",IFERROR(AVERAGE(IF($H26=YEAR('Commodity Prices'!$C$9:$C$1000),'Commodity Prices'!$S$9:$S$1000)),"NA"),IFERROR(IF(M26=0,"NA",M26),"NA"))</f>
        <v>704.36472727272724</v>
      </c>
      <c r="K26" s="950">
        <f t="array" ref="K26">IF($H$6="Historic Calendar Year",IFERROR(AVERAGE(IF($H26=YEAR('Commodity Prices'!$C$9:$C$1000),'Commodity Prices'!$T$9:$T$1000)),"N/A"),IFERROR(IF(N26=0,"N/A",N26),"N/A"))</f>
        <v>2422.8839436321332</v>
      </c>
      <c r="L26" s="535">
        <f>(SUMIFS('Commodity Prices'!$R$9:$R$2500,'Commodity Prices'!$A$9:$A$2500,'Mineral Sands - Prices'!F26,'Commodity Prices'!$B$9:$B$2500,3)+
SUMIFS('Commodity Prices'!$R$9:$R$2500,'Commodity Prices'!$A$9:$A$2500,'Mineral Sands - Prices'!F26,'Commodity Prices'!$B$9:$B$2500,4)+
SUMIFS('Commodity Prices'!$R$9:$R$2500,'Commodity Prices'!$A$9:$A$2500,'Mineral Sands - Prices'!G26,'Commodity Prices'!$B$9:$B$2500,1)+
SUMIFS('Commodity Prices'!$R$9:$R$2500,'Commodity Prices'!$A$9:$A$2500,'Mineral Sands - Prices'!G26,'Commodity Prices'!$B$9:$B$2500,2))
/(COUNTIFS('Commodity Prices'!$A$9:$A$2500,'Mineral Sands - Prices'!F26,'Commodity Prices'!$B$9:$B$2500,3)+
COUNTIFS('Commodity Prices'!$A$9:$A$2500,'Mineral Sands - Prices'!F26,'Commodity Prices'!$B$9:$B$2500,4)+
COUNTIFS('Commodity Prices'!$A$9:$A$2500,'Mineral Sands - Prices'!G26,'Commodity Prices'!$B$9:$B$2500,1)+
COUNTIFS('Commodity Prices'!$A$9:$A$2500,'Mineral Sands - Prices'!G26,'Commodity Prices'!$B$9:$B$2500,2))</f>
        <v>704.95759018036063</v>
      </c>
      <c r="M26" s="333">
        <f>(SUMIFS('Commodity Prices'!$S$9:$S$2500,'Commodity Prices'!$A$9:$A$2500,'Mineral Sands - Prices'!F26,'Commodity Prices'!$B$9:$B$2500,3)+
SUMIFS('Commodity Prices'!$S$9:$S$2500,'Commodity Prices'!$A$9:$A$2500,'Mineral Sands - Prices'!F26,'Commodity Prices'!$B$9:$B$2500,4)+
SUMIFS('Commodity Prices'!$S$9:$S$2500,'Commodity Prices'!$A$9:$A$2500,'Mineral Sands - Prices'!G26,'Commodity Prices'!$B$9:$B$2500,1)+
SUMIFS('Commodity Prices'!$S$9:$S$2500,'Commodity Prices'!$A$9:$A$2500,'Mineral Sands - Prices'!G26,'Commodity Prices'!$B$9:$B$2500,2))
/(COUNTIFS('Commodity Prices'!$A$9:$A$2500,'Mineral Sands - Prices'!F26,'Commodity Prices'!$B$9:$B$2500,3)+
COUNTIFS('Commodity Prices'!$A$9:$A$2500,'Mineral Sands - Prices'!F26,'Commodity Prices'!$B$9:$B$2500,4)+
COUNTIFS('Commodity Prices'!$A$9:$A$2500,'Mineral Sands - Prices'!G26,'Commodity Prices'!$B$9:$B$2500,1)+
COUNTIFS('Commodity Prices'!$A$9:$A$2500,'Mineral Sands - Prices'!G26,'Commodity Prices'!$B$9:$B$2500,2))</f>
        <v>704.36472727272724</v>
      </c>
      <c r="N26" s="535">
        <f>(SUMIFS('Commodity Prices'!$T$9:$T$2500,'Commodity Prices'!$A$9:$A$2500,'Mineral Sands - Prices'!F26,'Commodity Prices'!$B$9:$B$2500,3)+
SUMIFS('Commodity Prices'!$T$9:$T$2500,'Commodity Prices'!$A$9:$A$2500,'Mineral Sands - Prices'!F26,'Commodity Prices'!$B$9:$B$2500,4)+
SUMIFS('Commodity Prices'!$T$9:$T$2500,'Commodity Prices'!$A$9:$A$2500,'Mineral Sands - Prices'!G26,'Commodity Prices'!$B$9:$B$2500,1)+
SUMIFS('Commodity Prices'!$T$9:$T$2500,'Commodity Prices'!$A$9:$A$2500,'Mineral Sands - Prices'!G26,'Commodity Prices'!$B$9:$B$2500,2))
/(COUNTIFS('Commodity Prices'!$A$9:$A$2500,'Mineral Sands - Prices'!F26,'Commodity Prices'!$B$9:$B$2500,3)+
COUNTIFS('Commodity Prices'!$A$9:$A$2500,'Mineral Sands - Prices'!F26,'Commodity Prices'!$B$9:$B$2500,4)+
COUNTIFS('Commodity Prices'!$A$9:$A$2500,'Mineral Sands - Prices'!G26,'Commodity Prices'!$B$9:$B$2500,1)+
COUNTIFS('Commodity Prices'!$A$9:$A$2500,'Mineral Sands - Prices'!G26,'Commodity Prices'!$B$9:$B$2500,2))</f>
        <v>2422.8839436321332</v>
      </c>
    </row>
    <row r="27" spans="1:14">
      <c r="A27" s="610">
        <f>LARGE('Commodity Prices'!C$159:C$902,42)</f>
        <v>43101</v>
      </c>
      <c r="B27" s="957">
        <f>SUMIF('Commodity Prices'!C$159:C$902,A27,'Commodity Prices'!R$159:R$902)</f>
        <v>1206.4742616033755</v>
      </c>
      <c r="C27" s="1645">
        <f>SUMIF('Commodity Prices'!C$109:C$902,A27,'Commodity Prices'!S$109:S$902)</f>
        <v>1673.7133990507484</v>
      </c>
      <c r="D27" s="950">
        <f>SUMIF('Commodity Prices'!C$109:C$902,A27,'Commodity Prices'!T$109:T$902)</f>
        <v>3439.7963516953664</v>
      </c>
      <c r="E27" s="128"/>
      <c r="F27" s="128">
        <f t="shared" si="1"/>
        <v>2004</v>
      </c>
      <c r="G27" s="128">
        <f t="shared" si="1"/>
        <v>2005</v>
      </c>
      <c r="H27" s="960" t="str">
        <f t="shared" si="0"/>
        <v>2004-05</v>
      </c>
      <c r="I27" s="880">
        <f t="array" ref="I27">IF($H$6="Historic Calendar Year",IFERROR(AVERAGE(IF($H27=YEAR('Commodity Prices'!$C$9:$C$1000),'Commodity Prices'!$R$9:$R$1000)),"NA"),IFERROR(IF(L27=0,"NA",L27),"NA"))</f>
        <v>779.95059692518225</v>
      </c>
      <c r="J27" s="780">
        <f t="array" ref="J27">IF($H$6="Historic Calendar Year",IFERROR(AVERAGE(IF($H27=YEAR('Commodity Prices'!$C$9:$C$1000),'Commodity Prices'!$S$9:$S$1000)),"NA"),IFERROR(IF(M27=0,"NA",M27),"NA"))</f>
        <v>899.42520939804888</v>
      </c>
      <c r="K27" s="724">
        <f t="array" ref="K27">IF($H$6="Historic Calendar Year",IFERROR(AVERAGE(IF($H27=YEAR('Commodity Prices'!$C$9:$C$1000),'Commodity Prices'!$T$9:$T$1000)),"N/A"),IFERROR(IF(N27=0,"N/A",N27),"N/A"))</f>
        <v>2408.943139497032</v>
      </c>
      <c r="L27" s="535">
        <f>(SUMIFS('Commodity Prices'!$R$9:$R$2500,'Commodity Prices'!$A$9:$A$2500,'Mineral Sands - Prices'!F27,'Commodity Prices'!$B$9:$B$2500,3)+
SUMIFS('Commodity Prices'!$R$9:$R$2500,'Commodity Prices'!$A$9:$A$2500,'Mineral Sands - Prices'!F27,'Commodity Prices'!$B$9:$B$2500,4)+
SUMIFS('Commodity Prices'!$R$9:$R$2500,'Commodity Prices'!$A$9:$A$2500,'Mineral Sands - Prices'!G27,'Commodity Prices'!$B$9:$B$2500,1)+
SUMIFS('Commodity Prices'!$R$9:$R$2500,'Commodity Prices'!$A$9:$A$2500,'Mineral Sands - Prices'!G27,'Commodity Prices'!$B$9:$B$2500,2))
/(COUNTIFS('Commodity Prices'!$A$9:$A$2500,'Mineral Sands - Prices'!F27,'Commodity Prices'!$B$9:$B$2500,3)+
COUNTIFS('Commodity Prices'!$A$9:$A$2500,'Mineral Sands - Prices'!F27,'Commodity Prices'!$B$9:$B$2500,4)+
COUNTIFS('Commodity Prices'!$A$9:$A$2500,'Mineral Sands - Prices'!G27,'Commodity Prices'!$B$9:$B$2500,1)+
COUNTIFS('Commodity Prices'!$A$9:$A$2500,'Mineral Sands - Prices'!G27,'Commodity Prices'!$B$9:$B$2500,2))</f>
        <v>779.95059692518225</v>
      </c>
      <c r="M27" s="333">
        <f>(SUMIFS('Commodity Prices'!$S$9:$S$2500,'Commodity Prices'!$A$9:$A$2500,'Mineral Sands - Prices'!F27,'Commodity Prices'!$B$9:$B$2500,3)+
SUMIFS('Commodity Prices'!$S$9:$S$2500,'Commodity Prices'!$A$9:$A$2500,'Mineral Sands - Prices'!F27,'Commodity Prices'!$B$9:$B$2500,4)+
SUMIFS('Commodity Prices'!$S$9:$S$2500,'Commodity Prices'!$A$9:$A$2500,'Mineral Sands - Prices'!G27,'Commodity Prices'!$B$9:$B$2500,1)+
SUMIFS('Commodity Prices'!$S$9:$S$2500,'Commodity Prices'!$A$9:$A$2500,'Mineral Sands - Prices'!G27,'Commodity Prices'!$B$9:$B$2500,2))
/(COUNTIFS('Commodity Prices'!$A$9:$A$2500,'Mineral Sands - Prices'!F27,'Commodity Prices'!$B$9:$B$2500,3)+
COUNTIFS('Commodity Prices'!$A$9:$A$2500,'Mineral Sands - Prices'!F27,'Commodity Prices'!$B$9:$B$2500,4)+
COUNTIFS('Commodity Prices'!$A$9:$A$2500,'Mineral Sands - Prices'!G27,'Commodity Prices'!$B$9:$B$2500,1)+
COUNTIFS('Commodity Prices'!$A$9:$A$2500,'Mineral Sands - Prices'!G27,'Commodity Prices'!$B$9:$B$2500,2))</f>
        <v>899.42520939804888</v>
      </c>
      <c r="N27" s="535">
        <f>(SUMIFS('Commodity Prices'!$T$9:$T$2500,'Commodity Prices'!$A$9:$A$2500,'Mineral Sands - Prices'!F27,'Commodity Prices'!$B$9:$B$2500,3)+
SUMIFS('Commodity Prices'!$T$9:$T$2500,'Commodity Prices'!$A$9:$A$2500,'Mineral Sands - Prices'!F27,'Commodity Prices'!$B$9:$B$2500,4)+
SUMIFS('Commodity Prices'!$T$9:$T$2500,'Commodity Prices'!$A$9:$A$2500,'Mineral Sands - Prices'!G27,'Commodity Prices'!$B$9:$B$2500,1)+
SUMIFS('Commodity Prices'!$T$9:$T$2500,'Commodity Prices'!$A$9:$A$2500,'Mineral Sands - Prices'!G27,'Commodity Prices'!$B$9:$B$2500,2))
/(COUNTIFS('Commodity Prices'!$A$9:$A$2500,'Mineral Sands - Prices'!F27,'Commodity Prices'!$B$9:$B$2500,3)+
COUNTIFS('Commodity Prices'!$A$9:$A$2500,'Mineral Sands - Prices'!F27,'Commodity Prices'!$B$9:$B$2500,4)+
COUNTIFS('Commodity Prices'!$A$9:$A$2500,'Mineral Sands - Prices'!G27,'Commodity Prices'!$B$9:$B$2500,1)+
COUNTIFS('Commodity Prices'!$A$9:$A$2500,'Mineral Sands - Prices'!G27,'Commodity Prices'!$B$9:$B$2500,2))</f>
        <v>2408.943139497032</v>
      </c>
    </row>
    <row r="28" spans="1:14">
      <c r="A28" s="611">
        <f>LARGE('Commodity Prices'!C$159:C$902,41)</f>
        <v>43132</v>
      </c>
      <c r="B28" s="880">
        <f>SUMIF('Commodity Prices'!C$159:C$902,A28,'Commodity Prices'!R$159:R$902)</f>
        <v>1294.9728155339806</v>
      </c>
      <c r="C28" s="780">
        <f>SUMIF('Commodity Prices'!C$109:C$902,A28,'Commodity Prices'!S$109:S$902)</f>
        <v>1855.9223646723647</v>
      </c>
      <c r="D28" s="724">
        <f>SUMIF('Commodity Prices'!C$109:C$902,A28,'Commodity Prices'!T$109:T$902)</f>
        <v>3647.919888480154</v>
      </c>
      <c r="E28" s="128"/>
      <c r="F28" s="128">
        <f t="shared" si="1"/>
        <v>2005</v>
      </c>
      <c r="G28" s="128">
        <f t="shared" si="1"/>
        <v>2006</v>
      </c>
      <c r="H28" s="959" t="str">
        <f t="shared" si="0"/>
        <v>2005-06</v>
      </c>
      <c r="I28" s="957">
        <f t="array" ref="I28">IF($H$6="Historic Calendar Year",IFERROR(AVERAGE(IF($H28=YEAR('Commodity Prices'!$C$9:$C$1000),'Commodity Prices'!$R$9:$R$1000)),"NA"),IFERROR(IF(L28=0,"NA",L28),"NA"))</f>
        <v>892.35060984697031</v>
      </c>
      <c r="J28" s="1645">
        <f t="array" ref="J28">IF($H$6="Historic Calendar Year",IFERROR(AVERAGE(IF($H28=YEAR('Commodity Prices'!$C$9:$C$1000),'Commodity Prices'!$S$9:$S$1000)),"NA"),IFERROR(IF(M28=0,"NA",M28),"NA"))</f>
        <v>1074.4946528233477</v>
      </c>
      <c r="K28" s="950">
        <f t="array" ref="K28">IF($H$6="Historic Calendar Year",IFERROR(AVERAGE(IF($H28=YEAR('Commodity Prices'!$C$9:$C$1000),'Commodity Prices'!$T$9:$T$1000)),"N/A"),IFERROR(IF(N28=0,"N/A",N28),"N/A"))</f>
        <v>2485.448313981547</v>
      </c>
      <c r="L28" s="535">
        <f>(SUMIFS('Commodity Prices'!$R$9:$R$2500,'Commodity Prices'!$A$9:$A$2500,'Mineral Sands - Prices'!F28,'Commodity Prices'!$B$9:$B$2500,3)+
SUMIFS('Commodity Prices'!$R$9:$R$2500,'Commodity Prices'!$A$9:$A$2500,'Mineral Sands - Prices'!F28,'Commodity Prices'!$B$9:$B$2500,4)+
SUMIFS('Commodity Prices'!$R$9:$R$2500,'Commodity Prices'!$A$9:$A$2500,'Mineral Sands - Prices'!G28,'Commodity Prices'!$B$9:$B$2500,1)+
SUMIFS('Commodity Prices'!$R$9:$R$2500,'Commodity Prices'!$A$9:$A$2500,'Mineral Sands - Prices'!G28,'Commodity Prices'!$B$9:$B$2500,2))
/(COUNTIFS('Commodity Prices'!$A$9:$A$2500,'Mineral Sands - Prices'!F28,'Commodity Prices'!$B$9:$B$2500,3)+
COUNTIFS('Commodity Prices'!$A$9:$A$2500,'Mineral Sands - Prices'!F28,'Commodity Prices'!$B$9:$B$2500,4)+
COUNTIFS('Commodity Prices'!$A$9:$A$2500,'Mineral Sands - Prices'!G28,'Commodity Prices'!$B$9:$B$2500,1)+
COUNTIFS('Commodity Prices'!$A$9:$A$2500,'Mineral Sands - Prices'!G28,'Commodity Prices'!$B$9:$B$2500,2))</f>
        <v>892.35060984697031</v>
      </c>
      <c r="M28" s="333">
        <f>(SUMIFS('Commodity Prices'!$S$9:$S$2500,'Commodity Prices'!$A$9:$A$2500,'Mineral Sands - Prices'!F28,'Commodity Prices'!$B$9:$B$2500,3)+
SUMIFS('Commodity Prices'!$S$9:$S$2500,'Commodity Prices'!$A$9:$A$2500,'Mineral Sands - Prices'!F28,'Commodity Prices'!$B$9:$B$2500,4)+
SUMIFS('Commodity Prices'!$S$9:$S$2500,'Commodity Prices'!$A$9:$A$2500,'Mineral Sands - Prices'!G28,'Commodity Prices'!$B$9:$B$2500,1)+
SUMIFS('Commodity Prices'!$S$9:$S$2500,'Commodity Prices'!$A$9:$A$2500,'Mineral Sands - Prices'!G28,'Commodity Prices'!$B$9:$B$2500,2))
/(COUNTIFS('Commodity Prices'!$A$9:$A$2500,'Mineral Sands - Prices'!F28,'Commodity Prices'!$B$9:$B$2500,3)+
COUNTIFS('Commodity Prices'!$A$9:$A$2500,'Mineral Sands - Prices'!F28,'Commodity Prices'!$B$9:$B$2500,4)+
COUNTIFS('Commodity Prices'!$A$9:$A$2500,'Mineral Sands - Prices'!G28,'Commodity Prices'!$B$9:$B$2500,1)+
COUNTIFS('Commodity Prices'!$A$9:$A$2500,'Mineral Sands - Prices'!G28,'Commodity Prices'!$B$9:$B$2500,2))</f>
        <v>1074.4946528233477</v>
      </c>
      <c r="N28" s="535">
        <f>(SUMIFS('Commodity Prices'!$T$9:$T$2500,'Commodity Prices'!$A$9:$A$2500,'Mineral Sands - Prices'!F28,'Commodity Prices'!$B$9:$B$2500,3)+
SUMIFS('Commodity Prices'!$T$9:$T$2500,'Commodity Prices'!$A$9:$A$2500,'Mineral Sands - Prices'!F28,'Commodity Prices'!$B$9:$B$2500,4)+
SUMIFS('Commodity Prices'!$T$9:$T$2500,'Commodity Prices'!$A$9:$A$2500,'Mineral Sands - Prices'!G28,'Commodity Prices'!$B$9:$B$2500,1)+
SUMIFS('Commodity Prices'!$T$9:$T$2500,'Commodity Prices'!$A$9:$A$2500,'Mineral Sands - Prices'!G28,'Commodity Prices'!$B$9:$B$2500,2))
/(COUNTIFS('Commodity Prices'!$A$9:$A$2500,'Mineral Sands - Prices'!F28,'Commodity Prices'!$B$9:$B$2500,3)+
COUNTIFS('Commodity Prices'!$A$9:$A$2500,'Mineral Sands - Prices'!F28,'Commodity Prices'!$B$9:$B$2500,4)+
COUNTIFS('Commodity Prices'!$A$9:$A$2500,'Mineral Sands - Prices'!G28,'Commodity Prices'!$B$9:$B$2500,1)+
COUNTIFS('Commodity Prices'!$A$9:$A$2500,'Mineral Sands - Prices'!G28,'Commodity Prices'!$B$9:$B$2500,2))</f>
        <v>2485.448313981547</v>
      </c>
    </row>
    <row r="29" spans="1:14">
      <c r="A29" s="610">
        <f>LARGE('Commodity Prices'!C$159:C$902,40)</f>
        <v>43160</v>
      </c>
      <c r="B29" s="957">
        <f>SUMIF('Commodity Prices'!C$159:C$902,A29,'Commodity Prices'!R$159:R$902)</f>
        <v>1293.3423787528868</v>
      </c>
      <c r="C29" s="1645">
        <f>SUMIF('Commodity Prices'!C$109:C$902,A29,'Commodity Prices'!S$109:S$902)</f>
        <v>1740.1903616600866</v>
      </c>
      <c r="D29" s="950">
        <f>SUMIF('Commodity Prices'!C$109:C$902,A29,'Commodity Prices'!T$109:T$902)</f>
        <v>3711.1017650671383</v>
      </c>
      <c r="E29" s="128"/>
      <c r="F29" s="128">
        <f t="shared" si="1"/>
        <v>2006</v>
      </c>
      <c r="G29" s="128">
        <f t="shared" si="1"/>
        <v>2007</v>
      </c>
      <c r="H29" s="960" t="str">
        <f t="shared" si="0"/>
        <v>2006-07</v>
      </c>
      <c r="I29" s="880">
        <f t="array" ref="I29">IF($H$6="Historic Calendar Year",IFERROR(AVERAGE(IF($H29=YEAR('Commodity Prices'!$C$9:$C$1000),'Commodity Prices'!$R$9:$R$1000)),"NA"),IFERROR(IF(L29=0,"NA",L29),"NA"))</f>
        <v>872.60628300150393</v>
      </c>
      <c r="J29" s="780">
        <f t="array" ref="J29">IF($H$6="Historic Calendar Year",IFERROR(AVERAGE(IF($H29=YEAR('Commodity Prices'!$C$9:$C$1000),'Commodity Prices'!$S$9:$S$1000)),"NA"),IFERROR(IF(M29=0,"NA",M29),"NA"))</f>
        <v>1119.6279421724726</v>
      </c>
      <c r="K29" s="724">
        <f t="array" ref="K29">IF($H$6="Historic Calendar Year",IFERROR(AVERAGE(IF($H29=YEAR('Commodity Prices'!$C$9:$C$1000),'Commodity Prices'!$T$9:$T$1000)),"N/A"),IFERROR(IF(N29=0,"N/A",N29),"N/A"))</f>
        <v>2396.2535314943398</v>
      </c>
      <c r="L29" s="535">
        <f>(SUMIFS('Commodity Prices'!$R$9:$R$2500,'Commodity Prices'!$A$9:$A$2500,'Mineral Sands - Prices'!F29,'Commodity Prices'!$B$9:$B$2500,3)+
SUMIFS('Commodity Prices'!$R$9:$R$2500,'Commodity Prices'!$A$9:$A$2500,'Mineral Sands - Prices'!F29,'Commodity Prices'!$B$9:$B$2500,4)+
SUMIFS('Commodity Prices'!$R$9:$R$2500,'Commodity Prices'!$A$9:$A$2500,'Mineral Sands - Prices'!G29,'Commodity Prices'!$B$9:$B$2500,1)+
SUMIFS('Commodity Prices'!$R$9:$R$2500,'Commodity Prices'!$A$9:$A$2500,'Mineral Sands - Prices'!G29,'Commodity Prices'!$B$9:$B$2500,2))
/(COUNTIFS('Commodity Prices'!$A$9:$A$2500,'Mineral Sands - Prices'!F29,'Commodity Prices'!$B$9:$B$2500,3)+
COUNTIFS('Commodity Prices'!$A$9:$A$2500,'Mineral Sands - Prices'!F29,'Commodity Prices'!$B$9:$B$2500,4)+
COUNTIFS('Commodity Prices'!$A$9:$A$2500,'Mineral Sands - Prices'!G29,'Commodity Prices'!$B$9:$B$2500,1)+
COUNTIFS('Commodity Prices'!$A$9:$A$2500,'Mineral Sands - Prices'!G29,'Commodity Prices'!$B$9:$B$2500,2))</f>
        <v>872.60628300150393</v>
      </c>
      <c r="M29" s="333">
        <f>(SUMIFS('Commodity Prices'!$S$9:$S$2500,'Commodity Prices'!$A$9:$A$2500,'Mineral Sands - Prices'!F29,'Commodity Prices'!$B$9:$B$2500,3)+
SUMIFS('Commodity Prices'!$S$9:$S$2500,'Commodity Prices'!$A$9:$A$2500,'Mineral Sands - Prices'!F29,'Commodity Prices'!$B$9:$B$2500,4)+
SUMIFS('Commodity Prices'!$S$9:$S$2500,'Commodity Prices'!$A$9:$A$2500,'Mineral Sands - Prices'!G29,'Commodity Prices'!$B$9:$B$2500,1)+
SUMIFS('Commodity Prices'!$S$9:$S$2500,'Commodity Prices'!$A$9:$A$2500,'Mineral Sands - Prices'!G29,'Commodity Prices'!$B$9:$B$2500,2))
/(COUNTIFS('Commodity Prices'!$A$9:$A$2500,'Mineral Sands - Prices'!F29,'Commodity Prices'!$B$9:$B$2500,3)+
COUNTIFS('Commodity Prices'!$A$9:$A$2500,'Mineral Sands - Prices'!F29,'Commodity Prices'!$B$9:$B$2500,4)+
COUNTIFS('Commodity Prices'!$A$9:$A$2500,'Mineral Sands - Prices'!G29,'Commodity Prices'!$B$9:$B$2500,1)+
COUNTIFS('Commodity Prices'!$A$9:$A$2500,'Mineral Sands - Prices'!G29,'Commodity Prices'!$B$9:$B$2500,2))</f>
        <v>1119.6279421724726</v>
      </c>
      <c r="N29" s="535">
        <f>(SUMIFS('Commodity Prices'!$T$9:$T$2500,'Commodity Prices'!$A$9:$A$2500,'Mineral Sands - Prices'!F29,'Commodity Prices'!$B$9:$B$2500,3)+
SUMIFS('Commodity Prices'!$T$9:$T$2500,'Commodity Prices'!$A$9:$A$2500,'Mineral Sands - Prices'!F29,'Commodity Prices'!$B$9:$B$2500,4)+
SUMIFS('Commodity Prices'!$T$9:$T$2500,'Commodity Prices'!$A$9:$A$2500,'Mineral Sands - Prices'!G29,'Commodity Prices'!$B$9:$B$2500,1)+
SUMIFS('Commodity Prices'!$T$9:$T$2500,'Commodity Prices'!$A$9:$A$2500,'Mineral Sands - Prices'!G29,'Commodity Prices'!$B$9:$B$2500,2))
/(COUNTIFS('Commodity Prices'!$A$9:$A$2500,'Mineral Sands - Prices'!F29,'Commodity Prices'!$B$9:$B$2500,3)+
COUNTIFS('Commodity Prices'!$A$9:$A$2500,'Mineral Sands - Prices'!F29,'Commodity Prices'!$B$9:$B$2500,4)+
COUNTIFS('Commodity Prices'!$A$9:$A$2500,'Mineral Sands - Prices'!G29,'Commodity Prices'!$B$9:$B$2500,1)+
COUNTIFS('Commodity Prices'!$A$9:$A$2500,'Mineral Sands - Prices'!G29,'Commodity Prices'!$B$9:$B$2500,2))</f>
        <v>2396.2535314943398</v>
      </c>
    </row>
    <row r="30" spans="1:14">
      <c r="A30" s="611">
        <f>LARGE('Commodity Prices'!C$159:C$902,39)</f>
        <v>43191</v>
      </c>
      <c r="B30" s="880">
        <f>SUMIF('Commodity Prices'!C$159:C$902,A30,'Commodity Prices'!R$159:R$902)</f>
        <v>1245.1258426966292</v>
      </c>
      <c r="C30" s="780">
        <f>SUMIF('Commodity Prices'!C$109:C$902,A30,'Commodity Prices'!S$109:S$902)</f>
        <v>1872.7807713239965</v>
      </c>
      <c r="D30" s="724">
        <f>SUMIF('Commodity Prices'!C$109:C$902,A30,'Commodity Prices'!T$109:T$902)</f>
        <v>3829.8576960531391</v>
      </c>
      <c r="E30" s="128"/>
      <c r="F30" s="128">
        <f t="shared" si="1"/>
        <v>2007</v>
      </c>
      <c r="G30" s="128">
        <f t="shared" si="1"/>
        <v>2008</v>
      </c>
      <c r="H30" s="959" t="str">
        <f t="shared" si="0"/>
        <v>2007-08</v>
      </c>
      <c r="I30" s="957">
        <f t="array" ref="I30">IF($H$6="Historic Calendar Year",IFERROR(AVERAGE(IF($H30=YEAR('Commodity Prices'!$C$9:$C$1000),'Commodity Prices'!$R$9:$R$1000)),"NA"),IFERROR(IF(L30=0,"NA",L30),"NA"))</f>
        <v>751.56060953995359</v>
      </c>
      <c r="J30" s="1645">
        <f t="array" ref="J30">IF($H$6="Historic Calendar Year",IFERROR(AVERAGE(IF($H30=YEAR('Commodity Prices'!$C$9:$C$1000),'Commodity Prices'!$S$9:$S$1000)),"NA"),IFERROR(IF(M30=0,"NA",M30),"NA"))</f>
        <v>956.47399672205484</v>
      </c>
      <c r="K30" s="950">
        <f t="array" ref="K30">IF($H$6="Historic Calendar Year",IFERROR(AVERAGE(IF($H30=YEAR('Commodity Prices'!$C$9:$C$1000),'Commodity Prices'!$T$9:$T$1000)),"N/A"),IFERROR(IF(N30=0,"N/A",N30),"N/A"))</f>
        <v>2137.7476522435632</v>
      </c>
      <c r="L30" s="535">
        <f>(SUMIFS('Commodity Prices'!$R$9:$R$2500,'Commodity Prices'!$A$9:$A$2500,'Mineral Sands - Prices'!F30,'Commodity Prices'!$B$9:$B$2500,3)+
SUMIFS('Commodity Prices'!$R$9:$R$2500,'Commodity Prices'!$A$9:$A$2500,'Mineral Sands - Prices'!F30,'Commodity Prices'!$B$9:$B$2500,4)+
SUMIFS('Commodity Prices'!$R$9:$R$2500,'Commodity Prices'!$A$9:$A$2500,'Mineral Sands - Prices'!G30,'Commodity Prices'!$B$9:$B$2500,1)+
SUMIFS('Commodity Prices'!$R$9:$R$2500,'Commodity Prices'!$A$9:$A$2500,'Mineral Sands - Prices'!G30,'Commodity Prices'!$B$9:$B$2500,2))
/(COUNTIFS('Commodity Prices'!$A$9:$A$2500,'Mineral Sands - Prices'!F30,'Commodity Prices'!$B$9:$B$2500,3)+
COUNTIFS('Commodity Prices'!$A$9:$A$2500,'Mineral Sands - Prices'!F30,'Commodity Prices'!$B$9:$B$2500,4)+
COUNTIFS('Commodity Prices'!$A$9:$A$2500,'Mineral Sands - Prices'!G30,'Commodity Prices'!$B$9:$B$2500,1)+
COUNTIFS('Commodity Prices'!$A$9:$A$2500,'Mineral Sands - Prices'!G30,'Commodity Prices'!$B$9:$B$2500,2))</f>
        <v>751.56060953995359</v>
      </c>
      <c r="M30" s="333">
        <f>(SUMIFS('Commodity Prices'!$S$9:$S$2500,'Commodity Prices'!$A$9:$A$2500,'Mineral Sands - Prices'!F30,'Commodity Prices'!$B$9:$B$2500,3)+
SUMIFS('Commodity Prices'!$S$9:$S$2500,'Commodity Prices'!$A$9:$A$2500,'Mineral Sands - Prices'!F30,'Commodity Prices'!$B$9:$B$2500,4)+
SUMIFS('Commodity Prices'!$S$9:$S$2500,'Commodity Prices'!$A$9:$A$2500,'Mineral Sands - Prices'!G30,'Commodity Prices'!$B$9:$B$2500,1)+
SUMIFS('Commodity Prices'!$S$9:$S$2500,'Commodity Prices'!$A$9:$A$2500,'Mineral Sands - Prices'!G30,'Commodity Prices'!$B$9:$B$2500,2))
/(COUNTIFS('Commodity Prices'!$A$9:$A$2500,'Mineral Sands - Prices'!F30,'Commodity Prices'!$B$9:$B$2500,3)+
COUNTIFS('Commodity Prices'!$A$9:$A$2500,'Mineral Sands - Prices'!F30,'Commodity Prices'!$B$9:$B$2500,4)+
COUNTIFS('Commodity Prices'!$A$9:$A$2500,'Mineral Sands - Prices'!G30,'Commodity Prices'!$B$9:$B$2500,1)+
COUNTIFS('Commodity Prices'!$A$9:$A$2500,'Mineral Sands - Prices'!G30,'Commodity Prices'!$B$9:$B$2500,2))</f>
        <v>956.47399672205484</v>
      </c>
      <c r="N30" s="535">
        <f>(SUMIFS('Commodity Prices'!$T$9:$T$2500,'Commodity Prices'!$A$9:$A$2500,'Mineral Sands - Prices'!F30,'Commodity Prices'!$B$9:$B$2500,3)+
SUMIFS('Commodity Prices'!$T$9:$T$2500,'Commodity Prices'!$A$9:$A$2500,'Mineral Sands - Prices'!F30,'Commodity Prices'!$B$9:$B$2500,4)+
SUMIFS('Commodity Prices'!$T$9:$T$2500,'Commodity Prices'!$A$9:$A$2500,'Mineral Sands - Prices'!G30,'Commodity Prices'!$B$9:$B$2500,1)+
SUMIFS('Commodity Prices'!$T$9:$T$2500,'Commodity Prices'!$A$9:$A$2500,'Mineral Sands - Prices'!G30,'Commodity Prices'!$B$9:$B$2500,2))
/(COUNTIFS('Commodity Prices'!$A$9:$A$2500,'Mineral Sands - Prices'!F30,'Commodity Prices'!$B$9:$B$2500,3)+
COUNTIFS('Commodity Prices'!$A$9:$A$2500,'Mineral Sands - Prices'!F30,'Commodity Prices'!$B$9:$B$2500,4)+
COUNTIFS('Commodity Prices'!$A$9:$A$2500,'Mineral Sands - Prices'!G30,'Commodity Prices'!$B$9:$B$2500,1)+
COUNTIFS('Commodity Prices'!$A$9:$A$2500,'Mineral Sands - Prices'!G30,'Commodity Prices'!$B$9:$B$2500,2))</f>
        <v>2137.7476522435632</v>
      </c>
    </row>
    <row r="31" spans="1:14">
      <c r="A31" s="610">
        <f>LARGE('Commodity Prices'!C$159:C$902,38)</f>
        <v>43221</v>
      </c>
      <c r="B31" s="957">
        <f>SUMIF('Commodity Prices'!C$159:C$902,A31,'Commodity Prices'!R$159:R$902)</f>
        <v>1341.9234072314189</v>
      </c>
      <c r="C31" s="1645">
        <f>SUMIF('Commodity Prices'!C$109:C$902,A31,'Commodity Prices'!S$109:S$902)</f>
        <v>1938.025706940874</v>
      </c>
      <c r="D31" s="950">
        <f>SUMIF('Commodity Prices'!C$109:C$902,A31,'Commodity Prices'!T$109:T$902)</f>
        <v>3914.158773425951</v>
      </c>
      <c r="E31" s="128"/>
      <c r="F31" s="128">
        <f t="shared" si="1"/>
        <v>2008</v>
      </c>
      <c r="G31" s="128">
        <f t="shared" si="1"/>
        <v>2009</v>
      </c>
      <c r="H31" s="960" t="str">
        <f t="shared" si="0"/>
        <v>2008-09</v>
      </c>
      <c r="I31" s="880">
        <f t="array" ref="I31">IF($H$6="Historic Calendar Year",IFERROR(AVERAGE(IF($H31=YEAR('Commodity Prices'!$C$9:$C$1000),'Commodity Prices'!$R$9:$R$1000)),"NA"),IFERROR(IF(L31=0,"NA",L31),"NA"))</f>
        <v>1081.079337006973</v>
      </c>
      <c r="J31" s="780">
        <f t="array" ref="J31">IF($H$6="Historic Calendar Year",IFERROR(AVERAGE(IF($H31=YEAR('Commodity Prices'!$C$9:$C$1000),'Commodity Prices'!$S$9:$S$1000)),"NA"),IFERROR(IF(M31=0,"NA",M31),"NA"))</f>
        <v>1201.1863950812642</v>
      </c>
      <c r="K31" s="724">
        <f t="array" ref="K31">IF($H$6="Historic Calendar Year",IFERROR(AVERAGE(IF($H31=YEAR('Commodity Prices'!$C$9:$C$1000),'Commodity Prices'!$T$9:$T$1000)),"N/A"),IFERROR(IF(N31=0,"N/A",N31),"N/A"))</f>
        <v>2870.6293694457777</v>
      </c>
      <c r="L31" s="535">
        <f>(SUMIFS('Commodity Prices'!$R$9:$R$2500,'Commodity Prices'!$A$9:$A$2500,'Mineral Sands - Prices'!F31,'Commodity Prices'!$B$9:$B$2500,3)+
SUMIFS('Commodity Prices'!$R$9:$R$2500,'Commodity Prices'!$A$9:$A$2500,'Mineral Sands - Prices'!F31,'Commodity Prices'!$B$9:$B$2500,4)+
SUMIFS('Commodity Prices'!$R$9:$R$2500,'Commodity Prices'!$A$9:$A$2500,'Mineral Sands - Prices'!G31,'Commodity Prices'!$B$9:$B$2500,1)+
SUMIFS('Commodity Prices'!$R$9:$R$2500,'Commodity Prices'!$A$9:$A$2500,'Mineral Sands - Prices'!G31,'Commodity Prices'!$B$9:$B$2500,2))
/(COUNTIFS('Commodity Prices'!$A$9:$A$2500,'Mineral Sands - Prices'!F31,'Commodity Prices'!$B$9:$B$2500,3)+
COUNTIFS('Commodity Prices'!$A$9:$A$2500,'Mineral Sands - Prices'!F31,'Commodity Prices'!$B$9:$B$2500,4)+
COUNTIFS('Commodity Prices'!$A$9:$A$2500,'Mineral Sands - Prices'!G31,'Commodity Prices'!$B$9:$B$2500,1)+
COUNTIFS('Commodity Prices'!$A$9:$A$2500,'Mineral Sands - Prices'!G31,'Commodity Prices'!$B$9:$B$2500,2))</f>
        <v>1081.079337006973</v>
      </c>
      <c r="M31" s="333">
        <f>(SUMIFS('Commodity Prices'!$S$9:$S$2500,'Commodity Prices'!$A$9:$A$2500,'Mineral Sands - Prices'!F31,'Commodity Prices'!$B$9:$B$2500,3)+
SUMIFS('Commodity Prices'!$S$9:$S$2500,'Commodity Prices'!$A$9:$A$2500,'Mineral Sands - Prices'!F31,'Commodity Prices'!$B$9:$B$2500,4)+
SUMIFS('Commodity Prices'!$S$9:$S$2500,'Commodity Prices'!$A$9:$A$2500,'Mineral Sands - Prices'!G31,'Commodity Prices'!$B$9:$B$2500,1)+
SUMIFS('Commodity Prices'!$S$9:$S$2500,'Commodity Prices'!$A$9:$A$2500,'Mineral Sands - Prices'!G31,'Commodity Prices'!$B$9:$B$2500,2))
/(COUNTIFS('Commodity Prices'!$A$9:$A$2500,'Mineral Sands - Prices'!F31,'Commodity Prices'!$B$9:$B$2500,3)+
COUNTIFS('Commodity Prices'!$A$9:$A$2500,'Mineral Sands - Prices'!F31,'Commodity Prices'!$B$9:$B$2500,4)+
COUNTIFS('Commodity Prices'!$A$9:$A$2500,'Mineral Sands - Prices'!G31,'Commodity Prices'!$B$9:$B$2500,1)+
COUNTIFS('Commodity Prices'!$A$9:$A$2500,'Mineral Sands - Prices'!G31,'Commodity Prices'!$B$9:$B$2500,2))</f>
        <v>1201.1863950812642</v>
      </c>
      <c r="N31" s="535">
        <f>(SUMIFS('Commodity Prices'!$T$9:$T$2500,'Commodity Prices'!$A$9:$A$2500,'Mineral Sands - Prices'!F31,'Commodity Prices'!$B$9:$B$2500,3)+
SUMIFS('Commodity Prices'!$T$9:$T$2500,'Commodity Prices'!$A$9:$A$2500,'Mineral Sands - Prices'!F31,'Commodity Prices'!$B$9:$B$2500,4)+
SUMIFS('Commodity Prices'!$T$9:$T$2500,'Commodity Prices'!$A$9:$A$2500,'Mineral Sands - Prices'!G31,'Commodity Prices'!$B$9:$B$2500,1)+
SUMIFS('Commodity Prices'!$T$9:$T$2500,'Commodity Prices'!$A$9:$A$2500,'Mineral Sands - Prices'!G31,'Commodity Prices'!$B$9:$B$2500,2))
/(COUNTIFS('Commodity Prices'!$A$9:$A$2500,'Mineral Sands - Prices'!F31,'Commodity Prices'!$B$9:$B$2500,3)+
COUNTIFS('Commodity Prices'!$A$9:$A$2500,'Mineral Sands - Prices'!F31,'Commodity Prices'!$B$9:$B$2500,4)+
COUNTIFS('Commodity Prices'!$A$9:$A$2500,'Mineral Sands - Prices'!G31,'Commodity Prices'!$B$9:$B$2500,1)+
COUNTIFS('Commodity Prices'!$A$9:$A$2500,'Mineral Sands - Prices'!G31,'Commodity Prices'!$B$9:$B$2500,2))</f>
        <v>2870.6293694457777</v>
      </c>
    </row>
    <row r="32" spans="1:14">
      <c r="A32" s="611">
        <f>LARGE('Commodity Prices'!C$159:C$902,37)</f>
        <v>43252</v>
      </c>
      <c r="B32" s="880">
        <f>SUMIF('Commodity Prices'!C$159:C$902,A32,'Commodity Prices'!R$159:R$902)</f>
        <v>1373.1087239583333</v>
      </c>
      <c r="C32" s="780">
        <f>SUMIF('Commodity Prices'!C$109:C$902,A32,'Commodity Prices'!S$109:S$902)</f>
        <v>1895.1131188347008</v>
      </c>
      <c r="D32" s="724">
        <f>SUMIF('Commodity Prices'!C$109:C$902,A32,'Commodity Prices'!T$109:T$902)</f>
        <v>3884.3987550359866</v>
      </c>
      <c r="E32" s="128"/>
      <c r="F32" s="128">
        <f t="shared" si="1"/>
        <v>2009</v>
      </c>
      <c r="G32" s="128">
        <f t="shared" si="1"/>
        <v>2010</v>
      </c>
      <c r="H32" s="959" t="str">
        <f t="shared" si="0"/>
        <v>2009-10</v>
      </c>
      <c r="I32" s="957">
        <f t="array" ref="I32">IF($H$6="Historic Calendar Year",IFERROR(AVERAGE(IF($H32=YEAR('Commodity Prices'!$C$9:$C$1000),'Commodity Prices'!$R$9:$R$1000)),"NA"),IFERROR(IF(L32=0,"NA",L32),"NA"))</f>
        <v>972.22897337902157</v>
      </c>
      <c r="J32" s="1645">
        <f t="array" ref="J32">IF($H$6="Historic Calendar Year",IFERROR(AVERAGE(IF($H32=YEAR('Commodity Prices'!$C$9:$C$1000),'Commodity Prices'!$S$9:$S$1000)),"NA"),IFERROR(IF(M32=0,"NA",M32),"NA"))</f>
        <v>1065.8881852846446</v>
      </c>
      <c r="K32" s="950">
        <f t="array" ref="K32">IF($H$6="Historic Calendar Year",IFERROR(AVERAGE(IF($H32=YEAR('Commodity Prices'!$C$9:$C$1000),'Commodity Prices'!$T$9:$T$1000)),"N/A"),IFERROR(IF(N32=0,"N/A",N32),"N/A"))</f>
        <v>2473.6933835304098</v>
      </c>
      <c r="L32" s="535">
        <f>(SUMIFS('Commodity Prices'!$R$9:$R$2500,'Commodity Prices'!$A$9:$A$2500,'Mineral Sands - Prices'!F32,'Commodity Prices'!$B$9:$B$2500,3)+
SUMIFS('Commodity Prices'!$R$9:$R$2500,'Commodity Prices'!$A$9:$A$2500,'Mineral Sands - Prices'!F32,'Commodity Prices'!$B$9:$B$2500,4)+
SUMIFS('Commodity Prices'!$R$9:$R$2500,'Commodity Prices'!$A$9:$A$2500,'Mineral Sands - Prices'!G32,'Commodity Prices'!$B$9:$B$2500,1)+
SUMIFS('Commodity Prices'!$R$9:$R$2500,'Commodity Prices'!$A$9:$A$2500,'Mineral Sands - Prices'!G32,'Commodity Prices'!$B$9:$B$2500,2))
/(COUNTIFS('Commodity Prices'!$A$9:$A$2500,'Mineral Sands - Prices'!F32,'Commodity Prices'!$B$9:$B$2500,3)+
COUNTIFS('Commodity Prices'!$A$9:$A$2500,'Mineral Sands - Prices'!F32,'Commodity Prices'!$B$9:$B$2500,4)+
COUNTIFS('Commodity Prices'!$A$9:$A$2500,'Mineral Sands - Prices'!G32,'Commodity Prices'!$B$9:$B$2500,1)+
COUNTIFS('Commodity Prices'!$A$9:$A$2500,'Mineral Sands - Prices'!G32,'Commodity Prices'!$B$9:$B$2500,2))</f>
        <v>972.22897337902157</v>
      </c>
      <c r="M32" s="333">
        <f>(SUMIFS('Commodity Prices'!$S$9:$S$2500,'Commodity Prices'!$A$9:$A$2500,'Mineral Sands - Prices'!F32,'Commodity Prices'!$B$9:$B$2500,3)+
SUMIFS('Commodity Prices'!$S$9:$S$2500,'Commodity Prices'!$A$9:$A$2500,'Mineral Sands - Prices'!F32,'Commodity Prices'!$B$9:$B$2500,4)+
SUMIFS('Commodity Prices'!$S$9:$S$2500,'Commodity Prices'!$A$9:$A$2500,'Mineral Sands - Prices'!G32,'Commodity Prices'!$B$9:$B$2500,1)+
SUMIFS('Commodity Prices'!$S$9:$S$2500,'Commodity Prices'!$A$9:$A$2500,'Mineral Sands - Prices'!G32,'Commodity Prices'!$B$9:$B$2500,2))
/(COUNTIFS('Commodity Prices'!$A$9:$A$2500,'Mineral Sands - Prices'!F32,'Commodity Prices'!$B$9:$B$2500,3)+
COUNTIFS('Commodity Prices'!$A$9:$A$2500,'Mineral Sands - Prices'!F32,'Commodity Prices'!$B$9:$B$2500,4)+
COUNTIFS('Commodity Prices'!$A$9:$A$2500,'Mineral Sands - Prices'!G32,'Commodity Prices'!$B$9:$B$2500,1)+
COUNTIFS('Commodity Prices'!$A$9:$A$2500,'Mineral Sands - Prices'!G32,'Commodity Prices'!$B$9:$B$2500,2))</f>
        <v>1065.8881852846446</v>
      </c>
      <c r="N32" s="535">
        <f>(SUMIFS('Commodity Prices'!$T$9:$T$2500,'Commodity Prices'!$A$9:$A$2500,'Mineral Sands - Prices'!F32,'Commodity Prices'!$B$9:$B$2500,3)+
SUMIFS('Commodity Prices'!$T$9:$T$2500,'Commodity Prices'!$A$9:$A$2500,'Mineral Sands - Prices'!F32,'Commodity Prices'!$B$9:$B$2500,4)+
SUMIFS('Commodity Prices'!$T$9:$T$2500,'Commodity Prices'!$A$9:$A$2500,'Mineral Sands - Prices'!G32,'Commodity Prices'!$B$9:$B$2500,1)+
SUMIFS('Commodity Prices'!$T$9:$T$2500,'Commodity Prices'!$A$9:$A$2500,'Mineral Sands - Prices'!G32,'Commodity Prices'!$B$9:$B$2500,2))
/(COUNTIFS('Commodity Prices'!$A$9:$A$2500,'Mineral Sands - Prices'!F32,'Commodity Prices'!$B$9:$B$2500,3)+
COUNTIFS('Commodity Prices'!$A$9:$A$2500,'Mineral Sands - Prices'!F32,'Commodity Prices'!$B$9:$B$2500,4)+
COUNTIFS('Commodity Prices'!$A$9:$A$2500,'Mineral Sands - Prices'!G32,'Commodity Prices'!$B$9:$B$2500,1)+
COUNTIFS('Commodity Prices'!$A$9:$A$2500,'Mineral Sands - Prices'!G32,'Commodity Prices'!$B$9:$B$2500,2))</f>
        <v>2473.6933835304098</v>
      </c>
    </row>
    <row r="33" spans="1:14">
      <c r="A33" s="610">
        <f>LARGE('Commodity Prices'!C$159:C$902,36)</f>
        <v>43282</v>
      </c>
      <c r="B33" s="957">
        <f>SUMIF('Commodity Prices'!C$159:C$902,A33,'Commodity Prices'!R$159:R$902)</f>
        <v>1361.773428232503</v>
      </c>
      <c r="C33" s="1645">
        <f>SUMIF('Commodity Prices'!C$109:C$902,A33,'Commodity Prices'!S$109:S$902)</f>
        <v>2096.9206536719826</v>
      </c>
      <c r="D33" s="950">
        <f>SUMIF('Commodity Prices'!C$109:C$902,A33,'Commodity Prices'!T$109:T$902)</f>
        <v>3883.7042176810401</v>
      </c>
      <c r="E33" s="128"/>
      <c r="F33" s="128">
        <f t="shared" si="1"/>
        <v>2010</v>
      </c>
      <c r="G33" s="128">
        <f t="shared" si="1"/>
        <v>2011</v>
      </c>
      <c r="H33" s="960" t="str">
        <f t="shared" si="0"/>
        <v>2010-11</v>
      </c>
      <c r="I33" s="880">
        <f t="array" ref="I33">IF($H$6="Historic Calendar Year",IFERROR(AVERAGE(IF($H33=YEAR('Commodity Prices'!$C$9:$C$1000),'Commodity Prices'!$R$9:$R$1000)),"NA"),IFERROR(IF(L33=0,"NA",L33),"NA"))</f>
        <v>906.0849436971788</v>
      </c>
      <c r="J33" s="780">
        <f t="array" ref="J33">IF($H$6="Historic Calendar Year",IFERROR(AVERAGE(IF($H33=YEAR('Commodity Prices'!$C$9:$C$1000),'Commodity Prices'!$S$9:$S$1000)),"NA"),IFERROR(IF(M33=0,"NA",M33),"NA"))</f>
        <v>1277.7988704351437</v>
      </c>
      <c r="K33" s="724">
        <f t="array" ref="K33">IF($H$6="Historic Calendar Year",IFERROR(AVERAGE(IF($H33=YEAR('Commodity Prices'!$C$9:$C$1000),'Commodity Prices'!$T$9:$T$1000)),"N/A"),IFERROR(IF(N33=0,"N/A",N33),"N/A"))</f>
        <v>2701.6693919836343</v>
      </c>
      <c r="L33" s="535">
        <f>(SUMIFS('Commodity Prices'!$R$9:$R$2500,'Commodity Prices'!$A$9:$A$2500,'Mineral Sands - Prices'!F33,'Commodity Prices'!$B$9:$B$2500,3)+
SUMIFS('Commodity Prices'!$R$9:$R$2500,'Commodity Prices'!$A$9:$A$2500,'Mineral Sands - Prices'!F33,'Commodity Prices'!$B$9:$B$2500,4)+
SUMIFS('Commodity Prices'!$R$9:$R$2500,'Commodity Prices'!$A$9:$A$2500,'Mineral Sands - Prices'!G33,'Commodity Prices'!$B$9:$B$2500,1)+
SUMIFS('Commodity Prices'!$R$9:$R$2500,'Commodity Prices'!$A$9:$A$2500,'Mineral Sands - Prices'!G33,'Commodity Prices'!$B$9:$B$2500,2))
/(COUNTIFS('Commodity Prices'!$A$9:$A$2500,'Mineral Sands - Prices'!F33,'Commodity Prices'!$B$9:$B$2500,3)+
COUNTIFS('Commodity Prices'!$A$9:$A$2500,'Mineral Sands - Prices'!F33,'Commodity Prices'!$B$9:$B$2500,4)+
COUNTIFS('Commodity Prices'!$A$9:$A$2500,'Mineral Sands - Prices'!G33,'Commodity Prices'!$B$9:$B$2500,1)+
COUNTIFS('Commodity Prices'!$A$9:$A$2500,'Mineral Sands - Prices'!G33,'Commodity Prices'!$B$9:$B$2500,2))</f>
        <v>906.0849436971788</v>
      </c>
      <c r="M33" s="333">
        <f>(SUMIFS('Commodity Prices'!$S$9:$S$2500,'Commodity Prices'!$A$9:$A$2500,'Mineral Sands - Prices'!F33,'Commodity Prices'!$B$9:$B$2500,3)+
SUMIFS('Commodity Prices'!$S$9:$S$2500,'Commodity Prices'!$A$9:$A$2500,'Mineral Sands - Prices'!F33,'Commodity Prices'!$B$9:$B$2500,4)+
SUMIFS('Commodity Prices'!$S$9:$S$2500,'Commodity Prices'!$A$9:$A$2500,'Mineral Sands - Prices'!G33,'Commodity Prices'!$B$9:$B$2500,1)+
SUMIFS('Commodity Prices'!$S$9:$S$2500,'Commodity Prices'!$A$9:$A$2500,'Mineral Sands - Prices'!G33,'Commodity Prices'!$B$9:$B$2500,2))
/(COUNTIFS('Commodity Prices'!$A$9:$A$2500,'Mineral Sands - Prices'!F33,'Commodity Prices'!$B$9:$B$2500,3)+
COUNTIFS('Commodity Prices'!$A$9:$A$2500,'Mineral Sands - Prices'!F33,'Commodity Prices'!$B$9:$B$2500,4)+
COUNTIFS('Commodity Prices'!$A$9:$A$2500,'Mineral Sands - Prices'!G33,'Commodity Prices'!$B$9:$B$2500,1)+
COUNTIFS('Commodity Prices'!$A$9:$A$2500,'Mineral Sands - Prices'!G33,'Commodity Prices'!$B$9:$B$2500,2))</f>
        <v>1277.7988704351437</v>
      </c>
      <c r="N33" s="535">
        <f>(SUMIFS('Commodity Prices'!$T$9:$T$2500,'Commodity Prices'!$A$9:$A$2500,'Mineral Sands - Prices'!F33,'Commodity Prices'!$B$9:$B$2500,3)+
SUMIFS('Commodity Prices'!$T$9:$T$2500,'Commodity Prices'!$A$9:$A$2500,'Mineral Sands - Prices'!F33,'Commodity Prices'!$B$9:$B$2500,4)+
SUMIFS('Commodity Prices'!$T$9:$T$2500,'Commodity Prices'!$A$9:$A$2500,'Mineral Sands - Prices'!G33,'Commodity Prices'!$B$9:$B$2500,1)+
SUMIFS('Commodity Prices'!$T$9:$T$2500,'Commodity Prices'!$A$9:$A$2500,'Mineral Sands - Prices'!G33,'Commodity Prices'!$B$9:$B$2500,2))
/(COUNTIFS('Commodity Prices'!$A$9:$A$2500,'Mineral Sands - Prices'!F33,'Commodity Prices'!$B$9:$B$2500,3)+
COUNTIFS('Commodity Prices'!$A$9:$A$2500,'Mineral Sands - Prices'!F33,'Commodity Prices'!$B$9:$B$2500,4)+
COUNTIFS('Commodity Prices'!$A$9:$A$2500,'Mineral Sands - Prices'!G33,'Commodity Prices'!$B$9:$B$2500,1)+
COUNTIFS('Commodity Prices'!$A$9:$A$2500,'Mineral Sands - Prices'!G33,'Commodity Prices'!$B$9:$B$2500,2))</f>
        <v>2701.6693919836343</v>
      </c>
    </row>
    <row r="34" spans="1:14">
      <c r="A34" s="611">
        <f>LARGE('Commodity Prices'!C$159:C$902,35)</f>
        <v>43313</v>
      </c>
      <c r="B34" s="880">
        <f>SUMIF('Commodity Prices'!C$159:C$902,A34,'Commodity Prices'!R$159:R$902)</f>
        <v>1436.7537037037036</v>
      </c>
      <c r="C34" s="780">
        <f>SUMIF('Commodity Prices'!C$109:C$902,A34,'Commodity Prices'!S$109:S$902)</f>
        <v>2112.8665584105456</v>
      </c>
      <c r="D34" s="724">
        <f>SUMIF('Commodity Prices'!C$109:C$902,A34,'Commodity Prices'!T$109:T$902)</f>
        <v>3874.4114594134921</v>
      </c>
      <c r="E34" s="128"/>
      <c r="F34" s="128">
        <f t="shared" si="1"/>
        <v>2011</v>
      </c>
      <c r="G34" s="128">
        <f t="shared" si="1"/>
        <v>2012</v>
      </c>
      <c r="H34" s="959" t="str">
        <f t="shared" si="0"/>
        <v>2011-12</v>
      </c>
      <c r="I34" s="957">
        <f t="array" ref="I34">IF($H$6="Historic Calendar Year",IFERROR(AVERAGE(IF($H34=YEAR('Commodity Prices'!$C$9:$C$1000),'Commodity Prices'!$R$9:$R$1000)),"NA"),IFERROR(IF(L34=0,"NA",L34),"NA"))</f>
        <v>2027.1533996239584</v>
      </c>
      <c r="J34" s="1645">
        <f t="array" ref="J34">IF($H$6="Historic Calendar Year",IFERROR(AVERAGE(IF($H34=YEAR('Commodity Prices'!$C$9:$C$1000),'Commodity Prices'!$S$9:$S$1000)),"NA"),IFERROR(IF(M34=0,"NA",M34),"NA"))</f>
        <v>2339.6804695292017</v>
      </c>
      <c r="K34" s="950">
        <f t="array" ref="K34">IF($H$6="Historic Calendar Year",IFERROR(AVERAGE(IF($H34=YEAR('Commodity Prices'!$C$9:$C$1000),'Commodity Prices'!$T$9:$T$1000)),"N/A"),IFERROR(IF(N34=0,"N/A",N34),"N/A"))</f>
        <v>3215.8493205809177</v>
      </c>
      <c r="L34" s="535">
        <f>(SUMIFS('Commodity Prices'!$R$9:$R$2500,'Commodity Prices'!$A$9:$A$2500,'Mineral Sands - Prices'!F34,'Commodity Prices'!$B$9:$B$2500,3)+
SUMIFS('Commodity Prices'!$R$9:$R$2500,'Commodity Prices'!$A$9:$A$2500,'Mineral Sands - Prices'!F34,'Commodity Prices'!$B$9:$B$2500,4)+
SUMIFS('Commodity Prices'!$R$9:$R$2500,'Commodity Prices'!$A$9:$A$2500,'Mineral Sands - Prices'!G34,'Commodity Prices'!$B$9:$B$2500,1)+
SUMIFS('Commodity Prices'!$R$9:$R$2500,'Commodity Prices'!$A$9:$A$2500,'Mineral Sands - Prices'!G34,'Commodity Prices'!$B$9:$B$2500,2))
/(COUNTIFS('Commodity Prices'!$A$9:$A$2500,'Mineral Sands - Prices'!F34,'Commodity Prices'!$B$9:$B$2500,3)+
COUNTIFS('Commodity Prices'!$A$9:$A$2500,'Mineral Sands - Prices'!F34,'Commodity Prices'!$B$9:$B$2500,4)+
COUNTIFS('Commodity Prices'!$A$9:$A$2500,'Mineral Sands - Prices'!G34,'Commodity Prices'!$B$9:$B$2500,1)+
COUNTIFS('Commodity Prices'!$A$9:$A$2500,'Mineral Sands - Prices'!G34,'Commodity Prices'!$B$9:$B$2500,2))</f>
        <v>2027.1533996239584</v>
      </c>
      <c r="M34" s="333">
        <f>(SUMIFS('Commodity Prices'!$S$9:$S$2500,'Commodity Prices'!$A$9:$A$2500,'Mineral Sands - Prices'!F34,'Commodity Prices'!$B$9:$B$2500,3)+
SUMIFS('Commodity Prices'!$S$9:$S$2500,'Commodity Prices'!$A$9:$A$2500,'Mineral Sands - Prices'!F34,'Commodity Prices'!$B$9:$B$2500,4)+
SUMIFS('Commodity Prices'!$S$9:$S$2500,'Commodity Prices'!$A$9:$A$2500,'Mineral Sands - Prices'!G34,'Commodity Prices'!$B$9:$B$2500,1)+
SUMIFS('Commodity Prices'!$S$9:$S$2500,'Commodity Prices'!$A$9:$A$2500,'Mineral Sands - Prices'!G34,'Commodity Prices'!$B$9:$B$2500,2))
/(COUNTIFS('Commodity Prices'!$A$9:$A$2500,'Mineral Sands - Prices'!F34,'Commodity Prices'!$B$9:$B$2500,3)+
COUNTIFS('Commodity Prices'!$A$9:$A$2500,'Mineral Sands - Prices'!F34,'Commodity Prices'!$B$9:$B$2500,4)+
COUNTIFS('Commodity Prices'!$A$9:$A$2500,'Mineral Sands - Prices'!G34,'Commodity Prices'!$B$9:$B$2500,1)+
COUNTIFS('Commodity Prices'!$A$9:$A$2500,'Mineral Sands - Prices'!G34,'Commodity Prices'!$B$9:$B$2500,2))</f>
        <v>2339.6804695292017</v>
      </c>
      <c r="N34" s="535">
        <f>(SUMIFS('Commodity Prices'!$T$9:$T$2500,'Commodity Prices'!$A$9:$A$2500,'Mineral Sands - Prices'!F34,'Commodity Prices'!$B$9:$B$2500,3)+
SUMIFS('Commodity Prices'!$T$9:$T$2500,'Commodity Prices'!$A$9:$A$2500,'Mineral Sands - Prices'!F34,'Commodity Prices'!$B$9:$B$2500,4)+
SUMIFS('Commodity Prices'!$T$9:$T$2500,'Commodity Prices'!$A$9:$A$2500,'Mineral Sands - Prices'!G34,'Commodity Prices'!$B$9:$B$2500,1)+
SUMIFS('Commodity Prices'!$T$9:$T$2500,'Commodity Prices'!$A$9:$A$2500,'Mineral Sands - Prices'!G34,'Commodity Prices'!$B$9:$B$2500,2))
/(COUNTIFS('Commodity Prices'!$A$9:$A$2500,'Mineral Sands - Prices'!F34,'Commodity Prices'!$B$9:$B$2500,3)+
COUNTIFS('Commodity Prices'!$A$9:$A$2500,'Mineral Sands - Prices'!F34,'Commodity Prices'!$B$9:$B$2500,4)+
COUNTIFS('Commodity Prices'!$A$9:$A$2500,'Mineral Sands - Prices'!G34,'Commodity Prices'!$B$9:$B$2500,1)+
COUNTIFS('Commodity Prices'!$A$9:$A$2500,'Mineral Sands - Prices'!G34,'Commodity Prices'!$B$9:$B$2500,2))</f>
        <v>3215.8493205809177</v>
      </c>
    </row>
    <row r="35" spans="1:14">
      <c r="A35" s="610">
        <f>LARGE('Commodity Prices'!C$159:C$902,34)</f>
        <v>43344</v>
      </c>
      <c r="B35" s="957">
        <f>SUMIF('Commodity Prices'!C$159:C$902,A35,'Commodity Prices'!R$159:R$902)</f>
        <v>1494.2061579651941</v>
      </c>
      <c r="C35" s="1645">
        <f>SUMIF('Commodity Prices'!C$109:C$902,A35,'Commodity Prices'!S$109:S$902)</f>
        <v>2147.098704778919</v>
      </c>
      <c r="D35" s="950">
        <f>SUMIF('Commodity Prices'!C$109:C$902,A35,'Commodity Prices'!T$109:T$902)</f>
        <v>3961.5642163369371</v>
      </c>
      <c r="E35" s="128"/>
      <c r="F35" s="128">
        <f t="shared" si="1"/>
        <v>2012</v>
      </c>
      <c r="G35" s="128">
        <f t="shared" si="1"/>
        <v>2013</v>
      </c>
      <c r="H35" s="960" t="str">
        <f t="shared" si="0"/>
        <v>2012-13</v>
      </c>
      <c r="I35" s="880">
        <f t="array" ref="I35">IF($H$6="Historic Calendar Year",IFERROR(AVERAGE(IF($H35=YEAR('Commodity Prices'!$C$9:$C$1000),'Commodity Prices'!$R$9:$R$1000)),"NA"),IFERROR(IF(L35=0,"NA",L35),"NA"))</f>
        <v>2149.9004569428544</v>
      </c>
      <c r="J35" s="780">
        <f t="array" ref="J35">IF($H$6="Historic Calendar Year",IFERROR(AVERAGE(IF($H35=YEAR('Commodity Prices'!$C$9:$C$1000),'Commodity Prices'!$S$9:$S$1000)),"NA"),IFERROR(IF(M35=0,"NA",M35),"NA"))</f>
        <v>1617.471516205637</v>
      </c>
      <c r="K35" s="724">
        <f t="array" ref="K35">IF($H$6="Historic Calendar Year",IFERROR(AVERAGE(IF($H35=YEAR('Commodity Prices'!$C$9:$C$1000),'Commodity Prices'!$T$9:$T$1000)),"N/A"),IFERROR(IF(N35=0,"N/A",N35),"N/A"))</f>
        <v>2745.8495504381449</v>
      </c>
      <c r="L35" s="535">
        <f>(SUMIFS('Commodity Prices'!$R$9:$R$2500,'Commodity Prices'!$A$9:$A$2500,'Mineral Sands - Prices'!F35,'Commodity Prices'!$B$9:$B$2500,3)+
SUMIFS('Commodity Prices'!$R$9:$R$2500,'Commodity Prices'!$A$9:$A$2500,'Mineral Sands - Prices'!F35,'Commodity Prices'!$B$9:$B$2500,4)+
SUMIFS('Commodity Prices'!$R$9:$R$2500,'Commodity Prices'!$A$9:$A$2500,'Mineral Sands - Prices'!G35,'Commodity Prices'!$B$9:$B$2500,1)+
SUMIFS('Commodity Prices'!$R$9:$R$2500,'Commodity Prices'!$A$9:$A$2500,'Mineral Sands - Prices'!G35,'Commodity Prices'!$B$9:$B$2500,2))
/(COUNTIFS('Commodity Prices'!$A$9:$A$2500,'Mineral Sands - Prices'!F35,'Commodity Prices'!$B$9:$B$2500,3)+
COUNTIFS('Commodity Prices'!$A$9:$A$2500,'Mineral Sands - Prices'!F35,'Commodity Prices'!$B$9:$B$2500,4)+
COUNTIFS('Commodity Prices'!$A$9:$A$2500,'Mineral Sands - Prices'!G35,'Commodity Prices'!$B$9:$B$2500,1)+
COUNTIFS('Commodity Prices'!$A$9:$A$2500,'Mineral Sands - Prices'!G35,'Commodity Prices'!$B$9:$B$2500,2))</f>
        <v>2149.9004569428544</v>
      </c>
      <c r="M35" s="333">
        <f>(SUMIFS('Commodity Prices'!$S$9:$S$2500,'Commodity Prices'!$A$9:$A$2500,'Mineral Sands - Prices'!F35,'Commodity Prices'!$B$9:$B$2500,3)+
SUMIFS('Commodity Prices'!$S$9:$S$2500,'Commodity Prices'!$A$9:$A$2500,'Mineral Sands - Prices'!F35,'Commodity Prices'!$B$9:$B$2500,4)+
SUMIFS('Commodity Prices'!$S$9:$S$2500,'Commodity Prices'!$A$9:$A$2500,'Mineral Sands - Prices'!G35,'Commodity Prices'!$B$9:$B$2500,1)+
SUMIFS('Commodity Prices'!$S$9:$S$2500,'Commodity Prices'!$A$9:$A$2500,'Mineral Sands - Prices'!G35,'Commodity Prices'!$B$9:$B$2500,2))
/(COUNTIFS('Commodity Prices'!$A$9:$A$2500,'Mineral Sands - Prices'!F35,'Commodity Prices'!$B$9:$B$2500,3)+
COUNTIFS('Commodity Prices'!$A$9:$A$2500,'Mineral Sands - Prices'!F35,'Commodity Prices'!$B$9:$B$2500,4)+
COUNTIFS('Commodity Prices'!$A$9:$A$2500,'Mineral Sands - Prices'!G35,'Commodity Prices'!$B$9:$B$2500,1)+
COUNTIFS('Commodity Prices'!$A$9:$A$2500,'Mineral Sands - Prices'!G35,'Commodity Prices'!$B$9:$B$2500,2))</f>
        <v>1617.471516205637</v>
      </c>
      <c r="N35" s="535">
        <f>(SUMIFS('Commodity Prices'!$T$9:$T$2500,'Commodity Prices'!$A$9:$A$2500,'Mineral Sands - Prices'!F35,'Commodity Prices'!$B$9:$B$2500,3)+
SUMIFS('Commodity Prices'!$T$9:$T$2500,'Commodity Prices'!$A$9:$A$2500,'Mineral Sands - Prices'!F35,'Commodity Prices'!$B$9:$B$2500,4)+
SUMIFS('Commodity Prices'!$T$9:$T$2500,'Commodity Prices'!$A$9:$A$2500,'Mineral Sands - Prices'!G35,'Commodity Prices'!$B$9:$B$2500,1)+
SUMIFS('Commodity Prices'!$T$9:$T$2500,'Commodity Prices'!$A$9:$A$2500,'Mineral Sands - Prices'!G35,'Commodity Prices'!$B$9:$B$2500,2))
/(COUNTIFS('Commodity Prices'!$A$9:$A$2500,'Mineral Sands - Prices'!F35,'Commodity Prices'!$B$9:$B$2500,3)+
COUNTIFS('Commodity Prices'!$A$9:$A$2500,'Mineral Sands - Prices'!F35,'Commodity Prices'!$B$9:$B$2500,4)+
COUNTIFS('Commodity Prices'!$A$9:$A$2500,'Mineral Sands - Prices'!G35,'Commodity Prices'!$B$9:$B$2500,1)+
COUNTIFS('Commodity Prices'!$A$9:$A$2500,'Mineral Sands - Prices'!G35,'Commodity Prices'!$B$9:$B$2500,2))</f>
        <v>2745.8495504381449</v>
      </c>
    </row>
    <row r="36" spans="1:14">
      <c r="A36" s="611">
        <f>LARGE('Commodity Prices'!C$159:C$902,33)</f>
        <v>43374</v>
      </c>
      <c r="B36" s="880">
        <f>SUMIF('Commodity Prices'!C$159:C$902,A36,'Commodity Prices'!R$159:R$902)</f>
        <v>1496.0272045028144</v>
      </c>
      <c r="C36" s="780">
        <f>SUMIF('Commodity Prices'!C$109:C$902,A36,'Commodity Prices'!S$109:S$902)</f>
        <v>2203.6002763067004</v>
      </c>
      <c r="D36" s="724">
        <f>SUMIF('Commodity Prices'!C$109:C$902,A36,'Commodity Prices'!T$109:T$902)</f>
        <v>3944.5540992876454</v>
      </c>
      <c r="E36" s="128"/>
      <c r="F36" s="128">
        <f t="shared" si="1"/>
        <v>2013</v>
      </c>
      <c r="G36" s="128">
        <f t="shared" si="1"/>
        <v>2014</v>
      </c>
      <c r="H36" s="959" t="str">
        <f t="shared" si="0"/>
        <v>2013-14</v>
      </c>
      <c r="I36" s="957">
        <f t="array" ref="I36">IF($H$6="Historic Calendar Year",IFERROR(AVERAGE(IF($H36=YEAR('Commodity Prices'!$C$9:$C$1000),'Commodity Prices'!$R$9:$R$1000)),"NA"),IFERROR(IF(L36=0,"NA",L36),"NA"))</f>
        <v>1305.821139159596</v>
      </c>
      <c r="J36" s="1645">
        <f t="array" ref="J36">IF($H$6="Historic Calendar Year",IFERROR(AVERAGE(IF($H36=YEAR('Commodity Prices'!$C$9:$C$1000),'Commodity Prices'!$S$9:$S$1000)),"NA"),IFERROR(IF(M36=0,"NA",M36),"NA"))</f>
        <v>1214.7701106045768</v>
      </c>
      <c r="K36" s="950">
        <f t="array" ref="K36">IF($H$6="Historic Calendar Year",IFERROR(AVERAGE(IF($H36=YEAR('Commodity Prices'!$C$9:$C$1000),'Commodity Prices'!$T$9:$T$1000)),"N/A"),IFERROR(IF(N36=0,"N/A",N36),"N/A"))</f>
        <v>2778.5921703270246</v>
      </c>
      <c r="L36" s="535">
        <f>(SUMIFS('Commodity Prices'!$R$9:$R$2500,'Commodity Prices'!$A$9:$A$2500,'Mineral Sands - Prices'!F36,'Commodity Prices'!$B$9:$B$2500,3)+
SUMIFS('Commodity Prices'!$R$9:$R$2500,'Commodity Prices'!$A$9:$A$2500,'Mineral Sands - Prices'!F36,'Commodity Prices'!$B$9:$B$2500,4)+
SUMIFS('Commodity Prices'!$R$9:$R$2500,'Commodity Prices'!$A$9:$A$2500,'Mineral Sands - Prices'!G36,'Commodity Prices'!$B$9:$B$2500,1)+
SUMIFS('Commodity Prices'!$R$9:$R$2500,'Commodity Prices'!$A$9:$A$2500,'Mineral Sands - Prices'!G36,'Commodity Prices'!$B$9:$B$2500,2))
/(COUNTIFS('Commodity Prices'!$A$9:$A$2500,'Mineral Sands - Prices'!F36,'Commodity Prices'!$B$9:$B$2500,3)+
COUNTIFS('Commodity Prices'!$A$9:$A$2500,'Mineral Sands - Prices'!F36,'Commodity Prices'!$B$9:$B$2500,4)+
COUNTIFS('Commodity Prices'!$A$9:$A$2500,'Mineral Sands - Prices'!G36,'Commodity Prices'!$B$9:$B$2500,1)+
COUNTIFS('Commodity Prices'!$A$9:$A$2500,'Mineral Sands - Prices'!G36,'Commodity Prices'!$B$9:$B$2500,2))</f>
        <v>1305.821139159596</v>
      </c>
      <c r="M36" s="333">
        <f>(SUMIFS('Commodity Prices'!$S$9:$S$2500,'Commodity Prices'!$A$9:$A$2500,'Mineral Sands - Prices'!F36,'Commodity Prices'!$B$9:$B$2500,3)+
SUMIFS('Commodity Prices'!$S$9:$S$2500,'Commodity Prices'!$A$9:$A$2500,'Mineral Sands - Prices'!F36,'Commodity Prices'!$B$9:$B$2500,4)+
SUMIFS('Commodity Prices'!$S$9:$S$2500,'Commodity Prices'!$A$9:$A$2500,'Mineral Sands - Prices'!G36,'Commodity Prices'!$B$9:$B$2500,1)+
SUMIFS('Commodity Prices'!$S$9:$S$2500,'Commodity Prices'!$A$9:$A$2500,'Mineral Sands - Prices'!G36,'Commodity Prices'!$B$9:$B$2500,2))
/(COUNTIFS('Commodity Prices'!$A$9:$A$2500,'Mineral Sands - Prices'!F36,'Commodity Prices'!$B$9:$B$2500,3)+
COUNTIFS('Commodity Prices'!$A$9:$A$2500,'Mineral Sands - Prices'!F36,'Commodity Prices'!$B$9:$B$2500,4)+
COUNTIFS('Commodity Prices'!$A$9:$A$2500,'Mineral Sands - Prices'!G36,'Commodity Prices'!$B$9:$B$2500,1)+
COUNTIFS('Commodity Prices'!$A$9:$A$2500,'Mineral Sands - Prices'!G36,'Commodity Prices'!$B$9:$B$2500,2))</f>
        <v>1214.7701106045768</v>
      </c>
      <c r="N36" s="535">
        <f>(SUMIFS('Commodity Prices'!$T$9:$T$2500,'Commodity Prices'!$A$9:$A$2500,'Mineral Sands - Prices'!F36,'Commodity Prices'!$B$9:$B$2500,3)+
SUMIFS('Commodity Prices'!$T$9:$T$2500,'Commodity Prices'!$A$9:$A$2500,'Mineral Sands - Prices'!F36,'Commodity Prices'!$B$9:$B$2500,4)+
SUMIFS('Commodity Prices'!$T$9:$T$2500,'Commodity Prices'!$A$9:$A$2500,'Mineral Sands - Prices'!G36,'Commodity Prices'!$B$9:$B$2500,1)+
SUMIFS('Commodity Prices'!$T$9:$T$2500,'Commodity Prices'!$A$9:$A$2500,'Mineral Sands - Prices'!G36,'Commodity Prices'!$B$9:$B$2500,2))
/(COUNTIFS('Commodity Prices'!$A$9:$A$2500,'Mineral Sands - Prices'!F36,'Commodity Prices'!$B$9:$B$2500,3)+
COUNTIFS('Commodity Prices'!$A$9:$A$2500,'Mineral Sands - Prices'!F36,'Commodity Prices'!$B$9:$B$2500,4)+
COUNTIFS('Commodity Prices'!$A$9:$A$2500,'Mineral Sands - Prices'!G36,'Commodity Prices'!$B$9:$B$2500,1)+
COUNTIFS('Commodity Prices'!$A$9:$A$2500,'Mineral Sands - Prices'!G36,'Commodity Prices'!$B$9:$B$2500,2))</f>
        <v>2778.5921703270246</v>
      </c>
    </row>
    <row r="37" spans="1:14">
      <c r="A37" s="610">
        <f>LARGE('Commodity Prices'!C$159:C$902,32)</f>
        <v>43405</v>
      </c>
      <c r="B37" s="957">
        <f>SUMIF('Commodity Prices'!C$159:C$902,A37,'Commodity Prices'!R$159:R$902)</f>
        <v>1481.1102003642986</v>
      </c>
      <c r="C37" s="1645">
        <f>SUMIF('Commodity Prices'!C$109:C$902,A37,'Commodity Prices'!S$109:S$902)</f>
        <v>2161.8938775510205</v>
      </c>
      <c r="D37" s="950">
        <f>SUMIF('Commodity Prices'!C$109:C$902,A37,'Commodity Prices'!T$109:T$902)</f>
        <v>3911.8499142290789</v>
      </c>
      <c r="E37" s="128"/>
      <c r="F37" s="128">
        <f t="shared" si="1"/>
        <v>2014</v>
      </c>
      <c r="G37" s="128">
        <f t="shared" si="1"/>
        <v>2015</v>
      </c>
      <c r="H37" s="960" t="str">
        <f t="shared" si="0"/>
        <v>2014-15</v>
      </c>
      <c r="I37" s="880">
        <f t="array" ref="I37">IF($H$6="Historic Calendar Year",IFERROR(AVERAGE(IF($H37=YEAR('Commodity Prices'!$C$9:$C$1000),'Commodity Prices'!$R$9:$R$1000)),"NA"),IFERROR(IF(L37=0,"NA",L37),"NA"))</f>
        <v>1174.3563721270386</v>
      </c>
      <c r="J37" s="780">
        <f t="array" ref="J37">IF($H$6="Historic Calendar Year",IFERROR(AVERAGE(IF($H37=YEAR('Commodity Prices'!$C$9:$C$1000),'Commodity Prices'!$S$9:$S$1000)),"NA"),IFERROR(IF(M37=0,"NA",M37),"NA"))</f>
        <v>1307.0379518377345</v>
      </c>
      <c r="K37" s="724">
        <f t="array" ref="K37">IF($H$6="Historic Calendar Year",IFERROR(AVERAGE(IF($H37=YEAR('Commodity Prices'!$C$9:$C$1000),'Commodity Prices'!$T$9:$T$1000)),"N/A"),IFERROR(IF(N37=0,"N/A",N37),"N/A"))</f>
        <v>2998.1335068261451</v>
      </c>
      <c r="L37" s="535">
        <f>(SUMIFS('Commodity Prices'!$R$9:$R$2500,'Commodity Prices'!$A$9:$A$2500,'Mineral Sands - Prices'!F37,'Commodity Prices'!$B$9:$B$2500,3)+
SUMIFS('Commodity Prices'!$R$9:$R$2500,'Commodity Prices'!$A$9:$A$2500,'Mineral Sands - Prices'!F37,'Commodity Prices'!$B$9:$B$2500,4)+
SUMIFS('Commodity Prices'!$R$9:$R$2500,'Commodity Prices'!$A$9:$A$2500,'Mineral Sands - Prices'!G37,'Commodity Prices'!$B$9:$B$2500,1)+
SUMIFS('Commodity Prices'!$R$9:$R$2500,'Commodity Prices'!$A$9:$A$2500,'Mineral Sands - Prices'!G37,'Commodity Prices'!$B$9:$B$2500,2))
/(COUNTIFS('Commodity Prices'!$A$9:$A$2500,'Mineral Sands - Prices'!F37,'Commodity Prices'!$B$9:$B$2500,3)+
COUNTIFS('Commodity Prices'!$A$9:$A$2500,'Mineral Sands - Prices'!F37,'Commodity Prices'!$B$9:$B$2500,4)+
COUNTIFS('Commodity Prices'!$A$9:$A$2500,'Mineral Sands - Prices'!G37,'Commodity Prices'!$B$9:$B$2500,1)+
COUNTIFS('Commodity Prices'!$A$9:$A$2500,'Mineral Sands - Prices'!G37,'Commodity Prices'!$B$9:$B$2500,2))</f>
        <v>1174.3563721270386</v>
      </c>
      <c r="M37" s="333">
        <f>(SUMIFS('Commodity Prices'!$S$9:$S$2500,'Commodity Prices'!$A$9:$A$2500,'Mineral Sands - Prices'!F37,'Commodity Prices'!$B$9:$B$2500,3)+
SUMIFS('Commodity Prices'!$S$9:$S$2500,'Commodity Prices'!$A$9:$A$2500,'Mineral Sands - Prices'!F37,'Commodity Prices'!$B$9:$B$2500,4)+
SUMIFS('Commodity Prices'!$S$9:$S$2500,'Commodity Prices'!$A$9:$A$2500,'Mineral Sands - Prices'!G37,'Commodity Prices'!$B$9:$B$2500,1)+
SUMIFS('Commodity Prices'!$S$9:$S$2500,'Commodity Prices'!$A$9:$A$2500,'Mineral Sands - Prices'!G37,'Commodity Prices'!$B$9:$B$2500,2))
/(COUNTIFS('Commodity Prices'!$A$9:$A$2500,'Mineral Sands - Prices'!F37,'Commodity Prices'!$B$9:$B$2500,3)+
COUNTIFS('Commodity Prices'!$A$9:$A$2500,'Mineral Sands - Prices'!F37,'Commodity Prices'!$B$9:$B$2500,4)+
COUNTIFS('Commodity Prices'!$A$9:$A$2500,'Mineral Sands - Prices'!G37,'Commodity Prices'!$B$9:$B$2500,1)+
COUNTIFS('Commodity Prices'!$A$9:$A$2500,'Mineral Sands - Prices'!G37,'Commodity Prices'!$B$9:$B$2500,2))</f>
        <v>1307.0379518377345</v>
      </c>
      <c r="N37" s="535">
        <f>(SUMIFS('Commodity Prices'!$T$9:$T$2500,'Commodity Prices'!$A$9:$A$2500,'Mineral Sands - Prices'!F37,'Commodity Prices'!$B$9:$B$2500,3)+
SUMIFS('Commodity Prices'!$T$9:$T$2500,'Commodity Prices'!$A$9:$A$2500,'Mineral Sands - Prices'!F37,'Commodity Prices'!$B$9:$B$2500,4)+
SUMIFS('Commodity Prices'!$T$9:$T$2500,'Commodity Prices'!$A$9:$A$2500,'Mineral Sands - Prices'!G37,'Commodity Prices'!$B$9:$B$2500,1)+
SUMIFS('Commodity Prices'!$T$9:$T$2500,'Commodity Prices'!$A$9:$A$2500,'Mineral Sands - Prices'!G37,'Commodity Prices'!$B$9:$B$2500,2))
/(COUNTIFS('Commodity Prices'!$A$9:$A$2500,'Mineral Sands - Prices'!F37,'Commodity Prices'!$B$9:$B$2500,3)+
COUNTIFS('Commodity Prices'!$A$9:$A$2500,'Mineral Sands - Prices'!F37,'Commodity Prices'!$B$9:$B$2500,4)+
COUNTIFS('Commodity Prices'!$A$9:$A$2500,'Mineral Sands - Prices'!G37,'Commodity Prices'!$B$9:$B$2500,1)+
COUNTIFS('Commodity Prices'!$A$9:$A$2500,'Mineral Sands - Prices'!G37,'Commodity Prices'!$B$9:$B$2500,2))</f>
        <v>2998.1335068261451</v>
      </c>
    </row>
    <row r="38" spans="1:14">
      <c r="A38" s="611">
        <f>LARGE('Commodity Prices'!C$159:C$902,31)</f>
        <v>43435</v>
      </c>
      <c r="B38" s="880">
        <f>SUMIF('Commodity Prices'!C$159:C$902,A38,'Commodity Prices'!R$159:R$902)</f>
        <v>1484.9178668742702</v>
      </c>
      <c r="C38" s="780">
        <f>SUMIF('Commodity Prices'!C$109:C$902,A38,'Commodity Prices'!S$109:S$902)</f>
        <v>2122.5936593659367</v>
      </c>
      <c r="D38" s="724">
        <f>SUMIF('Commodity Prices'!C$109:C$902,A38,'Commodity Prices'!T$109:T$902)</f>
        <v>3923.9433019649009</v>
      </c>
      <c r="E38" s="128"/>
      <c r="F38" s="128">
        <f t="shared" si="1"/>
        <v>2015</v>
      </c>
      <c r="G38" s="128">
        <f t="shared" si="1"/>
        <v>2016</v>
      </c>
      <c r="H38" s="959" t="str">
        <f t="shared" si="0"/>
        <v>2015-16</v>
      </c>
      <c r="I38" s="957">
        <f t="array" ref="I38">IF($H$6="Historic Calendar Year",IFERROR(AVERAGE(IF($H38=YEAR('Commodity Prices'!$C$9:$C$1000),'Commodity Prices'!$R$9:$R$1000)),"NA"),IFERROR(IF(L38=0,"NA",L38),"NA"))</f>
        <v>1175.8789770158726</v>
      </c>
      <c r="J38" s="1645">
        <f t="array" ref="J38">IF($H$6="Historic Calendar Year",IFERROR(AVERAGE(IF($H38=YEAR('Commodity Prices'!$C$9:$C$1000),'Commodity Prices'!$S$9:$S$1000)),"NA"),IFERROR(IF(M38=0,"NA",M38),"NA"))</f>
        <v>1297.5241493782792</v>
      </c>
      <c r="K38" s="950">
        <f t="array" ref="K38">IF($H$6="Historic Calendar Year",IFERROR(AVERAGE(IF($H38=YEAR('Commodity Prices'!$C$9:$C$1000),'Commodity Prices'!$T$9:$T$1000)),"N/A"),IFERROR(IF(N38=0,"N/A",N38),"N/A"))</f>
        <v>2908.9764066173634</v>
      </c>
      <c r="L38" s="535">
        <f>(SUMIFS('Commodity Prices'!$R$9:$R$2500,'Commodity Prices'!$A$9:$A$2500,'Mineral Sands - Prices'!F38,'Commodity Prices'!$B$9:$B$2500,3)+
SUMIFS('Commodity Prices'!$R$9:$R$2500,'Commodity Prices'!$A$9:$A$2500,'Mineral Sands - Prices'!F38,'Commodity Prices'!$B$9:$B$2500,4)+
SUMIFS('Commodity Prices'!$R$9:$R$2500,'Commodity Prices'!$A$9:$A$2500,'Mineral Sands - Prices'!G38,'Commodity Prices'!$B$9:$B$2500,1)+
SUMIFS('Commodity Prices'!$R$9:$R$2500,'Commodity Prices'!$A$9:$A$2500,'Mineral Sands - Prices'!G38,'Commodity Prices'!$B$9:$B$2500,2))
/(COUNTIFS('Commodity Prices'!$A$9:$A$2500,'Mineral Sands - Prices'!F38,'Commodity Prices'!$B$9:$B$2500,3)+
COUNTIFS('Commodity Prices'!$A$9:$A$2500,'Mineral Sands - Prices'!F38,'Commodity Prices'!$B$9:$B$2500,4)+
COUNTIFS('Commodity Prices'!$A$9:$A$2500,'Mineral Sands - Prices'!G38,'Commodity Prices'!$B$9:$B$2500,1)+
COUNTIFS('Commodity Prices'!$A$9:$A$2500,'Mineral Sands - Prices'!G38,'Commodity Prices'!$B$9:$B$2500,2))</f>
        <v>1175.8789770158726</v>
      </c>
      <c r="M38" s="333">
        <f>(SUMIFS('Commodity Prices'!$S$9:$S$2500,'Commodity Prices'!$A$9:$A$2500,'Mineral Sands - Prices'!F38,'Commodity Prices'!$B$9:$B$2500,3)+
SUMIFS('Commodity Prices'!$S$9:$S$2500,'Commodity Prices'!$A$9:$A$2500,'Mineral Sands - Prices'!F38,'Commodity Prices'!$B$9:$B$2500,4)+
SUMIFS('Commodity Prices'!$S$9:$S$2500,'Commodity Prices'!$A$9:$A$2500,'Mineral Sands - Prices'!G38,'Commodity Prices'!$B$9:$B$2500,1)+
SUMIFS('Commodity Prices'!$S$9:$S$2500,'Commodity Prices'!$A$9:$A$2500,'Mineral Sands - Prices'!G38,'Commodity Prices'!$B$9:$B$2500,2))
/(COUNTIFS('Commodity Prices'!$A$9:$A$2500,'Mineral Sands - Prices'!F38,'Commodity Prices'!$B$9:$B$2500,3)+
COUNTIFS('Commodity Prices'!$A$9:$A$2500,'Mineral Sands - Prices'!F38,'Commodity Prices'!$B$9:$B$2500,4)+
COUNTIFS('Commodity Prices'!$A$9:$A$2500,'Mineral Sands - Prices'!G38,'Commodity Prices'!$B$9:$B$2500,1)+
COUNTIFS('Commodity Prices'!$A$9:$A$2500,'Mineral Sands - Prices'!G38,'Commodity Prices'!$B$9:$B$2500,2))</f>
        <v>1297.5241493782792</v>
      </c>
      <c r="N38" s="535">
        <f>(SUMIFS('Commodity Prices'!$T$9:$T$2500,'Commodity Prices'!$A$9:$A$2500,'Mineral Sands - Prices'!F38,'Commodity Prices'!$B$9:$B$2500,3)+
SUMIFS('Commodity Prices'!$T$9:$T$2500,'Commodity Prices'!$A$9:$A$2500,'Mineral Sands - Prices'!F38,'Commodity Prices'!$B$9:$B$2500,4)+
SUMIFS('Commodity Prices'!$T$9:$T$2500,'Commodity Prices'!$A$9:$A$2500,'Mineral Sands - Prices'!G38,'Commodity Prices'!$B$9:$B$2500,1)+
SUMIFS('Commodity Prices'!$T$9:$T$2500,'Commodity Prices'!$A$9:$A$2500,'Mineral Sands - Prices'!G38,'Commodity Prices'!$B$9:$B$2500,2))
/(COUNTIFS('Commodity Prices'!$A$9:$A$2500,'Mineral Sands - Prices'!F38,'Commodity Prices'!$B$9:$B$2500,3)+
COUNTIFS('Commodity Prices'!$A$9:$A$2500,'Mineral Sands - Prices'!F38,'Commodity Prices'!$B$9:$B$2500,4)+
COUNTIFS('Commodity Prices'!$A$9:$A$2500,'Mineral Sands - Prices'!G38,'Commodity Prices'!$B$9:$B$2500,1)+
COUNTIFS('Commodity Prices'!$A$9:$A$2500,'Mineral Sands - Prices'!G38,'Commodity Prices'!$B$9:$B$2500,2))</f>
        <v>2908.9764066173634</v>
      </c>
    </row>
    <row r="39" spans="1:14">
      <c r="A39" s="610">
        <f>LARGE('Commodity Prices'!C$159:C$902,30)</f>
        <v>43466</v>
      </c>
      <c r="B39" s="957">
        <f>SUMIF('Commodity Prices'!C$159:C$902,A39,'Commodity Prices'!R$159:R$902)</f>
        <v>1536.8104115371086</v>
      </c>
      <c r="C39" s="1645">
        <f>SUMIF('Commodity Prices'!C$109:C$902,A39,'Commodity Prices'!S$109:S$902)</f>
        <v>2178.5865060240963</v>
      </c>
      <c r="D39" s="950">
        <f>SUMIF('Commodity Prices'!C$109:C$902,A39,'Commodity Prices'!T$109:T$902)</f>
        <v>3869.1255074483197</v>
      </c>
      <c r="E39" s="128"/>
      <c r="F39" s="128">
        <f t="shared" si="1"/>
        <v>2016</v>
      </c>
      <c r="G39" s="128">
        <f t="shared" si="1"/>
        <v>2017</v>
      </c>
      <c r="H39" s="959" t="str">
        <f t="shared" si="0"/>
        <v>2016-17</v>
      </c>
      <c r="I39" s="880">
        <f t="array" ref="I39">IF($H$6="Historic Calendar Year",IFERROR(AVERAGE(IF($H39=YEAR('Commodity Prices'!$C$9:$C$1000),'Commodity Prices'!$R$9:$R$1000)),"NA"),IFERROR(IF(L39=0,"NA",L39),"NA"))</f>
        <v>1143.3666851763885</v>
      </c>
      <c r="J39" s="780">
        <f t="array" ref="J39">IF($H$6="Historic Calendar Year",IFERROR(AVERAGE(IF($H39=YEAR('Commodity Prices'!$C$9:$C$1000),'Commodity Prices'!$S$9:$S$1000)),"NA"),IFERROR(IF(M39=0,"NA",M39),"NA"))</f>
        <v>1199.4231794157658</v>
      </c>
      <c r="K39" s="724">
        <f t="array" ref="K39">IF($H$6="Historic Calendar Year",IFERROR(AVERAGE(IF($H39=YEAR('Commodity Prices'!$C$9:$C$1000),'Commodity Prices'!$T$9:$T$1000)),"N/A"),IFERROR(IF(N39=0,"N/A",N39),"N/A"))</f>
        <v>3033.5430277993232</v>
      </c>
      <c r="L39" s="535">
        <f>(SUMIFS('Commodity Prices'!$R$9:$R$2500,'Commodity Prices'!$A$9:$A$2500,'Mineral Sands - Prices'!F39,'Commodity Prices'!$B$9:$B$2500,3)+
SUMIFS('Commodity Prices'!$R$9:$R$2500,'Commodity Prices'!$A$9:$A$2500,'Mineral Sands - Prices'!F39,'Commodity Prices'!$B$9:$B$2500,4)+
SUMIFS('Commodity Prices'!$R$9:$R$2500,'Commodity Prices'!$A$9:$A$2500,'Mineral Sands - Prices'!G39,'Commodity Prices'!$B$9:$B$2500,1)+
SUMIFS('Commodity Prices'!$R$9:$R$2500,'Commodity Prices'!$A$9:$A$2500,'Mineral Sands - Prices'!G39,'Commodity Prices'!$B$9:$B$2500,2))
/(COUNTIFS('Commodity Prices'!$A$9:$A$2500,'Mineral Sands - Prices'!F39,'Commodity Prices'!$B$9:$B$2500,3)+
COUNTIFS('Commodity Prices'!$A$9:$A$2500,'Mineral Sands - Prices'!F39,'Commodity Prices'!$B$9:$B$2500,4)+
COUNTIFS('Commodity Prices'!$A$9:$A$2500,'Mineral Sands - Prices'!G39,'Commodity Prices'!$B$9:$B$2500,1)+
COUNTIFS('Commodity Prices'!$A$9:$A$2500,'Mineral Sands - Prices'!G39,'Commodity Prices'!$B$9:$B$2500,2))</f>
        <v>1143.3666851763885</v>
      </c>
      <c r="M39" s="333">
        <f>(SUMIFS('Commodity Prices'!$S$9:$S$2500,'Commodity Prices'!$A$9:$A$2500,'Mineral Sands - Prices'!F39,'Commodity Prices'!$B$9:$B$2500,3)+
SUMIFS('Commodity Prices'!$S$9:$S$2500,'Commodity Prices'!$A$9:$A$2500,'Mineral Sands - Prices'!F39,'Commodity Prices'!$B$9:$B$2500,4)+
SUMIFS('Commodity Prices'!$S$9:$S$2500,'Commodity Prices'!$A$9:$A$2500,'Mineral Sands - Prices'!G39,'Commodity Prices'!$B$9:$B$2500,1)+
SUMIFS('Commodity Prices'!$S$9:$S$2500,'Commodity Prices'!$A$9:$A$2500,'Mineral Sands - Prices'!G39,'Commodity Prices'!$B$9:$B$2500,2))
/(COUNTIFS('Commodity Prices'!$A$9:$A$2500,'Mineral Sands - Prices'!F39,'Commodity Prices'!$B$9:$B$2500,3)+
COUNTIFS('Commodity Prices'!$A$9:$A$2500,'Mineral Sands - Prices'!F39,'Commodity Prices'!$B$9:$B$2500,4)+
COUNTIFS('Commodity Prices'!$A$9:$A$2500,'Mineral Sands - Prices'!G39,'Commodity Prices'!$B$9:$B$2500,1)+
COUNTIFS('Commodity Prices'!$A$9:$A$2500,'Mineral Sands - Prices'!G39,'Commodity Prices'!$B$9:$B$2500,2))</f>
        <v>1199.4231794157658</v>
      </c>
      <c r="N39" s="535">
        <f>(SUMIFS('Commodity Prices'!$T$9:$T$2500,'Commodity Prices'!$A$9:$A$2500,'Mineral Sands - Prices'!F39,'Commodity Prices'!$B$9:$B$2500,3)+
SUMIFS('Commodity Prices'!$T$9:$T$2500,'Commodity Prices'!$A$9:$A$2500,'Mineral Sands - Prices'!F39,'Commodity Prices'!$B$9:$B$2500,4)+
SUMIFS('Commodity Prices'!$T$9:$T$2500,'Commodity Prices'!$A$9:$A$2500,'Mineral Sands - Prices'!G39,'Commodity Prices'!$B$9:$B$2500,1)+
SUMIFS('Commodity Prices'!$T$9:$T$2500,'Commodity Prices'!$A$9:$A$2500,'Mineral Sands - Prices'!G39,'Commodity Prices'!$B$9:$B$2500,2))
/(COUNTIFS('Commodity Prices'!$A$9:$A$2500,'Mineral Sands - Prices'!F39,'Commodity Prices'!$B$9:$B$2500,3)+
COUNTIFS('Commodity Prices'!$A$9:$A$2500,'Mineral Sands - Prices'!F39,'Commodity Prices'!$B$9:$B$2500,4)+
COUNTIFS('Commodity Prices'!$A$9:$A$2500,'Mineral Sands - Prices'!G39,'Commodity Prices'!$B$9:$B$2500,1)+
COUNTIFS('Commodity Prices'!$A$9:$A$2500,'Mineral Sands - Prices'!G39,'Commodity Prices'!$B$9:$B$2500,2))</f>
        <v>3033.5430277993232</v>
      </c>
    </row>
    <row r="40" spans="1:14">
      <c r="A40" s="611">
        <f>LARGE('Commodity Prices'!C$159:C$902,29)</f>
        <v>43497</v>
      </c>
      <c r="B40" s="880">
        <f>SUMIF('Commodity Prices'!C$159:C$902,A40,'Commodity Prices'!R$159:R$902)</f>
        <v>1583.0428802588997</v>
      </c>
      <c r="C40" s="780">
        <f>SUMIF('Commodity Prices'!C$109:C$902,A40,'Commodity Prices'!S$109:S$902)</f>
        <v>2152.1483010479519</v>
      </c>
      <c r="D40" s="724">
        <f>SUMIF('Commodity Prices'!C$109:C$902,A40,'Commodity Prices'!T$109:T$902)</f>
        <v>3797.5507103074233</v>
      </c>
      <c r="E40" s="128"/>
      <c r="F40" s="128">
        <f t="shared" si="1"/>
        <v>2017</v>
      </c>
      <c r="G40" s="128">
        <f t="shared" si="1"/>
        <v>2018</v>
      </c>
      <c r="H40" s="959" t="str">
        <f t="shared" si="0"/>
        <v>2017-18</v>
      </c>
      <c r="I40" s="957">
        <f t="array" ref="I40">IF($H$6="Historic Calendar Year",IFERROR(AVERAGE(IF($H40=YEAR('Commodity Prices'!$C$9:$C$1000),'Commodity Prices'!$R$9:$R$1000)),"NA"),IFERROR(IF(L40=0,"NA",L40),"NA"))</f>
        <v>1235.260467710579</v>
      </c>
      <c r="J40" s="1645">
        <f t="array" ref="J40">IF($H$6="Historic Calendar Year",IFERROR(AVERAGE(IF($H40=YEAR('Commodity Prices'!$C$9:$C$1000),'Commodity Prices'!$S$9:$S$1000)),"NA"),IFERROR(IF(M40=0,"NA",M40),"NA"))</f>
        <v>1647.2862749250464</v>
      </c>
      <c r="K40" s="950">
        <f t="array" ref="K40">IF($H$6="Historic Calendar Year",IFERROR(AVERAGE(IF($H40=YEAR('Commodity Prices'!$C$9:$C$1000),'Commodity Prices'!$T$9:$T$1000)),"N/A"),IFERROR(IF(N40=0,"N/A",N40),"N/A"))</f>
        <v>3608.6324065566937</v>
      </c>
      <c r="L40" s="535">
        <f>(SUMIFS('Commodity Prices'!$R$9:$R$2500,'Commodity Prices'!$A$9:$A$2500,'Mineral Sands - Prices'!F40,'Commodity Prices'!$B$9:$B$2500,3)+
SUMIFS('Commodity Prices'!$R$9:$R$2500,'Commodity Prices'!$A$9:$A$2500,'Mineral Sands - Prices'!F40,'Commodity Prices'!$B$9:$B$2500,4)+
SUMIFS('Commodity Prices'!$R$9:$R$2500,'Commodity Prices'!$A$9:$A$2500,'Mineral Sands - Prices'!G40,'Commodity Prices'!$B$9:$B$2500,1)+
SUMIFS('Commodity Prices'!$R$9:$R$2500,'Commodity Prices'!$A$9:$A$2500,'Mineral Sands - Prices'!G40,'Commodity Prices'!$B$9:$B$2500,2))
/(COUNTIFS('Commodity Prices'!$A$9:$A$2500,'Mineral Sands - Prices'!F40,'Commodity Prices'!$B$9:$B$2500,3)+
COUNTIFS('Commodity Prices'!$A$9:$A$2500,'Mineral Sands - Prices'!F40,'Commodity Prices'!$B$9:$B$2500,4)+
COUNTIFS('Commodity Prices'!$A$9:$A$2500,'Mineral Sands - Prices'!G40,'Commodity Prices'!$B$9:$B$2500,1)+
COUNTIFS('Commodity Prices'!$A$9:$A$2500,'Mineral Sands - Prices'!G40,'Commodity Prices'!$B$9:$B$2500,2))</f>
        <v>1235.260467710579</v>
      </c>
      <c r="M40" s="333">
        <f>(SUMIFS('Commodity Prices'!$S$9:$S$2500,'Commodity Prices'!$A$9:$A$2500,'Mineral Sands - Prices'!F40,'Commodity Prices'!$B$9:$B$2500,3)+
SUMIFS('Commodity Prices'!$S$9:$S$2500,'Commodity Prices'!$A$9:$A$2500,'Mineral Sands - Prices'!F40,'Commodity Prices'!$B$9:$B$2500,4)+
SUMIFS('Commodity Prices'!$S$9:$S$2500,'Commodity Prices'!$A$9:$A$2500,'Mineral Sands - Prices'!G40,'Commodity Prices'!$B$9:$B$2500,1)+
SUMIFS('Commodity Prices'!$S$9:$S$2500,'Commodity Prices'!$A$9:$A$2500,'Mineral Sands - Prices'!G40,'Commodity Prices'!$B$9:$B$2500,2))
/(COUNTIFS('Commodity Prices'!$A$9:$A$2500,'Mineral Sands - Prices'!F40,'Commodity Prices'!$B$9:$B$2500,3)+
COUNTIFS('Commodity Prices'!$A$9:$A$2500,'Mineral Sands - Prices'!F40,'Commodity Prices'!$B$9:$B$2500,4)+
COUNTIFS('Commodity Prices'!$A$9:$A$2500,'Mineral Sands - Prices'!G40,'Commodity Prices'!$B$9:$B$2500,1)+
COUNTIFS('Commodity Prices'!$A$9:$A$2500,'Mineral Sands - Prices'!G40,'Commodity Prices'!$B$9:$B$2500,2))</f>
        <v>1647.2862749250464</v>
      </c>
      <c r="N40" s="535">
        <f>(SUMIFS('Commodity Prices'!$T$9:$T$2500,'Commodity Prices'!$A$9:$A$2500,'Mineral Sands - Prices'!F40,'Commodity Prices'!$B$9:$B$2500,3)+
SUMIFS('Commodity Prices'!$T$9:$T$2500,'Commodity Prices'!$A$9:$A$2500,'Mineral Sands - Prices'!F40,'Commodity Prices'!$B$9:$B$2500,4)+
SUMIFS('Commodity Prices'!$T$9:$T$2500,'Commodity Prices'!$A$9:$A$2500,'Mineral Sands - Prices'!G40,'Commodity Prices'!$B$9:$B$2500,1)+
SUMIFS('Commodity Prices'!$T$9:$T$2500,'Commodity Prices'!$A$9:$A$2500,'Mineral Sands - Prices'!G40,'Commodity Prices'!$B$9:$B$2500,2))
/(COUNTIFS('Commodity Prices'!$A$9:$A$2500,'Mineral Sands - Prices'!F40,'Commodity Prices'!$B$9:$B$2500,3)+
COUNTIFS('Commodity Prices'!$A$9:$A$2500,'Mineral Sands - Prices'!F40,'Commodity Prices'!$B$9:$B$2500,4)+
COUNTIFS('Commodity Prices'!$A$9:$A$2500,'Mineral Sands - Prices'!G40,'Commodity Prices'!$B$9:$B$2500,1)+
COUNTIFS('Commodity Prices'!$A$9:$A$2500,'Mineral Sands - Prices'!G40,'Commodity Prices'!$B$9:$B$2500,2))</f>
        <v>3608.6324065566937</v>
      </c>
    </row>
    <row r="41" spans="1:14">
      <c r="A41" s="610">
        <f>LARGE('Commodity Prices'!C$159:C$902,28)</f>
        <v>43525</v>
      </c>
      <c r="B41" s="957">
        <f>SUMIF('Commodity Prices'!C$159:C$902,A41,'Commodity Prices'!R$159:R$902)</f>
        <v>1563.9150239744272</v>
      </c>
      <c r="C41" s="1645">
        <f>SUMIF('Commodity Prices'!C$109:C$902,A41,'Commodity Prices'!S$109:S$902)</f>
        <v>2208.0118771726534</v>
      </c>
      <c r="D41" s="950">
        <f>SUMIF('Commodity Prices'!C$109:C$902,A41,'Commodity Prices'!T$109:T$902)</f>
        <v>3825.3170842980858</v>
      </c>
      <c r="E41" s="128"/>
      <c r="F41" s="128">
        <f t="shared" si="1"/>
        <v>2018</v>
      </c>
      <c r="G41" s="128">
        <f t="shared" si="1"/>
        <v>2019</v>
      </c>
      <c r="H41" s="959" t="str">
        <f t="shared" si="0"/>
        <v>2018-19</v>
      </c>
      <c r="I41" s="880">
        <f t="array" ref="I41">IF($H$6="Historic Calendar Year",IFERROR(AVERAGE(IF($H41=YEAR('Commodity Prices'!$C$9:$C$1000),'Commodity Prices'!$R$9:$R$1000)),"NA"),IFERROR(IF(L41=0,"NA",L41),"NA"))</f>
        <v>1519.4002359473059</v>
      </c>
      <c r="J41" s="780">
        <f t="array" ref="J41">IF($H$6="Historic Calendar Year",IFERROR(AVERAGE(IF($H41=YEAR('Commodity Prices'!$C$9:$C$1000),'Commodity Prices'!$S$9:$S$1000)),"NA"),IFERROR(IF(M41=0,"NA",M41),"NA"))</f>
        <v>2168.1088842698559</v>
      </c>
      <c r="K41" s="724">
        <f t="array" ref="K41">IF($H$6="Historic Calendar Year",IFERROR(AVERAGE(IF($H41=YEAR('Commodity Prices'!$C$9:$C$1000),'Commodity Prices'!$T$9:$T$1000)),"N/A"),IFERROR(IF(N41=0,"N/A",N41),"N/A"))</f>
        <v>3901.1013349327536</v>
      </c>
      <c r="L41" s="535">
        <f>(SUMIFS('Commodity Prices'!$R$9:$R$2500,'Commodity Prices'!$A$9:$A$2500,'Mineral Sands - Prices'!F41,'Commodity Prices'!$B$9:$B$2500,3)+
SUMIFS('Commodity Prices'!$R$9:$R$2500,'Commodity Prices'!$A$9:$A$2500,'Mineral Sands - Prices'!F41,'Commodity Prices'!$B$9:$B$2500,4)+
SUMIFS('Commodity Prices'!$R$9:$R$2500,'Commodity Prices'!$A$9:$A$2500,'Mineral Sands - Prices'!G41,'Commodity Prices'!$B$9:$B$2500,1)+
SUMIFS('Commodity Prices'!$R$9:$R$2500,'Commodity Prices'!$A$9:$A$2500,'Mineral Sands - Prices'!G41,'Commodity Prices'!$B$9:$B$2500,2))
/(COUNTIFS('Commodity Prices'!$A$9:$A$2500,'Mineral Sands - Prices'!F41,'Commodity Prices'!$B$9:$B$2500,3)+
COUNTIFS('Commodity Prices'!$A$9:$A$2500,'Mineral Sands - Prices'!F41,'Commodity Prices'!$B$9:$B$2500,4)+
COUNTIFS('Commodity Prices'!$A$9:$A$2500,'Mineral Sands - Prices'!G41,'Commodity Prices'!$B$9:$B$2500,1)+
COUNTIFS('Commodity Prices'!$A$9:$A$2500,'Mineral Sands - Prices'!G41,'Commodity Prices'!$B$9:$B$2500,2))</f>
        <v>1519.4002359473059</v>
      </c>
      <c r="M41" s="333">
        <f>(SUMIFS('Commodity Prices'!$S$9:$S$2500,'Commodity Prices'!$A$9:$A$2500,'Mineral Sands - Prices'!F41,'Commodity Prices'!$B$9:$B$2500,3)+
SUMIFS('Commodity Prices'!$S$9:$S$2500,'Commodity Prices'!$A$9:$A$2500,'Mineral Sands - Prices'!F41,'Commodity Prices'!$B$9:$B$2500,4)+
SUMIFS('Commodity Prices'!$S$9:$S$2500,'Commodity Prices'!$A$9:$A$2500,'Mineral Sands - Prices'!G41,'Commodity Prices'!$B$9:$B$2500,1)+
SUMIFS('Commodity Prices'!$S$9:$S$2500,'Commodity Prices'!$A$9:$A$2500,'Mineral Sands - Prices'!G41,'Commodity Prices'!$B$9:$B$2500,2))
/(COUNTIFS('Commodity Prices'!$A$9:$A$2500,'Mineral Sands - Prices'!F41,'Commodity Prices'!$B$9:$B$2500,3)+
COUNTIFS('Commodity Prices'!$A$9:$A$2500,'Mineral Sands - Prices'!F41,'Commodity Prices'!$B$9:$B$2500,4)+
COUNTIFS('Commodity Prices'!$A$9:$A$2500,'Mineral Sands - Prices'!G41,'Commodity Prices'!$B$9:$B$2500,1)+
COUNTIFS('Commodity Prices'!$A$9:$A$2500,'Mineral Sands - Prices'!G41,'Commodity Prices'!$B$9:$B$2500,2))</f>
        <v>2168.1088842698559</v>
      </c>
      <c r="N41" s="535">
        <f>(SUMIFS('Commodity Prices'!$T$9:$T$2500,'Commodity Prices'!$A$9:$A$2500,'Mineral Sands - Prices'!F41,'Commodity Prices'!$B$9:$B$2500,3)+
SUMIFS('Commodity Prices'!$T$9:$T$2500,'Commodity Prices'!$A$9:$A$2500,'Mineral Sands - Prices'!F41,'Commodity Prices'!$B$9:$B$2500,4)+
SUMIFS('Commodity Prices'!$T$9:$T$2500,'Commodity Prices'!$A$9:$A$2500,'Mineral Sands - Prices'!G41,'Commodity Prices'!$B$9:$B$2500,1)+
SUMIFS('Commodity Prices'!$T$9:$T$2500,'Commodity Prices'!$A$9:$A$2500,'Mineral Sands - Prices'!G41,'Commodity Prices'!$B$9:$B$2500,2))
/(COUNTIFS('Commodity Prices'!$A$9:$A$2500,'Mineral Sands - Prices'!F41,'Commodity Prices'!$B$9:$B$2500,3)+
COUNTIFS('Commodity Prices'!$A$9:$A$2500,'Mineral Sands - Prices'!F41,'Commodity Prices'!$B$9:$B$2500,4)+
COUNTIFS('Commodity Prices'!$A$9:$A$2500,'Mineral Sands - Prices'!G41,'Commodity Prices'!$B$9:$B$2500,1)+
COUNTIFS('Commodity Prices'!$A$9:$A$2500,'Mineral Sands - Prices'!G41,'Commodity Prices'!$B$9:$B$2500,2))</f>
        <v>3901.1013349327536</v>
      </c>
    </row>
    <row r="42" spans="1:14">
      <c r="A42" s="611">
        <f>LARGE('Commodity Prices'!C$159:C$902,27)</f>
        <v>43556</v>
      </c>
      <c r="B42" s="880">
        <f>SUMIF('Commodity Prices'!C$159:C$902,A42,'Commodity Prices'!R$159:R$902)</f>
        <v>1540.1657940663176</v>
      </c>
      <c r="C42" s="780">
        <f>SUMIF('Commodity Prices'!C$109:C$902,A42,'Commodity Prices'!S$109:S$902)</f>
        <v>2167.5458242101972</v>
      </c>
      <c r="D42" s="724">
        <f>SUMIF('Commodity Prices'!C$109:C$902,A42,'Commodity Prices'!T$109:T$902)</f>
        <v>3872.2849636724181</v>
      </c>
      <c r="E42" s="128"/>
      <c r="F42" s="128">
        <f t="shared" si="1"/>
        <v>2019</v>
      </c>
      <c r="G42" s="128">
        <f t="shared" si="1"/>
        <v>2020</v>
      </c>
      <c r="H42" s="959" t="str">
        <f t="shared" si="0"/>
        <v>2019-20</v>
      </c>
      <c r="I42" s="957">
        <f t="array" ref="I42">IF($H$6="Historic Calendar Year",IFERROR(AVERAGE(IF($H42=YEAR('Commodity Prices'!$C$9:$C$1000),'Commodity Prices'!$R$9:$R$1000)),"NA"),IFERROR(IF(L42=0,"NA",L42),"NA"))</f>
        <v>1922.9664914731711</v>
      </c>
      <c r="J42" s="1645">
        <f t="array" ref="J42">IF($H$6="Historic Calendar Year",IFERROR(AVERAGE(IF($H42=YEAR('Commodity Prices'!$C$9:$C$1000),'Commodity Prices'!$S$9:$S$1000)),"NA"),IFERROR(IF(M42=0,"NA",M42),"NA"))</f>
        <v>2089.3082188502822</v>
      </c>
      <c r="K42" s="950">
        <f t="array" ref="K42">IF($H$6="Historic Calendar Year",IFERROR(AVERAGE(IF($H42=YEAR('Commodity Prices'!$C$9:$C$1000),'Commodity Prices'!$T$9:$T$1000)),"N/A"),IFERROR(IF(N42=0,"N/A",N42),"N/A"))</f>
        <v>4050.8158058898539</v>
      </c>
      <c r="L42" s="535">
        <f>(SUMIFS('Commodity Prices'!$R$9:$R$2500,'Commodity Prices'!$A$9:$A$2500,'Mineral Sands - Prices'!F42,'Commodity Prices'!$B$9:$B$2500,3)+
SUMIFS('Commodity Prices'!$R$9:$R$2500,'Commodity Prices'!$A$9:$A$2500,'Mineral Sands - Prices'!F42,'Commodity Prices'!$B$9:$B$2500,4)+
SUMIFS('Commodity Prices'!$R$9:$R$2500,'Commodity Prices'!$A$9:$A$2500,'Mineral Sands - Prices'!G42,'Commodity Prices'!$B$9:$B$2500,1)+
SUMIFS('Commodity Prices'!$R$9:$R$2500,'Commodity Prices'!$A$9:$A$2500,'Mineral Sands - Prices'!G42,'Commodity Prices'!$B$9:$B$2500,2))
/(COUNTIFS('Commodity Prices'!$A$9:$A$2500,'Mineral Sands - Prices'!F42,'Commodity Prices'!$B$9:$B$2500,3)+
COUNTIFS('Commodity Prices'!$A$9:$A$2500,'Mineral Sands - Prices'!F42,'Commodity Prices'!$B$9:$B$2500,4)+
COUNTIFS('Commodity Prices'!$A$9:$A$2500,'Mineral Sands - Prices'!G42,'Commodity Prices'!$B$9:$B$2500,1)+
COUNTIFS('Commodity Prices'!$A$9:$A$2500,'Mineral Sands - Prices'!G42,'Commodity Prices'!$B$9:$B$2500,2))</f>
        <v>1922.9664914731711</v>
      </c>
      <c r="M42" s="333">
        <f>(SUMIFS('Commodity Prices'!$S$9:$S$2500,'Commodity Prices'!$A$9:$A$2500,'Mineral Sands - Prices'!F42,'Commodity Prices'!$B$9:$B$2500,3)+
SUMIFS('Commodity Prices'!$S$9:$S$2500,'Commodity Prices'!$A$9:$A$2500,'Mineral Sands - Prices'!F42,'Commodity Prices'!$B$9:$B$2500,4)+
SUMIFS('Commodity Prices'!$S$9:$S$2500,'Commodity Prices'!$A$9:$A$2500,'Mineral Sands - Prices'!G42,'Commodity Prices'!$B$9:$B$2500,1)+
SUMIFS('Commodity Prices'!$S$9:$S$2500,'Commodity Prices'!$A$9:$A$2500,'Mineral Sands - Prices'!G42,'Commodity Prices'!$B$9:$B$2500,2))
/(COUNTIFS('Commodity Prices'!$A$9:$A$2500,'Mineral Sands - Prices'!F42,'Commodity Prices'!$B$9:$B$2500,3)+
COUNTIFS('Commodity Prices'!$A$9:$A$2500,'Mineral Sands - Prices'!F42,'Commodity Prices'!$B$9:$B$2500,4)+
COUNTIFS('Commodity Prices'!$A$9:$A$2500,'Mineral Sands - Prices'!G42,'Commodity Prices'!$B$9:$B$2500,1)+
COUNTIFS('Commodity Prices'!$A$9:$A$2500,'Mineral Sands - Prices'!G42,'Commodity Prices'!$B$9:$B$2500,2))</f>
        <v>2089.3082188502822</v>
      </c>
      <c r="N42" s="535">
        <f>(SUMIFS('Commodity Prices'!$T$9:$T$2500,'Commodity Prices'!$A$9:$A$2500,'Mineral Sands - Prices'!F42,'Commodity Prices'!$B$9:$B$2500,3)+
SUMIFS('Commodity Prices'!$T$9:$T$2500,'Commodity Prices'!$A$9:$A$2500,'Mineral Sands - Prices'!F42,'Commodity Prices'!$B$9:$B$2500,4)+
SUMIFS('Commodity Prices'!$T$9:$T$2500,'Commodity Prices'!$A$9:$A$2500,'Mineral Sands - Prices'!G42,'Commodity Prices'!$B$9:$B$2500,1)+
SUMIFS('Commodity Prices'!$T$9:$T$2500,'Commodity Prices'!$A$9:$A$2500,'Mineral Sands - Prices'!G42,'Commodity Prices'!$B$9:$B$2500,2))
/(COUNTIFS('Commodity Prices'!$A$9:$A$2500,'Mineral Sands - Prices'!F42,'Commodity Prices'!$B$9:$B$2500,3)+
COUNTIFS('Commodity Prices'!$A$9:$A$2500,'Mineral Sands - Prices'!F42,'Commodity Prices'!$B$9:$B$2500,4)+
COUNTIFS('Commodity Prices'!$A$9:$A$2500,'Mineral Sands - Prices'!G42,'Commodity Prices'!$B$9:$B$2500,1)+
COUNTIFS('Commodity Prices'!$A$9:$A$2500,'Mineral Sands - Prices'!G42,'Commodity Prices'!$B$9:$B$2500,2))</f>
        <v>4050.8158058898539</v>
      </c>
    </row>
    <row r="43" spans="1:14" ht="15.75" thickBot="1">
      <c r="A43" s="610">
        <f>LARGE('Commodity Prices'!C$159:C$902,26)</f>
        <v>43586</v>
      </c>
      <c r="B43" s="957">
        <f>SUMIF('Commodity Prices'!C$159:C$902,A43,'Commodity Prices'!R$159:R$902)</f>
        <v>1629.5495928941525</v>
      </c>
      <c r="C43" s="1645">
        <f>SUMIF('Commodity Prices'!C$109:C$902,A43,'Commodity Prices'!S$109:S$902)</f>
        <v>2225.5955696202532</v>
      </c>
      <c r="D43" s="950">
        <f>SUMIF('Commodity Prices'!C$109:C$902,A43,'Commodity Prices'!T$109:T$902)</f>
        <v>3980.9162964372517</v>
      </c>
      <c r="E43" s="128"/>
      <c r="F43" s="128">
        <f t="shared" si="1"/>
        <v>2020</v>
      </c>
      <c r="G43" s="128">
        <f t="shared" si="1"/>
        <v>2021</v>
      </c>
      <c r="H43" s="959" t="str">
        <f t="shared" si="0"/>
        <v>2020-21</v>
      </c>
      <c r="I43" s="880">
        <f t="array" ref="I43">IF($H$6="Historic Calendar Year",IFERROR(AVERAGE(IF($H43=YEAR('Commodity Prices'!$C$9:$C$1000),'Commodity Prices'!$R$9:$R$1000)),"NA"),IFERROR(IF(L43=0,"NA",L43),"NA"))</f>
        <v>1687.6392571813976</v>
      </c>
      <c r="J43" s="780">
        <f t="array" ref="J43">IF($H$6="Historic Calendar Year",IFERROR(AVERAGE(IF($H43=YEAR('Commodity Prices'!$C$9:$C$1000),'Commodity Prices'!$S$9:$S$1000)),"NA"),IFERROR(IF(M43=0,"NA",M43),"NA"))</f>
        <v>1728.1703728916862</v>
      </c>
      <c r="K43" s="725">
        <f t="array" ref="K43">IF($H$6="Historic Calendar Year",IFERROR(AVERAGE(IF($H43=YEAR('Commodity Prices'!$C$9:$C$1000),'Commodity Prices'!$T$9:$T$1000)),"N/A"),IFERROR(IF(N43=0,"N/A",N43),"N/A"))</f>
        <v>3659.4411732701424</v>
      </c>
      <c r="L43" s="333">
        <f>(SUMIFS('Commodity Prices'!$R$9:$R$2500,'Commodity Prices'!$A$9:$A$2500,'Mineral Sands - Prices'!F43,'Commodity Prices'!$B$9:$B$2500,3)+
SUMIFS('Commodity Prices'!$R$9:$R$2500,'Commodity Prices'!$A$9:$A$2500,'Mineral Sands - Prices'!F43,'Commodity Prices'!$B$9:$B$2500,4)+
SUMIFS('Commodity Prices'!$R$9:$R$2500,'Commodity Prices'!$A$9:$A$2500,'Mineral Sands - Prices'!G43,'Commodity Prices'!$B$9:$B$2500,1)+
SUMIFS('Commodity Prices'!$R$9:$R$2500,'Commodity Prices'!$A$9:$A$2500,'Mineral Sands - Prices'!G43,'Commodity Prices'!$B$9:$B$2500,2))
/(COUNTIFS('Commodity Prices'!$A$9:$A$2500,'Mineral Sands - Prices'!F43,'Commodity Prices'!$B$9:$B$2500,3)+
COUNTIFS('Commodity Prices'!$A$9:$A$2500,'Mineral Sands - Prices'!F43,'Commodity Prices'!$B$9:$B$2500,4)+
COUNTIFS('Commodity Prices'!$A$9:$A$2500,'Mineral Sands - Prices'!G43,'Commodity Prices'!$B$9:$B$2500,1)+
COUNTIFS('Commodity Prices'!$A$9:$A$2500,'Mineral Sands - Prices'!G43,'Commodity Prices'!$B$9:$B$2500,2))</f>
        <v>1687.6392571813976</v>
      </c>
      <c r="M43" s="333">
        <f>(SUMIFS('Commodity Prices'!$S$9:$S$2500,'Commodity Prices'!$A$9:$A$2500,'Mineral Sands - Prices'!F43,'Commodity Prices'!$B$9:$B$2500,3)+
SUMIFS('Commodity Prices'!$S$9:$S$2500,'Commodity Prices'!$A$9:$A$2500,'Mineral Sands - Prices'!F43,'Commodity Prices'!$B$9:$B$2500,4)+
SUMIFS('Commodity Prices'!$S$9:$S$2500,'Commodity Prices'!$A$9:$A$2500,'Mineral Sands - Prices'!G43,'Commodity Prices'!$B$9:$B$2500,1)+
SUMIFS('Commodity Prices'!$S$9:$S$2500,'Commodity Prices'!$A$9:$A$2500,'Mineral Sands - Prices'!G43,'Commodity Prices'!$B$9:$B$2500,2))
/(COUNTIFS('Commodity Prices'!$A$9:$A$2500,'Mineral Sands - Prices'!F43,'Commodity Prices'!$B$9:$B$2500,3)+
COUNTIFS('Commodity Prices'!$A$9:$A$2500,'Mineral Sands - Prices'!F43,'Commodity Prices'!$B$9:$B$2500,4)+
COUNTIFS('Commodity Prices'!$A$9:$A$2500,'Mineral Sands - Prices'!G43,'Commodity Prices'!$B$9:$B$2500,1)+
COUNTIFS('Commodity Prices'!$A$9:$A$2500,'Mineral Sands - Prices'!G43,'Commodity Prices'!$B$9:$B$2500,2))</f>
        <v>1728.1703728916862</v>
      </c>
      <c r="N43" s="535">
        <f>(SUMIFS('Commodity Prices'!$T$9:$T$2500,'Commodity Prices'!$A$9:$A$2500,'Mineral Sands - Prices'!F43,'Commodity Prices'!$B$9:$B$2500,3)+
SUMIFS('Commodity Prices'!$T$9:$T$2500,'Commodity Prices'!$A$9:$A$2500,'Mineral Sands - Prices'!F43,'Commodity Prices'!$B$9:$B$2500,4)+
SUMIFS('Commodity Prices'!$T$9:$T$2500,'Commodity Prices'!$A$9:$A$2500,'Mineral Sands - Prices'!G43,'Commodity Prices'!$B$9:$B$2500,1)+
SUMIFS('Commodity Prices'!$T$9:$T$2500,'Commodity Prices'!$A$9:$A$2500,'Mineral Sands - Prices'!G43,'Commodity Prices'!$B$9:$B$2500,2))
/(COUNTIFS('Commodity Prices'!$A$9:$A$2500,'Mineral Sands - Prices'!F43,'Commodity Prices'!$B$9:$B$2500,3)+
COUNTIFS('Commodity Prices'!$A$9:$A$2500,'Mineral Sands - Prices'!F43,'Commodity Prices'!$B$9:$B$2500,4)+
COUNTIFS('Commodity Prices'!$A$9:$A$2500,'Mineral Sands - Prices'!G43,'Commodity Prices'!$B$9:$B$2500,1)+
COUNTIFS('Commodity Prices'!$A$9:$A$2500,'Mineral Sands - Prices'!G43,'Commodity Prices'!$B$9:$B$2500,2))</f>
        <v>3659.4411732701424</v>
      </c>
    </row>
    <row r="44" spans="1:14">
      <c r="A44" s="611">
        <f>LARGE('Commodity Prices'!C$159:C$902,25)</f>
        <v>43617</v>
      </c>
      <c r="B44" s="880">
        <f>SUMIF('Commodity Prices'!C$159:C$902,A44,'Commodity Prices'!R$159:R$902)</f>
        <v>1624.5305669939817</v>
      </c>
      <c r="C44" s="780">
        <f>SUMIF('Commodity Prices'!C$109:C$902,A44,'Commodity Prices'!S$109:S$902)</f>
        <v>2240.4448030780118</v>
      </c>
      <c r="D44" s="724">
        <f>SUMIF('Commodity Prices'!C$109:C$902,A44,'Commodity Prices'!T$109:T$902)</f>
        <v>3967.9942481164471</v>
      </c>
      <c r="E44" s="128"/>
      <c r="F44" s="128"/>
      <c r="G44" s="128"/>
      <c r="H44" s="935" t="str">
        <f>IF($H$6="Historic Calendar Year",H43+1,CONCATENATE(F43,"-",RIGHT(G43,2)))</f>
        <v>2020-21</v>
      </c>
      <c r="I44" s="783">
        <f>IF($H$6="Historic Calendar Year",IFERROR(AVERAGE(IF($H44=YEAR('Commodity Prices'!$C$9:$C$1000),'Commodity Prices'!$R$9:$R$1000)),"N/A"),IFERROR(IF(M43=0,"N/A",M43),"N/A"))</f>
        <v>1728.1703728916862</v>
      </c>
      <c r="J44" s="783">
        <f>IF($H$6="Historic Calendar Year",IFERROR(AVERAGE(IF($H44=YEAR('Commodity Prices'!$C$9:$C$1000),'Commodity Prices'!$S$9:$S$1000)),"N/A"),IFERROR(IF(L43=0,"N/A",L43),"N/A"))</f>
        <v>1687.6392571813976</v>
      </c>
      <c r="K44" s="1612"/>
      <c r="N44" s="535" t="e">
        <f>(SUMIFS('Commodity Prices'!$T$9:$T$2500,'Commodity Prices'!$A$9:$A$2500,'Mineral Sands - Prices'!F44,'Commodity Prices'!$B$9:$B$2500,3)+
SUMIFS('Commodity Prices'!$T$9:$T$2500,'Commodity Prices'!$A$9:$A$2500,'Mineral Sands - Prices'!F44,'Commodity Prices'!$B$9:$B$2500,4)+
SUMIFS('Commodity Prices'!$T$9:$T$2500,'Commodity Prices'!$A$9:$A$2500,'Mineral Sands - Prices'!G44,'Commodity Prices'!$B$9:$B$2500,1)+
SUMIFS('Commodity Prices'!$T$9:$T$2500,'Commodity Prices'!$A$9:$A$2500,'Mineral Sands - Prices'!G44,'Commodity Prices'!$B$9:$B$2500,2))
/(COUNTIFS('Commodity Prices'!$A$9:$A$2500,'Mineral Sands - Prices'!F44,'Commodity Prices'!$B$9:$B$2500,3)+
COUNTIFS('Commodity Prices'!$A$9:$A$2500,'Mineral Sands - Prices'!F44,'Commodity Prices'!$B$9:$B$2500,4)+
COUNTIFS('Commodity Prices'!$A$9:$A$2500,'Mineral Sands - Prices'!G44,'Commodity Prices'!$B$9:$B$2500,1)+
COUNTIFS('Commodity Prices'!$A$9:$A$2500,'Mineral Sands - Prices'!G44,'Commodity Prices'!$B$9:$B$2500,2))</f>
        <v>#DIV/0!</v>
      </c>
    </row>
    <row r="45" spans="1:14" ht="15.75" thickBot="1">
      <c r="A45" s="610">
        <f>LARGE('Commodity Prices'!C$159:C$902,24)</f>
        <v>43647</v>
      </c>
      <c r="B45" s="957">
        <f>SUMIF('Commodity Prices'!C$159:C$902,A45,'Commodity Prices'!R$159:R$902)</f>
        <v>1645.3816956367507</v>
      </c>
      <c r="C45" s="1645">
        <f>SUMIF('Commodity Prices'!C$109:C$902,A45,'Commodity Prices'!S$109:S$902)</f>
        <v>2213.7237550471064</v>
      </c>
      <c r="D45" s="950">
        <f>SUMIF('Commodity Prices'!C$109:C$902,A45,'Commodity Prices'!T$109:T$902)</f>
        <v>3819.6943832462939</v>
      </c>
      <c r="E45" s="128"/>
      <c r="F45" s="128"/>
      <c r="G45" s="128"/>
      <c r="H45" s="128"/>
      <c r="I45" s="128"/>
      <c r="J45" s="128"/>
      <c r="K45" s="373"/>
    </row>
    <row r="46" spans="1:14">
      <c r="A46" s="611">
        <f>LARGE('Commodity Prices'!C$159:C$902,23)</f>
        <v>43678</v>
      </c>
      <c r="B46" s="880">
        <f>SUMIF('Commodity Prices'!C$159:C$902,A46,'Commodity Prices'!R$159:R$902)</f>
        <v>1820.0979942693409</v>
      </c>
      <c r="C46" s="780">
        <f>SUMIF('Commodity Prices'!C$109:C$902,A46,'Commodity Prices'!S$109:S$902)</f>
        <v>2252.8276311502118</v>
      </c>
      <c r="D46" s="724">
        <f>SUMIF('Commodity Prices'!C$109:C$902,A46,'Commodity Prices'!T$109:T$902)</f>
        <v>4013.006570770619</v>
      </c>
      <c r="E46" s="128"/>
      <c r="F46" s="128"/>
      <c r="G46" s="128"/>
      <c r="H46" s="2037" t="s">
        <v>506</v>
      </c>
      <c r="I46" s="2038"/>
      <c r="J46" s="2038"/>
      <c r="K46" s="2039"/>
    </row>
    <row r="47" spans="1:14" ht="15.75" thickBot="1">
      <c r="A47" s="610">
        <f>LARGE('Commodity Prices'!C$159:C$902,22)</f>
        <v>43709</v>
      </c>
      <c r="B47" s="957">
        <f>SUMIF('Commodity Prices'!C$159:C$902,A47,'Commodity Prices'!R$159:R$902)</f>
        <v>1744.8484162895927</v>
      </c>
      <c r="C47" s="1645">
        <f>SUMIF('Commodity Prices'!C$109:C$902,A47,'Commodity Prices'!S$109:S$902)</f>
        <v>2222.9214598540148</v>
      </c>
      <c r="D47" s="950">
        <f>SUMIF('Commodity Prices'!C$109:C$902,A47,'Commodity Prices'!T$109:T$902)</f>
        <v>4070.9555652028612</v>
      </c>
      <c r="E47" s="128"/>
      <c r="F47" s="128"/>
      <c r="G47" s="128"/>
      <c r="H47" s="1985" t="s">
        <v>464</v>
      </c>
      <c r="I47" s="1988"/>
      <c r="J47" s="1988"/>
      <c r="K47" s="1986"/>
    </row>
    <row r="48" spans="1:14">
      <c r="A48" s="611">
        <f>LARGE('Commodity Prices'!C$159:C$902,21)</f>
        <v>43739</v>
      </c>
      <c r="B48" s="880">
        <f>SUMIF('Commodity Prices'!C$159:C$902,A48,'Commodity Prices'!R$159:R$902)</f>
        <v>1576.3932253313696</v>
      </c>
      <c r="C48" s="780">
        <f>SUMIF('Commodity Prices'!C$109:C$902,A48,'Commodity Prices'!S$109:S$902)</f>
        <v>2167.8608354771532</v>
      </c>
      <c r="D48" s="724">
        <f>SUMIF('Commodity Prices'!C$109:C$902,A48,'Commodity Prices'!T$109:T$902)</f>
        <v>4132.8768979748247</v>
      </c>
      <c r="E48" s="128"/>
      <c r="F48" s="128"/>
      <c r="G48" s="128"/>
      <c r="H48" s="2013" t="s">
        <v>507</v>
      </c>
      <c r="I48" s="2013"/>
      <c r="J48" s="2013"/>
      <c r="K48" s="2013"/>
    </row>
    <row r="49" spans="1:11">
      <c r="A49" s="610">
        <f>LARGE('Commodity Prices'!C$159:C$902,20)</f>
        <v>43770</v>
      </c>
      <c r="B49" s="957">
        <f>SUMIF('Commodity Prices'!C$159:C$902,A49,'Commodity Prices'!R$159:R$902)</f>
        <v>1850.9246621621621</v>
      </c>
      <c r="C49" s="1645">
        <f>SUMIF('Commodity Prices'!C$109:C$902,A49,'Commodity Prices'!S$109:S$902)</f>
        <v>1918.4700971204634</v>
      </c>
      <c r="D49" s="950">
        <f>SUMIF('Commodity Prices'!C$109:C$902,A49,'Commodity Prices'!T$109:T$902)</f>
        <v>3989.9454691906735</v>
      </c>
      <c r="E49" s="128"/>
      <c r="F49" s="128"/>
      <c r="G49" s="128"/>
      <c r="H49" s="128"/>
      <c r="I49" s="128"/>
      <c r="J49" s="128"/>
      <c r="K49" s="373"/>
    </row>
    <row r="50" spans="1:11">
      <c r="A50" s="611">
        <f>LARGE('Commodity Prices'!C$159:C$902,19)</f>
        <v>43800</v>
      </c>
      <c r="B50" s="880">
        <f>SUMIF('Commodity Prices'!C$159:C$902,A50,'Commodity Prices'!R$159:R$902)</f>
        <v>1911.6204481792718</v>
      </c>
      <c r="C50" s="780">
        <f>SUMIF('Commodity Prices'!C$109:C$902,A50,'Commodity Prices'!S$109:S$902)</f>
        <v>2125.1036752396894</v>
      </c>
      <c r="D50" s="724">
        <f>SUMIF('Commodity Prices'!C$109:C$902,A50,'Commodity Prices'!T$109:T$902)</f>
        <v>4033.0959694185149</v>
      </c>
      <c r="E50" s="128"/>
      <c r="F50" s="128"/>
      <c r="G50" s="128"/>
      <c r="H50" s="2022"/>
      <c r="I50" s="2022"/>
      <c r="J50" s="2022"/>
      <c r="K50" s="2022"/>
    </row>
    <row r="51" spans="1:11">
      <c r="A51" s="610">
        <f>LARGE('Commodity Prices'!C$159:C$902,18)</f>
        <v>43831</v>
      </c>
      <c r="B51" s="957">
        <f>SUMIF('Commodity Prices'!C$159:C$902,A51,'Commodity Prices'!R$159:R$902)</f>
        <v>1911.0655129789864</v>
      </c>
      <c r="C51" s="1645">
        <f>SUMIF('Commodity Prices'!C$109:C$902,A51,'Commodity Prices'!S$109:S$902)</f>
        <v>1945.014840423758</v>
      </c>
      <c r="D51" s="950">
        <f>SUMIF('Commodity Prices'!C$109:C$902,A51,'Commodity Prices'!T$109:T$902)</f>
        <v>4034.3765519924154</v>
      </c>
      <c r="E51" s="128"/>
      <c r="F51" s="128"/>
      <c r="G51" s="128"/>
      <c r="H51" s="2022"/>
      <c r="I51" s="2022"/>
      <c r="J51" s="2022"/>
      <c r="K51" s="2022"/>
    </row>
    <row r="52" spans="1:11">
      <c r="A52" s="611">
        <f>LARGE('Commodity Prices'!C$159:C$902,17)</f>
        <v>43862</v>
      </c>
      <c r="B52" s="880">
        <f>SUMIF('Commodity Prices'!C$159:C$902,A52,'Commodity Prices'!R$159:R$902)</f>
        <v>2010.9413881748071</v>
      </c>
      <c r="C52" s="780">
        <f>SUMIF('Commodity Prices'!C$109:C$902,A52,'Commodity Prices'!S$109:S$902)</f>
        <v>1748.3205804749341</v>
      </c>
      <c r="D52" s="724">
        <f>SUMIF('Commodity Prices'!C$109:C$902,A52,'Commodity Prices'!T$109:T$902)</f>
        <v>4088.8274903685424</v>
      </c>
      <c r="E52" s="128"/>
      <c r="F52" s="128"/>
      <c r="G52" s="128"/>
      <c r="H52" s="128"/>
      <c r="I52" s="128"/>
      <c r="J52" s="128"/>
      <c r="K52" s="373"/>
    </row>
    <row r="53" spans="1:11">
      <c r="A53" s="610">
        <f>LARGE('Commodity Prices'!C$159:C$902,16)</f>
        <v>43891</v>
      </c>
      <c r="B53" s="957">
        <f>SUMIF('Commodity Prices'!C$159:C$902,A53,'Commodity Prices'!R$159:R$902)</f>
        <v>2152.9199745031001</v>
      </c>
      <c r="C53" s="1645">
        <f>SUMIF('Commodity Prices'!C$109:C$902,A53,'Commodity Prices'!S$109:S$902)</f>
        <v>2148.4225361003278</v>
      </c>
      <c r="D53" s="950">
        <f>SUMIF('Commodity Prices'!C$109:C$902,A53,'Commodity Prices'!T$109:T$902)</f>
        <v>4387.2465278882173</v>
      </c>
      <c r="E53" s="128"/>
      <c r="F53" s="128"/>
      <c r="G53" s="128"/>
      <c r="H53" s="128"/>
      <c r="I53" s="128"/>
      <c r="J53" s="128"/>
      <c r="K53" s="373"/>
    </row>
    <row r="54" spans="1:11">
      <c r="A54" s="611">
        <f>LARGE('Commodity Prices'!C$159:C$902,15)</f>
        <v>43922</v>
      </c>
      <c r="B54" s="880">
        <f>SUMIF('Commodity Prices'!C$159:C$902,A54,'Commodity Prices'!R$159:R$902)</f>
        <v>2150.4681933842239</v>
      </c>
      <c r="C54" s="780">
        <f>SUMIF('Commodity Prices'!C$109:C$902,A54,'Commodity Prices'!S$109:S$902)</f>
        <v>2228.6141113760696</v>
      </c>
      <c r="D54" s="724">
        <f>SUMIF('Commodity Prices'!C$109:C$902,A54,'Commodity Prices'!T$109:T$902)</f>
        <v>4116.1303151232005</v>
      </c>
      <c r="E54" s="128"/>
      <c r="F54" s="128"/>
      <c r="G54" s="128"/>
      <c r="H54" s="128"/>
      <c r="I54" s="128"/>
      <c r="J54" s="128"/>
      <c r="K54" s="373"/>
    </row>
    <row r="55" spans="1:11">
      <c r="A55" s="610">
        <f>LARGE('Commodity Prices'!C$159:C$902,14)</f>
        <v>43952</v>
      </c>
      <c r="B55" s="957">
        <f>SUMIF('Commodity Prices'!C$159:C$902,A55,'Commodity Prices'!R$159:R$902)</f>
        <v>2150.4681933842239</v>
      </c>
      <c r="C55" s="1645">
        <f>SUMIF('Commodity Prices'!C$109:C$902,A55,'Commodity Prices'!S$109:S$902)</f>
        <v>2127.1004091731393</v>
      </c>
      <c r="D55" s="950">
        <f>SUMIF('Commodity Prices'!C$109:C$902,A55,'Commodity Prices'!T$109:T$902)</f>
        <v>4011.0660041173319</v>
      </c>
      <c r="E55" s="128"/>
      <c r="F55" s="128"/>
      <c r="G55" s="128"/>
      <c r="H55" s="128"/>
      <c r="I55" s="128"/>
      <c r="J55" s="128"/>
      <c r="K55" s="373"/>
    </row>
    <row r="56" spans="1:11">
      <c r="A56" s="611">
        <f>LARGE('Commodity Prices'!C$159:C$902,13)</f>
        <v>43983</v>
      </c>
      <c r="B56" s="880">
        <f>SUMIF('Commodity Prices'!C$159:C$902,A56,'Commodity Prices'!R$159:R$902)</f>
        <v>2150.4681933842239</v>
      </c>
      <c r="C56" s="780">
        <f>SUMIF('Commodity Prices'!C$109:C$902,A56,'Commodity Prices'!S$109:S$902)</f>
        <v>1973.3186947665188</v>
      </c>
      <c r="D56" s="724">
        <f>SUMIF('Commodity Prices'!C$109:C$902,A56,'Commodity Prices'!T$109:T$902)</f>
        <v>3912.5679253847507</v>
      </c>
      <c r="E56" s="128"/>
      <c r="F56" s="128"/>
      <c r="G56" s="128"/>
      <c r="H56" s="128"/>
      <c r="I56" s="128"/>
      <c r="J56" s="128"/>
      <c r="K56" s="373"/>
    </row>
    <row r="57" spans="1:11">
      <c r="A57" s="610">
        <f>LARGE('Commodity Prices'!C$159:C$902,12)</f>
        <v>44013</v>
      </c>
      <c r="B57" s="957">
        <f>SUMIF('Commodity Prices'!C$159:C$902,A57,'Commodity Prices'!R$159:R$902)</f>
        <v>2150.4681933842239</v>
      </c>
      <c r="C57" s="1645">
        <f>SUMIF('Commodity Prices'!C$109:C$902,A57,'Commodity Prices'!S$109:S$902)</f>
        <v>1912.6200085873766</v>
      </c>
      <c r="D57" s="950">
        <f>SUMIF('Commodity Prices'!C$109:C$902,A57,'Commodity Prices'!T$109:T$902)</f>
        <v>3813.7157712151452</v>
      </c>
      <c r="E57" s="128"/>
      <c r="F57" s="128"/>
      <c r="G57" s="128"/>
      <c r="H57" s="128"/>
      <c r="I57" s="128"/>
      <c r="J57" s="128"/>
      <c r="K57" s="373"/>
    </row>
    <row r="58" spans="1:11">
      <c r="A58" s="611">
        <f>LARGE('Commodity Prices'!C$159:C$902,11)</f>
        <v>44044</v>
      </c>
      <c r="B58" s="880">
        <f>SUMIF('Commodity Prices'!C$159:C$902,A58,'Commodity Prices'!R$159:R$902)</f>
        <v>2150.4681933842239</v>
      </c>
      <c r="C58" s="780">
        <f>SUMIF('Commodity Prices'!C$109:C$902,A58,'Commodity Prices'!S$109:S$902)</f>
        <v>1843.1546517291767</v>
      </c>
      <c r="D58" s="724">
        <f>SUMIF('Commodity Prices'!C$109:C$902,A58,'Commodity Prices'!T$109:T$902)</f>
        <v>3733.8944454336456</v>
      </c>
      <c r="E58" s="128"/>
      <c r="F58" s="128"/>
      <c r="G58" s="128"/>
      <c r="H58" s="128"/>
      <c r="I58" s="128"/>
      <c r="J58" s="128"/>
      <c r="K58" s="373"/>
    </row>
    <row r="59" spans="1:11">
      <c r="A59" s="610">
        <f>LARGE('Commodity Prices'!C$159:C$902,10)</f>
        <v>44075</v>
      </c>
      <c r="B59" s="957">
        <f>SUMIF('Commodity Prices'!C$159:C$902,A59,'Commodity Prices'!R$159:R$902)</f>
        <v>2150.4681933842239</v>
      </c>
      <c r="C59" s="1645">
        <f>SUMIF('Commodity Prices'!C$109:C$902,A59,'Commodity Prices'!S$109:S$902)</f>
        <v>1894.3086685610165</v>
      </c>
      <c r="D59" s="950">
        <f>SUMIF('Commodity Prices'!C$109:C$902,A59,'Commodity Prices'!T$109:T$902)</f>
        <v>3710.2323186017834</v>
      </c>
      <c r="E59" s="128"/>
      <c r="F59" s="128"/>
      <c r="G59" s="128"/>
      <c r="H59" s="128"/>
      <c r="I59" s="128"/>
      <c r="J59" s="128"/>
      <c r="K59" s="373"/>
    </row>
    <row r="60" spans="1:11">
      <c r="A60" s="611">
        <f>LARGE('Commodity Prices'!C$159:C$902,9)</f>
        <v>44105</v>
      </c>
      <c r="B60" s="880">
        <f>SUMIF('Commodity Prices'!C$159:C$902,A60,'Commodity Prices'!R$159:R$902)</f>
        <v>1000</v>
      </c>
      <c r="C60" s="780">
        <f>SUMIF('Commodity Prices'!C$109:C$902,A60,'Commodity Prices'!S$109:S$902)</f>
        <v>1777.2679364751084</v>
      </c>
      <c r="D60" s="724">
        <f>SUMIF('Commodity Prices'!C$109:C$902,A60,'Commodity Prices'!T$109:T$902)</f>
        <v>3825.0629505735674</v>
      </c>
      <c r="E60" s="128"/>
      <c r="F60" s="128"/>
      <c r="G60" s="128"/>
      <c r="H60" s="128"/>
      <c r="I60" s="128"/>
      <c r="J60" s="128"/>
      <c r="K60" s="373"/>
    </row>
    <row r="61" spans="1:11">
      <c r="A61" s="610">
        <f>LARGE('Commodity Prices'!C$159:C$902,8)</f>
        <v>44136</v>
      </c>
      <c r="B61" s="957">
        <f>SUMIF('Commodity Prices'!C$159:C$902,A61,'Commodity Prices'!R$159:R$902)</f>
        <v>1700.88</v>
      </c>
      <c r="C61" s="1645">
        <f>SUMIF('Commodity Prices'!C$109:C$902,A61,'Commodity Prices'!S$109:S$902)</f>
        <v>1775.8293691431502</v>
      </c>
      <c r="D61" s="950">
        <f>SUMIF('Commodity Prices'!C$109:C$902,A61,'Commodity Prices'!T$109:T$902)</f>
        <v>3684.7108626942809</v>
      </c>
      <c r="E61" s="128"/>
      <c r="F61" s="128"/>
      <c r="G61" s="128"/>
      <c r="H61" s="128"/>
      <c r="I61" s="128"/>
      <c r="J61" s="128"/>
      <c r="K61" s="373"/>
    </row>
    <row r="62" spans="1:11">
      <c r="A62" s="611">
        <f>LARGE('Commodity Prices'!C$159:C$902,7)</f>
        <v>44166</v>
      </c>
      <c r="B62" s="880">
        <f>SUMIF('Commodity Prices'!C$159:C$902,A62,'Commodity Prices'!R$159:R$902)</f>
        <v>1700.88</v>
      </c>
      <c r="C62" s="780">
        <f>SUMIF('Commodity Prices'!C$109:C$902,A62,'Commodity Prices'!S$109:S$902)</f>
        <v>1525.4759061576503</v>
      </c>
      <c r="D62" s="724">
        <f>SUMIF('Commodity Prices'!C$109:C$902,A62,'Commodity Prices'!T$109:T$902)</f>
        <v>3614.7844236787751</v>
      </c>
      <c r="E62" s="128"/>
      <c r="F62" s="128"/>
      <c r="G62" s="128"/>
      <c r="H62" s="128"/>
      <c r="I62" s="128"/>
      <c r="J62" s="128"/>
      <c r="K62" s="373"/>
    </row>
    <row r="63" spans="1:11">
      <c r="A63" s="610">
        <f>LARGE('Commodity Prices'!C$159:C$902,6)</f>
        <v>44197</v>
      </c>
      <c r="B63" s="957">
        <f>SUMIF('Commodity Prices'!C$159:C$902,A63,'Commodity Prices'!R$159:R$902)</f>
        <v>1700.88</v>
      </c>
      <c r="C63" s="1645">
        <f>SUMIF('Commodity Prices'!C$109:C$902,A63,'Commodity Prices'!S$109:S$902)</f>
        <v>1716.0525778458398</v>
      </c>
      <c r="D63" s="950">
        <f>SUMIF('Commodity Prices'!C$109:C$902,A63,'Commodity Prices'!T$109:T$902)</f>
        <v>3614.7844236787751</v>
      </c>
      <c r="E63" s="128"/>
      <c r="F63" s="128"/>
      <c r="G63" s="128"/>
      <c r="H63" s="128"/>
      <c r="I63" s="128"/>
      <c r="J63" s="128"/>
      <c r="K63" s="373"/>
    </row>
    <row r="64" spans="1:11">
      <c r="A64" s="611">
        <f>LARGE('Commodity Prices'!C$159:C$902,5)</f>
        <v>44228</v>
      </c>
      <c r="B64" s="880">
        <f>SUMIF('Commodity Prices'!C$159:C$902,A64,'Commodity Prices'!R$159:R$902)</f>
        <v>1618</v>
      </c>
      <c r="C64" s="780">
        <f>SUMIF('Commodity Prices'!C$109:C$902,A64,'Commodity Prices'!S$109:S$902)</f>
        <v>1716.0525778458398</v>
      </c>
      <c r="D64" s="724">
        <f>SUMIF('Commodity Prices'!C$109:C$902,A64,'Commodity Prices'!T$109:T$902)</f>
        <v>3554.1764845400112</v>
      </c>
      <c r="E64" s="128"/>
      <c r="F64" s="128"/>
      <c r="G64" s="128"/>
      <c r="H64" s="128"/>
      <c r="I64" s="128"/>
      <c r="J64" s="128"/>
      <c r="K64" s="373"/>
    </row>
    <row r="65" spans="1:11">
      <c r="A65" s="610">
        <f>LARGE('Commodity Prices'!C$159:C$902,4)</f>
        <v>44256</v>
      </c>
      <c r="B65" s="957">
        <f>SUMIF('Commodity Prices'!C$159:C$902,A65,'Commodity Prices'!R$159:R$902)</f>
        <v>1618</v>
      </c>
      <c r="C65" s="1645">
        <f>SUMIF('Commodity Prices'!C$109:C$902,A65,'Commodity Prices'!S$109:S$902)</f>
        <v>1704.9851469163707</v>
      </c>
      <c r="D65" s="950">
        <f>SUMIF('Commodity Prices'!C$109:C$902,A65,'Commodity Prices'!T$109:T$902)</f>
        <v>3555.2726009570724</v>
      </c>
      <c r="E65" s="128"/>
      <c r="F65" s="128"/>
      <c r="G65" s="128"/>
      <c r="H65" s="128"/>
      <c r="I65" s="128"/>
      <c r="J65" s="128"/>
      <c r="K65" s="373"/>
    </row>
    <row r="66" spans="1:11">
      <c r="A66" s="610">
        <f>LARGE('Commodity Prices'!C$159:C$902,3)</f>
        <v>44287</v>
      </c>
      <c r="B66" s="880">
        <f>SUMIF('Commodity Prices'!C$159:C$902,A66,'Commodity Prices'!R$159:R$902)</f>
        <v>1618</v>
      </c>
      <c r="C66" s="780">
        <f>SUMIF('Commodity Prices'!C$109:C$902,A66,'Commodity Prices'!S$109:S$902)</f>
        <v>1549.3028445883442</v>
      </c>
      <c r="D66" s="724">
        <f>SUMIF('Commodity Prices'!C$109:C$902,A66,'Commodity Prices'!T$109:T$902)</f>
        <v>3555.2726009570724</v>
      </c>
      <c r="E66" s="128"/>
      <c r="F66" s="128"/>
      <c r="G66" s="128"/>
      <c r="H66" s="128"/>
      <c r="I66" s="128"/>
      <c r="J66" s="128"/>
      <c r="K66" s="373"/>
    </row>
    <row r="67" spans="1:11">
      <c r="A67" s="610">
        <f>LARGE('Commodity Prices'!C$159:C$902,2)</f>
        <v>44317</v>
      </c>
      <c r="B67" s="1658">
        <f>SUMIF('Commodity Prices'!C$159:C$902,A67,'Commodity Prices'!R$159:R$902)</f>
        <v>1421.8132530120481</v>
      </c>
      <c r="C67" s="1646">
        <f>SUMIF('Commodity Prices'!C$109:C$902,A67,'Commodity Prices'!S$109:S$902)</f>
        <v>1549.3028445883442</v>
      </c>
      <c r="D67" s="950">
        <f>SUMIF('Commodity Prices'!C$109:C$902,A67,'Commodity Prices'!T$109:T$902)</f>
        <v>3566.9015170882326</v>
      </c>
      <c r="E67" s="128"/>
      <c r="F67" s="128"/>
      <c r="G67" s="128"/>
      <c r="H67" s="128"/>
      <c r="I67" s="128"/>
      <c r="J67" s="128"/>
      <c r="K67" s="373"/>
    </row>
    <row r="68" spans="1:11" ht="15.75" thickBot="1">
      <c r="A68" s="1691">
        <f>LARGE('Commodity Prices'!C$159:C$902,1)</f>
        <v>44348</v>
      </c>
      <c r="B68" s="1621">
        <f>SUMIF('Commodity Prices'!C$159:C$902,A68,'Commodity Prices'!R$159:R$902)</f>
        <v>1421.8132530120481</v>
      </c>
      <c r="C68" s="1621">
        <f>SUMIF('Commodity Prices'!C$109:C$902,A68,'Commodity Prices'!S$109:S$902)</f>
        <v>1773.6919422620135</v>
      </c>
      <c r="D68" s="725">
        <f>SUMIF('Commodity Prices'!C$109:C$902,A68,'Commodity Prices'!T$109:T$902)</f>
        <v>3684.4856798233413</v>
      </c>
      <c r="E68" s="128"/>
      <c r="F68" s="128"/>
      <c r="G68" s="128"/>
      <c r="H68" s="128"/>
      <c r="I68" s="128"/>
      <c r="J68" s="128"/>
      <c r="K68" s="373"/>
    </row>
    <row r="69" spans="1:11">
      <c r="F69" s="128"/>
      <c r="G69" s="128"/>
      <c r="H69" s="128"/>
      <c r="I69" s="128"/>
      <c r="J69" s="128"/>
      <c r="K69" s="373"/>
    </row>
  </sheetData>
  <mergeCells count="8">
    <mergeCell ref="H50:K51"/>
    <mergeCell ref="H6:K6"/>
    <mergeCell ref="H5:K5"/>
    <mergeCell ref="A5:D5"/>
    <mergeCell ref="A6:D6"/>
    <mergeCell ref="H46:K46"/>
    <mergeCell ref="H47:K47"/>
    <mergeCell ref="H48:K48"/>
  </mergeCells>
  <dataValidations count="1">
    <dataValidation type="list" allowBlank="1" showInputMessage="1" showErrorMessage="1" promptTitle="Select a Period:" prompt="Select Financial or Calendar years." sqref="H47">
      <formula1>$AA$1:$AA$2</formula1>
    </dataValidation>
  </dataValidation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H81"/>
  <sheetViews>
    <sheetView showGridLines="0" zoomScaleNormal="100" workbookViewId="0"/>
  </sheetViews>
  <sheetFormatPr defaultRowHeight="15"/>
  <cols>
    <col min="1" max="1" width="25.140625" style="429" customWidth="1"/>
    <col min="2" max="2" width="5.28515625" style="429" bestFit="1" customWidth="1"/>
    <col min="3" max="3" width="23.28515625" style="429" bestFit="1" customWidth="1"/>
    <col min="4" max="4" width="15.140625" style="429" bestFit="1" customWidth="1"/>
    <col min="5" max="14" width="15.42578125" style="429" customWidth="1"/>
    <col min="15" max="18" width="9.140625" style="429"/>
    <col min="19" max="19" width="9.140625" style="148"/>
    <col min="20" max="22" width="9.140625" style="1670"/>
    <col min="23" max="23" width="17.85546875" style="1670" customWidth="1"/>
    <col min="24" max="33" width="9.140625" style="1670"/>
    <col min="34" max="34" width="9.140625" style="148"/>
    <col min="35" max="16384" width="9.140625" style="429"/>
  </cols>
  <sheetData>
    <row r="1" spans="1:26">
      <c r="V1" s="1670" t="s">
        <v>457</v>
      </c>
      <c r="W1" s="1670" t="str">
        <f>"Western Australian Mineral Sands Exports "&amp;B6&amp;CHAR(10)&amp;"Total Value: $"&amp;TEXT(C21,"#,###")</f>
        <v>Western Australian Mineral Sands Exports 2020-21
Total Value: $1,469,219,365</v>
      </c>
      <c r="X1" s="1670" t="s">
        <v>369</v>
      </c>
      <c r="Y1" s="1670" t="str">
        <f>IF($B$5="Calendar Year",MAX('Commodity Prices'!$AJ$9:$AJ$3502),CONCATENATE(MAX('Commodity Prices'!$AV$9:$AV$3487),"-",VALUE(RIGHT(MAX('Commodity Prices'!$AV$9:$AV$3487),2))+1))</f>
        <v>2020-21</v>
      </c>
      <c r="Z1" s="1670">
        <f t="array" ref="Z1">MIN(IF('Commodity Prices'!$AI$9:$AI$3502=V1,'Commodity Prices'!$AJ$9:$AJ$3502))</f>
        <v>2008</v>
      </c>
    </row>
    <row r="2" spans="1:26">
      <c r="W2" s="1670" t="str">
        <f>IF($B$5=X1,IF(RIGHT(LEFT(B6,5),1)="-","Mismatch Error",""),IF(LEN(B6)=4,"Mismatch Error",""))</f>
        <v/>
      </c>
      <c r="X2" s="1670" t="s">
        <v>382</v>
      </c>
      <c r="Y2" s="1670" t="str">
        <f>IFERROR(IF($B$5=$X$1,IF($Z$1&lt;=(Y1-1),Y1-1,""),IF($Z$1=VALUE(LEFT(Y1,4)),"",CONCATENATE(VALUE(LEFT(Y1,4))-1,"-",RIGHT(LEFT(Y1,4),2)))),"")</f>
        <v>2019-20</v>
      </c>
    </row>
    <row r="3" spans="1:26">
      <c r="Y3" s="1670" t="str">
        <f t="shared" ref="Y3:Y25" si="0">IFERROR(IF($B$5=$X$1,IF($Z$1&lt;=(Y2-1),Y2-1,""),IF($Z$1=VALUE(LEFT(Y2,4)),"",CONCATENATE(VALUE(LEFT(Y2,4))-1,"-",RIGHT(LEFT(Y2,4),2)))),"")</f>
        <v>2018-19</v>
      </c>
    </row>
    <row r="4" spans="1:26" ht="23.25" customHeight="1" thickBot="1">
      <c r="Y4" s="1670" t="str">
        <f t="shared" si="0"/>
        <v>2017-18</v>
      </c>
    </row>
    <row r="5" spans="1:26" ht="15.75" thickBot="1">
      <c r="A5" s="24" t="s">
        <v>383</v>
      </c>
      <c r="B5" s="2040" t="s">
        <v>382</v>
      </c>
      <c r="C5" s="2035"/>
      <c r="D5" s="2036"/>
      <c r="E5" s="425"/>
      <c r="Y5" s="1670" t="str">
        <f t="shared" si="0"/>
        <v>2016-17</v>
      </c>
    </row>
    <row r="6" spans="1:26" ht="15.75" thickBot="1">
      <c r="A6" s="24" t="s">
        <v>383</v>
      </c>
      <c r="B6" s="2040" t="s">
        <v>808</v>
      </c>
      <c r="C6" s="2035"/>
      <c r="D6" s="2036"/>
      <c r="E6" s="425"/>
      <c r="Y6" s="1670" t="str">
        <f t="shared" si="0"/>
        <v>2015-16</v>
      </c>
    </row>
    <row r="7" spans="1:26">
      <c r="Y7" s="1670" t="str">
        <f t="shared" si="0"/>
        <v>2014-15</v>
      </c>
    </row>
    <row r="8" spans="1:26" ht="15.75" thickBot="1">
      <c r="A8" s="1981" t="str">
        <f>IF($B$6="Click here to select an option","Select a year above for display.",CONCATENATE("Mineral Sands Exports ",B6))</f>
        <v>Mineral Sands Exports 2020-21</v>
      </c>
      <c r="B8" s="1981"/>
      <c r="C8" s="1981"/>
      <c r="D8" s="1981"/>
      <c r="Y8" s="1670" t="str">
        <f t="shared" si="0"/>
        <v>2013-14</v>
      </c>
    </row>
    <row r="9" spans="1:26" ht="15.75" thickBot="1">
      <c r="A9" s="403" t="s">
        <v>37</v>
      </c>
      <c r="B9" s="1036" t="s">
        <v>38</v>
      </c>
      <c r="C9" s="1037" t="s">
        <v>678</v>
      </c>
      <c r="D9" s="971" t="s">
        <v>40</v>
      </c>
      <c r="Y9" s="1670" t="str">
        <f t="shared" si="0"/>
        <v>2012-13</v>
      </c>
    </row>
    <row r="10" spans="1:26">
      <c r="A10" s="1038" t="str">
        <f t="array" ref="A10">IF($W$2="Mismatch Error","",IF($B$5=$X$1,INDEX('Commodity Prices'!$AI$9:$AN$3502,MATCH(1,(('Commodity Prices'!$AI$9:$AI$3502)="Mineral Sands")*(('Commodity Prices'!$AJ$9:$AJ$3502)=$B$6)*(('Commodity Prices'!$AL$9:$AL$3502)=B10),0),3),INDEX('Commodity Prices'!$AP$9:$AU$3487,MATCH(1,(('Commodity Prices'!$AP$9:$AP$3487)="Mineral Sands")*(('Commodity Prices'!$AQ$9:$AQ$3487)=$B$6)*(('Commodity Prices'!$AS$9:$AS$3487)=B10),0),3)))</f>
        <v>China</v>
      </c>
      <c r="B10" s="964">
        <v>1</v>
      </c>
      <c r="C10" s="966">
        <f t="array" ref="C10">IF($W$2="Mismatch Error","",IF($B$5=$X$1,INDEX('Commodity Prices'!$AI$9:$AN$3502,MATCH(1,(('Commodity Prices'!$AI$9:$AI$3502)="Mineral Sands")*(('Commodity Prices'!$AJ$9:$AJ$3502)=$B$6)*(('Commodity Prices'!$AL$9:$AL$3502)=B10),0),5),INDEX('Commodity Prices'!$AP$9:$AU$3487,MATCH(1,(('Commodity Prices'!$AP$9:$AP$3487)="Mineral Sands")*(('Commodity Prices'!$AQ$9:$AQ$3487)=$B$6)*(('Commodity Prices'!$AS$9:$AS$3487)=B10),0),5)))</f>
        <v>744695730.33000004</v>
      </c>
      <c r="D10" s="1039">
        <f>IF($W$2="Mismatch Error","",C10/$C$21)</f>
        <v>0.50686490250089133</v>
      </c>
      <c r="Y10" s="1670" t="str">
        <f t="shared" si="0"/>
        <v>2011-12</v>
      </c>
    </row>
    <row r="11" spans="1:26">
      <c r="A11" s="786" t="str">
        <f t="array" ref="A11">IF($W$2="Mismatch Error","",IF($B$5=$X$1,INDEX('Commodity Prices'!$AI$9:$AN$3502,MATCH(1,(('Commodity Prices'!$AI$9:$AI$3502)="Mineral Sands")*(('Commodity Prices'!$AJ$9:$AJ$3502)=$B$6)*(('Commodity Prices'!$AL$9:$AL$3502)=B11),0),3),INDEX('Commodity Prices'!$AP$9:$AU$3487,MATCH(1,(('Commodity Prices'!$AP$9:$AP$3487)="Mineral Sands")*(('Commodity Prices'!$AQ$9:$AQ$3487)=$B$6)*(('Commodity Prices'!$AS$9:$AS$3487)=B11),0),3)))</f>
        <v>Netherlands</v>
      </c>
      <c r="B11" s="887">
        <v>2</v>
      </c>
      <c r="C11" s="787">
        <f t="array" ref="C11">IF($W$2="Mismatch Error","",IF($B$5=$X$1,INDEX('Commodity Prices'!$AI$9:$AN$3502,MATCH(1,(('Commodity Prices'!$AI$9:$AI$3502)="Mineral Sands")*(('Commodity Prices'!$AJ$9:$AJ$3502)=$B$6)*(('Commodity Prices'!$AL$9:$AL$3502)=B11),0),5),INDEX('Commodity Prices'!$AP$9:$AU$3487,MATCH(1,(('Commodity Prices'!$AP$9:$AP$3487)="Mineral Sands")*(('Commodity Prices'!$AQ$9:$AQ$3487)=$B$6)*(('Commodity Prices'!$AS$9:$AS$3487)=B11),0),5)))</f>
        <v>112028921.86999999</v>
      </c>
      <c r="D11" s="888">
        <f t="shared" ref="D11:D20" si="1">IF($W$2="Mismatch Error","",C11/$C$21)</f>
        <v>7.6250643381230082E-2</v>
      </c>
      <c r="E11" s="431"/>
      <c r="Y11" s="1670" t="str">
        <f t="shared" si="0"/>
        <v>2010-11</v>
      </c>
    </row>
    <row r="12" spans="1:26">
      <c r="A12" s="1038" t="str">
        <f t="array" ref="A12">IF($W$2="Mismatch Error","",IF($B$5=$X$1,INDEX('Commodity Prices'!$AI$9:$AN$3502,MATCH(1,(('Commodity Prices'!$AI$9:$AI$3502)="Mineral Sands")*(('Commodity Prices'!$AJ$9:$AJ$3502)=$B$6)*(('Commodity Prices'!$AL$9:$AL$3502)=B12),0),3),INDEX('Commodity Prices'!$AP$9:$AU$3487,MATCH(1,(('Commodity Prices'!$AP$9:$AP$3487)="Mineral Sands")*(('Commodity Prices'!$AQ$9:$AQ$3487)=$B$6)*(('Commodity Prices'!$AS$9:$AS$3487)=B12),0),3)))</f>
        <v>United States</v>
      </c>
      <c r="B12" s="964">
        <v>3</v>
      </c>
      <c r="C12" s="966">
        <f t="array" ref="C12">IF($W$2="Mismatch Error","",IF($B$5=$X$1,INDEX('Commodity Prices'!$AI$9:$AN$3502,MATCH(1,(('Commodity Prices'!$AI$9:$AI$3502)="Mineral Sands")*(('Commodity Prices'!$AJ$9:$AJ$3502)=$B$6)*(('Commodity Prices'!$AL$9:$AL$3502)=B12),0),5),INDEX('Commodity Prices'!$AP$9:$AU$3487,MATCH(1,(('Commodity Prices'!$AP$9:$AP$3487)="Mineral Sands")*(('Commodity Prices'!$AQ$9:$AQ$3487)=$B$6)*(('Commodity Prices'!$AS$9:$AS$3487)=B12),0),5)))</f>
        <v>86376943.719999999</v>
      </c>
      <c r="D12" s="1039">
        <f t="shared" si="1"/>
        <v>5.8791046294251928E-2</v>
      </c>
      <c r="E12" s="431"/>
      <c r="Y12" s="1670" t="str">
        <f t="shared" si="0"/>
        <v>2009-10</v>
      </c>
    </row>
    <row r="13" spans="1:26">
      <c r="A13" s="786" t="str">
        <f t="array" ref="A13">IF($W$2="Mismatch Error","",IF($B$5=$X$1,INDEX('Commodity Prices'!$AI$9:$AN$3502,MATCH(1,(('Commodity Prices'!$AI$9:$AI$3502)="Mineral Sands")*(('Commodity Prices'!$AJ$9:$AJ$3502)=$B$6)*(('Commodity Prices'!$AL$9:$AL$3502)=B13),0),3),INDEX('Commodity Prices'!$AP$9:$AU$3487,MATCH(1,(('Commodity Prices'!$AP$9:$AP$3487)="Mineral Sands")*(('Commodity Prices'!$AQ$9:$AQ$3487)=$B$6)*(('Commodity Prices'!$AS$9:$AS$3487)=B13),0),3)))</f>
        <v>Saudi Arabia</v>
      </c>
      <c r="B13" s="887">
        <v>4</v>
      </c>
      <c r="C13" s="787">
        <f t="array" ref="C13">IF($W$2="Mismatch Error","",IF($B$5=$X$1,INDEX('Commodity Prices'!$AI$9:$AN$3502,MATCH(1,(('Commodity Prices'!$AI$9:$AI$3502)="Mineral Sands")*(('Commodity Prices'!$AJ$9:$AJ$3502)=$B$6)*(('Commodity Prices'!$AL$9:$AL$3502)=B13),0),5),INDEX('Commodity Prices'!$AP$9:$AU$3487,MATCH(1,(('Commodity Prices'!$AP$9:$AP$3487)="Mineral Sands")*(('Commodity Prices'!$AQ$9:$AQ$3487)=$B$6)*(('Commodity Prices'!$AS$9:$AS$3487)=B13),0),5)))</f>
        <v>80086532.449999988</v>
      </c>
      <c r="D13" s="888">
        <f t="shared" si="1"/>
        <v>5.4509581307677905E-2</v>
      </c>
      <c r="E13" s="431"/>
      <c r="Y13" s="1670" t="str">
        <f t="shared" si="0"/>
        <v>2008-09</v>
      </c>
    </row>
    <row r="14" spans="1:26">
      <c r="A14" s="1038" t="str">
        <f t="array" ref="A14">IF($W$2="Mismatch Error","",IF($B$5=$X$1,INDEX('Commodity Prices'!$AI$9:$AN$3502,MATCH(1,(('Commodity Prices'!$AI$9:$AI$3502)="Mineral Sands")*(('Commodity Prices'!$AJ$9:$AJ$3502)=$B$6)*(('Commodity Prices'!$AL$9:$AL$3502)=B14),0),3),INDEX('Commodity Prices'!$AP$9:$AU$3487,MATCH(1,(('Commodity Prices'!$AP$9:$AP$3487)="Mineral Sands")*(('Commodity Prices'!$AQ$9:$AQ$3487)=$B$6)*(('Commodity Prices'!$AS$9:$AS$3487)=B14),0),3)))</f>
        <v>Spain</v>
      </c>
      <c r="B14" s="964">
        <v>5</v>
      </c>
      <c r="C14" s="966">
        <f t="array" ref="C14">IF($W$2="Mismatch Error","",IF($B$5=$X$1,INDEX('Commodity Prices'!$AI$9:$AN$3502,MATCH(1,(('Commodity Prices'!$AI$9:$AI$3502)="Mineral Sands")*(('Commodity Prices'!$AJ$9:$AJ$3502)=$B$6)*(('Commodity Prices'!$AL$9:$AL$3502)=B14),0),5),INDEX('Commodity Prices'!$AP$9:$AU$3487,MATCH(1,(('Commodity Prices'!$AP$9:$AP$3487)="Mineral Sands")*(('Commodity Prices'!$AQ$9:$AQ$3487)=$B$6)*(('Commodity Prices'!$AS$9:$AS$3487)=B14),0),5)))</f>
        <v>79104146.169999987</v>
      </c>
      <c r="D14" s="1039">
        <f t="shared" si="1"/>
        <v>5.3840936241309978E-2</v>
      </c>
      <c r="E14" s="431"/>
      <c r="Y14" s="1670" t="str">
        <f t="shared" si="0"/>
        <v/>
      </c>
    </row>
    <row r="15" spans="1:26">
      <c r="A15" s="786" t="str">
        <f t="array" ref="A15">IF($W$2="Mismatch Error","",IF($B$5=$X$1,INDEX('Commodity Prices'!$AI$9:$AN$3502,MATCH(1,(('Commodity Prices'!$AI$9:$AI$3502)="Mineral Sands")*(('Commodity Prices'!$AJ$9:$AJ$3502)=$B$6)*(('Commodity Prices'!$AL$9:$AL$3502)=B15),0),3),INDEX('Commodity Prices'!$AP$9:$AU$3487,MATCH(1,(('Commodity Prices'!$AP$9:$AP$3487)="Mineral Sands")*(('Commodity Prices'!$AQ$9:$AQ$3487)=$B$6)*(('Commodity Prices'!$AS$9:$AS$3487)=B15),0),3)))</f>
        <v>Taiwan, Province Of China</v>
      </c>
      <c r="B15" s="887">
        <v>6</v>
      </c>
      <c r="C15" s="787">
        <f t="array" ref="C15">IF($W$2="Mismatch Error","",IF($B$5=$X$1,INDEX('Commodity Prices'!$AI$9:$AN$3502,MATCH(1,(('Commodity Prices'!$AI$9:$AI$3502)="Mineral Sands")*(('Commodity Prices'!$AJ$9:$AJ$3502)=$B$6)*(('Commodity Prices'!$AL$9:$AL$3502)=B15),0),5),INDEX('Commodity Prices'!$AP$9:$AU$3487,MATCH(1,(('Commodity Prices'!$AP$9:$AP$3487)="Mineral Sands")*(('Commodity Prices'!$AQ$9:$AQ$3487)=$B$6)*(('Commodity Prices'!$AS$9:$AS$3487)=B15),0),5)))</f>
        <v>65228124.480000004</v>
      </c>
      <c r="D15" s="888">
        <f t="shared" si="1"/>
        <v>4.4396450265963491E-2</v>
      </c>
      <c r="Y15" s="1670" t="str">
        <f t="shared" si="0"/>
        <v/>
      </c>
    </row>
    <row r="16" spans="1:26">
      <c r="A16" s="1038" t="str">
        <f t="array" ref="A16">IF($W$2="Mismatch Error","",IF($B$5=$X$1,INDEX('Commodity Prices'!$AI$9:$AN$3502,MATCH(1,(('Commodity Prices'!$AI$9:$AI$3502)="Mineral Sands")*(('Commodity Prices'!$AJ$9:$AJ$3502)=$B$6)*(('Commodity Prices'!$AL$9:$AL$3502)=B16),0),3),INDEX('Commodity Prices'!$AP$9:$AU$3487,MATCH(1,(('Commodity Prices'!$AP$9:$AP$3487)="Mineral Sands")*(('Commodity Prices'!$AQ$9:$AQ$3487)=$B$6)*(('Commodity Prices'!$AS$9:$AS$3487)=B16),0),3)))</f>
        <v>United Kingdom</v>
      </c>
      <c r="B16" s="964">
        <v>7</v>
      </c>
      <c r="C16" s="966">
        <f t="array" ref="C16">IF($W$2="Mismatch Error","",IF($B$5=$X$1,INDEX('Commodity Prices'!$AI$9:$AN$3502,MATCH(1,(('Commodity Prices'!$AI$9:$AI$3502)="Mineral Sands")*(('Commodity Prices'!$AJ$9:$AJ$3502)=$B$6)*(('Commodity Prices'!$AL$9:$AL$3502)=B16),0),5),INDEX('Commodity Prices'!$AP$9:$AU$3487,MATCH(1,(('Commodity Prices'!$AP$9:$AP$3487)="Mineral Sands")*(('Commodity Prices'!$AQ$9:$AQ$3487)=$B$6)*(('Commodity Prices'!$AS$9:$AS$3487)=B16),0),5)))</f>
        <v>64481780.540000007</v>
      </c>
      <c r="D16" s="1039">
        <f t="shared" si="1"/>
        <v>4.388846353665514E-2</v>
      </c>
      <c r="Y16" s="1670" t="str">
        <f t="shared" si="0"/>
        <v/>
      </c>
    </row>
    <row r="17" spans="1:25">
      <c r="A17" s="786" t="str">
        <f t="array" ref="A17">IF($W$2="Mismatch Error","",IF($B$5=$X$1,INDEX('Commodity Prices'!$AI$9:$AN$3502,MATCH(1,(('Commodity Prices'!$AI$9:$AI$3502)="Mineral Sands")*(('Commodity Prices'!$AJ$9:$AJ$3502)=$B$6)*(('Commodity Prices'!$AL$9:$AL$3502)=B17),0),3),INDEX('Commodity Prices'!$AP$9:$AU$3487,MATCH(1,(('Commodity Prices'!$AP$9:$AP$3487)="Mineral Sands")*(('Commodity Prices'!$AQ$9:$AQ$3487)=$B$6)*(('Commodity Prices'!$AS$9:$AS$3487)=B17),0),3)))</f>
        <v>India</v>
      </c>
      <c r="B17" s="887">
        <v>8</v>
      </c>
      <c r="C17" s="787">
        <f t="array" ref="C17">IF($W$2="Mismatch Error","",IF($B$5=$X$1,INDEX('Commodity Prices'!$AI$9:$AN$3502,MATCH(1,(('Commodity Prices'!$AI$9:$AI$3502)="Mineral Sands")*(('Commodity Prices'!$AJ$9:$AJ$3502)=$B$6)*(('Commodity Prices'!$AL$9:$AL$3502)=B17),0),5),INDEX('Commodity Prices'!$AP$9:$AU$3487,MATCH(1,(('Commodity Prices'!$AP$9:$AP$3487)="Mineral Sands")*(('Commodity Prices'!$AQ$9:$AQ$3487)=$B$6)*(('Commodity Prices'!$AS$9:$AS$3487)=B17),0),5)))</f>
        <v>62928999.770000003</v>
      </c>
      <c r="D17" s="888">
        <f t="shared" si="1"/>
        <v>4.2831588840673548E-2</v>
      </c>
      <c r="Y17" s="1670" t="str">
        <f t="shared" si="0"/>
        <v/>
      </c>
    </row>
    <row r="18" spans="1:25">
      <c r="A18" s="1038" t="str">
        <f t="array" ref="A18">IF($W$2="Mismatch Error","",IF($B$5=$X$1,INDEX('Commodity Prices'!$AI$9:$AN$3502,MATCH(1,(('Commodity Prices'!$AI$9:$AI$3502)="Mineral Sands")*(('Commodity Prices'!$AJ$9:$AJ$3502)=$B$6)*(('Commodity Prices'!$AL$9:$AL$3502)=B18),0),3),INDEX('Commodity Prices'!$AP$9:$AU$3487,MATCH(1,(('Commodity Prices'!$AP$9:$AP$3487)="Mineral Sands")*(('Commodity Prices'!$AQ$9:$AQ$3487)=$B$6)*(('Commodity Prices'!$AS$9:$AS$3487)=B18),0),3)))</f>
        <v>Mexico</v>
      </c>
      <c r="B18" s="964">
        <v>9</v>
      </c>
      <c r="C18" s="966">
        <f t="array" ref="C18">IF($W$2="Mismatch Error","",IF($B$5=$X$1,INDEX('Commodity Prices'!$AI$9:$AN$3502,MATCH(1,(('Commodity Prices'!$AI$9:$AI$3502)="Mineral Sands")*(('Commodity Prices'!$AJ$9:$AJ$3502)=$B$6)*(('Commodity Prices'!$AL$9:$AL$3502)=B18),0),5),INDEX('Commodity Prices'!$AP$9:$AU$3487,MATCH(1,(('Commodity Prices'!$AP$9:$AP$3487)="Mineral Sands")*(('Commodity Prices'!$AQ$9:$AQ$3487)=$B$6)*(('Commodity Prices'!$AS$9:$AS$3487)=B18),0),5)))</f>
        <v>41841006.269999996</v>
      </c>
      <c r="D18" s="1039">
        <f t="shared" si="1"/>
        <v>2.8478392852050945E-2</v>
      </c>
      <c r="Y18" s="1670" t="str">
        <f t="shared" si="0"/>
        <v/>
      </c>
    </row>
    <row r="19" spans="1:25">
      <c r="A19" s="786" t="str">
        <f t="array" ref="A19">IF($W$2="Mismatch Error","",IF($B$5=$X$1,INDEX('Commodity Prices'!$AI$9:$AN$3502,MATCH(1,(('Commodity Prices'!$AI$9:$AI$3502)="Mineral Sands")*(('Commodity Prices'!$AJ$9:$AJ$3502)=$B$6)*(('Commodity Prices'!$AL$9:$AL$3502)=B19),0),3),INDEX('Commodity Prices'!$AP$9:$AU$3487,MATCH(1,(('Commodity Prices'!$AP$9:$AP$3487)="Mineral Sands")*(('Commodity Prices'!$AQ$9:$AQ$3487)=$B$6)*(('Commodity Prices'!$AS$9:$AS$3487)=B19),0),3)))</f>
        <v>Malaysia</v>
      </c>
      <c r="B19" s="887">
        <v>10</v>
      </c>
      <c r="C19" s="787">
        <f t="array" ref="C19">IF($W$2="Mismatch Error","",IF($B$5=$X$1,INDEX('Commodity Prices'!$AI$9:$AN$3502,MATCH(1,(('Commodity Prices'!$AI$9:$AI$3502)="Mineral Sands")*(('Commodity Prices'!$AJ$9:$AJ$3502)=$B$6)*(('Commodity Prices'!$AL$9:$AL$3502)=B19),0),5),INDEX('Commodity Prices'!$AP$9:$AU$3487,MATCH(1,(('Commodity Prices'!$AP$9:$AP$3487)="Mineral Sands")*(('Commodity Prices'!$AQ$9:$AQ$3487)=$B$6)*(('Commodity Prices'!$AS$9:$AS$3487)=B19),0),5)))</f>
        <v>35799482.050000004</v>
      </c>
      <c r="D19" s="888">
        <f t="shared" si="1"/>
        <v>2.4366328743169741E-2</v>
      </c>
      <c r="Y19" s="1670" t="str">
        <f t="shared" si="0"/>
        <v/>
      </c>
    </row>
    <row r="20" spans="1:25" ht="15.75" thickBot="1">
      <c r="A20" s="1040" t="str">
        <f>IF($W$2="Mismatch Error","","Other")</f>
        <v>Other</v>
      </c>
      <c r="B20" s="965"/>
      <c r="C20" s="967">
        <f>IF($W$2="Mismatch Error","",IF($B$5=$X$1,SUMIFS('Commodity Prices'!$AM$9:$AM$3502,'Commodity Prices'!$AI$9:$AI$3502,"Mineral Sands",'Commodity Prices'!$AJ$9:$AJ$3502,$B$6,'Commodity Prices'!$AK$9:$AK$3502,"TOTAL")-SUM($C$10:$C$19),SUMIFS('Commodity Prices'!$AT$9:$AT$3487,'Commodity Prices'!$AP$9:$AP$3487,"Mineral Sands",'Commodity Prices'!$AQ$9:$AQ$3487,$B$6,'Commodity Prices'!$AR$9:$AR$3487,"TOTAL")-SUM($C$10:$C$19)))</f>
        <v>96647697.619999886</v>
      </c>
      <c r="D20" s="1041">
        <f t="shared" si="1"/>
        <v>6.5781666036125813E-2</v>
      </c>
      <c r="Y20" s="1670" t="str">
        <f t="shared" si="0"/>
        <v/>
      </c>
    </row>
    <row r="21" spans="1:25" ht="15.75" thickBot="1">
      <c r="A21" s="1042" t="str">
        <f>IF($W$2="Mismatch Error","","Grand Total")</f>
        <v>Grand Total</v>
      </c>
      <c r="B21" s="1043"/>
      <c r="C21" s="1044">
        <f>IF($W$2="Mismatch Error","",IF($B$5=$X$1,SUMIFS('Commodity Prices'!$AM$9:$AM$3502,'Commodity Prices'!$AI$9:$AI$3502,"Mineral Sands",'Commodity Prices'!$AJ$9:$AJ$3502,$B$6,'Commodity Prices'!$AK$9:$AK$3502,"TOTAL"),SUMIFS('Commodity Prices'!$AT$9:$AT$3487,'Commodity Prices'!$AP$9:$AP$3487,"Mineral Sands",'Commodity Prices'!$AQ$9:$AQ$3487,$B$6,'Commodity Prices'!$AR$9:$AR$3487,"TOTAL")))</f>
        <v>1469219365.27</v>
      </c>
      <c r="D21" s="1045"/>
      <c r="E21" s="169"/>
      <c r="Y21" s="1670" t="str">
        <f t="shared" si="0"/>
        <v/>
      </c>
    </row>
    <row r="22" spans="1:25">
      <c r="Y22" s="1670" t="str">
        <f t="shared" si="0"/>
        <v/>
      </c>
    </row>
    <row r="23" spans="1:25">
      <c r="A23" s="1991" t="str">
        <f>IF(A10="Mismatch Error","You have selected an incompatible year or year type. Change one or the other to display data.","")</f>
        <v/>
      </c>
      <c r="B23" s="1991"/>
      <c r="C23" s="1991"/>
      <c r="D23" s="1991"/>
      <c r="Y23" s="1670" t="str">
        <f t="shared" si="0"/>
        <v/>
      </c>
    </row>
    <row r="24" spans="1:25">
      <c r="A24" s="1991"/>
      <c r="B24" s="1991"/>
      <c r="C24" s="1991"/>
      <c r="D24" s="1991"/>
      <c r="Y24" s="1670" t="str">
        <f t="shared" si="0"/>
        <v/>
      </c>
    </row>
    <row r="25" spans="1:25" ht="15" customHeight="1">
      <c r="A25" s="1991"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91"/>
      <c r="C25" s="1991"/>
      <c r="D25" s="1991"/>
      <c r="Y25" s="1670" t="str">
        <f t="shared" si="0"/>
        <v/>
      </c>
    </row>
    <row r="26" spans="1:25">
      <c r="A26" s="1991"/>
      <c r="B26" s="1991"/>
      <c r="C26" s="1991"/>
      <c r="D26" s="1991"/>
    </row>
    <row r="27" spans="1:25">
      <c r="A27" s="1991"/>
      <c r="B27" s="1991"/>
      <c r="C27" s="1991"/>
      <c r="D27" s="1991"/>
    </row>
    <row r="28" spans="1:25">
      <c r="A28" s="1991"/>
      <c r="B28" s="1991"/>
      <c r="C28" s="1991"/>
      <c r="D28" s="1991"/>
    </row>
    <row r="32" spans="1:25">
      <c r="E32" s="430"/>
    </row>
    <row r="33" spans="5:5">
      <c r="E33" s="430"/>
    </row>
    <row r="34" spans="5:5">
      <c r="E34" s="430"/>
    </row>
    <row r="35" spans="5:5">
      <c r="E35" s="430"/>
    </row>
    <row r="36" spans="5:5">
      <c r="E36" s="430"/>
    </row>
    <row r="37" spans="5:5">
      <c r="E37" s="430"/>
    </row>
    <row r="38" spans="5:5">
      <c r="E38" s="430"/>
    </row>
    <row r="39" spans="5:5">
      <c r="E39" s="430"/>
    </row>
    <row r="40" spans="5:5">
      <c r="E40" s="430"/>
    </row>
    <row r="41" spans="5:5">
      <c r="E41" s="430"/>
    </row>
    <row r="42" spans="5:5">
      <c r="E42" s="430"/>
    </row>
    <row r="43" spans="5:5">
      <c r="E43" s="430"/>
    </row>
    <row r="44" spans="5:5">
      <c r="E44" s="430"/>
    </row>
    <row r="45" spans="5:5">
      <c r="E45" s="430"/>
    </row>
    <row r="46" spans="5:5">
      <c r="E46" s="430"/>
    </row>
    <row r="47" spans="5:5">
      <c r="E47" s="430"/>
    </row>
    <row r="48" spans="5:5">
      <c r="E48" s="430"/>
    </row>
    <row r="49" spans="5:5">
      <c r="E49" s="430"/>
    </row>
    <row r="50" spans="5:5">
      <c r="E50" s="430"/>
    </row>
    <row r="51" spans="5:5">
      <c r="E51" s="430"/>
    </row>
    <row r="52" spans="5:5">
      <c r="E52" s="430"/>
    </row>
    <row r="53" spans="5:5">
      <c r="E53" s="430"/>
    </row>
    <row r="54" spans="5:5">
      <c r="E54" s="430"/>
    </row>
    <row r="55" spans="5:5">
      <c r="E55" s="430"/>
    </row>
    <row r="56" spans="5:5">
      <c r="E56" s="430"/>
    </row>
    <row r="57" spans="5:5">
      <c r="E57" s="430"/>
    </row>
    <row r="58" spans="5:5">
      <c r="E58" s="430"/>
    </row>
    <row r="59" spans="5:5">
      <c r="E59" s="430"/>
    </row>
    <row r="60" spans="5:5">
      <c r="E60" s="430"/>
    </row>
    <row r="61" spans="5:5">
      <c r="E61" s="430"/>
    </row>
    <row r="62" spans="5:5">
      <c r="E62" s="430"/>
    </row>
    <row r="63" spans="5:5">
      <c r="E63" s="430"/>
    </row>
    <row r="64" spans="5:5">
      <c r="E64" s="430"/>
    </row>
    <row r="67" spans="5:5">
      <c r="E67" s="430"/>
    </row>
    <row r="68" spans="5:5">
      <c r="E68" s="430"/>
    </row>
    <row r="69" spans="5:5">
      <c r="E69" s="430"/>
    </row>
    <row r="70" spans="5:5">
      <c r="E70" s="430"/>
    </row>
    <row r="71" spans="5:5">
      <c r="E71" s="430"/>
    </row>
    <row r="72" spans="5:5">
      <c r="E72" s="430"/>
    </row>
    <row r="73" spans="5:5">
      <c r="E73" s="430"/>
    </row>
    <row r="74" spans="5:5">
      <c r="E74" s="430"/>
    </row>
    <row r="75" spans="5:5">
      <c r="E75" s="430"/>
    </row>
    <row r="76" spans="5:5">
      <c r="E76" s="430"/>
    </row>
    <row r="77" spans="5:5">
      <c r="E77" s="430"/>
    </row>
    <row r="78" spans="5:5">
      <c r="E78" s="430"/>
    </row>
    <row r="79" spans="5:5">
      <c r="E79" s="430"/>
    </row>
    <row r="80" spans="5:5">
      <c r="E80" s="430"/>
    </row>
    <row r="81" spans="5:5">
      <c r="E81" s="430"/>
    </row>
  </sheetData>
  <mergeCells count="5">
    <mergeCell ref="B5:D5"/>
    <mergeCell ref="B6:D6"/>
    <mergeCell ref="A8:D8"/>
    <mergeCell ref="A23:D24"/>
    <mergeCell ref="A25:D28"/>
  </mergeCells>
  <dataValidations count="4">
    <dataValidation allowBlank="1" promptTitle="Select a Display Factor:" prompt="Clicking here will bring up a message describing the selections you can make." sqref="E6"/>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 allowBlank="1" promptTitle="Select a Display Factor:" prompt="Clicking here will bring up a message describing the selections you can make." sqref="E5"/>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39997558519241921"/>
  </sheetPr>
  <dimension ref="A2:U123"/>
  <sheetViews>
    <sheetView showGridLines="0" workbookViewId="0"/>
  </sheetViews>
  <sheetFormatPr defaultRowHeight="15"/>
  <cols>
    <col min="1" max="1" width="7.28515625" style="20" customWidth="1"/>
    <col min="2" max="2" width="24.5703125" style="20" bestFit="1" customWidth="1"/>
    <col min="3" max="3" width="29.42578125" style="20" customWidth="1"/>
    <col min="4" max="4" width="9.140625" style="20"/>
    <col min="5" max="5" width="7.140625" style="20" customWidth="1"/>
    <col min="6" max="7" width="24.28515625" style="20" customWidth="1"/>
    <col min="8" max="18" width="9.140625" style="20"/>
    <col min="19" max="19" width="10.85546875" style="20" customWidth="1"/>
    <col min="20" max="21" width="23.5703125" style="20" customWidth="1"/>
    <col min="22" max="16384" width="9.140625" style="20"/>
  </cols>
  <sheetData>
    <row r="2" spans="1:20">
      <c r="E2" s="537"/>
      <c r="F2" s="492"/>
    </row>
    <row r="4" spans="1:20" ht="18.75" customHeight="1"/>
    <row r="5" spans="1:20" ht="15.75" thickBot="1">
      <c r="A5" s="2041" t="s">
        <v>711</v>
      </c>
      <c r="B5" s="2041"/>
      <c r="C5" s="2041"/>
    </row>
    <row r="6" spans="1:20" ht="15.75" thickBot="1">
      <c r="A6" s="1409" t="s">
        <v>41</v>
      </c>
      <c r="B6" s="970" t="s">
        <v>636</v>
      </c>
      <c r="C6" s="971" t="s">
        <v>637</v>
      </c>
    </row>
    <row r="7" spans="1:20">
      <c r="A7" s="1347">
        <v>1957</v>
      </c>
      <c r="B7" s="706">
        <v>492</v>
      </c>
      <c r="C7" s="705">
        <v>21903008</v>
      </c>
      <c r="T7" s="386"/>
    </row>
    <row r="8" spans="1:20">
      <c r="A8" s="1347">
        <v>1958</v>
      </c>
      <c r="B8" s="939">
        <v>2156</v>
      </c>
      <c r="C8" s="940">
        <v>12426344</v>
      </c>
      <c r="S8" s="386"/>
      <c r="T8" s="386"/>
    </row>
    <row r="9" spans="1:20">
      <c r="A9" s="1347">
        <v>1959</v>
      </c>
      <c r="B9" s="706">
        <v>133392</v>
      </c>
      <c r="C9" s="705">
        <v>10460008</v>
      </c>
      <c r="S9" s="386"/>
      <c r="T9" s="386"/>
    </row>
    <row r="10" spans="1:20">
      <c r="A10" s="1347">
        <v>1960</v>
      </c>
      <c r="B10" s="939">
        <v>345568</v>
      </c>
      <c r="C10" s="940">
        <v>10861632.000000002</v>
      </c>
      <c r="S10" s="386"/>
      <c r="T10" s="386"/>
    </row>
    <row r="11" spans="1:20">
      <c r="A11" s="1347">
        <v>1961</v>
      </c>
      <c r="B11" s="706">
        <v>588303</v>
      </c>
      <c r="C11" s="705">
        <v>10857057</v>
      </c>
      <c r="S11" s="386"/>
      <c r="T11" s="386"/>
    </row>
    <row r="12" spans="1:20">
      <c r="A12" s="1347">
        <v>1962</v>
      </c>
      <c r="B12" s="939">
        <v>874763.00000000012</v>
      </c>
      <c r="C12" s="940">
        <v>11597336.999999998</v>
      </c>
      <c r="S12" s="386"/>
      <c r="T12" s="386"/>
    </row>
    <row r="13" spans="1:20">
      <c r="A13" s="1347">
        <v>1963</v>
      </c>
      <c r="B13" s="706">
        <v>1308304.0999999999</v>
      </c>
      <c r="C13" s="705">
        <v>17902415.899999999</v>
      </c>
      <c r="S13" s="386"/>
      <c r="T13" s="386"/>
    </row>
    <row r="14" spans="1:20">
      <c r="A14" s="1347">
        <v>1964</v>
      </c>
      <c r="B14" s="939">
        <v>1604629.3</v>
      </c>
      <c r="C14" s="940">
        <v>19308340.699999999</v>
      </c>
      <c r="S14" s="386"/>
      <c r="T14" s="386"/>
    </row>
    <row r="15" spans="1:20">
      <c r="A15" s="1347">
        <v>1965</v>
      </c>
      <c r="B15" s="800">
        <v>2692152.5</v>
      </c>
      <c r="C15" s="799">
        <v>24680057.500000004</v>
      </c>
      <c r="S15" s="386"/>
      <c r="T15" s="386"/>
    </row>
    <row r="16" spans="1:20">
      <c r="A16" s="1347">
        <v>1966</v>
      </c>
      <c r="B16" s="939">
        <v>2894269.1</v>
      </c>
      <c r="C16" s="940">
        <v>31947030.899999995</v>
      </c>
      <c r="S16" s="386"/>
      <c r="T16" s="386"/>
    </row>
    <row r="17" spans="1:20">
      <c r="A17" s="1347">
        <v>1967</v>
      </c>
      <c r="B17" s="706">
        <v>4325525.2</v>
      </c>
      <c r="C17" s="705">
        <v>34500594.800000004</v>
      </c>
      <c r="S17" s="386"/>
      <c r="T17" s="386"/>
    </row>
    <row r="18" spans="1:20">
      <c r="A18" s="1347">
        <v>1968</v>
      </c>
      <c r="B18" s="939">
        <v>4214603</v>
      </c>
      <c r="C18" s="940">
        <v>36073557</v>
      </c>
      <c r="S18" s="386"/>
      <c r="T18" s="386"/>
    </row>
    <row r="19" spans="1:20">
      <c r="A19" s="1347">
        <v>1969</v>
      </c>
      <c r="B19" s="706">
        <v>9211062.3000000007</v>
      </c>
      <c r="C19" s="705">
        <v>40674638.699999996</v>
      </c>
      <c r="S19" s="386"/>
      <c r="T19" s="386"/>
    </row>
    <row r="20" spans="1:20">
      <c r="A20" s="1347">
        <v>1970</v>
      </c>
      <c r="B20" s="939">
        <v>10271270.6</v>
      </c>
      <c r="C20" s="940">
        <v>48209466.400000006</v>
      </c>
      <c r="S20" s="386"/>
      <c r="T20" s="386"/>
    </row>
    <row r="21" spans="1:20">
      <c r="A21" s="1347">
        <v>1971</v>
      </c>
      <c r="B21" s="706">
        <v>10462659</v>
      </c>
      <c r="C21" s="705">
        <v>55277821</v>
      </c>
      <c r="S21" s="386"/>
      <c r="T21" s="386"/>
    </row>
    <row r="22" spans="1:20">
      <c r="A22" s="1347">
        <v>1972</v>
      </c>
      <c r="B22" s="939">
        <v>10468339.700000001</v>
      </c>
      <c r="C22" s="940">
        <v>47525519.299999982</v>
      </c>
      <c r="S22" s="386"/>
      <c r="T22" s="386"/>
    </row>
    <row r="23" spans="1:20">
      <c r="A23" s="1347">
        <v>1973</v>
      </c>
      <c r="B23" s="706">
        <v>11077312.899999999</v>
      </c>
      <c r="C23" s="705">
        <v>52602239.100000001</v>
      </c>
      <c r="S23" s="386"/>
      <c r="T23" s="386"/>
    </row>
    <row r="24" spans="1:20">
      <c r="A24" s="1347">
        <v>1974</v>
      </c>
      <c r="B24" s="939">
        <v>16463287.700000001</v>
      </c>
      <c r="C24" s="940">
        <v>70380853.299999982</v>
      </c>
      <c r="S24" s="386"/>
      <c r="T24" s="386"/>
    </row>
    <row r="25" spans="1:20">
      <c r="A25" s="1347">
        <v>1975</v>
      </c>
      <c r="B25" s="706">
        <v>34526710.899999999</v>
      </c>
      <c r="C25" s="705">
        <v>125495545.09999999</v>
      </c>
      <c r="S25" s="386"/>
      <c r="T25" s="386"/>
    </row>
    <row r="26" spans="1:20">
      <c r="A26" s="1347">
        <v>1976</v>
      </c>
      <c r="B26" s="939">
        <v>39788065</v>
      </c>
      <c r="C26" s="940">
        <v>125917837</v>
      </c>
      <c r="S26" s="386"/>
      <c r="T26" s="386"/>
    </row>
    <row r="27" spans="1:20">
      <c r="A27" s="1347">
        <v>1977</v>
      </c>
      <c r="B27" s="706">
        <v>54309956.400000006</v>
      </c>
      <c r="C27" s="705">
        <v>82043274.600000009</v>
      </c>
      <c r="S27" s="386"/>
      <c r="T27" s="386"/>
    </row>
    <row r="28" spans="1:20">
      <c r="A28" s="1347">
        <v>1978</v>
      </c>
      <c r="B28" s="939">
        <v>58998055.100000001</v>
      </c>
      <c r="C28" s="940">
        <v>48427636.899999991</v>
      </c>
      <c r="S28" s="386"/>
      <c r="T28" s="386"/>
    </row>
    <row r="29" spans="1:20">
      <c r="A29" s="1347">
        <v>1979</v>
      </c>
      <c r="B29" s="706">
        <v>69875106.199999988</v>
      </c>
      <c r="C29" s="705">
        <v>53505783.800000004</v>
      </c>
      <c r="S29" s="386"/>
      <c r="T29" s="386"/>
    </row>
    <row r="30" spans="1:20">
      <c r="A30" s="1347">
        <v>1980</v>
      </c>
      <c r="B30" s="939">
        <v>79036531</v>
      </c>
      <c r="C30" s="940">
        <v>80616028</v>
      </c>
      <c r="S30" s="386"/>
      <c r="T30" s="386"/>
    </row>
    <row r="31" spans="1:20">
      <c r="A31" s="1347">
        <v>1981</v>
      </c>
      <c r="B31" s="706">
        <v>88623282.399999991</v>
      </c>
      <c r="C31" s="705">
        <v>60094861.599999972</v>
      </c>
      <c r="S31" s="386"/>
      <c r="T31" s="386"/>
    </row>
    <row r="32" spans="1:20">
      <c r="A32" s="1347">
        <v>1982</v>
      </c>
      <c r="B32" s="939">
        <v>93353064.400000006</v>
      </c>
      <c r="C32" s="940">
        <v>50807023.599999987</v>
      </c>
      <c r="S32" s="386"/>
      <c r="T32" s="386"/>
    </row>
    <row r="33" spans="1:20">
      <c r="A33" s="1347">
        <v>1983</v>
      </c>
      <c r="B33" s="706">
        <v>77817286.499999985</v>
      </c>
      <c r="C33" s="705">
        <v>39991133.5</v>
      </c>
      <c r="S33" s="386"/>
      <c r="T33" s="386"/>
    </row>
    <row r="34" spans="1:20">
      <c r="A34" s="1347">
        <v>1984</v>
      </c>
      <c r="B34" s="939">
        <v>114568998.5</v>
      </c>
      <c r="C34" s="940">
        <v>53791583.500000022</v>
      </c>
      <c r="S34" s="386"/>
      <c r="T34" s="386"/>
    </row>
    <row r="35" spans="1:20">
      <c r="A35" s="1347">
        <v>1985</v>
      </c>
      <c r="B35" s="706">
        <v>134961831.40000001</v>
      </c>
      <c r="C35" s="705">
        <v>86350293.600000009</v>
      </c>
      <c r="S35" s="386"/>
      <c r="T35" s="386"/>
    </row>
    <row r="36" spans="1:20">
      <c r="A36" s="1347">
        <v>1986</v>
      </c>
      <c r="B36" s="939">
        <v>160577471.40000001</v>
      </c>
      <c r="C36" s="940">
        <v>94356085.599999994</v>
      </c>
      <c r="S36" s="386"/>
      <c r="T36" s="386"/>
    </row>
    <row r="37" spans="1:20">
      <c r="A37" s="1347">
        <v>1987</v>
      </c>
      <c r="B37" s="706">
        <v>240223386.29999998</v>
      </c>
      <c r="C37" s="705">
        <v>144404564.70000002</v>
      </c>
      <c r="S37" s="386"/>
      <c r="T37" s="386"/>
    </row>
    <row r="38" spans="1:20">
      <c r="A38" s="1347">
        <v>1988</v>
      </c>
      <c r="B38" s="939">
        <v>348835148.60000002</v>
      </c>
      <c r="C38" s="940">
        <v>174675127.39999995</v>
      </c>
      <c r="S38" s="386"/>
      <c r="T38" s="386"/>
    </row>
    <row r="39" spans="1:20">
      <c r="A39" s="1347">
        <v>1989</v>
      </c>
      <c r="B39" s="706">
        <v>428312699</v>
      </c>
      <c r="C39" s="705">
        <v>321476520.99999994</v>
      </c>
      <c r="S39" s="386"/>
      <c r="T39" s="386"/>
    </row>
    <row r="40" spans="1:20">
      <c r="A40" s="1347">
        <v>1990</v>
      </c>
      <c r="B40" s="939">
        <v>447623340.9000001</v>
      </c>
      <c r="C40" s="940">
        <v>294352387.0999999</v>
      </c>
      <c r="S40" s="386"/>
      <c r="T40" s="386"/>
    </row>
    <row r="41" spans="1:20">
      <c r="A41" s="1347">
        <v>1991</v>
      </c>
      <c r="B41" s="706">
        <v>241626154</v>
      </c>
      <c r="C41" s="705">
        <v>165517603.99999997</v>
      </c>
      <c r="S41" s="386"/>
      <c r="T41" s="386"/>
    </row>
    <row r="42" spans="1:20">
      <c r="A42" s="1347">
        <v>1992</v>
      </c>
      <c r="B42" s="939">
        <v>276836642.00614107</v>
      </c>
      <c r="C42" s="940">
        <v>111675432.39999993</v>
      </c>
      <c r="S42" s="386"/>
      <c r="T42" s="386"/>
    </row>
    <row r="43" spans="1:20">
      <c r="A43" s="1347">
        <v>1993</v>
      </c>
      <c r="B43" s="706">
        <v>332056090.18000001</v>
      </c>
      <c r="C43" s="705">
        <v>93207174.899999976</v>
      </c>
      <c r="S43" s="386"/>
      <c r="T43" s="386"/>
    </row>
    <row r="44" spans="1:20">
      <c r="A44" s="1347">
        <v>1994</v>
      </c>
      <c r="B44" s="939">
        <v>417667340.69999999</v>
      </c>
      <c r="C44" s="940">
        <v>93063309.300000027</v>
      </c>
      <c r="S44" s="386"/>
      <c r="T44" s="386"/>
    </row>
    <row r="45" spans="1:20">
      <c r="A45" s="1347">
        <v>1995</v>
      </c>
      <c r="B45" s="706">
        <v>571348686.50000012</v>
      </c>
      <c r="C45" s="705">
        <v>83489338.499999955</v>
      </c>
      <c r="S45" s="386"/>
      <c r="T45" s="386"/>
    </row>
    <row r="46" spans="1:20">
      <c r="A46" s="1347">
        <v>1996</v>
      </c>
      <c r="B46" s="939">
        <v>612206253.4000001</v>
      </c>
      <c r="C46" s="940">
        <v>125882000</v>
      </c>
      <c r="S46" s="386"/>
      <c r="T46" s="386"/>
    </row>
    <row r="47" spans="1:20">
      <c r="A47" s="1347">
        <v>1997</v>
      </c>
      <c r="B47" s="706">
        <v>654697524</v>
      </c>
      <c r="C47" s="705">
        <v>158197000</v>
      </c>
      <c r="S47" s="386"/>
      <c r="T47" s="386"/>
    </row>
    <row r="48" spans="1:20">
      <c r="A48" s="1347">
        <v>1998</v>
      </c>
      <c r="B48" s="939">
        <v>706242000</v>
      </c>
      <c r="C48" s="940">
        <v>161779000</v>
      </c>
      <c r="S48" s="386"/>
      <c r="T48" s="386"/>
    </row>
    <row r="49" spans="1:21">
      <c r="A49" s="1347">
        <v>1999</v>
      </c>
      <c r="B49" s="706">
        <f>SUMIF('Mineral Sands - Q&amp;V'!D$8:D$508, A49,'Mineral Sands - Q&amp;V'!C$8:C$508)*1000000</f>
        <v>688489000</v>
      </c>
      <c r="C49" s="705">
        <v>63105000</v>
      </c>
      <c r="S49" s="386"/>
      <c r="T49" s="386"/>
    </row>
    <row r="50" spans="1:21">
      <c r="A50" s="1347">
        <v>2000</v>
      </c>
      <c r="B50" s="939">
        <f>SUMIF('Mineral Sands - Q&amp;V'!D$8:D$508, A50,'Mineral Sands - Q&amp;V'!C$8:C$508)*1000000</f>
        <v>860858999.99999988</v>
      </c>
      <c r="C50" s="940">
        <v>40072000</v>
      </c>
      <c r="E50" s="1981" t="s">
        <v>709</v>
      </c>
      <c r="F50" s="1981"/>
      <c r="G50" s="1981"/>
      <c r="S50" s="386"/>
      <c r="T50" s="386"/>
    </row>
    <row r="51" spans="1:21" ht="15.75" thickBot="1">
      <c r="A51" s="1347">
        <v>2001</v>
      </c>
      <c r="B51" s="706">
        <f>SUMIF('Mineral Sands - Q&amp;V'!D$8:D$508, A51,'Mineral Sands - Q&amp;V'!C$8:C$508)*1000000</f>
        <v>909224999.99999988</v>
      </c>
      <c r="C51" s="705">
        <v>72447000</v>
      </c>
      <c r="E51" s="1993" t="s">
        <v>710</v>
      </c>
      <c r="F51" s="1993"/>
      <c r="G51" s="1993"/>
      <c r="S51" s="386"/>
      <c r="T51" s="386"/>
    </row>
    <row r="52" spans="1:21" ht="15.75" thickBot="1">
      <c r="A52" s="1347">
        <v>2002</v>
      </c>
      <c r="B52" s="939">
        <f>SUMIF('Mineral Sands - Q&amp;V'!D$8:D$508, A52,'Mineral Sands - Q&amp;V'!C$8:C$508)*1000000</f>
        <v>866852000.00000012</v>
      </c>
      <c r="C52" s="940">
        <v>108805599.99999997</v>
      </c>
      <c r="E52" s="958" t="s">
        <v>41</v>
      </c>
      <c r="F52" s="1054" t="str">
        <f>B6</f>
        <v>Western Australia ($)</v>
      </c>
      <c r="G52" s="1055" t="str">
        <f>C6</f>
        <v>Rest of Australia ($)</v>
      </c>
      <c r="S52" s="386"/>
      <c r="T52" s="386"/>
    </row>
    <row r="53" spans="1:21">
      <c r="A53" s="1347">
        <v>2003</v>
      </c>
      <c r="B53" s="706">
        <f>SUMIF('Mineral Sands - Q&amp;V'!D$8:D$508, A53,'Mineral Sands - Q&amp;V'!C$8:C$508)*1000000</f>
        <v>789848787.90303028</v>
      </c>
      <c r="C53" s="705">
        <v>74724000</v>
      </c>
      <c r="E53" s="975">
        <f>LARGE(A$15:A$94,10)</f>
        <v>2011</v>
      </c>
      <c r="F53" s="973">
        <f t="shared" ref="F53:F62" si="0">SUMIF($A$15:$A$100,$E53,B$15:B$100)</f>
        <v>591622104.60567033</v>
      </c>
      <c r="G53" s="1056">
        <f t="shared" ref="G53:G56" si="1">IF(SUMIF($A$15:$A$100,$E53,C$15:C$100)=0,NA(),SUMIF($A$15:$A$100,$E53,C$15:C$100))</f>
        <v>1345503845</v>
      </c>
      <c r="S53" s="386"/>
      <c r="T53" s="386"/>
    </row>
    <row r="54" spans="1:21">
      <c r="A54" s="1347">
        <v>2004</v>
      </c>
      <c r="B54" s="939">
        <f>SUMIF('Mineral Sands - Q&amp;V'!D$8:D$508, A54,'Mineral Sands - Q&amp;V'!C$8:C$508)*1000000</f>
        <v>764910779.21212125</v>
      </c>
      <c r="C54" s="940">
        <v>90109962.999999985</v>
      </c>
      <c r="E54" s="975">
        <f>LARGE(A$15:A$94,9)</f>
        <v>2012</v>
      </c>
      <c r="F54" s="853">
        <f t="shared" si="0"/>
        <v>970807032.06660604</v>
      </c>
      <c r="G54" s="819">
        <f t="shared" si="1"/>
        <v>1320369000</v>
      </c>
      <c r="S54" s="386"/>
      <c r="T54" s="386"/>
    </row>
    <row r="55" spans="1:21">
      <c r="A55" s="1347">
        <v>2005</v>
      </c>
      <c r="B55" s="706">
        <f>SUMIF('Mineral Sands - Q&amp;V'!D$8:D$508, A55,'Mineral Sands - Q&amp;V'!C$8:C$508)*1000000</f>
        <v>846793591.63939393</v>
      </c>
      <c r="C55" s="705">
        <v>52770605.999999911</v>
      </c>
      <c r="E55" s="975">
        <f>LARGE(A$15:A$94,8)</f>
        <v>2013</v>
      </c>
      <c r="F55" s="957">
        <f t="shared" si="0"/>
        <v>645165237.5995152</v>
      </c>
      <c r="G55" s="951">
        <f t="shared" si="1"/>
        <v>1367400000</v>
      </c>
      <c r="S55" s="386"/>
      <c r="T55" s="386"/>
    </row>
    <row r="56" spans="1:21">
      <c r="A56" s="1347">
        <v>2006</v>
      </c>
      <c r="B56" s="939">
        <f>SUMIF('Mineral Sands - Q&amp;V'!D$8:D$508, A56,'Mineral Sands - Q&amp;V'!C$8:C$508)*1000000</f>
        <v>886262810.36130917</v>
      </c>
      <c r="C56" s="940">
        <v>355967000</v>
      </c>
      <c r="E56" s="975">
        <f>LARGE(A$15:A$94,7)</f>
        <v>2014</v>
      </c>
      <c r="F56" s="853">
        <f t="shared" si="0"/>
        <v>383161710.53810829</v>
      </c>
      <c r="G56" s="819">
        <f t="shared" si="1"/>
        <v>1243000000</v>
      </c>
      <c r="S56" s="386"/>
      <c r="T56" s="386"/>
    </row>
    <row r="57" spans="1:21">
      <c r="A57" s="1347">
        <v>2007</v>
      </c>
      <c r="B57" s="706">
        <f>SUMIF('Mineral Sands - Q&amp;V'!D$8:D$508, A57,'Mineral Sands - Q&amp;V'!C$8:C$508)*1000000</f>
        <v>691055713.60429811</v>
      </c>
      <c r="C57" s="705">
        <v>545455959</v>
      </c>
      <c r="E57" s="975">
        <f>LARGE(A$15:A$94,6)</f>
        <v>2015</v>
      </c>
      <c r="F57" s="957">
        <f t="shared" si="0"/>
        <v>586413597.36441696</v>
      </c>
      <c r="G57" s="951" t="s">
        <v>540</v>
      </c>
      <c r="S57" s="386"/>
      <c r="T57" s="386"/>
    </row>
    <row r="58" spans="1:21">
      <c r="A58" s="1347">
        <v>2008</v>
      </c>
      <c r="B58" s="939">
        <f>SUMIF('Mineral Sands - Q&amp;V'!D$8:D$508, A58,'Mineral Sands - Q&amp;V'!C$8:C$508)*1000000</f>
        <v>777136717.99124885</v>
      </c>
      <c r="C58" s="940">
        <v>360678633.00000006</v>
      </c>
      <c r="E58" s="975">
        <f>LARGE(A$15:A$94,5)</f>
        <v>2016</v>
      </c>
      <c r="F58" s="853">
        <f t="shared" si="0"/>
        <v>612464028.01084828</v>
      </c>
      <c r="G58" s="1057" t="s">
        <v>540</v>
      </c>
      <c r="S58" s="386"/>
      <c r="T58" s="386"/>
    </row>
    <row r="59" spans="1:21">
      <c r="A59" s="1347">
        <v>2009</v>
      </c>
      <c r="B59" s="706">
        <f>SUMIF('Mineral Sands - Q&amp;V'!D$8:D$508, A59,'Mineral Sands - Q&amp;V'!C$8:C$508)*1000000</f>
        <v>641830940.86659384</v>
      </c>
      <c r="C59" s="705">
        <v>628933613</v>
      </c>
      <c r="E59" s="975">
        <f>LARGE(A$15:A$94,4)</f>
        <v>2017</v>
      </c>
      <c r="F59" s="957">
        <f t="shared" si="0"/>
        <v>513509162.81765264</v>
      </c>
      <c r="G59" s="1058" t="s">
        <v>540</v>
      </c>
      <c r="S59" s="386"/>
      <c r="T59" s="386"/>
    </row>
    <row r="60" spans="1:21">
      <c r="A60" s="1347">
        <v>2010</v>
      </c>
      <c r="B60" s="939">
        <f>SUMIF('Mineral Sands - Q&amp;V'!D$8:D$508, A60,'Mineral Sands - Q&amp;V'!C$8:C$508)*1000000</f>
        <v>526470515.44375753</v>
      </c>
      <c r="C60" s="940">
        <v>880785482</v>
      </c>
      <c r="E60" s="975">
        <f>LARGE(A$15:A$94,3)</f>
        <v>2018</v>
      </c>
      <c r="F60" s="853">
        <f t="shared" si="0"/>
        <v>628097787.39685094</v>
      </c>
      <c r="G60" s="1057" t="s">
        <v>540</v>
      </c>
      <c r="S60" s="386"/>
      <c r="T60" s="386"/>
    </row>
    <row r="61" spans="1:21">
      <c r="A61" s="1347">
        <v>2011</v>
      </c>
      <c r="B61" s="706">
        <f>SUMIF('Mineral Sands - Q&amp;V'!D$8:D$508, A61,'Mineral Sands - Q&amp;V'!C$8:C$508)*1000000</f>
        <v>591622104.60567033</v>
      </c>
      <c r="C61" s="705">
        <v>1345503845</v>
      </c>
      <c r="E61" s="975">
        <f>LARGE(A$15:A$94,2)</f>
        <v>2019</v>
      </c>
      <c r="F61" s="957">
        <f t="shared" si="0"/>
        <v>729911396.66104162</v>
      </c>
      <c r="G61" s="1058" t="s">
        <v>540</v>
      </c>
      <c r="S61" s="386"/>
      <c r="T61" s="386"/>
      <c r="U61" s="25"/>
    </row>
    <row r="62" spans="1:21" ht="15.75" thickBot="1">
      <c r="A62" s="1347">
        <v>2012</v>
      </c>
      <c r="B62" s="939">
        <f>SUMIF('Mineral Sands - Q&amp;V'!D$8:D$508, A62,'Mineral Sands - Q&amp;V'!C$8:C$508)*1000000</f>
        <v>970807032.06660604</v>
      </c>
      <c r="C62" s="940">
        <v>1320369000</v>
      </c>
      <c r="E62" s="976">
        <f>LARGE(A$15:A$94,1)</f>
        <v>2020</v>
      </c>
      <c r="F62" s="856">
        <f t="shared" si="0"/>
        <v>858377500.96793139</v>
      </c>
      <c r="G62" s="1059" t="s">
        <v>540</v>
      </c>
      <c r="S62" s="386"/>
      <c r="T62" s="386"/>
      <c r="U62" s="25"/>
    </row>
    <row r="63" spans="1:21">
      <c r="A63" s="1347">
        <v>2013</v>
      </c>
      <c r="B63" s="706">
        <f>SUMIF('Mineral Sands - Q&amp;V'!D$8:D$508, A63,'Mineral Sands - Q&amp;V'!C$8:C$508)*1000000</f>
        <v>645165237.5995152</v>
      </c>
      <c r="C63" s="705">
        <v>1367400000</v>
      </c>
      <c r="F63" s="459"/>
      <c r="S63" s="386"/>
      <c r="T63" s="386"/>
      <c r="U63" s="25"/>
    </row>
    <row r="64" spans="1:21">
      <c r="A64" s="1347">
        <v>2014</v>
      </c>
      <c r="B64" s="939">
        <f>SUMIF('Mineral Sands - Q&amp;V'!D$8:D$508, A64,'Mineral Sands - Q&amp;V'!C$8:C$508)*1000000</f>
        <v>383161710.53810829</v>
      </c>
      <c r="C64" s="940">
        <v>1243000000</v>
      </c>
      <c r="F64" s="459"/>
      <c r="S64" s="386"/>
      <c r="T64" s="386"/>
      <c r="U64" s="25"/>
    </row>
    <row r="65" spans="1:21">
      <c r="A65" s="1347">
        <v>2015</v>
      </c>
      <c r="B65" s="706">
        <f>SUMIF('Mineral Sands - Q&amp;V'!D$8:D$508, A65,'Mineral Sands - Q&amp;V'!C$8:C$508)*1000000</f>
        <v>586413597.36441696</v>
      </c>
      <c r="C65" s="968" t="s">
        <v>540</v>
      </c>
      <c r="F65" s="459"/>
      <c r="S65" s="386"/>
      <c r="T65" s="386"/>
      <c r="U65" s="25"/>
    </row>
    <row r="66" spans="1:21">
      <c r="A66" s="1347">
        <v>2016</v>
      </c>
      <c r="B66" s="939">
        <f>SUMIF('Mineral Sands - Q&amp;V'!D$8:D$508, A66,'Mineral Sands - Q&amp;V'!C$8:C$508)*1000000</f>
        <v>612464028.01084828</v>
      </c>
      <c r="C66" s="969" t="s">
        <v>540</v>
      </c>
      <c r="F66" s="459"/>
      <c r="S66" s="28"/>
      <c r="T66" s="25"/>
      <c r="U66" s="25"/>
    </row>
    <row r="67" spans="1:21">
      <c r="A67" s="1347">
        <v>2017</v>
      </c>
      <c r="B67" s="706">
        <f>SUMIF('Mineral Sands - Q&amp;V'!D$8:D$508, A67,'Mineral Sands - Q&amp;V'!C$8:C$508)*1000000</f>
        <v>513509162.81765264</v>
      </c>
      <c r="C67" s="968" t="s">
        <v>540</v>
      </c>
      <c r="F67" s="459"/>
      <c r="S67" s="28"/>
      <c r="T67" s="25"/>
      <c r="U67" s="25"/>
    </row>
    <row r="68" spans="1:21">
      <c r="A68" s="1347">
        <v>2018</v>
      </c>
      <c r="B68" s="939">
        <f>SUMIF('Mineral Sands - Q&amp;V'!D$8:D$508, A68,'Mineral Sands - Q&amp;V'!C$8:C$508)*1000000</f>
        <v>628097787.39685094</v>
      </c>
      <c r="C68" s="969" t="s">
        <v>540</v>
      </c>
      <c r="F68" s="459"/>
      <c r="S68" s="28"/>
      <c r="T68" s="25"/>
      <c r="U68" s="25"/>
    </row>
    <row r="69" spans="1:21">
      <c r="A69" s="1347">
        <v>2019</v>
      </c>
      <c r="B69" s="706">
        <f>SUMIF('Mineral Sands - Q&amp;V'!D$8:D$508, A69,'Mineral Sands - Q&amp;V'!C$8:C$508)*1000000</f>
        <v>729911396.66104162</v>
      </c>
      <c r="C69" s="968" t="s">
        <v>540</v>
      </c>
      <c r="S69" s="28"/>
      <c r="T69" s="25"/>
      <c r="U69" s="25"/>
    </row>
    <row r="70" spans="1:21" ht="15.75" thickBot="1">
      <c r="A70" s="1624">
        <v>2020</v>
      </c>
      <c r="B70" s="941">
        <f>SUMIF('Mineral Sands - Q&amp;V'!D$8:D$508, A70,'Mineral Sands - Q&amp;V'!C$8:C$508)*1000000</f>
        <v>858377500.96793139</v>
      </c>
      <c r="C70" s="1623" t="s">
        <v>540</v>
      </c>
      <c r="S70" s="28"/>
      <c r="T70" s="25"/>
      <c r="U70" s="25"/>
    </row>
    <row r="71" spans="1:21">
      <c r="S71" s="28"/>
      <c r="T71" s="25"/>
      <c r="U71" s="25"/>
    </row>
    <row r="72" spans="1:21">
      <c r="S72" s="28"/>
      <c r="T72" s="25"/>
      <c r="U72" s="25"/>
    </row>
    <row r="73" spans="1:21">
      <c r="S73" s="28"/>
      <c r="T73" s="25"/>
      <c r="U73" s="25"/>
    </row>
    <row r="74" spans="1:21">
      <c r="S74" s="28"/>
      <c r="T74" s="25"/>
      <c r="U74" s="25"/>
    </row>
    <row r="75" spans="1:21">
      <c r="S75" s="28"/>
      <c r="T75" s="25"/>
      <c r="U75" s="25"/>
    </row>
    <row r="76" spans="1:21">
      <c r="S76" s="28"/>
      <c r="T76" s="25"/>
      <c r="U76" s="25"/>
    </row>
    <row r="77" spans="1:21">
      <c r="S77" s="28"/>
      <c r="T77" s="25"/>
      <c r="U77" s="25"/>
    </row>
    <row r="78" spans="1:21">
      <c r="S78" s="28"/>
      <c r="T78" s="25"/>
      <c r="U78" s="25"/>
    </row>
    <row r="79" spans="1:21">
      <c r="S79" s="28"/>
      <c r="T79" s="25"/>
      <c r="U79" s="25"/>
    </row>
    <row r="80" spans="1:21">
      <c r="S80" s="28"/>
      <c r="T80" s="25"/>
      <c r="U80" s="25"/>
    </row>
    <row r="81" spans="19:21">
      <c r="S81" s="28"/>
      <c r="T81" s="25"/>
      <c r="U81" s="25"/>
    </row>
    <row r="82" spans="19:21">
      <c r="S82" s="28"/>
      <c r="T82" s="25"/>
      <c r="U82" s="25"/>
    </row>
    <row r="83" spans="19:21">
      <c r="S83" s="28"/>
      <c r="T83" s="25"/>
      <c r="U83" s="25"/>
    </row>
    <row r="84" spans="19:21">
      <c r="S84" s="28"/>
      <c r="T84" s="25"/>
      <c r="U84" s="25"/>
    </row>
    <row r="85" spans="19:21">
      <c r="S85" s="28"/>
      <c r="T85" s="25"/>
      <c r="U85" s="25"/>
    </row>
    <row r="86" spans="19:21">
      <c r="S86" s="28"/>
      <c r="T86" s="25"/>
      <c r="U86" s="25"/>
    </row>
    <row r="87" spans="19:21">
      <c r="S87" s="28"/>
      <c r="T87" s="25"/>
      <c r="U87" s="25"/>
    </row>
    <row r="88" spans="19:21">
      <c r="S88" s="28"/>
      <c r="T88" s="25"/>
      <c r="U88" s="25"/>
    </row>
    <row r="89" spans="19:21">
      <c r="S89" s="28"/>
      <c r="T89" s="25"/>
      <c r="U89" s="25"/>
    </row>
    <row r="90" spans="19:21">
      <c r="S90" s="28"/>
      <c r="T90" s="25"/>
      <c r="U90" s="25"/>
    </row>
    <row r="91" spans="19:21">
      <c r="S91" s="28"/>
      <c r="T91" s="25"/>
      <c r="U91" s="25"/>
    </row>
    <row r="92" spans="19:21">
      <c r="S92" s="28"/>
      <c r="T92" s="25"/>
      <c r="U92" s="25"/>
    </row>
    <row r="93" spans="19:21">
      <c r="S93" s="28"/>
      <c r="T93" s="25"/>
      <c r="U93" s="25"/>
    </row>
    <row r="94" spans="19:21">
      <c r="S94" s="28"/>
      <c r="T94" s="25"/>
      <c r="U94" s="25"/>
    </row>
    <row r="95" spans="19:21">
      <c r="S95" s="28"/>
      <c r="T95" s="25"/>
      <c r="U95" s="25"/>
    </row>
    <row r="96" spans="19:21">
      <c r="S96" s="28"/>
      <c r="T96" s="25"/>
      <c r="U96" s="25"/>
    </row>
    <row r="97" spans="19:21">
      <c r="S97" s="28"/>
      <c r="T97" s="25"/>
      <c r="U97" s="25"/>
    </row>
    <row r="98" spans="19:21">
      <c r="S98" s="28"/>
      <c r="T98" s="25"/>
      <c r="U98" s="25"/>
    </row>
    <row r="99" spans="19:21">
      <c r="S99" s="28"/>
      <c r="T99" s="25"/>
      <c r="U99" s="25"/>
    </row>
    <row r="100" spans="19:21">
      <c r="S100" s="28"/>
      <c r="T100" s="25"/>
      <c r="U100" s="25"/>
    </row>
    <row r="101" spans="19:21">
      <c r="S101" s="28"/>
      <c r="T101" s="25"/>
      <c r="U101" s="25"/>
    </row>
    <row r="102" spans="19:21">
      <c r="S102" s="28"/>
      <c r="T102" s="25"/>
      <c r="U102" s="25"/>
    </row>
    <row r="103" spans="19:21">
      <c r="S103" s="28"/>
      <c r="T103" s="25"/>
      <c r="U103" s="25"/>
    </row>
    <row r="104" spans="19:21">
      <c r="S104" s="28"/>
      <c r="T104" s="25"/>
      <c r="U104" s="25"/>
    </row>
    <row r="105" spans="19:21">
      <c r="S105" s="29"/>
      <c r="T105" s="25"/>
      <c r="U105" s="25"/>
    </row>
    <row r="106" spans="19:21">
      <c r="S106" s="29"/>
      <c r="T106" s="25"/>
      <c r="U106" s="25"/>
    </row>
    <row r="107" spans="19:21">
      <c r="S107" s="29"/>
      <c r="T107" s="25"/>
      <c r="U107" s="25"/>
    </row>
    <row r="108" spans="19:21">
      <c r="S108" s="29"/>
      <c r="T108" s="25"/>
      <c r="U108" s="25"/>
    </row>
    <row r="109" spans="19:21">
      <c r="S109" s="29"/>
      <c r="T109" s="25"/>
      <c r="U109" s="25"/>
    </row>
    <row r="110" spans="19:21">
      <c r="S110" s="29"/>
      <c r="T110" s="25"/>
      <c r="U110" s="25"/>
    </row>
    <row r="111" spans="19:21">
      <c r="S111" s="29"/>
      <c r="T111" s="25"/>
      <c r="U111" s="25"/>
    </row>
    <row r="112" spans="19:21">
      <c r="S112" s="29"/>
      <c r="T112" s="25"/>
      <c r="U112" s="25"/>
    </row>
    <row r="113" spans="19:21">
      <c r="S113" s="29"/>
      <c r="T113" s="25"/>
      <c r="U113" s="25"/>
    </row>
    <row r="114" spans="19:21">
      <c r="S114" s="29"/>
      <c r="T114" s="25"/>
      <c r="U114" s="25"/>
    </row>
    <row r="115" spans="19:21">
      <c r="S115" s="29"/>
      <c r="T115" s="25"/>
      <c r="U115" s="25"/>
    </row>
    <row r="116" spans="19:21">
      <c r="S116" s="29"/>
      <c r="T116" s="25"/>
      <c r="U116" s="25"/>
    </row>
    <row r="117" spans="19:21">
      <c r="S117" s="29"/>
      <c r="T117" s="25"/>
      <c r="U117" s="25"/>
    </row>
    <row r="118" spans="19:21">
      <c r="S118" s="29"/>
      <c r="T118" s="25"/>
      <c r="U118" s="25"/>
    </row>
    <row r="119" spans="19:21">
      <c r="S119" s="25"/>
      <c r="T119" s="25"/>
      <c r="U119" s="25"/>
    </row>
    <row r="120" spans="19:21">
      <c r="S120" s="25"/>
      <c r="T120" s="25"/>
      <c r="U120" s="25"/>
    </row>
    <row r="121" spans="19:21">
      <c r="S121" s="25"/>
      <c r="T121" s="25"/>
      <c r="U121" s="25"/>
    </row>
    <row r="122" spans="19:21">
      <c r="S122" s="25"/>
      <c r="T122" s="25"/>
      <c r="U122" s="25"/>
    </row>
    <row r="123" spans="19:21">
      <c r="S123" s="25"/>
      <c r="T123" s="25"/>
      <c r="U123" s="25"/>
    </row>
  </sheetData>
  <mergeCells count="3">
    <mergeCell ref="A5:C5"/>
    <mergeCell ref="E50:G50"/>
    <mergeCell ref="E51:G51"/>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39997558519241921"/>
  </sheetPr>
  <dimension ref="A1:V826"/>
  <sheetViews>
    <sheetView showGridLines="0" zoomScaleNormal="100" workbookViewId="0">
      <selection activeCell="W48" sqref="W48"/>
    </sheetView>
  </sheetViews>
  <sheetFormatPr defaultRowHeight="15"/>
  <cols>
    <col min="1" max="1" width="9.140625" style="128" customWidth="1"/>
    <col min="2" max="2" width="13.140625" style="128" bestFit="1" customWidth="1"/>
    <col min="3" max="3" width="15.7109375" style="128" customWidth="1"/>
    <col min="4" max="4" width="6.140625" style="85" hidden="1" customWidth="1"/>
    <col min="5" max="5" width="5.5703125" style="85" hidden="1" customWidth="1"/>
    <col min="6" max="6" width="11.5703125" style="130" customWidth="1"/>
    <col min="7" max="7" width="9.140625" style="128"/>
    <col min="8" max="8" width="11.140625" style="128" bestFit="1" customWidth="1"/>
    <col min="9" max="15" width="9.140625" style="128"/>
    <col min="16" max="16" width="0" style="128" hidden="1" customWidth="1"/>
    <col min="17" max="17" width="3.28515625" style="128" customWidth="1"/>
    <col min="18" max="18" width="12.85546875" style="128" customWidth="1"/>
    <col min="19" max="19" width="15.140625" style="128" customWidth="1"/>
    <col min="20" max="20" width="16" style="128" bestFit="1" customWidth="1"/>
    <col min="21" max="16384" width="9.140625" style="128"/>
  </cols>
  <sheetData>
    <row r="1" spans="1:20">
      <c r="A1" s="140" t="s">
        <v>369</v>
      </c>
    </row>
    <row r="2" spans="1:20">
      <c r="A2" s="140" t="s">
        <v>382</v>
      </c>
    </row>
    <row r="5" spans="1:20">
      <c r="A5" s="1992" t="s">
        <v>3</v>
      </c>
      <c r="B5" s="1992"/>
      <c r="C5" s="1992"/>
      <c r="D5" s="335"/>
      <c r="E5" s="335"/>
      <c r="F5" s="372"/>
    </row>
    <row r="6" spans="1:20" ht="15.75" thickBot="1">
      <c r="A6" s="2009" t="s">
        <v>744</v>
      </c>
      <c r="B6" s="2009"/>
      <c r="C6" s="2009"/>
      <c r="D6" s="334"/>
      <c r="E6" s="334"/>
      <c r="F6" s="371"/>
    </row>
    <row r="7" spans="1:20">
      <c r="A7" s="1398" t="s">
        <v>6</v>
      </c>
      <c r="B7" s="1402" t="s">
        <v>47</v>
      </c>
      <c r="C7" s="1403" t="s">
        <v>635</v>
      </c>
      <c r="D7" s="94"/>
      <c r="E7" s="94"/>
      <c r="F7" s="94"/>
      <c r="R7" s="1981" t="s">
        <v>751</v>
      </c>
      <c r="S7" s="1981"/>
      <c r="T7" s="1981"/>
    </row>
    <row r="8" spans="1:20" ht="15.75" thickBot="1">
      <c r="A8" s="595">
        <v>36220</v>
      </c>
      <c r="B8" s="706">
        <v>17.222999999999999</v>
      </c>
      <c r="C8" s="705">
        <v>119.60600000000001</v>
      </c>
      <c r="D8" s="97">
        <f>YEAR(A8)</f>
        <v>1999</v>
      </c>
      <c r="E8" s="97" t="str">
        <f>IF(MONTH(A8)=3,"1",IF(MONTH(A8)=6,"2",IF(MONTH(A8)=9,"3","4")))</f>
        <v>1</v>
      </c>
      <c r="F8" s="98"/>
      <c r="R8" s="1993" t="s">
        <v>43</v>
      </c>
      <c r="S8" s="1993"/>
      <c r="T8" s="1993"/>
    </row>
    <row r="9" spans="1:20">
      <c r="A9" s="595">
        <v>36312</v>
      </c>
      <c r="B9" s="1001">
        <v>34.822000000000003</v>
      </c>
      <c r="C9" s="1002">
        <v>271.36399999999998</v>
      </c>
      <c r="D9" s="97">
        <f t="shared" ref="D9:D72" si="0">YEAR(A9)</f>
        <v>1999</v>
      </c>
      <c r="E9" s="97" t="str">
        <f t="shared" ref="E9:E72" si="1">IF(MONTH(A9)=3,"1",IF(MONTH(A9)=6,"2",IF(MONTH(A9)=9,"3","4")))</f>
        <v>2</v>
      </c>
      <c r="F9" s="98"/>
      <c r="R9" s="1399" t="s">
        <v>6</v>
      </c>
      <c r="S9" s="1404" t="str">
        <f>B7</f>
        <v>Quantity (Kt)</v>
      </c>
      <c r="T9" s="1405" t="str">
        <f>C7</f>
        <v>Value ($ Million)</v>
      </c>
    </row>
    <row r="10" spans="1:20">
      <c r="A10" s="595">
        <v>36404</v>
      </c>
      <c r="B10" s="706">
        <v>34.843999999999994</v>
      </c>
      <c r="C10" s="705">
        <v>295.02716299999997</v>
      </c>
      <c r="D10" s="97">
        <f t="shared" si="0"/>
        <v>1999</v>
      </c>
      <c r="E10" s="97" t="str">
        <f t="shared" si="1"/>
        <v>3</v>
      </c>
      <c r="F10" s="98"/>
      <c r="R10" s="595">
        <f>LARGE(A$8:A$750,10)</f>
        <v>43525</v>
      </c>
      <c r="S10" s="1004">
        <f t="shared" ref="S10:S19" si="2">SUMIF($A$8:$A$738,$R10,B$8:B$750)</f>
        <v>37.137700000000002</v>
      </c>
      <c r="T10" s="806">
        <f t="shared" ref="T10:T19" si="3">SUMIF($A$8:$A$738,$R10,C$8:C$750)</f>
        <v>651.67899599999998</v>
      </c>
    </row>
    <row r="11" spans="1:20">
      <c r="A11" s="595">
        <v>36495</v>
      </c>
      <c r="B11" s="1001">
        <v>35.907000000000004</v>
      </c>
      <c r="C11" s="1002">
        <v>410.636033</v>
      </c>
      <c r="D11" s="97">
        <f t="shared" si="0"/>
        <v>1999</v>
      </c>
      <c r="E11" s="97" t="str">
        <f t="shared" si="1"/>
        <v>4</v>
      </c>
      <c r="F11" s="98"/>
      <c r="R11" s="595">
        <f>LARGE(A$8:A$750,9)</f>
        <v>43617</v>
      </c>
      <c r="S11" s="1005">
        <f t="shared" si="2"/>
        <v>44.435909999999993</v>
      </c>
      <c r="T11" s="1006">
        <f t="shared" si="3"/>
        <v>816.82622500000002</v>
      </c>
    </row>
    <row r="12" spans="1:20">
      <c r="A12" s="595">
        <v>36586</v>
      </c>
      <c r="B12" s="706">
        <v>38.5</v>
      </c>
      <c r="C12" s="705">
        <v>528.45242100000007</v>
      </c>
      <c r="D12" s="97">
        <f t="shared" si="0"/>
        <v>2000</v>
      </c>
      <c r="E12" s="97" t="str">
        <f t="shared" si="1"/>
        <v>1</v>
      </c>
      <c r="F12" s="98"/>
      <c r="R12" s="595">
        <f>LARGE(A$8:A$750,8)</f>
        <v>43709</v>
      </c>
      <c r="S12" s="1004">
        <f t="shared" si="2"/>
        <v>40.476959999999998</v>
      </c>
      <c r="T12" s="806">
        <f t="shared" si="3"/>
        <v>939.78325900000004</v>
      </c>
    </row>
    <row r="13" spans="1:20">
      <c r="A13" s="595">
        <v>36678</v>
      </c>
      <c r="B13" s="1001">
        <v>34.683</v>
      </c>
      <c r="C13" s="1002">
        <v>572.169444</v>
      </c>
      <c r="D13" s="97">
        <f t="shared" si="0"/>
        <v>2000</v>
      </c>
      <c r="E13" s="97" t="str">
        <f t="shared" si="1"/>
        <v>2</v>
      </c>
      <c r="F13" s="98"/>
      <c r="R13" s="595">
        <f>LARGE(A$8:A$750,7)</f>
        <v>43800</v>
      </c>
      <c r="S13" s="1005">
        <f t="shared" si="2"/>
        <v>31.451700000000002</v>
      </c>
      <c r="T13" s="1006">
        <f t="shared" si="3"/>
        <v>673.81553699999995</v>
      </c>
    </row>
    <row r="14" spans="1:20">
      <c r="A14" s="595">
        <v>36770</v>
      </c>
      <c r="B14" s="706">
        <v>38.913999999999994</v>
      </c>
      <c r="C14" s="705">
        <v>552.074479</v>
      </c>
      <c r="D14" s="97">
        <f t="shared" si="0"/>
        <v>2000</v>
      </c>
      <c r="E14" s="97" t="str">
        <f t="shared" si="1"/>
        <v>3</v>
      </c>
      <c r="F14" s="98"/>
      <c r="R14" s="595">
        <f>LARGE(A$8:A$750,6)</f>
        <v>43891</v>
      </c>
      <c r="S14" s="1004">
        <f t="shared" si="2"/>
        <v>37.243670999999999</v>
      </c>
      <c r="T14" s="806">
        <f t="shared" si="3"/>
        <v>700.63279</v>
      </c>
    </row>
    <row r="15" spans="1:20">
      <c r="A15" s="595">
        <v>36861</v>
      </c>
      <c r="B15" s="1001">
        <v>41.976999999999997</v>
      </c>
      <c r="C15" s="1002">
        <v>598.97182499999997</v>
      </c>
      <c r="D15" s="97">
        <f t="shared" si="0"/>
        <v>2000</v>
      </c>
      <c r="E15" s="97" t="str">
        <f t="shared" si="1"/>
        <v>4</v>
      </c>
      <c r="F15" s="98"/>
      <c r="R15" s="595">
        <f>LARGE(A$8:A$750,5)</f>
        <v>43983</v>
      </c>
      <c r="S15" s="1005">
        <f t="shared" si="2"/>
        <v>44.247573000000003</v>
      </c>
      <c r="T15" s="1006">
        <f t="shared" si="3"/>
        <v>853.26119400000005</v>
      </c>
    </row>
    <row r="16" spans="1:20">
      <c r="A16" s="595">
        <v>36951</v>
      </c>
      <c r="B16" s="706">
        <v>43.210999999999999</v>
      </c>
      <c r="C16" s="705">
        <v>556.122838</v>
      </c>
      <c r="D16" s="97">
        <f t="shared" si="0"/>
        <v>2001</v>
      </c>
      <c r="E16" s="97" t="str">
        <f t="shared" si="1"/>
        <v>1</v>
      </c>
      <c r="F16" s="98"/>
      <c r="R16" s="595">
        <f>LARGE(A$8:A$750,4)</f>
        <v>44075</v>
      </c>
      <c r="S16" s="1004">
        <f t="shared" si="2"/>
        <v>42.711550000000003</v>
      </c>
      <c r="T16" s="806">
        <f t="shared" si="3"/>
        <v>868.05630599999995</v>
      </c>
    </row>
    <row r="17" spans="1:20">
      <c r="A17" s="595">
        <v>37043</v>
      </c>
      <c r="B17" s="1001">
        <v>43.347999999999999</v>
      </c>
      <c r="C17" s="1002">
        <v>531.56001000000003</v>
      </c>
      <c r="D17" s="97">
        <f t="shared" si="0"/>
        <v>2001</v>
      </c>
      <c r="E17" s="97" t="str">
        <f t="shared" si="1"/>
        <v>2</v>
      </c>
      <c r="F17" s="98"/>
      <c r="R17" s="595">
        <f>LARGE(A$8:A$750,3)</f>
        <v>44166</v>
      </c>
      <c r="S17" s="1005">
        <f t="shared" si="2"/>
        <v>41.301884000000001</v>
      </c>
      <c r="T17" s="1006">
        <f t="shared" si="3"/>
        <v>926.303404</v>
      </c>
    </row>
    <row r="18" spans="1:20">
      <c r="A18" s="595">
        <v>37135</v>
      </c>
      <c r="B18" s="706">
        <v>47.738</v>
      </c>
      <c r="C18" s="705">
        <v>532.50429900000006</v>
      </c>
      <c r="D18" s="97">
        <f t="shared" si="0"/>
        <v>2001</v>
      </c>
      <c r="E18" s="97" t="str">
        <f t="shared" si="1"/>
        <v>3</v>
      </c>
      <c r="F18" s="98"/>
      <c r="R18" s="595">
        <f>LARGE(A$8:A$750,2)</f>
        <v>44256</v>
      </c>
      <c r="S18" s="1004">
        <f t="shared" si="2"/>
        <v>34.714064</v>
      </c>
      <c r="T18" s="806">
        <f t="shared" si="3"/>
        <v>782.97267299999999</v>
      </c>
    </row>
    <row r="19" spans="1:20" ht="15.75" thickBot="1">
      <c r="A19" s="595">
        <v>37226</v>
      </c>
      <c r="B19" s="1001">
        <v>46.872</v>
      </c>
      <c r="C19" s="1002">
        <v>454.29322500000001</v>
      </c>
      <c r="D19" s="97">
        <f t="shared" si="0"/>
        <v>2001</v>
      </c>
      <c r="E19" s="97" t="str">
        <f t="shared" si="1"/>
        <v>4</v>
      </c>
      <c r="F19" s="98"/>
      <c r="R19" s="595">
        <f>LARGE(A$8:A$750,1)</f>
        <v>44348</v>
      </c>
      <c r="S19" s="1638">
        <f t="shared" si="2"/>
        <v>39.982528999999992</v>
      </c>
      <c r="T19" s="1625">
        <f t="shared" si="3"/>
        <v>903.26995599999998</v>
      </c>
    </row>
    <row r="20" spans="1:20">
      <c r="A20" s="595">
        <v>37316</v>
      </c>
      <c r="B20" s="706">
        <v>41.893000000000001</v>
      </c>
      <c r="C20" s="705">
        <v>471.177167</v>
      </c>
      <c r="D20" s="97">
        <f t="shared" si="0"/>
        <v>2002</v>
      </c>
      <c r="E20" s="97" t="str">
        <f t="shared" si="1"/>
        <v>1</v>
      </c>
      <c r="F20" s="98"/>
      <c r="R20" s="336"/>
    </row>
    <row r="21" spans="1:20">
      <c r="A21" s="595">
        <v>37408</v>
      </c>
      <c r="B21" s="1001">
        <v>42.975000000000001</v>
      </c>
      <c r="C21" s="1002">
        <v>534.85670400000004</v>
      </c>
      <c r="D21" s="97">
        <f t="shared" si="0"/>
        <v>2002</v>
      </c>
      <c r="E21" s="97" t="str">
        <f t="shared" si="1"/>
        <v>2</v>
      </c>
      <c r="F21" s="98"/>
      <c r="R21" s="336"/>
    </row>
    <row r="22" spans="1:20">
      <c r="A22" s="595">
        <v>37500</v>
      </c>
      <c r="B22" s="706">
        <v>53.133000000000003</v>
      </c>
      <c r="C22" s="705">
        <v>666.64412799999991</v>
      </c>
      <c r="D22" s="97">
        <f t="shared" si="0"/>
        <v>2002</v>
      </c>
      <c r="E22" s="97" t="str">
        <f t="shared" si="1"/>
        <v>3</v>
      </c>
      <c r="F22" s="98"/>
      <c r="R22" s="336"/>
    </row>
    <row r="23" spans="1:20">
      <c r="A23" s="595">
        <v>37591</v>
      </c>
      <c r="B23" s="1001">
        <v>45.000999999999998</v>
      </c>
      <c r="C23" s="1002">
        <v>569.058988</v>
      </c>
      <c r="D23" s="97">
        <f t="shared" si="0"/>
        <v>2002</v>
      </c>
      <c r="E23" s="97" t="str">
        <f t="shared" si="1"/>
        <v>4</v>
      </c>
      <c r="F23" s="98"/>
      <c r="R23" s="336"/>
    </row>
    <row r="24" spans="1:20">
      <c r="A24" s="595">
        <v>37681</v>
      </c>
      <c r="B24" s="706">
        <v>45.094999999999999</v>
      </c>
      <c r="C24" s="705">
        <v>605.23837300000002</v>
      </c>
      <c r="D24" s="97">
        <f t="shared" si="0"/>
        <v>2003</v>
      </c>
      <c r="E24" s="97" t="str">
        <f t="shared" si="1"/>
        <v>1</v>
      </c>
      <c r="F24" s="98"/>
      <c r="R24" s="336"/>
    </row>
    <row r="25" spans="1:20" ht="15.75" thickBot="1">
      <c r="A25" s="595">
        <v>37773</v>
      </c>
      <c r="B25" s="1001">
        <v>48.561999999999998</v>
      </c>
      <c r="C25" s="1002">
        <v>616.64654700000006</v>
      </c>
      <c r="D25" s="97">
        <f t="shared" si="0"/>
        <v>2003</v>
      </c>
      <c r="E25" s="97" t="str">
        <f t="shared" si="1"/>
        <v>2</v>
      </c>
      <c r="F25" s="98"/>
    </row>
    <row r="26" spans="1:20" ht="15.75" thickBot="1">
      <c r="A26" s="595">
        <v>37865</v>
      </c>
      <c r="B26" s="706">
        <v>48.596999999999994</v>
      </c>
      <c r="C26" s="705">
        <v>682.53408300000001</v>
      </c>
      <c r="D26" s="97">
        <f t="shared" si="0"/>
        <v>2003</v>
      </c>
      <c r="E26" s="97" t="str">
        <f t="shared" si="1"/>
        <v>3</v>
      </c>
      <c r="F26" s="98"/>
      <c r="G26" s="337"/>
      <c r="H26" s="338"/>
      <c r="I26" s="337"/>
      <c r="J26" s="337"/>
      <c r="R26" s="402" t="s">
        <v>383</v>
      </c>
      <c r="S26" s="2042" t="s">
        <v>382</v>
      </c>
      <c r="T26" s="2043"/>
    </row>
    <row r="27" spans="1:20" ht="15.75" thickBot="1">
      <c r="A27" s="595">
        <v>37956</v>
      </c>
      <c r="B27" s="1001">
        <v>47.955999999999996</v>
      </c>
      <c r="C27" s="1002">
        <v>775.82492999999999</v>
      </c>
      <c r="D27" s="97">
        <f t="shared" si="0"/>
        <v>2003</v>
      </c>
      <c r="E27" s="97" t="str">
        <f t="shared" si="1"/>
        <v>4</v>
      </c>
      <c r="F27" s="98"/>
      <c r="G27" s="337"/>
      <c r="H27" s="338"/>
      <c r="I27" s="337"/>
      <c r="J27" s="337"/>
      <c r="R27" s="1975" t="str">
        <f>CONCATENATE(A5," Quantity And Value By Year")</f>
        <v>Nickel Quantity And Value By Year</v>
      </c>
      <c r="S27" s="1976"/>
      <c r="T27" s="1977"/>
    </row>
    <row r="28" spans="1:20" ht="15.75" thickBot="1">
      <c r="A28" s="595">
        <v>38047</v>
      </c>
      <c r="B28" s="706">
        <v>40.414000000000001</v>
      </c>
      <c r="C28" s="705">
        <v>756.27366199999994</v>
      </c>
      <c r="D28" s="97">
        <f t="shared" si="0"/>
        <v>2004</v>
      </c>
      <c r="E28" s="97" t="str">
        <f t="shared" si="1"/>
        <v>1</v>
      </c>
      <c r="F28" s="98"/>
      <c r="G28" s="337"/>
      <c r="H28" s="338"/>
      <c r="I28" s="337"/>
      <c r="J28" s="337"/>
      <c r="R28" s="1401" t="s">
        <v>41</v>
      </c>
      <c r="S28" s="1007" t="str">
        <f>B7</f>
        <v>Quantity (Kt)</v>
      </c>
      <c r="T28" s="1008" t="str">
        <f>C7</f>
        <v>Value ($ Million)</v>
      </c>
    </row>
    <row r="29" spans="1:20">
      <c r="A29" s="595">
        <v>38139</v>
      </c>
      <c r="B29" s="1001">
        <v>45.637999999999998</v>
      </c>
      <c r="C29" s="1002">
        <v>821.30489499999999</v>
      </c>
      <c r="D29" s="97">
        <f t="shared" si="0"/>
        <v>2004</v>
      </c>
      <c r="E29" s="97" t="str">
        <f t="shared" si="1"/>
        <v>2</v>
      </c>
      <c r="F29" s="98"/>
      <c r="G29" s="337"/>
      <c r="H29" s="338"/>
      <c r="I29" s="337"/>
      <c r="J29" s="337"/>
      <c r="R29" s="1349" t="str">
        <f>IF($S$26="Calendar Year",YEAR(MIN($A$8:$A$200)),CONCATENATE(YEAR(MIN($A$8:$A$200)),"-",((YEAR(MIN($A$8:$A$200))+1))))</f>
        <v>1999-2000</v>
      </c>
      <c r="S29" s="746">
        <f>IF($S$26="Calendar Year",SUMIF($D$8:$D$200,$R29,$B$8:$B$200),SUMIFS($B$8:$B$200,$D$8:$D$200,LEFT($R29,4),$E$8:$E$200,3)+SUMIFS($B$8:$B$200,$D$8:$D$200,LEFT($R29,4),$E$8:$E$200,4)+SUMIFS($B$8:$B$200,$D$8:$D$200,LEFT($R29,4)+1,$E$8:$E$200,1)+SUMIFS($B$8:$B$200,$D$8:$D$200,LEFT($R29,4)+1,$E$8:$E$200,2))</f>
        <v>143.934</v>
      </c>
      <c r="T29" s="752">
        <f>IF($S$26="Calendar Year",SUMIF($D$8:$D$200,$R29,$C$8:$C$200),SUMIFS($C$8:$C$200,$D$8:$D$200,LEFT($R29,4),$E$8:$E$200,3)+SUMIFS($C$8:$C$200,$D$8:$D$200,LEFT($R29,4),$E$8:$E$200,4)+SUMIFS($C$8:$C$200,$D$8:$D$200,LEFT($R29,4)+1,$E$8:$E$200,1)+SUMIFS($C$8:$C$200,$D$8:$D$200,LEFT($R29,4)+1,$E$8:$E$200,2))</f>
        <v>1806.285061</v>
      </c>
    </row>
    <row r="30" spans="1:20">
      <c r="A30" s="595">
        <v>38231</v>
      </c>
      <c r="B30" s="706">
        <v>42.868000000000002</v>
      </c>
      <c r="C30" s="705">
        <v>843.74164199999996</v>
      </c>
      <c r="D30" s="97">
        <f t="shared" si="0"/>
        <v>2004</v>
      </c>
      <c r="E30" s="97" t="str">
        <f t="shared" si="1"/>
        <v>3</v>
      </c>
      <c r="F30" s="98"/>
      <c r="G30" s="337"/>
      <c r="H30" s="338"/>
      <c r="I30" s="337"/>
      <c r="J30" s="337"/>
      <c r="R30" s="1349" t="str">
        <f>IFERROR(IF(YEAR(MAX('Commodity Prices'!$C$9:$C4984))=VALUE(RIGHT(R29,4)),"",IF($S$26="Calendar Year",R29+1,CONCATENATE(LEFT(R29,4)+1,"-",RIGHT(R29,4)+1))),"")</f>
        <v>2000-2001</v>
      </c>
      <c r="S30" s="1009">
        <f t="shared" ref="S30:S54" si="4">IF(R30="","",IF($S$26="Calendar Year",SUMIF($D$8:$D$200,$R30,$B$8:$B$200),SUMIFS($B$8:$B$200,$D$8:$D$200,LEFT($R30,4),$E$8:$E$200,3)+SUMIFS($B$8:$B$200,$D$8:$D$200,LEFT($R30,4),$E$8:$E$200,4)+SUMIFS($B$8:$B$200,$D$8:$D$200,LEFT($R30,4)+1,$E$8:$E$200,1)+SUMIFS($B$8:$B$200,$D$8:$D$200,LEFT($R30,4)+1,$E$8:$E$200,2)))</f>
        <v>167.45</v>
      </c>
      <c r="T30" s="1929">
        <f t="shared" ref="T30:T54" si="5">IF(R30="","",IF($S$26="Calendar Year",SUMIF($D$8:$D$200,$R30,$C$8:$C$200),SUMIFS($C$8:$C$200,$D$8:$D$200,LEFT($R30,4),$E$8:$E$200,3)+SUMIFS($C$8:$C$200,$D$8:$D$200,LEFT($R30,4),$E$8:$E$200,4)+SUMIFS($C$8:$C$200,$D$8:$D$200,LEFT($R30,4)+1,$E$8:$E$200,1)+SUMIFS($C$8:$C$200,$D$8:$D$200,LEFT($R30,4)+1,$E$8:$E$200,2)))</f>
        <v>2238.7291519999999</v>
      </c>
    </row>
    <row r="31" spans="1:20">
      <c r="A31" s="595">
        <v>38322</v>
      </c>
      <c r="B31" s="1001">
        <v>45.780999999999999</v>
      </c>
      <c r="C31" s="1002">
        <v>848.88762299999996</v>
      </c>
      <c r="D31" s="97">
        <f t="shared" si="0"/>
        <v>2004</v>
      </c>
      <c r="E31" s="97" t="str">
        <f t="shared" si="1"/>
        <v>4</v>
      </c>
      <c r="F31" s="98"/>
      <c r="G31" s="337"/>
      <c r="H31" s="338"/>
      <c r="I31" s="337"/>
      <c r="J31" s="337"/>
      <c r="R31" s="1349" t="str">
        <f>IFERROR(IF(YEAR(MAX('Commodity Prices'!$C$9:$C4985))=VALUE(RIGHT(R30,4)),"",IF($S$26="Calendar Year",R30+1,CONCATENATE(LEFT(R30,4)+1,"-",RIGHT(R30,4)+1))),"")</f>
        <v>2001-2002</v>
      </c>
      <c r="S31" s="747">
        <f t="shared" si="4"/>
        <v>179.47799999999998</v>
      </c>
      <c r="T31" s="754">
        <f t="shared" si="5"/>
        <v>1992.8313950000002</v>
      </c>
    </row>
    <row r="32" spans="1:20">
      <c r="A32" s="595">
        <v>38412</v>
      </c>
      <c r="B32" s="706">
        <v>49.765999999999998</v>
      </c>
      <c r="C32" s="705">
        <v>951.74659999999994</v>
      </c>
      <c r="D32" s="97">
        <f t="shared" si="0"/>
        <v>2005</v>
      </c>
      <c r="E32" s="97" t="str">
        <f t="shared" si="1"/>
        <v>1</v>
      </c>
      <c r="F32" s="98"/>
      <c r="G32" s="337"/>
      <c r="H32" s="338"/>
      <c r="I32" s="337"/>
      <c r="J32" s="337"/>
      <c r="R32" s="1349" t="str">
        <f>IFERROR(IF(YEAR(MAX('Commodity Prices'!$C$9:$C4986))=VALUE(RIGHT(R31,4)),"",IF($S$26="Calendar Year",R31+1,CONCATENATE(LEFT(R31,4)+1,"-",RIGHT(R31,4)+1))),"")</f>
        <v>2002-2003</v>
      </c>
      <c r="S32" s="1009">
        <f t="shared" si="4"/>
        <v>191.791</v>
      </c>
      <c r="T32" s="1929">
        <f t="shared" si="5"/>
        <v>2457.5880360000001</v>
      </c>
    </row>
    <row r="33" spans="1:22">
      <c r="A33" s="595">
        <v>38504</v>
      </c>
      <c r="B33" s="1001">
        <v>41.970999999999997</v>
      </c>
      <c r="C33" s="1002">
        <v>857.09074399999997</v>
      </c>
      <c r="D33" s="97">
        <f t="shared" si="0"/>
        <v>2005</v>
      </c>
      <c r="E33" s="97" t="str">
        <f t="shared" si="1"/>
        <v>2</v>
      </c>
      <c r="F33" s="98"/>
      <c r="G33" s="337"/>
      <c r="H33" s="338"/>
      <c r="I33" s="337"/>
      <c r="J33" s="337"/>
      <c r="R33" s="1349" t="str">
        <f>IFERROR(IF(YEAR(MAX('Commodity Prices'!$C$9:$C4987))=VALUE(RIGHT(R32,4)),"",IF($S$26="Calendar Year",R32+1,CONCATENATE(LEFT(R32,4)+1,"-",RIGHT(R32,4)+1))),"")</f>
        <v>2003-2004</v>
      </c>
      <c r="S33" s="747">
        <f t="shared" si="4"/>
        <v>182.60499999999999</v>
      </c>
      <c r="T33" s="754">
        <f t="shared" si="5"/>
        <v>3035.9375700000001</v>
      </c>
    </row>
    <row r="34" spans="1:22">
      <c r="A34" s="595">
        <v>38596</v>
      </c>
      <c r="B34" s="706">
        <v>42.753999999999998</v>
      </c>
      <c r="C34" s="705">
        <v>711.73360100000002</v>
      </c>
      <c r="D34" s="97">
        <f t="shared" si="0"/>
        <v>2005</v>
      </c>
      <c r="E34" s="97" t="str">
        <f t="shared" si="1"/>
        <v>3</v>
      </c>
      <c r="F34" s="98"/>
      <c r="G34" s="337"/>
      <c r="H34" s="338"/>
      <c r="I34" s="337"/>
      <c r="J34" s="337"/>
      <c r="R34" s="1349" t="str">
        <f>IFERROR(IF(YEAR(MAX('Commodity Prices'!$C$9:$C4988))=VALUE(RIGHT(R33,4)),"",IF($S$26="Calendar Year",R33+1,CONCATENATE(LEFT(R33,4)+1,"-",RIGHT(R33,4)+1))),"")</f>
        <v>2004-2005</v>
      </c>
      <c r="S34" s="1009">
        <f t="shared" si="4"/>
        <v>180.386</v>
      </c>
      <c r="T34" s="1929">
        <f t="shared" si="5"/>
        <v>3501.4666090000001</v>
      </c>
    </row>
    <row r="35" spans="1:22">
      <c r="A35" s="595">
        <v>38687</v>
      </c>
      <c r="B35" s="1001">
        <v>53.871000000000002</v>
      </c>
      <c r="C35" s="1002">
        <v>970.16752499999996</v>
      </c>
      <c r="D35" s="97">
        <f t="shared" si="0"/>
        <v>2005</v>
      </c>
      <c r="E35" s="97" t="str">
        <f t="shared" si="1"/>
        <v>4</v>
      </c>
      <c r="F35" s="98"/>
      <c r="G35" s="337"/>
      <c r="H35" s="338"/>
      <c r="I35" s="337"/>
      <c r="J35" s="337"/>
      <c r="R35" s="1349" t="str">
        <f>IFERROR(IF(YEAR(MAX('Commodity Prices'!$C$9:$C4989))=VALUE(RIGHT(R34,4)),"",IF($S$26="Calendar Year",R34+1,CONCATENATE(LEFT(R34,4)+1,"-",RIGHT(R34,4)+1))),"")</f>
        <v>2005-2006</v>
      </c>
      <c r="S35" s="747">
        <f t="shared" si="4"/>
        <v>183.572</v>
      </c>
      <c r="T35" s="754">
        <f t="shared" si="5"/>
        <v>3811.4520050000001</v>
      </c>
    </row>
    <row r="36" spans="1:22">
      <c r="A36" s="595">
        <v>38777</v>
      </c>
      <c r="B36" s="706">
        <v>42.780999999999999</v>
      </c>
      <c r="C36" s="705">
        <v>871.43034999999998</v>
      </c>
      <c r="D36" s="97">
        <f t="shared" si="0"/>
        <v>2006</v>
      </c>
      <c r="E36" s="97" t="str">
        <f t="shared" si="1"/>
        <v>1</v>
      </c>
      <c r="F36" s="98"/>
      <c r="G36" s="337"/>
      <c r="H36" s="338"/>
      <c r="I36" s="337"/>
      <c r="J36" s="337"/>
      <c r="R36" s="1349" t="str">
        <f>IFERROR(IF(YEAR(MAX('Commodity Prices'!$C$9:$C4990))=VALUE(RIGHT(R35,4)),"",IF($S$26="Calendar Year",R35+1,CONCATENATE(LEFT(R35,4)+1,"-",RIGHT(R35,4)+1))),"")</f>
        <v>2006-2007</v>
      </c>
      <c r="S36" s="1009">
        <f t="shared" si="4"/>
        <v>173.56899999999999</v>
      </c>
      <c r="T36" s="1929">
        <f t="shared" si="5"/>
        <v>8059.3791710000005</v>
      </c>
    </row>
    <row r="37" spans="1:22">
      <c r="A37" s="595">
        <v>38869</v>
      </c>
      <c r="B37" s="1001">
        <v>44.165999999999997</v>
      </c>
      <c r="C37" s="1002">
        <v>1258.120529</v>
      </c>
      <c r="D37" s="97">
        <f t="shared" si="0"/>
        <v>2006</v>
      </c>
      <c r="E37" s="97" t="str">
        <f t="shared" si="1"/>
        <v>2</v>
      </c>
      <c r="F37" s="98"/>
      <c r="G37" s="337"/>
      <c r="H37" s="338"/>
      <c r="I37" s="337"/>
      <c r="J37" s="337"/>
      <c r="R37" s="1349" t="str">
        <f>IFERROR(IF(YEAR(MAX('Commodity Prices'!$C$9:$C4991))=VALUE(RIGHT(R36,4)),"",IF($S$26="Calendar Year",R36+1,CONCATENATE(LEFT(R36,4)+1,"-",RIGHT(R36,4)+1))),"")</f>
        <v>2007-2008</v>
      </c>
      <c r="S37" s="747">
        <f t="shared" si="4"/>
        <v>172.80099999999999</v>
      </c>
      <c r="T37" s="754">
        <f t="shared" si="5"/>
        <v>5143.6047390000003</v>
      </c>
    </row>
    <row r="38" spans="1:22">
      <c r="A38" s="595">
        <v>38961</v>
      </c>
      <c r="B38" s="706">
        <v>39.345999999999997</v>
      </c>
      <c r="C38" s="705">
        <v>1474.038761</v>
      </c>
      <c r="D38" s="97">
        <f t="shared" si="0"/>
        <v>2006</v>
      </c>
      <c r="E38" s="97" t="str">
        <f t="shared" si="1"/>
        <v>3</v>
      </c>
      <c r="F38" s="98"/>
      <c r="G38" s="337"/>
      <c r="H38" s="338"/>
      <c r="I38" s="337"/>
      <c r="J38" s="337"/>
      <c r="R38" s="1349" t="str">
        <f>IFERROR(IF(YEAR(MAX('Commodity Prices'!$C$9:$C4992))=VALUE(RIGHT(R37,4)),"",IF($S$26="Calendar Year",R37+1,CONCATENATE(LEFT(R37,4)+1,"-",RIGHT(R37,4)+1))),"")</f>
        <v>2008-2009</v>
      </c>
      <c r="S38" s="1009">
        <f t="shared" si="4"/>
        <v>178.36500000000001</v>
      </c>
      <c r="T38" s="1929">
        <f t="shared" si="5"/>
        <v>2996.9087939999999</v>
      </c>
    </row>
    <row r="39" spans="1:22">
      <c r="A39" s="595">
        <v>39052</v>
      </c>
      <c r="B39" s="1001">
        <v>48.793999999999997</v>
      </c>
      <c r="C39" s="1002">
        <v>2240.5837919999999</v>
      </c>
      <c r="D39" s="97">
        <f t="shared" si="0"/>
        <v>2006</v>
      </c>
      <c r="E39" s="97" t="str">
        <f t="shared" si="1"/>
        <v>4</v>
      </c>
      <c r="F39" s="98"/>
      <c r="G39" s="337"/>
      <c r="H39" s="338"/>
      <c r="I39" s="337"/>
      <c r="J39" s="337"/>
      <c r="R39" s="1349" t="str">
        <f>IFERROR(IF(YEAR(MAX('Commodity Prices'!$C$9:$C4993))=VALUE(RIGHT(R38,4)),"",IF($S$26="Calendar Year",R38+1,CONCATENATE(LEFT(R38,4)+1,"-",RIGHT(R38,4)+1))),"")</f>
        <v>2009-2010</v>
      </c>
      <c r="S39" s="747">
        <f t="shared" si="4"/>
        <v>180.15199999999999</v>
      </c>
      <c r="T39" s="754">
        <f t="shared" si="5"/>
        <v>3976.7715289999996</v>
      </c>
    </row>
    <row r="40" spans="1:22">
      <c r="A40" s="595">
        <v>39142</v>
      </c>
      <c r="B40" s="706">
        <v>43.481000000000002</v>
      </c>
      <c r="C40" s="705">
        <v>2182.6945040000001</v>
      </c>
      <c r="D40" s="97">
        <f t="shared" si="0"/>
        <v>2007</v>
      </c>
      <c r="E40" s="97" t="str">
        <f t="shared" si="1"/>
        <v>1</v>
      </c>
      <c r="F40" s="98"/>
      <c r="G40" s="337"/>
      <c r="H40" s="338"/>
      <c r="I40" s="337"/>
      <c r="J40" s="337"/>
      <c r="R40" s="1349" t="str">
        <f>IFERROR(IF(YEAR(MAX('Commodity Prices'!$C$9:$C4994))=VALUE(RIGHT(R39,4)),"",IF($S$26="Calendar Year",R39+1,CONCATENATE(LEFT(R39,4)+1,"-",RIGHT(R39,4)+1))),"")</f>
        <v>2010-2011</v>
      </c>
      <c r="S40" s="1009">
        <f t="shared" si="4"/>
        <v>194.17700000000002</v>
      </c>
      <c r="T40" s="1929">
        <f t="shared" si="5"/>
        <v>4686.1734669999996</v>
      </c>
    </row>
    <row r="41" spans="1:22">
      <c r="A41" s="595">
        <v>39234</v>
      </c>
      <c r="B41" s="1001">
        <v>41.948</v>
      </c>
      <c r="C41" s="1002">
        <v>2162.0621139999998</v>
      </c>
      <c r="D41" s="97">
        <f t="shared" si="0"/>
        <v>2007</v>
      </c>
      <c r="E41" s="97" t="str">
        <f t="shared" si="1"/>
        <v>2</v>
      </c>
      <c r="F41" s="98"/>
      <c r="G41" s="337"/>
      <c r="H41" s="338"/>
      <c r="I41" s="337"/>
      <c r="J41" s="337"/>
      <c r="R41" s="1349" t="str">
        <f>IFERROR(IF(YEAR(MAX('Commodity Prices'!$C$9:$C4995))=VALUE(RIGHT(R40,4)),"",IF($S$26="Calendar Year",R40+1,CONCATENATE(LEFT(R40,4)+1,"-",RIGHT(R40,4)+1))),"")</f>
        <v>2011-2012</v>
      </c>
      <c r="S41" s="747">
        <f t="shared" si="4"/>
        <v>209.36976440000001</v>
      </c>
      <c r="T41" s="754">
        <f t="shared" si="5"/>
        <v>3721.9643962300001</v>
      </c>
    </row>
    <row r="42" spans="1:22">
      <c r="A42" s="595">
        <v>39326</v>
      </c>
      <c r="B42" s="706">
        <v>37.274000000000001</v>
      </c>
      <c r="C42" s="705">
        <v>1284.4866919999999</v>
      </c>
      <c r="D42" s="97">
        <f t="shared" si="0"/>
        <v>2007</v>
      </c>
      <c r="E42" s="97" t="str">
        <f t="shared" si="1"/>
        <v>3</v>
      </c>
      <c r="F42" s="98"/>
      <c r="G42" s="337"/>
      <c r="H42" s="338"/>
      <c r="I42" s="337"/>
      <c r="J42" s="337"/>
      <c r="R42" s="1349" t="str">
        <f>IFERROR(IF(YEAR(MAX('Commodity Prices'!$C$9:$C4996))=VALUE(RIGHT(R41,4)),"",IF($S$26="Calendar Year",R41+1,CONCATENATE(LEFT(R41,4)+1,"-",RIGHT(R41,4)+1))),"")</f>
        <v>2012-2013</v>
      </c>
      <c r="S42" s="1009">
        <f t="shared" si="4"/>
        <v>227.4633359574091</v>
      </c>
      <c r="T42" s="1929">
        <f t="shared" si="5"/>
        <v>3511.7117623099998</v>
      </c>
    </row>
    <row r="43" spans="1:22">
      <c r="A43" s="595">
        <v>39417</v>
      </c>
      <c r="B43" s="1001">
        <v>39.789000000000001</v>
      </c>
      <c r="C43" s="1002">
        <v>1272.6130820000001</v>
      </c>
      <c r="D43" s="97">
        <f t="shared" si="0"/>
        <v>2007</v>
      </c>
      <c r="E43" s="97" t="str">
        <f t="shared" si="1"/>
        <v>4</v>
      </c>
      <c r="F43" s="98"/>
      <c r="G43" s="337"/>
      <c r="H43" s="338"/>
      <c r="I43" s="337"/>
      <c r="J43" s="337"/>
      <c r="R43" s="1349" t="str">
        <f>IFERROR(IF(YEAR(MAX('Commodity Prices'!$C$9:$C4997))=VALUE(RIGHT(R42,4)),"",IF($S$26="Calendar Year",R42+1,CONCATENATE(LEFT(R42,4)+1,"-",RIGHT(R42,4)+1))),"")</f>
        <v>2013-2014</v>
      </c>
      <c r="S43" s="747">
        <f t="shared" si="4"/>
        <v>232.67275800000002</v>
      </c>
      <c r="T43" s="754">
        <f t="shared" si="5"/>
        <v>3419.0231200000003</v>
      </c>
    </row>
    <row r="44" spans="1:22">
      <c r="A44" s="595">
        <v>39508</v>
      </c>
      <c r="B44" s="706">
        <v>47.405999999999999</v>
      </c>
      <c r="C44" s="705">
        <v>1400.58899</v>
      </c>
      <c r="D44" s="97">
        <f t="shared" si="0"/>
        <v>2008</v>
      </c>
      <c r="E44" s="97" t="str">
        <f t="shared" si="1"/>
        <v>1</v>
      </c>
      <c r="F44" s="98"/>
      <c r="G44" s="337"/>
      <c r="H44" s="338"/>
      <c r="I44" s="337"/>
      <c r="J44" s="337"/>
      <c r="R44" s="1349" t="str">
        <f>IFERROR(IF(YEAR(MAX('Commodity Prices'!$C$9:$C4998))=VALUE(RIGHT(R43,4)),"",IF($S$26="Calendar Year",R43+1,CONCATENATE(LEFT(R43,4)+1,"-",RIGHT(R43,4)+1))),"")</f>
        <v>2014-2015</v>
      </c>
      <c r="S44" s="1009">
        <f t="shared" si="4"/>
        <v>183.319952</v>
      </c>
      <c r="T44" s="1929">
        <f t="shared" si="5"/>
        <v>3169.6050009999999</v>
      </c>
      <c r="U44" s="373"/>
      <c r="V44" s="373"/>
    </row>
    <row r="45" spans="1:22">
      <c r="A45" s="595">
        <v>39600</v>
      </c>
      <c r="B45" s="1001">
        <v>48.332000000000001</v>
      </c>
      <c r="C45" s="1002">
        <v>1185.9159749999999</v>
      </c>
      <c r="D45" s="97">
        <f t="shared" si="0"/>
        <v>2008</v>
      </c>
      <c r="E45" s="97" t="str">
        <f t="shared" si="1"/>
        <v>2</v>
      </c>
      <c r="F45" s="98"/>
      <c r="G45" s="337"/>
      <c r="H45" s="338"/>
      <c r="I45" s="337"/>
      <c r="J45" s="337"/>
      <c r="R45" s="1349" t="str">
        <f>IFERROR(IF(YEAR(MAX('Commodity Prices'!$C$9:$C4999))=VALUE(RIGHT(R44,4)),"",IF($S$26="Calendar Year",R44+1,CONCATENATE(LEFT(R44,4)+1,"-",RIGHT(R44,4)+1))),"")</f>
        <v>2015-2016</v>
      </c>
      <c r="S45" s="747">
        <f t="shared" si="4"/>
        <v>175.75153100000003</v>
      </c>
      <c r="T45" s="754">
        <f t="shared" si="5"/>
        <v>2202.7344509999998</v>
      </c>
      <c r="U45" s="373"/>
      <c r="V45" s="373"/>
    </row>
    <row r="46" spans="1:22">
      <c r="A46" s="595">
        <v>39692</v>
      </c>
      <c r="B46" s="706">
        <v>39.192</v>
      </c>
      <c r="C46" s="705">
        <v>642.03748800000005</v>
      </c>
      <c r="D46" s="97">
        <f t="shared" si="0"/>
        <v>2008</v>
      </c>
      <c r="E46" s="97" t="str">
        <f t="shared" si="1"/>
        <v>3</v>
      </c>
      <c r="F46" s="98"/>
      <c r="G46" s="337"/>
      <c r="H46" s="338"/>
      <c r="I46" s="337"/>
      <c r="J46" s="337"/>
      <c r="R46" s="1349" t="str">
        <f>IFERROR(IF(YEAR(MAX('Commodity Prices'!$C$9:$C5000))=VALUE(RIGHT(R45,4)),"",IF($S$26="Calendar Year",R45+1,CONCATENATE(LEFT(R45,4)+1,"-",RIGHT(R45,4)+1))),"")</f>
        <v>2016-2017</v>
      </c>
      <c r="S46" s="1009">
        <f t="shared" si="4"/>
        <v>157.564314</v>
      </c>
      <c r="T46" s="1929">
        <f t="shared" si="5"/>
        <v>2094.5002420000001</v>
      </c>
      <c r="U46" s="373"/>
      <c r="V46" s="373"/>
    </row>
    <row r="47" spans="1:22">
      <c r="A47" s="595">
        <v>39783</v>
      </c>
      <c r="B47" s="1001">
        <v>52.860999999999997</v>
      </c>
      <c r="C47" s="1002">
        <v>830.61328500000002</v>
      </c>
      <c r="D47" s="97">
        <f t="shared" si="0"/>
        <v>2008</v>
      </c>
      <c r="E47" s="97" t="str">
        <f t="shared" si="1"/>
        <v>4</v>
      </c>
      <c r="F47" s="98"/>
      <c r="G47" s="337"/>
      <c r="H47" s="338"/>
      <c r="I47" s="337"/>
      <c r="J47" s="337"/>
      <c r="R47" s="1349" t="str">
        <f>IFERROR(IF(YEAR(MAX('Commodity Prices'!$C$9:$C5001))=VALUE(RIGHT(R46,4)),"",IF($S$26="Calendar Year",R46+1,CONCATENATE(LEFT(R46,4)+1,"-",RIGHT(R46,4)+1))),"")</f>
        <v>2017-2018</v>
      </c>
      <c r="S47" s="747">
        <f t="shared" si="4"/>
        <v>163.37353200000001</v>
      </c>
      <c r="T47" s="754">
        <f t="shared" si="5"/>
        <v>2635.8298720000003</v>
      </c>
      <c r="U47" s="373"/>
      <c r="V47" s="373"/>
    </row>
    <row r="48" spans="1:22">
      <c r="A48" s="595">
        <v>39873</v>
      </c>
      <c r="B48" s="706">
        <v>42.557000000000002</v>
      </c>
      <c r="C48" s="705">
        <v>703.39529100000004</v>
      </c>
      <c r="D48" s="97">
        <f t="shared" si="0"/>
        <v>2009</v>
      </c>
      <c r="E48" s="97" t="str">
        <f t="shared" si="1"/>
        <v>1</v>
      </c>
      <c r="F48" s="98"/>
      <c r="G48" s="337"/>
      <c r="H48" s="338"/>
      <c r="I48" s="337"/>
      <c r="J48" s="337"/>
      <c r="R48" s="1349" t="str">
        <f>IFERROR(IF(YEAR(MAX('Commodity Prices'!$C$9:$C5001))=VALUE(RIGHT(R47,4)),"",IF($S$26="Calendar Year",R47+1,CONCATENATE(LEFT(R47,4)+1,"-",RIGHT(R47,4)+1))),"")</f>
        <v>2018-2019</v>
      </c>
      <c r="S48" s="1009">
        <f t="shared" si="4"/>
        <v>154.38346799999999</v>
      </c>
      <c r="T48" s="1929">
        <f t="shared" si="5"/>
        <v>2699.8981110000004</v>
      </c>
      <c r="U48" s="373"/>
    </row>
    <row r="49" spans="1:20">
      <c r="A49" s="595">
        <v>39965</v>
      </c>
      <c r="B49" s="1001">
        <v>43.755000000000003</v>
      </c>
      <c r="C49" s="1002">
        <v>820.86273000000006</v>
      </c>
      <c r="D49" s="97">
        <f t="shared" si="0"/>
        <v>2009</v>
      </c>
      <c r="E49" s="97" t="str">
        <f t="shared" si="1"/>
        <v>2</v>
      </c>
      <c r="F49" s="98"/>
      <c r="G49" s="337"/>
      <c r="H49" s="338"/>
      <c r="I49" s="337"/>
      <c r="J49" s="337"/>
      <c r="R49" s="1349" t="str">
        <f>IFERROR(IF(YEAR(MAX('Commodity Prices'!$C$9:$C5002))=VALUE(RIGHT(R48,4)),"",IF($S$26="Calendar Year",R48+1,CONCATENATE(LEFT(R48,4)+1,"-",RIGHT(R48,4)+1))),"")</f>
        <v>2019-2020</v>
      </c>
      <c r="S49" s="1482">
        <f t="shared" si="4"/>
        <v>153.41990400000003</v>
      </c>
      <c r="T49" s="821">
        <f t="shared" si="5"/>
        <v>3167.49278</v>
      </c>
    </row>
    <row r="50" spans="1:20" ht="15.75" thickBot="1">
      <c r="A50" s="595">
        <v>40057</v>
      </c>
      <c r="B50" s="706">
        <v>39.381</v>
      </c>
      <c r="C50" s="705">
        <v>899.558718</v>
      </c>
      <c r="D50" s="97">
        <f t="shared" si="0"/>
        <v>2009</v>
      </c>
      <c r="E50" s="97" t="str">
        <f t="shared" si="1"/>
        <v>3</v>
      </c>
      <c r="F50" s="98"/>
      <c r="G50" s="337"/>
      <c r="H50" s="338"/>
      <c r="I50" s="337"/>
      <c r="J50" s="337"/>
      <c r="R50" s="1350" t="str">
        <f>IFERROR(IF(YEAR(MAX('Commodity Prices'!$C$9:$C5003))=VALUE(RIGHT(R49,4)),"",IF($S$26="Calendar Year",R49+1,CONCATENATE(LEFT(R49,4)+1,"-",RIGHT(R49,4)+1))),"")</f>
        <v>2020-2021</v>
      </c>
      <c r="S50" s="1009">
        <f t="shared" si="4"/>
        <v>158.710027</v>
      </c>
      <c r="T50" s="1929">
        <f t="shared" si="5"/>
        <v>3480.602339</v>
      </c>
    </row>
    <row r="51" spans="1:20">
      <c r="A51" s="595">
        <v>40148</v>
      </c>
      <c r="B51" s="1001">
        <v>45.484999999999999</v>
      </c>
      <c r="C51" s="1002">
        <v>929.12510599999996</v>
      </c>
      <c r="D51" s="97">
        <f t="shared" si="0"/>
        <v>2009</v>
      </c>
      <c r="E51" s="97" t="str">
        <f t="shared" si="1"/>
        <v>4</v>
      </c>
      <c r="F51" s="98"/>
      <c r="G51" s="337"/>
      <c r="H51" s="338"/>
      <c r="I51" s="337"/>
      <c r="J51" s="337"/>
      <c r="R51" s="658" t="str">
        <f>IFERROR(IF(YEAR(MAX('Commodity Prices'!$C$9:$C5004))=VALUE(RIGHT(R50,4)),"",IF($S$26="Calendar Year",R50+1,CONCATENATE(LEFT(R50,4)+1,"-",RIGHT(R50,4)+1))),"")</f>
        <v/>
      </c>
      <c r="S51" s="878" t="str">
        <f t="shared" si="4"/>
        <v/>
      </c>
      <c r="T51" s="1003" t="str">
        <f t="shared" si="5"/>
        <v/>
      </c>
    </row>
    <row r="52" spans="1:20">
      <c r="A52" s="595">
        <v>40238</v>
      </c>
      <c r="B52" s="706">
        <v>47.448</v>
      </c>
      <c r="C52" s="705">
        <v>1047.5006519999999</v>
      </c>
      <c r="D52" s="97">
        <f t="shared" si="0"/>
        <v>2010</v>
      </c>
      <c r="E52" s="97" t="str">
        <f t="shared" si="1"/>
        <v>1</v>
      </c>
      <c r="F52" s="98"/>
      <c r="G52" s="337"/>
      <c r="H52" s="338"/>
      <c r="I52" s="337"/>
      <c r="J52" s="337"/>
      <c r="R52" s="656" t="str">
        <f>IFERROR(IF(YEAR(MAX('Commodity Prices'!$C$9:$C5005))=VALUE(RIGHT(R51,4)),"",IF($S$26="Calendar Year",R51+1,CONCATENATE(LEFT(R51,4)+1,"-",RIGHT(R51,4)+1))),"")</f>
        <v/>
      </c>
      <c r="S52" s="748" t="str">
        <f t="shared" si="4"/>
        <v/>
      </c>
      <c r="T52" s="654" t="str">
        <f t="shared" si="5"/>
        <v/>
      </c>
    </row>
    <row r="53" spans="1:20">
      <c r="A53" s="595">
        <v>40330</v>
      </c>
      <c r="B53" s="1001">
        <v>47.838000000000001</v>
      </c>
      <c r="C53" s="1002">
        <v>1100.587053</v>
      </c>
      <c r="D53" s="97">
        <f t="shared" si="0"/>
        <v>2010</v>
      </c>
      <c r="E53" s="97" t="str">
        <f t="shared" si="1"/>
        <v>2</v>
      </c>
      <c r="F53" s="98"/>
      <c r="G53" s="337"/>
      <c r="H53" s="338"/>
      <c r="I53" s="337"/>
      <c r="J53" s="337"/>
      <c r="R53" s="656" t="str">
        <f>IFERROR(IF(YEAR(MAX('Commodity Prices'!$C$9:$C5006))=VALUE(RIGHT(R52,4)),"",IF($S$26="Calendar Year",R52+1,CONCATENATE(LEFT(R52,4)+1,"-",RIGHT(R52,4)+1))),"")</f>
        <v/>
      </c>
      <c r="S53" s="748" t="str">
        <f t="shared" si="4"/>
        <v/>
      </c>
      <c r="T53" s="654" t="str">
        <f t="shared" si="5"/>
        <v/>
      </c>
    </row>
    <row r="54" spans="1:20">
      <c r="A54" s="595">
        <v>40422</v>
      </c>
      <c r="B54" s="706">
        <v>46.356000000000002</v>
      </c>
      <c r="C54" s="705">
        <v>1138.848252</v>
      </c>
      <c r="D54" s="97">
        <f t="shared" si="0"/>
        <v>2010</v>
      </c>
      <c r="E54" s="97" t="str">
        <f t="shared" si="1"/>
        <v>3</v>
      </c>
      <c r="F54" s="98"/>
      <c r="G54" s="337"/>
      <c r="H54" s="338"/>
      <c r="I54" s="337"/>
      <c r="J54" s="337"/>
      <c r="R54" s="656" t="str">
        <f>IFERROR(IF(YEAR(MAX('Commodity Prices'!$C$9:$C5007))=VALUE(RIGHT(R53,4)),"",IF($S$26="Calendar Year",R53+1,CONCATENATE(LEFT(R53,4)+1,"-",RIGHT(R53,4)+1))),"")</f>
        <v/>
      </c>
      <c r="S54" s="748" t="str">
        <f t="shared" si="4"/>
        <v/>
      </c>
      <c r="T54" s="654" t="str">
        <f t="shared" si="5"/>
        <v/>
      </c>
    </row>
    <row r="55" spans="1:20">
      <c r="A55" s="595">
        <v>40513</v>
      </c>
      <c r="B55" s="1001">
        <v>51.616999999999997</v>
      </c>
      <c r="C55" s="1002">
        <v>1263.398833</v>
      </c>
      <c r="D55" s="97">
        <f t="shared" si="0"/>
        <v>2010</v>
      </c>
      <c r="E55" s="97" t="str">
        <f t="shared" si="1"/>
        <v>4</v>
      </c>
      <c r="F55" s="98"/>
      <c r="G55" s="337"/>
      <c r="H55" s="338"/>
      <c r="I55" s="337"/>
      <c r="J55" s="337"/>
    </row>
    <row r="56" spans="1:20">
      <c r="A56" s="595">
        <v>40603</v>
      </c>
      <c r="B56" s="706">
        <v>47.896999999999998</v>
      </c>
      <c r="C56" s="705">
        <v>1231.1867629999999</v>
      </c>
      <c r="D56" s="97">
        <f t="shared" si="0"/>
        <v>2011</v>
      </c>
      <c r="E56" s="97" t="str">
        <f t="shared" si="1"/>
        <v>1</v>
      </c>
      <c r="F56" s="98"/>
      <c r="G56" s="337"/>
      <c r="H56" s="338"/>
      <c r="I56" s="337"/>
      <c r="J56" s="337"/>
    </row>
    <row r="57" spans="1:20">
      <c r="A57" s="595">
        <v>40695</v>
      </c>
      <c r="B57" s="1001">
        <v>48.307000000000002</v>
      </c>
      <c r="C57" s="1002">
        <v>1052.7396189999999</v>
      </c>
      <c r="D57" s="97">
        <f t="shared" si="0"/>
        <v>2011</v>
      </c>
      <c r="E57" s="97" t="str">
        <f t="shared" si="1"/>
        <v>2</v>
      </c>
      <c r="F57" s="98"/>
      <c r="G57" s="337"/>
      <c r="H57" s="338"/>
      <c r="I57" s="337"/>
      <c r="J57" s="337"/>
    </row>
    <row r="58" spans="1:20">
      <c r="A58" s="595">
        <v>40787</v>
      </c>
      <c r="B58" s="706">
        <v>36.536000000000001</v>
      </c>
      <c r="C58" s="705">
        <v>709.98296900000003</v>
      </c>
      <c r="D58" s="97">
        <f t="shared" si="0"/>
        <v>2011</v>
      </c>
      <c r="E58" s="97" t="str">
        <f t="shared" si="1"/>
        <v>3</v>
      </c>
      <c r="F58" s="98"/>
      <c r="G58" s="337"/>
      <c r="H58" s="338"/>
      <c r="I58" s="337"/>
      <c r="J58" s="337"/>
    </row>
    <row r="59" spans="1:20">
      <c r="A59" s="595">
        <v>40878</v>
      </c>
      <c r="B59" s="1001">
        <v>52.39</v>
      </c>
      <c r="C59" s="1002">
        <v>957.67087500000002</v>
      </c>
      <c r="D59" s="97">
        <f t="shared" si="0"/>
        <v>2011</v>
      </c>
      <c r="E59" s="97" t="str">
        <f t="shared" si="1"/>
        <v>4</v>
      </c>
      <c r="F59" s="444"/>
      <c r="G59" s="444"/>
      <c r="H59" s="338"/>
      <c r="I59" s="337"/>
      <c r="J59" s="337"/>
    </row>
    <row r="60" spans="1:20">
      <c r="A60" s="595">
        <v>40969</v>
      </c>
      <c r="B60" s="706">
        <v>53.831647400000001</v>
      </c>
      <c r="C60" s="705">
        <v>963.20574728999998</v>
      </c>
      <c r="D60" s="97">
        <f t="shared" si="0"/>
        <v>2012</v>
      </c>
      <c r="E60" s="97" t="str">
        <f t="shared" si="1"/>
        <v>1</v>
      </c>
      <c r="F60" s="444"/>
      <c r="G60" s="444"/>
      <c r="H60" s="338"/>
      <c r="I60" s="337"/>
      <c r="J60" s="337"/>
    </row>
    <row r="61" spans="1:20">
      <c r="A61" s="595">
        <v>41061</v>
      </c>
      <c r="B61" s="1001">
        <v>66.612116999999998</v>
      </c>
      <c r="C61" s="1002">
        <v>1091.1048049400001</v>
      </c>
      <c r="D61" s="97">
        <f t="shared" si="0"/>
        <v>2012</v>
      </c>
      <c r="E61" s="97" t="str">
        <f t="shared" si="1"/>
        <v>2</v>
      </c>
      <c r="F61" s="444"/>
      <c r="G61" s="444"/>
      <c r="H61" s="338"/>
      <c r="I61" s="337"/>
      <c r="J61" s="337"/>
    </row>
    <row r="62" spans="1:20">
      <c r="A62" s="595">
        <v>41153</v>
      </c>
      <c r="B62" s="706">
        <v>55.94000005327063</v>
      </c>
      <c r="C62" s="705">
        <v>864.43799043000001</v>
      </c>
      <c r="D62" s="97">
        <f t="shared" si="0"/>
        <v>2012</v>
      </c>
      <c r="E62" s="97" t="str">
        <f t="shared" si="1"/>
        <v>3</v>
      </c>
      <c r="F62" s="444"/>
      <c r="G62" s="444"/>
      <c r="H62" s="338"/>
      <c r="I62" s="337"/>
      <c r="J62" s="337"/>
    </row>
    <row r="63" spans="1:20">
      <c r="A63" s="595">
        <v>41244</v>
      </c>
      <c r="B63" s="1001">
        <v>54.38333590413847</v>
      </c>
      <c r="C63" s="1002">
        <v>882.44600588000003</v>
      </c>
      <c r="D63" s="97">
        <f t="shared" si="0"/>
        <v>2012</v>
      </c>
      <c r="E63" s="97" t="str">
        <f t="shared" si="1"/>
        <v>4</v>
      </c>
      <c r="F63" s="444"/>
      <c r="G63" s="444"/>
      <c r="H63" s="338"/>
      <c r="I63" s="337"/>
      <c r="J63" s="337"/>
    </row>
    <row r="64" spans="1:20">
      <c r="A64" s="595">
        <v>41334</v>
      </c>
      <c r="B64" s="706">
        <v>58.11</v>
      </c>
      <c r="C64" s="705">
        <v>928.90185599999995</v>
      </c>
      <c r="D64" s="97">
        <f t="shared" si="0"/>
        <v>2013</v>
      </c>
      <c r="E64" s="97" t="str">
        <f t="shared" si="1"/>
        <v>1</v>
      </c>
      <c r="F64" s="444"/>
      <c r="G64" s="444"/>
      <c r="H64" s="338"/>
      <c r="I64" s="337"/>
      <c r="J64" s="337"/>
    </row>
    <row r="65" spans="1:10">
      <c r="A65" s="595">
        <v>41426</v>
      </c>
      <c r="B65" s="1001">
        <v>59.03</v>
      </c>
      <c r="C65" s="1002">
        <v>835.92591000000004</v>
      </c>
      <c r="D65" s="97">
        <f t="shared" si="0"/>
        <v>2013</v>
      </c>
      <c r="E65" s="97" t="str">
        <f t="shared" si="1"/>
        <v>2</v>
      </c>
      <c r="F65" s="444"/>
      <c r="G65" s="444"/>
      <c r="H65" s="338"/>
      <c r="I65" s="337"/>
      <c r="J65" s="337"/>
    </row>
    <row r="66" spans="1:10">
      <c r="A66" s="595">
        <v>41518</v>
      </c>
      <c r="B66" s="706">
        <v>57.37</v>
      </c>
      <c r="C66" s="705">
        <v>831.86759199999995</v>
      </c>
      <c r="D66" s="97">
        <f t="shared" si="0"/>
        <v>2013</v>
      </c>
      <c r="E66" s="97" t="str">
        <f t="shared" si="1"/>
        <v>3</v>
      </c>
      <c r="F66" s="444"/>
      <c r="G66" s="444"/>
      <c r="H66" s="338"/>
      <c r="I66" s="337"/>
      <c r="J66" s="337"/>
    </row>
    <row r="67" spans="1:10">
      <c r="A67" s="595">
        <v>41609</v>
      </c>
      <c r="B67" s="1001">
        <v>55.22</v>
      </c>
      <c r="C67" s="1002">
        <v>783.86415699999998</v>
      </c>
      <c r="D67" s="97">
        <f t="shared" si="0"/>
        <v>2013</v>
      </c>
      <c r="E67" s="97" t="str">
        <f t="shared" si="1"/>
        <v>4</v>
      </c>
      <c r="F67" s="444"/>
      <c r="G67" s="444"/>
      <c r="H67" s="338"/>
      <c r="I67" s="337"/>
      <c r="J67" s="337"/>
    </row>
    <row r="68" spans="1:10">
      <c r="A68" s="595">
        <v>41699</v>
      </c>
      <c r="B68" s="706">
        <v>59.844214000000008</v>
      </c>
      <c r="C68" s="705">
        <v>846.20660599999997</v>
      </c>
      <c r="D68" s="97">
        <f t="shared" si="0"/>
        <v>2014</v>
      </c>
      <c r="E68" s="97" t="str">
        <f t="shared" si="1"/>
        <v>1</v>
      </c>
      <c r="F68" s="444"/>
      <c r="G68" s="444"/>
      <c r="H68" s="338"/>
      <c r="I68" s="337"/>
      <c r="J68" s="337"/>
    </row>
    <row r="69" spans="1:10">
      <c r="A69" s="595">
        <v>41791</v>
      </c>
      <c r="B69" s="1001">
        <v>60.238544000000012</v>
      </c>
      <c r="C69" s="1002">
        <v>957.08476499999995</v>
      </c>
      <c r="D69" s="97">
        <f t="shared" si="0"/>
        <v>2014</v>
      </c>
      <c r="E69" s="97" t="str">
        <f t="shared" si="1"/>
        <v>2</v>
      </c>
      <c r="F69" s="444"/>
      <c r="G69" s="444"/>
      <c r="H69" s="338"/>
      <c r="I69" s="337"/>
      <c r="J69" s="337"/>
    </row>
    <row r="70" spans="1:10">
      <c r="A70" s="595">
        <v>41883</v>
      </c>
      <c r="B70" s="706">
        <v>46.894491999999993</v>
      </c>
      <c r="C70" s="705">
        <v>867.60104799999999</v>
      </c>
      <c r="D70" s="97">
        <f t="shared" si="0"/>
        <v>2014</v>
      </c>
      <c r="E70" s="97" t="str">
        <f t="shared" si="1"/>
        <v>3</v>
      </c>
      <c r="F70" s="444"/>
      <c r="G70" s="444"/>
      <c r="H70" s="338"/>
      <c r="I70" s="337"/>
      <c r="J70" s="337"/>
    </row>
    <row r="71" spans="1:10">
      <c r="A71" s="595">
        <v>41974</v>
      </c>
      <c r="B71" s="1001">
        <v>51.585866000000003</v>
      </c>
      <c r="C71" s="1002">
        <v>911.60568899999998</v>
      </c>
      <c r="D71" s="97">
        <f t="shared" si="0"/>
        <v>2014</v>
      </c>
      <c r="E71" s="97" t="str">
        <f t="shared" si="1"/>
        <v>4</v>
      </c>
      <c r="F71" s="444"/>
      <c r="G71" s="444"/>
      <c r="H71" s="338"/>
      <c r="I71" s="337"/>
      <c r="J71" s="337"/>
    </row>
    <row r="72" spans="1:10">
      <c r="A72" s="595">
        <v>42064</v>
      </c>
      <c r="B72" s="706">
        <v>39.123603999999993</v>
      </c>
      <c r="C72" s="705">
        <v>675.54155800000001</v>
      </c>
      <c r="D72" s="97">
        <f t="shared" si="0"/>
        <v>2015</v>
      </c>
      <c r="E72" s="97" t="str">
        <f t="shared" si="1"/>
        <v>1</v>
      </c>
      <c r="F72" s="444"/>
      <c r="G72" s="444"/>
      <c r="I72" s="337"/>
      <c r="J72" s="337"/>
    </row>
    <row r="73" spans="1:10">
      <c r="A73" s="595">
        <v>42156</v>
      </c>
      <c r="B73" s="1001">
        <v>45.715990000000005</v>
      </c>
      <c r="C73" s="1002">
        <v>714.85670600000003</v>
      </c>
      <c r="D73" s="97">
        <f>YEAR(A73)</f>
        <v>2015</v>
      </c>
      <c r="E73" s="97" t="str">
        <f>IF(MONTH(A73)=3,"1",IF(MONTH(A73)=6,"2",IF(MONTH(A73)=9,"3","4")))</f>
        <v>2</v>
      </c>
      <c r="F73" s="444"/>
      <c r="G73" s="444"/>
      <c r="I73" s="337"/>
      <c r="J73" s="337"/>
    </row>
    <row r="74" spans="1:10">
      <c r="A74" s="595">
        <v>42248</v>
      </c>
      <c r="B74" s="706">
        <v>46.322647000000003</v>
      </c>
      <c r="C74" s="705">
        <v>638.45772099999999</v>
      </c>
      <c r="D74" s="97">
        <f>YEAR(A74)</f>
        <v>2015</v>
      </c>
      <c r="E74" s="97" t="str">
        <f>IF(MONTH(A74)=3,"1",IF(MONTH(A74)=6,"2",IF(MONTH(A74)=9,"3","4")))</f>
        <v>3</v>
      </c>
      <c r="F74" s="445"/>
      <c r="G74" s="444"/>
      <c r="I74" s="337"/>
      <c r="J74" s="337"/>
    </row>
    <row r="75" spans="1:10">
      <c r="A75" s="595">
        <v>42339</v>
      </c>
      <c r="B75" s="1001">
        <v>42.811950000000003</v>
      </c>
      <c r="C75" s="1002">
        <v>528.35849399999995</v>
      </c>
      <c r="D75" s="97">
        <f>YEAR(A75)</f>
        <v>2015</v>
      </c>
      <c r="E75" s="97" t="str">
        <f>IF(MONTH(A75)=3,"1",IF(MONTH(A75)=6,"2",IF(MONTH(A75)=9,"3","4")))</f>
        <v>4</v>
      </c>
      <c r="F75" s="444"/>
      <c r="G75" s="444"/>
      <c r="I75" s="337"/>
      <c r="J75" s="337"/>
    </row>
    <row r="76" spans="1:10">
      <c r="A76" s="595">
        <v>42430</v>
      </c>
      <c r="B76" s="706">
        <v>43.988477000000003</v>
      </c>
      <c r="C76" s="705">
        <v>518.42369199999996</v>
      </c>
      <c r="D76" s="97">
        <f t="shared" ref="D76:D139" si="6">YEAR(A76)</f>
        <v>2016</v>
      </c>
      <c r="E76" s="97" t="str">
        <f t="shared" ref="E76:E139" si="7">IF(MONTH(A76)=3,"1",IF(MONTH(A76)=6,"2",IF(MONTH(A76)=9,"3","4")))</f>
        <v>1</v>
      </c>
      <c r="F76" s="444"/>
      <c r="G76" s="444"/>
      <c r="I76" s="337"/>
    </row>
    <row r="77" spans="1:10">
      <c r="A77" s="595">
        <v>42522</v>
      </c>
      <c r="B77" s="1001">
        <v>42.62845699999999</v>
      </c>
      <c r="C77" s="1002">
        <v>517.49454400000002</v>
      </c>
      <c r="D77" s="97">
        <f t="shared" si="6"/>
        <v>2016</v>
      </c>
      <c r="E77" s="97" t="str">
        <f t="shared" si="7"/>
        <v>2</v>
      </c>
      <c r="F77" s="444"/>
      <c r="G77" s="445"/>
      <c r="I77" s="337"/>
    </row>
    <row r="78" spans="1:10">
      <c r="A78" s="595">
        <v>42614</v>
      </c>
      <c r="B78" s="706">
        <v>36.742851000000002</v>
      </c>
      <c r="C78" s="705">
        <v>493.70278000000002</v>
      </c>
      <c r="D78" s="97">
        <f t="shared" si="6"/>
        <v>2016</v>
      </c>
      <c r="E78" s="97" t="str">
        <f t="shared" si="7"/>
        <v>3</v>
      </c>
      <c r="F78" s="444"/>
      <c r="G78" s="444"/>
      <c r="I78" s="337"/>
    </row>
    <row r="79" spans="1:10">
      <c r="A79" s="595">
        <v>42705</v>
      </c>
      <c r="B79" s="1001">
        <v>42.115891000000005</v>
      </c>
      <c r="C79" s="1002">
        <v>593.00340700000004</v>
      </c>
      <c r="D79" s="97">
        <f t="shared" si="6"/>
        <v>2016</v>
      </c>
      <c r="E79" s="97" t="str">
        <f t="shared" si="7"/>
        <v>4</v>
      </c>
      <c r="F79" s="444"/>
      <c r="G79" s="444"/>
      <c r="H79" s="443"/>
      <c r="I79" s="443"/>
    </row>
    <row r="80" spans="1:10">
      <c r="A80" s="595">
        <v>42795</v>
      </c>
      <c r="B80" s="706">
        <v>36.610709</v>
      </c>
      <c r="C80" s="705">
        <v>483.453688</v>
      </c>
      <c r="D80" s="97">
        <f t="shared" si="6"/>
        <v>2017</v>
      </c>
      <c r="E80" s="97" t="str">
        <f t="shared" si="7"/>
        <v>1</v>
      </c>
      <c r="F80" s="98"/>
      <c r="I80" s="337"/>
    </row>
    <row r="81" spans="1:9">
      <c r="A81" s="595">
        <v>42887</v>
      </c>
      <c r="B81" s="1001">
        <v>42.094862999999997</v>
      </c>
      <c r="C81" s="1002">
        <v>524.34036700000001</v>
      </c>
      <c r="D81" s="97">
        <f t="shared" si="6"/>
        <v>2017</v>
      </c>
      <c r="E81" s="97" t="str">
        <f t="shared" si="7"/>
        <v>2</v>
      </c>
      <c r="F81" s="98"/>
      <c r="I81" s="337"/>
    </row>
    <row r="82" spans="1:9">
      <c r="A82" s="595">
        <v>42979</v>
      </c>
      <c r="B82" s="706">
        <v>45.021073999999992</v>
      </c>
      <c r="C82" s="705">
        <v>606.33826099999999</v>
      </c>
      <c r="D82" s="97">
        <f t="shared" si="6"/>
        <v>2017</v>
      </c>
      <c r="E82" s="97" t="str">
        <f t="shared" si="7"/>
        <v>3</v>
      </c>
      <c r="F82" s="98"/>
      <c r="I82" s="337"/>
    </row>
    <row r="83" spans="1:9">
      <c r="A83" s="595">
        <v>43070</v>
      </c>
      <c r="B83" s="1001">
        <v>41.456310999999999</v>
      </c>
      <c r="C83" s="1002">
        <v>644.62085100000002</v>
      </c>
      <c r="D83" s="97">
        <f t="shared" si="6"/>
        <v>2017</v>
      </c>
      <c r="E83" s="97" t="str">
        <f t="shared" si="7"/>
        <v>4</v>
      </c>
      <c r="F83" s="98"/>
      <c r="I83" s="337"/>
    </row>
    <row r="84" spans="1:9">
      <c r="A84" s="595">
        <v>43160</v>
      </c>
      <c r="B84" s="706">
        <v>36.993086000000005</v>
      </c>
      <c r="C84" s="705">
        <v>641.376036</v>
      </c>
      <c r="D84" s="97">
        <f t="shared" si="6"/>
        <v>2018</v>
      </c>
      <c r="E84" s="97" t="str">
        <f t="shared" si="7"/>
        <v>1</v>
      </c>
      <c r="F84" s="98"/>
      <c r="I84" s="337"/>
    </row>
    <row r="85" spans="1:9">
      <c r="A85" s="595">
        <v>43252</v>
      </c>
      <c r="B85" s="1001">
        <v>39.903061000000001</v>
      </c>
      <c r="C85" s="1002">
        <v>743.49472400000002</v>
      </c>
      <c r="D85" s="97">
        <f t="shared" si="6"/>
        <v>2018</v>
      </c>
      <c r="E85" s="97" t="str">
        <f t="shared" si="7"/>
        <v>2</v>
      </c>
      <c r="F85" s="98"/>
      <c r="I85" s="337"/>
    </row>
    <row r="86" spans="1:9">
      <c r="A86" s="595">
        <v>43344</v>
      </c>
      <c r="B86" s="706">
        <v>33.196140999999997</v>
      </c>
      <c r="C86" s="806">
        <v>586.79589199999998</v>
      </c>
      <c r="D86" s="97">
        <f t="shared" si="6"/>
        <v>2018</v>
      </c>
      <c r="E86" s="97" t="str">
        <f t="shared" si="7"/>
        <v>3</v>
      </c>
      <c r="F86" s="98"/>
      <c r="I86" s="337"/>
    </row>
    <row r="87" spans="1:9">
      <c r="A87" s="595">
        <v>43435</v>
      </c>
      <c r="B87" s="1001">
        <v>39.613717000000001</v>
      </c>
      <c r="C87" s="1002">
        <v>644.59699799999999</v>
      </c>
      <c r="D87" s="97">
        <f t="shared" si="6"/>
        <v>2018</v>
      </c>
      <c r="E87" s="97" t="str">
        <f t="shared" si="7"/>
        <v>4</v>
      </c>
      <c r="F87" s="98"/>
      <c r="I87" s="337"/>
    </row>
    <row r="88" spans="1:9">
      <c r="A88" s="595">
        <v>43525</v>
      </c>
      <c r="B88" s="706">
        <v>37.137700000000002</v>
      </c>
      <c r="C88" s="806">
        <v>651.67899599999998</v>
      </c>
      <c r="D88" s="97">
        <f t="shared" si="6"/>
        <v>2019</v>
      </c>
      <c r="E88" s="97" t="str">
        <f t="shared" si="7"/>
        <v>1</v>
      </c>
      <c r="F88" s="98"/>
      <c r="G88" s="359"/>
      <c r="H88" s="359"/>
      <c r="I88" s="337"/>
    </row>
    <row r="89" spans="1:9">
      <c r="A89" s="595">
        <v>43617</v>
      </c>
      <c r="B89" s="1001">
        <v>44.435909999999993</v>
      </c>
      <c r="C89" s="1002">
        <v>816.82622500000002</v>
      </c>
      <c r="D89" s="85">
        <v>2019</v>
      </c>
      <c r="E89" s="98" t="str">
        <f t="shared" si="7"/>
        <v>2</v>
      </c>
      <c r="F89" s="98"/>
      <c r="G89" s="572"/>
      <c r="H89" s="569"/>
      <c r="I89" s="337"/>
    </row>
    <row r="90" spans="1:9">
      <c r="A90" s="595">
        <v>43709</v>
      </c>
      <c r="B90" s="706">
        <v>40.476959999999998</v>
      </c>
      <c r="C90" s="806">
        <v>939.78325900000004</v>
      </c>
      <c r="D90" s="97">
        <f t="shared" si="6"/>
        <v>2019</v>
      </c>
      <c r="E90" s="97" t="str">
        <f t="shared" si="7"/>
        <v>3</v>
      </c>
      <c r="F90" s="98"/>
      <c r="G90" s="359"/>
      <c r="H90" s="359"/>
      <c r="I90" s="337"/>
    </row>
    <row r="91" spans="1:9">
      <c r="A91" s="595">
        <v>43800</v>
      </c>
      <c r="B91" s="1001">
        <v>31.451700000000002</v>
      </c>
      <c r="C91" s="1002">
        <v>673.81553699999995</v>
      </c>
      <c r="D91" s="97">
        <f t="shared" si="6"/>
        <v>2019</v>
      </c>
      <c r="E91" s="97" t="str">
        <f t="shared" si="7"/>
        <v>4</v>
      </c>
      <c r="F91" s="98"/>
      <c r="I91" s="337"/>
    </row>
    <row r="92" spans="1:9">
      <c r="A92" s="595">
        <v>43891</v>
      </c>
      <c r="B92" s="706">
        <v>37.243670999999999</v>
      </c>
      <c r="C92" s="705">
        <v>700.63279</v>
      </c>
      <c r="D92" s="97">
        <f t="shared" si="6"/>
        <v>2020</v>
      </c>
      <c r="E92" s="97" t="str">
        <f t="shared" si="7"/>
        <v>1</v>
      </c>
      <c r="F92" s="98"/>
      <c r="I92" s="337"/>
    </row>
    <row r="93" spans="1:9">
      <c r="A93" s="595">
        <v>43983</v>
      </c>
      <c r="B93" s="1001">
        <v>44.247573000000003</v>
      </c>
      <c r="C93" s="1002">
        <v>853.26119400000005</v>
      </c>
      <c r="D93" s="97">
        <f t="shared" si="6"/>
        <v>2020</v>
      </c>
      <c r="E93" s="97" t="str">
        <f t="shared" si="7"/>
        <v>2</v>
      </c>
      <c r="F93" s="98"/>
      <c r="I93" s="337"/>
    </row>
    <row r="94" spans="1:9">
      <c r="A94" s="595">
        <v>44075</v>
      </c>
      <c r="B94" s="706">
        <v>42.711550000000003</v>
      </c>
      <c r="C94" s="705">
        <v>868.05630599999995</v>
      </c>
      <c r="D94" s="97">
        <f t="shared" si="6"/>
        <v>2020</v>
      </c>
      <c r="E94" s="97" t="str">
        <f t="shared" si="7"/>
        <v>3</v>
      </c>
      <c r="F94" s="98"/>
      <c r="I94" s="337"/>
    </row>
    <row r="95" spans="1:9">
      <c r="A95" s="595">
        <v>44166</v>
      </c>
      <c r="B95" s="1001">
        <v>41.301884000000001</v>
      </c>
      <c r="C95" s="1002">
        <v>926.303404</v>
      </c>
      <c r="D95" s="97">
        <f t="shared" si="6"/>
        <v>2020</v>
      </c>
      <c r="E95" s="97" t="str">
        <f t="shared" si="7"/>
        <v>4</v>
      </c>
      <c r="F95" s="98"/>
      <c r="I95" s="337"/>
    </row>
    <row r="96" spans="1:9">
      <c r="A96" s="595">
        <v>44256</v>
      </c>
      <c r="B96" s="706">
        <v>34.714064</v>
      </c>
      <c r="C96" s="705">
        <v>782.97267299999999</v>
      </c>
      <c r="D96" s="97">
        <f t="shared" si="6"/>
        <v>2021</v>
      </c>
      <c r="E96" s="97" t="str">
        <f t="shared" si="7"/>
        <v>1</v>
      </c>
      <c r="F96" s="98"/>
      <c r="I96" s="337"/>
    </row>
    <row r="97" spans="1:9" ht="15.75" thickBot="1">
      <c r="A97" s="1811">
        <v>44348</v>
      </c>
      <c r="B97" s="1745">
        <v>39.982528999999992</v>
      </c>
      <c r="C97" s="1625">
        <v>903.26995599999998</v>
      </c>
      <c r="D97" s="97">
        <f t="shared" si="6"/>
        <v>2021</v>
      </c>
      <c r="E97" s="97" t="str">
        <f t="shared" si="7"/>
        <v>2</v>
      </c>
      <c r="F97" s="98"/>
      <c r="I97" s="337"/>
    </row>
    <row r="98" spans="1:9">
      <c r="B98" s="337"/>
      <c r="C98" s="339"/>
      <c r="D98" s="97">
        <f t="shared" si="6"/>
        <v>1900</v>
      </c>
      <c r="E98" s="97" t="str">
        <f t="shared" si="7"/>
        <v>4</v>
      </c>
      <c r="F98" s="98"/>
      <c r="I98" s="337"/>
    </row>
    <row r="99" spans="1:9">
      <c r="B99" s="337"/>
      <c r="C99" s="339"/>
      <c r="D99" s="97">
        <f t="shared" si="6"/>
        <v>1900</v>
      </c>
      <c r="E99" s="97" t="str">
        <f t="shared" si="7"/>
        <v>4</v>
      </c>
      <c r="F99" s="98"/>
      <c r="I99" s="337"/>
    </row>
    <row r="100" spans="1:9">
      <c r="B100" s="337"/>
      <c r="C100" s="339"/>
      <c r="D100" s="97">
        <f t="shared" si="6"/>
        <v>1900</v>
      </c>
      <c r="E100" s="97" t="str">
        <f t="shared" si="7"/>
        <v>4</v>
      </c>
      <c r="F100" s="98"/>
      <c r="I100" s="337"/>
    </row>
    <row r="101" spans="1:9">
      <c r="B101" s="337"/>
      <c r="C101" s="339"/>
      <c r="D101" s="97">
        <f t="shared" si="6"/>
        <v>1900</v>
      </c>
      <c r="E101" s="97" t="str">
        <f t="shared" si="7"/>
        <v>4</v>
      </c>
      <c r="F101" s="98"/>
      <c r="I101" s="337"/>
    </row>
    <row r="102" spans="1:9">
      <c r="B102" s="337"/>
      <c r="C102" s="339"/>
      <c r="D102" s="97">
        <f t="shared" si="6"/>
        <v>1900</v>
      </c>
      <c r="E102" s="97" t="str">
        <f t="shared" si="7"/>
        <v>4</v>
      </c>
      <c r="F102" s="98"/>
      <c r="I102" s="337"/>
    </row>
    <row r="103" spans="1:9">
      <c r="B103" s="337"/>
      <c r="C103" s="339"/>
      <c r="D103" s="97">
        <f t="shared" si="6"/>
        <v>1900</v>
      </c>
      <c r="E103" s="97" t="str">
        <f t="shared" si="7"/>
        <v>4</v>
      </c>
      <c r="F103" s="98"/>
      <c r="I103" s="337"/>
    </row>
    <row r="104" spans="1:9">
      <c r="B104" s="337"/>
      <c r="C104" s="339"/>
      <c r="D104" s="97">
        <f t="shared" si="6"/>
        <v>1900</v>
      </c>
      <c r="E104" s="97" t="str">
        <f t="shared" si="7"/>
        <v>4</v>
      </c>
      <c r="F104" s="98"/>
      <c r="I104" s="337"/>
    </row>
    <row r="105" spans="1:9">
      <c r="B105" s="337"/>
      <c r="C105" s="339"/>
      <c r="D105" s="97">
        <f t="shared" si="6"/>
        <v>1900</v>
      </c>
      <c r="E105" s="97" t="str">
        <f t="shared" si="7"/>
        <v>4</v>
      </c>
      <c r="F105" s="98"/>
      <c r="I105" s="337"/>
    </row>
    <row r="106" spans="1:9">
      <c r="B106" s="337"/>
      <c r="C106" s="339"/>
      <c r="D106" s="97">
        <f t="shared" si="6"/>
        <v>1900</v>
      </c>
      <c r="E106" s="97" t="str">
        <f t="shared" si="7"/>
        <v>4</v>
      </c>
      <c r="F106" s="98"/>
      <c r="I106" s="337"/>
    </row>
    <row r="107" spans="1:9">
      <c r="B107" s="337"/>
      <c r="C107" s="339"/>
      <c r="D107" s="97">
        <f t="shared" si="6"/>
        <v>1900</v>
      </c>
      <c r="E107" s="97" t="str">
        <f t="shared" si="7"/>
        <v>4</v>
      </c>
      <c r="F107" s="98"/>
      <c r="I107" s="337"/>
    </row>
    <row r="108" spans="1:9">
      <c r="B108" s="337"/>
      <c r="C108" s="339"/>
      <c r="D108" s="97">
        <f t="shared" si="6"/>
        <v>1900</v>
      </c>
      <c r="E108" s="97" t="str">
        <f t="shared" si="7"/>
        <v>4</v>
      </c>
      <c r="F108" s="98"/>
      <c r="I108" s="337"/>
    </row>
    <row r="109" spans="1:9">
      <c r="B109" s="337"/>
      <c r="C109" s="339"/>
      <c r="D109" s="97">
        <f t="shared" si="6"/>
        <v>1900</v>
      </c>
      <c r="E109" s="97" t="str">
        <f t="shared" si="7"/>
        <v>4</v>
      </c>
      <c r="F109" s="98"/>
      <c r="I109" s="337"/>
    </row>
    <row r="110" spans="1:9">
      <c r="B110" s="337"/>
      <c r="C110" s="339"/>
      <c r="D110" s="97">
        <f t="shared" si="6"/>
        <v>1900</v>
      </c>
      <c r="E110" s="97" t="str">
        <f t="shared" si="7"/>
        <v>4</v>
      </c>
      <c r="F110" s="98"/>
      <c r="I110" s="337"/>
    </row>
    <row r="111" spans="1:9">
      <c r="B111" s="337"/>
      <c r="C111" s="339"/>
      <c r="D111" s="97">
        <f t="shared" si="6"/>
        <v>1900</v>
      </c>
      <c r="E111" s="97" t="str">
        <f t="shared" si="7"/>
        <v>4</v>
      </c>
      <c r="F111" s="98"/>
      <c r="I111" s="337"/>
    </row>
    <row r="112" spans="1:9">
      <c r="B112" s="337"/>
      <c r="C112" s="339"/>
      <c r="D112" s="97">
        <f t="shared" si="6"/>
        <v>1900</v>
      </c>
      <c r="E112" s="97" t="str">
        <f t="shared" si="7"/>
        <v>4</v>
      </c>
      <c r="F112" s="98"/>
      <c r="I112" s="337"/>
    </row>
    <row r="113" spans="2:9">
      <c r="B113" s="337"/>
      <c r="C113" s="339"/>
      <c r="D113" s="97">
        <f t="shared" si="6"/>
        <v>1900</v>
      </c>
      <c r="E113" s="97" t="str">
        <f t="shared" si="7"/>
        <v>4</v>
      </c>
      <c r="F113" s="98"/>
      <c r="I113" s="337"/>
    </row>
    <row r="114" spans="2:9">
      <c r="B114" s="337"/>
      <c r="C114" s="339"/>
      <c r="D114" s="97">
        <f t="shared" si="6"/>
        <v>1900</v>
      </c>
      <c r="E114" s="97" t="str">
        <f t="shared" si="7"/>
        <v>4</v>
      </c>
      <c r="F114" s="98"/>
      <c r="I114" s="337"/>
    </row>
    <row r="115" spans="2:9">
      <c r="B115" s="337"/>
      <c r="C115" s="339"/>
      <c r="D115" s="97">
        <f t="shared" si="6"/>
        <v>1900</v>
      </c>
      <c r="E115" s="97" t="str">
        <f t="shared" si="7"/>
        <v>4</v>
      </c>
      <c r="F115" s="98"/>
      <c r="I115" s="337"/>
    </row>
    <row r="116" spans="2:9">
      <c r="B116" s="337"/>
      <c r="C116" s="339"/>
      <c r="D116" s="97">
        <f t="shared" si="6"/>
        <v>1900</v>
      </c>
      <c r="E116" s="97" t="str">
        <f t="shared" si="7"/>
        <v>4</v>
      </c>
      <c r="F116" s="98"/>
      <c r="I116" s="337"/>
    </row>
    <row r="117" spans="2:9">
      <c r="B117" s="337"/>
      <c r="C117" s="339"/>
      <c r="D117" s="97">
        <f t="shared" si="6"/>
        <v>1900</v>
      </c>
      <c r="E117" s="97" t="str">
        <f t="shared" si="7"/>
        <v>4</v>
      </c>
      <c r="F117" s="98"/>
      <c r="I117" s="337"/>
    </row>
    <row r="118" spans="2:9">
      <c r="B118" s="337"/>
      <c r="C118" s="339"/>
      <c r="D118" s="97">
        <f t="shared" si="6"/>
        <v>1900</v>
      </c>
      <c r="E118" s="97" t="str">
        <f t="shared" si="7"/>
        <v>4</v>
      </c>
      <c r="F118" s="98"/>
      <c r="I118" s="337"/>
    </row>
    <row r="119" spans="2:9">
      <c r="B119" s="337"/>
      <c r="C119" s="339"/>
      <c r="D119" s="97">
        <f t="shared" si="6"/>
        <v>1900</v>
      </c>
      <c r="E119" s="97" t="str">
        <f t="shared" si="7"/>
        <v>4</v>
      </c>
      <c r="F119" s="98"/>
      <c r="I119" s="337"/>
    </row>
    <row r="120" spans="2:9">
      <c r="B120" s="337"/>
      <c r="C120" s="339"/>
      <c r="D120" s="97">
        <f t="shared" si="6"/>
        <v>1900</v>
      </c>
      <c r="E120" s="97" t="str">
        <f t="shared" si="7"/>
        <v>4</v>
      </c>
      <c r="F120" s="98"/>
      <c r="I120" s="337"/>
    </row>
    <row r="121" spans="2:9">
      <c r="B121" s="337"/>
      <c r="C121" s="339"/>
      <c r="D121" s="97">
        <f t="shared" si="6"/>
        <v>1900</v>
      </c>
      <c r="E121" s="97" t="str">
        <f t="shared" si="7"/>
        <v>4</v>
      </c>
      <c r="F121" s="98"/>
      <c r="I121" s="337"/>
    </row>
    <row r="122" spans="2:9">
      <c r="B122" s="337"/>
      <c r="C122" s="339"/>
      <c r="D122" s="97">
        <f t="shared" si="6"/>
        <v>1900</v>
      </c>
      <c r="E122" s="97" t="str">
        <f t="shared" si="7"/>
        <v>4</v>
      </c>
      <c r="F122" s="98"/>
      <c r="I122" s="337"/>
    </row>
    <row r="123" spans="2:9">
      <c r="B123" s="337"/>
      <c r="C123" s="339"/>
      <c r="D123" s="97">
        <f t="shared" si="6"/>
        <v>1900</v>
      </c>
      <c r="E123" s="97" t="str">
        <f t="shared" si="7"/>
        <v>4</v>
      </c>
      <c r="F123" s="98"/>
      <c r="I123" s="337"/>
    </row>
    <row r="124" spans="2:9">
      <c r="B124" s="337"/>
      <c r="C124" s="339"/>
      <c r="D124" s="97">
        <f t="shared" si="6"/>
        <v>1900</v>
      </c>
      <c r="E124" s="97" t="str">
        <f t="shared" si="7"/>
        <v>4</v>
      </c>
      <c r="F124" s="98"/>
      <c r="I124" s="337"/>
    </row>
    <row r="125" spans="2:9">
      <c r="B125" s="337"/>
      <c r="C125" s="339"/>
      <c r="D125" s="97">
        <f t="shared" si="6"/>
        <v>1900</v>
      </c>
      <c r="E125" s="97" t="str">
        <f t="shared" si="7"/>
        <v>4</v>
      </c>
      <c r="F125" s="98"/>
      <c r="I125" s="337"/>
    </row>
    <row r="126" spans="2:9">
      <c r="B126" s="337"/>
      <c r="C126" s="339"/>
      <c r="D126" s="97">
        <f t="shared" si="6"/>
        <v>1900</v>
      </c>
      <c r="E126" s="97" t="str">
        <f t="shared" si="7"/>
        <v>4</v>
      </c>
      <c r="F126" s="98"/>
      <c r="I126" s="337"/>
    </row>
    <row r="127" spans="2:9">
      <c r="B127" s="337"/>
      <c r="C127" s="339"/>
      <c r="D127" s="97">
        <f t="shared" si="6"/>
        <v>1900</v>
      </c>
      <c r="E127" s="97" t="str">
        <f t="shared" si="7"/>
        <v>4</v>
      </c>
      <c r="F127" s="98"/>
      <c r="I127" s="337"/>
    </row>
    <row r="128" spans="2:9">
      <c r="B128" s="337"/>
      <c r="C128" s="339"/>
      <c r="D128" s="97">
        <f t="shared" si="6"/>
        <v>1900</v>
      </c>
      <c r="E128" s="97" t="str">
        <f t="shared" si="7"/>
        <v>4</v>
      </c>
      <c r="F128" s="98"/>
      <c r="I128" s="337"/>
    </row>
    <row r="129" spans="2:9">
      <c r="B129" s="337"/>
      <c r="C129" s="339"/>
      <c r="D129" s="97">
        <f t="shared" si="6"/>
        <v>1900</v>
      </c>
      <c r="E129" s="97" t="str">
        <f t="shared" si="7"/>
        <v>4</v>
      </c>
      <c r="F129" s="98"/>
      <c r="I129" s="337"/>
    </row>
    <row r="130" spans="2:9">
      <c r="B130" s="337"/>
      <c r="C130" s="339"/>
      <c r="D130" s="97">
        <f t="shared" si="6"/>
        <v>1900</v>
      </c>
      <c r="E130" s="97" t="str">
        <f t="shared" si="7"/>
        <v>4</v>
      </c>
      <c r="F130" s="98"/>
      <c r="I130" s="337"/>
    </row>
    <row r="131" spans="2:9">
      <c r="B131" s="337"/>
      <c r="C131" s="339"/>
      <c r="D131" s="97">
        <f t="shared" si="6"/>
        <v>1900</v>
      </c>
      <c r="E131" s="97" t="str">
        <f t="shared" si="7"/>
        <v>4</v>
      </c>
      <c r="F131" s="98"/>
      <c r="I131" s="337"/>
    </row>
    <row r="132" spans="2:9">
      <c r="B132" s="337"/>
      <c r="C132" s="339"/>
      <c r="D132" s="97">
        <f t="shared" si="6"/>
        <v>1900</v>
      </c>
      <c r="E132" s="97" t="str">
        <f t="shared" si="7"/>
        <v>4</v>
      </c>
      <c r="F132" s="98"/>
      <c r="I132" s="337"/>
    </row>
    <row r="133" spans="2:9">
      <c r="B133" s="337"/>
      <c r="C133" s="339"/>
      <c r="D133" s="97">
        <f t="shared" si="6"/>
        <v>1900</v>
      </c>
      <c r="E133" s="97" t="str">
        <f t="shared" si="7"/>
        <v>4</v>
      </c>
      <c r="F133" s="98"/>
      <c r="I133" s="337"/>
    </row>
    <row r="134" spans="2:9">
      <c r="B134" s="337"/>
      <c r="C134" s="339"/>
      <c r="D134" s="97">
        <f t="shared" si="6"/>
        <v>1900</v>
      </c>
      <c r="E134" s="97" t="str">
        <f t="shared" si="7"/>
        <v>4</v>
      </c>
      <c r="F134" s="98"/>
      <c r="I134" s="337"/>
    </row>
    <row r="135" spans="2:9">
      <c r="B135" s="337"/>
      <c r="C135" s="339"/>
      <c r="D135" s="97">
        <f t="shared" si="6"/>
        <v>1900</v>
      </c>
      <c r="E135" s="97" t="str">
        <f t="shared" si="7"/>
        <v>4</v>
      </c>
      <c r="F135" s="98"/>
      <c r="I135" s="337"/>
    </row>
    <row r="136" spans="2:9">
      <c r="B136" s="337"/>
      <c r="C136" s="339"/>
      <c r="D136" s="97">
        <f t="shared" si="6"/>
        <v>1900</v>
      </c>
      <c r="E136" s="97" t="str">
        <f t="shared" si="7"/>
        <v>4</v>
      </c>
      <c r="F136" s="98"/>
      <c r="I136" s="337"/>
    </row>
    <row r="137" spans="2:9">
      <c r="B137" s="337"/>
      <c r="C137" s="339"/>
      <c r="D137" s="97">
        <f t="shared" si="6"/>
        <v>1900</v>
      </c>
      <c r="E137" s="97" t="str">
        <f t="shared" si="7"/>
        <v>4</v>
      </c>
      <c r="F137" s="98"/>
      <c r="I137" s="337"/>
    </row>
    <row r="138" spans="2:9">
      <c r="B138" s="337"/>
      <c r="C138" s="339"/>
      <c r="D138" s="97">
        <f t="shared" si="6"/>
        <v>1900</v>
      </c>
      <c r="E138" s="97" t="str">
        <f t="shared" si="7"/>
        <v>4</v>
      </c>
      <c r="F138" s="98"/>
      <c r="I138" s="337"/>
    </row>
    <row r="139" spans="2:9">
      <c r="B139" s="337"/>
      <c r="C139" s="339"/>
      <c r="D139" s="97">
        <f t="shared" si="6"/>
        <v>1900</v>
      </c>
      <c r="E139" s="97" t="str">
        <f t="shared" si="7"/>
        <v>4</v>
      </c>
      <c r="F139" s="98"/>
      <c r="I139" s="337"/>
    </row>
    <row r="140" spans="2:9">
      <c r="B140" s="337"/>
      <c r="C140" s="339"/>
      <c r="D140" s="97">
        <f t="shared" ref="D140:D203" si="8">YEAR(A140)</f>
        <v>1900</v>
      </c>
      <c r="E140" s="97" t="str">
        <f t="shared" ref="E140:E203" si="9">IF(MONTH(A140)=3,"1",IF(MONTH(A140)=6,"2",IF(MONTH(A140)=9,"3","4")))</f>
        <v>4</v>
      </c>
      <c r="F140" s="98"/>
      <c r="I140" s="337"/>
    </row>
    <row r="141" spans="2:9">
      <c r="B141" s="337"/>
      <c r="C141" s="339"/>
      <c r="D141" s="97">
        <f t="shared" si="8"/>
        <v>1900</v>
      </c>
      <c r="E141" s="97" t="str">
        <f t="shared" si="9"/>
        <v>4</v>
      </c>
      <c r="F141" s="98"/>
      <c r="I141" s="337"/>
    </row>
    <row r="142" spans="2:9">
      <c r="B142" s="337"/>
      <c r="C142" s="339"/>
      <c r="D142" s="97">
        <f t="shared" si="8"/>
        <v>1900</v>
      </c>
      <c r="E142" s="97" t="str">
        <f t="shared" si="9"/>
        <v>4</v>
      </c>
      <c r="F142" s="98"/>
      <c r="I142" s="337"/>
    </row>
    <row r="143" spans="2:9">
      <c r="B143" s="337"/>
      <c r="C143" s="339"/>
      <c r="D143" s="97">
        <f t="shared" si="8"/>
        <v>1900</v>
      </c>
      <c r="E143" s="97" t="str">
        <f t="shared" si="9"/>
        <v>4</v>
      </c>
      <c r="F143" s="98"/>
      <c r="I143" s="337"/>
    </row>
    <row r="144" spans="2:9">
      <c r="B144" s="337"/>
      <c r="C144" s="339"/>
      <c r="D144" s="97">
        <f t="shared" si="8"/>
        <v>1900</v>
      </c>
      <c r="E144" s="97" t="str">
        <f t="shared" si="9"/>
        <v>4</v>
      </c>
      <c r="F144" s="98"/>
      <c r="I144" s="337"/>
    </row>
    <row r="145" spans="2:9">
      <c r="B145" s="337"/>
      <c r="C145" s="339"/>
      <c r="D145" s="97">
        <f t="shared" si="8"/>
        <v>1900</v>
      </c>
      <c r="E145" s="97" t="str">
        <f t="shared" si="9"/>
        <v>4</v>
      </c>
      <c r="F145" s="98"/>
      <c r="I145" s="337"/>
    </row>
    <row r="146" spans="2:9">
      <c r="B146" s="337"/>
      <c r="C146" s="339"/>
      <c r="D146" s="97">
        <f t="shared" si="8"/>
        <v>1900</v>
      </c>
      <c r="E146" s="97" t="str">
        <f t="shared" si="9"/>
        <v>4</v>
      </c>
      <c r="F146" s="98"/>
      <c r="I146" s="337"/>
    </row>
    <row r="147" spans="2:9">
      <c r="B147" s="337"/>
      <c r="C147" s="339"/>
      <c r="D147" s="97">
        <f t="shared" si="8"/>
        <v>1900</v>
      </c>
      <c r="E147" s="97" t="str">
        <f t="shared" si="9"/>
        <v>4</v>
      </c>
      <c r="F147" s="98"/>
      <c r="I147" s="337"/>
    </row>
    <row r="148" spans="2:9">
      <c r="B148" s="337"/>
      <c r="C148" s="339"/>
      <c r="D148" s="97">
        <f t="shared" si="8"/>
        <v>1900</v>
      </c>
      <c r="E148" s="97" t="str">
        <f t="shared" si="9"/>
        <v>4</v>
      </c>
      <c r="F148" s="98"/>
      <c r="I148" s="337"/>
    </row>
    <row r="149" spans="2:9">
      <c r="B149" s="337"/>
      <c r="C149" s="339"/>
      <c r="D149" s="97">
        <f t="shared" si="8"/>
        <v>1900</v>
      </c>
      <c r="E149" s="97" t="str">
        <f t="shared" si="9"/>
        <v>4</v>
      </c>
      <c r="F149" s="98"/>
      <c r="I149" s="337"/>
    </row>
    <row r="150" spans="2:9">
      <c r="B150" s="337"/>
      <c r="C150" s="339"/>
      <c r="D150" s="97">
        <f t="shared" si="8"/>
        <v>1900</v>
      </c>
      <c r="E150" s="97" t="str">
        <f t="shared" si="9"/>
        <v>4</v>
      </c>
      <c r="F150" s="98"/>
      <c r="I150" s="337"/>
    </row>
    <row r="151" spans="2:9">
      <c r="B151" s="337"/>
      <c r="C151" s="339"/>
      <c r="D151" s="97">
        <f t="shared" si="8"/>
        <v>1900</v>
      </c>
      <c r="E151" s="97" t="str">
        <f t="shared" si="9"/>
        <v>4</v>
      </c>
      <c r="F151" s="98"/>
      <c r="I151" s="337"/>
    </row>
    <row r="152" spans="2:9">
      <c r="B152" s="337"/>
      <c r="C152" s="339"/>
      <c r="D152" s="97">
        <f t="shared" si="8"/>
        <v>1900</v>
      </c>
      <c r="E152" s="97" t="str">
        <f t="shared" si="9"/>
        <v>4</v>
      </c>
      <c r="F152" s="98"/>
      <c r="I152" s="337"/>
    </row>
    <row r="153" spans="2:9">
      <c r="B153" s="337"/>
      <c r="C153" s="339"/>
      <c r="D153" s="97">
        <f t="shared" si="8"/>
        <v>1900</v>
      </c>
      <c r="E153" s="97" t="str">
        <f t="shared" si="9"/>
        <v>4</v>
      </c>
      <c r="F153" s="98"/>
      <c r="I153" s="337"/>
    </row>
    <row r="154" spans="2:9">
      <c r="B154" s="337"/>
      <c r="C154" s="339"/>
      <c r="D154" s="97">
        <f t="shared" si="8"/>
        <v>1900</v>
      </c>
      <c r="E154" s="97" t="str">
        <f t="shared" si="9"/>
        <v>4</v>
      </c>
      <c r="F154" s="98"/>
      <c r="I154" s="337"/>
    </row>
    <row r="155" spans="2:9">
      <c r="B155" s="337"/>
      <c r="C155" s="339"/>
      <c r="D155" s="97">
        <f t="shared" si="8"/>
        <v>1900</v>
      </c>
      <c r="E155" s="97" t="str">
        <f t="shared" si="9"/>
        <v>4</v>
      </c>
      <c r="F155" s="98"/>
      <c r="I155" s="337"/>
    </row>
    <row r="156" spans="2:9">
      <c r="B156" s="337"/>
      <c r="C156" s="339"/>
      <c r="D156" s="97">
        <f t="shared" si="8"/>
        <v>1900</v>
      </c>
      <c r="E156" s="97" t="str">
        <f t="shared" si="9"/>
        <v>4</v>
      </c>
      <c r="F156" s="98"/>
      <c r="I156" s="337"/>
    </row>
    <row r="157" spans="2:9">
      <c r="B157" s="337"/>
      <c r="C157" s="339"/>
      <c r="D157" s="97">
        <f t="shared" si="8"/>
        <v>1900</v>
      </c>
      <c r="E157" s="97" t="str">
        <f t="shared" si="9"/>
        <v>4</v>
      </c>
      <c r="F157" s="98"/>
      <c r="I157" s="337"/>
    </row>
    <row r="158" spans="2:9">
      <c r="B158" s="337"/>
      <c r="C158" s="339"/>
      <c r="D158" s="97">
        <f t="shared" si="8"/>
        <v>1900</v>
      </c>
      <c r="E158" s="97" t="str">
        <f t="shared" si="9"/>
        <v>4</v>
      </c>
      <c r="F158" s="98"/>
      <c r="I158" s="337"/>
    </row>
    <row r="159" spans="2:9">
      <c r="B159" s="337"/>
      <c r="C159" s="339"/>
      <c r="D159" s="97">
        <f t="shared" si="8"/>
        <v>1900</v>
      </c>
      <c r="E159" s="97" t="str">
        <f t="shared" si="9"/>
        <v>4</v>
      </c>
      <c r="F159" s="98"/>
      <c r="I159" s="337"/>
    </row>
    <row r="160" spans="2:9">
      <c r="B160" s="337"/>
      <c r="C160" s="339"/>
      <c r="D160" s="97">
        <f t="shared" si="8"/>
        <v>1900</v>
      </c>
      <c r="E160" s="97" t="str">
        <f t="shared" si="9"/>
        <v>4</v>
      </c>
      <c r="F160" s="98"/>
      <c r="I160" s="337"/>
    </row>
    <row r="161" spans="2:9">
      <c r="B161" s="337"/>
      <c r="C161" s="339"/>
      <c r="D161" s="97">
        <f t="shared" si="8"/>
        <v>1900</v>
      </c>
      <c r="E161" s="97" t="str">
        <f t="shared" si="9"/>
        <v>4</v>
      </c>
      <c r="F161" s="98"/>
      <c r="I161" s="337"/>
    </row>
    <row r="162" spans="2:9">
      <c r="C162" s="339"/>
      <c r="D162" s="97">
        <f t="shared" si="8"/>
        <v>1900</v>
      </c>
      <c r="E162" s="97" t="str">
        <f t="shared" si="9"/>
        <v>4</v>
      </c>
      <c r="F162" s="98"/>
      <c r="I162" s="337"/>
    </row>
    <row r="163" spans="2:9">
      <c r="C163" s="339"/>
      <c r="D163" s="97">
        <f t="shared" si="8"/>
        <v>1900</v>
      </c>
      <c r="E163" s="97" t="str">
        <f t="shared" si="9"/>
        <v>4</v>
      </c>
      <c r="F163" s="98"/>
      <c r="I163" s="337"/>
    </row>
    <row r="164" spans="2:9">
      <c r="C164" s="339"/>
      <c r="D164" s="97">
        <f t="shared" si="8"/>
        <v>1900</v>
      </c>
      <c r="E164" s="97" t="str">
        <f t="shared" si="9"/>
        <v>4</v>
      </c>
      <c r="F164" s="98"/>
      <c r="I164" s="337"/>
    </row>
    <row r="165" spans="2:9">
      <c r="C165" s="339"/>
      <c r="D165" s="97">
        <f t="shared" si="8"/>
        <v>1900</v>
      </c>
      <c r="E165" s="97" t="str">
        <f t="shared" si="9"/>
        <v>4</v>
      </c>
      <c r="F165" s="98"/>
      <c r="I165" s="337"/>
    </row>
    <row r="166" spans="2:9">
      <c r="C166" s="339"/>
      <c r="D166" s="97">
        <f t="shared" si="8"/>
        <v>1900</v>
      </c>
      <c r="E166" s="97" t="str">
        <f t="shared" si="9"/>
        <v>4</v>
      </c>
      <c r="F166" s="98"/>
      <c r="I166" s="337"/>
    </row>
    <row r="167" spans="2:9">
      <c r="C167" s="339"/>
      <c r="D167" s="97">
        <f t="shared" si="8"/>
        <v>1900</v>
      </c>
      <c r="E167" s="97" t="str">
        <f t="shared" si="9"/>
        <v>4</v>
      </c>
      <c r="F167" s="98"/>
      <c r="I167" s="337"/>
    </row>
    <row r="168" spans="2:9">
      <c r="C168" s="339"/>
      <c r="D168" s="97">
        <f t="shared" si="8"/>
        <v>1900</v>
      </c>
      <c r="E168" s="97" t="str">
        <f t="shared" si="9"/>
        <v>4</v>
      </c>
      <c r="F168" s="98"/>
      <c r="I168" s="337"/>
    </row>
    <row r="169" spans="2:9">
      <c r="C169" s="339"/>
      <c r="D169" s="97">
        <f t="shared" si="8"/>
        <v>1900</v>
      </c>
      <c r="E169" s="97" t="str">
        <f t="shared" si="9"/>
        <v>4</v>
      </c>
      <c r="F169" s="98"/>
      <c r="I169" s="337"/>
    </row>
    <row r="170" spans="2:9">
      <c r="C170" s="339"/>
      <c r="D170" s="97">
        <f t="shared" si="8"/>
        <v>1900</v>
      </c>
      <c r="E170" s="97" t="str">
        <f t="shared" si="9"/>
        <v>4</v>
      </c>
      <c r="F170" s="98"/>
      <c r="I170" s="337"/>
    </row>
    <row r="171" spans="2:9">
      <c r="C171" s="339"/>
      <c r="D171" s="97">
        <f t="shared" si="8"/>
        <v>1900</v>
      </c>
      <c r="E171" s="97" t="str">
        <f t="shared" si="9"/>
        <v>4</v>
      </c>
      <c r="F171" s="98"/>
      <c r="I171" s="337"/>
    </row>
    <row r="172" spans="2:9">
      <c r="C172" s="339"/>
      <c r="D172" s="97">
        <f t="shared" si="8"/>
        <v>1900</v>
      </c>
      <c r="E172" s="97" t="str">
        <f t="shared" si="9"/>
        <v>4</v>
      </c>
      <c r="F172" s="98"/>
      <c r="I172" s="337"/>
    </row>
    <row r="173" spans="2:9">
      <c r="C173" s="339"/>
      <c r="D173" s="97">
        <f t="shared" si="8"/>
        <v>1900</v>
      </c>
      <c r="E173" s="97" t="str">
        <f t="shared" si="9"/>
        <v>4</v>
      </c>
      <c r="F173" s="98"/>
      <c r="I173" s="337"/>
    </row>
    <row r="174" spans="2:9">
      <c r="C174" s="339"/>
      <c r="D174" s="97">
        <f t="shared" si="8"/>
        <v>1900</v>
      </c>
      <c r="E174" s="97" t="str">
        <f t="shared" si="9"/>
        <v>4</v>
      </c>
      <c r="F174" s="98"/>
      <c r="I174" s="337"/>
    </row>
    <row r="175" spans="2:9">
      <c r="C175" s="339"/>
      <c r="D175" s="97">
        <f t="shared" si="8"/>
        <v>1900</v>
      </c>
      <c r="E175" s="97" t="str">
        <f t="shared" si="9"/>
        <v>4</v>
      </c>
      <c r="F175" s="98"/>
      <c r="I175" s="337"/>
    </row>
    <row r="176" spans="2:9">
      <c r="C176" s="339"/>
      <c r="D176" s="97">
        <f t="shared" si="8"/>
        <v>1900</v>
      </c>
      <c r="E176" s="97" t="str">
        <f t="shared" si="9"/>
        <v>4</v>
      </c>
      <c r="F176" s="98"/>
      <c r="I176" s="337"/>
    </row>
    <row r="177" spans="3:9">
      <c r="C177" s="339"/>
      <c r="D177" s="97">
        <f t="shared" si="8"/>
        <v>1900</v>
      </c>
      <c r="E177" s="97" t="str">
        <f t="shared" si="9"/>
        <v>4</v>
      </c>
      <c r="F177" s="98"/>
      <c r="I177" s="337"/>
    </row>
    <row r="178" spans="3:9">
      <c r="C178" s="339"/>
      <c r="D178" s="97">
        <f t="shared" si="8"/>
        <v>1900</v>
      </c>
      <c r="E178" s="97" t="str">
        <f t="shared" si="9"/>
        <v>4</v>
      </c>
      <c r="F178" s="98"/>
      <c r="I178" s="337"/>
    </row>
    <row r="179" spans="3:9">
      <c r="C179" s="339"/>
      <c r="D179" s="97">
        <f t="shared" si="8"/>
        <v>1900</v>
      </c>
      <c r="E179" s="97" t="str">
        <f t="shared" si="9"/>
        <v>4</v>
      </c>
      <c r="F179" s="98"/>
      <c r="I179" s="337"/>
    </row>
    <row r="180" spans="3:9">
      <c r="C180" s="339"/>
      <c r="D180" s="97">
        <f t="shared" si="8"/>
        <v>1900</v>
      </c>
      <c r="E180" s="97" t="str">
        <f t="shared" si="9"/>
        <v>4</v>
      </c>
      <c r="F180" s="98"/>
      <c r="I180" s="337"/>
    </row>
    <row r="181" spans="3:9">
      <c r="C181" s="339"/>
      <c r="D181" s="97">
        <f t="shared" si="8"/>
        <v>1900</v>
      </c>
      <c r="E181" s="97" t="str">
        <f t="shared" si="9"/>
        <v>4</v>
      </c>
      <c r="F181" s="98"/>
      <c r="I181" s="337"/>
    </row>
    <row r="182" spans="3:9">
      <c r="C182" s="339"/>
      <c r="D182" s="97">
        <f t="shared" si="8"/>
        <v>1900</v>
      </c>
      <c r="E182" s="97" t="str">
        <f t="shared" si="9"/>
        <v>4</v>
      </c>
      <c r="F182" s="98"/>
      <c r="I182" s="337"/>
    </row>
    <row r="183" spans="3:9">
      <c r="C183" s="339"/>
      <c r="D183" s="97">
        <f t="shared" si="8"/>
        <v>1900</v>
      </c>
      <c r="E183" s="97" t="str">
        <f t="shared" si="9"/>
        <v>4</v>
      </c>
      <c r="F183" s="98"/>
      <c r="I183" s="337"/>
    </row>
    <row r="184" spans="3:9">
      <c r="C184" s="339"/>
      <c r="D184" s="97">
        <f t="shared" si="8"/>
        <v>1900</v>
      </c>
      <c r="E184" s="97" t="str">
        <f t="shared" si="9"/>
        <v>4</v>
      </c>
      <c r="F184" s="98"/>
      <c r="I184" s="337"/>
    </row>
    <row r="185" spans="3:9">
      <c r="C185" s="339"/>
      <c r="D185" s="97">
        <f t="shared" si="8"/>
        <v>1900</v>
      </c>
      <c r="E185" s="97" t="str">
        <f t="shared" si="9"/>
        <v>4</v>
      </c>
      <c r="F185" s="98"/>
      <c r="I185" s="337"/>
    </row>
    <row r="186" spans="3:9">
      <c r="C186" s="339"/>
      <c r="D186" s="97">
        <f t="shared" si="8"/>
        <v>1900</v>
      </c>
      <c r="E186" s="97" t="str">
        <f t="shared" si="9"/>
        <v>4</v>
      </c>
      <c r="F186" s="98"/>
      <c r="I186" s="337"/>
    </row>
    <row r="187" spans="3:9">
      <c r="C187" s="339"/>
      <c r="D187" s="97">
        <f t="shared" si="8"/>
        <v>1900</v>
      </c>
      <c r="E187" s="97" t="str">
        <f t="shared" si="9"/>
        <v>4</v>
      </c>
      <c r="F187" s="98"/>
      <c r="I187" s="337"/>
    </row>
    <row r="188" spans="3:9">
      <c r="C188" s="339"/>
      <c r="D188" s="97">
        <f t="shared" si="8"/>
        <v>1900</v>
      </c>
      <c r="E188" s="97" t="str">
        <f t="shared" si="9"/>
        <v>4</v>
      </c>
      <c r="F188" s="98"/>
      <c r="I188" s="337"/>
    </row>
    <row r="189" spans="3:9">
      <c r="C189" s="339"/>
      <c r="D189" s="97">
        <f t="shared" si="8"/>
        <v>1900</v>
      </c>
      <c r="E189" s="97" t="str">
        <f t="shared" si="9"/>
        <v>4</v>
      </c>
      <c r="F189" s="98"/>
      <c r="I189" s="337"/>
    </row>
    <row r="190" spans="3:9">
      <c r="C190" s="339"/>
      <c r="D190" s="97">
        <f t="shared" si="8"/>
        <v>1900</v>
      </c>
      <c r="E190" s="97" t="str">
        <f t="shared" si="9"/>
        <v>4</v>
      </c>
      <c r="F190" s="98"/>
      <c r="I190" s="337"/>
    </row>
    <row r="191" spans="3:9">
      <c r="C191" s="339"/>
      <c r="D191" s="97">
        <f t="shared" si="8"/>
        <v>1900</v>
      </c>
      <c r="E191" s="97" t="str">
        <f t="shared" si="9"/>
        <v>4</v>
      </c>
      <c r="F191" s="98"/>
      <c r="I191" s="337"/>
    </row>
    <row r="192" spans="3:9">
      <c r="C192" s="339"/>
      <c r="D192" s="97">
        <f t="shared" si="8"/>
        <v>1900</v>
      </c>
      <c r="E192" s="97" t="str">
        <f t="shared" si="9"/>
        <v>4</v>
      </c>
      <c r="F192" s="98"/>
      <c r="I192" s="337"/>
    </row>
    <row r="193" spans="3:9">
      <c r="C193" s="339"/>
      <c r="D193" s="97">
        <f t="shared" si="8"/>
        <v>1900</v>
      </c>
      <c r="E193" s="97" t="str">
        <f t="shared" si="9"/>
        <v>4</v>
      </c>
      <c r="F193" s="98"/>
      <c r="I193" s="337"/>
    </row>
    <row r="194" spans="3:9">
      <c r="C194" s="339"/>
      <c r="D194" s="97">
        <f t="shared" si="8"/>
        <v>1900</v>
      </c>
      <c r="E194" s="97" t="str">
        <f t="shared" si="9"/>
        <v>4</v>
      </c>
      <c r="F194" s="98"/>
      <c r="I194" s="337"/>
    </row>
    <row r="195" spans="3:9">
      <c r="C195" s="339"/>
      <c r="D195" s="97">
        <f t="shared" si="8"/>
        <v>1900</v>
      </c>
      <c r="E195" s="97" t="str">
        <f t="shared" si="9"/>
        <v>4</v>
      </c>
      <c r="F195" s="98"/>
      <c r="I195" s="337"/>
    </row>
    <row r="196" spans="3:9">
      <c r="C196" s="339"/>
      <c r="D196" s="97">
        <f t="shared" si="8"/>
        <v>1900</v>
      </c>
      <c r="E196" s="97" t="str">
        <f t="shared" si="9"/>
        <v>4</v>
      </c>
      <c r="F196" s="98"/>
      <c r="I196" s="337"/>
    </row>
    <row r="197" spans="3:9">
      <c r="C197" s="339"/>
      <c r="D197" s="97">
        <f t="shared" si="8"/>
        <v>1900</v>
      </c>
      <c r="E197" s="97" t="str">
        <f t="shared" si="9"/>
        <v>4</v>
      </c>
      <c r="F197" s="98"/>
      <c r="I197" s="337"/>
    </row>
    <row r="198" spans="3:9">
      <c r="C198" s="339"/>
      <c r="D198" s="97">
        <f t="shared" si="8"/>
        <v>1900</v>
      </c>
      <c r="E198" s="97" t="str">
        <f t="shared" si="9"/>
        <v>4</v>
      </c>
      <c r="F198" s="98"/>
      <c r="I198" s="337"/>
    </row>
    <row r="199" spans="3:9">
      <c r="C199" s="339"/>
      <c r="D199" s="97">
        <f t="shared" si="8"/>
        <v>1900</v>
      </c>
      <c r="E199" s="97" t="str">
        <f t="shared" si="9"/>
        <v>4</v>
      </c>
      <c r="F199" s="98"/>
      <c r="I199" s="337"/>
    </row>
    <row r="200" spans="3:9">
      <c r="C200" s="339"/>
      <c r="D200" s="97">
        <f t="shared" si="8"/>
        <v>1900</v>
      </c>
      <c r="E200" s="97" t="str">
        <f t="shared" si="9"/>
        <v>4</v>
      </c>
      <c r="F200" s="98"/>
      <c r="I200" s="337"/>
    </row>
    <row r="201" spans="3:9">
      <c r="C201" s="339"/>
      <c r="D201" s="97">
        <f t="shared" si="8"/>
        <v>1900</v>
      </c>
      <c r="E201" s="97" t="str">
        <f t="shared" si="9"/>
        <v>4</v>
      </c>
      <c r="F201" s="98"/>
      <c r="I201" s="337"/>
    </row>
    <row r="202" spans="3:9">
      <c r="C202" s="339"/>
      <c r="D202" s="97">
        <f t="shared" si="8"/>
        <v>1900</v>
      </c>
      <c r="E202" s="97" t="str">
        <f t="shared" si="9"/>
        <v>4</v>
      </c>
      <c r="F202" s="98"/>
      <c r="I202" s="337"/>
    </row>
    <row r="203" spans="3:9">
      <c r="C203" s="339"/>
      <c r="D203" s="97">
        <f t="shared" si="8"/>
        <v>1900</v>
      </c>
      <c r="E203" s="97" t="str">
        <f t="shared" si="9"/>
        <v>4</v>
      </c>
      <c r="F203" s="98"/>
      <c r="I203" s="337"/>
    </row>
    <row r="204" spans="3:9">
      <c r="C204" s="339"/>
      <c r="D204" s="97">
        <f t="shared" ref="D204:D250" si="10">YEAR(A204)</f>
        <v>1900</v>
      </c>
      <c r="E204" s="97" t="str">
        <f t="shared" ref="E204:E250" si="11">IF(MONTH(A204)=3,"1",IF(MONTH(A204)=6,"2",IF(MONTH(A204)=9,"3","4")))</f>
        <v>4</v>
      </c>
      <c r="F204" s="98"/>
      <c r="I204" s="337"/>
    </row>
    <row r="205" spans="3:9">
      <c r="C205" s="339"/>
      <c r="D205" s="97">
        <f t="shared" si="10"/>
        <v>1900</v>
      </c>
      <c r="E205" s="97" t="str">
        <f t="shared" si="11"/>
        <v>4</v>
      </c>
      <c r="F205" s="98"/>
      <c r="I205" s="337"/>
    </row>
    <row r="206" spans="3:9">
      <c r="C206" s="339"/>
      <c r="D206" s="97">
        <f t="shared" si="10"/>
        <v>1900</v>
      </c>
      <c r="E206" s="97" t="str">
        <f t="shared" si="11"/>
        <v>4</v>
      </c>
      <c r="F206" s="98"/>
      <c r="I206" s="337"/>
    </row>
    <row r="207" spans="3:9">
      <c r="C207" s="339"/>
      <c r="D207" s="97">
        <f t="shared" si="10"/>
        <v>1900</v>
      </c>
      <c r="E207" s="97" t="str">
        <f t="shared" si="11"/>
        <v>4</v>
      </c>
      <c r="F207" s="98"/>
      <c r="I207" s="337"/>
    </row>
    <row r="208" spans="3:9">
      <c r="C208" s="339"/>
      <c r="D208" s="97">
        <f t="shared" si="10"/>
        <v>1900</v>
      </c>
      <c r="E208" s="97" t="str">
        <f t="shared" si="11"/>
        <v>4</v>
      </c>
      <c r="F208" s="98"/>
      <c r="I208" s="337"/>
    </row>
    <row r="209" spans="3:9">
      <c r="C209" s="339"/>
      <c r="D209" s="97">
        <f t="shared" si="10"/>
        <v>1900</v>
      </c>
      <c r="E209" s="97" t="str">
        <f t="shared" si="11"/>
        <v>4</v>
      </c>
      <c r="F209" s="98"/>
      <c r="I209" s="337"/>
    </row>
    <row r="210" spans="3:9">
      <c r="C210" s="339"/>
      <c r="D210" s="97">
        <f t="shared" si="10"/>
        <v>1900</v>
      </c>
      <c r="E210" s="97" t="str">
        <f t="shared" si="11"/>
        <v>4</v>
      </c>
      <c r="F210" s="98"/>
      <c r="I210" s="337"/>
    </row>
    <row r="211" spans="3:9">
      <c r="C211" s="339"/>
      <c r="D211" s="97">
        <f t="shared" si="10"/>
        <v>1900</v>
      </c>
      <c r="E211" s="97" t="str">
        <f t="shared" si="11"/>
        <v>4</v>
      </c>
      <c r="F211" s="98"/>
      <c r="I211" s="337"/>
    </row>
    <row r="212" spans="3:9">
      <c r="C212" s="339"/>
      <c r="D212" s="97">
        <f t="shared" si="10"/>
        <v>1900</v>
      </c>
      <c r="E212" s="97" t="str">
        <f t="shared" si="11"/>
        <v>4</v>
      </c>
      <c r="F212" s="98"/>
      <c r="I212" s="337"/>
    </row>
    <row r="213" spans="3:9">
      <c r="C213" s="339"/>
      <c r="D213" s="97">
        <f t="shared" si="10"/>
        <v>1900</v>
      </c>
      <c r="E213" s="97" t="str">
        <f t="shared" si="11"/>
        <v>4</v>
      </c>
      <c r="F213" s="98"/>
      <c r="I213" s="337"/>
    </row>
    <row r="214" spans="3:9">
      <c r="C214" s="339"/>
      <c r="D214" s="97">
        <f t="shared" si="10"/>
        <v>1900</v>
      </c>
      <c r="E214" s="97" t="str">
        <f t="shared" si="11"/>
        <v>4</v>
      </c>
      <c r="F214" s="98"/>
      <c r="I214" s="337"/>
    </row>
    <row r="215" spans="3:9">
      <c r="C215" s="339"/>
      <c r="D215" s="97">
        <f t="shared" si="10"/>
        <v>1900</v>
      </c>
      <c r="E215" s="97" t="str">
        <f t="shared" si="11"/>
        <v>4</v>
      </c>
      <c r="F215" s="98"/>
      <c r="I215" s="337"/>
    </row>
    <row r="216" spans="3:9">
      <c r="C216" s="339"/>
      <c r="D216" s="97">
        <f t="shared" si="10"/>
        <v>1900</v>
      </c>
      <c r="E216" s="97" t="str">
        <f t="shared" si="11"/>
        <v>4</v>
      </c>
      <c r="F216" s="98"/>
      <c r="I216" s="337"/>
    </row>
    <row r="217" spans="3:9">
      <c r="C217" s="339"/>
      <c r="D217" s="97">
        <f t="shared" si="10"/>
        <v>1900</v>
      </c>
      <c r="E217" s="97" t="str">
        <f t="shared" si="11"/>
        <v>4</v>
      </c>
      <c r="F217" s="98"/>
      <c r="I217" s="337"/>
    </row>
    <row r="218" spans="3:9">
      <c r="C218" s="339"/>
      <c r="D218" s="97">
        <f t="shared" si="10"/>
        <v>1900</v>
      </c>
      <c r="E218" s="97" t="str">
        <f t="shared" si="11"/>
        <v>4</v>
      </c>
      <c r="F218" s="98"/>
      <c r="I218" s="337"/>
    </row>
    <row r="219" spans="3:9">
      <c r="C219" s="339"/>
      <c r="D219" s="97">
        <f t="shared" si="10"/>
        <v>1900</v>
      </c>
      <c r="E219" s="97" t="str">
        <f t="shared" si="11"/>
        <v>4</v>
      </c>
      <c r="F219" s="98"/>
      <c r="I219" s="337"/>
    </row>
    <row r="220" spans="3:9">
      <c r="C220" s="339"/>
      <c r="D220" s="97">
        <f t="shared" si="10"/>
        <v>1900</v>
      </c>
      <c r="E220" s="97" t="str">
        <f t="shared" si="11"/>
        <v>4</v>
      </c>
      <c r="F220" s="98"/>
      <c r="I220" s="337"/>
    </row>
    <row r="221" spans="3:9">
      <c r="C221" s="339"/>
      <c r="D221" s="97">
        <f t="shared" si="10"/>
        <v>1900</v>
      </c>
      <c r="E221" s="97" t="str">
        <f t="shared" si="11"/>
        <v>4</v>
      </c>
      <c r="F221" s="98"/>
      <c r="I221" s="337"/>
    </row>
    <row r="222" spans="3:9">
      <c r="C222" s="339"/>
      <c r="D222" s="97">
        <f t="shared" si="10"/>
        <v>1900</v>
      </c>
      <c r="E222" s="97" t="str">
        <f t="shared" si="11"/>
        <v>4</v>
      </c>
      <c r="F222" s="98"/>
      <c r="I222" s="337"/>
    </row>
    <row r="223" spans="3:9">
      <c r="C223" s="339"/>
      <c r="D223" s="97">
        <f t="shared" si="10"/>
        <v>1900</v>
      </c>
      <c r="E223" s="97" t="str">
        <f t="shared" si="11"/>
        <v>4</v>
      </c>
      <c r="F223" s="98"/>
      <c r="I223" s="337"/>
    </row>
    <row r="224" spans="3:9">
      <c r="C224" s="339"/>
      <c r="D224" s="97">
        <f t="shared" si="10"/>
        <v>1900</v>
      </c>
      <c r="E224" s="97" t="str">
        <f t="shared" si="11"/>
        <v>4</v>
      </c>
      <c r="F224" s="98"/>
      <c r="I224" s="337"/>
    </row>
    <row r="225" spans="3:9">
      <c r="C225" s="339"/>
      <c r="D225" s="97">
        <f t="shared" si="10"/>
        <v>1900</v>
      </c>
      <c r="E225" s="97" t="str">
        <f t="shared" si="11"/>
        <v>4</v>
      </c>
      <c r="F225" s="98"/>
      <c r="I225" s="337"/>
    </row>
    <row r="226" spans="3:9">
      <c r="C226" s="339"/>
      <c r="D226" s="97">
        <f t="shared" si="10"/>
        <v>1900</v>
      </c>
      <c r="E226" s="97" t="str">
        <f t="shared" si="11"/>
        <v>4</v>
      </c>
      <c r="F226" s="98"/>
      <c r="I226" s="337"/>
    </row>
    <row r="227" spans="3:9">
      <c r="C227" s="339"/>
      <c r="D227" s="97">
        <f t="shared" si="10"/>
        <v>1900</v>
      </c>
      <c r="E227" s="97" t="str">
        <f t="shared" si="11"/>
        <v>4</v>
      </c>
      <c r="F227" s="98"/>
      <c r="I227" s="337"/>
    </row>
    <row r="228" spans="3:9">
      <c r="C228" s="339"/>
      <c r="D228" s="97">
        <f t="shared" si="10"/>
        <v>1900</v>
      </c>
      <c r="E228" s="97" t="str">
        <f t="shared" si="11"/>
        <v>4</v>
      </c>
      <c r="F228" s="98"/>
      <c r="I228" s="337"/>
    </row>
    <row r="229" spans="3:9">
      <c r="C229" s="339"/>
      <c r="D229" s="97">
        <f t="shared" si="10"/>
        <v>1900</v>
      </c>
      <c r="E229" s="97" t="str">
        <f t="shared" si="11"/>
        <v>4</v>
      </c>
      <c r="F229" s="98"/>
      <c r="I229" s="337"/>
    </row>
    <row r="230" spans="3:9">
      <c r="C230" s="339"/>
      <c r="D230" s="97">
        <f t="shared" si="10"/>
        <v>1900</v>
      </c>
      <c r="E230" s="97" t="str">
        <f t="shared" si="11"/>
        <v>4</v>
      </c>
      <c r="F230" s="98"/>
      <c r="I230" s="337"/>
    </row>
    <row r="231" spans="3:9">
      <c r="C231" s="339"/>
      <c r="D231" s="97">
        <f t="shared" si="10"/>
        <v>1900</v>
      </c>
      <c r="E231" s="97" t="str">
        <f t="shared" si="11"/>
        <v>4</v>
      </c>
      <c r="F231" s="98"/>
      <c r="I231" s="337"/>
    </row>
    <row r="232" spans="3:9">
      <c r="C232" s="339"/>
      <c r="D232" s="97">
        <f t="shared" si="10"/>
        <v>1900</v>
      </c>
      <c r="E232" s="97" t="str">
        <f t="shared" si="11"/>
        <v>4</v>
      </c>
      <c r="F232" s="98"/>
      <c r="I232" s="337"/>
    </row>
    <row r="233" spans="3:9">
      <c r="C233" s="339"/>
      <c r="D233" s="97">
        <f t="shared" si="10"/>
        <v>1900</v>
      </c>
      <c r="E233" s="97" t="str">
        <f t="shared" si="11"/>
        <v>4</v>
      </c>
      <c r="F233" s="98"/>
      <c r="I233" s="337"/>
    </row>
    <row r="234" spans="3:9">
      <c r="C234" s="339"/>
      <c r="D234" s="97">
        <f t="shared" si="10"/>
        <v>1900</v>
      </c>
      <c r="E234" s="97" t="str">
        <f t="shared" si="11"/>
        <v>4</v>
      </c>
      <c r="F234" s="98"/>
      <c r="I234" s="337"/>
    </row>
    <row r="235" spans="3:9">
      <c r="C235" s="339"/>
      <c r="D235" s="97">
        <f t="shared" si="10"/>
        <v>1900</v>
      </c>
      <c r="E235" s="97" t="str">
        <f t="shared" si="11"/>
        <v>4</v>
      </c>
      <c r="F235" s="98"/>
      <c r="I235" s="337"/>
    </row>
    <row r="236" spans="3:9">
      <c r="C236" s="339"/>
      <c r="D236" s="97">
        <f t="shared" si="10"/>
        <v>1900</v>
      </c>
      <c r="E236" s="97" t="str">
        <f t="shared" si="11"/>
        <v>4</v>
      </c>
      <c r="F236" s="98"/>
      <c r="I236" s="337"/>
    </row>
    <row r="237" spans="3:9">
      <c r="C237" s="339"/>
      <c r="D237" s="97">
        <f t="shared" si="10"/>
        <v>1900</v>
      </c>
      <c r="E237" s="97" t="str">
        <f t="shared" si="11"/>
        <v>4</v>
      </c>
      <c r="F237" s="98"/>
      <c r="I237" s="337"/>
    </row>
    <row r="238" spans="3:9">
      <c r="C238" s="339"/>
      <c r="D238" s="97">
        <f t="shared" si="10"/>
        <v>1900</v>
      </c>
      <c r="E238" s="97" t="str">
        <f t="shared" si="11"/>
        <v>4</v>
      </c>
      <c r="F238" s="98"/>
      <c r="I238" s="337"/>
    </row>
    <row r="239" spans="3:9">
      <c r="C239" s="339"/>
      <c r="D239" s="97">
        <f t="shared" si="10"/>
        <v>1900</v>
      </c>
      <c r="E239" s="97" t="str">
        <f t="shared" si="11"/>
        <v>4</v>
      </c>
      <c r="F239" s="98"/>
      <c r="I239" s="337"/>
    </row>
    <row r="240" spans="3:9">
      <c r="C240" s="339"/>
      <c r="D240" s="97">
        <f t="shared" si="10"/>
        <v>1900</v>
      </c>
      <c r="E240" s="97" t="str">
        <f t="shared" si="11"/>
        <v>4</v>
      </c>
      <c r="F240" s="98"/>
      <c r="I240" s="337"/>
    </row>
    <row r="241" spans="3:9">
      <c r="C241" s="339"/>
      <c r="D241" s="97">
        <f t="shared" si="10"/>
        <v>1900</v>
      </c>
      <c r="E241" s="97" t="str">
        <f t="shared" si="11"/>
        <v>4</v>
      </c>
      <c r="F241" s="98"/>
      <c r="I241" s="337"/>
    </row>
    <row r="242" spans="3:9">
      <c r="C242" s="339"/>
      <c r="D242" s="97">
        <f t="shared" si="10"/>
        <v>1900</v>
      </c>
      <c r="E242" s="97" t="str">
        <f t="shared" si="11"/>
        <v>4</v>
      </c>
      <c r="F242" s="98"/>
      <c r="I242" s="337"/>
    </row>
    <row r="243" spans="3:9">
      <c r="C243" s="339"/>
      <c r="D243" s="97">
        <f t="shared" si="10"/>
        <v>1900</v>
      </c>
      <c r="E243" s="97" t="str">
        <f t="shared" si="11"/>
        <v>4</v>
      </c>
      <c r="F243" s="98"/>
      <c r="I243" s="337"/>
    </row>
    <row r="244" spans="3:9">
      <c r="C244" s="339"/>
      <c r="D244" s="97">
        <f t="shared" si="10"/>
        <v>1900</v>
      </c>
      <c r="E244" s="97" t="str">
        <f t="shared" si="11"/>
        <v>4</v>
      </c>
      <c r="F244" s="98"/>
      <c r="I244" s="337"/>
    </row>
    <row r="245" spans="3:9">
      <c r="C245" s="339"/>
      <c r="D245" s="97">
        <f t="shared" si="10"/>
        <v>1900</v>
      </c>
      <c r="E245" s="97" t="str">
        <f t="shared" si="11"/>
        <v>4</v>
      </c>
      <c r="F245" s="98"/>
      <c r="I245" s="337"/>
    </row>
    <row r="246" spans="3:9">
      <c r="C246" s="339"/>
      <c r="D246" s="97">
        <f t="shared" si="10"/>
        <v>1900</v>
      </c>
      <c r="E246" s="97" t="str">
        <f t="shared" si="11"/>
        <v>4</v>
      </c>
      <c r="F246" s="98"/>
      <c r="I246" s="337"/>
    </row>
    <row r="247" spans="3:9">
      <c r="C247" s="339"/>
      <c r="D247" s="97">
        <f t="shared" si="10"/>
        <v>1900</v>
      </c>
      <c r="E247" s="97" t="str">
        <f t="shared" si="11"/>
        <v>4</v>
      </c>
      <c r="F247" s="98"/>
      <c r="I247" s="337"/>
    </row>
    <row r="248" spans="3:9">
      <c r="C248" s="339"/>
      <c r="D248" s="97">
        <f t="shared" si="10"/>
        <v>1900</v>
      </c>
      <c r="E248" s="97" t="str">
        <f t="shared" si="11"/>
        <v>4</v>
      </c>
      <c r="F248" s="98"/>
      <c r="I248" s="337"/>
    </row>
    <row r="249" spans="3:9">
      <c r="C249" s="339"/>
      <c r="D249" s="97">
        <f t="shared" si="10"/>
        <v>1900</v>
      </c>
      <c r="E249" s="97" t="str">
        <f t="shared" si="11"/>
        <v>4</v>
      </c>
      <c r="F249" s="98"/>
      <c r="I249" s="337"/>
    </row>
    <row r="250" spans="3:9">
      <c r="C250" s="339"/>
      <c r="D250" s="97">
        <f t="shared" si="10"/>
        <v>1900</v>
      </c>
      <c r="E250" s="97" t="str">
        <f t="shared" si="11"/>
        <v>4</v>
      </c>
      <c r="F250" s="98"/>
      <c r="I250" s="337"/>
    </row>
    <row r="251" spans="3:9">
      <c r="C251" s="339"/>
      <c r="D251" s="340"/>
      <c r="E251" s="340"/>
      <c r="F251" s="340"/>
    </row>
    <row r="252" spans="3:9">
      <c r="C252" s="339"/>
      <c r="D252" s="340"/>
      <c r="E252" s="340"/>
      <c r="F252" s="340"/>
    </row>
    <row r="253" spans="3:9">
      <c r="C253" s="339"/>
      <c r="D253" s="340"/>
      <c r="E253" s="340"/>
      <c r="F253" s="340"/>
    </row>
    <row r="254" spans="3:9">
      <c r="C254" s="339"/>
      <c r="D254" s="340"/>
      <c r="E254" s="340"/>
      <c r="F254" s="340"/>
    </row>
    <row r="255" spans="3:9">
      <c r="C255" s="339"/>
      <c r="D255" s="340"/>
      <c r="E255" s="340"/>
      <c r="F255" s="340"/>
    </row>
    <row r="256" spans="3:9">
      <c r="C256" s="339"/>
      <c r="D256" s="340"/>
      <c r="E256" s="340"/>
      <c r="F256" s="340"/>
    </row>
    <row r="257" spans="3:6">
      <c r="C257" s="339"/>
      <c r="D257" s="340"/>
      <c r="E257" s="340"/>
      <c r="F257" s="340"/>
    </row>
    <row r="258" spans="3:6">
      <c r="C258" s="339"/>
      <c r="D258" s="340"/>
      <c r="E258" s="340"/>
      <c r="F258" s="340"/>
    </row>
    <row r="259" spans="3:6">
      <c r="C259" s="339"/>
      <c r="D259" s="340"/>
      <c r="E259" s="340"/>
      <c r="F259" s="340"/>
    </row>
    <row r="260" spans="3:6">
      <c r="C260" s="339"/>
      <c r="D260" s="340"/>
      <c r="E260" s="340"/>
      <c r="F260" s="340"/>
    </row>
    <row r="261" spans="3:6">
      <c r="C261" s="339"/>
      <c r="D261" s="340"/>
      <c r="E261" s="340"/>
      <c r="F261" s="340"/>
    </row>
    <row r="262" spans="3:6">
      <c r="C262" s="339"/>
      <c r="D262" s="340"/>
      <c r="E262" s="340"/>
      <c r="F262" s="340"/>
    </row>
    <row r="263" spans="3:6">
      <c r="C263" s="339"/>
      <c r="D263" s="340"/>
      <c r="E263" s="340"/>
      <c r="F263" s="340"/>
    </row>
    <row r="264" spans="3:6">
      <c r="C264" s="339"/>
      <c r="D264" s="340"/>
      <c r="E264" s="340"/>
      <c r="F264" s="340"/>
    </row>
    <row r="265" spans="3:6">
      <c r="C265" s="339"/>
      <c r="D265" s="340"/>
      <c r="E265" s="340"/>
      <c r="F265" s="340"/>
    </row>
    <row r="266" spans="3:6">
      <c r="C266" s="339"/>
      <c r="D266" s="340"/>
      <c r="E266" s="340"/>
      <c r="F266" s="340"/>
    </row>
    <row r="267" spans="3:6">
      <c r="C267" s="339"/>
      <c r="D267" s="340"/>
      <c r="E267" s="340"/>
      <c r="F267" s="340"/>
    </row>
    <row r="268" spans="3:6">
      <c r="C268" s="339"/>
      <c r="D268" s="340"/>
      <c r="E268" s="340"/>
      <c r="F268" s="340"/>
    </row>
    <row r="269" spans="3:6">
      <c r="C269" s="339"/>
      <c r="D269" s="340"/>
      <c r="E269" s="340"/>
      <c r="F269" s="340"/>
    </row>
    <row r="270" spans="3:6">
      <c r="C270" s="339"/>
      <c r="D270" s="340"/>
      <c r="E270" s="340"/>
      <c r="F270" s="340"/>
    </row>
    <row r="271" spans="3:6">
      <c r="C271" s="339"/>
      <c r="D271" s="340"/>
      <c r="E271" s="340"/>
      <c r="F271" s="340"/>
    </row>
    <row r="272" spans="3:6">
      <c r="C272" s="339"/>
      <c r="D272" s="340"/>
      <c r="E272" s="340"/>
      <c r="F272" s="340"/>
    </row>
    <row r="273" spans="3:6">
      <c r="C273" s="339"/>
      <c r="D273" s="340"/>
      <c r="E273" s="340"/>
      <c r="F273" s="340"/>
    </row>
    <row r="274" spans="3:6">
      <c r="C274" s="339"/>
      <c r="D274" s="340"/>
      <c r="E274" s="340"/>
      <c r="F274" s="340"/>
    </row>
    <row r="275" spans="3:6">
      <c r="C275" s="339"/>
      <c r="D275" s="340"/>
      <c r="E275" s="340"/>
      <c r="F275" s="340"/>
    </row>
    <row r="276" spans="3:6">
      <c r="C276" s="339"/>
      <c r="D276" s="340"/>
      <c r="E276" s="340"/>
      <c r="F276" s="340"/>
    </row>
    <row r="277" spans="3:6">
      <c r="C277" s="339"/>
      <c r="D277" s="340"/>
      <c r="E277" s="340"/>
      <c r="F277" s="340"/>
    </row>
    <row r="278" spans="3:6">
      <c r="C278" s="339"/>
      <c r="D278" s="340"/>
      <c r="E278" s="340"/>
      <c r="F278" s="340"/>
    </row>
    <row r="279" spans="3:6">
      <c r="C279" s="339"/>
      <c r="D279" s="340"/>
      <c r="E279" s="340"/>
      <c r="F279" s="340"/>
    </row>
    <row r="280" spans="3:6">
      <c r="C280" s="339"/>
      <c r="D280" s="340"/>
      <c r="E280" s="340"/>
      <c r="F280" s="340"/>
    </row>
    <row r="281" spans="3:6">
      <c r="C281" s="339"/>
      <c r="D281" s="340"/>
      <c r="E281" s="340"/>
      <c r="F281" s="340"/>
    </row>
    <row r="282" spans="3:6">
      <c r="C282" s="339"/>
      <c r="D282" s="340"/>
      <c r="E282" s="340"/>
      <c r="F282" s="340"/>
    </row>
    <row r="283" spans="3:6">
      <c r="C283" s="339"/>
      <c r="D283" s="340"/>
      <c r="E283" s="340"/>
      <c r="F283" s="340"/>
    </row>
    <row r="284" spans="3:6">
      <c r="C284" s="339"/>
      <c r="D284" s="340"/>
      <c r="E284" s="340"/>
      <c r="F284" s="340"/>
    </row>
    <row r="285" spans="3:6">
      <c r="C285" s="339"/>
      <c r="D285" s="340"/>
      <c r="E285" s="340"/>
      <c r="F285" s="340"/>
    </row>
    <row r="286" spans="3:6">
      <c r="C286" s="339"/>
      <c r="D286" s="340"/>
      <c r="E286" s="340"/>
      <c r="F286" s="340"/>
    </row>
    <row r="287" spans="3:6">
      <c r="C287" s="339"/>
      <c r="D287" s="340"/>
      <c r="E287" s="340"/>
      <c r="F287" s="340"/>
    </row>
    <row r="288" spans="3:6">
      <c r="C288" s="339"/>
      <c r="D288" s="340"/>
      <c r="E288" s="340"/>
      <c r="F288" s="340"/>
    </row>
    <row r="289" spans="3:6">
      <c r="C289" s="339"/>
      <c r="D289" s="340"/>
      <c r="E289" s="340"/>
      <c r="F289" s="340"/>
    </row>
    <row r="290" spans="3:6">
      <c r="C290" s="339"/>
      <c r="D290" s="340"/>
      <c r="E290" s="340"/>
      <c r="F290" s="340"/>
    </row>
    <row r="291" spans="3:6">
      <c r="C291" s="339"/>
      <c r="D291" s="340"/>
      <c r="E291" s="340"/>
      <c r="F291" s="340"/>
    </row>
    <row r="292" spans="3:6">
      <c r="C292" s="339"/>
      <c r="D292" s="340"/>
      <c r="E292" s="340"/>
      <c r="F292" s="340"/>
    </row>
    <row r="293" spans="3:6">
      <c r="C293" s="339"/>
      <c r="D293" s="340"/>
      <c r="E293" s="340"/>
      <c r="F293" s="340"/>
    </row>
    <row r="294" spans="3:6">
      <c r="C294" s="339"/>
      <c r="D294" s="340"/>
      <c r="E294" s="340"/>
      <c r="F294" s="340"/>
    </row>
    <row r="295" spans="3:6">
      <c r="C295" s="339"/>
      <c r="D295" s="340"/>
      <c r="E295" s="340"/>
      <c r="F295" s="340"/>
    </row>
    <row r="296" spans="3:6">
      <c r="C296" s="339"/>
      <c r="D296" s="340"/>
      <c r="E296" s="340"/>
      <c r="F296" s="340"/>
    </row>
    <row r="297" spans="3:6">
      <c r="C297" s="339"/>
      <c r="D297" s="340"/>
      <c r="E297" s="340"/>
      <c r="F297" s="340"/>
    </row>
    <row r="298" spans="3:6">
      <c r="C298" s="339"/>
      <c r="D298" s="340"/>
      <c r="E298" s="340"/>
      <c r="F298" s="340"/>
    </row>
    <row r="299" spans="3:6">
      <c r="C299" s="339"/>
      <c r="D299" s="340"/>
      <c r="E299" s="340"/>
      <c r="F299" s="340"/>
    </row>
    <row r="300" spans="3:6">
      <c r="C300" s="339"/>
      <c r="D300" s="340"/>
      <c r="E300" s="340"/>
      <c r="F300" s="340"/>
    </row>
    <row r="301" spans="3:6">
      <c r="C301" s="339"/>
      <c r="D301" s="340"/>
      <c r="E301" s="340"/>
      <c r="F301" s="340"/>
    </row>
    <row r="302" spans="3:6">
      <c r="C302" s="339"/>
      <c r="D302" s="340"/>
      <c r="E302" s="340"/>
      <c r="F302" s="340"/>
    </row>
    <row r="303" spans="3:6">
      <c r="C303" s="339"/>
      <c r="D303" s="340"/>
      <c r="E303" s="340"/>
      <c r="F303" s="340"/>
    </row>
    <row r="304" spans="3:6">
      <c r="C304" s="339"/>
      <c r="D304" s="340"/>
      <c r="E304" s="340"/>
      <c r="F304" s="340"/>
    </row>
    <row r="305" spans="3:6">
      <c r="C305" s="339"/>
      <c r="D305" s="340"/>
      <c r="E305" s="340"/>
      <c r="F305" s="340"/>
    </row>
    <row r="306" spans="3:6">
      <c r="C306" s="339"/>
      <c r="D306" s="340"/>
      <c r="E306" s="340"/>
      <c r="F306" s="340"/>
    </row>
    <row r="307" spans="3:6">
      <c r="C307" s="339"/>
      <c r="D307" s="340"/>
      <c r="E307" s="340"/>
      <c r="F307" s="340"/>
    </row>
    <row r="308" spans="3:6">
      <c r="C308" s="339"/>
      <c r="D308" s="340"/>
      <c r="E308" s="340"/>
      <c r="F308" s="340"/>
    </row>
    <row r="309" spans="3:6">
      <c r="C309" s="339"/>
      <c r="D309" s="340"/>
      <c r="E309" s="340"/>
      <c r="F309" s="340"/>
    </row>
    <row r="310" spans="3:6">
      <c r="C310" s="339"/>
      <c r="D310" s="340"/>
      <c r="E310" s="340"/>
      <c r="F310" s="340"/>
    </row>
    <row r="311" spans="3:6">
      <c r="C311" s="339"/>
      <c r="D311" s="340"/>
      <c r="E311" s="340"/>
      <c r="F311" s="340"/>
    </row>
    <row r="312" spans="3:6">
      <c r="C312" s="339"/>
      <c r="D312" s="340"/>
      <c r="E312" s="340"/>
      <c r="F312" s="340"/>
    </row>
    <row r="313" spans="3:6">
      <c r="C313" s="339"/>
      <c r="D313" s="340"/>
      <c r="E313" s="340"/>
      <c r="F313" s="340"/>
    </row>
    <row r="314" spans="3:6">
      <c r="C314" s="339"/>
      <c r="D314" s="340"/>
      <c r="E314" s="340"/>
      <c r="F314" s="340"/>
    </row>
    <row r="315" spans="3:6">
      <c r="C315" s="339"/>
      <c r="D315" s="340"/>
      <c r="E315" s="340"/>
      <c r="F315" s="340"/>
    </row>
    <row r="316" spans="3:6">
      <c r="C316" s="339"/>
      <c r="D316" s="340"/>
      <c r="E316" s="340"/>
      <c r="F316" s="340"/>
    </row>
    <row r="317" spans="3:6">
      <c r="C317" s="339"/>
      <c r="D317" s="340"/>
      <c r="E317" s="340"/>
      <c r="F317" s="340"/>
    </row>
    <row r="318" spans="3:6">
      <c r="C318" s="339"/>
      <c r="D318" s="340"/>
      <c r="E318" s="340"/>
      <c r="F318" s="340"/>
    </row>
    <row r="319" spans="3:6">
      <c r="C319" s="339"/>
      <c r="D319" s="340"/>
      <c r="E319" s="340"/>
      <c r="F319" s="340"/>
    </row>
    <row r="320" spans="3:6">
      <c r="C320" s="339"/>
      <c r="D320" s="340"/>
      <c r="E320" s="340"/>
      <c r="F320" s="340"/>
    </row>
    <row r="321" spans="3:6">
      <c r="C321" s="339"/>
      <c r="D321" s="340"/>
      <c r="E321" s="340"/>
      <c r="F321" s="340"/>
    </row>
    <row r="322" spans="3:6">
      <c r="C322" s="339"/>
      <c r="D322" s="340"/>
      <c r="E322" s="340"/>
      <c r="F322" s="340"/>
    </row>
    <row r="323" spans="3:6">
      <c r="C323" s="339"/>
      <c r="D323" s="340"/>
      <c r="E323" s="340"/>
      <c r="F323" s="340"/>
    </row>
    <row r="324" spans="3:6">
      <c r="C324" s="339"/>
      <c r="D324" s="340"/>
      <c r="E324" s="340"/>
      <c r="F324" s="340"/>
    </row>
    <row r="325" spans="3:6">
      <c r="C325" s="339"/>
      <c r="D325" s="340"/>
      <c r="E325" s="340"/>
      <c r="F325" s="340"/>
    </row>
    <row r="326" spans="3:6">
      <c r="C326" s="339"/>
      <c r="D326" s="340"/>
      <c r="E326" s="340"/>
      <c r="F326" s="340"/>
    </row>
    <row r="327" spans="3:6">
      <c r="C327" s="339"/>
      <c r="D327" s="340"/>
      <c r="E327" s="340"/>
      <c r="F327" s="340"/>
    </row>
    <row r="328" spans="3:6">
      <c r="C328" s="339"/>
      <c r="D328" s="340"/>
      <c r="E328" s="340"/>
      <c r="F328" s="340"/>
    </row>
    <row r="329" spans="3:6">
      <c r="C329" s="339"/>
      <c r="D329" s="340"/>
      <c r="E329" s="340"/>
      <c r="F329" s="340"/>
    </row>
    <row r="330" spans="3:6">
      <c r="C330" s="339"/>
      <c r="D330" s="340"/>
      <c r="E330" s="340"/>
      <c r="F330" s="340"/>
    </row>
    <row r="331" spans="3:6">
      <c r="C331" s="339"/>
      <c r="D331" s="340"/>
      <c r="E331" s="340"/>
      <c r="F331" s="340"/>
    </row>
    <row r="332" spans="3:6">
      <c r="C332" s="339"/>
      <c r="D332" s="340"/>
      <c r="E332" s="340"/>
      <c r="F332" s="340"/>
    </row>
    <row r="333" spans="3:6">
      <c r="C333" s="339"/>
      <c r="D333" s="340"/>
      <c r="E333" s="340"/>
      <c r="F333" s="340"/>
    </row>
    <row r="334" spans="3:6">
      <c r="C334" s="339"/>
      <c r="D334" s="340"/>
      <c r="E334" s="340"/>
      <c r="F334" s="340"/>
    </row>
    <row r="335" spans="3:6">
      <c r="C335" s="339"/>
      <c r="D335" s="340"/>
      <c r="E335" s="340"/>
      <c r="F335" s="340"/>
    </row>
    <row r="336" spans="3:6">
      <c r="C336" s="339"/>
      <c r="D336" s="340"/>
      <c r="E336" s="340"/>
      <c r="F336" s="340"/>
    </row>
    <row r="337" spans="3:6">
      <c r="C337" s="339"/>
      <c r="D337" s="340"/>
      <c r="E337" s="340"/>
      <c r="F337" s="340"/>
    </row>
    <row r="338" spans="3:6">
      <c r="C338" s="339"/>
      <c r="D338" s="340"/>
      <c r="E338" s="340"/>
      <c r="F338" s="340"/>
    </row>
    <row r="339" spans="3:6">
      <c r="C339" s="339"/>
      <c r="D339" s="340"/>
      <c r="E339" s="340"/>
      <c r="F339" s="340"/>
    </row>
    <row r="340" spans="3:6">
      <c r="C340" s="339"/>
      <c r="D340" s="340"/>
      <c r="E340" s="340"/>
      <c r="F340" s="340"/>
    </row>
    <row r="341" spans="3:6">
      <c r="C341" s="339"/>
      <c r="D341" s="340"/>
      <c r="E341" s="340"/>
      <c r="F341" s="340"/>
    </row>
    <row r="342" spans="3:6">
      <c r="C342" s="339"/>
      <c r="D342" s="340"/>
      <c r="E342" s="340"/>
      <c r="F342" s="340"/>
    </row>
    <row r="343" spans="3:6">
      <c r="C343" s="339"/>
      <c r="D343" s="340"/>
      <c r="E343" s="340"/>
      <c r="F343" s="340"/>
    </row>
    <row r="344" spans="3:6">
      <c r="C344" s="339"/>
      <c r="D344" s="340"/>
      <c r="E344" s="340"/>
      <c r="F344" s="340"/>
    </row>
    <row r="345" spans="3:6">
      <c r="C345" s="339"/>
      <c r="D345" s="340"/>
      <c r="E345" s="340"/>
      <c r="F345" s="340"/>
    </row>
    <row r="346" spans="3:6">
      <c r="C346" s="339"/>
      <c r="D346" s="340"/>
      <c r="E346" s="340"/>
      <c r="F346" s="340"/>
    </row>
    <row r="347" spans="3:6">
      <c r="C347" s="339"/>
      <c r="D347" s="340"/>
      <c r="E347" s="340"/>
      <c r="F347" s="340"/>
    </row>
    <row r="348" spans="3:6">
      <c r="C348" s="339"/>
      <c r="D348" s="340"/>
      <c r="E348" s="340"/>
      <c r="F348" s="340"/>
    </row>
    <row r="349" spans="3:6">
      <c r="C349" s="339"/>
      <c r="D349" s="340"/>
      <c r="E349" s="340"/>
      <c r="F349" s="340"/>
    </row>
    <row r="350" spans="3:6">
      <c r="C350" s="339"/>
      <c r="D350" s="340"/>
      <c r="E350" s="340"/>
      <c r="F350" s="340"/>
    </row>
    <row r="351" spans="3:6">
      <c r="C351" s="339"/>
      <c r="D351" s="340"/>
      <c r="E351" s="340"/>
      <c r="F351" s="340"/>
    </row>
    <row r="352" spans="3:6">
      <c r="C352" s="339"/>
      <c r="D352" s="340"/>
      <c r="E352" s="340"/>
      <c r="F352" s="340"/>
    </row>
    <row r="353" spans="3:6">
      <c r="C353" s="339"/>
      <c r="D353" s="340"/>
      <c r="E353" s="340"/>
      <c r="F353" s="340"/>
    </row>
    <row r="354" spans="3:6">
      <c r="C354" s="339"/>
      <c r="D354" s="340"/>
      <c r="E354" s="340"/>
      <c r="F354" s="340"/>
    </row>
    <row r="355" spans="3:6">
      <c r="C355" s="339"/>
      <c r="D355" s="340"/>
      <c r="E355" s="340"/>
      <c r="F355" s="340"/>
    </row>
    <row r="356" spans="3:6">
      <c r="C356" s="339"/>
      <c r="D356" s="340"/>
      <c r="E356" s="340"/>
      <c r="F356" s="340"/>
    </row>
    <row r="357" spans="3:6">
      <c r="C357" s="339"/>
      <c r="D357" s="340"/>
      <c r="E357" s="340"/>
      <c r="F357" s="340"/>
    </row>
    <row r="358" spans="3:6">
      <c r="C358" s="339"/>
      <c r="D358" s="340"/>
      <c r="E358" s="340"/>
      <c r="F358" s="340"/>
    </row>
    <row r="359" spans="3:6">
      <c r="C359" s="339"/>
      <c r="D359" s="340"/>
      <c r="E359" s="340"/>
      <c r="F359" s="340"/>
    </row>
    <row r="360" spans="3:6">
      <c r="C360" s="339"/>
      <c r="D360" s="340"/>
      <c r="E360" s="340"/>
      <c r="F360" s="340"/>
    </row>
    <row r="361" spans="3:6">
      <c r="C361" s="339"/>
      <c r="D361" s="340"/>
      <c r="E361" s="340"/>
      <c r="F361" s="340"/>
    </row>
    <row r="362" spans="3:6">
      <c r="C362" s="339"/>
      <c r="D362" s="340"/>
      <c r="E362" s="340"/>
      <c r="F362" s="340"/>
    </row>
    <row r="363" spans="3:6">
      <c r="C363" s="339"/>
      <c r="D363" s="340"/>
      <c r="E363" s="340"/>
      <c r="F363" s="340"/>
    </row>
    <row r="364" spans="3:6">
      <c r="C364" s="339"/>
      <c r="D364" s="340"/>
      <c r="E364" s="340"/>
      <c r="F364" s="340"/>
    </row>
    <row r="365" spans="3:6">
      <c r="C365" s="339"/>
      <c r="D365" s="340"/>
      <c r="E365" s="340"/>
      <c r="F365" s="340"/>
    </row>
    <row r="366" spans="3:6">
      <c r="C366" s="339"/>
      <c r="D366" s="340"/>
      <c r="E366" s="340"/>
      <c r="F366" s="340"/>
    </row>
    <row r="367" spans="3:6">
      <c r="C367" s="339"/>
      <c r="D367" s="340"/>
      <c r="E367" s="340"/>
      <c r="F367" s="340"/>
    </row>
    <row r="368" spans="3:6">
      <c r="C368" s="339"/>
      <c r="D368" s="340"/>
      <c r="E368" s="340"/>
      <c r="F368" s="340"/>
    </row>
    <row r="369" spans="3:6">
      <c r="C369" s="339"/>
      <c r="D369" s="340"/>
      <c r="E369" s="340"/>
      <c r="F369" s="340"/>
    </row>
    <row r="370" spans="3:6">
      <c r="C370" s="339"/>
      <c r="D370" s="340"/>
      <c r="E370" s="340"/>
      <c r="F370" s="340"/>
    </row>
    <row r="371" spans="3:6">
      <c r="C371" s="339"/>
      <c r="D371" s="340"/>
      <c r="E371" s="340"/>
      <c r="F371" s="340"/>
    </row>
    <row r="372" spans="3:6">
      <c r="C372" s="339"/>
      <c r="D372" s="340"/>
      <c r="E372" s="340"/>
      <c r="F372" s="340"/>
    </row>
    <row r="373" spans="3:6">
      <c r="C373" s="339"/>
      <c r="D373" s="340"/>
      <c r="E373" s="340"/>
      <c r="F373" s="340"/>
    </row>
    <row r="374" spans="3:6">
      <c r="C374" s="339"/>
      <c r="D374" s="340"/>
      <c r="E374" s="340"/>
      <c r="F374" s="340"/>
    </row>
    <row r="375" spans="3:6">
      <c r="C375" s="339"/>
      <c r="D375" s="340"/>
      <c r="E375" s="340"/>
      <c r="F375" s="340"/>
    </row>
    <row r="376" spans="3:6">
      <c r="C376" s="339"/>
      <c r="D376" s="340"/>
      <c r="E376" s="340"/>
      <c r="F376" s="340"/>
    </row>
    <row r="377" spans="3:6">
      <c r="C377" s="339"/>
      <c r="D377" s="340"/>
      <c r="E377" s="340"/>
      <c r="F377" s="340"/>
    </row>
    <row r="378" spans="3:6">
      <c r="C378" s="339"/>
      <c r="D378" s="340"/>
      <c r="E378" s="340"/>
      <c r="F378" s="340"/>
    </row>
    <row r="379" spans="3:6">
      <c r="C379" s="339"/>
      <c r="D379" s="340"/>
      <c r="E379" s="340"/>
      <c r="F379" s="340"/>
    </row>
    <row r="380" spans="3:6">
      <c r="C380" s="339"/>
      <c r="D380" s="340"/>
      <c r="E380" s="340"/>
      <c r="F380" s="340"/>
    </row>
    <row r="381" spans="3:6">
      <c r="C381" s="339"/>
      <c r="D381" s="340"/>
      <c r="E381" s="340"/>
      <c r="F381" s="340"/>
    </row>
    <row r="382" spans="3:6">
      <c r="C382" s="339"/>
      <c r="D382" s="340"/>
      <c r="E382" s="340"/>
      <c r="F382" s="340"/>
    </row>
    <row r="383" spans="3:6">
      <c r="C383" s="339"/>
      <c r="D383" s="340"/>
      <c r="E383" s="340"/>
      <c r="F383" s="340"/>
    </row>
    <row r="384" spans="3:6">
      <c r="C384" s="339"/>
      <c r="D384" s="340"/>
      <c r="E384" s="340"/>
      <c r="F384" s="340"/>
    </row>
    <row r="385" spans="3:6">
      <c r="C385" s="339"/>
      <c r="D385" s="340"/>
      <c r="E385" s="340"/>
      <c r="F385" s="340"/>
    </row>
    <row r="386" spans="3:6">
      <c r="C386" s="339"/>
      <c r="D386" s="340"/>
      <c r="E386" s="340"/>
      <c r="F386" s="340"/>
    </row>
    <row r="387" spans="3:6">
      <c r="C387" s="339"/>
      <c r="D387" s="340"/>
      <c r="E387" s="340"/>
      <c r="F387" s="340"/>
    </row>
    <row r="388" spans="3:6">
      <c r="C388" s="339"/>
      <c r="D388" s="340"/>
      <c r="E388" s="340"/>
      <c r="F388" s="340"/>
    </row>
    <row r="389" spans="3:6">
      <c r="C389" s="339"/>
      <c r="D389" s="340"/>
      <c r="E389" s="340"/>
      <c r="F389" s="340"/>
    </row>
    <row r="390" spans="3:6">
      <c r="C390" s="339"/>
      <c r="D390" s="340"/>
      <c r="E390" s="340"/>
      <c r="F390" s="340"/>
    </row>
    <row r="391" spans="3:6">
      <c r="C391" s="339"/>
      <c r="D391" s="340"/>
      <c r="E391" s="340"/>
      <c r="F391" s="340"/>
    </row>
    <row r="392" spans="3:6">
      <c r="C392" s="339"/>
      <c r="D392" s="340"/>
      <c r="E392" s="340"/>
      <c r="F392" s="340"/>
    </row>
    <row r="393" spans="3:6">
      <c r="C393" s="339"/>
      <c r="D393" s="340"/>
      <c r="E393" s="340"/>
      <c r="F393" s="340"/>
    </row>
    <row r="394" spans="3:6">
      <c r="C394" s="339"/>
      <c r="D394" s="340"/>
      <c r="E394" s="340"/>
      <c r="F394" s="340"/>
    </row>
    <row r="395" spans="3:6">
      <c r="C395" s="339"/>
      <c r="D395" s="340"/>
      <c r="E395" s="340"/>
      <c r="F395" s="340"/>
    </row>
    <row r="396" spans="3:6">
      <c r="C396" s="339"/>
      <c r="D396" s="340"/>
      <c r="E396" s="340"/>
      <c r="F396" s="340"/>
    </row>
    <row r="397" spans="3:6">
      <c r="C397" s="339"/>
      <c r="D397" s="340"/>
      <c r="E397" s="340"/>
      <c r="F397" s="340"/>
    </row>
    <row r="398" spans="3:6">
      <c r="C398" s="339"/>
      <c r="D398" s="340"/>
      <c r="E398" s="340"/>
      <c r="F398" s="340"/>
    </row>
    <row r="399" spans="3:6">
      <c r="C399" s="339"/>
      <c r="D399" s="340"/>
      <c r="E399" s="340"/>
      <c r="F399" s="340"/>
    </row>
    <row r="400" spans="3:6">
      <c r="C400" s="339"/>
      <c r="D400" s="340"/>
      <c r="E400" s="340"/>
      <c r="F400" s="340"/>
    </row>
    <row r="401" spans="3:6">
      <c r="C401" s="339"/>
      <c r="D401" s="340"/>
      <c r="E401" s="340"/>
      <c r="F401" s="340"/>
    </row>
    <row r="402" spans="3:6">
      <c r="C402" s="339"/>
      <c r="D402" s="340"/>
      <c r="E402" s="340"/>
      <c r="F402" s="340"/>
    </row>
    <row r="403" spans="3:6">
      <c r="C403" s="339"/>
      <c r="D403" s="340"/>
      <c r="E403" s="340"/>
      <c r="F403" s="340"/>
    </row>
    <row r="404" spans="3:6">
      <c r="C404" s="339"/>
      <c r="D404" s="340"/>
      <c r="E404" s="340"/>
      <c r="F404" s="340"/>
    </row>
    <row r="405" spans="3:6">
      <c r="C405" s="339"/>
      <c r="D405" s="340"/>
      <c r="E405" s="340"/>
      <c r="F405" s="340"/>
    </row>
    <row r="406" spans="3:6">
      <c r="C406" s="339"/>
      <c r="D406" s="340"/>
      <c r="E406" s="340"/>
      <c r="F406" s="340"/>
    </row>
    <row r="407" spans="3:6">
      <c r="C407" s="339"/>
      <c r="D407" s="340"/>
      <c r="E407" s="340"/>
      <c r="F407" s="340"/>
    </row>
    <row r="408" spans="3:6">
      <c r="C408" s="339"/>
      <c r="D408" s="340"/>
      <c r="E408" s="340"/>
      <c r="F408" s="340"/>
    </row>
    <row r="409" spans="3:6">
      <c r="C409" s="339"/>
      <c r="D409" s="340"/>
      <c r="E409" s="340"/>
      <c r="F409" s="340"/>
    </row>
    <row r="410" spans="3:6">
      <c r="C410" s="339"/>
      <c r="D410" s="340"/>
      <c r="E410" s="340"/>
      <c r="F410" s="340"/>
    </row>
    <row r="411" spans="3:6">
      <c r="C411" s="339"/>
      <c r="D411" s="340"/>
      <c r="E411" s="340"/>
      <c r="F411" s="340"/>
    </row>
    <row r="412" spans="3:6">
      <c r="C412" s="339"/>
      <c r="D412" s="340"/>
      <c r="E412" s="340"/>
      <c r="F412" s="340"/>
    </row>
    <row r="413" spans="3:6">
      <c r="C413" s="339"/>
      <c r="D413" s="340"/>
      <c r="E413" s="340"/>
      <c r="F413" s="340"/>
    </row>
    <row r="414" spans="3:6">
      <c r="C414" s="339"/>
      <c r="D414" s="340"/>
      <c r="E414" s="340"/>
      <c r="F414" s="340"/>
    </row>
    <row r="415" spans="3:6">
      <c r="C415" s="339"/>
      <c r="D415" s="340"/>
      <c r="E415" s="340"/>
      <c r="F415" s="340"/>
    </row>
    <row r="416" spans="3:6">
      <c r="C416" s="339"/>
      <c r="D416" s="340"/>
      <c r="E416" s="340"/>
      <c r="F416" s="340"/>
    </row>
    <row r="417" spans="3:6">
      <c r="C417" s="339"/>
      <c r="D417" s="340"/>
      <c r="E417" s="340"/>
      <c r="F417" s="340"/>
    </row>
    <row r="418" spans="3:6">
      <c r="C418" s="339"/>
      <c r="D418" s="340"/>
      <c r="E418" s="340"/>
      <c r="F418" s="340"/>
    </row>
    <row r="419" spans="3:6">
      <c r="C419" s="339"/>
      <c r="D419" s="340"/>
      <c r="E419" s="340"/>
      <c r="F419" s="340"/>
    </row>
    <row r="420" spans="3:6">
      <c r="C420" s="339"/>
      <c r="D420" s="340"/>
      <c r="E420" s="340"/>
      <c r="F420" s="340"/>
    </row>
    <row r="421" spans="3:6">
      <c r="C421" s="339"/>
      <c r="D421" s="340"/>
      <c r="E421" s="340"/>
      <c r="F421" s="340"/>
    </row>
    <row r="422" spans="3:6">
      <c r="C422" s="339"/>
      <c r="D422" s="340"/>
      <c r="E422" s="340"/>
      <c r="F422" s="340"/>
    </row>
    <row r="423" spans="3:6">
      <c r="C423" s="339"/>
      <c r="D423" s="340"/>
      <c r="E423" s="340"/>
      <c r="F423" s="340"/>
    </row>
    <row r="424" spans="3:6">
      <c r="C424" s="339"/>
      <c r="D424" s="340"/>
      <c r="E424" s="340"/>
      <c r="F424" s="340"/>
    </row>
    <row r="425" spans="3:6">
      <c r="C425" s="339"/>
      <c r="D425" s="340"/>
      <c r="E425" s="340"/>
      <c r="F425" s="340"/>
    </row>
    <row r="426" spans="3:6">
      <c r="C426" s="339"/>
      <c r="D426" s="340"/>
      <c r="E426" s="340"/>
      <c r="F426" s="340"/>
    </row>
    <row r="427" spans="3:6">
      <c r="C427" s="339"/>
      <c r="D427" s="340"/>
      <c r="E427" s="340"/>
      <c r="F427" s="340"/>
    </row>
    <row r="428" spans="3:6">
      <c r="C428" s="339"/>
      <c r="D428" s="340"/>
      <c r="E428" s="340"/>
      <c r="F428" s="340"/>
    </row>
    <row r="429" spans="3:6">
      <c r="C429" s="339"/>
      <c r="D429" s="340"/>
      <c r="E429" s="340"/>
      <c r="F429" s="340"/>
    </row>
    <row r="430" spans="3:6">
      <c r="C430" s="339"/>
      <c r="D430" s="340"/>
      <c r="E430" s="340"/>
      <c r="F430" s="340"/>
    </row>
    <row r="431" spans="3:6">
      <c r="C431" s="339"/>
      <c r="D431" s="340"/>
      <c r="E431" s="340"/>
      <c r="F431" s="340"/>
    </row>
    <row r="432" spans="3:6">
      <c r="C432" s="339"/>
      <c r="D432" s="340"/>
      <c r="E432" s="340"/>
      <c r="F432" s="340"/>
    </row>
    <row r="433" spans="3:6">
      <c r="C433" s="339"/>
      <c r="D433" s="340"/>
      <c r="E433" s="340"/>
      <c r="F433" s="340"/>
    </row>
    <row r="434" spans="3:6">
      <c r="C434" s="339"/>
      <c r="D434" s="340"/>
      <c r="E434" s="340"/>
      <c r="F434" s="340"/>
    </row>
    <row r="435" spans="3:6">
      <c r="C435" s="339"/>
      <c r="D435" s="340"/>
      <c r="E435" s="340"/>
      <c r="F435" s="340"/>
    </row>
    <row r="436" spans="3:6">
      <c r="C436" s="339"/>
      <c r="D436" s="340"/>
      <c r="E436" s="340"/>
      <c r="F436" s="340"/>
    </row>
    <row r="437" spans="3:6">
      <c r="C437" s="339"/>
      <c r="D437" s="340"/>
      <c r="E437" s="340"/>
      <c r="F437" s="340"/>
    </row>
    <row r="438" spans="3:6">
      <c r="C438" s="339"/>
      <c r="D438" s="340"/>
      <c r="E438" s="340"/>
      <c r="F438" s="340"/>
    </row>
    <row r="439" spans="3:6">
      <c r="C439" s="339"/>
      <c r="D439" s="340"/>
      <c r="E439" s="340"/>
      <c r="F439" s="340"/>
    </row>
    <row r="440" spans="3:6">
      <c r="C440" s="339"/>
      <c r="D440" s="340"/>
      <c r="E440" s="340"/>
      <c r="F440" s="340"/>
    </row>
    <row r="441" spans="3:6">
      <c r="C441" s="339"/>
      <c r="D441" s="340"/>
      <c r="E441" s="340"/>
      <c r="F441" s="340"/>
    </row>
    <row r="442" spans="3:6">
      <c r="C442" s="339"/>
      <c r="D442" s="340"/>
      <c r="E442" s="340"/>
      <c r="F442" s="340"/>
    </row>
    <row r="443" spans="3:6">
      <c r="C443" s="339"/>
      <c r="D443" s="340"/>
      <c r="E443" s="340"/>
      <c r="F443" s="340"/>
    </row>
    <row r="444" spans="3:6">
      <c r="C444" s="339"/>
      <c r="D444" s="340"/>
      <c r="E444" s="340"/>
      <c r="F444" s="340"/>
    </row>
    <row r="445" spans="3:6">
      <c r="C445" s="339"/>
      <c r="D445" s="340"/>
      <c r="E445" s="340"/>
      <c r="F445" s="340"/>
    </row>
    <row r="446" spans="3:6">
      <c r="C446" s="339"/>
      <c r="D446" s="340"/>
      <c r="E446" s="340"/>
      <c r="F446" s="340"/>
    </row>
    <row r="447" spans="3:6">
      <c r="C447" s="339"/>
      <c r="D447" s="340"/>
      <c r="E447" s="340"/>
      <c r="F447" s="340"/>
    </row>
    <row r="448" spans="3:6">
      <c r="C448" s="339"/>
      <c r="D448" s="340"/>
      <c r="E448" s="340"/>
      <c r="F448" s="340"/>
    </row>
    <row r="449" spans="3:6">
      <c r="C449" s="339"/>
      <c r="D449" s="340"/>
      <c r="E449" s="340"/>
      <c r="F449" s="340"/>
    </row>
    <row r="450" spans="3:6">
      <c r="C450" s="339"/>
      <c r="D450" s="340"/>
      <c r="E450" s="340"/>
      <c r="F450" s="340"/>
    </row>
    <row r="451" spans="3:6">
      <c r="C451" s="339"/>
      <c r="D451" s="340"/>
      <c r="E451" s="340"/>
      <c r="F451" s="340"/>
    </row>
    <row r="452" spans="3:6">
      <c r="C452" s="339"/>
      <c r="D452" s="340"/>
      <c r="E452" s="340"/>
      <c r="F452" s="340"/>
    </row>
    <row r="453" spans="3:6">
      <c r="C453" s="339"/>
      <c r="D453" s="340"/>
      <c r="E453" s="340"/>
      <c r="F453" s="340"/>
    </row>
    <row r="454" spans="3:6">
      <c r="C454" s="339"/>
      <c r="D454" s="340"/>
      <c r="E454" s="340"/>
      <c r="F454" s="340"/>
    </row>
    <row r="455" spans="3:6">
      <c r="C455" s="339"/>
      <c r="D455" s="340"/>
      <c r="E455" s="340"/>
      <c r="F455" s="340"/>
    </row>
    <row r="456" spans="3:6">
      <c r="C456" s="339"/>
      <c r="D456" s="340"/>
      <c r="E456" s="340"/>
      <c r="F456" s="340"/>
    </row>
    <row r="457" spans="3:6">
      <c r="C457" s="339"/>
      <c r="D457" s="340"/>
      <c r="E457" s="340"/>
      <c r="F457" s="340"/>
    </row>
    <row r="458" spans="3:6">
      <c r="C458" s="339"/>
      <c r="D458" s="340"/>
      <c r="E458" s="340"/>
      <c r="F458" s="340"/>
    </row>
    <row r="459" spans="3:6">
      <c r="C459" s="339"/>
      <c r="D459" s="340"/>
      <c r="E459" s="340"/>
      <c r="F459" s="340"/>
    </row>
    <row r="460" spans="3:6">
      <c r="C460" s="339"/>
      <c r="D460" s="340"/>
      <c r="E460" s="340"/>
      <c r="F460" s="340"/>
    </row>
    <row r="461" spans="3:6">
      <c r="C461" s="339"/>
      <c r="D461" s="340"/>
      <c r="E461" s="340"/>
      <c r="F461" s="340"/>
    </row>
    <row r="462" spans="3:6">
      <c r="C462" s="339"/>
      <c r="D462" s="340"/>
      <c r="E462" s="340"/>
      <c r="F462" s="340"/>
    </row>
    <row r="463" spans="3:6">
      <c r="C463" s="339"/>
      <c r="D463" s="340"/>
      <c r="E463" s="340"/>
      <c r="F463" s="340"/>
    </row>
    <row r="464" spans="3:6">
      <c r="C464" s="339"/>
      <c r="D464" s="340"/>
      <c r="E464" s="340"/>
      <c r="F464" s="340"/>
    </row>
    <row r="465" spans="3:6">
      <c r="C465" s="339"/>
      <c r="D465" s="340"/>
      <c r="E465" s="340"/>
      <c r="F465" s="340"/>
    </row>
    <row r="466" spans="3:6">
      <c r="C466" s="339"/>
      <c r="D466" s="340"/>
      <c r="E466" s="340"/>
      <c r="F466" s="340"/>
    </row>
    <row r="467" spans="3:6">
      <c r="C467" s="339"/>
      <c r="D467" s="340"/>
      <c r="E467" s="340"/>
      <c r="F467" s="340"/>
    </row>
    <row r="468" spans="3:6">
      <c r="C468" s="339"/>
      <c r="D468" s="340"/>
      <c r="E468" s="340"/>
      <c r="F468" s="340"/>
    </row>
    <row r="469" spans="3:6">
      <c r="C469" s="339"/>
      <c r="D469" s="340"/>
      <c r="E469" s="340"/>
      <c r="F469" s="340"/>
    </row>
    <row r="470" spans="3:6">
      <c r="C470" s="339"/>
      <c r="D470" s="340"/>
      <c r="E470" s="340"/>
      <c r="F470" s="340"/>
    </row>
    <row r="471" spans="3:6">
      <c r="C471" s="339"/>
      <c r="D471" s="340"/>
      <c r="E471" s="340"/>
      <c r="F471" s="340"/>
    </row>
    <row r="472" spans="3:6">
      <c r="C472" s="339"/>
      <c r="D472" s="340"/>
      <c r="E472" s="340"/>
      <c r="F472" s="340"/>
    </row>
    <row r="473" spans="3:6">
      <c r="C473" s="339"/>
      <c r="D473" s="340"/>
      <c r="E473" s="340"/>
      <c r="F473" s="340"/>
    </row>
    <row r="474" spans="3:6">
      <c r="C474" s="339"/>
      <c r="D474" s="340"/>
      <c r="E474" s="340"/>
      <c r="F474" s="340"/>
    </row>
    <row r="475" spans="3:6">
      <c r="C475" s="339"/>
      <c r="D475" s="340"/>
      <c r="E475" s="340"/>
      <c r="F475" s="340"/>
    </row>
    <row r="476" spans="3:6">
      <c r="C476" s="339"/>
      <c r="D476" s="340"/>
      <c r="E476" s="340"/>
      <c r="F476" s="340"/>
    </row>
    <row r="477" spans="3:6">
      <c r="C477" s="339"/>
      <c r="D477" s="340"/>
      <c r="E477" s="340"/>
      <c r="F477" s="340"/>
    </row>
    <row r="478" spans="3:6">
      <c r="C478" s="339"/>
      <c r="D478" s="340"/>
      <c r="E478" s="340"/>
      <c r="F478" s="340"/>
    </row>
    <row r="479" spans="3:6">
      <c r="C479" s="339"/>
      <c r="D479" s="340"/>
      <c r="E479" s="340"/>
      <c r="F479" s="340"/>
    </row>
    <row r="480" spans="3:6">
      <c r="C480" s="339"/>
      <c r="D480" s="340"/>
      <c r="E480" s="340"/>
      <c r="F480" s="340"/>
    </row>
    <row r="481" spans="3:6">
      <c r="C481" s="339"/>
      <c r="D481" s="340"/>
      <c r="E481" s="340"/>
      <c r="F481" s="340"/>
    </row>
    <row r="482" spans="3:6">
      <c r="C482" s="339"/>
      <c r="D482" s="340"/>
      <c r="E482" s="340"/>
      <c r="F482" s="340"/>
    </row>
    <row r="483" spans="3:6">
      <c r="C483" s="339"/>
      <c r="D483" s="340"/>
      <c r="E483" s="340"/>
      <c r="F483" s="340"/>
    </row>
    <row r="484" spans="3:6">
      <c r="C484" s="339"/>
      <c r="D484" s="340"/>
      <c r="E484" s="340"/>
      <c r="F484" s="340"/>
    </row>
    <row r="485" spans="3:6">
      <c r="C485" s="339"/>
      <c r="D485" s="340"/>
      <c r="E485" s="340"/>
      <c r="F485" s="340"/>
    </row>
    <row r="486" spans="3:6">
      <c r="C486" s="339"/>
      <c r="D486" s="340"/>
      <c r="E486" s="340"/>
      <c r="F486" s="340"/>
    </row>
    <row r="487" spans="3:6">
      <c r="C487" s="339"/>
      <c r="D487" s="340"/>
      <c r="E487" s="340"/>
      <c r="F487" s="340"/>
    </row>
    <row r="488" spans="3:6">
      <c r="C488" s="339"/>
      <c r="D488" s="340"/>
      <c r="E488" s="340"/>
      <c r="F488" s="340"/>
    </row>
    <row r="489" spans="3:6">
      <c r="C489" s="339"/>
      <c r="D489" s="340"/>
      <c r="E489" s="340"/>
      <c r="F489" s="340"/>
    </row>
    <row r="490" spans="3:6">
      <c r="C490" s="339"/>
      <c r="D490" s="340"/>
      <c r="E490" s="340"/>
      <c r="F490" s="340"/>
    </row>
    <row r="491" spans="3:6">
      <c r="C491" s="339"/>
      <c r="D491" s="340"/>
      <c r="E491" s="340"/>
      <c r="F491" s="340"/>
    </row>
    <row r="492" spans="3:6">
      <c r="C492" s="339"/>
      <c r="D492" s="340"/>
      <c r="E492" s="340"/>
      <c r="F492" s="340"/>
    </row>
    <row r="493" spans="3:6">
      <c r="C493" s="339"/>
      <c r="D493" s="340"/>
      <c r="E493" s="340"/>
      <c r="F493" s="340"/>
    </row>
    <row r="494" spans="3:6">
      <c r="C494" s="339"/>
      <c r="D494" s="340"/>
      <c r="E494" s="340"/>
      <c r="F494" s="340"/>
    </row>
    <row r="495" spans="3:6">
      <c r="C495" s="339"/>
      <c r="D495" s="340"/>
      <c r="E495" s="340"/>
      <c r="F495" s="340"/>
    </row>
    <row r="496" spans="3:6">
      <c r="C496" s="339"/>
      <c r="D496" s="340"/>
      <c r="E496" s="340"/>
      <c r="F496" s="340"/>
    </row>
    <row r="497" spans="3:6">
      <c r="C497" s="339"/>
      <c r="D497" s="340"/>
      <c r="E497" s="340"/>
      <c r="F497" s="340"/>
    </row>
    <row r="498" spans="3:6">
      <c r="C498" s="339"/>
      <c r="D498" s="340"/>
      <c r="E498" s="340"/>
      <c r="F498" s="340"/>
    </row>
    <row r="499" spans="3:6">
      <c r="C499" s="339"/>
      <c r="D499" s="340"/>
      <c r="E499" s="340"/>
      <c r="F499" s="340"/>
    </row>
    <row r="500" spans="3:6">
      <c r="C500" s="339"/>
      <c r="D500" s="340"/>
      <c r="E500" s="340"/>
      <c r="F500" s="340"/>
    </row>
    <row r="501" spans="3:6">
      <c r="C501" s="339"/>
      <c r="D501" s="340"/>
      <c r="E501" s="340"/>
      <c r="F501" s="340"/>
    </row>
    <row r="502" spans="3:6">
      <c r="C502" s="339"/>
      <c r="D502" s="340"/>
      <c r="E502" s="340"/>
      <c r="F502" s="340"/>
    </row>
    <row r="503" spans="3:6">
      <c r="C503" s="339"/>
      <c r="D503" s="340"/>
      <c r="E503" s="340"/>
      <c r="F503" s="340"/>
    </row>
    <row r="504" spans="3:6">
      <c r="C504" s="339"/>
      <c r="D504" s="340"/>
      <c r="E504" s="340"/>
      <c r="F504" s="340"/>
    </row>
    <row r="505" spans="3:6">
      <c r="C505" s="339"/>
      <c r="D505" s="340"/>
      <c r="E505" s="340"/>
      <c r="F505" s="340"/>
    </row>
    <row r="506" spans="3:6">
      <c r="C506" s="339"/>
      <c r="D506" s="340"/>
      <c r="E506" s="340"/>
      <c r="F506" s="340"/>
    </row>
    <row r="507" spans="3:6">
      <c r="C507" s="339"/>
      <c r="D507" s="340"/>
      <c r="E507" s="340"/>
      <c r="F507" s="340"/>
    </row>
    <row r="508" spans="3:6">
      <c r="C508" s="339"/>
      <c r="D508" s="340"/>
      <c r="E508" s="340"/>
      <c r="F508" s="340"/>
    </row>
    <row r="509" spans="3:6">
      <c r="C509" s="339"/>
      <c r="D509" s="340"/>
      <c r="E509" s="340"/>
      <c r="F509" s="340"/>
    </row>
    <row r="510" spans="3:6">
      <c r="C510" s="339"/>
      <c r="D510" s="340"/>
      <c r="E510" s="340"/>
      <c r="F510" s="340"/>
    </row>
    <row r="511" spans="3:6">
      <c r="C511" s="339"/>
      <c r="D511" s="340"/>
      <c r="E511" s="340"/>
      <c r="F511" s="340"/>
    </row>
    <row r="512" spans="3:6">
      <c r="C512" s="339"/>
      <c r="D512" s="340"/>
      <c r="E512" s="340"/>
      <c r="F512" s="340"/>
    </row>
    <row r="513" spans="3:6">
      <c r="C513" s="339"/>
      <c r="D513" s="340"/>
      <c r="E513" s="340"/>
      <c r="F513" s="340"/>
    </row>
    <row r="514" spans="3:6">
      <c r="C514" s="339"/>
      <c r="D514" s="340"/>
      <c r="E514" s="340"/>
      <c r="F514" s="340"/>
    </row>
    <row r="515" spans="3:6">
      <c r="C515" s="339"/>
      <c r="D515" s="340"/>
      <c r="E515" s="340"/>
      <c r="F515" s="340"/>
    </row>
    <row r="516" spans="3:6">
      <c r="C516" s="339"/>
      <c r="D516" s="340"/>
      <c r="E516" s="340"/>
      <c r="F516" s="340"/>
    </row>
    <row r="517" spans="3:6">
      <c r="C517" s="339"/>
      <c r="D517" s="340"/>
      <c r="E517" s="340"/>
      <c r="F517" s="340"/>
    </row>
    <row r="518" spans="3:6">
      <c r="C518" s="339"/>
      <c r="D518" s="340"/>
      <c r="E518" s="340"/>
      <c r="F518" s="340"/>
    </row>
    <row r="519" spans="3:6">
      <c r="C519" s="339"/>
      <c r="D519" s="340"/>
      <c r="E519" s="340"/>
      <c r="F519" s="340"/>
    </row>
    <row r="520" spans="3:6">
      <c r="C520" s="339"/>
      <c r="D520" s="340"/>
      <c r="E520" s="340"/>
      <c r="F520" s="340"/>
    </row>
    <row r="521" spans="3:6">
      <c r="C521" s="339"/>
      <c r="D521" s="340"/>
      <c r="E521" s="340"/>
      <c r="F521" s="340"/>
    </row>
    <row r="522" spans="3:6">
      <c r="C522" s="339"/>
      <c r="D522" s="340"/>
      <c r="E522" s="340"/>
      <c r="F522" s="340"/>
    </row>
    <row r="523" spans="3:6">
      <c r="C523" s="339"/>
      <c r="D523" s="340"/>
      <c r="E523" s="340"/>
      <c r="F523" s="340"/>
    </row>
    <row r="524" spans="3:6">
      <c r="C524" s="339"/>
      <c r="D524" s="340"/>
      <c r="E524" s="340"/>
      <c r="F524" s="340"/>
    </row>
    <row r="525" spans="3:6">
      <c r="C525" s="339"/>
      <c r="D525" s="340"/>
      <c r="E525" s="340"/>
      <c r="F525" s="340"/>
    </row>
    <row r="526" spans="3:6">
      <c r="C526" s="339"/>
      <c r="D526" s="340"/>
      <c r="E526" s="340"/>
      <c r="F526" s="340"/>
    </row>
    <row r="527" spans="3:6">
      <c r="C527" s="339"/>
      <c r="D527" s="340"/>
      <c r="E527" s="340"/>
      <c r="F527" s="340"/>
    </row>
    <row r="528" spans="3:6">
      <c r="C528" s="339"/>
      <c r="D528" s="340"/>
      <c r="E528" s="340"/>
      <c r="F528" s="340"/>
    </row>
    <row r="529" spans="3:6">
      <c r="C529" s="339"/>
      <c r="D529" s="340"/>
      <c r="E529" s="340"/>
      <c r="F529" s="340"/>
    </row>
    <row r="530" spans="3:6">
      <c r="C530" s="339"/>
      <c r="D530" s="340"/>
      <c r="E530" s="340"/>
      <c r="F530" s="340"/>
    </row>
    <row r="531" spans="3:6">
      <c r="C531" s="339"/>
      <c r="D531" s="340"/>
      <c r="E531" s="340"/>
      <c r="F531" s="340"/>
    </row>
    <row r="532" spans="3:6">
      <c r="C532" s="339"/>
      <c r="D532" s="340"/>
      <c r="E532" s="340"/>
      <c r="F532" s="340"/>
    </row>
    <row r="533" spans="3:6">
      <c r="C533" s="339"/>
      <c r="D533" s="340"/>
      <c r="E533" s="340"/>
      <c r="F533" s="340"/>
    </row>
    <row r="534" spans="3:6">
      <c r="C534" s="339"/>
      <c r="D534" s="340"/>
      <c r="E534" s="340"/>
      <c r="F534" s="340"/>
    </row>
    <row r="535" spans="3:6">
      <c r="C535" s="339"/>
      <c r="D535" s="340"/>
      <c r="E535" s="340"/>
      <c r="F535" s="340"/>
    </row>
    <row r="536" spans="3:6">
      <c r="C536" s="339"/>
      <c r="D536" s="340"/>
      <c r="E536" s="340"/>
      <c r="F536" s="340"/>
    </row>
    <row r="537" spans="3:6">
      <c r="C537" s="339"/>
      <c r="D537" s="340"/>
      <c r="E537" s="340"/>
      <c r="F537" s="340"/>
    </row>
    <row r="538" spans="3:6">
      <c r="C538" s="339"/>
      <c r="D538" s="340"/>
      <c r="E538" s="340"/>
      <c r="F538" s="340"/>
    </row>
    <row r="539" spans="3:6">
      <c r="C539" s="339"/>
      <c r="D539" s="340"/>
      <c r="E539" s="340"/>
      <c r="F539" s="340"/>
    </row>
    <row r="540" spans="3:6">
      <c r="C540" s="339"/>
      <c r="D540" s="340"/>
      <c r="E540" s="340"/>
      <c r="F540" s="340"/>
    </row>
    <row r="541" spans="3:6">
      <c r="C541" s="339"/>
      <c r="D541" s="340"/>
      <c r="E541" s="340"/>
      <c r="F541" s="340"/>
    </row>
    <row r="542" spans="3:6">
      <c r="C542" s="339"/>
      <c r="D542" s="340"/>
      <c r="E542" s="340"/>
      <c r="F542" s="340"/>
    </row>
    <row r="543" spans="3:6">
      <c r="C543" s="339"/>
      <c r="D543" s="340"/>
      <c r="E543" s="340"/>
      <c r="F543" s="340"/>
    </row>
    <row r="544" spans="3:6">
      <c r="C544" s="339"/>
      <c r="D544" s="340"/>
      <c r="E544" s="340"/>
      <c r="F544" s="340"/>
    </row>
    <row r="545" spans="3:6">
      <c r="C545" s="339"/>
      <c r="D545" s="340"/>
      <c r="E545" s="340"/>
      <c r="F545" s="340"/>
    </row>
    <row r="546" spans="3:6">
      <c r="C546" s="339"/>
      <c r="D546" s="340"/>
      <c r="E546" s="340"/>
      <c r="F546" s="340"/>
    </row>
    <row r="547" spans="3:6">
      <c r="C547" s="339"/>
      <c r="D547" s="340"/>
      <c r="E547" s="340"/>
      <c r="F547" s="340"/>
    </row>
    <row r="548" spans="3:6">
      <c r="C548" s="339"/>
      <c r="D548" s="340"/>
      <c r="E548" s="340"/>
      <c r="F548" s="340"/>
    </row>
    <row r="549" spans="3:6">
      <c r="C549" s="339"/>
      <c r="D549" s="340"/>
      <c r="E549" s="340"/>
      <c r="F549" s="340"/>
    </row>
    <row r="550" spans="3:6">
      <c r="C550" s="339"/>
      <c r="D550" s="340"/>
      <c r="E550" s="340"/>
      <c r="F550" s="340"/>
    </row>
    <row r="551" spans="3:6">
      <c r="C551" s="339"/>
      <c r="D551" s="340"/>
      <c r="E551" s="340"/>
      <c r="F551" s="340"/>
    </row>
    <row r="552" spans="3:6">
      <c r="C552" s="339"/>
      <c r="D552" s="340"/>
      <c r="E552" s="340"/>
      <c r="F552" s="340"/>
    </row>
    <row r="553" spans="3:6">
      <c r="C553" s="339"/>
      <c r="D553" s="340"/>
      <c r="E553" s="340"/>
      <c r="F553" s="340"/>
    </row>
    <row r="554" spans="3:6">
      <c r="C554" s="339"/>
      <c r="D554" s="340"/>
      <c r="E554" s="340"/>
      <c r="F554" s="340"/>
    </row>
    <row r="555" spans="3:6">
      <c r="C555" s="339"/>
      <c r="D555" s="340"/>
      <c r="E555" s="340"/>
      <c r="F555" s="340"/>
    </row>
    <row r="556" spans="3:6">
      <c r="C556" s="339"/>
      <c r="D556" s="340"/>
      <c r="E556" s="340"/>
      <c r="F556" s="340"/>
    </row>
    <row r="557" spans="3:6">
      <c r="C557" s="339"/>
      <c r="D557" s="340"/>
      <c r="E557" s="340"/>
      <c r="F557" s="340"/>
    </row>
    <row r="558" spans="3:6">
      <c r="C558" s="339"/>
      <c r="D558" s="340"/>
      <c r="E558" s="340"/>
      <c r="F558" s="340"/>
    </row>
    <row r="559" spans="3:6">
      <c r="C559" s="339"/>
      <c r="D559" s="340"/>
      <c r="E559" s="340"/>
      <c r="F559" s="340"/>
    </row>
    <row r="560" spans="3:6">
      <c r="C560" s="339"/>
      <c r="D560" s="340"/>
      <c r="E560" s="340"/>
      <c r="F560" s="340"/>
    </row>
    <row r="561" spans="3:6">
      <c r="C561" s="339"/>
      <c r="D561" s="340"/>
      <c r="E561" s="340"/>
      <c r="F561" s="340"/>
    </row>
    <row r="562" spans="3:6">
      <c r="C562" s="339"/>
      <c r="D562" s="340"/>
      <c r="E562" s="340"/>
      <c r="F562" s="340"/>
    </row>
    <row r="563" spans="3:6">
      <c r="C563" s="339"/>
      <c r="D563" s="340"/>
      <c r="E563" s="340"/>
      <c r="F563" s="340"/>
    </row>
    <row r="564" spans="3:6">
      <c r="C564" s="339"/>
      <c r="D564" s="340"/>
      <c r="E564" s="340"/>
      <c r="F564" s="340"/>
    </row>
    <row r="565" spans="3:6">
      <c r="C565" s="339"/>
      <c r="D565" s="340"/>
      <c r="E565" s="340"/>
      <c r="F565" s="340"/>
    </row>
    <row r="566" spans="3:6">
      <c r="C566" s="339"/>
      <c r="D566" s="340"/>
      <c r="E566" s="340"/>
      <c r="F566" s="340"/>
    </row>
    <row r="567" spans="3:6">
      <c r="C567" s="339"/>
      <c r="D567" s="340"/>
      <c r="E567" s="340"/>
      <c r="F567" s="340"/>
    </row>
    <row r="568" spans="3:6">
      <c r="C568" s="339"/>
      <c r="D568" s="340"/>
      <c r="E568" s="340"/>
      <c r="F568" s="340"/>
    </row>
    <row r="569" spans="3:6">
      <c r="C569" s="339"/>
      <c r="D569" s="340"/>
      <c r="E569" s="340"/>
      <c r="F569" s="340"/>
    </row>
    <row r="570" spans="3:6">
      <c r="C570" s="339"/>
      <c r="D570" s="340"/>
      <c r="E570" s="340"/>
      <c r="F570" s="340"/>
    </row>
    <row r="571" spans="3:6">
      <c r="C571" s="339"/>
      <c r="D571" s="340"/>
      <c r="E571" s="340"/>
      <c r="F571" s="340"/>
    </row>
    <row r="572" spans="3:6">
      <c r="C572" s="339"/>
      <c r="D572" s="340"/>
      <c r="E572" s="340"/>
      <c r="F572" s="340"/>
    </row>
    <row r="573" spans="3:6">
      <c r="C573" s="339"/>
      <c r="D573" s="340"/>
      <c r="E573" s="340"/>
      <c r="F573" s="340"/>
    </row>
    <row r="574" spans="3:6">
      <c r="C574" s="339"/>
      <c r="D574" s="340"/>
      <c r="E574" s="340"/>
      <c r="F574" s="340"/>
    </row>
    <row r="575" spans="3:6">
      <c r="C575" s="339"/>
      <c r="D575" s="340"/>
      <c r="E575" s="340"/>
      <c r="F575" s="340"/>
    </row>
    <row r="576" spans="3:6">
      <c r="C576" s="339"/>
      <c r="D576" s="340"/>
      <c r="E576" s="340"/>
      <c r="F576" s="340"/>
    </row>
    <row r="577" spans="3:6">
      <c r="C577" s="339"/>
      <c r="D577" s="340"/>
      <c r="E577" s="340"/>
      <c r="F577" s="340"/>
    </row>
    <row r="578" spans="3:6">
      <c r="C578" s="339"/>
      <c r="D578" s="340"/>
      <c r="E578" s="340"/>
      <c r="F578" s="340"/>
    </row>
    <row r="579" spans="3:6">
      <c r="C579" s="339"/>
      <c r="D579" s="340"/>
      <c r="E579" s="340"/>
      <c r="F579" s="340"/>
    </row>
    <row r="580" spans="3:6">
      <c r="C580" s="339"/>
      <c r="D580" s="340"/>
      <c r="E580" s="340"/>
      <c r="F580" s="340"/>
    </row>
    <row r="581" spans="3:6">
      <c r="C581" s="339"/>
      <c r="D581" s="340"/>
      <c r="E581" s="340"/>
      <c r="F581" s="340"/>
    </row>
    <row r="582" spans="3:6">
      <c r="C582" s="339"/>
      <c r="D582" s="340"/>
      <c r="E582" s="340"/>
      <c r="F582" s="340"/>
    </row>
    <row r="583" spans="3:6">
      <c r="C583" s="339"/>
      <c r="D583" s="340"/>
      <c r="E583" s="340"/>
      <c r="F583" s="340"/>
    </row>
    <row r="584" spans="3:6">
      <c r="C584" s="339"/>
      <c r="D584" s="340"/>
      <c r="E584" s="340"/>
      <c r="F584" s="340"/>
    </row>
    <row r="585" spans="3:6">
      <c r="C585" s="339"/>
      <c r="D585" s="340"/>
      <c r="E585" s="340"/>
      <c r="F585" s="340"/>
    </row>
    <row r="586" spans="3:6">
      <c r="C586" s="339"/>
      <c r="D586" s="340"/>
      <c r="E586" s="340"/>
      <c r="F586" s="340"/>
    </row>
    <row r="587" spans="3:6">
      <c r="C587" s="339"/>
      <c r="D587" s="340"/>
      <c r="E587" s="340"/>
      <c r="F587" s="340"/>
    </row>
    <row r="588" spans="3:6">
      <c r="C588" s="339"/>
      <c r="D588" s="340"/>
      <c r="E588" s="340"/>
      <c r="F588" s="340"/>
    </row>
    <row r="589" spans="3:6">
      <c r="C589" s="339"/>
      <c r="D589" s="340"/>
      <c r="E589" s="340"/>
      <c r="F589" s="340"/>
    </row>
    <row r="590" spans="3:6">
      <c r="C590" s="339"/>
      <c r="D590" s="340"/>
      <c r="E590" s="340"/>
      <c r="F590" s="340"/>
    </row>
    <row r="591" spans="3:6">
      <c r="C591" s="339"/>
      <c r="D591" s="340"/>
      <c r="E591" s="340"/>
      <c r="F591" s="340"/>
    </row>
    <row r="592" spans="3:6">
      <c r="C592" s="339"/>
      <c r="D592" s="340"/>
      <c r="E592" s="340"/>
      <c r="F592" s="340"/>
    </row>
    <row r="593" spans="3:6">
      <c r="C593" s="339"/>
      <c r="D593" s="340"/>
      <c r="E593" s="340"/>
      <c r="F593" s="340"/>
    </row>
    <row r="594" spans="3:6">
      <c r="C594" s="339"/>
      <c r="D594" s="340"/>
      <c r="E594" s="340"/>
      <c r="F594" s="340"/>
    </row>
    <row r="595" spans="3:6">
      <c r="C595" s="339"/>
      <c r="D595" s="340"/>
      <c r="E595" s="340"/>
      <c r="F595" s="340"/>
    </row>
    <row r="596" spans="3:6">
      <c r="C596" s="339"/>
      <c r="D596" s="340"/>
      <c r="E596" s="340"/>
      <c r="F596" s="340"/>
    </row>
    <row r="597" spans="3:6">
      <c r="C597" s="339"/>
      <c r="D597" s="340"/>
      <c r="E597" s="340"/>
      <c r="F597" s="340"/>
    </row>
    <row r="598" spans="3:6">
      <c r="C598" s="339"/>
      <c r="D598" s="340"/>
      <c r="E598" s="340"/>
      <c r="F598" s="340"/>
    </row>
    <row r="599" spans="3:6">
      <c r="C599" s="339"/>
      <c r="D599" s="340"/>
      <c r="E599" s="340"/>
      <c r="F599" s="340"/>
    </row>
    <row r="600" spans="3:6">
      <c r="C600" s="339"/>
      <c r="D600" s="340"/>
      <c r="E600" s="340"/>
      <c r="F600" s="340"/>
    </row>
    <row r="601" spans="3:6">
      <c r="C601" s="339"/>
      <c r="D601" s="340"/>
      <c r="E601" s="340"/>
      <c r="F601" s="340"/>
    </row>
    <row r="602" spans="3:6">
      <c r="C602" s="339"/>
      <c r="D602" s="340"/>
      <c r="E602" s="340"/>
      <c r="F602" s="340"/>
    </row>
    <row r="603" spans="3:6">
      <c r="C603" s="339"/>
      <c r="D603" s="340"/>
      <c r="E603" s="340"/>
      <c r="F603" s="340"/>
    </row>
    <row r="604" spans="3:6">
      <c r="C604" s="339"/>
      <c r="D604" s="340"/>
      <c r="E604" s="340"/>
      <c r="F604" s="340"/>
    </row>
    <row r="605" spans="3:6">
      <c r="C605" s="339"/>
      <c r="D605" s="340"/>
      <c r="E605" s="340"/>
      <c r="F605" s="340"/>
    </row>
    <row r="606" spans="3:6">
      <c r="C606" s="339"/>
      <c r="D606" s="340"/>
      <c r="E606" s="340"/>
      <c r="F606" s="340"/>
    </row>
    <row r="607" spans="3:6">
      <c r="C607" s="339"/>
      <c r="D607" s="340"/>
      <c r="E607" s="340"/>
      <c r="F607" s="340"/>
    </row>
    <row r="608" spans="3:6">
      <c r="C608" s="339"/>
      <c r="D608" s="340"/>
      <c r="E608" s="340"/>
      <c r="F608" s="340"/>
    </row>
    <row r="609" spans="3:6">
      <c r="C609" s="339"/>
      <c r="D609" s="340"/>
      <c r="E609" s="340"/>
      <c r="F609" s="340"/>
    </row>
    <row r="610" spans="3:6">
      <c r="C610" s="339"/>
      <c r="D610" s="340"/>
      <c r="E610" s="340"/>
      <c r="F610" s="340"/>
    </row>
    <row r="611" spans="3:6">
      <c r="C611" s="339"/>
      <c r="D611" s="340"/>
      <c r="E611" s="340"/>
      <c r="F611" s="340"/>
    </row>
    <row r="612" spans="3:6">
      <c r="C612" s="339"/>
      <c r="D612" s="340"/>
      <c r="E612" s="340"/>
      <c r="F612" s="340"/>
    </row>
    <row r="613" spans="3:6">
      <c r="C613" s="339"/>
      <c r="D613" s="340"/>
      <c r="E613" s="340"/>
      <c r="F613" s="340"/>
    </row>
    <row r="614" spans="3:6">
      <c r="C614" s="339"/>
      <c r="D614" s="340"/>
      <c r="E614" s="340"/>
      <c r="F614" s="340"/>
    </row>
    <row r="615" spans="3:6">
      <c r="C615" s="339"/>
      <c r="D615" s="340"/>
      <c r="E615" s="340"/>
      <c r="F615" s="340"/>
    </row>
    <row r="616" spans="3:6">
      <c r="C616" s="339"/>
      <c r="D616" s="340"/>
      <c r="E616" s="340"/>
      <c r="F616" s="340"/>
    </row>
    <row r="617" spans="3:6">
      <c r="C617" s="339"/>
      <c r="D617" s="340"/>
      <c r="E617" s="340"/>
      <c r="F617" s="340"/>
    </row>
    <row r="618" spans="3:6">
      <c r="C618" s="339"/>
      <c r="D618" s="340"/>
      <c r="E618" s="340"/>
      <c r="F618" s="340"/>
    </row>
    <row r="619" spans="3:6">
      <c r="C619" s="339"/>
      <c r="D619" s="340"/>
      <c r="E619" s="340"/>
      <c r="F619" s="340"/>
    </row>
    <row r="620" spans="3:6">
      <c r="C620" s="339"/>
      <c r="D620" s="340"/>
      <c r="E620" s="340"/>
      <c r="F620" s="340"/>
    </row>
    <row r="621" spans="3:6">
      <c r="C621" s="339"/>
      <c r="D621" s="340"/>
      <c r="E621" s="340"/>
      <c r="F621" s="340"/>
    </row>
    <row r="622" spans="3:6">
      <c r="C622" s="339"/>
      <c r="D622" s="340"/>
      <c r="E622" s="340"/>
      <c r="F622" s="340"/>
    </row>
    <row r="623" spans="3:6">
      <c r="C623" s="339"/>
      <c r="D623" s="340"/>
      <c r="E623" s="340"/>
      <c r="F623" s="340"/>
    </row>
    <row r="624" spans="3:6">
      <c r="C624" s="339"/>
      <c r="D624" s="340"/>
      <c r="E624" s="340"/>
      <c r="F624" s="340"/>
    </row>
    <row r="625" spans="3:6">
      <c r="C625" s="339"/>
      <c r="D625" s="340"/>
      <c r="E625" s="340"/>
      <c r="F625" s="340"/>
    </row>
    <row r="626" spans="3:6">
      <c r="C626" s="339"/>
      <c r="D626" s="340"/>
      <c r="E626" s="340"/>
      <c r="F626" s="340"/>
    </row>
    <row r="627" spans="3:6">
      <c r="C627" s="339"/>
      <c r="D627" s="340"/>
      <c r="E627" s="340"/>
      <c r="F627" s="340"/>
    </row>
    <row r="628" spans="3:6">
      <c r="C628" s="339"/>
      <c r="D628" s="340"/>
      <c r="E628" s="340"/>
      <c r="F628" s="340"/>
    </row>
    <row r="629" spans="3:6">
      <c r="C629" s="339"/>
      <c r="D629" s="340"/>
      <c r="E629" s="340"/>
      <c r="F629" s="340"/>
    </row>
    <row r="630" spans="3:6">
      <c r="C630" s="339"/>
      <c r="D630" s="340"/>
      <c r="E630" s="340"/>
      <c r="F630" s="340"/>
    </row>
    <row r="631" spans="3:6">
      <c r="C631" s="339"/>
      <c r="D631" s="340"/>
      <c r="E631" s="340"/>
      <c r="F631" s="340"/>
    </row>
    <row r="632" spans="3:6">
      <c r="C632" s="339"/>
      <c r="D632" s="340"/>
      <c r="E632" s="340"/>
      <c r="F632" s="340"/>
    </row>
    <row r="633" spans="3:6">
      <c r="C633" s="339"/>
      <c r="D633" s="340"/>
      <c r="E633" s="340"/>
      <c r="F633" s="340"/>
    </row>
    <row r="634" spans="3:6">
      <c r="C634" s="339"/>
      <c r="D634" s="340"/>
      <c r="E634" s="340"/>
      <c r="F634" s="340"/>
    </row>
    <row r="635" spans="3:6">
      <c r="C635" s="339"/>
      <c r="D635" s="340"/>
      <c r="E635" s="340"/>
      <c r="F635" s="340"/>
    </row>
    <row r="636" spans="3:6">
      <c r="C636" s="339"/>
      <c r="D636" s="340"/>
      <c r="E636" s="340"/>
      <c r="F636" s="340"/>
    </row>
    <row r="637" spans="3:6">
      <c r="C637" s="339"/>
      <c r="D637" s="340"/>
      <c r="E637" s="340"/>
      <c r="F637" s="340"/>
    </row>
    <row r="638" spans="3:6">
      <c r="C638" s="339"/>
      <c r="D638" s="340"/>
      <c r="E638" s="340"/>
      <c r="F638" s="340"/>
    </row>
    <row r="639" spans="3:6">
      <c r="C639" s="339"/>
      <c r="D639" s="340"/>
      <c r="E639" s="340"/>
      <c r="F639" s="340"/>
    </row>
    <row r="640" spans="3:6">
      <c r="C640" s="339"/>
      <c r="D640" s="340"/>
      <c r="E640" s="340"/>
      <c r="F640" s="340"/>
    </row>
    <row r="641" spans="3:6">
      <c r="C641" s="339"/>
      <c r="D641" s="340"/>
      <c r="E641" s="340"/>
      <c r="F641" s="340"/>
    </row>
    <row r="642" spans="3:6">
      <c r="C642" s="339"/>
      <c r="D642" s="340"/>
      <c r="E642" s="340"/>
      <c r="F642" s="340"/>
    </row>
    <row r="643" spans="3:6">
      <c r="C643" s="339"/>
      <c r="D643" s="340"/>
      <c r="E643" s="340"/>
      <c r="F643" s="340"/>
    </row>
    <row r="644" spans="3:6">
      <c r="C644" s="339"/>
      <c r="D644" s="340"/>
      <c r="E644" s="340"/>
      <c r="F644" s="340"/>
    </row>
    <row r="645" spans="3:6">
      <c r="C645" s="339"/>
      <c r="D645" s="340"/>
      <c r="E645" s="340"/>
      <c r="F645" s="340"/>
    </row>
    <row r="646" spans="3:6">
      <c r="C646" s="339"/>
      <c r="D646" s="340"/>
      <c r="E646" s="340"/>
      <c r="F646" s="340"/>
    </row>
    <row r="647" spans="3:6">
      <c r="C647" s="339"/>
      <c r="D647" s="340"/>
      <c r="E647" s="340"/>
      <c r="F647" s="340"/>
    </row>
    <row r="648" spans="3:6">
      <c r="C648" s="339"/>
      <c r="D648" s="340"/>
      <c r="E648" s="340"/>
      <c r="F648" s="340"/>
    </row>
    <row r="649" spans="3:6">
      <c r="C649" s="339"/>
      <c r="D649" s="340"/>
      <c r="E649" s="340"/>
      <c r="F649" s="340"/>
    </row>
    <row r="650" spans="3:6">
      <c r="C650" s="339"/>
      <c r="D650" s="340"/>
      <c r="E650" s="340"/>
      <c r="F650" s="340"/>
    </row>
    <row r="651" spans="3:6">
      <c r="C651" s="339"/>
      <c r="D651" s="340"/>
      <c r="E651" s="340"/>
      <c r="F651" s="340"/>
    </row>
    <row r="652" spans="3:6">
      <c r="C652" s="339"/>
      <c r="D652" s="340"/>
      <c r="E652" s="340"/>
      <c r="F652" s="340"/>
    </row>
    <row r="653" spans="3:6">
      <c r="C653" s="339"/>
      <c r="D653" s="340"/>
      <c r="E653" s="340"/>
      <c r="F653" s="340"/>
    </row>
    <row r="654" spans="3:6">
      <c r="C654" s="339"/>
      <c r="D654" s="340"/>
      <c r="E654" s="340"/>
      <c r="F654" s="340"/>
    </row>
    <row r="655" spans="3:6">
      <c r="C655" s="339"/>
      <c r="D655" s="340"/>
      <c r="E655" s="340"/>
      <c r="F655" s="340"/>
    </row>
    <row r="656" spans="3:6">
      <c r="C656" s="339"/>
      <c r="D656" s="340"/>
      <c r="E656" s="340"/>
      <c r="F656" s="340"/>
    </row>
    <row r="657" spans="3:6">
      <c r="C657" s="339"/>
      <c r="D657" s="340"/>
      <c r="E657" s="340"/>
      <c r="F657" s="340"/>
    </row>
    <row r="658" spans="3:6">
      <c r="C658" s="339"/>
      <c r="D658" s="340"/>
      <c r="E658" s="340"/>
      <c r="F658" s="340"/>
    </row>
    <row r="659" spans="3:6">
      <c r="C659" s="339"/>
      <c r="D659" s="340"/>
      <c r="E659" s="340"/>
      <c r="F659" s="340"/>
    </row>
    <row r="660" spans="3:6">
      <c r="C660" s="339"/>
      <c r="D660" s="340"/>
      <c r="E660" s="340"/>
      <c r="F660" s="340"/>
    </row>
    <row r="661" spans="3:6">
      <c r="C661" s="339"/>
      <c r="D661" s="340"/>
      <c r="E661" s="340"/>
      <c r="F661" s="340"/>
    </row>
    <row r="662" spans="3:6">
      <c r="C662" s="339"/>
      <c r="D662" s="340"/>
      <c r="E662" s="340"/>
      <c r="F662" s="340"/>
    </row>
    <row r="663" spans="3:6">
      <c r="C663" s="339"/>
      <c r="D663" s="340"/>
      <c r="E663" s="340"/>
      <c r="F663" s="340"/>
    </row>
    <row r="664" spans="3:6">
      <c r="C664" s="339"/>
      <c r="D664" s="340"/>
      <c r="E664" s="340"/>
      <c r="F664" s="340"/>
    </row>
    <row r="665" spans="3:6">
      <c r="C665" s="339"/>
      <c r="D665" s="340"/>
      <c r="E665" s="340"/>
      <c r="F665" s="340"/>
    </row>
    <row r="666" spans="3:6">
      <c r="C666" s="339"/>
      <c r="D666" s="340"/>
      <c r="E666" s="340"/>
      <c r="F666" s="340"/>
    </row>
    <row r="667" spans="3:6">
      <c r="C667" s="339"/>
      <c r="D667" s="340"/>
      <c r="E667" s="340"/>
      <c r="F667" s="340"/>
    </row>
    <row r="668" spans="3:6">
      <c r="C668" s="339"/>
      <c r="D668" s="340"/>
      <c r="E668" s="340"/>
      <c r="F668" s="340"/>
    </row>
    <row r="669" spans="3:6">
      <c r="C669" s="339"/>
      <c r="D669" s="340"/>
      <c r="E669" s="340"/>
      <c r="F669" s="340"/>
    </row>
    <row r="670" spans="3:6">
      <c r="C670" s="339"/>
      <c r="D670" s="340"/>
      <c r="E670" s="340"/>
      <c r="F670" s="340"/>
    </row>
    <row r="671" spans="3:6">
      <c r="C671" s="339"/>
      <c r="D671" s="340"/>
      <c r="E671" s="340"/>
      <c r="F671" s="340"/>
    </row>
    <row r="672" spans="3:6">
      <c r="C672" s="339"/>
      <c r="D672" s="340"/>
      <c r="E672" s="340"/>
      <c r="F672" s="340"/>
    </row>
    <row r="673" spans="3:6">
      <c r="C673" s="339"/>
      <c r="D673" s="340"/>
      <c r="E673" s="340"/>
      <c r="F673" s="340"/>
    </row>
    <row r="674" spans="3:6">
      <c r="C674" s="339"/>
      <c r="D674" s="340"/>
      <c r="E674" s="340"/>
      <c r="F674" s="340"/>
    </row>
    <row r="675" spans="3:6">
      <c r="C675" s="339"/>
      <c r="D675" s="340"/>
      <c r="E675" s="340"/>
      <c r="F675" s="340"/>
    </row>
    <row r="676" spans="3:6">
      <c r="C676" s="339"/>
      <c r="D676" s="340"/>
      <c r="E676" s="340"/>
      <c r="F676" s="340"/>
    </row>
    <row r="677" spans="3:6">
      <c r="C677" s="339"/>
      <c r="D677" s="340"/>
      <c r="E677" s="340"/>
      <c r="F677" s="340"/>
    </row>
    <row r="678" spans="3:6">
      <c r="C678" s="339"/>
      <c r="D678" s="340"/>
      <c r="E678" s="340"/>
      <c r="F678" s="340"/>
    </row>
    <row r="679" spans="3:6">
      <c r="C679" s="339"/>
      <c r="D679" s="340"/>
      <c r="E679" s="340"/>
      <c r="F679" s="340"/>
    </row>
    <row r="680" spans="3:6">
      <c r="C680" s="339"/>
      <c r="D680" s="340"/>
      <c r="E680" s="340"/>
      <c r="F680" s="340"/>
    </row>
    <row r="681" spans="3:6">
      <c r="C681" s="339"/>
      <c r="D681" s="340"/>
      <c r="E681" s="340"/>
      <c r="F681" s="340"/>
    </row>
    <row r="682" spans="3:6">
      <c r="C682" s="339"/>
      <c r="D682" s="340"/>
      <c r="E682" s="340"/>
      <c r="F682" s="340"/>
    </row>
    <row r="683" spans="3:6">
      <c r="C683" s="339"/>
      <c r="D683" s="340"/>
      <c r="E683" s="340"/>
      <c r="F683" s="340"/>
    </row>
    <row r="684" spans="3:6">
      <c r="C684" s="339"/>
      <c r="D684" s="340"/>
      <c r="E684" s="340"/>
      <c r="F684" s="340"/>
    </row>
    <row r="685" spans="3:6">
      <c r="C685" s="339"/>
      <c r="D685" s="340"/>
      <c r="E685" s="340"/>
      <c r="F685" s="340"/>
    </row>
    <row r="686" spans="3:6">
      <c r="C686" s="339"/>
      <c r="D686" s="340"/>
      <c r="E686" s="340"/>
      <c r="F686" s="340"/>
    </row>
    <row r="687" spans="3:6">
      <c r="C687" s="339"/>
      <c r="D687" s="340"/>
      <c r="E687" s="340"/>
      <c r="F687" s="340"/>
    </row>
    <row r="688" spans="3:6">
      <c r="C688" s="339"/>
      <c r="D688" s="340"/>
      <c r="E688" s="340"/>
      <c r="F688" s="340"/>
    </row>
    <row r="689" spans="3:6">
      <c r="C689" s="339"/>
      <c r="D689" s="340"/>
      <c r="E689" s="340"/>
      <c r="F689" s="340"/>
    </row>
    <row r="690" spans="3:6">
      <c r="C690" s="339"/>
      <c r="D690" s="340"/>
      <c r="E690" s="340"/>
      <c r="F690" s="340"/>
    </row>
    <row r="691" spans="3:6">
      <c r="C691" s="339"/>
      <c r="D691" s="340"/>
      <c r="E691" s="340"/>
      <c r="F691" s="340"/>
    </row>
    <row r="692" spans="3:6">
      <c r="C692" s="339"/>
      <c r="D692" s="340"/>
      <c r="E692" s="340"/>
      <c r="F692" s="340"/>
    </row>
    <row r="693" spans="3:6">
      <c r="C693" s="339"/>
      <c r="D693" s="340"/>
      <c r="E693" s="340"/>
      <c r="F693" s="340"/>
    </row>
    <row r="694" spans="3:6">
      <c r="C694" s="339"/>
      <c r="D694" s="340"/>
      <c r="E694" s="340"/>
      <c r="F694" s="340"/>
    </row>
    <row r="695" spans="3:6">
      <c r="C695" s="339"/>
      <c r="D695" s="340"/>
      <c r="E695" s="340"/>
      <c r="F695" s="340"/>
    </row>
    <row r="696" spans="3:6">
      <c r="C696" s="339"/>
      <c r="D696" s="340"/>
      <c r="E696" s="340"/>
      <c r="F696" s="340"/>
    </row>
    <row r="697" spans="3:6">
      <c r="C697" s="339"/>
      <c r="D697" s="340"/>
      <c r="E697" s="340"/>
      <c r="F697" s="340"/>
    </row>
    <row r="698" spans="3:6">
      <c r="C698" s="339"/>
      <c r="D698" s="340"/>
      <c r="E698" s="340"/>
      <c r="F698" s="340"/>
    </row>
    <row r="699" spans="3:6">
      <c r="C699" s="339"/>
      <c r="D699" s="340"/>
      <c r="E699" s="340"/>
      <c r="F699" s="340"/>
    </row>
    <row r="700" spans="3:6">
      <c r="C700" s="339"/>
      <c r="D700" s="340"/>
      <c r="E700" s="340"/>
      <c r="F700" s="340"/>
    </row>
    <row r="701" spans="3:6">
      <c r="C701" s="339"/>
      <c r="D701" s="340"/>
      <c r="E701" s="340"/>
      <c r="F701" s="340"/>
    </row>
    <row r="702" spans="3:6">
      <c r="C702" s="339"/>
      <c r="D702" s="340"/>
      <c r="E702" s="340"/>
      <c r="F702" s="340"/>
    </row>
    <row r="703" spans="3:6">
      <c r="C703" s="339"/>
      <c r="D703" s="340"/>
      <c r="E703" s="340"/>
      <c r="F703" s="340"/>
    </row>
    <row r="704" spans="3:6">
      <c r="C704" s="339"/>
      <c r="D704" s="340"/>
      <c r="E704" s="340"/>
      <c r="F704" s="340"/>
    </row>
    <row r="705" spans="3:6">
      <c r="C705" s="339"/>
      <c r="D705" s="340"/>
      <c r="E705" s="340"/>
      <c r="F705" s="340"/>
    </row>
    <row r="706" spans="3:6">
      <c r="C706" s="339"/>
      <c r="D706" s="340"/>
      <c r="E706" s="340"/>
      <c r="F706" s="340"/>
    </row>
    <row r="707" spans="3:6">
      <c r="C707" s="339"/>
      <c r="D707" s="340"/>
      <c r="E707" s="340"/>
      <c r="F707" s="340"/>
    </row>
    <row r="708" spans="3:6">
      <c r="C708" s="339"/>
      <c r="D708" s="340"/>
      <c r="E708" s="340"/>
      <c r="F708" s="340"/>
    </row>
    <row r="709" spans="3:6">
      <c r="C709" s="339"/>
      <c r="D709" s="340"/>
      <c r="E709" s="340"/>
      <c r="F709" s="340"/>
    </row>
    <row r="710" spans="3:6">
      <c r="C710" s="339"/>
      <c r="D710" s="340"/>
      <c r="E710" s="340"/>
      <c r="F710" s="340"/>
    </row>
    <row r="711" spans="3:6">
      <c r="C711" s="339"/>
      <c r="D711" s="340"/>
      <c r="E711" s="340"/>
      <c r="F711" s="340"/>
    </row>
    <row r="712" spans="3:6">
      <c r="C712" s="339"/>
      <c r="D712" s="340"/>
      <c r="E712" s="340"/>
      <c r="F712" s="340"/>
    </row>
    <row r="713" spans="3:6">
      <c r="C713" s="339"/>
      <c r="D713" s="340"/>
      <c r="E713" s="340"/>
      <c r="F713" s="340"/>
    </row>
    <row r="714" spans="3:6">
      <c r="C714" s="339"/>
      <c r="D714" s="340"/>
      <c r="E714" s="340"/>
      <c r="F714" s="340"/>
    </row>
    <row r="715" spans="3:6">
      <c r="C715" s="339"/>
      <c r="D715" s="340"/>
      <c r="E715" s="340"/>
      <c r="F715" s="340"/>
    </row>
    <row r="716" spans="3:6">
      <c r="C716" s="339"/>
      <c r="D716" s="340"/>
      <c r="E716" s="340"/>
      <c r="F716" s="340"/>
    </row>
    <row r="717" spans="3:6">
      <c r="C717" s="339"/>
      <c r="D717" s="340"/>
      <c r="E717" s="340"/>
      <c r="F717" s="340"/>
    </row>
    <row r="718" spans="3:6">
      <c r="C718" s="339"/>
      <c r="D718" s="340"/>
      <c r="E718" s="340"/>
      <c r="F718" s="340"/>
    </row>
    <row r="719" spans="3:6">
      <c r="C719" s="339"/>
      <c r="D719" s="340"/>
      <c r="E719" s="340"/>
      <c r="F719" s="340"/>
    </row>
    <row r="720" spans="3:6">
      <c r="C720" s="339"/>
      <c r="D720" s="340"/>
      <c r="E720" s="340"/>
      <c r="F720" s="340"/>
    </row>
    <row r="721" spans="3:6">
      <c r="C721" s="339"/>
      <c r="D721" s="340"/>
      <c r="E721" s="340"/>
      <c r="F721" s="340"/>
    </row>
    <row r="722" spans="3:6">
      <c r="C722" s="339"/>
      <c r="D722" s="340"/>
      <c r="E722" s="340"/>
      <c r="F722" s="340"/>
    </row>
    <row r="723" spans="3:6">
      <c r="C723" s="339"/>
      <c r="D723" s="340"/>
      <c r="E723" s="340"/>
      <c r="F723" s="340"/>
    </row>
    <row r="724" spans="3:6">
      <c r="C724" s="339"/>
      <c r="D724" s="340"/>
      <c r="E724" s="340"/>
      <c r="F724" s="340"/>
    </row>
    <row r="725" spans="3:6">
      <c r="C725" s="339"/>
      <c r="D725" s="340"/>
      <c r="E725" s="340"/>
      <c r="F725" s="340"/>
    </row>
    <row r="726" spans="3:6">
      <c r="C726" s="339"/>
      <c r="D726" s="340"/>
      <c r="E726" s="340"/>
      <c r="F726" s="340"/>
    </row>
    <row r="727" spans="3:6">
      <c r="C727" s="339"/>
      <c r="D727" s="340"/>
      <c r="E727" s="340"/>
      <c r="F727" s="340"/>
    </row>
    <row r="728" spans="3:6">
      <c r="C728" s="339"/>
      <c r="D728" s="340"/>
      <c r="E728" s="340"/>
      <c r="F728" s="340"/>
    </row>
    <row r="729" spans="3:6">
      <c r="C729" s="339"/>
      <c r="D729" s="340"/>
      <c r="E729" s="340"/>
      <c r="F729" s="340"/>
    </row>
    <row r="730" spans="3:6">
      <c r="C730" s="339"/>
      <c r="D730" s="340"/>
      <c r="E730" s="340"/>
      <c r="F730" s="340"/>
    </row>
    <row r="731" spans="3:6">
      <c r="C731" s="339"/>
      <c r="D731" s="340"/>
      <c r="E731" s="340"/>
      <c r="F731" s="340"/>
    </row>
    <row r="732" spans="3:6">
      <c r="C732" s="339"/>
      <c r="D732" s="340"/>
      <c r="E732" s="340"/>
      <c r="F732" s="340"/>
    </row>
    <row r="733" spans="3:6">
      <c r="C733" s="339"/>
      <c r="D733" s="340"/>
      <c r="E733" s="340"/>
      <c r="F733" s="340"/>
    </row>
    <row r="734" spans="3:6">
      <c r="C734" s="339"/>
      <c r="D734" s="340"/>
      <c r="E734" s="340"/>
      <c r="F734" s="340"/>
    </row>
    <row r="735" spans="3:6">
      <c r="C735" s="339"/>
      <c r="D735" s="340"/>
      <c r="E735" s="340"/>
      <c r="F735" s="340"/>
    </row>
    <row r="736" spans="3:6">
      <c r="C736" s="339"/>
      <c r="D736" s="340"/>
      <c r="E736" s="340"/>
      <c r="F736" s="340"/>
    </row>
    <row r="737" spans="3:6">
      <c r="C737" s="339"/>
      <c r="D737" s="340"/>
      <c r="E737" s="340"/>
      <c r="F737" s="340"/>
    </row>
    <row r="738" spans="3:6">
      <c r="C738" s="339"/>
      <c r="D738" s="340"/>
      <c r="E738" s="340"/>
      <c r="F738" s="340"/>
    </row>
    <row r="739" spans="3:6">
      <c r="C739" s="339"/>
      <c r="D739" s="340"/>
      <c r="E739" s="340"/>
      <c r="F739" s="340"/>
    </row>
    <row r="740" spans="3:6">
      <c r="C740" s="339"/>
      <c r="D740" s="340"/>
      <c r="E740" s="340"/>
      <c r="F740" s="340"/>
    </row>
    <row r="741" spans="3:6">
      <c r="C741" s="339"/>
      <c r="D741" s="340"/>
      <c r="E741" s="340"/>
      <c r="F741" s="340"/>
    </row>
    <row r="742" spans="3:6">
      <c r="C742" s="339"/>
      <c r="D742" s="340"/>
      <c r="E742" s="340"/>
      <c r="F742" s="340"/>
    </row>
    <row r="743" spans="3:6">
      <c r="C743" s="339"/>
      <c r="D743" s="340"/>
      <c r="E743" s="340"/>
      <c r="F743" s="340"/>
    </row>
    <row r="744" spans="3:6">
      <c r="C744" s="339"/>
      <c r="D744" s="340"/>
      <c r="E744" s="340"/>
      <c r="F744" s="340"/>
    </row>
    <row r="745" spans="3:6">
      <c r="C745" s="339"/>
      <c r="D745" s="340"/>
      <c r="E745" s="340"/>
      <c r="F745" s="340"/>
    </row>
    <row r="746" spans="3:6">
      <c r="C746" s="339"/>
      <c r="D746" s="340"/>
      <c r="E746" s="340"/>
      <c r="F746" s="340"/>
    </row>
    <row r="747" spans="3:6">
      <c r="C747" s="339"/>
      <c r="D747" s="340"/>
      <c r="E747" s="340"/>
      <c r="F747" s="340"/>
    </row>
    <row r="748" spans="3:6">
      <c r="C748" s="339"/>
      <c r="D748" s="340"/>
      <c r="E748" s="340"/>
      <c r="F748" s="340"/>
    </row>
    <row r="749" spans="3:6">
      <c r="C749" s="339"/>
      <c r="D749" s="340"/>
      <c r="E749" s="340"/>
      <c r="F749" s="340"/>
    </row>
    <row r="750" spans="3:6">
      <c r="C750" s="339"/>
      <c r="D750" s="340"/>
      <c r="E750" s="340"/>
      <c r="F750" s="340"/>
    </row>
    <row r="751" spans="3:6">
      <c r="C751" s="339"/>
      <c r="D751" s="340"/>
      <c r="E751" s="340"/>
      <c r="F751" s="340"/>
    </row>
    <row r="752" spans="3:6">
      <c r="C752" s="339"/>
      <c r="D752" s="340"/>
      <c r="E752" s="340"/>
      <c r="F752" s="340"/>
    </row>
    <row r="753" spans="3:6">
      <c r="C753" s="339"/>
      <c r="D753" s="340"/>
      <c r="E753" s="340"/>
      <c r="F753" s="340"/>
    </row>
    <row r="754" spans="3:6">
      <c r="C754" s="339"/>
      <c r="D754" s="340"/>
      <c r="E754" s="340"/>
      <c r="F754" s="340"/>
    </row>
    <row r="755" spans="3:6">
      <c r="C755" s="339"/>
      <c r="D755" s="340"/>
      <c r="E755" s="340"/>
      <c r="F755" s="340"/>
    </row>
    <row r="756" spans="3:6">
      <c r="C756" s="339"/>
      <c r="D756" s="340"/>
      <c r="E756" s="340"/>
      <c r="F756" s="340"/>
    </row>
    <row r="757" spans="3:6">
      <c r="C757" s="339"/>
      <c r="D757" s="340"/>
      <c r="E757" s="340"/>
      <c r="F757" s="340"/>
    </row>
    <row r="758" spans="3:6">
      <c r="C758" s="339"/>
      <c r="D758" s="340"/>
      <c r="E758" s="340"/>
      <c r="F758" s="340"/>
    </row>
    <row r="759" spans="3:6">
      <c r="C759" s="339"/>
      <c r="D759" s="340"/>
      <c r="E759" s="340"/>
      <c r="F759" s="340"/>
    </row>
    <row r="760" spans="3:6">
      <c r="C760" s="339"/>
      <c r="D760" s="340"/>
      <c r="E760" s="340"/>
      <c r="F760" s="340"/>
    </row>
    <row r="761" spans="3:6">
      <c r="C761" s="339"/>
      <c r="D761" s="340"/>
      <c r="E761" s="340"/>
      <c r="F761" s="340"/>
    </row>
    <row r="762" spans="3:6">
      <c r="C762" s="339"/>
      <c r="D762" s="340"/>
      <c r="E762" s="340"/>
      <c r="F762" s="340"/>
    </row>
    <row r="763" spans="3:6">
      <c r="C763" s="339"/>
      <c r="D763" s="340"/>
      <c r="E763" s="340"/>
      <c r="F763" s="340"/>
    </row>
    <row r="764" spans="3:6">
      <c r="C764" s="339"/>
      <c r="D764" s="340"/>
      <c r="E764" s="340"/>
      <c r="F764" s="340"/>
    </row>
    <row r="765" spans="3:6">
      <c r="C765" s="339"/>
      <c r="D765" s="340"/>
      <c r="E765" s="340"/>
      <c r="F765" s="340"/>
    </row>
    <row r="766" spans="3:6">
      <c r="C766" s="339"/>
      <c r="D766" s="340"/>
      <c r="E766" s="340"/>
      <c r="F766" s="340"/>
    </row>
    <row r="767" spans="3:6">
      <c r="C767" s="339"/>
      <c r="D767" s="340"/>
      <c r="E767" s="340"/>
      <c r="F767" s="340"/>
    </row>
    <row r="768" spans="3:6">
      <c r="C768" s="339"/>
      <c r="D768" s="340"/>
      <c r="E768" s="340"/>
      <c r="F768" s="340"/>
    </row>
    <row r="769" spans="3:6">
      <c r="C769" s="339"/>
      <c r="D769" s="340"/>
      <c r="E769" s="340"/>
      <c r="F769" s="340"/>
    </row>
    <row r="770" spans="3:6">
      <c r="C770" s="339"/>
      <c r="D770" s="340"/>
      <c r="E770" s="340"/>
      <c r="F770" s="340"/>
    </row>
    <row r="771" spans="3:6">
      <c r="C771" s="339"/>
      <c r="D771" s="340"/>
      <c r="E771" s="340"/>
      <c r="F771" s="340"/>
    </row>
    <row r="772" spans="3:6">
      <c r="C772" s="339"/>
      <c r="D772" s="340"/>
      <c r="E772" s="340"/>
      <c r="F772" s="340"/>
    </row>
    <row r="773" spans="3:6">
      <c r="C773" s="339"/>
      <c r="D773" s="340"/>
      <c r="E773" s="340"/>
      <c r="F773" s="340"/>
    </row>
    <row r="774" spans="3:6">
      <c r="C774" s="339"/>
      <c r="D774" s="340"/>
      <c r="E774" s="340"/>
      <c r="F774" s="340"/>
    </row>
    <row r="775" spans="3:6">
      <c r="C775" s="339"/>
      <c r="D775" s="340"/>
      <c r="E775" s="340"/>
      <c r="F775" s="340"/>
    </row>
    <row r="776" spans="3:6">
      <c r="C776" s="339"/>
      <c r="D776" s="340"/>
      <c r="E776" s="340"/>
      <c r="F776" s="340"/>
    </row>
    <row r="777" spans="3:6">
      <c r="C777" s="339"/>
      <c r="D777" s="340"/>
      <c r="E777" s="340"/>
      <c r="F777" s="340"/>
    </row>
    <row r="778" spans="3:6">
      <c r="C778" s="339"/>
      <c r="D778" s="340"/>
      <c r="E778" s="340"/>
      <c r="F778" s="340"/>
    </row>
    <row r="779" spans="3:6">
      <c r="C779" s="339"/>
      <c r="D779" s="340"/>
      <c r="E779" s="340"/>
      <c r="F779" s="340"/>
    </row>
    <row r="780" spans="3:6">
      <c r="C780" s="339"/>
      <c r="D780" s="340"/>
      <c r="E780" s="340"/>
      <c r="F780" s="340"/>
    </row>
    <row r="781" spans="3:6">
      <c r="C781" s="339"/>
      <c r="D781" s="340"/>
      <c r="E781" s="340"/>
      <c r="F781" s="340"/>
    </row>
    <row r="782" spans="3:6">
      <c r="C782" s="339"/>
      <c r="D782" s="340"/>
      <c r="E782" s="340"/>
      <c r="F782" s="340"/>
    </row>
    <row r="783" spans="3:6">
      <c r="C783" s="339"/>
      <c r="D783" s="340"/>
      <c r="E783" s="340"/>
      <c r="F783" s="340"/>
    </row>
    <row r="784" spans="3:6">
      <c r="C784" s="339"/>
      <c r="D784" s="340"/>
      <c r="E784" s="340"/>
      <c r="F784" s="340"/>
    </row>
    <row r="785" spans="3:6">
      <c r="C785" s="339"/>
      <c r="D785" s="340"/>
      <c r="E785" s="340"/>
      <c r="F785" s="340"/>
    </row>
    <row r="786" spans="3:6">
      <c r="C786" s="339"/>
      <c r="D786" s="340"/>
      <c r="E786" s="340"/>
      <c r="F786" s="340"/>
    </row>
    <row r="787" spans="3:6">
      <c r="C787" s="339"/>
      <c r="D787" s="340"/>
      <c r="E787" s="340"/>
      <c r="F787" s="340"/>
    </row>
    <row r="788" spans="3:6">
      <c r="C788" s="339"/>
      <c r="D788" s="340"/>
      <c r="E788" s="340"/>
      <c r="F788" s="340"/>
    </row>
    <row r="789" spans="3:6">
      <c r="C789" s="339"/>
      <c r="D789" s="340"/>
      <c r="E789" s="340"/>
      <c r="F789" s="340"/>
    </row>
    <row r="790" spans="3:6">
      <c r="C790" s="339"/>
      <c r="D790" s="340"/>
      <c r="E790" s="340"/>
      <c r="F790" s="340"/>
    </row>
    <row r="791" spans="3:6">
      <c r="C791" s="339"/>
      <c r="D791" s="340"/>
      <c r="E791" s="340"/>
      <c r="F791" s="340"/>
    </row>
    <row r="792" spans="3:6">
      <c r="C792" s="339"/>
      <c r="D792" s="340"/>
      <c r="E792" s="340"/>
      <c r="F792" s="340"/>
    </row>
    <row r="793" spans="3:6">
      <c r="C793" s="339"/>
      <c r="D793" s="340"/>
      <c r="E793" s="340"/>
      <c r="F793" s="340"/>
    </row>
    <row r="794" spans="3:6">
      <c r="C794" s="339"/>
      <c r="D794" s="340"/>
      <c r="E794" s="340"/>
      <c r="F794" s="340"/>
    </row>
    <row r="795" spans="3:6">
      <c r="C795" s="339"/>
      <c r="D795" s="340"/>
      <c r="E795" s="340"/>
      <c r="F795" s="340"/>
    </row>
    <row r="796" spans="3:6">
      <c r="C796" s="339"/>
      <c r="D796" s="340"/>
      <c r="E796" s="340"/>
      <c r="F796" s="340"/>
    </row>
    <row r="797" spans="3:6">
      <c r="C797" s="339"/>
      <c r="D797" s="340"/>
      <c r="E797" s="340"/>
      <c r="F797" s="340"/>
    </row>
    <row r="798" spans="3:6">
      <c r="C798" s="339"/>
      <c r="D798" s="340"/>
      <c r="E798" s="340"/>
      <c r="F798" s="340"/>
    </row>
    <row r="799" spans="3:6">
      <c r="C799" s="339"/>
      <c r="D799" s="340"/>
      <c r="E799" s="340"/>
      <c r="F799" s="340"/>
    </row>
    <row r="800" spans="3:6">
      <c r="C800" s="339"/>
      <c r="D800" s="340"/>
      <c r="E800" s="340"/>
      <c r="F800" s="340"/>
    </row>
    <row r="801" spans="3:6">
      <c r="C801" s="339"/>
      <c r="D801" s="340"/>
      <c r="E801" s="340"/>
      <c r="F801" s="340"/>
    </row>
    <row r="802" spans="3:6">
      <c r="C802" s="339"/>
      <c r="D802" s="340"/>
      <c r="E802" s="340"/>
      <c r="F802" s="340"/>
    </row>
    <row r="803" spans="3:6">
      <c r="C803" s="339"/>
      <c r="D803" s="340"/>
      <c r="E803" s="340"/>
      <c r="F803" s="340"/>
    </row>
    <row r="804" spans="3:6">
      <c r="C804" s="339"/>
      <c r="D804" s="340"/>
      <c r="E804" s="340"/>
      <c r="F804" s="340"/>
    </row>
    <row r="805" spans="3:6">
      <c r="C805" s="339"/>
      <c r="D805" s="340"/>
      <c r="E805" s="340"/>
      <c r="F805" s="340"/>
    </row>
    <row r="806" spans="3:6">
      <c r="C806" s="339"/>
      <c r="D806" s="340"/>
      <c r="E806" s="340"/>
      <c r="F806" s="340"/>
    </row>
    <row r="807" spans="3:6">
      <c r="C807" s="339"/>
      <c r="D807" s="340"/>
      <c r="E807" s="340"/>
      <c r="F807" s="340"/>
    </row>
    <row r="808" spans="3:6">
      <c r="C808" s="339"/>
      <c r="D808" s="340"/>
      <c r="E808" s="340"/>
      <c r="F808" s="340"/>
    </row>
    <row r="809" spans="3:6">
      <c r="C809" s="339"/>
      <c r="D809" s="340"/>
      <c r="E809" s="340"/>
      <c r="F809" s="340"/>
    </row>
    <row r="810" spans="3:6">
      <c r="C810" s="339"/>
      <c r="D810" s="340"/>
      <c r="E810" s="340"/>
      <c r="F810" s="340"/>
    </row>
    <row r="811" spans="3:6">
      <c r="C811" s="339"/>
      <c r="D811" s="340"/>
      <c r="E811" s="340"/>
      <c r="F811" s="340"/>
    </row>
    <row r="812" spans="3:6">
      <c r="C812" s="339"/>
      <c r="D812" s="340"/>
      <c r="E812" s="340"/>
      <c r="F812" s="340"/>
    </row>
    <row r="813" spans="3:6">
      <c r="C813" s="339"/>
      <c r="D813" s="340"/>
      <c r="E813" s="340"/>
      <c r="F813" s="340"/>
    </row>
    <row r="814" spans="3:6">
      <c r="C814" s="339"/>
      <c r="D814" s="340"/>
      <c r="E814" s="340"/>
      <c r="F814" s="340"/>
    </row>
    <row r="815" spans="3:6">
      <c r="C815" s="339"/>
      <c r="D815" s="340"/>
      <c r="E815" s="340"/>
      <c r="F815" s="340"/>
    </row>
    <row r="816" spans="3:6">
      <c r="C816" s="339"/>
      <c r="D816" s="340"/>
      <c r="E816" s="340"/>
      <c r="F816" s="340"/>
    </row>
    <row r="817" spans="3:6">
      <c r="C817" s="339"/>
      <c r="D817" s="340"/>
      <c r="E817" s="340"/>
      <c r="F817" s="340"/>
    </row>
    <row r="818" spans="3:6">
      <c r="C818" s="339"/>
      <c r="D818" s="340"/>
      <c r="E818" s="340"/>
      <c r="F818" s="340"/>
    </row>
    <row r="819" spans="3:6">
      <c r="C819" s="339"/>
      <c r="D819" s="340"/>
      <c r="E819" s="340"/>
      <c r="F819" s="340"/>
    </row>
    <row r="820" spans="3:6">
      <c r="C820" s="339"/>
      <c r="D820" s="340"/>
      <c r="E820" s="340"/>
      <c r="F820" s="340"/>
    </row>
    <row r="821" spans="3:6">
      <c r="C821" s="339"/>
      <c r="D821" s="340"/>
      <c r="E821" s="340"/>
      <c r="F821" s="340"/>
    </row>
    <row r="822" spans="3:6">
      <c r="C822" s="339"/>
      <c r="D822" s="340"/>
      <c r="E822" s="340"/>
      <c r="F822" s="340"/>
    </row>
    <row r="823" spans="3:6">
      <c r="C823" s="339"/>
      <c r="D823" s="340"/>
      <c r="E823" s="340"/>
      <c r="F823" s="340"/>
    </row>
    <row r="824" spans="3:6">
      <c r="C824" s="339"/>
      <c r="D824" s="340"/>
      <c r="E824" s="340"/>
      <c r="F824" s="340"/>
    </row>
    <row r="825" spans="3:6">
      <c r="C825" s="339"/>
      <c r="D825" s="340"/>
      <c r="E825" s="340"/>
      <c r="F825" s="340"/>
    </row>
    <row r="826" spans="3:6">
      <c r="C826" s="339"/>
      <c r="D826" s="340"/>
      <c r="E826" s="340"/>
      <c r="F826" s="340"/>
    </row>
  </sheetData>
  <mergeCells count="6">
    <mergeCell ref="R27:T27"/>
    <mergeCell ref="A5:C5"/>
    <mergeCell ref="A6:C6"/>
    <mergeCell ref="R7:T7"/>
    <mergeCell ref="R8:T8"/>
    <mergeCell ref="S26:T26"/>
  </mergeCells>
  <conditionalFormatting sqref="F59:F79">
    <cfRule type="colorScale" priority="2">
      <colorScale>
        <cfvo type="min"/>
        <cfvo type="percentile" val="50"/>
        <cfvo type="max"/>
        <color rgb="FFF8696B"/>
        <color rgb="FFFCFCFF"/>
        <color rgb="FF5A8AC6"/>
      </colorScale>
    </cfRule>
  </conditionalFormatting>
  <conditionalFormatting sqref="G59:G79">
    <cfRule type="colorScale" priority="1">
      <colorScale>
        <cfvo type="min"/>
        <cfvo type="percentile" val="50"/>
        <cfvo type="max"/>
        <color rgb="FFF8696B"/>
        <color rgb="FFFCFCFF"/>
        <color rgb="FF5A8AC6"/>
      </colorScale>
    </cfRule>
  </conditionalFormatting>
  <dataValidations count="1">
    <dataValidation type="list" allowBlank="1" showInputMessage="1" showErrorMessage="1" promptTitle="Select a Period:" prompt="Select Financial or Calendar years." sqref="S26:T26">
      <formula1>A1:A2</formula1>
    </dataValidation>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sheetPr>
  <dimension ref="A1:AA68"/>
  <sheetViews>
    <sheetView showGridLines="0" workbookViewId="0">
      <selection activeCell="L42" sqref="L42"/>
    </sheetView>
  </sheetViews>
  <sheetFormatPr defaultRowHeight="15"/>
  <cols>
    <col min="1" max="1" width="9.140625" style="16"/>
    <col min="2" max="2" width="15.85546875" style="16" bestFit="1" customWidth="1"/>
    <col min="3" max="3" width="16.28515625" style="386" customWidth="1"/>
    <col min="4" max="4" width="9.28515625" style="16" customWidth="1"/>
    <col min="5" max="6" width="5" style="333" hidden="1" customWidth="1"/>
    <col min="7" max="7" width="9.28515625" style="16" customWidth="1"/>
    <col min="8" max="8" width="19.7109375" style="386" customWidth="1"/>
    <col min="9" max="9" width="21" style="16" customWidth="1"/>
    <col min="10" max="11" width="12" style="16" hidden="1" customWidth="1"/>
    <col min="12" max="16384" width="9.140625" style="16"/>
  </cols>
  <sheetData>
    <row r="1" spans="1:27">
      <c r="AA1" s="342" t="s">
        <v>463</v>
      </c>
    </row>
    <row r="2" spans="1:27">
      <c r="I2" s="343"/>
      <c r="AA2" s="342" t="s">
        <v>464</v>
      </c>
    </row>
    <row r="4" spans="1:27">
      <c r="H4" s="343"/>
    </row>
    <row r="5" spans="1:27">
      <c r="A5" s="1981" t="s">
        <v>52</v>
      </c>
      <c r="B5" s="1981"/>
      <c r="C5" s="1981"/>
      <c r="D5" s="10"/>
      <c r="E5" s="128"/>
      <c r="F5" s="128"/>
      <c r="G5" s="1981" t="s">
        <v>53</v>
      </c>
      <c r="H5" s="1981"/>
      <c r="I5" s="1981"/>
    </row>
    <row r="6" spans="1:27" ht="15.75" thickBot="1">
      <c r="A6" s="1988" t="s">
        <v>703</v>
      </c>
      <c r="B6" s="1988"/>
      <c r="C6" s="1988"/>
      <c r="D6" s="10"/>
      <c r="E6" s="128"/>
      <c r="F6" s="128"/>
      <c r="G6" s="1981" t="str">
        <f>G46</f>
        <v>Historic Financial Year</v>
      </c>
      <c r="H6" s="1981"/>
      <c r="I6" s="1981"/>
    </row>
    <row r="7" spans="1:27" ht="15.75" thickBot="1">
      <c r="A7" s="1400" t="s">
        <v>676</v>
      </c>
      <c r="B7" s="1010" t="s">
        <v>682</v>
      </c>
      <c r="C7" s="1012" t="s">
        <v>683</v>
      </c>
      <c r="D7" s="95"/>
      <c r="E7" s="128"/>
      <c r="F7" s="128"/>
      <c r="G7" s="1399" t="s">
        <v>41</v>
      </c>
      <c r="H7" s="1010" t="s">
        <v>682</v>
      </c>
      <c r="I7" s="1010" t="s">
        <v>683</v>
      </c>
    </row>
    <row r="8" spans="1:27">
      <c r="A8" s="1013">
        <f>LARGE('Commodity Prices'!C$159:C$902,60)</f>
        <v>42552</v>
      </c>
      <c r="B8" s="1011">
        <f>SUMIF('Commodity Prices'!C$159:C$902,A8,'Commodity Prices'!K$159:K$902)</f>
        <v>10251.9</v>
      </c>
      <c r="C8" s="1014">
        <f>SUMIF('Commodity Prices'!C$159:C$902,A8,'Commodity Prices'!L$159:L$902)</f>
        <v>13614.75</v>
      </c>
      <c r="D8" s="820"/>
      <c r="E8" s="128">
        <v>1986</v>
      </c>
      <c r="F8" s="128">
        <v>1987</v>
      </c>
      <c r="G8" s="1022" t="str">
        <f>IF($G$6="Historic Calendar Year",1986,CONCATENATE(E8,"-",RIGHT(F8,2)))</f>
        <v>1986-87</v>
      </c>
      <c r="H8" s="726">
        <f t="array" ref="H8">IF($G$6="Historic Calendar Year",IFERROR(AVERAGE(IF($G8=YEAR('Commodity Prices'!$C$100:$C$1000),'Commodity Prices'!$K$100:$K$995)),"NA"),IFERROR(IF(K8=0,"NA",K8),"NA"))</f>
        <v>3845.5941666666672</v>
      </c>
      <c r="I8" s="726">
        <f t="array" ref="I8">IF($G$6="Historic Calendar Year",IFERROR(AVERAGE(IF($G8=YEAR('Commodity Prices'!$C$100:$C$1000),'Commodity Prices'!$L$100:$L$1000)),"NA"),IFERROR(IF(J8=0,"NA",J8),"NA"))</f>
        <v>5800.0291876857073</v>
      </c>
      <c r="J8" s="16">
        <f>(SUMIFS('Commodity Prices'!$L$9:$L$2500,'Commodity Prices'!$A$9:$A$2500,'Nickel - Prices'!E8,'Commodity Prices'!$B$9:$B$2500,3)+
SUMIFS('Commodity Prices'!$L$9:$L$2500,'Commodity Prices'!$A$9:$A$2500,'Nickel - Prices'!E8,'Commodity Prices'!$B$9:$B$2500,4)+
SUMIFS('Commodity Prices'!$L$9:$L$2500,'Commodity Prices'!$A$9:$A$2500,'Nickel - Prices'!F8,'Commodity Prices'!$B$9:$B$2500,1)+
SUMIFS('Commodity Prices'!$L$9:$L$2500,'Commodity Prices'!$A$9:$A$2500,'Nickel - Prices'!F8,'Commodity Prices'!$B$9:$B$2500,2))
/(COUNTIFS('Commodity Prices'!$A$9:$A$2500,'Nickel - Prices'!E8,'Commodity Prices'!$B$9:$B$2500,3)+
COUNTIFS('Commodity Prices'!$A$9:$A$2500,'Nickel - Prices'!E8,'Commodity Prices'!$B$9:$B$2500,4)+
COUNTIFS('Commodity Prices'!$A$9:$A$2500,'Nickel - Prices'!F8,'Commodity Prices'!$B$9:$B$2500,1)+
COUNTIFS('Commodity Prices'!$A$9:$A$2500,'Nickel - Prices'!F8,'Commodity Prices'!$B$9:$B$2500,2))</f>
        <v>5800.0291876857073</v>
      </c>
      <c r="K8" s="386">
        <f>(SUMIFS('Commodity Prices'!$K$9:$K$2500,'Commodity Prices'!$A$9:$A$2500,'Nickel - Prices'!E8,'Commodity Prices'!$B$9:$B$2500,3)+
SUMIFS('Commodity Prices'!$K$9:$K$2500,'Commodity Prices'!$A$9:$A$2500,'Nickel - Prices'!E8,'Commodity Prices'!$B$9:$B$2500,4)+
SUMIFS('Commodity Prices'!$K$9:$K$2500,'Commodity Prices'!$A$9:$A$2500,'Nickel - Prices'!F8,'Commodity Prices'!$B$9:$B$2500,1)+
SUMIFS('Commodity Prices'!$K$9:$K$2500,'Commodity Prices'!$A$9:$A$2500,'Nickel - Prices'!F8,'Commodity Prices'!$B$9:$B$2500,2))
/(COUNTIFS('Commodity Prices'!$A$9:$A$2500,'Nickel - Prices'!E8,'Commodity Prices'!$B$9:$B$2500,3)+
COUNTIFS('Commodity Prices'!$A$9:$A$2500,'Nickel - Prices'!E8,'Commodity Prices'!$B$9:$B$2500,4)+
COUNTIFS('Commodity Prices'!$A$9:$A$2500,'Nickel - Prices'!F8,'Commodity Prices'!$B$9:$B$2500,1)+
COUNTIFS('Commodity Prices'!$A$9:$A$2500,'Nickel - Prices'!F8,'Commodity Prices'!$B$9:$B$2500,2))</f>
        <v>3845.5941666666672</v>
      </c>
    </row>
    <row r="9" spans="1:27">
      <c r="A9" s="1015">
        <f>LARGE('Commodity Prices'!C$159:C$902,59)</f>
        <v>42583</v>
      </c>
      <c r="B9" s="724">
        <f>SUMIF('Commodity Prices'!C$159:C$902,A9,'Commodity Prices'!K$159:K$902)</f>
        <v>10353.86</v>
      </c>
      <c r="C9" s="880">
        <f>SUMIF('Commodity Prices'!C$159:C$902,A9,'Commodity Prices'!L$159:L$902)</f>
        <v>13582.4</v>
      </c>
      <c r="D9" s="820"/>
      <c r="E9" s="128">
        <f>E8+1</f>
        <v>1987</v>
      </c>
      <c r="F9" s="128">
        <f>F8+1</f>
        <v>1988</v>
      </c>
      <c r="G9" s="1021" t="str">
        <f t="shared" ref="G9:G42" si="0">IF($G$6="Historic Calendar Year",G8+1,CONCATENATE(E9,"-",RIGHT(F9,2)))</f>
        <v>1987-88</v>
      </c>
      <c r="H9" s="1011">
        <f t="array" ref="H9">IF($G$6="Historic Calendar Year",IFERROR(AVERAGE(IF($G9=YEAR('Commodity Prices'!$C$100:$C$1000),'Commodity Prices'!$K$100:$K$995)),"NA"),IFERROR(IF(K9=0,"NA",K9),"NA"))</f>
        <v>9799.5291666666672</v>
      </c>
      <c r="I9" s="1011">
        <f t="array" ref="I9">IF($G$6="Historic Calendar Year",IFERROR(AVERAGE(IF($G9=YEAR('Commodity Prices'!$C$100:$C$1000),'Commodity Prices'!$L$100:$L$1000)),"NA"),IFERROR(IF(J9=0,"NA",J9),"NA"))</f>
        <v>13287.801364695746</v>
      </c>
      <c r="J9" s="16">
        <f>(SUMIFS('Commodity Prices'!$L$9:$L$2500,'Commodity Prices'!$A$9:$A$2500,'Nickel - Prices'!E9,'Commodity Prices'!$B$9:$B$2500,3)+
SUMIFS('Commodity Prices'!$L$9:$L$2500,'Commodity Prices'!$A$9:$A$2500,'Nickel - Prices'!E9,'Commodity Prices'!$B$9:$B$2500,4)+
SUMIFS('Commodity Prices'!$L$9:$L$2500,'Commodity Prices'!$A$9:$A$2500,'Nickel - Prices'!F9,'Commodity Prices'!$B$9:$B$2500,1)+
SUMIFS('Commodity Prices'!$L$9:$L$2500,'Commodity Prices'!$A$9:$A$2500,'Nickel - Prices'!F9,'Commodity Prices'!$B$9:$B$2500,2))
/(COUNTIFS('Commodity Prices'!$A$9:$A$2500,'Nickel - Prices'!E9,'Commodity Prices'!$B$9:$B$2500,3)+
COUNTIFS('Commodity Prices'!$A$9:$A$2500,'Nickel - Prices'!E9,'Commodity Prices'!$B$9:$B$2500,4)+
COUNTIFS('Commodity Prices'!$A$9:$A$2500,'Nickel - Prices'!F9,'Commodity Prices'!$B$9:$B$2500,1)+
COUNTIFS('Commodity Prices'!$A$9:$A$2500,'Nickel - Prices'!F9,'Commodity Prices'!$B$9:$B$2500,2))</f>
        <v>13287.801364695746</v>
      </c>
      <c r="K9" s="492">
        <f>(SUMIFS('Commodity Prices'!$K$9:$K$2500,'Commodity Prices'!$A$9:$A$2500,'Nickel - Prices'!E9,'Commodity Prices'!$B$9:$B$2500,3)+
SUMIFS('Commodity Prices'!$K$9:$K$2500,'Commodity Prices'!$A$9:$A$2500,'Nickel - Prices'!E9,'Commodity Prices'!$B$9:$B$2500,4)+
SUMIFS('Commodity Prices'!$K$9:$K$2500,'Commodity Prices'!$A$9:$A$2500,'Nickel - Prices'!F9,'Commodity Prices'!$B$9:$B$2500,1)+
SUMIFS('Commodity Prices'!$K$9:$K$2500,'Commodity Prices'!$A$9:$A$2500,'Nickel - Prices'!F9,'Commodity Prices'!$B$9:$B$2500,2))
/(COUNTIFS('Commodity Prices'!$A$9:$A$2500,'Nickel - Prices'!E9,'Commodity Prices'!$B$9:$B$2500,3)+
COUNTIFS('Commodity Prices'!$A$9:$A$2500,'Nickel - Prices'!E9,'Commodity Prices'!$B$9:$B$2500,4)+
COUNTIFS('Commodity Prices'!$A$9:$A$2500,'Nickel - Prices'!F9,'Commodity Prices'!$B$9:$B$2500,1)+
COUNTIFS('Commodity Prices'!$A$9:$A$2500,'Nickel - Prices'!F9,'Commodity Prices'!$B$9:$B$2500,2))</f>
        <v>9799.5291666666672</v>
      </c>
    </row>
    <row r="10" spans="1:27">
      <c r="A10" s="1013">
        <f>LARGE('Commodity Prices'!C$159:C$902,58)</f>
        <v>42614</v>
      </c>
      <c r="B10" s="1011">
        <f>SUMIF('Commodity Prices'!C$159:C$902,A10,'Commodity Prices'!K$159:K$902)</f>
        <v>10188.41</v>
      </c>
      <c r="C10" s="1014">
        <f>SUMIF('Commodity Prices'!C$159:C$902,A10,'Commodity Prices'!L$159:L$902)</f>
        <v>13419.93</v>
      </c>
      <c r="D10" s="820"/>
      <c r="E10" s="128">
        <f t="shared" ref="E10:F42" si="1">E9+1</f>
        <v>1988</v>
      </c>
      <c r="F10" s="128">
        <f t="shared" si="1"/>
        <v>1989</v>
      </c>
      <c r="G10" s="1022" t="str">
        <f t="shared" si="0"/>
        <v>1988-89</v>
      </c>
      <c r="H10" s="724">
        <f t="array" ref="H10">IF($G$6="Historic Calendar Year",IFERROR(AVERAGE(IF($G10=YEAR('Commodity Prices'!$C$100:$C$1000),'Commodity Prices'!$K$100:$K$995)),"NA"),IFERROR(IF(K10=0,"NA",K10),"NA"))</f>
        <v>14658.825000000003</v>
      </c>
      <c r="I10" s="724">
        <f t="array" ref="I10">IF($G$6="Historic Calendar Year",IFERROR(AVERAGE(IF($G10=YEAR('Commodity Prices'!$C$100:$C$1000),'Commodity Prices'!$L$100:$L$1000)),"NA"),IFERROR(IF(J10=0,"NA",J10),"NA"))</f>
        <v>18020.125593330991</v>
      </c>
      <c r="J10" s="16">
        <f>(SUMIFS('Commodity Prices'!$L$9:$L$2500,'Commodity Prices'!$A$9:$A$2500,'Nickel - Prices'!E10,'Commodity Prices'!$B$9:$B$2500,3)+
SUMIFS('Commodity Prices'!$L$9:$L$2500,'Commodity Prices'!$A$9:$A$2500,'Nickel - Prices'!E10,'Commodity Prices'!$B$9:$B$2500,4)+
SUMIFS('Commodity Prices'!$L$9:$L$2500,'Commodity Prices'!$A$9:$A$2500,'Nickel - Prices'!F10,'Commodity Prices'!$B$9:$B$2500,1)+
SUMIFS('Commodity Prices'!$L$9:$L$2500,'Commodity Prices'!$A$9:$A$2500,'Nickel - Prices'!F10,'Commodity Prices'!$B$9:$B$2500,2))
/(COUNTIFS('Commodity Prices'!$A$9:$A$2500,'Nickel - Prices'!E10,'Commodity Prices'!$B$9:$B$2500,3)+
COUNTIFS('Commodity Prices'!$A$9:$A$2500,'Nickel - Prices'!E10,'Commodity Prices'!$B$9:$B$2500,4)+
COUNTIFS('Commodity Prices'!$A$9:$A$2500,'Nickel - Prices'!F10,'Commodity Prices'!$B$9:$B$2500,1)+
COUNTIFS('Commodity Prices'!$A$9:$A$2500,'Nickel - Prices'!F10,'Commodity Prices'!$B$9:$B$2500,2))</f>
        <v>18020.125593330991</v>
      </c>
      <c r="K10" s="492">
        <f>(SUMIFS('Commodity Prices'!$K$9:$K$2500,'Commodity Prices'!$A$9:$A$2500,'Nickel - Prices'!E10,'Commodity Prices'!$B$9:$B$2500,3)+
SUMIFS('Commodity Prices'!$K$9:$K$2500,'Commodity Prices'!$A$9:$A$2500,'Nickel - Prices'!E10,'Commodity Prices'!$B$9:$B$2500,4)+
SUMIFS('Commodity Prices'!$K$9:$K$2500,'Commodity Prices'!$A$9:$A$2500,'Nickel - Prices'!F10,'Commodity Prices'!$B$9:$B$2500,1)+
SUMIFS('Commodity Prices'!$K$9:$K$2500,'Commodity Prices'!$A$9:$A$2500,'Nickel - Prices'!F10,'Commodity Prices'!$B$9:$B$2500,2))
/(COUNTIFS('Commodity Prices'!$A$9:$A$2500,'Nickel - Prices'!E10,'Commodity Prices'!$B$9:$B$2500,3)+
COUNTIFS('Commodity Prices'!$A$9:$A$2500,'Nickel - Prices'!E10,'Commodity Prices'!$B$9:$B$2500,4)+
COUNTIFS('Commodity Prices'!$A$9:$A$2500,'Nickel - Prices'!F10,'Commodity Prices'!$B$9:$B$2500,1)+
COUNTIFS('Commodity Prices'!$A$9:$A$2500,'Nickel - Prices'!F10,'Commodity Prices'!$B$9:$B$2500,2))</f>
        <v>14658.825000000003</v>
      </c>
    </row>
    <row r="11" spans="1:27">
      <c r="A11" s="1015">
        <f>LARGE('Commodity Prices'!C$159:C$902,57)</f>
        <v>42644</v>
      </c>
      <c r="B11" s="724">
        <f>SUMIF('Commodity Prices'!C$159:C$902,A11,'Commodity Prices'!K$159:K$902)</f>
        <v>10266.43</v>
      </c>
      <c r="C11" s="880">
        <f>SUMIF('Commodity Prices'!C$159:C$902,A11,'Commodity Prices'!L$159:L$902)</f>
        <v>13480.08</v>
      </c>
      <c r="D11" s="820"/>
      <c r="E11" s="128">
        <f t="shared" si="1"/>
        <v>1989</v>
      </c>
      <c r="F11" s="128">
        <f t="shared" si="1"/>
        <v>1990</v>
      </c>
      <c r="G11" s="1021" t="str">
        <f t="shared" si="0"/>
        <v>1989-90</v>
      </c>
      <c r="H11" s="1011">
        <f t="array" ref="H11">IF($G$6="Historic Calendar Year",IFERROR(AVERAGE(IF($G11=YEAR('Commodity Prices'!$C$100:$C$1000),'Commodity Prices'!$K$100:$K$995)),"NA"),IFERROR(IF(K11=0,"NA",K11),"NA"))</f>
        <v>9534.4166666666661</v>
      </c>
      <c r="I11" s="1011">
        <f t="array" ref="I11">IF($G$6="Historic Calendar Year",IFERROR(AVERAGE(IF($G11=YEAR('Commodity Prices'!$C$100:$C$1000),'Commodity Prices'!$L$100:$L$1000)),"NA"),IFERROR(IF(J11=0,"NA",J11),"NA"))</f>
        <v>12383.399686602605</v>
      </c>
      <c r="J11" s="386">
        <f>(SUMIFS('Commodity Prices'!$L$9:$L$2500,'Commodity Prices'!$A$9:$A$2500,'Nickel - Prices'!E11,'Commodity Prices'!$B$9:$B$2500,3)+
SUMIFS('Commodity Prices'!$L$9:$L$2500,'Commodity Prices'!$A$9:$A$2500,'Nickel - Prices'!E11,'Commodity Prices'!$B$9:$B$2500,4)+
SUMIFS('Commodity Prices'!$L$9:$L$2500,'Commodity Prices'!$A$9:$A$2500,'Nickel - Prices'!F11,'Commodity Prices'!$B$9:$B$2500,1)+
SUMIFS('Commodity Prices'!$L$9:$L$2500,'Commodity Prices'!$A$9:$A$2500,'Nickel - Prices'!F11,'Commodity Prices'!$B$9:$B$2500,2))
/(COUNTIFS('Commodity Prices'!$A$9:$A$2500,'Nickel - Prices'!E11,'Commodity Prices'!$B$9:$B$2500,3)+
COUNTIFS('Commodity Prices'!$A$9:$A$2500,'Nickel - Prices'!E11,'Commodity Prices'!$B$9:$B$2500,4)+
COUNTIFS('Commodity Prices'!$A$9:$A$2500,'Nickel - Prices'!F11,'Commodity Prices'!$B$9:$B$2500,1)+
COUNTIFS('Commodity Prices'!$A$9:$A$2500,'Nickel - Prices'!F11,'Commodity Prices'!$B$9:$B$2500,2))</f>
        <v>12383.399686602605</v>
      </c>
      <c r="K11" s="492">
        <f>(SUMIFS('Commodity Prices'!$K$9:$K$2500,'Commodity Prices'!$A$9:$A$2500,'Nickel - Prices'!E11,'Commodity Prices'!$B$9:$B$2500,3)+
SUMIFS('Commodity Prices'!$K$9:$K$2500,'Commodity Prices'!$A$9:$A$2500,'Nickel - Prices'!E11,'Commodity Prices'!$B$9:$B$2500,4)+
SUMIFS('Commodity Prices'!$K$9:$K$2500,'Commodity Prices'!$A$9:$A$2500,'Nickel - Prices'!F11,'Commodity Prices'!$B$9:$B$2500,1)+
SUMIFS('Commodity Prices'!$K$9:$K$2500,'Commodity Prices'!$A$9:$A$2500,'Nickel - Prices'!F11,'Commodity Prices'!$B$9:$B$2500,2))
/(COUNTIFS('Commodity Prices'!$A$9:$A$2500,'Nickel - Prices'!E11,'Commodity Prices'!$B$9:$B$2500,3)+
COUNTIFS('Commodity Prices'!$A$9:$A$2500,'Nickel - Prices'!E11,'Commodity Prices'!$B$9:$B$2500,4)+
COUNTIFS('Commodity Prices'!$A$9:$A$2500,'Nickel - Prices'!F11,'Commodity Prices'!$B$9:$B$2500,1)+
COUNTIFS('Commodity Prices'!$A$9:$A$2500,'Nickel - Prices'!F11,'Commodity Prices'!$B$9:$B$2500,2))</f>
        <v>9534.4166666666661</v>
      </c>
    </row>
    <row r="12" spans="1:27">
      <c r="A12" s="1013">
        <f>LARGE('Commodity Prices'!C$159:C$902,56)</f>
        <v>42675</v>
      </c>
      <c r="B12" s="1011">
        <f>SUMIF('Commodity Prices'!C$159:C$902,A12,'Commodity Prices'!K$159:K$902)</f>
        <v>11142.95</v>
      </c>
      <c r="C12" s="1014">
        <f>SUMIF('Commodity Prices'!C$159:C$902,A12,'Commodity Prices'!L$159:L$902)</f>
        <v>14800.05</v>
      </c>
      <c r="D12" s="820"/>
      <c r="E12" s="128">
        <f t="shared" si="1"/>
        <v>1990</v>
      </c>
      <c r="F12" s="128">
        <f t="shared" si="1"/>
        <v>1991</v>
      </c>
      <c r="G12" s="1022" t="str">
        <f t="shared" si="0"/>
        <v>1990-91</v>
      </c>
      <c r="H12" s="724">
        <f t="array" ref="H12">IF($G$6="Historic Calendar Year",IFERROR(AVERAGE(IF($G12=YEAR('Commodity Prices'!$C$100:$C$1000),'Commodity Prices'!$K$100:$K$995)),"NA"),IFERROR(IF(K12=0,"NA",K12),"NA"))</f>
        <v>9036.7616666666654</v>
      </c>
      <c r="I12" s="724">
        <f t="array" ref="I12">IF($G$6="Historic Calendar Year",IFERROR(AVERAGE(IF($G12=YEAR('Commodity Prices'!$C$100:$C$1000),'Commodity Prices'!$L$100:$L$1000)),"NA"),IFERROR(IF(J12=0,"NA",J12),"NA"))</f>
        <v>11492.850463917444</v>
      </c>
      <c r="J12" s="386">
        <f>(SUMIFS('Commodity Prices'!$L$9:$L$2500,'Commodity Prices'!$A$9:$A$2500,'Nickel - Prices'!E12,'Commodity Prices'!$B$9:$B$2500,3)+
SUMIFS('Commodity Prices'!$L$9:$L$2500,'Commodity Prices'!$A$9:$A$2500,'Nickel - Prices'!E12,'Commodity Prices'!$B$9:$B$2500,4)+
SUMIFS('Commodity Prices'!$L$9:$L$2500,'Commodity Prices'!$A$9:$A$2500,'Nickel - Prices'!F12,'Commodity Prices'!$B$9:$B$2500,1)+
SUMIFS('Commodity Prices'!$L$9:$L$2500,'Commodity Prices'!$A$9:$A$2500,'Nickel - Prices'!F12,'Commodity Prices'!$B$9:$B$2500,2))
/(COUNTIFS('Commodity Prices'!$A$9:$A$2500,'Nickel - Prices'!E12,'Commodity Prices'!$B$9:$B$2500,3)+
COUNTIFS('Commodity Prices'!$A$9:$A$2500,'Nickel - Prices'!E12,'Commodity Prices'!$B$9:$B$2500,4)+
COUNTIFS('Commodity Prices'!$A$9:$A$2500,'Nickel - Prices'!F12,'Commodity Prices'!$B$9:$B$2500,1)+
COUNTIFS('Commodity Prices'!$A$9:$A$2500,'Nickel - Prices'!F12,'Commodity Prices'!$B$9:$B$2500,2))</f>
        <v>11492.850463917444</v>
      </c>
      <c r="K12" s="492">
        <f>(SUMIFS('Commodity Prices'!$K$9:$K$2500,'Commodity Prices'!$A$9:$A$2500,'Nickel - Prices'!E12,'Commodity Prices'!$B$9:$B$2500,3)+
SUMIFS('Commodity Prices'!$K$9:$K$2500,'Commodity Prices'!$A$9:$A$2500,'Nickel - Prices'!E12,'Commodity Prices'!$B$9:$B$2500,4)+
SUMIFS('Commodity Prices'!$K$9:$K$2500,'Commodity Prices'!$A$9:$A$2500,'Nickel - Prices'!F12,'Commodity Prices'!$B$9:$B$2500,1)+
SUMIFS('Commodity Prices'!$K$9:$K$2500,'Commodity Prices'!$A$9:$A$2500,'Nickel - Prices'!F12,'Commodity Prices'!$B$9:$B$2500,2))
/(COUNTIFS('Commodity Prices'!$A$9:$A$2500,'Nickel - Prices'!E12,'Commodity Prices'!$B$9:$B$2500,3)+
COUNTIFS('Commodity Prices'!$A$9:$A$2500,'Nickel - Prices'!E12,'Commodity Prices'!$B$9:$B$2500,4)+
COUNTIFS('Commodity Prices'!$A$9:$A$2500,'Nickel - Prices'!F12,'Commodity Prices'!$B$9:$B$2500,1)+
COUNTIFS('Commodity Prices'!$A$9:$A$2500,'Nickel - Prices'!F12,'Commodity Prices'!$B$9:$B$2500,2))</f>
        <v>9036.7616666666654</v>
      </c>
    </row>
    <row r="13" spans="1:27">
      <c r="A13" s="1015">
        <f>LARGE('Commodity Prices'!C$159:C$902,55)</f>
        <v>42705</v>
      </c>
      <c r="B13" s="724">
        <f>SUMIF('Commodity Prices'!C$159:C$902,A13,'Commodity Prices'!K$159:K$902)</f>
        <v>11013.25</v>
      </c>
      <c r="C13" s="880">
        <f>SUMIF('Commodity Prices'!C$159:C$902,A13,'Commodity Prices'!L$159:L$902)</f>
        <v>15014.66</v>
      </c>
      <c r="D13" s="820"/>
      <c r="E13" s="128">
        <f t="shared" si="1"/>
        <v>1991</v>
      </c>
      <c r="F13" s="128">
        <f t="shared" si="1"/>
        <v>1992</v>
      </c>
      <c r="G13" s="1021" t="str">
        <f t="shared" si="0"/>
        <v>1991-92</v>
      </c>
      <c r="H13" s="1011">
        <f t="array" ref="H13">IF($G$6="Historic Calendar Year",IFERROR(AVERAGE(IF($G13=YEAR('Commodity Prices'!$C$100:$C$1000),'Commodity Prices'!$K$100:$K$995)),"NA"),IFERROR(IF(K13=0,"NA",K13),"NA"))</f>
        <v>7569.251666666667</v>
      </c>
      <c r="I13" s="1011">
        <f t="array" ref="I13">IF($G$6="Historic Calendar Year",IFERROR(AVERAGE(IF($G13=YEAR('Commodity Prices'!$C$100:$C$1000),'Commodity Prices'!$L$100:$L$1000)),"NA"),IFERROR(IF(J13=0,"NA",J13),"NA"))</f>
        <v>9826.3122063005649</v>
      </c>
      <c r="J13" s="386">
        <f>(SUMIFS('Commodity Prices'!$L$9:$L$2500,'Commodity Prices'!$A$9:$A$2500,'Nickel - Prices'!E13,'Commodity Prices'!$B$9:$B$2500,3)+
SUMIFS('Commodity Prices'!$L$9:$L$2500,'Commodity Prices'!$A$9:$A$2500,'Nickel - Prices'!E13,'Commodity Prices'!$B$9:$B$2500,4)+
SUMIFS('Commodity Prices'!$L$9:$L$2500,'Commodity Prices'!$A$9:$A$2500,'Nickel - Prices'!F13,'Commodity Prices'!$B$9:$B$2500,1)+
SUMIFS('Commodity Prices'!$L$9:$L$2500,'Commodity Prices'!$A$9:$A$2500,'Nickel - Prices'!F13,'Commodity Prices'!$B$9:$B$2500,2))
/(COUNTIFS('Commodity Prices'!$A$9:$A$2500,'Nickel - Prices'!E13,'Commodity Prices'!$B$9:$B$2500,3)+
COUNTIFS('Commodity Prices'!$A$9:$A$2500,'Nickel - Prices'!E13,'Commodity Prices'!$B$9:$B$2500,4)+
COUNTIFS('Commodity Prices'!$A$9:$A$2500,'Nickel - Prices'!F13,'Commodity Prices'!$B$9:$B$2500,1)+
COUNTIFS('Commodity Prices'!$A$9:$A$2500,'Nickel - Prices'!F13,'Commodity Prices'!$B$9:$B$2500,2))</f>
        <v>9826.3122063005649</v>
      </c>
      <c r="K13" s="492">
        <f>(SUMIFS('Commodity Prices'!$K$9:$K$2500,'Commodity Prices'!$A$9:$A$2500,'Nickel - Prices'!E13,'Commodity Prices'!$B$9:$B$2500,3)+
SUMIFS('Commodity Prices'!$K$9:$K$2500,'Commodity Prices'!$A$9:$A$2500,'Nickel - Prices'!E13,'Commodity Prices'!$B$9:$B$2500,4)+
SUMIFS('Commodity Prices'!$K$9:$K$2500,'Commodity Prices'!$A$9:$A$2500,'Nickel - Prices'!F13,'Commodity Prices'!$B$9:$B$2500,1)+
SUMIFS('Commodity Prices'!$K$9:$K$2500,'Commodity Prices'!$A$9:$A$2500,'Nickel - Prices'!F13,'Commodity Prices'!$B$9:$B$2500,2))
/(COUNTIFS('Commodity Prices'!$A$9:$A$2500,'Nickel - Prices'!E13,'Commodity Prices'!$B$9:$B$2500,3)+
COUNTIFS('Commodity Prices'!$A$9:$A$2500,'Nickel - Prices'!E13,'Commodity Prices'!$B$9:$B$2500,4)+
COUNTIFS('Commodity Prices'!$A$9:$A$2500,'Nickel - Prices'!F13,'Commodity Prices'!$B$9:$B$2500,1)+
COUNTIFS('Commodity Prices'!$A$9:$A$2500,'Nickel - Prices'!F13,'Commodity Prices'!$B$9:$B$2500,2))</f>
        <v>7569.251666666667</v>
      </c>
    </row>
    <row r="14" spans="1:27">
      <c r="A14" s="1013">
        <f>LARGE('Commodity Prices'!C$159:C$902,54)</f>
        <v>42736</v>
      </c>
      <c r="B14" s="1011">
        <f>SUMIF('Commodity Prices'!C$159:C$902,A14,'Commodity Prices'!K$159:K$902)</f>
        <v>9984.2900000000009</v>
      </c>
      <c r="C14" s="1014">
        <f>SUMIF('Commodity Prices'!C$159:C$902,A14,'Commodity Prices'!L$159:L$902)</f>
        <v>13385.56</v>
      </c>
      <c r="D14" s="820"/>
      <c r="E14" s="128">
        <f t="shared" si="1"/>
        <v>1992</v>
      </c>
      <c r="F14" s="128">
        <f t="shared" si="1"/>
        <v>1993</v>
      </c>
      <c r="G14" s="1022" t="str">
        <f t="shared" si="0"/>
        <v>1992-93</v>
      </c>
      <c r="H14" s="724">
        <f t="array" ref="H14">IF($G$6="Historic Calendar Year",IFERROR(AVERAGE(IF($G14=YEAR('Commodity Prices'!$C$100:$C$1000),'Commodity Prices'!$K$100:$K$995)),"NA"),IFERROR(IF(K14=0,"NA",K14),"NA"))</f>
        <v>6219.1308333333336</v>
      </c>
      <c r="I14" s="724">
        <f t="array" ref="I14">IF($G$6="Historic Calendar Year",IFERROR(AVERAGE(IF($G14=YEAR('Commodity Prices'!$C$100:$C$1000),'Commodity Prices'!$L$100:$L$1000)),"NA"),IFERROR(IF(J14=0,"NA",J14),"NA"))</f>
        <v>8877.8727609293946</v>
      </c>
      <c r="J14" s="386">
        <f>(SUMIFS('Commodity Prices'!$L$9:$L$2500,'Commodity Prices'!$A$9:$A$2500,'Nickel - Prices'!E14,'Commodity Prices'!$B$9:$B$2500,3)+
SUMIFS('Commodity Prices'!$L$9:$L$2500,'Commodity Prices'!$A$9:$A$2500,'Nickel - Prices'!E14,'Commodity Prices'!$B$9:$B$2500,4)+
SUMIFS('Commodity Prices'!$L$9:$L$2500,'Commodity Prices'!$A$9:$A$2500,'Nickel - Prices'!F14,'Commodity Prices'!$B$9:$B$2500,1)+
SUMIFS('Commodity Prices'!$L$9:$L$2500,'Commodity Prices'!$A$9:$A$2500,'Nickel - Prices'!F14,'Commodity Prices'!$B$9:$B$2500,2))
/(COUNTIFS('Commodity Prices'!$A$9:$A$2500,'Nickel - Prices'!E14,'Commodity Prices'!$B$9:$B$2500,3)+
COUNTIFS('Commodity Prices'!$A$9:$A$2500,'Nickel - Prices'!E14,'Commodity Prices'!$B$9:$B$2500,4)+
COUNTIFS('Commodity Prices'!$A$9:$A$2500,'Nickel - Prices'!F14,'Commodity Prices'!$B$9:$B$2500,1)+
COUNTIFS('Commodity Prices'!$A$9:$A$2500,'Nickel - Prices'!F14,'Commodity Prices'!$B$9:$B$2500,2))</f>
        <v>8877.8727609293946</v>
      </c>
      <c r="K14" s="492">
        <f>(SUMIFS('Commodity Prices'!$K$9:$K$2500,'Commodity Prices'!$A$9:$A$2500,'Nickel - Prices'!E14,'Commodity Prices'!$B$9:$B$2500,3)+
SUMIFS('Commodity Prices'!$K$9:$K$2500,'Commodity Prices'!$A$9:$A$2500,'Nickel - Prices'!E14,'Commodity Prices'!$B$9:$B$2500,4)+
SUMIFS('Commodity Prices'!$K$9:$K$2500,'Commodity Prices'!$A$9:$A$2500,'Nickel - Prices'!F14,'Commodity Prices'!$B$9:$B$2500,1)+
SUMIFS('Commodity Prices'!$K$9:$K$2500,'Commodity Prices'!$A$9:$A$2500,'Nickel - Prices'!F14,'Commodity Prices'!$B$9:$B$2500,2))
/(COUNTIFS('Commodity Prices'!$A$9:$A$2500,'Nickel - Prices'!E14,'Commodity Prices'!$B$9:$B$2500,3)+
COUNTIFS('Commodity Prices'!$A$9:$A$2500,'Nickel - Prices'!E14,'Commodity Prices'!$B$9:$B$2500,4)+
COUNTIFS('Commodity Prices'!$A$9:$A$2500,'Nickel - Prices'!F14,'Commodity Prices'!$B$9:$B$2500,1)+
COUNTIFS('Commodity Prices'!$A$9:$A$2500,'Nickel - Prices'!F14,'Commodity Prices'!$B$9:$B$2500,2))</f>
        <v>6219.1308333333336</v>
      </c>
    </row>
    <row r="15" spans="1:27">
      <c r="A15" s="1015">
        <f>LARGE('Commodity Prices'!C$159:C$902,53)</f>
        <v>42767</v>
      </c>
      <c r="B15" s="724">
        <f>SUMIF('Commodity Prices'!C$159:C$902,A15,'Commodity Prices'!K$159:K$902)</f>
        <v>10619.5</v>
      </c>
      <c r="C15" s="880">
        <f>SUMIF('Commodity Prices'!C$159:C$902,A15,'Commodity Prices'!L$159:L$902)</f>
        <v>13852.73</v>
      </c>
      <c r="D15" s="820"/>
      <c r="E15" s="128">
        <f t="shared" si="1"/>
        <v>1993</v>
      </c>
      <c r="F15" s="128">
        <f t="shared" si="1"/>
        <v>1994</v>
      </c>
      <c r="G15" s="1021" t="str">
        <f t="shared" si="0"/>
        <v>1993-94</v>
      </c>
      <c r="H15" s="1011">
        <f t="array" ref="H15">IF($G$6="Historic Calendar Year",IFERROR(AVERAGE(IF($G15=YEAR('Commodity Prices'!$C$100:$C$1000),'Commodity Prices'!$K$100:$K$995)),"NA"),IFERROR(IF(K15=0,"NA",K15),"NA"))</f>
        <v>5257.4966666666669</v>
      </c>
      <c r="I15" s="1011">
        <f t="array" ref="I15">IF($G$6="Historic Calendar Year",IFERROR(AVERAGE(IF($G15=YEAR('Commodity Prices'!$C$100:$C$1000),'Commodity Prices'!$L$100:$L$1000)),"NA"),IFERROR(IF(J15=0,"NA",J15),"NA"))</f>
        <v>7570.9526926432527</v>
      </c>
      <c r="J15" s="386">
        <f>(SUMIFS('Commodity Prices'!$L$9:$L$2500,'Commodity Prices'!$A$9:$A$2500,'Nickel - Prices'!E15,'Commodity Prices'!$B$9:$B$2500,3)+
SUMIFS('Commodity Prices'!$L$9:$L$2500,'Commodity Prices'!$A$9:$A$2500,'Nickel - Prices'!E15,'Commodity Prices'!$B$9:$B$2500,4)+
SUMIFS('Commodity Prices'!$L$9:$L$2500,'Commodity Prices'!$A$9:$A$2500,'Nickel - Prices'!F15,'Commodity Prices'!$B$9:$B$2500,1)+
SUMIFS('Commodity Prices'!$L$9:$L$2500,'Commodity Prices'!$A$9:$A$2500,'Nickel - Prices'!F15,'Commodity Prices'!$B$9:$B$2500,2))
/(COUNTIFS('Commodity Prices'!$A$9:$A$2500,'Nickel - Prices'!E15,'Commodity Prices'!$B$9:$B$2500,3)+
COUNTIFS('Commodity Prices'!$A$9:$A$2500,'Nickel - Prices'!E15,'Commodity Prices'!$B$9:$B$2500,4)+
COUNTIFS('Commodity Prices'!$A$9:$A$2500,'Nickel - Prices'!F15,'Commodity Prices'!$B$9:$B$2500,1)+
COUNTIFS('Commodity Prices'!$A$9:$A$2500,'Nickel - Prices'!F15,'Commodity Prices'!$B$9:$B$2500,2))</f>
        <v>7570.9526926432527</v>
      </c>
      <c r="K15" s="492">
        <f>(SUMIFS('Commodity Prices'!$K$9:$K$2500,'Commodity Prices'!$A$9:$A$2500,'Nickel - Prices'!E15,'Commodity Prices'!$B$9:$B$2500,3)+
SUMIFS('Commodity Prices'!$K$9:$K$2500,'Commodity Prices'!$A$9:$A$2500,'Nickel - Prices'!E15,'Commodity Prices'!$B$9:$B$2500,4)+
SUMIFS('Commodity Prices'!$K$9:$K$2500,'Commodity Prices'!$A$9:$A$2500,'Nickel - Prices'!F15,'Commodity Prices'!$B$9:$B$2500,1)+
SUMIFS('Commodity Prices'!$K$9:$K$2500,'Commodity Prices'!$A$9:$A$2500,'Nickel - Prices'!F15,'Commodity Prices'!$B$9:$B$2500,2))
/(COUNTIFS('Commodity Prices'!$A$9:$A$2500,'Nickel - Prices'!E15,'Commodity Prices'!$B$9:$B$2500,3)+
COUNTIFS('Commodity Prices'!$A$9:$A$2500,'Nickel - Prices'!E15,'Commodity Prices'!$B$9:$B$2500,4)+
COUNTIFS('Commodity Prices'!$A$9:$A$2500,'Nickel - Prices'!F15,'Commodity Prices'!$B$9:$B$2500,1)+
COUNTIFS('Commodity Prices'!$A$9:$A$2500,'Nickel - Prices'!F15,'Commodity Prices'!$B$9:$B$2500,2))</f>
        <v>5257.4966666666669</v>
      </c>
    </row>
    <row r="16" spans="1:27">
      <c r="A16" s="1013">
        <f>LARGE('Commodity Prices'!C$159:C$902,52)</f>
        <v>42795</v>
      </c>
      <c r="B16" s="1011">
        <f>SUMIF('Commodity Prices'!C$159:C$902,A16,'Commodity Prices'!K$159:K$902)</f>
        <v>10230.43</v>
      </c>
      <c r="C16" s="1014">
        <f>SUMIF('Commodity Prices'!C$159:C$902,A16,'Commodity Prices'!L$159:L$902)</f>
        <v>13418.72</v>
      </c>
      <c r="D16" s="820"/>
      <c r="E16" s="128">
        <f t="shared" si="1"/>
        <v>1994</v>
      </c>
      <c r="F16" s="128">
        <f t="shared" si="1"/>
        <v>1995</v>
      </c>
      <c r="G16" s="1022" t="str">
        <f t="shared" si="0"/>
        <v>1994-95</v>
      </c>
      <c r="H16" s="724">
        <f t="array" ref="H16">IF($G$6="Historic Calendar Year",IFERROR(AVERAGE(IF($G16=YEAR('Commodity Prices'!$C$100:$C$1000),'Commodity Prices'!$K$100:$K$995)),"NA"),IFERROR(IF(K16=0,"NA",K16),"NA"))</f>
        <v>7454.0808333333334</v>
      </c>
      <c r="I16" s="724">
        <f t="array" ref="I16">IF($G$6="Historic Calendar Year",IFERROR(AVERAGE(IF($G16=YEAR('Commodity Prices'!$C$100:$C$1000),'Commodity Prices'!$L$100:$L$1000)),"NA"),IFERROR(IF(J16=0,"NA",J16),"NA"))</f>
        <v>10063.282960094786</v>
      </c>
      <c r="J16" s="386">
        <f>(SUMIFS('Commodity Prices'!$L$9:$L$2500,'Commodity Prices'!$A$9:$A$2500,'Nickel - Prices'!E16,'Commodity Prices'!$B$9:$B$2500,3)+
SUMIFS('Commodity Prices'!$L$9:$L$2500,'Commodity Prices'!$A$9:$A$2500,'Nickel - Prices'!E16,'Commodity Prices'!$B$9:$B$2500,4)+
SUMIFS('Commodity Prices'!$L$9:$L$2500,'Commodity Prices'!$A$9:$A$2500,'Nickel - Prices'!F16,'Commodity Prices'!$B$9:$B$2500,1)+
SUMIFS('Commodity Prices'!$L$9:$L$2500,'Commodity Prices'!$A$9:$A$2500,'Nickel - Prices'!F16,'Commodity Prices'!$B$9:$B$2500,2))
/(COUNTIFS('Commodity Prices'!$A$9:$A$2500,'Nickel - Prices'!E16,'Commodity Prices'!$B$9:$B$2500,3)+
COUNTIFS('Commodity Prices'!$A$9:$A$2500,'Nickel - Prices'!E16,'Commodity Prices'!$B$9:$B$2500,4)+
COUNTIFS('Commodity Prices'!$A$9:$A$2500,'Nickel - Prices'!F16,'Commodity Prices'!$B$9:$B$2500,1)+
COUNTIFS('Commodity Prices'!$A$9:$A$2500,'Nickel - Prices'!F16,'Commodity Prices'!$B$9:$B$2500,2))</f>
        <v>10063.282960094786</v>
      </c>
      <c r="K16" s="492">
        <f>(SUMIFS('Commodity Prices'!$K$9:$K$2500,'Commodity Prices'!$A$9:$A$2500,'Nickel - Prices'!E16,'Commodity Prices'!$B$9:$B$2500,3)+
SUMIFS('Commodity Prices'!$K$9:$K$2500,'Commodity Prices'!$A$9:$A$2500,'Nickel - Prices'!E16,'Commodity Prices'!$B$9:$B$2500,4)+
SUMIFS('Commodity Prices'!$K$9:$K$2500,'Commodity Prices'!$A$9:$A$2500,'Nickel - Prices'!F16,'Commodity Prices'!$B$9:$B$2500,1)+
SUMIFS('Commodity Prices'!$K$9:$K$2500,'Commodity Prices'!$A$9:$A$2500,'Nickel - Prices'!F16,'Commodity Prices'!$B$9:$B$2500,2))
/(COUNTIFS('Commodity Prices'!$A$9:$A$2500,'Nickel - Prices'!E16,'Commodity Prices'!$B$9:$B$2500,3)+
COUNTIFS('Commodity Prices'!$A$9:$A$2500,'Nickel - Prices'!E16,'Commodity Prices'!$B$9:$B$2500,4)+
COUNTIFS('Commodity Prices'!$A$9:$A$2500,'Nickel - Prices'!F16,'Commodity Prices'!$B$9:$B$2500,1)+
COUNTIFS('Commodity Prices'!$A$9:$A$2500,'Nickel - Prices'!F16,'Commodity Prices'!$B$9:$B$2500,2))</f>
        <v>7454.0808333333334</v>
      </c>
    </row>
    <row r="17" spans="1:11">
      <c r="A17" s="1015">
        <f>LARGE('Commodity Prices'!C$159:C$902,51)</f>
        <v>42826</v>
      </c>
      <c r="B17" s="724">
        <f>SUMIF('Commodity Prices'!C$159:C$902,A17,'Commodity Prices'!K$159:K$902)</f>
        <v>9668.61</v>
      </c>
      <c r="C17" s="880">
        <f>SUMIF('Commodity Prices'!C$159:C$902,A17,'Commodity Prices'!L$159:L$902)</f>
        <v>12831.6</v>
      </c>
      <c r="D17" s="820"/>
      <c r="E17" s="128">
        <f t="shared" si="1"/>
        <v>1995</v>
      </c>
      <c r="F17" s="128">
        <f t="shared" si="1"/>
        <v>1996</v>
      </c>
      <c r="G17" s="1021" t="str">
        <f t="shared" si="0"/>
        <v>1995-96</v>
      </c>
      <c r="H17" s="1011">
        <f t="array" ref="H17">IF($G$6="Historic Calendar Year",IFERROR(AVERAGE(IF($G17=YEAR('Commodity Prices'!$C$100:$C$1000),'Commodity Prices'!$K$100:$K$995)),"NA"),IFERROR(IF(K17=0,"NA",K17),"NA"))</f>
        <v>8219.2416666666668</v>
      </c>
      <c r="I17" s="1011">
        <f t="array" ref="I17">IF($G$6="Historic Calendar Year",IFERROR(AVERAGE(IF($G17=YEAR('Commodity Prices'!$C$100:$C$1000),'Commodity Prices'!$L$100:$L$1000)),"NA"),IFERROR(IF(J17=0,"NA",J17),"NA"))</f>
        <v>10785.720134162924</v>
      </c>
      <c r="J17" s="386">
        <f>(SUMIFS('Commodity Prices'!$L$9:$L$2500,'Commodity Prices'!$A$9:$A$2500,'Nickel - Prices'!E17,'Commodity Prices'!$B$9:$B$2500,3)+
SUMIFS('Commodity Prices'!$L$9:$L$2500,'Commodity Prices'!$A$9:$A$2500,'Nickel - Prices'!E17,'Commodity Prices'!$B$9:$B$2500,4)+
SUMIFS('Commodity Prices'!$L$9:$L$2500,'Commodity Prices'!$A$9:$A$2500,'Nickel - Prices'!F17,'Commodity Prices'!$B$9:$B$2500,1)+
SUMIFS('Commodity Prices'!$L$9:$L$2500,'Commodity Prices'!$A$9:$A$2500,'Nickel - Prices'!F17,'Commodity Prices'!$B$9:$B$2500,2))
/(COUNTIFS('Commodity Prices'!$A$9:$A$2500,'Nickel - Prices'!E17,'Commodity Prices'!$B$9:$B$2500,3)+
COUNTIFS('Commodity Prices'!$A$9:$A$2500,'Nickel - Prices'!E17,'Commodity Prices'!$B$9:$B$2500,4)+
COUNTIFS('Commodity Prices'!$A$9:$A$2500,'Nickel - Prices'!F17,'Commodity Prices'!$B$9:$B$2500,1)+
COUNTIFS('Commodity Prices'!$A$9:$A$2500,'Nickel - Prices'!F17,'Commodity Prices'!$B$9:$B$2500,2))</f>
        <v>10785.720134162924</v>
      </c>
      <c r="K17" s="492">
        <f>(SUMIFS('Commodity Prices'!$K$9:$K$2500,'Commodity Prices'!$A$9:$A$2500,'Nickel - Prices'!E17,'Commodity Prices'!$B$9:$B$2500,3)+
SUMIFS('Commodity Prices'!$K$9:$K$2500,'Commodity Prices'!$A$9:$A$2500,'Nickel - Prices'!E17,'Commodity Prices'!$B$9:$B$2500,4)+
SUMIFS('Commodity Prices'!$K$9:$K$2500,'Commodity Prices'!$A$9:$A$2500,'Nickel - Prices'!F17,'Commodity Prices'!$B$9:$B$2500,1)+
SUMIFS('Commodity Prices'!$K$9:$K$2500,'Commodity Prices'!$A$9:$A$2500,'Nickel - Prices'!F17,'Commodity Prices'!$B$9:$B$2500,2))
/(COUNTIFS('Commodity Prices'!$A$9:$A$2500,'Nickel - Prices'!E17,'Commodity Prices'!$B$9:$B$2500,3)+
COUNTIFS('Commodity Prices'!$A$9:$A$2500,'Nickel - Prices'!E17,'Commodity Prices'!$B$9:$B$2500,4)+
COUNTIFS('Commodity Prices'!$A$9:$A$2500,'Nickel - Prices'!F17,'Commodity Prices'!$B$9:$B$2500,1)+
COUNTIFS('Commodity Prices'!$A$9:$A$2500,'Nickel - Prices'!F17,'Commodity Prices'!$B$9:$B$2500,2))</f>
        <v>8219.2416666666668</v>
      </c>
    </row>
    <row r="18" spans="1:11">
      <c r="A18" s="1013">
        <f>LARGE('Commodity Prices'!C$159:C$902,50)</f>
        <v>42856</v>
      </c>
      <c r="B18" s="1011">
        <f>SUMIF('Commodity Prices'!C$159:C$902,A18,'Commodity Prices'!K$159:K$902)</f>
        <v>9154.2900000000009</v>
      </c>
      <c r="C18" s="1014">
        <f>SUMIF('Commodity Prices'!C$159:C$902,A18,'Commodity Prices'!L$159:L$902)</f>
        <v>12310.77</v>
      </c>
      <c r="D18" s="820"/>
      <c r="E18" s="128">
        <f t="shared" si="1"/>
        <v>1996</v>
      </c>
      <c r="F18" s="128">
        <f t="shared" si="1"/>
        <v>1997</v>
      </c>
      <c r="G18" s="1022" t="str">
        <f t="shared" si="0"/>
        <v>1996-97</v>
      </c>
      <c r="H18" s="724">
        <f t="array" ref="H18">IF($G$6="Historic Calendar Year",IFERROR(AVERAGE(IF($G18=YEAR('Commodity Prices'!$C$100:$C$1000),'Commodity Prices'!$K$100:$K$995)),"NA"),IFERROR(IF(K18=0,"NA",K18),"NA"))</f>
        <v>7243.3249999999998</v>
      </c>
      <c r="I18" s="724">
        <f t="array" ref="I18">IF($G$6="Historic Calendar Year",IFERROR(AVERAGE(IF($G18=YEAR('Commodity Prices'!$C$100:$C$1000),'Commodity Prices'!$L$100:$L$1000)),"NA"),IFERROR(IF(J18=0,"NA",J18),"NA"))</f>
        <v>9285.8800592560237</v>
      </c>
      <c r="J18" s="386">
        <f>(SUMIFS('Commodity Prices'!$L$9:$L$2500,'Commodity Prices'!$A$9:$A$2500,'Nickel - Prices'!E18,'Commodity Prices'!$B$9:$B$2500,3)+
SUMIFS('Commodity Prices'!$L$9:$L$2500,'Commodity Prices'!$A$9:$A$2500,'Nickel - Prices'!E18,'Commodity Prices'!$B$9:$B$2500,4)+
SUMIFS('Commodity Prices'!$L$9:$L$2500,'Commodity Prices'!$A$9:$A$2500,'Nickel - Prices'!F18,'Commodity Prices'!$B$9:$B$2500,1)+
SUMIFS('Commodity Prices'!$L$9:$L$2500,'Commodity Prices'!$A$9:$A$2500,'Nickel - Prices'!F18,'Commodity Prices'!$B$9:$B$2500,2))
/(COUNTIFS('Commodity Prices'!$A$9:$A$2500,'Nickel - Prices'!E18,'Commodity Prices'!$B$9:$B$2500,3)+
COUNTIFS('Commodity Prices'!$A$9:$A$2500,'Nickel - Prices'!E18,'Commodity Prices'!$B$9:$B$2500,4)+
COUNTIFS('Commodity Prices'!$A$9:$A$2500,'Nickel - Prices'!F18,'Commodity Prices'!$B$9:$B$2500,1)+
COUNTIFS('Commodity Prices'!$A$9:$A$2500,'Nickel - Prices'!F18,'Commodity Prices'!$B$9:$B$2500,2))</f>
        <v>9285.8800592560237</v>
      </c>
      <c r="K18" s="492">
        <f>(SUMIFS('Commodity Prices'!$K$9:$K$2500,'Commodity Prices'!$A$9:$A$2500,'Nickel - Prices'!E18,'Commodity Prices'!$B$9:$B$2500,3)+
SUMIFS('Commodity Prices'!$K$9:$K$2500,'Commodity Prices'!$A$9:$A$2500,'Nickel - Prices'!E18,'Commodity Prices'!$B$9:$B$2500,4)+
SUMIFS('Commodity Prices'!$K$9:$K$2500,'Commodity Prices'!$A$9:$A$2500,'Nickel - Prices'!F18,'Commodity Prices'!$B$9:$B$2500,1)+
SUMIFS('Commodity Prices'!$K$9:$K$2500,'Commodity Prices'!$A$9:$A$2500,'Nickel - Prices'!F18,'Commodity Prices'!$B$9:$B$2500,2))
/(COUNTIFS('Commodity Prices'!$A$9:$A$2500,'Nickel - Prices'!E18,'Commodity Prices'!$B$9:$B$2500,3)+
COUNTIFS('Commodity Prices'!$A$9:$A$2500,'Nickel - Prices'!E18,'Commodity Prices'!$B$9:$B$2500,4)+
COUNTIFS('Commodity Prices'!$A$9:$A$2500,'Nickel - Prices'!F18,'Commodity Prices'!$B$9:$B$2500,1)+
COUNTIFS('Commodity Prices'!$A$9:$A$2500,'Nickel - Prices'!F18,'Commodity Prices'!$B$9:$B$2500,2))</f>
        <v>7243.3249999999998</v>
      </c>
    </row>
    <row r="19" spans="1:11">
      <c r="A19" s="1015">
        <f>LARGE('Commodity Prices'!C$159:C$902,49)</f>
        <v>42887</v>
      </c>
      <c r="B19" s="724">
        <f>SUMIF('Commodity Prices'!C$159:C$902,A19,'Commodity Prices'!K$159:K$902)</f>
        <v>8930.6818000000003</v>
      </c>
      <c r="C19" s="880">
        <f>SUMIF('Commodity Prices'!C$159:C$902,A19,'Commodity Prices'!L$159:L$902)</f>
        <v>11813.071164021165</v>
      </c>
      <c r="D19" s="820"/>
      <c r="E19" s="128">
        <f t="shared" si="1"/>
        <v>1997</v>
      </c>
      <c r="F19" s="128">
        <f t="shared" si="1"/>
        <v>1998</v>
      </c>
      <c r="G19" s="1021" t="str">
        <f t="shared" si="0"/>
        <v>1997-98</v>
      </c>
      <c r="H19" s="1011">
        <f t="array" ref="H19">IF($G$6="Historic Calendar Year",IFERROR(AVERAGE(IF($G19=YEAR('Commodity Prices'!$C$100:$C$1000),'Commodity Prices'!$K$100:$K$995)),"NA"),IFERROR(IF(K19=0,"NA",K19),"NA"))</f>
        <v>5813.9175000000005</v>
      </c>
      <c r="I19" s="1011">
        <f t="array" ref="I19">IF($G$6="Historic Calendar Year",IFERROR(AVERAGE(IF($G19=YEAR('Commodity Prices'!$C$100:$C$1000),'Commodity Prices'!$L$100:$L$1000)),"NA"),IFERROR(IF(J19=0,"NA",J19),"NA"))</f>
        <v>8540.3657876970065</v>
      </c>
      <c r="J19" s="386">
        <f>(SUMIFS('Commodity Prices'!$L$9:$L$2500,'Commodity Prices'!$A$9:$A$2500,'Nickel - Prices'!E19,'Commodity Prices'!$B$9:$B$2500,3)+
SUMIFS('Commodity Prices'!$L$9:$L$2500,'Commodity Prices'!$A$9:$A$2500,'Nickel - Prices'!E19,'Commodity Prices'!$B$9:$B$2500,4)+
SUMIFS('Commodity Prices'!$L$9:$L$2500,'Commodity Prices'!$A$9:$A$2500,'Nickel - Prices'!F19,'Commodity Prices'!$B$9:$B$2500,1)+
SUMIFS('Commodity Prices'!$L$9:$L$2500,'Commodity Prices'!$A$9:$A$2500,'Nickel - Prices'!F19,'Commodity Prices'!$B$9:$B$2500,2))
/(COUNTIFS('Commodity Prices'!$A$9:$A$2500,'Nickel - Prices'!E19,'Commodity Prices'!$B$9:$B$2500,3)+
COUNTIFS('Commodity Prices'!$A$9:$A$2500,'Nickel - Prices'!E19,'Commodity Prices'!$B$9:$B$2500,4)+
COUNTIFS('Commodity Prices'!$A$9:$A$2500,'Nickel - Prices'!F19,'Commodity Prices'!$B$9:$B$2500,1)+
COUNTIFS('Commodity Prices'!$A$9:$A$2500,'Nickel - Prices'!F19,'Commodity Prices'!$B$9:$B$2500,2))</f>
        <v>8540.3657876970065</v>
      </c>
      <c r="K19" s="492">
        <f>(SUMIFS('Commodity Prices'!$K$9:$K$2500,'Commodity Prices'!$A$9:$A$2500,'Nickel - Prices'!E19,'Commodity Prices'!$B$9:$B$2500,3)+
SUMIFS('Commodity Prices'!$K$9:$K$2500,'Commodity Prices'!$A$9:$A$2500,'Nickel - Prices'!E19,'Commodity Prices'!$B$9:$B$2500,4)+
SUMIFS('Commodity Prices'!$K$9:$K$2500,'Commodity Prices'!$A$9:$A$2500,'Nickel - Prices'!F19,'Commodity Prices'!$B$9:$B$2500,1)+
SUMIFS('Commodity Prices'!$K$9:$K$2500,'Commodity Prices'!$A$9:$A$2500,'Nickel - Prices'!F19,'Commodity Prices'!$B$9:$B$2500,2))
/(COUNTIFS('Commodity Prices'!$A$9:$A$2500,'Nickel - Prices'!E19,'Commodity Prices'!$B$9:$B$2500,3)+
COUNTIFS('Commodity Prices'!$A$9:$A$2500,'Nickel - Prices'!E19,'Commodity Prices'!$B$9:$B$2500,4)+
COUNTIFS('Commodity Prices'!$A$9:$A$2500,'Nickel - Prices'!F19,'Commodity Prices'!$B$9:$B$2500,1)+
COUNTIFS('Commodity Prices'!$A$9:$A$2500,'Nickel - Prices'!F19,'Commodity Prices'!$B$9:$B$2500,2))</f>
        <v>5813.9175000000005</v>
      </c>
    </row>
    <row r="20" spans="1:11">
      <c r="A20" s="1013">
        <f>LARGE('Commodity Prices'!C$159:C$902,48)</f>
        <v>42917</v>
      </c>
      <c r="B20" s="1011">
        <f>SUMIF('Commodity Prices'!C$159:C$902,A20,'Commodity Prices'!K$159:K$902)</f>
        <v>9481.6669999999995</v>
      </c>
      <c r="C20" s="1014">
        <f>SUMIF('Commodity Prices'!C$159:C$902,A20,'Commodity Prices'!L$159:L$902)</f>
        <v>12148.19602818706</v>
      </c>
      <c r="D20" s="820"/>
      <c r="E20" s="128">
        <f t="shared" si="1"/>
        <v>1998</v>
      </c>
      <c r="F20" s="128">
        <f t="shared" si="1"/>
        <v>1999</v>
      </c>
      <c r="G20" s="1022" t="str">
        <f t="shared" si="0"/>
        <v>1998-99</v>
      </c>
      <c r="H20" s="724">
        <f t="array" ref="H20">IF($G$6="Historic Calendar Year",IFERROR(AVERAGE(IF($G20=YEAR('Commodity Prices'!$C$100:$C$1000),'Commodity Prices'!$K$100:$K$995)),"NA"),IFERROR(IF(K20=0,"NA",K20),"NA"))</f>
        <v>4502.7716666666665</v>
      </c>
      <c r="I20" s="724">
        <f t="array" ref="I20">IF($G$6="Historic Calendar Year",IFERROR(AVERAGE(IF($G20=YEAR('Commodity Prices'!$C$100:$C$1000),'Commodity Prices'!$L$100:$L$1000)),"NA"),IFERROR(IF(J20=0,"NA",J20),"NA"))</f>
        <v>7164.9004899168367</v>
      </c>
      <c r="J20" s="386">
        <f>(SUMIFS('Commodity Prices'!$L$9:$L$2500,'Commodity Prices'!$A$9:$A$2500,'Nickel - Prices'!E20,'Commodity Prices'!$B$9:$B$2500,3)+
SUMIFS('Commodity Prices'!$L$9:$L$2500,'Commodity Prices'!$A$9:$A$2500,'Nickel - Prices'!E20,'Commodity Prices'!$B$9:$B$2500,4)+
SUMIFS('Commodity Prices'!$L$9:$L$2500,'Commodity Prices'!$A$9:$A$2500,'Nickel - Prices'!F20,'Commodity Prices'!$B$9:$B$2500,1)+
SUMIFS('Commodity Prices'!$L$9:$L$2500,'Commodity Prices'!$A$9:$A$2500,'Nickel - Prices'!F20,'Commodity Prices'!$B$9:$B$2500,2))
/(COUNTIFS('Commodity Prices'!$A$9:$A$2500,'Nickel - Prices'!E20,'Commodity Prices'!$B$9:$B$2500,3)+
COUNTIFS('Commodity Prices'!$A$9:$A$2500,'Nickel - Prices'!E20,'Commodity Prices'!$B$9:$B$2500,4)+
COUNTIFS('Commodity Prices'!$A$9:$A$2500,'Nickel - Prices'!F20,'Commodity Prices'!$B$9:$B$2500,1)+
COUNTIFS('Commodity Prices'!$A$9:$A$2500,'Nickel - Prices'!F20,'Commodity Prices'!$B$9:$B$2500,2))</f>
        <v>7164.9004899168367</v>
      </c>
      <c r="K20" s="492">
        <f>(SUMIFS('Commodity Prices'!$K$9:$K$2500,'Commodity Prices'!$A$9:$A$2500,'Nickel - Prices'!E20,'Commodity Prices'!$B$9:$B$2500,3)+
SUMIFS('Commodity Prices'!$K$9:$K$2500,'Commodity Prices'!$A$9:$A$2500,'Nickel - Prices'!E20,'Commodity Prices'!$B$9:$B$2500,4)+
SUMIFS('Commodity Prices'!$K$9:$K$2500,'Commodity Prices'!$A$9:$A$2500,'Nickel - Prices'!F20,'Commodity Prices'!$B$9:$B$2500,1)+
SUMIFS('Commodity Prices'!$K$9:$K$2500,'Commodity Prices'!$A$9:$A$2500,'Nickel - Prices'!F20,'Commodity Prices'!$B$9:$B$2500,2))
/(COUNTIFS('Commodity Prices'!$A$9:$A$2500,'Nickel - Prices'!E20,'Commodity Prices'!$B$9:$B$2500,3)+
COUNTIFS('Commodity Prices'!$A$9:$A$2500,'Nickel - Prices'!E20,'Commodity Prices'!$B$9:$B$2500,4)+
COUNTIFS('Commodity Prices'!$A$9:$A$2500,'Nickel - Prices'!F20,'Commodity Prices'!$B$9:$B$2500,1)+
COUNTIFS('Commodity Prices'!$A$9:$A$2500,'Nickel - Prices'!F20,'Commodity Prices'!$B$9:$B$2500,2))</f>
        <v>4502.7716666666665</v>
      </c>
    </row>
    <row r="21" spans="1:11">
      <c r="A21" s="1015">
        <f>LARGE('Commodity Prices'!C$159:C$902,47)</f>
        <v>42948</v>
      </c>
      <c r="B21" s="724">
        <f>SUMIF('Commodity Prices'!C$159:C$902,A21,'Commodity Prices'!K$159:K$902)</f>
        <v>10852.954545454546</v>
      </c>
      <c r="C21" s="880">
        <f>SUMIF('Commodity Prices'!C$159:C$902,A21,'Commodity Prices'!L$159:L$902)</f>
        <v>13710.149754237678</v>
      </c>
      <c r="D21" s="820"/>
      <c r="E21" s="128">
        <f t="shared" si="1"/>
        <v>1999</v>
      </c>
      <c r="F21" s="128">
        <f t="shared" si="1"/>
        <v>2000</v>
      </c>
      <c r="G21" s="1021" t="str">
        <f t="shared" si="0"/>
        <v>1999-00</v>
      </c>
      <c r="H21" s="1011">
        <f t="array" ref="H21">IF($G$6="Historic Calendar Year",IFERROR(AVERAGE(IF($G21=YEAR('Commodity Prices'!$C$100:$C$1000),'Commodity Prices'!$K$100:$K$995)),"NA"),IFERROR(IF(K21=0,"NA",K21),"NA"))</f>
        <v>8257.3924999999999</v>
      </c>
      <c r="I21" s="1011">
        <f t="array" ref="I21">IF($G$6="Historic Calendar Year",IFERROR(AVERAGE(IF($G21=YEAR('Commodity Prices'!$C$100:$C$1000),'Commodity Prices'!$L$100:$L$1000)),"NA"),IFERROR(IF(J21=0,"NA",J21),"NA"))</f>
        <v>13229.861897751151</v>
      </c>
      <c r="J21" s="386">
        <f>(SUMIFS('Commodity Prices'!$L$9:$L$2500,'Commodity Prices'!$A$9:$A$2500,'Nickel - Prices'!E21,'Commodity Prices'!$B$9:$B$2500,3)+
SUMIFS('Commodity Prices'!$L$9:$L$2500,'Commodity Prices'!$A$9:$A$2500,'Nickel - Prices'!E21,'Commodity Prices'!$B$9:$B$2500,4)+
SUMIFS('Commodity Prices'!$L$9:$L$2500,'Commodity Prices'!$A$9:$A$2500,'Nickel - Prices'!F21,'Commodity Prices'!$B$9:$B$2500,1)+
SUMIFS('Commodity Prices'!$L$9:$L$2500,'Commodity Prices'!$A$9:$A$2500,'Nickel - Prices'!F21,'Commodity Prices'!$B$9:$B$2500,2))
/(COUNTIFS('Commodity Prices'!$A$9:$A$2500,'Nickel - Prices'!E21,'Commodity Prices'!$B$9:$B$2500,3)+
COUNTIFS('Commodity Prices'!$A$9:$A$2500,'Nickel - Prices'!E21,'Commodity Prices'!$B$9:$B$2500,4)+
COUNTIFS('Commodity Prices'!$A$9:$A$2500,'Nickel - Prices'!F21,'Commodity Prices'!$B$9:$B$2500,1)+
COUNTIFS('Commodity Prices'!$A$9:$A$2500,'Nickel - Prices'!F21,'Commodity Prices'!$B$9:$B$2500,2))</f>
        <v>13229.861897751151</v>
      </c>
      <c r="K21" s="492">
        <f>(SUMIFS('Commodity Prices'!$K$9:$K$2500,'Commodity Prices'!$A$9:$A$2500,'Nickel - Prices'!E21,'Commodity Prices'!$B$9:$B$2500,3)+
SUMIFS('Commodity Prices'!$K$9:$K$2500,'Commodity Prices'!$A$9:$A$2500,'Nickel - Prices'!E21,'Commodity Prices'!$B$9:$B$2500,4)+
SUMIFS('Commodity Prices'!$K$9:$K$2500,'Commodity Prices'!$A$9:$A$2500,'Nickel - Prices'!F21,'Commodity Prices'!$B$9:$B$2500,1)+
SUMIFS('Commodity Prices'!$K$9:$K$2500,'Commodity Prices'!$A$9:$A$2500,'Nickel - Prices'!F21,'Commodity Prices'!$B$9:$B$2500,2))
/(COUNTIFS('Commodity Prices'!$A$9:$A$2500,'Nickel - Prices'!E21,'Commodity Prices'!$B$9:$B$2500,3)+
COUNTIFS('Commodity Prices'!$A$9:$A$2500,'Nickel - Prices'!E21,'Commodity Prices'!$B$9:$B$2500,4)+
COUNTIFS('Commodity Prices'!$A$9:$A$2500,'Nickel - Prices'!F21,'Commodity Prices'!$B$9:$B$2500,1)+
COUNTIFS('Commodity Prices'!$A$9:$A$2500,'Nickel - Prices'!F21,'Commodity Prices'!$B$9:$B$2500,2))</f>
        <v>8257.3924999999999</v>
      </c>
    </row>
    <row r="22" spans="1:11">
      <c r="A22" s="1013">
        <f>LARGE('Commodity Prices'!C$159:C$902,46)</f>
        <v>42979</v>
      </c>
      <c r="B22" s="1011">
        <f>SUMIF('Commodity Prices'!C$159:C$902,A22,'Commodity Prices'!K$159:K$902)</f>
        <v>11233.57</v>
      </c>
      <c r="C22" s="1014">
        <f>SUMIF('Commodity Prices'!C$159:C$902,A22,'Commodity Prices'!L$159:L$902)</f>
        <v>14100.125517760764</v>
      </c>
      <c r="D22" s="820"/>
      <c r="E22" s="128">
        <f t="shared" si="1"/>
        <v>2000</v>
      </c>
      <c r="F22" s="128">
        <f t="shared" si="1"/>
        <v>2001</v>
      </c>
      <c r="G22" s="1022" t="str">
        <f t="shared" si="0"/>
        <v>2000-01</v>
      </c>
      <c r="H22" s="724">
        <f t="array" ref="H22">IF($G$6="Historic Calendar Year",IFERROR(AVERAGE(IF($G22=YEAR('Commodity Prices'!$C$100:$C$1000),'Commodity Prices'!$K$100:$K$995)),"NA"),IFERROR(IF(K22=0,"NA",K22),"NA"))</f>
        <v>7239.4783333333335</v>
      </c>
      <c r="I22" s="724">
        <f t="array" ref="I22">IF($G$6="Historic Calendar Year",IFERROR(AVERAGE(IF($G22=YEAR('Commodity Prices'!$C$100:$C$1000),'Commodity Prices'!$L$100:$L$1000)),"NA"),IFERROR(IF(J22=0,"NA",J22),"NA"))</f>
        <v>13443.145366426224</v>
      </c>
      <c r="J22" s="386">
        <f>(SUMIFS('Commodity Prices'!$L$9:$L$2500,'Commodity Prices'!$A$9:$A$2500,'Nickel - Prices'!E22,'Commodity Prices'!$B$9:$B$2500,3)+
SUMIFS('Commodity Prices'!$L$9:$L$2500,'Commodity Prices'!$A$9:$A$2500,'Nickel - Prices'!E22,'Commodity Prices'!$B$9:$B$2500,4)+
SUMIFS('Commodity Prices'!$L$9:$L$2500,'Commodity Prices'!$A$9:$A$2500,'Nickel - Prices'!F22,'Commodity Prices'!$B$9:$B$2500,1)+
SUMIFS('Commodity Prices'!$L$9:$L$2500,'Commodity Prices'!$A$9:$A$2500,'Nickel - Prices'!F22,'Commodity Prices'!$B$9:$B$2500,2))
/(COUNTIFS('Commodity Prices'!$A$9:$A$2500,'Nickel - Prices'!E22,'Commodity Prices'!$B$9:$B$2500,3)+
COUNTIFS('Commodity Prices'!$A$9:$A$2500,'Nickel - Prices'!E22,'Commodity Prices'!$B$9:$B$2500,4)+
COUNTIFS('Commodity Prices'!$A$9:$A$2500,'Nickel - Prices'!F22,'Commodity Prices'!$B$9:$B$2500,1)+
COUNTIFS('Commodity Prices'!$A$9:$A$2500,'Nickel - Prices'!F22,'Commodity Prices'!$B$9:$B$2500,2))</f>
        <v>13443.145366426224</v>
      </c>
      <c r="K22" s="492">
        <f>(SUMIFS('Commodity Prices'!$K$9:$K$2500,'Commodity Prices'!$A$9:$A$2500,'Nickel - Prices'!E22,'Commodity Prices'!$B$9:$B$2500,3)+
SUMIFS('Commodity Prices'!$K$9:$K$2500,'Commodity Prices'!$A$9:$A$2500,'Nickel - Prices'!E22,'Commodity Prices'!$B$9:$B$2500,4)+
SUMIFS('Commodity Prices'!$K$9:$K$2500,'Commodity Prices'!$A$9:$A$2500,'Nickel - Prices'!F22,'Commodity Prices'!$B$9:$B$2500,1)+
SUMIFS('Commodity Prices'!$K$9:$K$2500,'Commodity Prices'!$A$9:$A$2500,'Nickel - Prices'!F22,'Commodity Prices'!$B$9:$B$2500,2))
/(COUNTIFS('Commodity Prices'!$A$9:$A$2500,'Nickel - Prices'!E22,'Commodity Prices'!$B$9:$B$2500,3)+
COUNTIFS('Commodity Prices'!$A$9:$A$2500,'Nickel - Prices'!E22,'Commodity Prices'!$B$9:$B$2500,4)+
COUNTIFS('Commodity Prices'!$A$9:$A$2500,'Nickel - Prices'!F22,'Commodity Prices'!$B$9:$B$2500,1)+
COUNTIFS('Commodity Prices'!$A$9:$A$2500,'Nickel - Prices'!F22,'Commodity Prices'!$B$9:$B$2500,2))</f>
        <v>7239.4783333333335</v>
      </c>
    </row>
    <row r="23" spans="1:11">
      <c r="A23" s="1015">
        <f>LARGE('Commodity Prices'!C$159:C$902,45)</f>
        <v>43009</v>
      </c>
      <c r="B23" s="724">
        <f>SUMIF('Commodity Prices'!C$159:C$902,A23,'Commodity Prices'!K$159:K$902)</f>
        <v>11325</v>
      </c>
      <c r="C23" s="880">
        <f>SUMIF('Commodity Prices'!C$159:C$902,A23,'Commodity Prices'!L$159:L$902)</f>
        <v>14543.469885706949</v>
      </c>
      <c r="D23" s="820"/>
      <c r="E23" s="128">
        <f t="shared" si="1"/>
        <v>2001</v>
      </c>
      <c r="F23" s="128">
        <f t="shared" si="1"/>
        <v>2002</v>
      </c>
      <c r="G23" s="1021" t="str">
        <f t="shared" si="0"/>
        <v>2001-02</v>
      </c>
      <c r="H23" s="1011">
        <f t="array" ref="H23">IF($G$6="Historic Calendar Year",IFERROR(AVERAGE(IF($G23=YEAR('Commodity Prices'!$C$100:$C$1000),'Commodity Prices'!$K$100:$K$995)),"NA"),IFERROR(IF(K23=0,"NA",K23),"NA"))</f>
        <v>5946.2391666666663</v>
      </c>
      <c r="I23" s="1011">
        <f t="array" ref="I23">IF($G$6="Historic Calendar Year",IFERROR(AVERAGE(IF($G23=YEAR('Commodity Prices'!$C$100:$C$1000),'Commodity Prices'!$L$100:$L$1000)),"NA"),IFERROR(IF(J23=0,"NA",J23),"NA"))</f>
        <v>11324.836261773538</v>
      </c>
      <c r="J23" s="386">
        <f>(SUMIFS('Commodity Prices'!$L$9:$L$2500,'Commodity Prices'!$A$9:$A$2500,'Nickel - Prices'!E23,'Commodity Prices'!$B$9:$B$2500,3)+
SUMIFS('Commodity Prices'!$L$9:$L$2500,'Commodity Prices'!$A$9:$A$2500,'Nickel - Prices'!E23,'Commodity Prices'!$B$9:$B$2500,4)+
SUMIFS('Commodity Prices'!$L$9:$L$2500,'Commodity Prices'!$A$9:$A$2500,'Nickel - Prices'!F23,'Commodity Prices'!$B$9:$B$2500,1)+
SUMIFS('Commodity Prices'!$L$9:$L$2500,'Commodity Prices'!$A$9:$A$2500,'Nickel - Prices'!F23,'Commodity Prices'!$B$9:$B$2500,2))
/(COUNTIFS('Commodity Prices'!$A$9:$A$2500,'Nickel - Prices'!E23,'Commodity Prices'!$B$9:$B$2500,3)+
COUNTIFS('Commodity Prices'!$A$9:$A$2500,'Nickel - Prices'!E23,'Commodity Prices'!$B$9:$B$2500,4)+
COUNTIFS('Commodity Prices'!$A$9:$A$2500,'Nickel - Prices'!F23,'Commodity Prices'!$B$9:$B$2500,1)+
COUNTIFS('Commodity Prices'!$A$9:$A$2500,'Nickel - Prices'!F23,'Commodity Prices'!$B$9:$B$2500,2))</f>
        <v>11324.836261773538</v>
      </c>
      <c r="K23" s="492">
        <f>(SUMIFS('Commodity Prices'!$K$9:$K$2500,'Commodity Prices'!$A$9:$A$2500,'Nickel - Prices'!E23,'Commodity Prices'!$B$9:$B$2500,3)+
SUMIFS('Commodity Prices'!$K$9:$K$2500,'Commodity Prices'!$A$9:$A$2500,'Nickel - Prices'!E23,'Commodity Prices'!$B$9:$B$2500,4)+
SUMIFS('Commodity Prices'!$K$9:$K$2500,'Commodity Prices'!$A$9:$A$2500,'Nickel - Prices'!F23,'Commodity Prices'!$B$9:$B$2500,1)+
SUMIFS('Commodity Prices'!$K$9:$K$2500,'Commodity Prices'!$A$9:$A$2500,'Nickel - Prices'!F23,'Commodity Prices'!$B$9:$B$2500,2))
/(COUNTIFS('Commodity Prices'!$A$9:$A$2500,'Nickel - Prices'!E23,'Commodity Prices'!$B$9:$B$2500,3)+
COUNTIFS('Commodity Prices'!$A$9:$A$2500,'Nickel - Prices'!E23,'Commodity Prices'!$B$9:$B$2500,4)+
COUNTIFS('Commodity Prices'!$A$9:$A$2500,'Nickel - Prices'!F23,'Commodity Prices'!$B$9:$B$2500,1)+
COUNTIFS('Commodity Prices'!$A$9:$A$2500,'Nickel - Prices'!F23,'Commodity Prices'!$B$9:$B$2500,2))</f>
        <v>5946.2391666666663</v>
      </c>
    </row>
    <row r="24" spans="1:11">
      <c r="A24" s="1013">
        <f>LARGE('Commodity Prices'!C$159:C$902,44)</f>
        <v>43040</v>
      </c>
      <c r="B24" s="1011">
        <f>SUMIF('Commodity Prices'!C$159:C$902,A24,'Commodity Prices'!K$159:K$902)</f>
        <v>11992.7273</v>
      </c>
      <c r="C24" s="1014">
        <f>SUMIF('Commodity Prices'!C$159:C$902,A24,'Commodity Prices'!L$159:L$902)</f>
        <v>15732.293454020728</v>
      </c>
      <c r="D24" s="820"/>
      <c r="E24" s="128">
        <f t="shared" si="1"/>
        <v>2002</v>
      </c>
      <c r="F24" s="128">
        <f t="shared" si="1"/>
        <v>2003</v>
      </c>
      <c r="G24" s="1022" t="str">
        <f t="shared" si="0"/>
        <v>2002-03</v>
      </c>
      <c r="H24" s="724">
        <f t="array" ref="H24">IF($G$6="Historic Calendar Year",IFERROR(AVERAGE(IF($G24=YEAR('Commodity Prices'!$C$100:$C$1000),'Commodity Prices'!$K$100:$K$995)),"NA"),IFERROR(IF(K24=0,"NA",K24),"NA"))</f>
        <v>7667.6566666666658</v>
      </c>
      <c r="I24" s="724">
        <f t="array" ref="I24">IF($G$6="Historic Calendar Year",IFERROR(AVERAGE(IF($G24=YEAR('Commodity Prices'!$C$100:$C$1000),'Commodity Prices'!$L$100:$L$1000)),"NA"),IFERROR(IF(J24=0,"NA",J24),"NA"))</f>
        <v>13089.734579704245</v>
      </c>
      <c r="J24" s="386">
        <f>(SUMIFS('Commodity Prices'!$L$9:$L$2500,'Commodity Prices'!$A$9:$A$2500,'Nickel - Prices'!E24,'Commodity Prices'!$B$9:$B$2500,3)+
SUMIFS('Commodity Prices'!$L$9:$L$2500,'Commodity Prices'!$A$9:$A$2500,'Nickel - Prices'!E24,'Commodity Prices'!$B$9:$B$2500,4)+
SUMIFS('Commodity Prices'!$L$9:$L$2500,'Commodity Prices'!$A$9:$A$2500,'Nickel - Prices'!F24,'Commodity Prices'!$B$9:$B$2500,1)+
SUMIFS('Commodity Prices'!$L$9:$L$2500,'Commodity Prices'!$A$9:$A$2500,'Nickel - Prices'!F24,'Commodity Prices'!$B$9:$B$2500,2))
/(COUNTIFS('Commodity Prices'!$A$9:$A$2500,'Nickel - Prices'!E24,'Commodity Prices'!$B$9:$B$2500,3)+
COUNTIFS('Commodity Prices'!$A$9:$A$2500,'Nickel - Prices'!E24,'Commodity Prices'!$B$9:$B$2500,4)+
COUNTIFS('Commodity Prices'!$A$9:$A$2500,'Nickel - Prices'!F24,'Commodity Prices'!$B$9:$B$2500,1)+
COUNTIFS('Commodity Prices'!$A$9:$A$2500,'Nickel - Prices'!F24,'Commodity Prices'!$B$9:$B$2500,2))</f>
        <v>13089.734579704245</v>
      </c>
      <c r="K24" s="492">
        <f>(SUMIFS('Commodity Prices'!$K$9:$K$2500,'Commodity Prices'!$A$9:$A$2500,'Nickel - Prices'!E24,'Commodity Prices'!$B$9:$B$2500,3)+
SUMIFS('Commodity Prices'!$K$9:$K$2500,'Commodity Prices'!$A$9:$A$2500,'Nickel - Prices'!E24,'Commodity Prices'!$B$9:$B$2500,4)+
SUMIFS('Commodity Prices'!$K$9:$K$2500,'Commodity Prices'!$A$9:$A$2500,'Nickel - Prices'!F24,'Commodity Prices'!$B$9:$B$2500,1)+
SUMIFS('Commodity Prices'!$K$9:$K$2500,'Commodity Prices'!$A$9:$A$2500,'Nickel - Prices'!F24,'Commodity Prices'!$B$9:$B$2500,2))
/(COUNTIFS('Commodity Prices'!$A$9:$A$2500,'Nickel - Prices'!E24,'Commodity Prices'!$B$9:$B$2500,3)+
COUNTIFS('Commodity Prices'!$A$9:$A$2500,'Nickel - Prices'!E24,'Commodity Prices'!$B$9:$B$2500,4)+
COUNTIFS('Commodity Prices'!$A$9:$A$2500,'Nickel - Prices'!F24,'Commodity Prices'!$B$9:$B$2500,1)+
COUNTIFS('Commodity Prices'!$A$9:$A$2500,'Nickel - Prices'!F24,'Commodity Prices'!$B$9:$B$2500,2))</f>
        <v>7667.6566666666658</v>
      </c>
    </row>
    <row r="25" spans="1:11">
      <c r="A25" s="1015">
        <f>LARGE('Commodity Prices'!C$159:C$902,43)</f>
        <v>43070</v>
      </c>
      <c r="B25" s="724">
        <f>SUMIF('Commodity Prices'!C$159:C$902,A25,'Commodity Prices'!K$159:K$902)</f>
        <v>11409.210499999999</v>
      </c>
      <c r="C25" s="880">
        <f>SUMIF('Commodity Prices'!C$159:C$902,A25,'Commodity Prices'!L$159:L$902)</f>
        <v>14914.00065359477</v>
      </c>
      <c r="D25" s="820"/>
      <c r="E25" s="128">
        <f t="shared" si="1"/>
        <v>2003</v>
      </c>
      <c r="F25" s="128">
        <f t="shared" si="1"/>
        <v>2004</v>
      </c>
      <c r="G25" s="1021" t="str">
        <f t="shared" si="0"/>
        <v>2003-04</v>
      </c>
      <c r="H25" s="1011">
        <f t="array" ref="H25">IF($G$6="Historic Calendar Year",IFERROR(AVERAGE(IF($G25=YEAR('Commodity Prices'!$C$100:$C$1000),'Commodity Prices'!$K$100:$K$995)),"NA"),IFERROR(IF(K25=0,"NA",K25),"NA"))</f>
        <v>12263.713333333333</v>
      </c>
      <c r="I25" s="1011">
        <f t="array" ref="I25">IF($G$6="Historic Calendar Year",IFERROR(AVERAGE(IF($G25=YEAR('Commodity Prices'!$C$100:$C$1000),'Commodity Prices'!$L$100:$L$1000)),"NA"),IFERROR(IF(J25=0,"NA",J25),"NA"))</f>
        <v>17066.800172646705</v>
      </c>
      <c r="J25" s="386">
        <f>(SUMIFS('Commodity Prices'!$L$9:$L$2500,'Commodity Prices'!$A$9:$A$2500,'Nickel - Prices'!E25,'Commodity Prices'!$B$9:$B$2500,3)+
SUMIFS('Commodity Prices'!$L$9:$L$2500,'Commodity Prices'!$A$9:$A$2500,'Nickel - Prices'!E25,'Commodity Prices'!$B$9:$B$2500,4)+
SUMIFS('Commodity Prices'!$L$9:$L$2500,'Commodity Prices'!$A$9:$A$2500,'Nickel - Prices'!F25,'Commodity Prices'!$B$9:$B$2500,1)+
SUMIFS('Commodity Prices'!$L$9:$L$2500,'Commodity Prices'!$A$9:$A$2500,'Nickel - Prices'!F25,'Commodity Prices'!$B$9:$B$2500,2))
/(COUNTIFS('Commodity Prices'!$A$9:$A$2500,'Nickel - Prices'!E25,'Commodity Prices'!$B$9:$B$2500,3)+
COUNTIFS('Commodity Prices'!$A$9:$A$2500,'Nickel - Prices'!E25,'Commodity Prices'!$B$9:$B$2500,4)+
COUNTIFS('Commodity Prices'!$A$9:$A$2500,'Nickel - Prices'!F25,'Commodity Prices'!$B$9:$B$2500,1)+
COUNTIFS('Commodity Prices'!$A$9:$A$2500,'Nickel - Prices'!F25,'Commodity Prices'!$B$9:$B$2500,2))</f>
        <v>17066.800172646705</v>
      </c>
      <c r="K25" s="492">
        <f>(SUMIFS('Commodity Prices'!$K$9:$K$2500,'Commodity Prices'!$A$9:$A$2500,'Nickel - Prices'!E25,'Commodity Prices'!$B$9:$B$2500,3)+
SUMIFS('Commodity Prices'!$K$9:$K$2500,'Commodity Prices'!$A$9:$A$2500,'Nickel - Prices'!E25,'Commodity Prices'!$B$9:$B$2500,4)+
SUMIFS('Commodity Prices'!$K$9:$K$2500,'Commodity Prices'!$A$9:$A$2500,'Nickel - Prices'!F25,'Commodity Prices'!$B$9:$B$2500,1)+
SUMIFS('Commodity Prices'!$K$9:$K$2500,'Commodity Prices'!$A$9:$A$2500,'Nickel - Prices'!F25,'Commodity Prices'!$B$9:$B$2500,2))
/(COUNTIFS('Commodity Prices'!$A$9:$A$2500,'Nickel - Prices'!E25,'Commodity Prices'!$B$9:$B$2500,3)+
COUNTIFS('Commodity Prices'!$A$9:$A$2500,'Nickel - Prices'!E25,'Commodity Prices'!$B$9:$B$2500,4)+
COUNTIFS('Commodity Prices'!$A$9:$A$2500,'Nickel - Prices'!F25,'Commodity Prices'!$B$9:$B$2500,1)+
COUNTIFS('Commodity Prices'!$A$9:$A$2500,'Nickel - Prices'!F25,'Commodity Prices'!$B$9:$B$2500,2))</f>
        <v>12263.713333333333</v>
      </c>
    </row>
    <row r="26" spans="1:11">
      <c r="A26" s="1013">
        <f>LARGE('Commodity Prices'!C$159:C$902,42)</f>
        <v>43101</v>
      </c>
      <c r="B26" s="1011">
        <f>SUMIF('Commodity Prices'!C$159:C$902,A26,'Commodity Prices'!K$159:K$902)</f>
        <v>12880.23</v>
      </c>
      <c r="C26" s="1014">
        <f>SUMIF('Commodity Prices'!C$159:C$902,A26,'Commodity Prices'!L$159:L$902)</f>
        <v>16187.29420635918</v>
      </c>
      <c r="D26" s="820"/>
      <c r="E26" s="128">
        <f t="shared" si="1"/>
        <v>2004</v>
      </c>
      <c r="F26" s="128">
        <f t="shared" si="1"/>
        <v>2005</v>
      </c>
      <c r="G26" s="1022" t="str">
        <f t="shared" si="0"/>
        <v>2004-05</v>
      </c>
      <c r="H26" s="724">
        <f t="array" ref="H26">IF($G$6="Historic Calendar Year",IFERROR(AVERAGE(IF($G26=YEAR('Commodity Prices'!$C$100:$C$1000),'Commodity Prices'!$K$100:$K$995)),"NA"),IFERROR(IF(K26=0,"NA",K26),"NA"))</f>
        <v>14959.340833333334</v>
      </c>
      <c r="I26" s="724">
        <f t="array" ref="I26">IF($G$6="Historic Calendar Year",IFERROR(AVERAGE(IF($G26=YEAR('Commodity Prices'!$C$100:$C$1000),'Commodity Prices'!$L$100:$L$1000)),"NA"),IFERROR(IF(J26=0,"NA",J26),"NA"))</f>
        <v>19913.798329830272</v>
      </c>
      <c r="J26" s="386">
        <f>(SUMIFS('Commodity Prices'!$L$9:$L$2500,'Commodity Prices'!$A$9:$A$2500,'Nickel - Prices'!E26,'Commodity Prices'!$B$9:$B$2500,3)+
SUMIFS('Commodity Prices'!$L$9:$L$2500,'Commodity Prices'!$A$9:$A$2500,'Nickel - Prices'!E26,'Commodity Prices'!$B$9:$B$2500,4)+
SUMIFS('Commodity Prices'!$L$9:$L$2500,'Commodity Prices'!$A$9:$A$2500,'Nickel - Prices'!F26,'Commodity Prices'!$B$9:$B$2500,1)+
SUMIFS('Commodity Prices'!$L$9:$L$2500,'Commodity Prices'!$A$9:$A$2500,'Nickel - Prices'!F26,'Commodity Prices'!$B$9:$B$2500,2))
/(COUNTIFS('Commodity Prices'!$A$9:$A$2500,'Nickel - Prices'!E26,'Commodity Prices'!$B$9:$B$2500,3)+
COUNTIFS('Commodity Prices'!$A$9:$A$2500,'Nickel - Prices'!E26,'Commodity Prices'!$B$9:$B$2500,4)+
COUNTIFS('Commodity Prices'!$A$9:$A$2500,'Nickel - Prices'!F26,'Commodity Prices'!$B$9:$B$2500,1)+
COUNTIFS('Commodity Prices'!$A$9:$A$2500,'Nickel - Prices'!F26,'Commodity Prices'!$B$9:$B$2500,2))</f>
        <v>19913.798329830272</v>
      </c>
      <c r="K26" s="492">
        <f>(SUMIFS('Commodity Prices'!$K$9:$K$2500,'Commodity Prices'!$A$9:$A$2500,'Nickel - Prices'!E26,'Commodity Prices'!$B$9:$B$2500,3)+
SUMIFS('Commodity Prices'!$K$9:$K$2500,'Commodity Prices'!$A$9:$A$2500,'Nickel - Prices'!E26,'Commodity Prices'!$B$9:$B$2500,4)+
SUMIFS('Commodity Prices'!$K$9:$K$2500,'Commodity Prices'!$A$9:$A$2500,'Nickel - Prices'!F26,'Commodity Prices'!$B$9:$B$2500,1)+
SUMIFS('Commodity Prices'!$K$9:$K$2500,'Commodity Prices'!$A$9:$A$2500,'Nickel - Prices'!F26,'Commodity Prices'!$B$9:$B$2500,2))
/(COUNTIFS('Commodity Prices'!$A$9:$A$2500,'Nickel - Prices'!E26,'Commodity Prices'!$B$9:$B$2500,3)+
COUNTIFS('Commodity Prices'!$A$9:$A$2500,'Nickel - Prices'!E26,'Commodity Prices'!$B$9:$B$2500,4)+
COUNTIFS('Commodity Prices'!$A$9:$A$2500,'Nickel - Prices'!F26,'Commodity Prices'!$B$9:$B$2500,1)+
COUNTIFS('Commodity Prices'!$A$9:$A$2500,'Nickel - Prices'!F26,'Commodity Prices'!$B$9:$B$2500,2))</f>
        <v>14959.340833333334</v>
      </c>
    </row>
    <row r="27" spans="1:11">
      <c r="A27" s="1015">
        <f>LARGE('Commodity Prices'!C$159:C$902,41)</f>
        <v>43132</v>
      </c>
      <c r="B27" s="724">
        <f>SUMIF('Commodity Prices'!C$159:C$902,A27,'Commodity Prices'!K$159:K$902)</f>
        <v>13576.75</v>
      </c>
      <c r="C27" s="880">
        <f>SUMIF('Commodity Prices'!C$159:C$902,A27,'Commodity Prices'!L$159:L$902)</f>
        <v>17255.655821047279</v>
      </c>
      <c r="D27" s="820"/>
      <c r="E27" s="128">
        <f t="shared" si="1"/>
        <v>2005</v>
      </c>
      <c r="F27" s="128">
        <f t="shared" si="1"/>
        <v>2006</v>
      </c>
      <c r="G27" s="1021" t="str">
        <f t="shared" si="0"/>
        <v>2005-06</v>
      </c>
      <c r="H27" s="1011">
        <f t="array" ref="H27">IF($G$6="Historic Calendar Year",IFERROR(AVERAGE(IF($G27=YEAR('Commodity Prices'!$C$100:$C$1000),'Commodity Prices'!$K$100:$K$995)),"NA"),IFERROR(IF(K27=0,"NA",K27),"NA"))</f>
        <v>15487.896666666667</v>
      </c>
      <c r="I27" s="1011">
        <f t="array" ref="I27">IF($G$6="Historic Calendar Year",IFERROR(AVERAGE(IF($G27=YEAR('Commodity Prices'!$C$100:$C$1000),'Commodity Prices'!$L$100:$L$1000)),"NA"),IFERROR(IF(J27=0,"NA",J27),"NA"))</f>
        <v>20723.067339844882</v>
      </c>
      <c r="J27" s="386">
        <f>(SUMIFS('Commodity Prices'!$L$9:$L$2500,'Commodity Prices'!$A$9:$A$2500,'Nickel - Prices'!E27,'Commodity Prices'!$B$9:$B$2500,3)+
SUMIFS('Commodity Prices'!$L$9:$L$2500,'Commodity Prices'!$A$9:$A$2500,'Nickel - Prices'!E27,'Commodity Prices'!$B$9:$B$2500,4)+
SUMIFS('Commodity Prices'!$L$9:$L$2500,'Commodity Prices'!$A$9:$A$2500,'Nickel - Prices'!F27,'Commodity Prices'!$B$9:$B$2500,1)+
SUMIFS('Commodity Prices'!$L$9:$L$2500,'Commodity Prices'!$A$9:$A$2500,'Nickel - Prices'!F27,'Commodity Prices'!$B$9:$B$2500,2))
/(COUNTIFS('Commodity Prices'!$A$9:$A$2500,'Nickel - Prices'!E27,'Commodity Prices'!$B$9:$B$2500,3)+
COUNTIFS('Commodity Prices'!$A$9:$A$2500,'Nickel - Prices'!E27,'Commodity Prices'!$B$9:$B$2500,4)+
COUNTIFS('Commodity Prices'!$A$9:$A$2500,'Nickel - Prices'!F27,'Commodity Prices'!$B$9:$B$2500,1)+
COUNTIFS('Commodity Prices'!$A$9:$A$2500,'Nickel - Prices'!F27,'Commodity Prices'!$B$9:$B$2500,2))</f>
        <v>20723.067339844882</v>
      </c>
      <c r="K27" s="492">
        <f>(SUMIFS('Commodity Prices'!$K$9:$K$2500,'Commodity Prices'!$A$9:$A$2500,'Nickel - Prices'!E27,'Commodity Prices'!$B$9:$B$2500,3)+
SUMIFS('Commodity Prices'!$K$9:$K$2500,'Commodity Prices'!$A$9:$A$2500,'Nickel - Prices'!E27,'Commodity Prices'!$B$9:$B$2500,4)+
SUMIFS('Commodity Prices'!$K$9:$K$2500,'Commodity Prices'!$A$9:$A$2500,'Nickel - Prices'!F27,'Commodity Prices'!$B$9:$B$2500,1)+
SUMIFS('Commodity Prices'!$K$9:$K$2500,'Commodity Prices'!$A$9:$A$2500,'Nickel - Prices'!F27,'Commodity Prices'!$B$9:$B$2500,2))
/(COUNTIFS('Commodity Prices'!$A$9:$A$2500,'Nickel - Prices'!E27,'Commodity Prices'!$B$9:$B$2500,3)+
COUNTIFS('Commodity Prices'!$A$9:$A$2500,'Nickel - Prices'!E27,'Commodity Prices'!$B$9:$B$2500,4)+
COUNTIFS('Commodity Prices'!$A$9:$A$2500,'Nickel - Prices'!F27,'Commodity Prices'!$B$9:$B$2500,1)+
COUNTIFS('Commodity Prices'!$A$9:$A$2500,'Nickel - Prices'!F27,'Commodity Prices'!$B$9:$B$2500,2))</f>
        <v>15487.896666666667</v>
      </c>
    </row>
    <row r="28" spans="1:11">
      <c r="A28" s="1013">
        <f>LARGE('Commodity Prices'!C$159:C$902,40)</f>
        <v>43160</v>
      </c>
      <c r="B28" s="1011">
        <f>SUMIF('Commodity Prices'!C$159:C$902,A28,'Commodity Prices'!K$159:K$902)</f>
        <v>13403.57</v>
      </c>
      <c r="C28" s="1014">
        <f>SUMIF('Commodity Prices'!C$159:C$902,A28,'Commodity Prices'!L$159:L$902)</f>
        <v>17274.867895347339</v>
      </c>
      <c r="D28" s="820"/>
      <c r="E28" s="128">
        <f t="shared" si="1"/>
        <v>2006</v>
      </c>
      <c r="F28" s="128">
        <f t="shared" si="1"/>
        <v>2007</v>
      </c>
      <c r="G28" s="1022" t="str">
        <f t="shared" si="0"/>
        <v>2006-07</v>
      </c>
      <c r="H28" s="724">
        <f t="array" ref="H28">IF($G$6="Historic Calendar Year",IFERROR(AVERAGE(IF($G28=YEAR('Commodity Prices'!$C$100:$C$1000),'Commodity Prices'!$K$100:$K$995)),"NA"),IFERROR(IF(K28=0,"NA",K28),"NA"))</f>
        <v>38050.126666666671</v>
      </c>
      <c r="I28" s="724">
        <f t="array" ref="I28">IF($G$6="Historic Calendar Year",IFERROR(AVERAGE(IF($G28=YEAR('Commodity Prices'!$C$100:$C$1000),'Commodity Prices'!$L$100:$L$1000)),"NA"),IFERROR(IF(J28=0,"NA",J28),"NA"))</f>
        <v>48149.828724798164</v>
      </c>
      <c r="J28" s="386">
        <f>(SUMIFS('Commodity Prices'!$L$9:$L$2500,'Commodity Prices'!$A$9:$A$2500,'Nickel - Prices'!E28,'Commodity Prices'!$B$9:$B$2500,3)+
SUMIFS('Commodity Prices'!$L$9:$L$2500,'Commodity Prices'!$A$9:$A$2500,'Nickel - Prices'!E28,'Commodity Prices'!$B$9:$B$2500,4)+
SUMIFS('Commodity Prices'!$L$9:$L$2500,'Commodity Prices'!$A$9:$A$2500,'Nickel - Prices'!F28,'Commodity Prices'!$B$9:$B$2500,1)+
SUMIFS('Commodity Prices'!$L$9:$L$2500,'Commodity Prices'!$A$9:$A$2500,'Nickel - Prices'!F28,'Commodity Prices'!$B$9:$B$2500,2))
/(COUNTIFS('Commodity Prices'!$A$9:$A$2500,'Nickel - Prices'!E28,'Commodity Prices'!$B$9:$B$2500,3)+
COUNTIFS('Commodity Prices'!$A$9:$A$2500,'Nickel - Prices'!E28,'Commodity Prices'!$B$9:$B$2500,4)+
COUNTIFS('Commodity Prices'!$A$9:$A$2500,'Nickel - Prices'!F28,'Commodity Prices'!$B$9:$B$2500,1)+
COUNTIFS('Commodity Prices'!$A$9:$A$2500,'Nickel - Prices'!F28,'Commodity Prices'!$B$9:$B$2500,2))</f>
        <v>48149.828724798164</v>
      </c>
      <c r="K28" s="492">
        <f>(SUMIFS('Commodity Prices'!$K$9:$K$2500,'Commodity Prices'!$A$9:$A$2500,'Nickel - Prices'!E28,'Commodity Prices'!$B$9:$B$2500,3)+
SUMIFS('Commodity Prices'!$K$9:$K$2500,'Commodity Prices'!$A$9:$A$2500,'Nickel - Prices'!E28,'Commodity Prices'!$B$9:$B$2500,4)+
SUMIFS('Commodity Prices'!$K$9:$K$2500,'Commodity Prices'!$A$9:$A$2500,'Nickel - Prices'!F28,'Commodity Prices'!$B$9:$B$2500,1)+
SUMIFS('Commodity Prices'!$K$9:$K$2500,'Commodity Prices'!$A$9:$A$2500,'Nickel - Prices'!F28,'Commodity Prices'!$B$9:$B$2500,2))
/(COUNTIFS('Commodity Prices'!$A$9:$A$2500,'Nickel - Prices'!E28,'Commodity Prices'!$B$9:$B$2500,3)+
COUNTIFS('Commodity Prices'!$A$9:$A$2500,'Nickel - Prices'!E28,'Commodity Prices'!$B$9:$B$2500,4)+
COUNTIFS('Commodity Prices'!$A$9:$A$2500,'Nickel - Prices'!F28,'Commodity Prices'!$B$9:$B$2500,1)+
COUNTIFS('Commodity Prices'!$A$9:$A$2500,'Nickel - Prices'!F28,'Commodity Prices'!$B$9:$B$2500,2))</f>
        <v>38050.126666666671</v>
      </c>
    </row>
    <row r="29" spans="1:11">
      <c r="A29" s="1015">
        <f>LARGE('Commodity Prices'!C$159:C$902,39)</f>
        <v>43191</v>
      </c>
      <c r="B29" s="724">
        <f>SUMIF('Commodity Prices'!C$159:C$902,A29,'Commodity Prices'!K$159:K$902)</f>
        <v>13934.5</v>
      </c>
      <c r="C29" s="880">
        <f>SUMIF('Commodity Prices'!C$159:C$902,A29,'Commodity Prices'!L$159:L$902)</f>
        <v>18136.795522582324</v>
      </c>
      <c r="D29" s="820"/>
      <c r="E29" s="128">
        <f t="shared" si="1"/>
        <v>2007</v>
      </c>
      <c r="F29" s="128">
        <f t="shared" si="1"/>
        <v>2008</v>
      </c>
      <c r="G29" s="1021" t="str">
        <f t="shared" si="0"/>
        <v>2007-08</v>
      </c>
      <c r="H29" s="1011">
        <f t="array" ref="H29">IF($G$6="Historic Calendar Year",IFERROR(AVERAGE(IF($G29=YEAR('Commodity Prices'!$C$100:$C$1000),'Commodity Prices'!$K$100:$K$995)),"NA"),IFERROR(IF(K29=0,"NA",K29),"NA"))</f>
        <v>28518.380833333329</v>
      </c>
      <c r="I29" s="1011">
        <f t="array" ref="I29">IF($G$6="Historic Calendar Year",IFERROR(AVERAGE(IF($G29=YEAR('Commodity Prices'!$C$100:$C$1000),'Commodity Prices'!$L$100:$L$1000)),"NA"),IFERROR(IF(J29=0,"NA",J29),"NA"))</f>
        <v>31907.79114399348</v>
      </c>
      <c r="J29" s="386">
        <f>(SUMIFS('Commodity Prices'!$L$9:$L$2500,'Commodity Prices'!$A$9:$A$2500,'Nickel - Prices'!E29,'Commodity Prices'!$B$9:$B$2500,3)+
SUMIFS('Commodity Prices'!$L$9:$L$2500,'Commodity Prices'!$A$9:$A$2500,'Nickel - Prices'!E29,'Commodity Prices'!$B$9:$B$2500,4)+
SUMIFS('Commodity Prices'!$L$9:$L$2500,'Commodity Prices'!$A$9:$A$2500,'Nickel - Prices'!F29,'Commodity Prices'!$B$9:$B$2500,1)+
SUMIFS('Commodity Prices'!$L$9:$L$2500,'Commodity Prices'!$A$9:$A$2500,'Nickel - Prices'!F29,'Commodity Prices'!$B$9:$B$2500,2))
/(COUNTIFS('Commodity Prices'!$A$9:$A$2500,'Nickel - Prices'!E29,'Commodity Prices'!$B$9:$B$2500,3)+
COUNTIFS('Commodity Prices'!$A$9:$A$2500,'Nickel - Prices'!E29,'Commodity Prices'!$B$9:$B$2500,4)+
COUNTIFS('Commodity Prices'!$A$9:$A$2500,'Nickel - Prices'!F29,'Commodity Prices'!$B$9:$B$2500,1)+
COUNTIFS('Commodity Prices'!$A$9:$A$2500,'Nickel - Prices'!F29,'Commodity Prices'!$B$9:$B$2500,2))</f>
        <v>31907.79114399348</v>
      </c>
      <c r="K29" s="492">
        <f>(SUMIFS('Commodity Prices'!$K$9:$K$2500,'Commodity Prices'!$A$9:$A$2500,'Nickel - Prices'!E29,'Commodity Prices'!$B$9:$B$2500,3)+
SUMIFS('Commodity Prices'!$K$9:$K$2500,'Commodity Prices'!$A$9:$A$2500,'Nickel - Prices'!E29,'Commodity Prices'!$B$9:$B$2500,4)+
SUMIFS('Commodity Prices'!$K$9:$K$2500,'Commodity Prices'!$A$9:$A$2500,'Nickel - Prices'!F29,'Commodity Prices'!$B$9:$B$2500,1)+
SUMIFS('Commodity Prices'!$K$9:$K$2500,'Commodity Prices'!$A$9:$A$2500,'Nickel - Prices'!F29,'Commodity Prices'!$B$9:$B$2500,2))
/(COUNTIFS('Commodity Prices'!$A$9:$A$2500,'Nickel - Prices'!E29,'Commodity Prices'!$B$9:$B$2500,3)+
COUNTIFS('Commodity Prices'!$A$9:$A$2500,'Nickel - Prices'!E29,'Commodity Prices'!$B$9:$B$2500,4)+
COUNTIFS('Commodity Prices'!$A$9:$A$2500,'Nickel - Prices'!F29,'Commodity Prices'!$B$9:$B$2500,1)+
COUNTIFS('Commodity Prices'!$A$9:$A$2500,'Nickel - Prices'!F29,'Commodity Prices'!$B$9:$B$2500,2))</f>
        <v>28518.380833333329</v>
      </c>
    </row>
    <row r="30" spans="1:11">
      <c r="A30" s="1013">
        <f>LARGE('Commodity Prices'!C$159:C$902,38)</f>
        <v>43221</v>
      </c>
      <c r="B30" s="1011">
        <f>SUMIF('Commodity Prices'!C$159:C$902,A30,'Commodity Prices'!K$159:K$902)</f>
        <v>14356.428571428571</v>
      </c>
      <c r="C30" s="1014">
        <f>SUMIF('Commodity Prices'!C$159:C$902,A30,'Commodity Prices'!L$159:L$902)</f>
        <v>19070.707454076208</v>
      </c>
      <c r="D30" s="820"/>
      <c r="E30" s="128">
        <f t="shared" si="1"/>
        <v>2008</v>
      </c>
      <c r="F30" s="128">
        <f t="shared" si="1"/>
        <v>2009</v>
      </c>
      <c r="G30" s="1022" t="str">
        <f t="shared" si="0"/>
        <v>2008-09</v>
      </c>
      <c r="H30" s="724">
        <f t="array" ref="H30">IF($G$6="Historic Calendar Year",IFERROR(AVERAGE(IF($G30=YEAR('Commodity Prices'!$C$100:$C$1000),'Commodity Prices'!$K$100:$K$995)),"NA"),IFERROR(IF(K30=0,"NA",K30),"NA"))</f>
        <v>13366.498333333335</v>
      </c>
      <c r="I30" s="724">
        <f t="array" ref="I30">IF($G$6="Historic Calendar Year",IFERROR(AVERAGE(IF($G30=YEAR('Commodity Prices'!$C$100:$C$1000),'Commodity Prices'!$L$100:$L$1000)),"NA"),IFERROR(IF(J30=0,"NA",J30),"NA"))</f>
        <v>17626.086587819034</v>
      </c>
      <c r="J30" s="386">
        <f>(SUMIFS('Commodity Prices'!$L$9:$L$2500,'Commodity Prices'!$A$9:$A$2500,'Nickel - Prices'!E30,'Commodity Prices'!$B$9:$B$2500,3)+
SUMIFS('Commodity Prices'!$L$9:$L$2500,'Commodity Prices'!$A$9:$A$2500,'Nickel - Prices'!E30,'Commodity Prices'!$B$9:$B$2500,4)+
SUMIFS('Commodity Prices'!$L$9:$L$2500,'Commodity Prices'!$A$9:$A$2500,'Nickel - Prices'!F30,'Commodity Prices'!$B$9:$B$2500,1)+
SUMIFS('Commodity Prices'!$L$9:$L$2500,'Commodity Prices'!$A$9:$A$2500,'Nickel - Prices'!F30,'Commodity Prices'!$B$9:$B$2500,2))
/(COUNTIFS('Commodity Prices'!$A$9:$A$2500,'Nickel - Prices'!E30,'Commodity Prices'!$B$9:$B$2500,3)+
COUNTIFS('Commodity Prices'!$A$9:$A$2500,'Nickel - Prices'!E30,'Commodity Prices'!$B$9:$B$2500,4)+
COUNTIFS('Commodity Prices'!$A$9:$A$2500,'Nickel - Prices'!F30,'Commodity Prices'!$B$9:$B$2500,1)+
COUNTIFS('Commodity Prices'!$A$9:$A$2500,'Nickel - Prices'!F30,'Commodity Prices'!$B$9:$B$2500,2))</f>
        <v>17626.086587819034</v>
      </c>
      <c r="K30" s="492">
        <f>(SUMIFS('Commodity Prices'!$K$9:$K$2500,'Commodity Prices'!$A$9:$A$2500,'Nickel - Prices'!E30,'Commodity Prices'!$B$9:$B$2500,3)+
SUMIFS('Commodity Prices'!$K$9:$K$2500,'Commodity Prices'!$A$9:$A$2500,'Nickel - Prices'!E30,'Commodity Prices'!$B$9:$B$2500,4)+
SUMIFS('Commodity Prices'!$K$9:$K$2500,'Commodity Prices'!$A$9:$A$2500,'Nickel - Prices'!F30,'Commodity Prices'!$B$9:$B$2500,1)+
SUMIFS('Commodity Prices'!$K$9:$K$2500,'Commodity Prices'!$A$9:$A$2500,'Nickel - Prices'!F30,'Commodity Prices'!$B$9:$B$2500,2))
/(COUNTIFS('Commodity Prices'!$A$9:$A$2500,'Nickel - Prices'!E30,'Commodity Prices'!$B$9:$B$2500,3)+
COUNTIFS('Commodity Prices'!$A$9:$A$2500,'Nickel - Prices'!E30,'Commodity Prices'!$B$9:$B$2500,4)+
COUNTIFS('Commodity Prices'!$A$9:$A$2500,'Nickel - Prices'!F30,'Commodity Prices'!$B$9:$B$2500,1)+
COUNTIFS('Commodity Prices'!$A$9:$A$2500,'Nickel - Prices'!F30,'Commodity Prices'!$B$9:$B$2500,2))</f>
        <v>13366.498333333335</v>
      </c>
    </row>
    <row r="31" spans="1:11">
      <c r="A31" s="1015">
        <f>LARGE('Commodity Prices'!C$159:C$902,37)</f>
        <v>43252</v>
      </c>
      <c r="B31" s="724">
        <f>SUMIF('Commodity Prices'!C$159:C$902,A31,'Commodity Prices'!K$159:K$902)</f>
        <v>15110.952380952382</v>
      </c>
      <c r="C31" s="880">
        <f>SUMIF('Commodity Prices'!C$159:C$902,A31,'Commodity Prices'!L$159:L$902)</f>
        <v>20172.143079632067</v>
      </c>
      <c r="D31" s="820"/>
      <c r="E31" s="128">
        <f t="shared" si="1"/>
        <v>2009</v>
      </c>
      <c r="F31" s="128">
        <f t="shared" si="1"/>
        <v>2010</v>
      </c>
      <c r="G31" s="1021" t="str">
        <f t="shared" si="0"/>
        <v>2009-10</v>
      </c>
      <c r="H31" s="1011">
        <f t="array" ref="H31">IF($G$6="Historic Calendar Year",IFERROR(AVERAGE(IF($G31=YEAR('Commodity Prices'!$C$100:$C$1000),'Commodity Prices'!$K$100:$K$995)),"NA"),IFERROR(IF(K31=0,"NA",K31),"NA"))</f>
        <v>19414.585000000003</v>
      </c>
      <c r="I31" s="1011">
        <f t="array" ref="I31">IF($G$6="Historic Calendar Year",IFERROR(AVERAGE(IF($G31=YEAR('Commodity Prices'!$C$100:$C$1000),'Commodity Prices'!$L$100:$L$1000)),"NA"),IFERROR(IF(J31=0,"NA",J31),"NA"))</f>
        <v>21984.030810607346</v>
      </c>
      <c r="J31" s="386">
        <f>(SUMIFS('Commodity Prices'!$L$9:$L$2500,'Commodity Prices'!$A$9:$A$2500,'Nickel - Prices'!E31,'Commodity Prices'!$B$9:$B$2500,3)+
SUMIFS('Commodity Prices'!$L$9:$L$2500,'Commodity Prices'!$A$9:$A$2500,'Nickel - Prices'!E31,'Commodity Prices'!$B$9:$B$2500,4)+
SUMIFS('Commodity Prices'!$L$9:$L$2500,'Commodity Prices'!$A$9:$A$2500,'Nickel - Prices'!F31,'Commodity Prices'!$B$9:$B$2500,1)+
SUMIFS('Commodity Prices'!$L$9:$L$2500,'Commodity Prices'!$A$9:$A$2500,'Nickel - Prices'!F31,'Commodity Prices'!$B$9:$B$2500,2))
/(COUNTIFS('Commodity Prices'!$A$9:$A$2500,'Nickel - Prices'!E31,'Commodity Prices'!$B$9:$B$2500,3)+
COUNTIFS('Commodity Prices'!$A$9:$A$2500,'Nickel - Prices'!E31,'Commodity Prices'!$B$9:$B$2500,4)+
COUNTIFS('Commodity Prices'!$A$9:$A$2500,'Nickel - Prices'!F31,'Commodity Prices'!$B$9:$B$2500,1)+
COUNTIFS('Commodity Prices'!$A$9:$A$2500,'Nickel - Prices'!F31,'Commodity Prices'!$B$9:$B$2500,2))</f>
        <v>21984.030810607346</v>
      </c>
      <c r="K31" s="492">
        <f>(SUMIFS('Commodity Prices'!$K$9:$K$2500,'Commodity Prices'!$A$9:$A$2500,'Nickel - Prices'!E31,'Commodity Prices'!$B$9:$B$2500,3)+
SUMIFS('Commodity Prices'!$K$9:$K$2500,'Commodity Prices'!$A$9:$A$2500,'Nickel - Prices'!E31,'Commodity Prices'!$B$9:$B$2500,4)+
SUMIFS('Commodity Prices'!$K$9:$K$2500,'Commodity Prices'!$A$9:$A$2500,'Nickel - Prices'!F31,'Commodity Prices'!$B$9:$B$2500,1)+
SUMIFS('Commodity Prices'!$K$9:$K$2500,'Commodity Prices'!$A$9:$A$2500,'Nickel - Prices'!F31,'Commodity Prices'!$B$9:$B$2500,2))
/(COUNTIFS('Commodity Prices'!$A$9:$A$2500,'Nickel - Prices'!E31,'Commodity Prices'!$B$9:$B$2500,3)+
COUNTIFS('Commodity Prices'!$A$9:$A$2500,'Nickel - Prices'!E31,'Commodity Prices'!$B$9:$B$2500,4)+
COUNTIFS('Commodity Prices'!$A$9:$A$2500,'Nickel - Prices'!F31,'Commodity Prices'!$B$9:$B$2500,1)+
COUNTIFS('Commodity Prices'!$A$9:$A$2500,'Nickel - Prices'!F31,'Commodity Prices'!$B$9:$B$2500,2))</f>
        <v>19414.585000000003</v>
      </c>
    </row>
    <row r="32" spans="1:11">
      <c r="A32" s="1013">
        <f>LARGE('Commodity Prices'!C$159:C$902,36)</f>
        <v>43282</v>
      </c>
      <c r="B32" s="1011">
        <f>SUMIF('Commodity Prices'!C$159:C$902,A32,'Commodity Prices'!K$159:K$902)</f>
        <v>13772.045454545454</v>
      </c>
      <c r="C32" s="1014">
        <f>SUMIF('Commodity Prices'!C$159:C$902,A32,'Commodity Prices'!L$159:L$902)</f>
        <v>18598.305813025596</v>
      </c>
      <c r="D32" s="820"/>
      <c r="E32" s="128">
        <f t="shared" si="1"/>
        <v>2010</v>
      </c>
      <c r="F32" s="128">
        <f t="shared" si="1"/>
        <v>2011</v>
      </c>
      <c r="G32" s="1022" t="str">
        <f t="shared" si="0"/>
        <v>2010-11</v>
      </c>
      <c r="H32" s="724">
        <f t="array" ref="H32">IF($G$6="Historic Calendar Year",IFERROR(AVERAGE(IF($G32=YEAR('Commodity Prices'!$C$100:$C$1000),'Commodity Prices'!$K$100:$K$995)),"NA"),IFERROR(IF(K32=0,"NA",K32),"NA"))</f>
        <v>24000.445833333331</v>
      </c>
      <c r="I32" s="724">
        <f t="array" ref="I32">IF($G$6="Historic Calendar Year",IFERROR(AVERAGE(IF($G32=YEAR('Commodity Prices'!$C$100:$C$1000),'Commodity Prices'!$L$100:$L$1000)),"NA"),IFERROR(IF(J32=0,"NA",J32),"NA"))</f>
        <v>24270.953935883615</v>
      </c>
      <c r="J32" s="386">
        <f>(SUMIFS('Commodity Prices'!$L$9:$L$2500,'Commodity Prices'!$A$9:$A$2500,'Nickel - Prices'!E32,'Commodity Prices'!$B$9:$B$2500,3)+
SUMIFS('Commodity Prices'!$L$9:$L$2500,'Commodity Prices'!$A$9:$A$2500,'Nickel - Prices'!E32,'Commodity Prices'!$B$9:$B$2500,4)+
SUMIFS('Commodity Prices'!$L$9:$L$2500,'Commodity Prices'!$A$9:$A$2500,'Nickel - Prices'!F32,'Commodity Prices'!$B$9:$B$2500,1)+
SUMIFS('Commodity Prices'!$L$9:$L$2500,'Commodity Prices'!$A$9:$A$2500,'Nickel - Prices'!F32,'Commodity Prices'!$B$9:$B$2500,2))
/(COUNTIFS('Commodity Prices'!$A$9:$A$2500,'Nickel - Prices'!E32,'Commodity Prices'!$B$9:$B$2500,3)+
COUNTIFS('Commodity Prices'!$A$9:$A$2500,'Nickel - Prices'!E32,'Commodity Prices'!$B$9:$B$2500,4)+
COUNTIFS('Commodity Prices'!$A$9:$A$2500,'Nickel - Prices'!F32,'Commodity Prices'!$B$9:$B$2500,1)+
COUNTIFS('Commodity Prices'!$A$9:$A$2500,'Nickel - Prices'!F32,'Commodity Prices'!$B$9:$B$2500,2))</f>
        <v>24270.953935883615</v>
      </c>
      <c r="K32" s="492">
        <f>(SUMIFS('Commodity Prices'!$K$9:$K$2500,'Commodity Prices'!$A$9:$A$2500,'Nickel - Prices'!E32,'Commodity Prices'!$B$9:$B$2500,3)+
SUMIFS('Commodity Prices'!$K$9:$K$2500,'Commodity Prices'!$A$9:$A$2500,'Nickel - Prices'!E32,'Commodity Prices'!$B$9:$B$2500,4)+
SUMIFS('Commodity Prices'!$K$9:$K$2500,'Commodity Prices'!$A$9:$A$2500,'Nickel - Prices'!F32,'Commodity Prices'!$B$9:$B$2500,1)+
SUMIFS('Commodity Prices'!$K$9:$K$2500,'Commodity Prices'!$A$9:$A$2500,'Nickel - Prices'!F32,'Commodity Prices'!$B$9:$B$2500,2))
/(COUNTIFS('Commodity Prices'!$A$9:$A$2500,'Nickel - Prices'!E32,'Commodity Prices'!$B$9:$B$2500,3)+
COUNTIFS('Commodity Prices'!$A$9:$A$2500,'Nickel - Prices'!E32,'Commodity Prices'!$B$9:$B$2500,4)+
COUNTIFS('Commodity Prices'!$A$9:$A$2500,'Nickel - Prices'!F32,'Commodity Prices'!$B$9:$B$2500,1)+
COUNTIFS('Commodity Prices'!$A$9:$A$2500,'Nickel - Prices'!F32,'Commodity Prices'!$B$9:$B$2500,2))</f>
        <v>24000.445833333331</v>
      </c>
    </row>
    <row r="33" spans="1:11">
      <c r="A33" s="1015">
        <f>LARGE('Commodity Prices'!C$159:C$902,35)</f>
        <v>43313</v>
      </c>
      <c r="B33" s="724">
        <f>SUMIF('Commodity Prices'!C$159:C$902,A33,'Commodity Prices'!K$159:K$902)</f>
        <v>13432.954545454546</v>
      </c>
      <c r="C33" s="880">
        <f>SUMIF('Commodity Prices'!C$159:C$902,A33,'Commodity Prices'!L$159:L$902)</f>
        <v>18336.001290546745</v>
      </c>
      <c r="D33" s="820"/>
      <c r="E33" s="128">
        <f t="shared" si="1"/>
        <v>2011</v>
      </c>
      <c r="F33" s="128">
        <f t="shared" si="1"/>
        <v>2012</v>
      </c>
      <c r="G33" s="1021" t="str">
        <f t="shared" si="0"/>
        <v>2011-12</v>
      </c>
      <c r="H33" s="1011">
        <f t="array" ref="H33">IF($G$6="Historic Calendar Year",IFERROR(AVERAGE(IF($G33=YEAR('Commodity Prices'!$C$100:$C$1000),'Commodity Prices'!$K$100:$K$995)),"NA"),IFERROR(IF(K33=0,"NA",K33),"NA"))</f>
        <v>19297.845833333333</v>
      </c>
      <c r="I33" s="1011">
        <f t="array" ref="I33">IF($G$6="Historic Calendar Year",IFERROR(AVERAGE(IF($G33=YEAR('Commodity Prices'!$C$100:$C$1000),'Commodity Prices'!$L$100:$L$1000)),"NA"),IFERROR(IF(J33=0,"NA",J33),"NA"))</f>
        <v>18666.716205859433</v>
      </c>
      <c r="J33" s="386">
        <f>(SUMIFS('Commodity Prices'!$L$9:$L$2500,'Commodity Prices'!$A$9:$A$2500,'Nickel - Prices'!E33,'Commodity Prices'!$B$9:$B$2500,3)+
SUMIFS('Commodity Prices'!$L$9:$L$2500,'Commodity Prices'!$A$9:$A$2500,'Nickel - Prices'!E33,'Commodity Prices'!$B$9:$B$2500,4)+
SUMIFS('Commodity Prices'!$L$9:$L$2500,'Commodity Prices'!$A$9:$A$2500,'Nickel - Prices'!F33,'Commodity Prices'!$B$9:$B$2500,1)+
SUMIFS('Commodity Prices'!$L$9:$L$2500,'Commodity Prices'!$A$9:$A$2500,'Nickel - Prices'!F33,'Commodity Prices'!$B$9:$B$2500,2))
/(COUNTIFS('Commodity Prices'!$A$9:$A$2500,'Nickel - Prices'!E33,'Commodity Prices'!$B$9:$B$2500,3)+
COUNTIFS('Commodity Prices'!$A$9:$A$2500,'Nickel - Prices'!E33,'Commodity Prices'!$B$9:$B$2500,4)+
COUNTIFS('Commodity Prices'!$A$9:$A$2500,'Nickel - Prices'!F33,'Commodity Prices'!$B$9:$B$2500,1)+
COUNTIFS('Commodity Prices'!$A$9:$A$2500,'Nickel - Prices'!F33,'Commodity Prices'!$B$9:$B$2500,2))</f>
        <v>18666.716205859433</v>
      </c>
      <c r="K33" s="492">
        <f>(SUMIFS('Commodity Prices'!$K$9:$K$2500,'Commodity Prices'!$A$9:$A$2500,'Nickel - Prices'!E33,'Commodity Prices'!$B$9:$B$2500,3)+
SUMIFS('Commodity Prices'!$K$9:$K$2500,'Commodity Prices'!$A$9:$A$2500,'Nickel - Prices'!E33,'Commodity Prices'!$B$9:$B$2500,4)+
SUMIFS('Commodity Prices'!$K$9:$K$2500,'Commodity Prices'!$A$9:$A$2500,'Nickel - Prices'!F33,'Commodity Prices'!$B$9:$B$2500,1)+
SUMIFS('Commodity Prices'!$K$9:$K$2500,'Commodity Prices'!$A$9:$A$2500,'Nickel - Prices'!F33,'Commodity Prices'!$B$9:$B$2500,2))
/(COUNTIFS('Commodity Prices'!$A$9:$A$2500,'Nickel - Prices'!E33,'Commodity Prices'!$B$9:$B$2500,3)+
COUNTIFS('Commodity Prices'!$A$9:$A$2500,'Nickel - Prices'!E33,'Commodity Prices'!$B$9:$B$2500,4)+
COUNTIFS('Commodity Prices'!$A$9:$A$2500,'Nickel - Prices'!F33,'Commodity Prices'!$B$9:$B$2500,1)+
COUNTIFS('Commodity Prices'!$A$9:$A$2500,'Nickel - Prices'!F33,'Commodity Prices'!$B$9:$B$2500,2))</f>
        <v>19297.845833333333</v>
      </c>
    </row>
    <row r="34" spans="1:11">
      <c r="A34" s="1013">
        <f>LARGE('Commodity Prices'!C$159:C$902,34)</f>
        <v>43344</v>
      </c>
      <c r="B34" s="1011">
        <f>SUMIF('Commodity Prices'!C$159:C$902,A34,'Commodity Prices'!K$159:K$902)</f>
        <v>12527.25</v>
      </c>
      <c r="C34" s="1014">
        <f>SUMIF('Commodity Prices'!C$159:C$902,A34,'Commodity Prices'!L$159:L$902)</f>
        <v>17389.297612437535</v>
      </c>
      <c r="D34" s="820"/>
      <c r="E34" s="128">
        <f t="shared" si="1"/>
        <v>2012</v>
      </c>
      <c r="F34" s="128">
        <f t="shared" si="1"/>
        <v>2013</v>
      </c>
      <c r="G34" s="1022" t="str">
        <f t="shared" si="0"/>
        <v>2012-13</v>
      </c>
      <c r="H34" s="724">
        <f t="array" ref="H34">IF($G$6="Historic Calendar Year",IFERROR(AVERAGE(IF($G34=YEAR('Commodity Prices'!$C$100:$C$1000),'Commodity Prices'!$K$100:$K$995)),"NA"),IFERROR(IF(K34=0,"NA",K34),"NA"))</f>
        <v>16397.045833333334</v>
      </c>
      <c r="I34" s="724">
        <f t="array" ref="I34">IF($G$6="Historic Calendar Year",IFERROR(AVERAGE(IF($G34=YEAR('Commodity Prices'!$C$100:$C$1000),'Commodity Prices'!$L$100:$L$1000)),"NA"),IFERROR(IF(J34=0,"NA",J34),"NA"))</f>
        <v>15973.97176112026</v>
      </c>
      <c r="J34" s="386">
        <f>(SUMIFS('Commodity Prices'!$L$9:$L$2500,'Commodity Prices'!$A$9:$A$2500,'Nickel - Prices'!E34,'Commodity Prices'!$B$9:$B$2500,3)+
SUMIFS('Commodity Prices'!$L$9:$L$2500,'Commodity Prices'!$A$9:$A$2500,'Nickel - Prices'!E34,'Commodity Prices'!$B$9:$B$2500,4)+
SUMIFS('Commodity Prices'!$L$9:$L$2500,'Commodity Prices'!$A$9:$A$2500,'Nickel - Prices'!F34,'Commodity Prices'!$B$9:$B$2500,1)+
SUMIFS('Commodity Prices'!$L$9:$L$2500,'Commodity Prices'!$A$9:$A$2500,'Nickel - Prices'!F34,'Commodity Prices'!$B$9:$B$2500,2))
/(COUNTIFS('Commodity Prices'!$A$9:$A$2500,'Nickel - Prices'!E34,'Commodity Prices'!$B$9:$B$2500,3)+
COUNTIFS('Commodity Prices'!$A$9:$A$2500,'Nickel - Prices'!E34,'Commodity Prices'!$B$9:$B$2500,4)+
COUNTIFS('Commodity Prices'!$A$9:$A$2500,'Nickel - Prices'!F34,'Commodity Prices'!$B$9:$B$2500,1)+
COUNTIFS('Commodity Prices'!$A$9:$A$2500,'Nickel - Prices'!F34,'Commodity Prices'!$B$9:$B$2500,2))</f>
        <v>15973.97176112026</v>
      </c>
      <c r="K34" s="492">
        <f>(SUMIFS('Commodity Prices'!$K$9:$K$2500,'Commodity Prices'!$A$9:$A$2500,'Nickel - Prices'!E34,'Commodity Prices'!$B$9:$B$2500,3)+
SUMIFS('Commodity Prices'!$K$9:$K$2500,'Commodity Prices'!$A$9:$A$2500,'Nickel - Prices'!E34,'Commodity Prices'!$B$9:$B$2500,4)+
SUMIFS('Commodity Prices'!$K$9:$K$2500,'Commodity Prices'!$A$9:$A$2500,'Nickel - Prices'!F34,'Commodity Prices'!$B$9:$B$2500,1)+
SUMIFS('Commodity Prices'!$K$9:$K$2500,'Commodity Prices'!$A$9:$A$2500,'Nickel - Prices'!F34,'Commodity Prices'!$B$9:$B$2500,2))
/(COUNTIFS('Commodity Prices'!$A$9:$A$2500,'Nickel - Prices'!E34,'Commodity Prices'!$B$9:$B$2500,3)+
COUNTIFS('Commodity Prices'!$A$9:$A$2500,'Nickel - Prices'!E34,'Commodity Prices'!$B$9:$B$2500,4)+
COUNTIFS('Commodity Prices'!$A$9:$A$2500,'Nickel - Prices'!F34,'Commodity Prices'!$B$9:$B$2500,1)+
COUNTIFS('Commodity Prices'!$A$9:$A$2500,'Nickel - Prices'!F34,'Commodity Prices'!$B$9:$B$2500,2))</f>
        <v>16397.045833333334</v>
      </c>
    </row>
    <row r="35" spans="1:11">
      <c r="A35" s="1015">
        <f>LARGE('Commodity Prices'!C$159:C$902,33)</f>
        <v>43374</v>
      </c>
      <c r="B35" s="724">
        <f>SUMIF('Commodity Prices'!C$159:C$902,A35,'Commodity Prices'!K$159:K$902)</f>
        <v>12327.17</v>
      </c>
      <c r="C35" s="880">
        <f>SUMIF('Commodity Prices'!C$159:C$902,A35,'Commodity Prices'!L$159:L$902)</f>
        <v>17357.321881160235</v>
      </c>
      <c r="D35" s="820"/>
      <c r="E35" s="128">
        <f t="shared" si="1"/>
        <v>2013</v>
      </c>
      <c r="F35" s="128">
        <f t="shared" si="1"/>
        <v>2014</v>
      </c>
      <c r="G35" s="1021" t="str">
        <f t="shared" si="0"/>
        <v>2013-14</v>
      </c>
      <c r="H35" s="1011">
        <f t="array" ref="H35">IF($G$6="Historic Calendar Year",IFERROR(AVERAGE(IF($G35=YEAR('Commodity Prices'!$C$100:$C$1000),'Commodity Prices'!$K$100:$K$995)),"NA"),IFERROR(IF(K35=0,"NA",K35),"NA"))</f>
        <v>15233.490833333335</v>
      </c>
      <c r="I35" s="1011">
        <f t="array" ref="I35">IF($G$6="Historic Calendar Year",IFERROR(AVERAGE(IF($G35=YEAR('Commodity Prices'!$C$100:$C$1000),'Commodity Prices'!$L$100:$L$1000)),"NA"),IFERROR(IF(J35=0,"NA",J35),"NA"))</f>
        <v>16586.714212093484</v>
      </c>
      <c r="J35" s="386">
        <f>(SUMIFS('Commodity Prices'!$L$9:$L$2500,'Commodity Prices'!$A$9:$A$2500,'Nickel - Prices'!E35,'Commodity Prices'!$B$9:$B$2500,3)+
SUMIFS('Commodity Prices'!$L$9:$L$2500,'Commodity Prices'!$A$9:$A$2500,'Nickel - Prices'!E35,'Commodity Prices'!$B$9:$B$2500,4)+
SUMIFS('Commodity Prices'!$L$9:$L$2500,'Commodity Prices'!$A$9:$A$2500,'Nickel - Prices'!F35,'Commodity Prices'!$B$9:$B$2500,1)+
SUMIFS('Commodity Prices'!$L$9:$L$2500,'Commodity Prices'!$A$9:$A$2500,'Nickel - Prices'!F35,'Commodity Prices'!$B$9:$B$2500,2))
/(COUNTIFS('Commodity Prices'!$A$9:$A$2500,'Nickel - Prices'!E35,'Commodity Prices'!$B$9:$B$2500,3)+
COUNTIFS('Commodity Prices'!$A$9:$A$2500,'Nickel - Prices'!E35,'Commodity Prices'!$B$9:$B$2500,4)+
COUNTIFS('Commodity Prices'!$A$9:$A$2500,'Nickel - Prices'!F35,'Commodity Prices'!$B$9:$B$2500,1)+
COUNTIFS('Commodity Prices'!$A$9:$A$2500,'Nickel - Prices'!F35,'Commodity Prices'!$B$9:$B$2500,2))</f>
        <v>16586.714212093484</v>
      </c>
      <c r="K35" s="492">
        <f>(SUMIFS('Commodity Prices'!$K$9:$K$2500,'Commodity Prices'!$A$9:$A$2500,'Nickel - Prices'!E35,'Commodity Prices'!$B$9:$B$2500,3)+
SUMIFS('Commodity Prices'!$K$9:$K$2500,'Commodity Prices'!$A$9:$A$2500,'Nickel - Prices'!E35,'Commodity Prices'!$B$9:$B$2500,4)+
SUMIFS('Commodity Prices'!$K$9:$K$2500,'Commodity Prices'!$A$9:$A$2500,'Nickel - Prices'!F35,'Commodity Prices'!$B$9:$B$2500,1)+
SUMIFS('Commodity Prices'!$K$9:$K$2500,'Commodity Prices'!$A$9:$A$2500,'Nickel - Prices'!F35,'Commodity Prices'!$B$9:$B$2500,2))
/(COUNTIFS('Commodity Prices'!$A$9:$A$2500,'Nickel - Prices'!E35,'Commodity Prices'!$B$9:$B$2500,3)+
COUNTIFS('Commodity Prices'!$A$9:$A$2500,'Nickel - Prices'!E35,'Commodity Prices'!$B$9:$B$2500,4)+
COUNTIFS('Commodity Prices'!$A$9:$A$2500,'Nickel - Prices'!F35,'Commodity Prices'!$B$9:$B$2500,1)+
COUNTIFS('Commodity Prices'!$A$9:$A$2500,'Nickel - Prices'!F35,'Commodity Prices'!$B$9:$B$2500,2))</f>
        <v>15233.490833333335</v>
      </c>
    </row>
    <row r="36" spans="1:11">
      <c r="A36" s="1013">
        <f>LARGE('Commodity Prices'!C$159:C$902,32)</f>
        <v>43405</v>
      </c>
      <c r="B36" s="1011">
        <f>SUMIF('Commodity Prices'!C$159:C$902,A36,'Commodity Prices'!K$159:K$902)</f>
        <v>11253.40909090909</v>
      </c>
      <c r="C36" s="1014">
        <f>SUMIF('Commodity Prices'!C$159:C$902,A36,'Commodity Prices'!L$159:L$902)</f>
        <v>15524.084826747263</v>
      </c>
      <c r="D36" s="820"/>
      <c r="E36" s="128">
        <f t="shared" si="1"/>
        <v>2014</v>
      </c>
      <c r="F36" s="128">
        <f t="shared" si="1"/>
        <v>2015</v>
      </c>
      <c r="G36" s="1022" t="str">
        <f t="shared" si="0"/>
        <v>2014-15</v>
      </c>
      <c r="H36" s="724">
        <f t="array" ref="H36">IF($G$6="Historic Calendar Year",IFERROR(AVERAGE(IF($G36=YEAR('Commodity Prices'!$C$100:$C$1000),'Commodity Prices'!$K$100:$K$995)),"NA"),IFERROR(IF(K36=0,"NA",K36),"NA"))</f>
        <v>15435.279166666667</v>
      </c>
      <c r="I36" s="724">
        <f t="array" ref="I36">IF($G$6="Historic Calendar Year",IFERROR(AVERAGE(IF($G36=YEAR('Commodity Prices'!$C$100:$C$1000),'Commodity Prices'!$L$100:$L$1000)),"NA"),IFERROR(IF(J36=0,"NA",J36),"NA"))</f>
        <v>18388.69112585095</v>
      </c>
      <c r="J36" s="386">
        <f>(SUMIFS('Commodity Prices'!$L$9:$L$2500,'Commodity Prices'!$A$9:$A$2500,'Nickel - Prices'!E36,'Commodity Prices'!$B$9:$B$2500,3)+
SUMIFS('Commodity Prices'!$L$9:$L$2500,'Commodity Prices'!$A$9:$A$2500,'Nickel - Prices'!E36,'Commodity Prices'!$B$9:$B$2500,4)+
SUMIFS('Commodity Prices'!$L$9:$L$2500,'Commodity Prices'!$A$9:$A$2500,'Nickel - Prices'!F36,'Commodity Prices'!$B$9:$B$2500,1)+
SUMIFS('Commodity Prices'!$L$9:$L$2500,'Commodity Prices'!$A$9:$A$2500,'Nickel - Prices'!F36,'Commodity Prices'!$B$9:$B$2500,2))
/(COUNTIFS('Commodity Prices'!$A$9:$A$2500,'Nickel - Prices'!E36,'Commodity Prices'!$B$9:$B$2500,3)+
COUNTIFS('Commodity Prices'!$A$9:$A$2500,'Nickel - Prices'!E36,'Commodity Prices'!$B$9:$B$2500,4)+
COUNTIFS('Commodity Prices'!$A$9:$A$2500,'Nickel - Prices'!F36,'Commodity Prices'!$B$9:$B$2500,1)+
COUNTIFS('Commodity Prices'!$A$9:$A$2500,'Nickel - Prices'!F36,'Commodity Prices'!$B$9:$B$2500,2))</f>
        <v>18388.69112585095</v>
      </c>
      <c r="K36" s="492">
        <f>(SUMIFS('Commodity Prices'!$K$9:$K$2500,'Commodity Prices'!$A$9:$A$2500,'Nickel - Prices'!E36,'Commodity Prices'!$B$9:$B$2500,3)+
SUMIFS('Commodity Prices'!$K$9:$K$2500,'Commodity Prices'!$A$9:$A$2500,'Nickel - Prices'!E36,'Commodity Prices'!$B$9:$B$2500,4)+
SUMIFS('Commodity Prices'!$K$9:$K$2500,'Commodity Prices'!$A$9:$A$2500,'Nickel - Prices'!F36,'Commodity Prices'!$B$9:$B$2500,1)+
SUMIFS('Commodity Prices'!$K$9:$K$2500,'Commodity Prices'!$A$9:$A$2500,'Nickel - Prices'!F36,'Commodity Prices'!$B$9:$B$2500,2))
/(COUNTIFS('Commodity Prices'!$A$9:$A$2500,'Nickel - Prices'!E36,'Commodity Prices'!$B$9:$B$2500,3)+
COUNTIFS('Commodity Prices'!$A$9:$A$2500,'Nickel - Prices'!E36,'Commodity Prices'!$B$9:$B$2500,4)+
COUNTIFS('Commodity Prices'!$A$9:$A$2500,'Nickel - Prices'!F36,'Commodity Prices'!$B$9:$B$2500,1)+
COUNTIFS('Commodity Prices'!$A$9:$A$2500,'Nickel - Prices'!F36,'Commodity Prices'!$B$9:$B$2500,2))</f>
        <v>15435.279166666667</v>
      </c>
    </row>
    <row r="37" spans="1:11">
      <c r="A37" s="1015">
        <f>LARGE('Commodity Prices'!C$159:C$902,31)</f>
        <v>43435</v>
      </c>
      <c r="B37" s="724">
        <f>SUMIF('Commodity Prices'!C$159:C$902,A37,'Commodity Prices'!K$159:K$902)</f>
        <v>10836.84211</v>
      </c>
      <c r="C37" s="880">
        <f>SUMIF('Commodity Prices'!C$159:C$902,A37,'Commodity Prices'!L$159:L$902)</f>
        <v>15139.483249511037</v>
      </c>
      <c r="D37" s="820"/>
      <c r="E37" s="128">
        <f t="shared" si="1"/>
        <v>2015</v>
      </c>
      <c r="F37" s="128">
        <f t="shared" si="1"/>
        <v>2016</v>
      </c>
      <c r="G37" s="1021" t="str">
        <f t="shared" si="0"/>
        <v>2015-16</v>
      </c>
      <c r="H37" s="1011">
        <f t="array" ref="H37">IF($G$6="Historic Calendar Year",IFERROR(AVERAGE(IF($G37=YEAR('Commodity Prices'!$C$100:$C$1000),'Commodity Prices'!$K$100:$K$995)),"NA"),IFERROR(IF(K37=0,"NA",K37),"NA"))</f>
        <v>9320.7325000000001</v>
      </c>
      <c r="I37" s="1011">
        <f t="array" ref="I37">IF($G$6="Historic Calendar Year",IFERROR(AVERAGE(IF($G37=YEAR('Commodity Prices'!$C$100:$C$1000),'Commodity Prices'!$L$100:$L$1000)),"NA"),IFERROR(IF(J37=0,"NA",J37),"NA"))</f>
        <v>12800.235944112757</v>
      </c>
      <c r="J37" s="386">
        <f>(SUMIFS('Commodity Prices'!$L$9:$L$2500,'Commodity Prices'!$A$9:$A$2500,'Nickel - Prices'!E37,'Commodity Prices'!$B$9:$B$2500,3)+
SUMIFS('Commodity Prices'!$L$9:$L$2500,'Commodity Prices'!$A$9:$A$2500,'Nickel - Prices'!E37,'Commodity Prices'!$B$9:$B$2500,4)+
SUMIFS('Commodity Prices'!$L$9:$L$2500,'Commodity Prices'!$A$9:$A$2500,'Nickel - Prices'!F37,'Commodity Prices'!$B$9:$B$2500,1)+
SUMIFS('Commodity Prices'!$L$9:$L$2500,'Commodity Prices'!$A$9:$A$2500,'Nickel - Prices'!F37,'Commodity Prices'!$B$9:$B$2500,2))
/(COUNTIFS('Commodity Prices'!$A$9:$A$2500,'Nickel - Prices'!E37,'Commodity Prices'!$B$9:$B$2500,3)+
COUNTIFS('Commodity Prices'!$A$9:$A$2500,'Nickel - Prices'!E37,'Commodity Prices'!$B$9:$B$2500,4)+
COUNTIFS('Commodity Prices'!$A$9:$A$2500,'Nickel - Prices'!F37,'Commodity Prices'!$B$9:$B$2500,1)+
COUNTIFS('Commodity Prices'!$A$9:$A$2500,'Nickel - Prices'!F37,'Commodity Prices'!$B$9:$B$2500,2))</f>
        <v>12800.235944112757</v>
      </c>
      <c r="K37" s="492">
        <f>(SUMIFS('Commodity Prices'!$K$9:$K$2500,'Commodity Prices'!$A$9:$A$2500,'Nickel - Prices'!E37,'Commodity Prices'!$B$9:$B$2500,3)+
SUMIFS('Commodity Prices'!$K$9:$K$2500,'Commodity Prices'!$A$9:$A$2500,'Nickel - Prices'!E37,'Commodity Prices'!$B$9:$B$2500,4)+
SUMIFS('Commodity Prices'!$K$9:$K$2500,'Commodity Prices'!$A$9:$A$2500,'Nickel - Prices'!F37,'Commodity Prices'!$B$9:$B$2500,1)+
SUMIFS('Commodity Prices'!$K$9:$K$2500,'Commodity Prices'!$A$9:$A$2500,'Nickel - Prices'!F37,'Commodity Prices'!$B$9:$B$2500,2))
/(COUNTIFS('Commodity Prices'!$A$9:$A$2500,'Nickel - Prices'!E37,'Commodity Prices'!$B$9:$B$2500,3)+
COUNTIFS('Commodity Prices'!$A$9:$A$2500,'Nickel - Prices'!E37,'Commodity Prices'!$B$9:$B$2500,4)+
COUNTIFS('Commodity Prices'!$A$9:$A$2500,'Nickel - Prices'!F37,'Commodity Prices'!$B$9:$B$2500,1)+
COUNTIFS('Commodity Prices'!$A$9:$A$2500,'Nickel - Prices'!F37,'Commodity Prices'!$B$9:$B$2500,2))</f>
        <v>9320.7325000000001</v>
      </c>
    </row>
    <row r="38" spans="1:11">
      <c r="A38" s="1013">
        <f>LARGE('Commodity Prices'!C$159:C$902,30)</f>
        <v>43466</v>
      </c>
      <c r="B38" s="1011">
        <f>SUMIF('Commodity Prices'!C$159:C$902,A38,'Commodity Prices'!K$159:K$902)</f>
        <v>11454.55</v>
      </c>
      <c r="C38" s="1014">
        <f>SUMIF('Commodity Prices'!C$159:C$902,A38,'Commodity Prices'!L$159:L$902)</f>
        <v>16018.109355334918</v>
      </c>
      <c r="D38" s="820"/>
      <c r="E38" s="128">
        <f t="shared" si="1"/>
        <v>2016</v>
      </c>
      <c r="F38" s="128">
        <f t="shared" si="1"/>
        <v>2017</v>
      </c>
      <c r="G38" s="1021" t="str">
        <f t="shared" si="0"/>
        <v>2016-17</v>
      </c>
      <c r="H38" s="724">
        <f t="array" ref="H38">IF($G$6="Historic Calendar Year",IFERROR(AVERAGE(IF($G38=YEAR('Commodity Prices'!$C$100:$C$1000),'Commodity Prices'!$K$100:$K$995)),"NA"),IFERROR(IF(K38=0,"NA",K38),"NA"))</f>
        <v>10150.383483333333</v>
      </c>
      <c r="I38" s="724">
        <f t="array" ref="I38">IF($G$6="Historic Calendar Year",IFERROR(AVERAGE(IF($G38=YEAR('Commodity Prices'!$C$100:$C$1000),'Commodity Prices'!$L$100:$L$1000)),"NA"),IFERROR(IF(J38=0,"NA",J38),"NA"))</f>
        <v>13460.360097001765</v>
      </c>
      <c r="J38" s="386">
        <f>(SUMIFS('Commodity Prices'!$L$9:$L$2500,'Commodity Prices'!$A$9:$A$2500,'Nickel - Prices'!E38,'Commodity Prices'!$B$9:$B$2500,3)+
SUMIFS('Commodity Prices'!$L$9:$L$2500,'Commodity Prices'!$A$9:$A$2500,'Nickel - Prices'!E38,'Commodity Prices'!$B$9:$B$2500,4)+
SUMIFS('Commodity Prices'!$L$9:$L$2500,'Commodity Prices'!$A$9:$A$2500,'Nickel - Prices'!F38,'Commodity Prices'!$B$9:$B$2500,1)+
SUMIFS('Commodity Prices'!$L$9:$L$2500,'Commodity Prices'!$A$9:$A$2500,'Nickel - Prices'!F38,'Commodity Prices'!$B$9:$B$2500,2))
/(COUNTIFS('Commodity Prices'!$A$9:$A$2500,'Nickel - Prices'!E38,'Commodity Prices'!$B$9:$B$2500,3)+
COUNTIFS('Commodity Prices'!$A$9:$A$2500,'Nickel - Prices'!E38,'Commodity Prices'!$B$9:$B$2500,4)+
COUNTIFS('Commodity Prices'!$A$9:$A$2500,'Nickel - Prices'!F38,'Commodity Prices'!$B$9:$B$2500,1)+
COUNTIFS('Commodity Prices'!$A$9:$A$2500,'Nickel - Prices'!F38,'Commodity Prices'!$B$9:$B$2500,2))</f>
        <v>13460.360097001765</v>
      </c>
      <c r="K38" s="492">
        <f>(SUMIFS('Commodity Prices'!$K$9:$K$2500,'Commodity Prices'!$A$9:$A$2500,'Nickel - Prices'!E38,'Commodity Prices'!$B$9:$B$2500,3)+
SUMIFS('Commodity Prices'!$K$9:$K$2500,'Commodity Prices'!$A$9:$A$2500,'Nickel - Prices'!E38,'Commodity Prices'!$B$9:$B$2500,4)+
SUMIFS('Commodity Prices'!$K$9:$K$2500,'Commodity Prices'!$A$9:$A$2500,'Nickel - Prices'!F38,'Commodity Prices'!$B$9:$B$2500,1)+
SUMIFS('Commodity Prices'!$K$9:$K$2500,'Commodity Prices'!$A$9:$A$2500,'Nickel - Prices'!F38,'Commodity Prices'!$B$9:$B$2500,2))
/(COUNTIFS('Commodity Prices'!$A$9:$A$2500,'Nickel - Prices'!E38,'Commodity Prices'!$B$9:$B$2500,3)+
COUNTIFS('Commodity Prices'!$A$9:$A$2500,'Nickel - Prices'!E38,'Commodity Prices'!$B$9:$B$2500,4)+
COUNTIFS('Commodity Prices'!$A$9:$A$2500,'Nickel - Prices'!F38,'Commodity Prices'!$B$9:$B$2500,1)+
COUNTIFS('Commodity Prices'!$A$9:$A$2500,'Nickel - Prices'!F38,'Commodity Prices'!$B$9:$B$2500,2))</f>
        <v>10150.383483333333</v>
      </c>
    </row>
    <row r="39" spans="1:11">
      <c r="A39" s="1015">
        <f>LARGE('Commodity Prices'!C$159:C$902,29)</f>
        <v>43497</v>
      </c>
      <c r="B39" s="724">
        <f>SUMIF('Commodity Prices'!C$159:C$902,A39,'Commodity Prices'!K$159:K$902)</f>
        <v>12649.75</v>
      </c>
      <c r="C39" s="880">
        <f>SUMIF('Commodity Prices'!C$159:C$902,A39,'Commodity Prices'!L$159:L$902)</f>
        <v>17721.70075651443</v>
      </c>
      <c r="D39" s="820"/>
      <c r="E39" s="128">
        <f t="shared" si="1"/>
        <v>2017</v>
      </c>
      <c r="F39" s="128">
        <f t="shared" si="1"/>
        <v>2018</v>
      </c>
      <c r="G39" s="1021" t="str">
        <f t="shared" si="0"/>
        <v>2017-18</v>
      </c>
      <c r="H39" s="1011">
        <f t="array" ref="H39">IF($G$6="Historic Calendar Year",IFERROR(AVERAGE(IF($G39=YEAR('Commodity Prices'!$C$100:$C$1000),'Commodity Prices'!$K$100:$K$995)),"NA"),IFERROR(IF(K39=0,"NA",K39),"NA"))</f>
        <v>12463.130024819626</v>
      </c>
      <c r="I39" s="1011">
        <f t="array" ref="I39">IF($G$6="Historic Calendar Year",IFERROR(AVERAGE(IF($G39=YEAR('Commodity Prices'!$C$100:$C$1000),'Commodity Prices'!$L$100:$L$1000)),"NA"),IFERROR(IF(J39=0,"NA",J39),"NA"))</f>
        <v>16103.808272712697</v>
      </c>
      <c r="J39" s="386">
        <f>(SUMIFS('Commodity Prices'!$L$9:$L$2500,'Commodity Prices'!$A$9:$A$2500,'Nickel - Prices'!E39,'Commodity Prices'!$B$9:$B$2500,3)+
SUMIFS('Commodity Prices'!$L$9:$L$2500,'Commodity Prices'!$A$9:$A$2500,'Nickel - Prices'!E39,'Commodity Prices'!$B$9:$B$2500,4)+
SUMIFS('Commodity Prices'!$L$9:$L$2500,'Commodity Prices'!$A$9:$A$2500,'Nickel - Prices'!F39,'Commodity Prices'!$B$9:$B$2500,1)+
SUMIFS('Commodity Prices'!$L$9:$L$2500,'Commodity Prices'!$A$9:$A$2500,'Nickel - Prices'!F39,'Commodity Prices'!$B$9:$B$2500,2))
/(COUNTIFS('Commodity Prices'!$A$9:$A$2500,'Nickel - Prices'!E39,'Commodity Prices'!$B$9:$B$2500,3)+
COUNTIFS('Commodity Prices'!$A$9:$A$2500,'Nickel - Prices'!E39,'Commodity Prices'!$B$9:$B$2500,4)+
COUNTIFS('Commodity Prices'!$A$9:$A$2500,'Nickel - Prices'!F39,'Commodity Prices'!$B$9:$B$2500,1)+
COUNTIFS('Commodity Prices'!$A$9:$A$2500,'Nickel - Prices'!F39,'Commodity Prices'!$B$9:$B$2500,2))</f>
        <v>16103.808272712697</v>
      </c>
      <c r="K39" s="492">
        <f>(SUMIFS('Commodity Prices'!$K$9:$K$2500,'Commodity Prices'!$A$9:$A$2500,'Nickel - Prices'!E39,'Commodity Prices'!$B$9:$B$2500,3)+
SUMIFS('Commodity Prices'!$K$9:$K$2500,'Commodity Prices'!$A$9:$A$2500,'Nickel - Prices'!E39,'Commodity Prices'!$B$9:$B$2500,4)+
SUMIFS('Commodity Prices'!$K$9:$K$2500,'Commodity Prices'!$A$9:$A$2500,'Nickel - Prices'!F39,'Commodity Prices'!$B$9:$B$2500,1)+
SUMIFS('Commodity Prices'!$K$9:$K$2500,'Commodity Prices'!$A$9:$A$2500,'Nickel - Prices'!F39,'Commodity Prices'!$B$9:$B$2500,2))
/(COUNTIFS('Commodity Prices'!$A$9:$A$2500,'Nickel - Prices'!E39,'Commodity Prices'!$B$9:$B$2500,3)+
COUNTIFS('Commodity Prices'!$A$9:$A$2500,'Nickel - Prices'!E39,'Commodity Prices'!$B$9:$B$2500,4)+
COUNTIFS('Commodity Prices'!$A$9:$A$2500,'Nickel - Prices'!F39,'Commodity Prices'!$B$9:$B$2500,1)+
COUNTIFS('Commodity Prices'!$A$9:$A$2500,'Nickel - Prices'!F39,'Commodity Prices'!$B$9:$B$2500,2))</f>
        <v>12463.130024819626</v>
      </c>
    </row>
    <row r="40" spans="1:11">
      <c r="A40" s="1013">
        <f>LARGE('Commodity Prices'!C$159:C$902,28)</f>
        <v>43525</v>
      </c>
      <c r="B40" s="1011">
        <f>SUMIF('Commodity Prices'!C$159:C$902,A40,'Commodity Prices'!K$159:K$902)</f>
        <v>13060.71</v>
      </c>
      <c r="C40" s="1014">
        <f>SUMIF('Commodity Prices'!C$159:C$902,A40,'Commodity Prices'!L$159:L$902)</f>
        <v>18439.517153748409</v>
      </c>
      <c r="D40" s="820"/>
      <c r="E40" s="128">
        <f t="shared" si="1"/>
        <v>2018</v>
      </c>
      <c r="F40" s="128">
        <f t="shared" si="1"/>
        <v>2019</v>
      </c>
      <c r="G40" s="1021" t="str">
        <f t="shared" si="0"/>
        <v>2018-19</v>
      </c>
      <c r="H40" s="724">
        <f t="array" ref="H40">IF($G$6="Historic Calendar Year",IFERROR(AVERAGE(IF($G40=YEAR('Commodity Prices'!$C$100:$C$1000),'Commodity Prices'!$K$100:$K$995)),"NA"),IFERROR(IF(K40=0,"NA",K40),"NA"))</f>
        <v>12341.834266742424</v>
      </c>
      <c r="I40" s="724">
        <f t="array" ref="I40">IF($G$6="Historic Calendar Year",IFERROR(AVERAGE(IF($G40=YEAR('Commodity Prices'!$C$100:$C$1000),'Commodity Prices'!$L$100:$L$1000)),"NA"),IFERROR(IF(J40=0,"NA",J40),"NA"))</f>
        <v>17254.580661857704</v>
      </c>
      <c r="J40" s="386">
        <f>(SUMIFS('Commodity Prices'!$L$9:$L$2500,'Commodity Prices'!$A$9:$A$2500,'Nickel - Prices'!E40,'Commodity Prices'!$B$9:$B$2500,3)+
SUMIFS('Commodity Prices'!$L$9:$L$2500,'Commodity Prices'!$A$9:$A$2500,'Nickel - Prices'!E40,'Commodity Prices'!$B$9:$B$2500,4)+
SUMIFS('Commodity Prices'!$L$9:$L$2500,'Commodity Prices'!$A$9:$A$2500,'Nickel - Prices'!F40,'Commodity Prices'!$B$9:$B$2500,1)+
SUMIFS('Commodity Prices'!$L$9:$L$2500,'Commodity Prices'!$A$9:$A$2500,'Nickel - Prices'!F40,'Commodity Prices'!$B$9:$B$2500,2))
/(COUNTIFS('Commodity Prices'!$A$9:$A$2500,'Nickel - Prices'!E40,'Commodity Prices'!$B$9:$B$2500,3)+
COUNTIFS('Commodity Prices'!$A$9:$A$2500,'Nickel - Prices'!E40,'Commodity Prices'!$B$9:$B$2500,4)+
COUNTIFS('Commodity Prices'!$A$9:$A$2500,'Nickel - Prices'!F40,'Commodity Prices'!$B$9:$B$2500,1)+
COUNTIFS('Commodity Prices'!$A$9:$A$2500,'Nickel - Prices'!F40,'Commodity Prices'!$B$9:$B$2500,2))</f>
        <v>17254.580661857704</v>
      </c>
      <c r="K40" s="492">
        <f>(SUMIFS('Commodity Prices'!$K$9:$K$2500,'Commodity Prices'!$A$9:$A$2500,'Nickel - Prices'!E40,'Commodity Prices'!$B$9:$B$2500,3)+
SUMIFS('Commodity Prices'!$K$9:$K$2500,'Commodity Prices'!$A$9:$A$2500,'Nickel - Prices'!E40,'Commodity Prices'!$B$9:$B$2500,4)+
SUMIFS('Commodity Prices'!$K$9:$K$2500,'Commodity Prices'!$A$9:$A$2500,'Nickel - Prices'!F40,'Commodity Prices'!$B$9:$B$2500,1)+
SUMIFS('Commodity Prices'!$K$9:$K$2500,'Commodity Prices'!$A$9:$A$2500,'Nickel - Prices'!F40,'Commodity Prices'!$B$9:$B$2500,2))
/(COUNTIFS('Commodity Prices'!$A$9:$A$2500,'Nickel - Prices'!E40,'Commodity Prices'!$B$9:$B$2500,3)+
COUNTIFS('Commodity Prices'!$A$9:$A$2500,'Nickel - Prices'!E40,'Commodity Prices'!$B$9:$B$2500,4)+
COUNTIFS('Commodity Prices'!$A$9:$A$2500,'Nickel - Prices'!F40,'Commodity Prices'!$B$9:$B$2500,1)+
COUNTIFS('Commodity Prices'!$A$9:$A$2500,'Nickel - Prices'!F40,'Commodity Prices'!$B$9:$B$2500,2))</f>
        <v>12341.834266742424</v>
      </c>
    </row>
    <row r="41" spans="1:11">
      <c r="A41" s="1015">
        <f>LARGE('Commodity Prices'!C$159:C$902,27)</f>
        <v>43556</v>
      </c>
      <c r="B41" s="724">
        <f>SUMIF('Commodity Prices'!C$159:C$902,A41,'Commodity Prices'!K$159:K$902)</f>
        <v>12819</v>
      </c>
      <c r="C41" s="880">
        <f>SUMIF('Commodity Prices'!C$159:C$902,A41,'Commodity Prices'!L$159:L$902)</f>
        <v>18024.465691788526</v>
      </c>
      <c r="D41" s="820"/>
      <c r="E41" s="128">
        <f t="shared" si="1"/>
        <v>2019</v>
      </c>
      <c r="F41" s="128">
        <f t="shared" si="1"/>
        <v>2020</v>
      </c>
      <c r="G41" s="1021" t="str">
        <f t="shared" si="0"/>
        <v>2019-20</v>
      </c>
      <c r="H41" s="1011">
        <f t="array" ref="H41">IF($G$6="Historic Calendar Year",IFERROR(AVERAGE(IF($G41=YEAR('Commodity Prices'!$C$100:$C$1000),'Commodity Prices'!$K$100:$K$995)),"NA"),IFERROR(IF(K41=0,"NA",K41),"NA"))</f>
        <v>13974.364166666668</v>
      </c>
      <c r="I41" s="1011">
        <f t="array" ref="I41">IF($G$6="Historic Calendar Year",IFERROR(AVERAGE(IF($G41=YEAR('Commodity Prices'!$C$100:$C$1000),'Commodity Prices'!$L$100:$L$1000)),"NA"),IFERROR(IF(J41=0,"NA",J41),"NA"))</f>
        <v>20774.583538438841</v>
      </c>
      <c r="J41" s="386">
        <f>(SUMIFS('Commodity Prices'!$L$9:$L$2500,'Commodity Prices'!$A$9:$A$2500,'Nickel - Prices'!E41,'Commodity Prices'!$B$9:$B$2500,3)+
SUMIFS('Commodity Prices'!$L$9:$L$2500,'Commodity Prices'!$A$9:$A$2500,'Nickel - Prices'!E41,'Commodity Prices'!$B$9:$B$2500,4)+
SUMIFS('Commodity Prices'!$L$9:$L$2500,'Commodity Prices'!$A$9:$A$2500,'Nickel - Prices'!F41,'Commodity Prices'!$B$9:$B$2500,1)+
SUMIFS('Commodity Prices'!$L$9:$L$2500,'Commodity Prices'!$A$9:$A$2500,'Nickel - Prices'!F41,'Commodity Prices'!$B$9:$B$2500,2))
/(COUNTIFS('Commodity Prices'!$A$9:$A$2500,'Nickel - Prices'!E41,'Commodity Prices'!$B$9:$B$2500,3)+
COUNTIFS('Commodity Prices'!$A$9:$A$2500,'Nickel - Prices'!E41,'Commodity Prices'!$B$9:$B$2500,4)+
COUNTIFS('Commodity Prices'!$A$9:$A$2500,'Nickel - Prices'!F41,'Commodity Prices'!$B$9:$B$2500,1)+
COUNTIFS('Commodity Prices'!$A$9:$A$2500,'Nickel - Prices'!F41,'Commodity Prices'!$B$9:$B$2500,2))</f>
        <v>20774.583538438841</v>
      </c>
      <c r="K41" s="492">
        <f>(SUMIFS('Commodity Prices'!$K$9:$K$2500,'Commodity Prices'!$A$9:$A$2500,'Nickel - Prices'!E41,'Commodity Prices'!$B$9:$B$2500,3)+
SUMIFS('Commodity Prices'!$K$9:$K$2500,'Commodity Prices'!$A$9:$A$2500,'Nickel - Prices'!E41,'Commodity Prices'!$B$9:$B$2500,4)+
SUMIFS('Commodity Prices'!$K$9:$K$2500,'Commodity Prices'!$A$9:$A$2500,'Nickel - Prices'!F41,'Commodity Prices'!$B$9:$B$2500,1)+
SUMIFS('Commodity Prices'!$K$9:$K$2500,'Commodity Prices'!$A$9:$A$2500,'Nickel - Prices'!F41,'Commodity Prices'!$B$9:$B$2500,2))
/(COUNTIFS('Commodity Prices'!$A$9:$A$2500,'Nickel - Prices'!E41,'Commodity Prices'!$B$9:$B$2500,3)+
COUNTIFS('Commodity Prices'!$A$9:$A$2500,'Nickel - Prices'!E41,'Commodity Prices'!$B$9:$B$2500,4)+
COUNTIFS('Commodity Prices'!$A$9:$A$2500,'Nickel - Prices'!F41,'Commodity Prices'!$B$9:$B$2500,1)+
COUNTIFS('Commodity Prices'!$A$9:$A$2500,'Nickel - Prices'!F41,'Commodity Prices'!$B$9:$B$2500,2))</f>
        <v>13974.364166666668</v>
      </c>
    </row>
    <row r="42" spans="1:11" ht="15.75" thickBot="1">
      <c r="A42" s="1013">
        <f>LARGE('Commodity Prices'!C$159:C$902,26)</f>
        <v>43586</v>
      </c>
      <c r="B42" s="1011">
        <f>SUMIF('Commodity Prices'!C$159:C$902,A42,'Commodity Prices'!K$159:K$902)</f>
        <v>11998.33</v>
      </c>
      <c r="C42" s="1014">
        <f>SUMIF('Commodity Prices'!C$159:C$902,A42,'Commodity Prices'!L$159:L$902)</f>
        <v>17278.701036866358</v>
      </c>
      <c r="D42" s="820"/>
      <c r="E42" s="128">
        <f t="shared" si="1"/>
        <v>2020</v>
      </c>
      <c r="F42" s="128">
        <f t="shared" si="1"/>
        <v>2021</v>
      </c>
      <c r="G42" s="1021" t="str">
        <f t="shared" si="0"/>
        <v>2020-21</v>
      </c>
      <c r="H42" s="724">
        <f t="array" ref="H42">IF($G$6="Historic Calendar Year",IFERROR(AVERAGE(IF($G42=YEAR('Commodity Prices'!$C$100:$C$1000),'Commodity Prices'!$K$100:$K$995)),"NA"),IFERROR(IF(K42=0,"NA",K42),"NA"))</f>
        <v>16285.25</v>
      </c>
      <c r="I42" s="724">
        <f t="array" ref="I42">IF($G$6="Historic Calendar Year",IFERROR(AVERAGE(IF($G42=YEAR('Commodity Prices'!$C$100:$C$1000),'Commodity Prices'!$L$100:$L$1000)),"NA"),IFERROR(IF(J42=0,"NA",J42),"NA"))</f>
        <v>21749.179211775645</v>
      </c>
      <c r="J42" s="386">
        <f>(SUMIFS('Commodity Prices'!$L$9:$L$2500,'Commodity Prices'!$A$9:$A$2500,'Nickel - Prices'!E42,'Commodity Prices'!$B$9:$B$2500,3)+
SUMIFS('Commodity Prices'!$L$9:$L$2500,'Commodity Prices'!$A$9:$A$2500,'Nickel - Prices'!E42,'Commodity Prices'!$B$9:$B$2500,4)+
SUMIFS('Commodity Prices'!$L$9:$L$2500,'Commodity Prices'!$A$9:$A$2500,'Nickel - Prices'!F42,'Commodity Prices'!$B$9:$B$2500,1)+
SUMIFS('Commodity Prices'!$L$9:$L$2500,'Commodity Prices'!$A$9:$A$2500,'Nickel - Prices'!F42,'Commodity Prices'!$B$9:$B$2500,2))
/(COUNTIFS('Commodity Prices'!$A$9:$A$2500,'Nickel - Prices'!E42,'Commodity Prices'!$B$9:$B$2500,3)+
COUNTIFS('Commodity Prices'!$A$9:$A$2500,'Nickel - Prices'!E42,'Commodity Prices'!$B$9:$B$2500,4)+
COUNTIFS('Commodity Prices'!$A$9:$A$2500,'Nickel - Prices'!F42,'Commodity Prices'!$B$9:$B$2500,1)+
COUNTIFS('Commodity Prices'!$A$9:$A$2500,'Nickel - Prices'!F42,'Commodity Prices'!$B$9:$B$2500,2))</f>
        <v>21749.179211775645</v>
      </c>
      <c r="K42" s="492">
        <f>(SUMIFS('Commodity Prices'!$K$9:$K$2500,'Commodity Prices'!$A$9:$A$2500,'Nickel - Prices'!E42,'Commodity Prices'!$B$9:$B$2500,3)+
SUMIFS('Commodity Prices'!$K$9:$K$2500,'Commodity Prices'!$A$9:$A$2500,'Nickel - Prices'!E42,'Commodity Prices'!$B$9:$B$2500,4)+
SUMIFS('Commodity Prices'!$K$9:$K$2500,'Commodity Prices'!$A$9:$A$2500,'Nickel - Prices'!F42,'Commodity Prices'!$B$9:$B$2500,1)+
SUMIFS('Commodity Prices'!$K$9:$K$2500,'Commodity Prices'!$A$9:$A$2500,'Nickel - Prices'!F42,'Commodity Prices'!$B$9:$B$2500,2))
/(COUNTIFS('Commodity Prices'!$A$9:$A$2500,'Nickel - Prices'!E42,'Commodity Prices'!$B$9:$B$2500,3)+
COUNTIFS('Commodity Prices'!$A$9:$A$2500,'Nickel - Prices'!E42,'Commodity Prices'!$B$9:$B$2500,4)+
COUNTIFS('Commodity Prices'!$A$9:$A$2500,'Nickel - Prices'!F42,'Commodity Prices'!$B$9:$B$2500,1)+
COUNTIFS('Commodity Prices'!$A$9:$A$2500,'Nickel - Prices'!F42,'Commodity Prices'!$B$9:$B$2500,2))</f>
        <v>16285.25</v>
      </c>
    </row>
    <row r="43" spans="1:11">
      <c r="A43" s="1015">
        <f>LARGE('Commodity Prices'!C$159:C$902,25)</f>
        <v>43617</v>
      </c>
      <c r="B43" s="724">
        <f>SUMIF('Commodity Prices'!C$159:C$902,A43,'Commodity Prices'!K$159:K$902)</f>
        <v>11970</v>
      </c>
      <c r="C43" s="880">
        <f>SUMIF('Commodity Prices'!C$159:C$902,A43,'Commodity Prices'!L$159:L$902)</f>
        <v>17227.9792746114</v>
      </c>
      <c r="D43" s="820"/>
      <c r="E43" s="128"/>
      <c r="F43" s="128"/>
      <c r="G43" s="935" t="str">
        <f>IF($G$6="Historic Calendar Year",G42+1,CONCATENATE(E42,"-",RIGHT(F42,2)))</f>
        <v>2020-21</v>
      </c>
      <c r="H43" s="675">
        <f>IF($G$6="Historic Calendar Year",IFERROR(AVERAGE(IF($G43=YEAR('Commodity Prices'!$C$100:$C$1000),'Commodity Prices'!$L$100:$L$1000)),"N/A"),IFERROR(IF(J42=0,"N/A",J42),"N/A"))</f>
        <v>21749.179211775645</v>
      </c>
      <c r="I43" s="675">
        <f>IF($G$6="Historic Calendar Year",IFERROR(AVERAGE(IF($G43=YEAR('Commodity Prices'!$C$100:$C$1000),'Commodity Prices'!$K$100:$K$995)),"N/A"),IFERROR(IF(K42=0,"N/A",K42),"N/A"))</f>
        <v>16285.25</v>
      </c>
    </row>
    <row r="44" spans="1:11" ht="15.75" thickBot="1">
      <c r="A44" s="1013">
        <f>LARGE('Commodity Prices'!C$159:C$902,24)</f>
        <v>43647</v>
      </c>
      <c r="B44" s="1011">
        <f>SUMIF('Commodity Prices'!C$159:C$902,A44,'Commodity Prices'!K$159:K$902)</f>
        <v>13462.39</v>
      </c>
      <c r="C44" s="1014">
        <f>SUMIF('Commodity Prices'!C$159:C$902,A44,'Commodity Prices'!L$159:L$902)</f>
        <v>19289.855280126092</v>
      </c>
      <c r="D44" s="820"/>
      <c r="E44" s="128"/>
      <c r="F44" s="128"/>
      <c r="G44" s="10"/>
      <c r="H44" s="373"/>
      <c r="I44" s="10"/>
    </row>
    <row r="45" spans="1:11" ht="15.75" thickBot="1">
      <c r="A45" s="1015">
        <f>LARGE('Commodity Prices'!C$159:C$902,23)</f>
        <v>43678</v>
      </c>
      <c r="B45" s="724">
        <f>SUMIF('Commodity Prices'!C$159:C$902,A45,'Commodity Prices'!K$159:K$902)</f>
        <v>15682.14</v>
      </c>
      <c r="C45" s="880">
        <f>SUMIF('Commodity Prices'!C$159:C$902,A45,'Commodity Prices'!L$159:L$902)</f>
        <v>23174.434756908526</v>
      </c>
      <c r="D45" s="820"/>
      <c r="E45" s="128"/>
      <c r="F45" s="128"/>
      <c r="G45" s="2044" t="s">
        <v>506</v>
      </c>
      <c r="H45" s="2045"/>
      <c r="I45" s="2046"/>
    </row>
    <row r="46" spans="1:11" ht="15.75" thickBot="1">
      <c r="A46" s="1013">
        <f>LARGE('Commodity Prices'!C$159:C$902,22)</f>
        <v>43709</v>
      </c>
      <c r="B46" s="1011">
        <f>SUMIF('Commodity Prices'!C$159:C$902,A46,'Commodity Prices'!K$159:K$902)</f>
        <v>17673.099999999999</v>
      </c>
      <c r="C46" s="1014">
        <f>SUMIF('Commodity Prices'!C$159:C$902,A46,'Commodity Prices'!L$159:L$902)</f>
        <v>25732.527664531157</v>
      </c>
      <c r="D46" s="820"/>
      <c r="E46" s="128"/>
      <c r="F46" s="128"/>
      <c r="G46" s="1985" t="s">
        <v>464</v>
      </c>
      <c r="H46" s="1988"/>
      <c r="I46" s="1986"/>
    </row>
    <row r="47" spans="1:11">
      <c r="A47" s="1015">
        <f>LARGE('Commodity Prices'!C$159:C$902,21)</f>
        <v>43739</v>
      </c>
      <c r="B47" s="724">
        <f>SUMIF('Commodity Prices'!C$159:C$902,A47,'Commodity Prices'!K$159:K$902)</f>
        <v>17113.48</v>
      </c>
      <c r="C47" s="880">
        <f>SUMIF('Commodity Prices'!C$159:C$902,A47,'Commodity Prices'!L$159:L$902)</f>
        <v>25174.286554869079</v>
      </c>
      <c r="D47" s="820"/>
      <c r="E47" s="128"/>
      <c r="F47" s="128"/>
      <c r="G47" s="1987" t="s">
        <v>507</v>
      </c>
      <c r="H47" s="1987"/>
      <c r="I47" s="1987"/>
    </row>
    <row r="48" spans="1:11">
      <c r="A48" s="1013">
        <f>LARGE('Commodity Prices'!C$159:C$902,20)</f>
        <v>43770</v>
      </c>
      <c r="B48" s="1011">
        <f>SUMIF('Commodity Prices'!C$159:C$902,A48,'Commodity Prices'!K$159:K$902)</f>
        <v>15199.52</v>
      </c>
      <c r="C48" s="1014">
        <f>SUMIF('Commodity Prices'!C$159:C$902,A48,'Commodity Prices'!L$159:L$902)</f>
        <v>22267.096396132434</v>
      </c>
      <c r="D48" s="820"/>
      <c r="E48" s="128"/>
      <c r="F48" s="128"/>
      <c r="G48" s="10"/>
      <c r="H48" s="373"/>
      <c r="I48" s="10"/>
    </row>
    <row r="49" spans="1:9">
      <c r="A49" s="1015">
        <f>LARGE('Commodity Prices'!C$159:C$902,19)</f>
        <v>43800</v>
      </c>
      <c r="B49" s="724">
        <f>SUMIF('Commodity Prices'!C$159:C$902,A49,'Commodity Prices'!K$159:K$902)</f>
        <v>13800.5</v>
      </c>
      <c r="C49" s="880">
        <f>SUMIF('Commodity Prices'!C$159:C$902,A49,'Commodity Prices'!L$159:L$902)</f>
        <v>20032.660763536074</v>
      </c>
      <c r="D49" s="820"/>
      <c r="E49" s="128"/>
      <c r="F49" s="128"/>
      <c r="G49" s="10"/>
      <c r="H49" s="373"/>
      <c r="I49" s="10"/>
    </row>
    <row r="50" spans="1:9">
      <c r="A50" s="1013">
        <f>LARGE('Commodity Prices'!C$159:C$902,18)</f>
        <v>43831</v>
      </c>
      <c r="B50" s="1011">
        <f>SUMIF('Commodity Prices'!C$159:C$902,A50,'Commodity Prices'!K$159:K$902)</f>
        <v>13552.95</v>
      </c>
      <c r="C50" s="1014">
        <f>SUMIF('Commodity Prices'!C$159:C$902,A50,'Commodity Prices'!L$159:L$902)</f>
        <v>19753.607345867949</v>
      </c>
      <c r="D50" s="820"/>
      <c r="E50" s="128"/>
      <c r="F50" s="128"/>
      <c r="G50" s="2022"/>
      <c r="H50" s="2022"/>
      <c r="I50" s="2022"/>
    </row>
    <row r="51" spans="1:9">
      <c r="A51" s="1015">
        <f>LARGE('Commodity Prices'!C$159:C$902,17)</f>
        <v>43862</v>
      </c>
      <c r="B51" s="724">
        <f>SUMIF('Commodity Prices'!C$159:C$902,A51,'Commodity Prices'!K$159:K$902)</f>
        <v>12743.5</v>
      </c>
      <c r="C51" s="880">
        <f>SUMIF('Commodity Prices'!C$159:C$902,A51,'Commodity Prices'!L$159:L$902)</f>
        <v>19120.030007501875</v>
      </c>
      <c r="D51" s="820"/>
      <c r="E51" s="128"/>
      <c r="F51" s="128"/>
      <c r="G51" s="2022"/>
      <c r="H51" s="2022"/>
      <c r="I51" s="2022"/>
    </row>
    <row r="52" spans="1:9">
      <c r="A52" s="1013">
        <f>LARGE('Commodity Prices'!C$159:C$902,16)</f>
        <v>43891</v>
      </c>
      <c r="B52" s="1011">
        <f>SUMIF('Commodity Prices'!C$159:C$902,A52,'Commodity Prices'!K$159:K$902)</f>
        <v>11873</v>
      </c>
      <c r="C52" s="1014">
        <f>SUMIF('Commodity Prices'!C$159:C$902,A52,'Commodity Prices'!L$159:L$902)</f>
        <v>19103.781174577634</v>
      </c>
      <c r="D52" s="820"/>
      <c r="E52" s="128"/>
      <c r="F52" s="128"/>
      <c r="G52" s="10"/>
      <c r="H52" s="373"/>
      <c r="I52" s="10"/>
    </row>
    <row r="53" spans="1:9">
      <c r="A53" s="1015">
        <f>LARGE('Commodity Prices'!C$159:C$902,15)</f>
        <v>43922</v>
      </c>
      <c r="B53" s="724">
        <f>SUMIF('Commodity Prices'!C$159:C$902,A53,'Commodity Prices'!K$159:K$902)</f>
        <v>11753.2</v>
      </c>
      <c r="C53" s="880">
        <f>SUMIF('Commodity Prices'!C$159:C$902,A53,'Commodity Prices'!L$159:L$902)</f>
        <v>18623.356045000794</v>
      </c>
      <c r="D53" s="820"/>
      <c r="E53" s="128"/>
      <c r="F53" s="128"/>
      <c r="G53" s="10"/>
      <c r="H53" s="373"/>
      <c r="I53" s="10"/>
    </row>
    <row r="54" spans="1:9">
      <c r="A54" s="1013">
        <f>LARGE('Commodity Prices'!C$159:C$902,14)</f>
        <v>43952</v>
      </c>
      <c r="B54" s="1011">
        <f>SUMIF('Commodity Prices'!C$159:C$902,A54,'Commodity Prices'!K$159:K$902)</f>
        <v>12135.32</v>
      </c>
      <c r="C54" s="1014">
        <f>SUMIF('Commodity Prices'!C$159:C$902,A54,'Commodity Prices'!L$159:L$902)</f>
        <v>18618.165081313284</v>
      </c>
      <c r="D54" s="820"/>
      <c r="E54" s="128"/>
      <c r="F54" s="128"/>
      <c r="G54" s="10"/>
      <c r="H54" s="373"/>
      <c r="I54" s="10"/>
    </row>
    <row r="55" spans="1:9">
      <c r="A55" s="1015">
        <f>LARGE('Commodity Prices'!C$159:C$902,13)</f>
        <v>43983</v>
      </c>
      <c r="B55" s="724">
        <f>SUMIF('Commodity Prices'!C$159:C$902,A55,'Commodity Prices'!K$159:K$902)</f>
        <v>12703.27</v>
      </c>
      <c r="C55" s="880">
        <f>SUMIF('Commodity Prices'!C$159:C$902,A55,'Commodity Prices'!L$159:L$902)</f>
        <v>18405.201390901188</v>
      </c>
      <c r="D55" s="820"/>
      <c r="E55" s="128"/>
      <c r="F55" s="128"/>
      <c r="G55" s="10"/>
      <c r="H55" s="373"/>
      <c r="I55" s="10"/>
    </row>
    <row r="56" spans="1:9">
      <c r="A56" s="1013">
        <f>LARGE('Commodity Prices'!C$159:C$902,12)</f>
        <v>44013</v>
      </c>
      <c r="B56" s="1011">
        <f>SUMIF('Commodity Prices'!C$159:C$902,A56,'Commodity Prices'!K$159:K$902)</f>
        <v>13341.35</v>
      </c>
      <c r="C56" s="1014">
        <f>SUMIF('Commodity Prices'!C$159:C$902,A56,'Commodity Prices'!L$159:L$902)</f>
        <v>18964.250177683014</v>
      </c>
      <c r="D56" s="820"/>
      <c r="E56" s="128"/>
      <c r="F56" s="128"/>
      <c r="G56" s="10"/>
      <c r="H56" s="373"/>
      <c r="I56" s="10"/>
    </row>
    <row r="57" spans="1:9">
      <c r="A57" s="1015">
        <f>LARGE('Commodity Prices'!C$159:C$902,11)</f>
        <v>44044</v>
      </c>
      <c r="B57" s="724">
        <f>SUMIF('Commodity Prices'!C$159:C$902,A57,'Commodity Prices'!K$159:K$902)</f>
        <v>14486.86</v>
      </c>
      <c r="C57" s="880">
        <f>SUMIF('Commodity Prices'!C$159:C$902,A57,'Commodity Prices'!L$159:L$902)</f>
        <v>20117.844743785587</v>
      </c>
      <c r="D57" s="820"/>
      <c r="E57" s="128"/>
      <c r="F57" s="128"/>
      <c r="G57" s="10"/>
      <c r="H57" s="373"/>
      <c r="I57" s="10"/>
    </row>
    <row r="58" spans="1:9">
      <c r="A58" s="1013">
        <f>LARGE('Commodity Prices'!C$159:C$902,10)</f>
        <v>44075</v>
      </c>
      <c r="B58" s="1011">
        <f>SUMIF('Commodity Prices'!C$159:C$902,A58,'Commodity Prices'!K$159:K$902)</f>
        <v>14866.27</v>
      </c>
      <c r="C58" s="1014">
        <f>SUMIF('Commodity Prices'!C$159:C$902,A58,'Commodity Prices'!L$159:L$902)</f>
        <v>20570.458004704582</v>
      </c>
      <c r="D58" s="820"/>
      <c r="E58" s="128"/>
      <c r="F58" s="128"/>
      <c r="G58" s="10"/>
      <c r="H58" s="373"/>
      <c r="I58" s="10"/>
    </row>
    <row r="59" spans="1:9">
      <c r="A59" s="1015">
        <f>LARGE('Commodity Prices'!C$159:C$902,9)</f>
        <v>44105</v>
      </c>
      <c r="B59" s="724">
        <f>SUMIF('Commodity Prices'!C$159:C$902,A59,'Commodity Prices'!K$159:K$902)</f>
        <v>15219.36</v>
      </c>
      <c r="C59" s="880">
        <f>SUMIF('Commodity Prices'!C$159:C$902,A59,'Commodity Prices'!L$159:L$902)</f>
        <v>21363.503649635037</v>
      </c>
      <c r="D59" s="820"/>
      <c r="E59" s="128"/>
      <c r="F59" s="128"/>
      <c r="G59" s="10"/>
      <c r="H59" s="373"/>
      <c r="I59" s="10"/>
    </row>
    <row r="60" spans="1:9">
      <c r="A60" s="1013">
        <f>LARGE('Commodity Prices'!C$159:C$902,8)</f>
        <v>44136</v>
      </c>
      <c r="B60" s="1011">
        <f>SUMIF('Commodity Prices'!C$159:C$902,A60,'Commodity Prices'!K$159:K$902)</f>
        <v>15796.05</v>
      </c>
      <c r="C60" s="1014">
        <f>SUMIF('Commodity Prices'!C$159:C$902,A60,'Commodity Prices'!L$159:L$902)</f>
        <v>21691.911562757483</v>
      </c>
      <c r="D60" s="820"/>
      <c r="E60" s="128"/>
      <c r="F60" s="128"/>
      <c r="G60" s="10"/>
      <c r="H60" s="373"/>
      <c r="I60" s="10"/>
    </row>
    <row r="61" spans="1:9">
      <c r="A61" s="1015">
        <f>LARGE('Commodity Prices'!C$159:C$902,7)</f>
        <v>44166</v>
      </c>
      <c r="B61" s="724">
        <f>SUMIF('Commodity Prices'!C$159:C$902,A61,'Commodity Prices'!K$159:K$902)</f>
        <v>16807.05</v>
      </c>
      <c r="C61" s="880">
        <f>SUMIF('Commodity Prices'!C$159:C$902,A61,'Commodity Prices'!L$159:L$902)</f>
        <v>22296.431414168212</v>
      </c>
      <c r="D61" s="820"/>
      <c r="E61" s="128"/>
      <c r="F61" s="128"/>
      <c r="G61" s="10"/>
      <c r="H61" s="373"/>
      <c r="I61" s="10"/>
    </row>
    <row r="62" spans="1:9">
      <c r="A62" s="1013">
        <f>LARGE('Commodity Prices'!C$159:C$902,6)</f>
        <v>44197</v>
      </c>
      <c r="B62" s="1011">
        <f>SUMIF('Commodity Prices'!C$159:C$902,A62,'Commodity Prices'!K$159:K$902)</f>
        <v>17847.599999999999</v>
      </c>
      <c r="C62" s="1014">
        <f>SUMIF('Commodity Prices'!C$159:C$902,A62,'Commodity Prices'!L$159:L$902)</f>
        <v>23109.672407095688</v>
      </c>
      <c r="D62" s="820"/>
      <c r="E62" s="128"/>
      <c r="F62" s="128"/>
      <c r="G62" s="10"/>
      <c r="H62" s="373"/>
      <c r="I62" s="10"/>
    </row>
    <row r="63" spans="1:9">
      <c r="A63" s="1015">
        <f>LARGE('Commodity Prices'!C$159:C$902,5)</f>
        <v>44228</v>
      </c>
      <c r="B63" s="724">
        <f>SUMIF('Commodity Prices'!C$159:C$902,A63,'Commodity Prices'!K$159:K$902)</f>
        <v>18568.05</v>
      </c>
      <c r="C63" s="880">
        <f>SUMIF('Commodity Prices'!C$159:C$902,A63,'Commodity Prices'!L$159:L$902)</f>
        <v>23943.326885880077</v>
      </c>
      <c r="D63" s="820"/>
      <c r="E63" s="128"/>
      <c r="F63" s="128"/>
      <c r="G63" s="10"/>
      <c r="H63" s="373"/>
      <c r="I63" s="10"/>
    </row>
    <row r="64" spans="1:9">
      <c r="A64" s="1013">
        <f>LARGE('Commodity Prices'!C$159:C$902,4)</f>
        <v>44256</v>
      </c>
      <c r="B64" s="1011">
        <f>SUMIF('Commodity Prices'!C$159:C$902,A64,'Commodity Prices'!K$159:K$902)</f>
        <v>16460.740000000002</v>
      </c>
      <c r="C64" s="1014">
        <f>SUMIF('Commodity Prices'!C$159:C$902,A64,'Commodity Prices'!L$159:L$902)</f>
        <v>21360.939527640803</v>
      </c>
      <c r="D64" s="820"/>
      <c r="E64" s="128"/>
      <c r="F64" s="128"/>
      <c r="G64" s="10"/>
      <c r="H64" s="373"/>
      <c r="I64" s="10"/>
    </row>
    <row r="65" spans="1:9">
      <c r="A65" s="1015">
        <f>LARGE('Commodity Prices'!C$159:C$902,3)</f>
        <v>44287</v>
      </c>
      <c r="B65" s="724">
        <f>SUMIF('Commodity Prices'!C$159:C$902,A65,'Commodity Prices'!K$159:K$902)</f>
        <v>16480.7</v>
      </c>
      <c r="C65" s="880">
        <f>SUMIF('Commodity Prices'!C$159:C$902,A65,'Commodity Prices'!L$159:L$902)</f>
        <v>21397.948584783175</v>
      </c>
      <c r="D65" s="820"/>
      <c r="E65" s="128"/>
      <c r="F65" s="128"/>
      <c r="G65" s="10"/>
      <c r="H65" s="373"/>
      <c r="I65" s="10"/>
    </row>
    <row r="66" spans="1:9">
      <c r="A66" s="1013">
        <f>LARGE('Commodity Prices'!C$159:C$902,2)</f>
        <v>44317</v>
      </c>
      <c r="B66" s="1011">
        <f>SUMIF('Commodity Prices'!C$159:C$902,A66,'Commodity Prices'!K$159:K$902)</f>
        <v>17605.740000000002</v>
      </c>
      <c r="C66" s="1014">
        <f>SUMIF('Commodity Prices'!C$159:C$902,A66,'Commodity Prices'!L$159:L$902)</f>
        <v>22684.885968303057</v>
      </c>
      <c r="D66" s="820"/>
      <c r="E66" s="128"/>
      <c r="F66" s="128"/>
      <c r="G66" s="10"/>
      <c r="H66" s="373"/>
      <c r="I66" s="10"/>
    </row>
    <row r="67" spans="1:9" ht="15.75" thickBot="1">
      <c r="A67" s="1622">
        <f>LARGE('Commodity Prices'!C$159:C$902,1)</f>
        <v>44348</v>
      </c>
      <c r="B67" s="918">
        <f>SUMIF('Commodity Prices'!C$159:C$902,A67,'Commodity Prices'!K$159:K$902)</f>
        <v>17943.23</v>
      </c>
      <c r="C67" s="1621">
        <f>SUMIF('Commodity Prices'!C$159:C$902,A67,'Commodity Prices'!L$159:L$902)</f>
        <v>23488.977614871055</v>
      </c>
      <c r="D67" s="820"/>
      <c r="E67" s="128"/>
      <c r="F67" s="128"/>
      <c r="G67" s="10"/>
      <c r="H67" s="373"/>
      <c r="I67" s="10"/>
    </row>
    <row r="68" spans="1:9">
      <c r="G68" s="10"/>
      <c r="H68" s="373"/>
      <c r="I68" s="10"/>
    </row>
  </sheetData>
  <mergeCells count="8">
    <mergeCell ref="G50:I51"/>
    <mergeCell ref="A5:C5"/>
    <mergeCell ref="A6:C6"/>
    <mergeCell ref="G46:I46"/>
    <mergeCell ref="G47:I47"/>
    <mergeCell ref="G5:I5"/>
    <mergeCell ref="G6:I6"/>
    <mergeCell ref="G45:I45"/>
  </mergeCells>
  <dataValidations count="1">
    <dataValidation type="list" allowBlank="1" showInputMessage="1" showErrorMessage="1" promptTitle="Select a Period:" prompt="Select Financial or Calendar years." sqref="G46:I46">
      <formula1>$AA$1:$AA$2</formula1>
    </dataValidation>
  </dataValidation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4" tint="0.39997558519241921"/>
  </sheetPr>
  <dimension ref="A1:AD81"/>
  <sheetViews>
    <sheetView showGridLines="0" workbookViewId="0">
      <selection activeCell="L26" sqref="L26:M31"/>
    </sheetView>
  </sheetViews>
  <sheetFormatPr defaultRowHeight="15"/>
  <cols>
    <col min="1" max="1" width="42.42578125" style="427" customWidth="1"/>
    <col min="2" max="2" width="5.28515625" style="427" bestFit="1" customWidth="1"/>
    <col min="3" max="3" width="17.5703125" style="427" customWidth="1"/>
    <col min="4" max="4" width="19" style="427" customWidth="1"/>
    <col min="5" max="14" width="15.42578125" style="427" customWidth="1"/>
    <col min="15" max="22" width="9.140625" style="427"/>
    <col min="23" max="23" width="17.85546875" style="427" customWidth="1"/>
    <col min="24" max="16384" width="9.140625" style="427"/>
  </cols>
  <sheetData>
    <row r="1" spans="1:30">
      <c r="T1" s="169"/>
      <c r="U1" s="169"/>
      <c r="V1" s="426" t="s">
        <v>3</v>
      </c>
      <c r="W1" s="426" t="str">
        <f>"Nickel Exports "&amp;B6&amp;CHAR(10)&amp;"Total Value: $"&amp;TEXT(C21,"#,###")</f>
        <v>Nickel Exports 2020-21
Total Value: $2,750,024,725</v>
      </c>
      <c r="X1" s="426" t="s">
        <v>369</v>
      </c>
      <c r="Y1" s="426" t="str">
        <f>IF($B$5="Calendar Year",MAX('Commodity Prices'!$AJ$9:$AJ$3502),CONCATENATE(MAX('Commodity Prices'!$AV$9:$AV$3487),"-",VALUE(RIGHT(MAX('Commodity Prices'!$AV$9:$AV$3487),2))+1))</f>
        <v>2020-21</v>
      </c>
      <c r="Z1" s="426">
        <f t="array" ref="Z1">MIN(IF('Commodity Prices'!$AI$9:$AI$3502=V1,'Commodity Prices'!$AJ$9:$AJ$3502))</f>
        <v>2007</v>
      </c>
      <c r="AA1" s="169"/>
      <c r="AB1" s="169"/>
      <c r="AC1" s="169"/>
      <c r="AD1" s="169"/>
    </row>
    <row r="2" spans="1:30">
      <c r="T2" s="169"/>
      <c r="U2" s="169"/>
      <c r="V2" s="426"/>
      <c r="W2" s="426" t="str">
        <f>IF($B$5=X1,IF(RIGHT(LEFT(B6,5),1)="-","Mismatch Error",""),IF(LEN(B6)=4,"Mismatch Error",""))</f>
        <v/>
      </c>
      <c r="X2" s="426" t="s">
        <v>382</v>
      </c>
      <c r="Y2" s="426" t="str">
        <f>IFERROR(IF($B$5=$X$1,IF($Z$1&lt;=(Y1-1),Y1-1,""),IF($Z$1=VALUE(LEFT(Y1,4)),"",CONCATENATE(VALUE(LEFT(Y1,4))-1,"-",RIGHT(LEFT(Y1,4),2)))),"")</f>
        <v>2019-20</v>
      </c>
      <c r="Z2" s="426"/>
      <c r="AA2" s="169"/>
      <c r="AB2" s="169"/>
      <c r="AC2" s="169"/>
      <c r="AD2" s="169"/>
    </row>
    <row r="3" spans="1:30">
      <c r="T3" s="169"/>
      <c r="U3" s="169"/>
      <c r="V3" s="426"/>
      <c r="W3" s="426"/>
      <c r="X3" s="426"/>
      <c r="Y3" s="426" t="str">
        <f t="shared" ref="Y3:Y25" si="0">IFERROR(IF($B$5=$X$1,IF($Z$1&lt;=(Y2-1),Y2-1,""),IF($Z$1=VALUE(LEFT(Y2,4)),"",CONCATENATE(VALUE(LEFT(Y2,4))-1,"-",RIGHT(LEFT(Y2,4),2)))),"")</f>
        <v>2018-19</v>
      </c>
      <c r="Z3" s="426"/>
      <c r="AA3" s="169"/>
      <c r="AB3" s="169"/>
      <c r="AC3" s="169"/>
      <c r="AD3" s="169"/>
    </row>
    <row r="4" spans="1:30" ht="24.75" customHeight="1" thickBot="1">
      <c r="T4" s="169"/>
      <c r="U4" s="169"/>
      <c r="V4" s="426"/>
      <c r="W4" s="426"/>
      <c r="X4" s="426"/>
      <c r="Y4" s="426" t="str">
        <f t="shared" si="0"/>
        <v>2017-18</v>
      </c>
      <c r="Z4" s="426"/>
      <c r="AA4" s="169"/>
      <c r="AB4" s="169"/>
      <c r="AC4" s="169"/>
      <c r="AD4" s="169"/>
    </row>
    <row r="5" spans="1:30" ht="15.75" thickBot="1">
      <c r="A5" s="14" t="s">
        <v>383</v>
      </c>
      <c r="B5" s="2047" t="s">
        <v>382</v>
      </c>
      <c r="C5" s="2048"/>
      <c r="D5" s="2049"/>
      <c r="E5" s="425"/>
      <c r="T5" s="169"/>
      <c r="U5" s="169"/>
      <c r="V5" s="426"/>
      <c r="W5" s="426"/>
      <c r="X5" s="426"/>
      <c r="Y5" s="426" t="str">
        <f t="shared" si="0"/>
        <v>2016-17</v>
      </c>
      <c r="Z5" s="426"/>
      <c r="AA5" s="169"/>
      <c r="AB5" s="169"/>
      <c r="AC5" s="169"/>
      <c r="AD5" s="169"/>
    </row>
    <row r="6" spans="1:30" ht="15.75" thickBot="1">
      <c r="A6" s="14" t="s">
        <v>383</v>
      </c>
      <c r="B6" s="2047" t="s">
        <v>808</v>
      </c>
      <c r="C6" s="2048"/>
      <c r="D6" s="2049"/>
      <c r="E6" s="425"/>
      <c r="T6" s="169"/>
      <c r="U6" s="169"/>
      <c r="V6" s="426"/>
      <c r="W6" s="426"/>
      <c r="X6" s="426"/>
      <c r="Y6" s="426" t="str">
        <f t="shared" si="0"/>
        <v>2015-16</v>
      </c>
      <c r="Z6" s="426"/>
      <c r="AA6" s="169"/>
      <c r="AB6" s="169"/>
      <c r="AC6" s="169"/>
      <c r="AD6" s="169"/>
    </row>
    <row r="7" spans="1:30">
      <c r="T7" s="169"/>
      <c r="U7" s="169"/>
      <c r="V7" s="426"/>
      <c r="W7" s="426"/>
      <c r="X7" s="426"/>
      <c r="Y7" s="426" t="str">
        <f t="shared" si="0"/>
        <v>2014-15</v>
      </c>
      <c r="Z7" s="426"/>
      <c r="AA7" s="169"/>
      <c r="AB7" s="169"/>
      <c r="AC7" s="169"/>
      <c r="AD7" s="169"/>
    </row>
    <row r="8" spans="1:30" ht="15.75" thickBot="1">
      <c r="A8" s="1981" t="str">
        <f>IF($B$6="Click here to select an option","Select a year above for display.",CONCATENATE("Nickel Exports ",B6))</f>
        <v>Nickel Exports 2020-21</v>
      </c>
      <c r="B8" s="1981"/>
      <c r="C8" s="1981"/>
      <c r="D8" s="1981"/>
      <c r="T8" s="169"/>
      <c r="U8" s="169"/>
      <c r="V8" s="426"/>
      <c r="W8" s="426"/>
      <c r="X8" s="426"/>
      <c r="Y8" s="426" t="str">
        <f t="shared" si="0"/>
        <v>2013-14</v>
      </c>
      <c r="Z8" s="426"/>
      <c r="AA8" s="169"/>
      <c r="AB8" s="169"/>
      <c r="AC8" s="169"/>
      <c r="AD8" s="169"/>
    </row>
    <row r="9" spans="1:30" ht="15.75" thickBot="1">
      <c r="A9" s="1027" t="s">
        <v>37</v>
      </c>
      <c r="B9" s="1028" t="s">
        <v>38</v>
      </c>
      <c r="C9" s="1029" t="s">
        <v>678</v>
      </c>
      <c r="D9" s="1030" t="s">
        <v>40</v>
      </c>
      <c r="T9" s="169"/>
      <c r="U9" s="169"/>
      <c r="V9" s="169"/>
      <c r="W9" s="437"/>
      <c r="X9" s="437"/>
      <c r="Y9" s="426" t="str">
        <f t="shared" si="0"/>
        <v>2012-13</v>
      </c>
      <c r="Z9" s="169"/>
      <c r="AA9" s="169"/>
      <c r="AB9" s="169"/>
      <c r="AC9" s="169"/>
      <c r="AD9" s="169"/>
    </row>
    <row r="10" spans="1:30">
      <c r="A10" s="1031" t="str">
        <f t="array" ref="A10">IF($W$2="Mismatch Error","Mismatch Error",IF($B$5=$X$1,INDEX('Commodity Prices'!$AI$9:$AN$3502,MATCH(1,(('Commodity Prices'!$AI$9:$AI$3502)="Nickel")*(('Commodity Prices'!$AJ$9:$AJ$3502)=$B$6)*(('Commodity Prices'!$AL$9:$AL$3502)=B10),0),3),INDEX('Commodity Prices'!$AP$9:$AU$3487,MATCH(1,(('Commodity Prices'!$AP$9:$AP$3487)="Nickel")*(('Commodity Prices'!$AQ$9:$AQ$3487)=$B$6)*(('Commodity Prices'!$AS$9:$AS$3487)=B10),0),3)))</f>
        <v>China</v>
      </c>
      <c r="B10" s="1023">
        <v>1</v>
      </c>
      <c r="C10" s="1024">
        <f t="array" ref="C10">IF($W$2="Mismatch Error","",IF($B$5=$X$1,INDEX('Commodity Prices'!$AI$9:$AN$3502,MATCH(1,(('Commodity Prices'!$AI$9:$AI$3502)="Nickel")*(('Commodity Prices'!$AJ$9:$AJ$3502)=$B$6)*(('Commodity Prices'!$AL$9:$AL$3502)=B10),0),5),INDEX('Commodity Prices'!$AP$9:$AU$3487,MATCH(1,(('Commodity Prices'!$AP$9:$AP$3487)="Nickel")*(('Commodity Prices'!$AQ$9:$AQ$3487)=$B$6)*(('Commodity Prices'!$AS$9:$AS$3487)=B10),0),5)))</f>
        <v>1216637639.0058341</v>
      </c>
      <c r="D10" s="1032">
        <f>IF($W$2="Mismatch Error","",C10/$C$21)</f>
        <v>0.44240970918661932</v>
      </c>
      <c r="T10" s="169"/>
      <c r="U10" s="169"/>
      <c r="V10" s="169"/>
      <c r="W10" s="437"/>
      <c r="X10" s="437"/>
      <c r="Y10" s="426" t="str">
        <f t="shared" si="0"/>
        <v>2011-12</v>
      </c>
      <c r="Z10" s="169"/>
      <c r="AA10" s="169"/>
      <c r="AB10" s="169"/>
      <c r="AC10" s="169"/>
      <c r="AD10" s="169"/>
    </row>
    <row r="11" spans="1:30">
      <c r="A11" s="786" t="str">
        <f t="array" ref="A11">IF($W$2="Mismatch Error","",IF($B$5=$X$1,INDEX('Commodity Prices'!$AI$9:$AN$3502,MATCH(1,(('Commodity Prices'!$AI$9:$AI$3502)="Nickel")*(('Commodity Prices'!$AJ$9:$AJ$3502)=$B$6)*(('Commodity Prices'!$AL$9:$AL$3502)=B11),0),3),INDEX('Commodity Prices'!$AP$9:$AU$3487,MATCH(1,(('Commodity Prices'!$AP$9:$AP$3487)="Nickel")*(('Commodity Prices'!$AQ$9:$AQ$3487)=$B$6)*(('Commodity Prices'!$AS$9:$AS$3487)=B11),0),3)))</f>
        <v>Korea, Republic Of</v>
      </c>
      <c r="B11" s="887">
        <v>2</v>
      </c>
      <c r="C11" s="787">
        <f t="array" ref="C11">IF($W$2="Mismatch Error","",IF($B$5=$X$1,INDEX('Commodity Prices'!$AI$9:$AN$3502,MATCH(1,(('Commodity Prices'!$AI$9:$AI$3502)="Nickel")*(('Commodity Prices'!$AJ$9:$AJ$3502)=$B$6)*(('Commodity Prices'!$AL$9:$AL$3502)=B11),0),5),INDEX('Commodity Prices'!$AP$9:$AU$3487,MATCH(1,(('Commodity Prices'!$AP$9:$AP$3487)="Nickel")*(('Commodity Prices'!$AQ$9:$AQ$3487)=$B$6)*(('Commodity Prices'!$AS$9:$AS$3487)=B11),0),5)))</f>
        <v>437980495.7916671</v>
      </c>
      <c r="D11" s="888">
        <f t="shared" ref="D11:D20" si="1">IF($W$2="Mismatch Error","",C11/$C$21)</f>
        <v>0.15926420288208232</v>
      </c>
      <c r="T11" s="169"/>
      <c r="U11" s="169"/>
      <c r="V11" s="169"/>
      <c r="W11" s="437"/>
      <c r="X11" s="437"/>
      <c r="Y11" s="426" t="str">
        <f t="shared" si="0"/>
        <v>2010-11</v>
      </c>
      <c r="Z11" s="169"/>
      <c r="AA11" s="169"/>
      <c r="AB11" s="169"/>
      <c r="AC11" s="169"/>
      <c r="AD11" s="169"/>
    </row>
    <row r="12" spans="1:30">
      <c r="A12" s="1031" t="str">
        <f t="array" ref="A12">IF($W$2="Mismatch Error","",IF($B$5=$X$1,INDEX('Commodity Prices'!$AI$9:$AN$3502,MATCH(1,(('Commodity Prices'!$AI$9:$AI$3502)="Nickel")*(('Commodity Prices'!$AJ$9:$AJ$3502)=$B$6)*(('Commodity Prices'!$AL$9:$AL$3502)=B12),0),3),INDEX('Commodity Prices'!$AP$9:$AU$3487,MATCH(1,(('Commodity Prices'!$AP$9:$AP$3487)="Nickel")*(('Commodity Prices'!$AQ$9:$AQ$3487)=$B$6)*(('Commodity Prices'!$AS$9:$AS$3487)=B12),0),3)))</f>
        <v>Japan</v>
      </c>
      <c r="B12" s="1023">
        <v>3</v>
      </c>
      <c r="C12" s="1024">
        <f t="array" ref="C12">IF($W$2="Mismatch Error","",IF($B$5=$X$1,INDEX('Commodity Prices'!$AI$9:$AN$3502,MATCH(1,(('Commodity Prices'!$AI$9:$AI$3502)="Nickel")*(('Commodity Prices'!$AJ$9:$AJ$3502)=$B$6)*(('Commodity Prices'!$AL$9:$AL$3502)=B12),0),5),INDEX('Commodity Prices'!$AP$9:$AU$3487,MATCH(1,(('Commodity Prices'!$AP$9:$AP$3487)="Nickel")*(('Commodity Prices'!$AQ$9:$AQ$3487)=$B$6)*(('Commodity Prices'!$AS$9:$AS$3487)=B12),0),5)))</f>
        <v>212451663.36933169</v>
      </c>
      <c r="D12" s="1033">
        <f t="shared" si="1"/>
        <v>7.7254455718009277E-2</v>
      </c>
      <c r="T12" s="169"/>
      <c r="U12" s="169"/>
      <c r="V12" s="169"/>
      <c r="W12" s="437"/>
      <c r="X12" s="437"/>
      <c r="Y12" s="426" t="str">
        <f t="shared" si="0"/>
        <v>2009-10</v>
      </c>
      <c r="Z12" s="169"/>
      <c r="AA12" s="169"/>
      <c r="AB12" s="169"/>
      <c r="AC12" s="169"/>
      <c r="AD12" s="169"/>
    </row>
    <row r="13" spans="1:30">
      <c r="A13" s="786" t="str">
        <f t="array" ref="A13">IF($W$2="Mismatch Error","",IF($B$5=$X$1,INDEX('Commodity Prices'!$AI$9:$AN$3502,MATCH(1,(('Commodity Prices'!$AI$9:$AI$3502)="Nickel")*(('Commodity Prices'!$AJ$9:$AJ$3502)=$B$6)*(('Commodity Prices'!$AL$9:$AL$3502)=B13),0),3),INDEX('Commodity Prices'!$AP$9:$AU$3487,MATCH(1,(('Commodity Prices'!$AP$9:$AP$3487)="Nickel")*(('Commodity Prices'!$AQ$9:$AQ$3487)=$B$6)*(('Commodity Prices'!$AS$9:$AS$3487)=B13),0),3)))</f>
        <v>Netherlands</v>
      </c>
      <c r="B13" s="887">
        <v>4</v>
      </c>
      <c r="C13" s="787">
        <f t="array" ref="C13">IF($W$2="Mismatch Error","",IF($B$5=$X$1,INDEX('Commodity Prices'!$AI$9:$AN$3502,MATCH(1,(('Commodity Prices'!$AI$9:$AI$3502)="Nickel")*(('Commodity Prices'!$AJ$9:$AJ$3502)=$B$6)*(('Commodity Prices'!$AL$9:$AL$3502)=B13),0),5),INDEX('Commodity Prices'!$AP$9:$AU$3487,MATCH(1,(('Commodity Prices'!$AP$9:$AP$3487)="Nickel")*(('Commodity Prices'!$AQ$9:$AQ$3487)=$B$6)*(('Commodity Prices'!$AS$9:$AS$3487)=B13),0),5)))</f>
        <v>196125478.85615754</v>
      </c>
      <c r="D13" s="888">
        <f t="shared" si="1"/>
        <v>7.1317714727074155E-2</v>
      </c>
      <c r="Y13" s="426" t="str">
        <f t="shared" si="0"/>
        <v>2008-09</v>
      </c>
    </row>
    <row r="14" spans="1:30">
      <c r="A14" s="1031" t="str">
        <f t="array" ref="A14">IF($W$2="Mismatch Error","",IF($B$5=$X$1,INDEX('Commodity Prices'!$AI$9:$AN$3502,MATCH(1,(('Commodity Prices'!$AI$9:$AI$3502)="Nickel")*(('Commodity Prices'!$AJ$9:$AJ$3502)=$B$6)*(('Commodity Prices'!$AL$9:$AL$3502)=B14),0),3),INDEX('Commodity Prices'!$AP$9:$AU$3487,MATCH(1,(('Commodity Prices'!$AP$9:$AP$3487)="Nickel")*(('Commodity Prices'!$AQ$9:$AQ$3487)=$B$6)*(('Commodity Prices'!$AS$9:$AS$3487)=B14),0),3)))</f>
        <v>United States</v>
      </c>
      <c r="B14" s="1023">
        <v>5</v>
      </c>
      <c r="C14" s="1024">
        <f t="array" ref="C14">IF($W$2="Mismatch Error","",IF($B$5=$X$1,INDEX('Commodity Prices'!$AI$9:$AN$3502,MATCH(1,(('Commodity Prices'!$AI$9:$AI$3502)="Nickel")*(('Commodity Prices'!$AJ$9:$AJ$3502)=$B$6)*(('Commodity Prices'!$AL$9:$AL$3502)=B14),0),5),INDEX('Commodity Prices'!$AP$9:$AU$3487,MATCH(1,(('Commodity Prices'!$AP$9:$AP$3487)="Nickel")*(('Commodity Prices'!$AQ$9:$AQ$3487)=$B$6)*(('Commodity Prices'!$AS$9:$AS$3487)=B14),0),5)))</f>
        <v>194260176.14829916</v>
      </c>
      <c r="D14" s="1033">
        <f t="shared" si="1"/>
        <v>7.0639428931804041E-2</v>
      </c>
      <c r="Y14" s="426" t="str">
        <f t="shared" si="0"/>
        <v>2007-08</v>
      </c>
    </row>
    <row r="15" spans="1:30">
      <c r="A15" s="786" t="str">
        <f t="array" ref="A15">IF($W$2="Mismatch Error","",IF($B$5=$X$1,INDEX('Commodity Prices'!$AI$9:$AN$3502,MATCH(1,(('Commodity Prices'!$AI$9:$AI$3502)="Nickel")*(('Commodity Prices'!$AJ$9:$AJ$3502)=$B$6)*(('Commodity Prices'!$AL$9:$AL$3502)=B15),0),3),INDEX('Commodity Prices'!$AP$9:$AU$3487,MATCH(1,(('Commodity Prices'!$AP$9:$AP$3487)="Nickel")*(('Commodity Prices'!$AQ$9:$AQ$3487)=$B$6)*(('Commodity Prices'!$AS$9:$AS$3487)=B15),0),3)))</f>
        <v>Singapore</v>
      </c>
      <c r="B15" s="887">
        <v>6</v>
      </c>
      <c r="C15" s="787">
        <f t="array" ref="C15">IF($W$2="Mismatch Error","",IF($B$5=$X$1,INDEX('Commodity Prices'!$AI$9:$AN$3502,MATCH(1,(('Commodity Prices'!$AI$9:$AI$3502)="Nickel")*(('Commodity Prices'!$AJ$9:$AJ$3502)=$B$6)*(('Commodity Prices'!$AL$9:$AL$3502)=B15),0),5),INDEX('Commodity Prices'!$AP$9:$AU$3487,MATCH(1,(('Commodity Prices'!$AP$9:$AP$3487)="Nickel")*(('Commodity Prices'!$AQ$9:$AQ$3487)=$B$6)*(('Commodity Prices'!$AS$9:$AS$3487)=B15),0),5)))</f>
        <v>157406155.53999999</v>
      </c>
      <c r="D15" s="888">
        <f t="shared" si="1"/>
        <v>5.7238087384456821E-2</v>
      </c>
      <c r="Y15" s="426" t="str">
        <f t="shared" si="0"/>
        <v/>
      </c>
    </row>
    <row r="16" spans="1:30">
      <c r="A16" s="1031" t="str">
        <f t="array" ref="A16">IF($W$2="Mismatch Error","",IF($B$5=$X$1,INDEX('Commodity Prices'!$AI$9:$AN$3502,MATCH(1,(('Commodity Prices'!$AI$9:$AI$3502)="Nickel")*(('Commodity Prices'!$AJ$9:$AJ$3502)=$B$6)*(('Commodity Prices'!$AL$9:$AL$3502)=B16),0),3),INDEX('Commodity Prices'!$AP$9:$AU$3487,MATCH(1,(('Commodity Prices'!$AP$9:$AP$3487)="Nickel")*(('Commodity Prices'!$AQ$9:$AQ$3487)=$B$6)*(('Commodity Prices'!$AS$9:$AS$3487)=B16),0),3)))</f>
        <v>Norway</v>
      </c>
      <c r="B16" s="1023">
        <v>7</v>
      </c>
      <c r="C16" s="1024">
        <f t="array" ref="C16">IF($W$2="Mismatch Error","",IF($B$5=$X$1,INDEX('Commodity Prices'!$AI$9:$AN$3502,MATCH(1,(('Commodity Prices'!$AI$9:$AI$3502)="Nickel")*(('Commodity Prices'!$AJ$9:$AJ$3502)=$B$6)*(('Commodity Prices'!$AL$9:$AL$3502)=B16),0),5),INDEX('Commodity Prices'!$AP$9:$AU$3487,MATCH(1,(('Commodity Prices'!$AP$9:$AP$3487)="Nickel")*(('Commodity Prices'!$AQ$9:$AQ$3487)=$B$6)*(('Commodity Prices'!$AS$9:$AS$3487)=B16),0),5)))</f>
        <v>114276787.02262953</v>
      </c>
      <c r="D16" s="1033">
        <f t="shared" si="1"/>
        <v>4.1554821659779612E-2</v>
      </c>
      <c r="Y16" s="426" t="str">
        <f t="shared" si="0"/>
        <v/>
      </c>
    </row>
    <row r="17" spans="1:25">
      <c r="A17" s="786" t="str">
        <f t="array" ref="A17">IF($W$2="Mismatch Error","",IF($B$5=$X$1,INDEX('Commodity Prices'!$AI$9:$AN$3502,MATCH(1,(('Commodity Prices'!$AI$9:$AI$3502)="Nickel")*(('Commodity Prices'!$AJ$9:$AJ$3502)=$B$6)*(('Commodity Prices'!$AL$9:$AL$3502)=B17),0),3),INDEX('Commodity Prices'!$AP$9:$AU$3487,MATCH(1,(('Commodity Prices'!$AP$9:$AP$3487)="Nickel")*(('Commodity Prices'!$AQ$9:$AQ$3487)=$B$6)*(('Commodity Prices'!$AS$9:$AS$3487)=B17),0),3)))</f>
        <v>Taiwan, Province Of China</v>
      </c>
      <c r="B17" s="887">
        <v>8</v>
      </c>
      <c r="C17" s="787">
        <f t="array" ref="C17">IF($W$2="Mismatch Error","",IF($B$5=$X$1,INDEX('Commodity Prices'!$AI$9:$AN$3502,MATCH(1,(('Commodity Prices'!$AI$9:$AI$3502)="Nickel")*(('Commodity Prices'!$AJ$9:$AJ$3502)=$B$6)*(('Commodity Prices'!$AL$9:$AL$3502)=B17),0),5),INDEX('Commodity Prices'!$AP$9:$AU$3487,MATCH(1,(('Commodity Prices'!$AP$9:$AP$3487)="Nickel")*(('Commodity Prices'!$AQ$9:$AQ$3487)=$B$6)*(('Commodity Prices'!$AS$9:$AS$3487)=B17),0),5)))</f>
        <v>113195749.68402028</v>
      </c>
      <c r="D17" s="888">
        <f t="shared" si="1"/>
        <v>4.1161720707400068E-2</v>
      </c>
      <c r="Y17" s="426" t="str">
        <f t="shared" si="0"/>
        <v/>
      </c>
    </row>
    <row r="18" spans="1:25">
      <c r="A18" s="1031" t="str">
        <f t="array" ref="A18">IF($W$2="Mismatch Error","",IF($B$5=$X$1,INDEX('Commodity Prices'!$AI$9:$AN$3502,MATCH(1,(('Commodity Prices'!$AI$9:$AI$3502)="Nickel")*(('Commodity Prices'!$AJ$9:$AJ$3502)=$B$6)*(('Commodity Prices'!$AL$9:$AL$3502)=B18),0),3),INDEX('Commodity Prices'!$AP$9:$AU$3487,MATCH(1,(('Commodity Prices'!$AP$9:$AP$3487)="Nickel")*(('Commodity Prices'!$AQ$9:$AQ$3487)=$B$6)*(('Commodity Prices'!$AS$9:$AS$3487)=B18),0),3)))</f>
        <v>Spain</v>
      </c>
      <c r="B18" s="1023">
        <v>9</v>
      </c>
      <c r="C18" s="1024">
        <f t="array" ref="C18">IF($W$2="Mismatch Error","",IF($B$5=$X$1,INDEX('Commodity Prices'!$AI$9:$AN$3502,MATCH(1,(('Commodity Prices'!$AI$9:$AI$3502)="Nickel")*(('Commodity Prices'!$AJ$9:$AJ$3502)=$B$6)*(('Commodity Prices'!$AL$9:$AL$3502)=B18),0),5),INDEX('Commodity Prices'!$AP$9:$AU$3487,MATCH(1,(('Commodity Prices'!$AP$9:$AP$3487)="Nickel")*(('Commodity Prices'!$AQ$9:$AQ$3487)=$B$6)*(('Commodity Prices'!$AS$9:$AS$3487)=B18),0),5)))</f>
        <v>43189319.609999992</v>
      </c>
      <c r="D18" s="1033">
        <f t="shared" si="1"/>
        <v>1.5705065925990497E-2</v>
      </c>
      <c r="Y18" s="426" t="str">
        <f t="shared" si="0"/>
        <v/>
      </c>
    </row>
    <row r="19" spans="1:25">
      <c r="A19" s="786" t="str">
        <f t="array" ref="A19">IF($W$2="Mismatch Error","",IF($B$5=$X$1,INDEX('Commodity Prices'!$AI$9:$AN$3502,MATCH(1,(('Commodity Prices'!$AI$9:$AI$3502)="Nickel")*(('Commodity Prices'!$AJ$9:$AJ$3502)=$B$6)*(('Commodity Prices'!$AL$9:$AL$3502)=B19),0),3),INDEX('Commodity Prices'!$AP$9:$AU$3487,MATCH(1,(('Commodity Prices'!$AP$9:$AP$3487)="Nickel")*(('Commodity Prices'!$AQ$9:$AQ$3487)=$B$6)*(('Commodity Prices'!$AS$9:$AS$3487)=B19),0),3)))</f>
        <v>Canada</v>
      </c>
      <c r="B19" s="887">
        <v>10</v>
      </c>
      <c r="C19" s="787">
        <f t="array" ref="C19">IF($W$2="Mismatch Error","",IF($B$5=$X$1,INDEX('Commodity Prices'!$AI$9:$AN$3502,MATCH(1,(('Commodity Prices'!$AI$9:$AI$3502)="Nickel")*(('Commodity Prices'!$AJ$9:$AJ$3502)=$B$6)*(('Commodity Prices'!$AL$9:$AL$3502)=B19),0),5),INDEX('Commodity Prices'!$AP$9:$AU$3487,MATCH(1,(('Commodity Prices'!$AP$9:$AP$3487)="Nickel")*(('Commodity Prices'!$AQ$9:$AQ$3487)=$B$6)*(('Commodity Prices'!$AS$9:$AS$3487)=B19),0),5)))</f>
        <v>18836206.189999998</v>
      </c>
      <c r="D19" s="888">
        <f t="shared" si="1"/>
        <v>6.8494679397775367E-3</v>
      </c>
      <c r="Y19" s="426" t="str">
        <f t="shared" si="0"/>
        <v/>
      </c>
    </row>
    <row r="20" spans="1:25" ht="15.75" thickBot="1">
      <c r="A20" s="1034" t="str">
        <f>IF($W$2="Mismatch Error","","Other")</f>
        <v>Other</v>
      </c>
      <c r="B20" s="1025"/>
      <c r="C20" s="1026">
        <f>IF($W$2="Mismatch Error","",IF($B$5=$X$1,SUMIFS('Commodity Prices'!$AM$9:$AM$3502,'Commodity Prices'!$AI$9:$AI$3502,"Nickel",'Commodity Prices'!$AJ$9:$AJ$3502,$B$6,'Commodity Prices'!$AK$9:$AK$3502,"TOTAL")-SUM($C$10:$C$19),SUMIFS('Commodity Prices'!$AT$9:$AT$3487,'Commodity Prices'!$AP$9:$AP$3487,"Nickel",'Commodity Prices'!$AQ$9:$AQ$3487,$B$6,'Commodity Prices'!$AR$9:$AR$3487,"TOTAL")-SUM($C$10:$C$19)))</f>
        <v>45665054.149528503</v>
      </c>
      <c r="D20" s="1035">
        <f t="shared" si="1"/>
        <v>1.6605324937006369E-2</v>
      </c>
      <c r="Y20" s="426" t="str">
        <f t="shared" si="0"/>
        <v/>
      </c>
    </row>
    <row r="21" spans="1:25" ht="15.75" thickBot="1">
      <c r="A21" s="793" t="str">
        <f>IF($W$2="Mismatch Error","","Grand Total")</f>
        <v>Grand Total</v>
      </c>
      <c r="B21" s="794"/>
      <c r="C21" s="795">
        <f>IF($W$2="Mismatch Error","",IF($B$5=$X$1,SUMIFS('Commodity Prices'!$AM$9:$AM$3502,'Commodity Prices'!$AI$9:$AI$3502,"Nickel",'Commodity Prices'!$AJ$9:$AJ$3502,$B$6,'Commodity Prices'!$AK$9:$AK$3502,"TOTAL"),SUMIFS('Commodity Prices'!$AT$9:$AT$3487,'Commodity Prices'!$AP$9:$AP$3487,"Nickel",'Commodity Prices'!$AQ$9:$AQ$3487,$B$6,'Commodity Prices'!$AR$9:$AR$3487,"TOTAL")))</f>
        <v>2750024725.3674679</v>
      </c>
      <c r="D21" s="796"/>
      <c r="E21"/>
      <c r="Y21" s="426" t="str">
        <f t="shared" si="0"/>
        <v/>
      </c>
    </row>
    <row r="22" spans="1:25">
      <c r="Y22" s="426" t="str">
        <f t="shared" si="0"/>
        <v/>
      </c>
    </row>
    <row r="23" spans="1:25">
      <c r="A23" s="1991" t="str">
        <f>IF(A10="Mismatch Error","You have selected an incompatible year or year type. Change one or the other to display data.","")</f>
        <v/>
      </c>
      <c r="B23" s="1991"/>
      <c r="C23" s="1991"/>
      <c r="D23" s="1991"/>
      <c r="Y23" s="426" t="str">
        <f t="shared" si="0"/>
        <v/>
      </c>
    </row>
    <row r="24" spans="1:25">
      <c r="A24" s="1991"/>
      <c r="B24" s="1991"/>
      <c r="C24" s="1991"/>
      <c r="D24" s="1991"/>
      <c r="Y24" s="426" t="str">
        <f t="shared" si="0"/>
        <v/>
      </c>
    </row>
    <row r="25" spans="1:25" ht="15" customHeight="1">
      <c r="A25" s="1991"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91"/>
      <c r="C25" s="1991"/>
      <c r="D25" s="1991"/>
      <c r="Y25" s="426" t="str">
        <f t="shared" si="0"/>
        <v/>
      </c>
    </row>
    <row r="26" spans="1:25">
      <c r="A26" s="1991"/>
      <c r="B26" s="1991"/>
      <c r="C26" s="1991"/>
      <c r="D26" s="1991"/>
      <c r="Y26" s="426"/>
    </row>
    <row r="27" spans="1:25">
      <c r="A27" s="1991"/>
      <c r="B27" s="1991"/>
      <c r="C27" s="1991"/>
      <c r="D27" s="1991"/>
      <c r="Y27" s="426"/>
    </row>
    <row r="28" spans="1:25">
      <c r="A28" s="1991"/>
      <c r="B28" s="1991"/>
      <c r="C28" s="1991"/>
      <c r="D28" s="1991"/>
      <c r="Y28" s="426"/>
    </row>
    <row r="32" spans="1:25">
      <c r="E32" s="428"/>
    </row>
    <row r="33" spans="5:5">
      <c r="E33" s="428"/>
    </row>
    <row r="34" spans="5:5">
      <c r="E34" s="428"/>
    </row>
    <row r="35" spans="5:5">
      <c r="E35" s="428"/>
    </row>
    <row r="36" spans="5:5">
      <c r="E36" s="428"/>
    </row>
    <row r="37" spans="5:5">
      <c r="E37" s="428"/>
    </row>
    <row r="38" spans="5:5">
      <c r="E38" s="428"/>
    </row>
    <row r="39" spans="5:5">
      <c r="E39" s="428"/>
    </row>
    <row r="40" spans="5:5">
      <c r="E40" s="428"/>
    </row>
    <row r="41" spans="5:5">
      <c r="E41" s="428"/>
    </row>
    <row r="42" spans="5:5">
      <c r="E42" s="428"/>
    </row>
    <row r="43" spans="5:5">
      <c r="E43" s="428"/>
    </row>
    <row r="44" spans="5:5">
      <c r="E44" s="428"/>
    </row>
    <row r="45" spans="5:5">
      <c r="E45" s="428"/>
    </row>
    <row r="46" spans="5:5">
      <c r="E46" s="428"/>
    </row>
    <row r="47" spans="5:5">
      <c r="E47" s="428"/>
    </row>
    <row r="48" spans="5:5">
      <c r="E48" s="428"/>
    </row>
    <row r="49" spans="5:5">
      <c r="E49" s="428"/>
    </row>
    <row r="50" spans="5:5">
      <c r="E50" s="428"/>
    </row>
    <row r="51" spans="5:5">
      <c r="E51" s="428"/>
    </row>
    <row r="52" spans="5:5">
      <c r="E52" s="428"/>
    </row>
    <row r="53" spans="5:5">
      <c r="E53" s="428"/>
    </row>
    <row r="54" spans="5:5">
      <c r="E54" s="428"/>
    </row>
    <row r="55" spans="5:5">
      <c r="E55" s="428"/>
    </row>
    <row r="56" spans="5:5">
      <c r="E56" s="428"/>
    </row>
    <row r="57" spans="5:5">
      <c r="E57" s="428"/>
    </row>
    <row r="58" spans="5:5">
      <c r="E58" s="428"/>
    </row>
    <row r="59" spans="5:5">
      <c r="E59" s="428"/>
    </row>
    <row r="60" spans="5:5">
      <c r="E60" s="428"/>
    </row>
    <row r="61" spans="5:5">
      <c r="E61" s="428"/>
    </row>
    <row r="62" spans="5:5">
      <c r="E62" s="428"/>
    </row>
    <row r="63" spans="5:5">
      <c r="E63" s="428"/>
    </row>
    <row r="64" spans="5:5">
      <c r="E64" s="428"/>
    </row>
    <row r="67" spans="5:5">
      <c r="E67" s="428"/>
    </row>
    <row r="68" spans="5:5">
      <c r="E68" s="428"/>
    </row>
    <row r="69" spans="5:5">
      <c r="E69" s="428"/>
    </row>
    <row r="70" spans="5:5">
      <c r="E70" s="428"/>
    </row>
    <row r="71" spans="5:5">
      <c r="E71" s="428"/>
    </row>
    <row r="72" spans="5:5">
      <c r="E72" s="428"/>
    </row>
    <row r="73" spans="5:5">
      <c r="E73" s="428"/>
    </row>
    <row r="74" spans="5:5">
      <c r="E74" s="428"/>
    </row>
    <row r="75" spans="5:5">
      <c r="E75" s="428"/>
    </row>
    <row r="76" spans="5:5">
      <c r="E76" s="428"/>
    </row>
    <row r="77" spans="5:5">
      <c r="E77" s="428"/>
    </row>
    <row r="78" spans="5:5">
      <c r="E78" s="428"/>
    </row>
    <row r="79" spans="5:5">
      <c r="E79" s="428"/>
    </row>
    <row r="80" spans="5:5">
      <c r="E80" s="428"/>
    </row>
    <row r="81" spans="5:5">
      <c r="E81" s="428"/>
    </row>
  </sheetData>
  <mergeCells count="5">
    <mergeCell ref="B5:D5"/>
    <mergeCell ref="B6:D6"/>
    <mergeCell ref="A8:D8"/>
    <mergeCell ref="A23:D24"/>
    <mergeCell ref="A25:D28"/>
  </mergeCells>
  <conditionalFormatting sqref="A10">
    <cfRule type="containsText" dxfId="1" priority="1" operator="containsText" text="Mismatch Error">
      <formula>NOT(ISERROR(SEARCH("Mismatch Error",A10)))</formula>
    </cfRule>
  </conditionalFormatting>
  <dataValidations count="2">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sheetPr>
  <dimension ref="A2:U62"/>
  <sheetViews>
    <sheetView showGridLines="0" workbookViewId="0">
      <selection activeCell="T56" sqref="T56"/>
    </sheetView>
  </sheetViews>
  <sheetFormatPr defaultRowHeight="15"/>
  <cols>
    <col min="1" max="1" width="11.7109375" style="15" customWidth="1"/>
    <col min="2" max="2" width="21" style="15" bestFit="1" customWidth="1"/>
    <col min="3" max="3" width="19.42578125" style="15" bestFit="1" customWidth="1"/>
    <col min="4" max="5" width="1.7109375" style="15" customWidth="1"/>
    <col min="6" max="14" width="9.140625" style="15"/>
    <col min="15" max="18" width="0" style="15" hidden="1" customWidth="1"/>
    <col min="19" max="19" width="10.85546875" style="15" customWidth="1"/>
    <col min="20" max="21" width="23.5703125" style="15" customWidth="1"/>
    <col min="22" max="16384" width="9.140625" style="15"/>
  </cols>
  <sheetData>
    <row r="2" spans="1:7">
      <c r="G2" s="537"/>
    </row>
    <row r="4" spans="1:7" ht="20.25" customHeight="1"/>
    <row r="5" spans="1:7" ht="15.75" thickBot="1">
      <c r="A5" s="1992" t="s">
        <v>704</v>
      </c>
      <c r="B5" s="1992"/>
      <c r="C5" s="1992"/>
    </row>
    <row r="6" spans="1:7" ht="15.75" thickBot="1">
      <c r="A6" s="1398" t="s">
        <v>41</v>
      </c>
      <c r="B6" s="1029" t="s">
        <v>50</v>
      </c>
      <c r="C6" s="1030" t="s">
        <v>51</v>
      </c>
    </row>
    <row r="7" spans="1:7">
      <c r="A7" s="1050">
        <v>1965</v>
      </c>
      <c r="B7" s="800">
        <v>0</v>
      </c>
      <c r="C7" s="799">
        <v>0</v>
      </c>
    </row>
    <row r="8" spans="1:7">
      <c r="A8" s="1050">
        <v>1966</v>
      </c>
      <c r="B8" s="1001">
        <v>0</v>
      </c>
      <c r="C8" s="1002">
        <v>0</v>
      </c>
    </row>
    <row r="9" spans="1:7">
      <c r="A9" s="1050">
        <v>1967</v>
      </c>
      <c r="B9" s="706">
        <v>0.29668549999999999</v>
      </c>
      <c r="C9" s="705">
        <v>0</v>
      </c>
    </row>
    <row r="10" spans="1:7">
      <c r="A10" s="1050">
        <v>1968</v>
      </c>
      <c r="B10" s="1001">
        <v>0.54866499999999996</v>
      </c>
      <c r="C10" s="1002">
        <v>0</v>
      </c>
    </row>
    <row r="11" spans="1:7">
      <c r="A11" s="1050">
        <v>1969</v>
      </c>
      <c r="B11" s="706">
        <v>7.877408</v>
      </c>
      <c r="C11" s="705">
        <v>0</v>
      </c>
    </row>
    <row r="12" spans="1:7">
      <c r="A12" s="1050">
        <v>1970</v>
      </c>
      <c r="B12" s="1001">
        <v>31.609000000000002</v>
      </c>
      <c r="C12" s="1002">
        <v>0</v>
      </c>
    </row>
    <row r="13" spans="1:7">
      <c r="A13" s="1050">
        <v>1971</v>
      </c>
      <c r="B13" s="706">
        <v>35.768999999999998</v>
      </c>
      <c r="C13" s="705">
        <v>0</v>
      </c>
    </row>
    <row r="14" spans="1:7">
      <c r="A14" s="1050">
        <v>1972</v>
      </c>
      <c r="B14" s="1001">
        <v>31.37</v>
      </c>
      <c r="C14" s="1002">
        <v>0</v>
      </c>
    </row>
    <row r="15" spans="1:7">
      <c r="A15" s="1050">
        <v>1973</v>
      </c>
      <c r="B15" s="706">
        <v>40.228000000000002</v>
      </c>
      <c r="C15" s="705">
        <v>0</v>
      </c>
    </row>
    <row r="16" spans="1:7">
      <c r="A16" s="1050">
        <v>1974</v>
      </c>
      <c r="B16" s="1001">
        <v>45.93</v>
      </c>
      <c r="C16" s="1002">
        <v>1.897</v>
      </c>
    </row>
    <row r="17" spans="1:21">
      <c r="A17" s="1050">
        <v>1975</v>
      </c>
      <c r="B17" s="706">
        <v>53.432000000000002</v>
      </c>
      <c r="C17" s="705">
        <v>22.393000000000001</v>
      </c>
    </row>
    <row r="18" spans="1:21">
      <c r="A18" s="1050">
        <v>1976</v>
      </c>
      <c r="B18" s="1001">
        <v>58.000999999999998</v>
      </c>
      <c r="C18" s="1002">
        <v>24.530999999999999</v>
      </c>
    </row>
    <row r="19" spans="1:21">
      <c r="A19" s="1050">
        <v>1977</v>
      </c>
      <c r="B19" s="706">
        <v>56.569000000000003</v>
      </c>
      <c r="C19" s="705">
        <v>29.298999999999999</v>
      </c>
    </row>
    <row r="20" spans="1:21">
      <c r="A20" s="1050">
        <v>1978</v>
      </c>
      <c r="B20" s="1001">
        <v>50.723999999999997</v>
      </c>
      <c r="C20" s="1002">
        <v>31.635000000000002</v>
      </c>
    </row>
    <row r="21" spans="1:21">
      <c r="A21" s="1050">
        <v>1979</v>
      </c>
      <c r="B21" s="706">
        <v>43.688000000000002</v>
      </c>
      <c r="C21" s="705">
        <v>26.021000000000001</v>
      </c>
    </row>
    <row r="22" spans="1:21">
      <c r="A22" s="1050">
        <v>1980</v>
      </c>
      <c r="B22" s="1001">
        <v>43.597000000000001</v>
      </c>
      <c r="C22" s="1002">
        <v>30.725999999999999</v>
      </c>
    </row>
    <row r="23" spans="1:21">
      <c r="A23" s="1050">
        <v>1981</v>
      </c>
      <c r="B23" s="706">
        <v>47.768999999999998</v>
      </c>
      <c r="C23" s="705">
        <v>26.585999999999999</v>
      </c>
    </row>
    <row r="24" spans="1:21">
      <c r="A24" s="1050">
        <v>1982</v>
      </c>
      <c r="B24" s="1001">
        <v>57.545999999999999</v>
      </c>
      <c r="C24" s="1002">
        <v>30.006</v>
      </c>
    </row>
    <row r="25" spans="1:21">
      <c r="A25" s="1050">
        <v>1983</v>
      </c>
      <c r="B25" s="706">
        <v>57.973999999999997</v>
      </c>
      <c r="C25" s="705">
        <v>18.651</v>
      </c>
    </row>
    <row r="26" spans="1:21">
      <c r="A26" s="1050">
        <v>1984</v>
      </c>
      <c r="B26" s="1001">
        <v>58.837000000000003</v>
      </c>
      <c r="C26" s="1002">
        <v>18.085999999999999</v>
      </c>
    </row>
    <row r="27" spans="1:21">
      <c r="A27" s="1050">
        <v>1985</v>
      </c>
      <c r="B27" s="706">
        <v>55.936999999999998</v>
      </c>
      <c r="C27" s="705">
        <v>29.82</v>
      </c>
    </row>
    <row r="28" spans="1:21">
      <c r="A28" s="1050">
        <v>1986</v>
      </c>
      <c r="B28" s="1001">
        <v>49.228999999999999</v>
      </c>
      <c r="C28" s="1002">
        <v>27.51</v>
      </c>
    </row>
    <row r="29" spans="1:21">
      <c r="A29" s="1050">
        <v>1987</v>
      </c>
      <c r="B29" s="706">
        <v>47.588999999999999</v>
      </c>
      <c r="C29" s="705">
        <v>26.965</v>
      </c>
      <c r="S29" s="1981" t="s">
        <v>708</v>
      </c>
      <c r="T29" s="1981"/>
      <c r="U29" s="1981"/>
    </row>
    <row r="30" spans="1:21" ht="15.75" thickBot="1">
      <c r="A30" s="1050">
        <v>1988</v>
      </c>
      <c r="B30" s="1001">
        <v>36.302</v>
      </c>
      <c r="C30" s="1002">
        <v>26.337</v>
      </c>
      <c r="S30" s="1993" t="s">
        <v>710</v>
      </c>
      <c r="T30" s="1993"/>
      <c r="U30" s="1993"/>
    </row>
    <row r="31" spans="1:21" ht="15.75" thickBot="1">
      <c r="A31" s="1050">
        <v>1989</v>
      </c>
      <c r="B31" s="706">
        <v>39</v>
      </c>
      <c r="C31" s="705">
        <v>26</v>
      </c>
      <c r="S31" s="1399" t="s">
        <v>41</v>
      </c>
      <c r="T31" s="1012" t="str">
        <f>B6</f>
        <v>Western Australia (Kt)</v>
      </c>
      <c r="U31" s="1010" t="str">
        <f>C6</f>
        <v>Rest of Australia (Kt)</v>
      </c>
    </row>
    <row r="32" spans="1:21">
      <c r="A32" s="1050">
        <v>1990</v>
      </c>
      <c r="B32" s="1001">
        <v>51</v>
      </c>
      <c r="C32" s="1002">
        <v>16</v>
      </c>
      <c r="S32" s="1050">
        <f>LARGE(A$7:A$86,10)</f>
        <v>2011</v>
      </c>
      <c r="T32" s="1047">
        <f t="shared" ref="T32:T41" si="0">SUMIF($A$7:$A$91,$S32,B$7:B$91)</f>
        <v>185.13</v>
      </c>
      <c r="U32" s="1049">
        <f t="shared" ref="U32:U41" si="1">SUMIF($A$7:$A$91,$S32,C$7:C$91)</f>
        <v>0</v>
      </c>
    </row>
    <row r="33" spans="1:21">
      <c r="A33" s="1050">
        <v>1991</v>
      </c>
      <c r="B33" s="706">
        <v>56</v>
      </c>
      <c r="C33" s="705">
        <v>13</v>
      </c>
      <c r="S33" s="1050">
        <f>LARGE(A$7:A$86,9)</f>
        <v>2012</v>
      </c>
      <c r="T33" s="740">
        <f t="shared" si="0"/>
        <v>230.76710035740911</v>
      </c>
      <c r="U33" s="1051">
        <f t="shared" si="1"/>
        <v>0</v>
      </c>
    </row>
    <row r="34" spans="1:21">
      <c r="A34" s="1050">
        <v>1992</v>
      </c>
      <c r="B34" s="1001">
        <v>48</v>
      </c>
      <c r="C34" s="1002">
        <v>10</v>
      </c>
      <c r="S34" s="1050">
        <f>LARGE(A$7:A$86,8)</f>
        <v>2013</v>
      </c>
      <c r="T34" s="1048">
        <f t="shared" si="0"/>
        <v>229.73</v>
      </c>
      <c r="U34" s="1052">
        <f t="shared" si="1"/>
        <v>0</v>
      </c>
    </row>
    <row r="35" spans="1:21">
      <c r="A35" s="1050">
        <v>1993</v>
      </c>
      <c r="B35" s="706">
        <v>55.463000000000001</v>
      </c>
      <c r="C35" s="705">
        <v>14.537000000000001</v>
      </c>
      <c r="S35" s="1050">
        <f>LARGE(A$7:A$86,7)</f>
        <v>2014</v>
      </c>
      <c r="T35" s="740">
        <f t="shared" si="0"/>
        <v>218.56311600000001</v>
      </c>
      <c r="U35" s="1051">
        <f t="shared" si="1"/>
        <v>0</v>
      </c>
    </row>
    <row r="36" spans="1:21">
      <c r="A36" s="1050">
        <v>1994</v>
      </c>
      <c r="B36" s="1001">
        <v>77</v>
      </c>
      <c r="C36" s="1002">
        <v>2</v>
      </c>
      <c r="S36" s="1050">
        <f>LARGE(A$7:A$86,6)</f>
        <v>2015</v>
      </c>
      <c r="T36" s="1048">
        <f t="shared" si="0"/>
        <v>173.97419099999999</v>
      </c>
      <c r="U36" s="1052">
        <f t="shared" si="1"/>
        <v>0</v>
      </c>
    </row>
    <row r="37" spans="1:21">
      <c r="A37" s="1050">
        <v>1995</v>
      </c>
      <c r="B37" s="706">
        <v>101.358</v>
      </c>
      <c r="C37" s="705">
        <v>0.64200000000000002</v>
      </c>
      <c r="S37" s="1050">
        <f>LARGE(A$7:A$86,5)</f>
        <v>2016</v>
      </c>
      <c r="T37" s="740">
        <f t="shared" si="0"/>
        <v>165.47567599999999</v>
      </c>
      <c r="U37" s="1051">
        <f t="shared" si="1"/>
        <v>0</v>
      </c>
    </row>
    <row r="38" spans="1:21">
      <c r="A38" s="1050">
        <v>1996</v>
      </c>
      <c r="B38" s="1001">
        <v>112.108</v>
      </c>
      <c r="C38" s="1002">
        <v>4</v>
      </c>
      <c r="S38" s="1050">
        <f>LARGE(A$7:A$86,4)</f>
        <v>2017</v>
      </c>
      <c r="T38" s="1048">
        <f t="shared" si="0"/>
        <v>165.18295699999999</v>
      </c>
      <c r="U38" s="1052">
        <f t="shared" si="1"/>
        <v>0</v>
      </c>
    </row>
    <row r="39" spans="1:21">
      <c r="A39" s="1050">
        <v>1997</v>
      </c>
      <c r="B39" s="706">
        <v>122.991</v>
      </c>
      <c r="C39" s="705">
        <v>0</v>
      </c>
      <c r="S39" s="1050">
        <f>LARGE(A$7:A$86,3)</f>
        <v>2018</v>
      </c>
      <c r="T39" s="740">
        <f t="shared" si="0"/>
        <v>149.706005</v>
      </c>
      <c r="U39" s="1051">
        <f t="shared" si="1"/>
        <v>0</v>
      </c>
    </row>
    <row r="40" spans="1:21">
      <c r="A40" s="1050">
        <v>1998</v>
      </c>
      <c r="B40" s="1001">
        <v>143.08199999999999</v>
      </c>
      <c r="C40" s="1002">
        <v>0</v>
      </c>
      <c r="S40" s="1050">
        <f>LARGE(A$7:A$86,2)</f>
        <v>2019</v>
      </c>
      <c r="T40" s="1048">
        <f t="shared" si="0"/>
        <v>153.50227000000001</v>
      </c>
      <c r="U40" s="1052">
        <f t="shared" si="1"/>
        <v>0</v>
      </c>
    </row>
    <row r="41" spans="1:21" ht="15.75" thickBot="1">
      <c r="A41" s="1050">
        <v>1999</v>
      </c>
      <c r="B41" s="706">
        <f>SUMIF('Nickel - Q&amp;V'!$D$8:$D$200,'Nickel - WA vs Australia'!A41,'Nickel - Q&amp;V'!$B$8:$B$200)</f>
        <v>122.79599999999999</v>
      </c>
      <c r="C41" s="705">
        <v>0</v>
      </c>
      <c r="S41" s="596">
        <f>LARGE(A$7:A$86,1)</f>
        <v>2020</v>
      </c>
      <c r="T41" s="744">
        <f t="shared" si="0"/>
        <v>165.50467800000001</v>
      </c>
      <c r="U41" s="1053">
        <f t="shared" si="1"/>
        <v>0</v>
      </c>
    </row>
    <row r="42" spans="1:21">
      <c r="A42" s="1050">
        <v>2000</v>
      </c>
      <c r="B42" s="1001">
        <f>SUMIF('Nickel - Q&amp;V'!$D$8:$D$200,'Nickel - WA vs Australia'!A42,'Nickel - Q&amp;V'!$B$8:$B$200)</f>
        <v>154.07399999999998</v>
      </c>
      <c r="C42" s="1002">
        <v>0</v>
      </c>
    </row>
    <row r="43" spans="1:21">
      <c r="A43" s="1050">
        <v>2001</v>
      </c>
      <c r="B43" s="706">
        <f>SUMIF('Nickel - Q&amp;V'!$D$8:$D$200,'Nickel - WA vs Australia'!A43,'Nickel - Q&amp;V'!$B$8:$B$200)</f>
        <v>181.16899999999998</v>
      </c>
      <c r="C43" s="705">
        <v>0</v>
      </c>
    </row>
    <row r="44" spans="1:21">
      <c r="A44" s="1050">
        <v>2002</v>
      </c>
      <c r="B44" s="1001">
        <f>SUMIF('Nickel - Q&amp;V'!$D$8:$D$200,'Nickel - WA vs Australia'!A44,'Nickel - Q&amp;V'!$B$8:$B$200)</f>
        <v>183.00200000000001</v>
      </c>
      <c r="C44" s="1002">
        <v>0</v>
      </c>
    </row>
    <row r="45" spans="1:21">
      <c r="A45" s="1050">
        <v>2003</v>
      </c>
      <c r="B45" s="706">
        <f>SUMIF('Nickel - Q&amp;V'!$D$8:$D$200,'Nickel - WA vs Australia'!A45,'Nickel - Q&amp;V'!$B$8:$B$200)</f>
        <v>190.20999999999998</v>
      </c>
      <c r="C45" s="705">
        <v>0</v>
      </c>
    </row>
    <row r="46" spans="1:21">
      <c r="A46" s="1050">
        <v>2004</v>
      </c>
      <c r="B46" s="1001">
        <f>SUMIF('Nickel - Q&amp;V'!$D$8:$D$200,'Nickel - WA vs Australia'!A46,'Nickel - Q&amp;V'!$B$8:$B$200)</f>
        <v>174.70099999999999</v>
      </c>
      <c r="C46" s="1002">
        <v>0</v>
      </c>
    </row>
    <row r="47" spans="1:21">
      <c r="A47" s="1050">
        <v>2005</v>
      </c>
      <c r="B47" s="706">
        <f>SUMIF('Nickel - Q&amp;V'!$D$8:$D$200,'Nickel - WA vs Australia'!A47,'Nickel - Q&amp;V'!$B$8:$B$200)</f>
        <v>188.36199999999999</v>
      </c>
      <c r="C47" s="705">
        <v>0</v>
      </c>
    </row>
    <row r="48" spans="1:21">
      <c r="A48" s="1050">
        <v>2006</v>
      </c>
      <c r="B48" s="1001">
        <f>SUMIF('Nickel - Q&amp;V'!$D$8:$D$200,'Nickel - WA vs Australia'!A48,'Nickel - Q&amp;V'!$B$8:$B$200)</f>
        <v>175.08699999999999</v>
      </c>
      <c r="C48" s="1002">
        <v>0</v>
      </c>
    </row>
    <row r="49" spans="1:3">
      <c r="A49" s="1050">
        <v>2007</v>
      </c>
      <c r="B49" s="706">
        <f>SUMIF('Nickel - Q&amp;V'!$D$8:$D$200,'Nickel - WA vs Australia'!A49,'Nickel - Q&amp;V'!$B$8:$B$200)</f>
        <v>162.49200000000002</v>
      </c>
      <c r="C49" s="705">
        <v>0</v>
      </c>
    </row>
    <row r="50" spans="1:3">
      <c r="A50" s="1050">
        <v>2008</v>
      </c>
      <c r="B50" s="1001">
        <f>SUMIF('Nickel - Q&amp;V'!$D$8:$D$200,'Nickel - WA vs Australia'!A50,'Nickel - Q&amp;V'!$B$8:$B$200)</f>
        <v>187.791</v>
      </c>
      <c r="C50" s="1002">
        <v>0</v>
      </c>
    </row>
    <row r="51" spans="1:3">
      <c r="A51" s="1050">
        <v>2009</v>
      </c>
      <c r="B51" s="706">
        <f>SUMIF('Nickel - Q&amp;V'!$D$8:$D$200,'Nickel - WA vs Australia'!A51,'Nickel - Q&amp;V'!$B$8:$B$200)</f>
        <v>171.178</v>
      </c>
      <c r="C51" s="705">
        <v>0</v>
      </c>
    </row>
    <row r="52" spans="1:3">
      <c r="A52" s="1050">
        <v>2010</v>
      </c>
      <c r="B52" s="1001">
        <f>SUMIF('Nickel - Q&amp;V'!$D$8:$D$200,'Nickel - WA vs Australia'!A52,'Nickel - Q&amp;V'!$B$8:$B$200)</f>
        <v>193.25899999999999</v>
      </c>
      <c r="C52" s="1002">
        <v>0</v>
      </c>
    </row>
    <row r="53" spans="1:3">
      <c r="A53" s="1050">
        <v>2011</v>
      </c>
      <c r="B53" s="706">
        <f>SUMIF('Nickel - Q&amp;V'!$D$8:$D$200,'Nickel - WA vs Australia'!A53,'Nickel - Q&amp;V'!$B$8:$B$200)</f>
        <v>185.13</v>
      </c>
      <c r="C53" s="705">
        <v>0</v>
      </c>
    </row>
    <row r="54" spans="1:3">
      <c r="A54" s="1050">
        <v>2012</v>
      </c>
      <c r="B54" s="1001">
        <f>SUMIF('Nickel - Q&amp;V'!$D$8:$D$200,'Nickel - WA vs Australia'!A54,'Nickel - Q&amp;V'!$B$8:$B$200)</f>
        <v>230.76710035740911</v>
      </c>
      <c r="C54" s="1002">
        <v>0</v>
      </c>
    </row>
    <row r="55" spans="1:3">
      <c r="A55" s="1050">
        <v>2013</v>
      </c>
      <c r="B55" s="706">
        <f>SUMIF('Nickel - Q&amp;V'!$D$8:$D$200,'Nickel - WA vs Australia'!A55,'Nickel - Q&amp;V'!$B$8:$B$200)</f>
        <v>229.73</v>
      </c>
      <c r="C55" s="705">
        <v>0</v>
      </c>
    </row>
    <row r="56" spans="1:3">
      <c r="A56" s="1050">
        <v>2014</v>
      </c>
      <c r="B56" s="1001">
        <f>SUMIF('Nickel - Q&amp;V'!$D$8:$D$200,'Nickel - WA vs Australia'!A56,'Nickel - Q&amp;V'!$B$8:$B$200)</f>
        <v>218.56311600000001</v>
      </c>
      <c r="C56" s="1002">
        <v>0</v>
      </c>
    </row>
    <row r="57" spans="1:3">
      <c r="A57" s="1050">
        <v>2015</v>
      </c>
      <c r="B57" s="706">
        <f>SUMIF('Nickel - Q&amp;V'!$D$8:$D$200,'Nickel - WA vs Australia'!A57,'Nickel - Q&amp;V'!$B$8:$B$200)</f>
        <v>173.97419099999999</v>
      </c>
      <c r="C57" s="705">
        <v>0</v>
      </c>
    </row>
    <row r="58" spans="1:3">
      <c r="A58" s="1050">
        <v>2016</v>
      </c>
      <c r="B58" s="1001">
        <f>SUMIF('Nickel - Q&amp;V'!$D$8:$D$200,'Nickel - WA vs Australia'!A58,'Nickel - Q&amp;V'!$B$8:$B$200)</f>
        <v>165.47567599999999</v>
      </c>
      <c r="C58" s="1002">
        <v>0</v>
      </c>
    </row>
    <row r="59" spans="1:3">
      <c r="A59" s="1050">
        <v>2017</v>
      </c>
      <c r="B59" s="706">
        <f>SUMIF('Nickel - Q&amp;V'!$D$8:$D$200,'Nickel - WA vs Australia'!A59,'Nickel - Q&amp;V'!$B$8:$B$200)</f>
        <v>165.18295699999999</v>
      </c>
      <c r="C59" s="799">
        <v>0</v>
      </c>
    </row>
    <row r="60" spans="1:3">
      <c r="A60" s="1050">
        <v>2018</v>
      </c>
      <c r="B60" s="1001">
        <f>SUMIF('Nickel - Q&amp;V'!$D$8:$D$200,'Nickel - WA vs Australia'!A60,'Nickel - Q&amp;V'!$B$8:$B$200)</f>
        <v>149.706005</v>
      </c>
      <c r="C60" s="1002">
        <v>0</v>
      </c>
    </row>
    <row r="61" spans="1:3">
      <c r="A61" s="1050">
        <v>2019</v>
      </c>
      <c r="B61" s="706">
        <f>SUMIF('Nickel - Q&amp;V'!$D$8:$D$200,'Nickel - WA vs Australia'!A61,'Nickel - Q&amp;V'!$B$8:$B$200)</f>
        <v>153.50227000000001</v>
      </c>
      <c r="C61" s="799">
        <v>0</v>
      </c>
    </row>
    <row r="62" spans="1:3" ht="15.75" thickBot="1">
      <c r="A62" s="596">
        <v>2020</v>
      </c>
      <c r="B62" s="1667">
        <f>SUMIF('Nickel - Q&amp;V'!$D$8:$D$200,'Nickel - WA vs Australia'!A62,'Nickel - Q&amp;V'!$B$8:$B$200)</f>
        <v>165.50467800000001</v>
      </c>
      <c r="C62" s="1668">
        <v>0</v>
      </c>
    </row>
  </sheetData>
  <mergeCells count="3">
    <mergeCell ref="A5:C5"/>
    <mergeCell ref="S29:U29"/>
    <mergeCell ref="S30:U30"/>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1" tint="0.499984740745262"/>
  </sheetPr>
  <dimension ref="A1:AP365"/>
  <sheetViews>
    <sheetView showGridLines="0" zoomScaleNormal="100" workbookViewId="0">
      <pane ySplit="7" topLeftCell="A8" activePane="bottomLeft" state="frozen"/>
      <selection pane="bottomLeft" activeCell="P25" sqref="P25"/>
    </sheetView>
  </sheetViews>
  <sheetFormatPr defaultRowHeight="15"/>
  <cols>
    <col min="1" max="1" width="7.85546875" style="129" bestFit="1" customWidth="1"/>
    <col min="2" max="2" width="13.85546875" style="129" customWidth="1"/>
    <col min="3" max="3" width="17.140625" style="129" customWidth="1"/>
    <col min="4" max="4" width="13.28515625" style="129" bestFit="1" customWidth="1"/>
    <col min="5" max="5" width="15.5703125" style="129" customWidth="1"/>
    <col min="6" max="6" width="13.28515625" style="129" bestFit="1" customWidth="1"/>
    <col min="7" max="7" width="16.7109375" style="129" customWidth="1"/>
    <col min="8" max="8" width="21.140625" style="129" customWidth="1"/>
    <col min="9" max="9" width="19.140625" style="129" customWidth="1"/>
    <col min="10" max="10" width="14.140625" style="129" customWidth="1"/>
    <col min="11" max="11" width="17.5703125" style="129" customWidth="1"/>
    <col min="12" max="12" width="15.7109375" style="129" customWidth="1"/>
    <col min="13" max="13" width="16.85546875" style="21" customWidth="1"/>
    <col min="14" max="14" width="5" style="1741" hidden="1" customWidth="1"/>
    <col min="15" max="15" width="2" style="1741" hidden="1" customWidth="1"/>
    <col min="16" max="16" width="9.28515625" style="21" bestFit="1" customWidth="1"/>
    <col min="17" max="17" width="18" style="129" bestFit="1" customWidth="1"/>
    <col min="18" max="18" width="24.140625" style="129" customWidth="1"/>
    <col min="19" max="19" width="23.140625" style="129" customWidth="1"/>
    <col min="20" max="20" width="10.7109375" style="129" bestFit="1" customWidth="1"/>
    <col min="21" max="21" width="10.140625" style="129" bestFit="1" customWidth="1"/>
    <col min="22" max="22" width="11.140625" style="129" bestFit="1" customWidth="1"/>
    <col min="23" max="29" width="9.140625" style="129"/>
    <col min="30" max="30" width="1.85546875" style="129" customWidth="1"/>
    <col min="31" max="38" width="9.140625" style="129"/>
    <col min="39" max="41" width="9.140625" style="140"/>
    <col min="42" max="16384" width="9.140625" style="129"/>
  </cols>
  <sheetData>
    <row r="1" spans="1:42">
      <c r="A1" s="118" t="s">
        <v>369</v>
      </c>
      <c r="E1" s="148"/>
      <c r="AN1" s="140" t="str">
        <f>IF(R32=AO1,"B",IF(R32=AO2,"D",IF(R32=AO3,"F",IF(R32=AO4,"H",IF(R32=AO5,"J",IF(R32=AO6,"L","N"))))))</f>
        <v>B</v>
      </c>
      <c r="AO1" s="322" t="s">
        <v>450</v>
      </c>
    </row>
    <row r="2" spans="1:42" ht="21">
      <c r="A2" s="118" t="s">
        <v>382</v>
      </c>
      <c r="H2" s="528"/>
      <c r="AN2" s="140" t="str">
        <f>IF(AN1="B","C",IF(AN1="F","G",IF(AN1="H","I",IF(AN1="J","K",IF(AN1="L","M","E")))))</f>
        <v>C</v>
      </c>
      <c r="AO2" s="322" t="s">
        <v>306</v>
      </c>
      <c r="AP2" s="529"/>
    </row>
    <row r="3" spans="1:42">
      <c r="S3" s="386"/>
      <c r="T3" s="386"/>
      <c r="AO3" s="322" t="s">
        <v>451</v>
      </c>
      <c r="AP3" s="529"/>
    </row>
    <row r="4" spans="1:42">
      <c r="AO4" s="322" t="s">
        <v>452</v>
      </c>
      <c r="AP4" s="529"/>
    </row>
    <row r="5" spans="1:42">
      <c r="A5" s="1992" t="s">
        <v>449</v>
      </c>
      <c r="B5" s="1992"/>
      <c r="C5" s="1992"/>
      <c r="D5" s="1992"/>
      <c r="E5" s="1992"/>
      <c r="F5" s="1992"/>
      <c r="G5" s="1992"/>
      <c r="H5" s="1992"/>
      <c r="I5" s="1992"/>
      <c r="J5" s="1992"/>
      <c r="K5" s="1992"/>
      <c r="L5" s="1992"/>
      <c r="M5" s="1992"/>
      <c r="N5" s="1750"/>
      <c r="O5" s="1750"/>
      <c r="AO5" s="322" t="s">
        <v>453</v>
      </c>
      <c r="AP5" s="529"/>
    </row>
    <row r="6" spans="1:42" ht="15.75" thickBot="1">
      <c r="A6" s="2009" t="s">
        <v>744</v>
      </c>
      <c r="B6" s="2009"/>
      <c r="C6" s="2009"/>
      <c r="D6" s="2009"/>
      <c r="E6" s="2009"/>
      <c r="F6" s="2009"/>
      <c r="G6" s="2009"/>
      <c r="H6" s="2009"/>
      <c r="I6" s="2009"/>
      <c r="J6" s="2009"/>
      <c r="K6" s="2009"/>
      <c r="L6" s="2009"/>
      <c r="M6" s="2009"/>
      <c r="N6" s="95"/>
      <c r="O6" s="95"/>
      <c r="Q6" s="981"/>
      <c r="R6" s="981"/>
      <c r="S6" s="981"/>
      <c r="AO6" s="322" t="s">
        <v>454</v>
      </c>
      <c r="AP6" s="529"/>
    </row>
    <row r="7" spans="1:42" ht="15.75" thickBot="1">
      <c r="A7" s="1000"/>
      <c r="B7" s="2055" t="s">
        <v>450</v>
      </c>
      <c r="C7" s="2056"/>
      <c r="D7" s="2055" t="s">
        <v>306</v>
      </c>
      <c r="E7" s="2056"/>
      <c r="F7" s="2055" t="s">
        <v>451</v>
      </c>
      <c r="G7" s="2056"/>
      <c r="H7" s="2055" t="s">
        <v>452</v>
      </c>
      <c r="I7" s="2056"/>
      <c r="J7" s="2055" t="s">
        <v>453</v>
      </c>
      <c r="K7" s="2056"/>
      <c r="L7" s="2055" t="s">
        <v>454</v>
      </c>
      <c r="M7" s="2056"/>
      <c r="N7" s="95"/>
      <c r="O7" s="95"/>
      <c r="Q7" s="2057" t="str">
        <f>CONCATENATE(R32," Quantity And Value By Quarter")</f>
        <v>Silver Quantity And Value By Quarter</v>
      </c>
      <c r="R7" s="2057"/>
      <c r="S7" s="2057"/>
      <c r="AO7" s="323"/>
    </row>
    <row r="8" spans="1:42" ht="17.25" customHeight="1" thickBot="1">
      <c r="A8" s="1406" t="s">
        <v>6</v>
      </c>
      <c r="B8" s="998" t="s">
        <v>47</v>
      </c>
      <c r="C8" s="999" t="s">
        <v>635</v>
      </c>
      <c r="D8" s="998" t="s">
        <v>7</v>
      </c>
      <c r="E8" s="999" t="s">
        <v>635</v>
      </c>
      <c r="F8" s="998" t="s">
        <v>7</v>
      </c>
      <c r="G8" s="999" t="s">
        <v>635</v>
      </c>
      <c r="H8" s="998" t="s">
        <v>696</v>
      </c>
      <c r="I8" s="999" t="s">
        <v>635</v>
      </c>
      <c r="J8" s="998" t="s">
        <v>47</v>
      </c>
      <c r="K8" s="999" t="s">
        <v>635</v>
      </c>
      <c r="L8" s="998" t="s">
        <v>455</v>
      </c>
      <c r="M8" s="999" t="s">
        <v>635</v>
      </c>
      <c r="N8" s="548"/>
      <c r="O8" s="548"/>
      <c r="P8" s="549"/>
      <c r="Q8" s="2050" t="s">
        <v>43</v>
      </c>
      <c r="R8" s="2050"/>
      <c r="S8" s="2050"/>
      <c r="T8" s="573"/>
      <c r="U8" s="990"/>
      <c r="V8" s="990"/>
      <c r="W8" s="990"/>
      <c r="X8" s="990"/>
      <c r="Y8" s="990"/>
      <c r="Z8" s="990"/>
      <c r="AA8" s="990"/>
      <c r="AB8" s="990"/>
      <c r="AC8" s="990"/>
      <c r="AD8" s="573"/>
    </row>
    <row r="9" spans="1:42" ht="15.75" thickBot="1">
      <c r="A9" s="319">
        <v>36220</v>
      </c>
      <c r="B9" s="714">
        <v>30.273350000000001</v>
      </c>
      <c r="C9" s="705">
        <v>6.3547880000000001</v>
      </c>
      <c r="D9" s="714">
        <v>1.5795699999999999</v>
      </c>
      <c r="E9" s="705">
        <v>69.80547</v>
      </c>
      <c r="F9" s="714">
        <v>1.893567</v>
      </c>
      <c r="G9" s="705">
        <v>46.45391</v>
      </c>
      <c r="H9" s="714">
        <v>18.484000000000002</v>
      </c>
      <c r="I9" s="705">
        <v>219.48088999999999</v>
      </c>
      <c r="J9" s="714">
        <v>0.17065884000000003</v>
      </c>
      <c r="K9" s="705">
        <v>5.3259227641147149</v>
      </c>
      <c r="L9" s="714">
        <v>69.267070000000004</v>
      </c>
      <c r="M9" s="705">
        <v>0.95002500000000001</v>
      </c>
      <c r="N9" s="1751">
        <f t="shared" ref="N9:N40" si="0">YEAR(A9)</f>
        <v>1999</v>
      </c>
      <c r="O9" s="1751" t="str">
        <f t="shared" ref="O9:O40" si="1">IF(MONTH(A9)=3,"1",IF(MONTH(A9)=6,"2",IF(MONTH(A9)=9,"3","4")))</f>
        <v>1</v>
      </c>
      <c r="P9" s="386"/>
      <c r="Q9" s="1407" t="s">
        <v>6</v>
      </c>
      <c r="R9" s="984" t="str">
        <f ca="1">R35</f>
        <v>Quantity (Kt)</v>
      </c>
      <c r="S9" s="985" t="str">
        <f ca="1">S35</f>
        <v>Value ($ Million)</v>
      </c>
      <c r="T9" s="573"/>
      <c r="U9" s="991"/>
      <c r="V9" s="991"/>
      <c r="W9" s="991"/>
      <c r="X9" s="991"/>
      <c r="Y9" s="991"/>
      <c r="Z9" s="991"/>
      <c r="AA9" s="991"/>
      <c r="AB9" s="991"/>
      <c r="AC9" s="991"/>
      <c r="AD9" s="992"/>
    </row>
    <row r="10" spans="1:42">
      <c r="A10" s="319">
        <v>36312</v>
      </c>
      <c r="B10" s="977">
        <v>14.806039999999999</v>
      </c>
      <c r="C10" s="978">
        <v>3.7642370000000001</v>
      </c>
      <c r="D10" s="977">
        <v>1.3721159999999999</v>
      </c>
      <c r="E10" s="978">
        <v>61.922820000000002</v>
      </c>
      <c r="F10" s="977">
        <v>2.1109450000000001</v>
      </c>
      <c r="G10" s="978">
        <v>49.146189999999997</v>
      </c>
      <c r="H10" s="977">
        <v>10.177709999999999</v>
      </c>
      <c r="I10" s="978">
        <v>106.01584</v>
      </c>
      <c r="J10" s="977">
        <v>0.31939600000000001</v>
      </c>
      <c r="K10" s="978">
        <v>13.42855</v>
      </c>
      <c r="L10" s="977">
        <v>355.79199999999997</v>
      </c>
      <c r="M10" s="978">
        <v>3.5388470000000001</v>
      </c>
      <c r="N10" s="1751">
        <f t="shared" si="0"/>
        <v>1999</v>
      </c>
      <c r="O10" s="1751" t="str">
        <f t="shared" si="1"/>
        <v>2</v>
      </c>
      <c r="P10" s="434"/>
      <c r="Q10" s="986">
        <f>LARGE(A$9:A$741,10)</f>
        <v>43525</v>
      </c>
      <c r="R10" s="982">
        <f t="shared" ref="R10:R19" si="2">IF($R$32=$B$7,SUMIF($A$9:$A$741,$Q10,B$9:B$741),IF($R$32=$D$7,SUMIF($A$9:$A$741,$Q10,D$9:D$733),IF($R$32=$F$7,SUMIF($A$9:$A$741,$Q10,F$9:F$733),IF($R$32=$H$7,SUMIF($A$9:$A$741,$Q10,H$9:H$733),IF($R$32=$J$7,SUMIF($A$9:$A$741,$Q10,J$9:J$741),IF($R$32=$L$7,SUMIF($A$9:$A$741,$Q10,L$9:L$741),""))))))</f>
        <v>32.162743517248458</v>
      </c>
      <c r="S10" s="987">
        <f t="shared" ref="S10:S19" si="3">IF($R$32=$B$7,SUMIF($A$9:$A$741,$Q10,C$9:C$741),IF($R$32=$D$7,SUMIF($A$9:$A$741,$Q10,E$9:E$733),IF($R$32=$F$7,SUMIF($A$9:$A$741,$Q10,G$9:G$733),IF($R$32=$H$7,SUMIF($A$9:$A$741,$Q10,I$9:I$733),IF($R$32=$J$7,SUMIF($A$9:$A$741,$Q10,K$9:K$741),IF($R$32=$L$7,SUMIF($A$9:$A$741,$Q10,M$9:M$741),""))))))</f>
        <v>21.278261000000001</v>
      </c>
      <c r="T10" s="573"/>
      <c r="U10" s="573"/>
      <c r="V10" s="573"/>
      <c r="W10" s="573"/>
      <c r="X10" s="573"/>
      <c r="Y10" s="573"/>
      <c r="Z10" s="573"/>
      <c r="AA10" s="573"/>
      <c r="AB10" s="573"/>
      <c r="AC10" s="573"/>
      <c r="AD10" s="573"/>
    </row>
    <row r="11" spans="1:42">
      <c r="A11" s="319">
        <v>36404</v>
      </c>
      <c r="B11" s="714">
        <v>16.44342</v>
      </c>
      <c r="C11" s="705">
        <v>3.7416930000000002</v>
      </c>
      <c r="D11" s="714">
        <v>1.610838</v>
      </c>
      <c r="E11" s="705">
        <v>67.613169999999997</v>
      </c>
      <c r="F11" s="714">
        <v>2.2822930000000001</v>
      </c>
      <c r="G11" s="705">
        <v>53.361289999999997</v>
      </c>
      <c r="H11" s="714">
        <v>17.68383</v>
      </c>
      <c r="I11" s="705">
        <v>198.37900999999999</v>
      </c>
      <c r="J11" s="714">
        <v>0.15714699999999998</v>
      </c>
      <c r="K11" s="705">
        <v>7.2140009999999997</v>
      </c>
      <c r="L11" s="714">
        <v>198.84700000000001</v>
      </c>
      <c r="M11" s="705">
        <v>2.9512670000000001</v>
      </c>
      <c r="N11" s="1751">
        <f t="shared" si="0"/>
        <v>1999</v>
      </c>
      <c r="O11" s="1751" t="str">
        <f t="shared" si="1"/>
        <v>3</v>
      </c>
      <c r="P11" s="434"/>
      <c r="Q11" s="986">
        <f>LARGE(A$9:A$741,9)</f>
        <v>43617</v>
      </c>
      <c r="R11" s="740">
        <f t="shared" si="2"/>
        <v>22.545398607184293</v>
      </c>
      <c r="S11" s="811">
        <f t="shared" si="3"/>
        <v>15.402407</v>
      </c>
      <c r="T11" s="573"/>
      <c r="U11" s="573"/>
      <c r="V11" s="573"/>
      <c r="W11" s="573"/>
      <c r="X11" s="573"/>
      <c r="Y11" s="573"/>
      <c r="Z11" s="573"/>
      <c r="AA11" s="573"/>
      <c r="AB11" s="573"/>
      <c r="AC11" s="573"/>
      <c r="AD11" s="573"/>
    </row>
    <row r="12" spans="1:42">
      <c r="A12" s="319">
        <v>36495</v>
      </c>
      <c r="B12" s="977">
        <v>20.329879999999999</v>
      </c>
      <c r="C12" s="978">
        <v>4.9106420000000002</v>
      </c>
      <c r="D12" s="977">
        <v>1.66896</v>
      </c>
      <c r="E12" s="978">
        <v>68.676630000000003</v>
      </c>
      <c r="F12" s="977">
        <v>2.729635</v>
      </c>
      <c r="G12" s="978">
        <v>63.780630000000002</v>
      </c>
      <c r="H12" s="977">
        <v>5.2963899999999997</v>
      </c>
      <c r="I12" s="978">
        <v>116.18223999999999</v>
      </c>
      <c r="J12" s="977">
        <v>0.36314299999999999</v>
      </c>
      <c r="K12" s="978">
        <v>11.712628</v>
      </c>
      <c r="L12" s="977">
        <v>293.99200000000002</v>
      </c>
      <c r="M12" s="978">
        <v>5.0616390000000004</v>
      </c>
      <c r="N12" s="1751">
        <f t="shared" si="0"/>
        <v>1999</v>
      </c>
      <c r="O12" s="1751" t="str">
        <f t="shared" si="1"/>
        <v>4</v>
      </c>
      <c r="P12" s="434"/>
      <c r="Q12" s="986">
        <f>LARGE(A$9:A$741,8)</f>
        <v>43709</v>
      </c>
      <c r="R12" s="983">
        <f t="shared" si="2"/>
        <v>41.693862466447094</v>
      </c>
      <c r="S12" s="988">
        <f t="shared" si="3"/>
        <v>31.539327</v>
      </c>
      <c r="T12" s="573"/>
      <c r="U12" s="573"/>
      <c r="V12" s="573"/>
      <c r="W12" s="573"/>
      <c r="X12" s="573"/>
      <c r="Y12" s="573"/>
      <c r="Z12" s="573"/>
      <c r="AA12" s="573"/>
      <c r="AB12" s="573"/>
      <c r="AC12" s="573"/>
      <c r="AD12" s="573"/>
    </row>
    <row r="13" spans="1:42">
      <c r="A13" s="319">
        <v>36586</v>
      </c>
      <c r="B13" s="714">
        <v>20.281870000000001</v>
      </c>
      <c r="C13" s="705">
        <v>5.3519800000000002</v>
      </c>
      <c r="D13" s="714">
        <v>1.626428</v>
      </c>
      <c r="E13" s="705">
        <v>67.772890000000004</v>
      </c>
      <c r="F13" s="714">
        <v>2.1116389999999998</v>
      </c>
      <c r="G13" s="705">
        <v>49.039890999999997</v>
      </c>
      <c r="H13" s="714">
        <v>17.765540000000001</v>
      </c>
      <c r="I13" s="705">
        <v>226.41005999999999</v>
      </c>
      <c r="J13" s="714">
        <v>0.56810000000000005</v>
      </c>
      <c r="K13" s="705">
        <v>19.984059999999999</v>
      </c>
      <c r="L13" s="714">
        <v>240.303</v>
      </c>
      <c r="M13" s="705">
        <v>6.2399279999999999</v>
      </c>
      <c r="N13" s="1751">
        <f t="shared" si="0"/>
        <v>2000</v>
      </c>
      <c r="O13" s="1751" t="str">
        <f t="shared" si="1"/>
        <v>1</v>
      </c>
      <c r="P13" s="434"/>
      <c r="Q13" s="986">
        <f>LARGE(A$9:A$741,7)</f>
        <v>43800</v>
      </c>
      <c r="R13" s="740">
        <f t="shared" si="2"/>
        <v>35.643333706575596</v>
      </c>
      <c r="S13" s="811">
        <f t="shared" si="3"/>
        <v>27.966259000000001</v>
      </c>
      <c r="T13" s="573"/>
      <c r="U13" s="573"/>
      <c r="V13" s="573"/>
      <c r="W13" s="573"/>
      <c r="X13" s="573"/>
      <c r="Y13" s="573"/>
      <c r="Z13" s="573"/>
      <c r="AA13" s="573"/>
      <c r="AB13" s="573"/>
      <c r="AC13" s="573"/>
      <c r="AD13" s="573"/>
    </row>
    <row r="14" spans="1:42">
      <c r="A14" s="319">
        <v>36678</v>
      </c>
      <c r="B14" s="977">
        <v>53.063160000000003</v>
      </c>
      <c r="C14" s="978">
        <v>10.98086</v>
      </c>
      <c r="D14" s="977">
        <v>1.5982799999999999</v>
      </c>
      <c r="E14" s="978">
        <v>67.468779999999995</v>
      </c>
      <c r="F14" s="977">
        <v>1.686202</v>
      </c>
      <c r="G14" s="978">
        <v>42.396659999999997</v>
      </c>
      <c r="H14" s="977">
        <v>10.23887</v>
      </c>
      <c r="I14" s="978">
        <v>162.69863000000001</v>
      </c>
      <c r="J14" s="977">
        <v>0.82822000000000007</v>
      </c>
      <c r="K14" s="978">
        <v>37.767986999999998</v>
      </c>
      <c r="L14" s="977">
        <v>179.32599999999999</v>
      </c>
      <c r="M14" s="978">
        <v>5.5992490000000004</v>
      </c>
      <c r="N14" s="1751">
        <f t="shared" si="0"/>
        <v>2000</v>
      </c>
      <c r="O14" s="1751" t="str">
        <f t="shared" si="1"/>
        <v>2</v>
      </c>
      <c r="P14" s="434"/>
      <c r="Q14" s="986">
        <f>LARGE(A$9:A$741,6)</f>
        <v>43891</v>
      </c>
      <c r="R14" s="983">
        <f t="shared" si="2"/>
        <v>28.836996830551126</v>
      </c>
      <c r="S14" s="988">
        <f t="shared" si="3"/>
        <v>25.040832000000002</v>
      </c>
      <c r="T14" s="573"/>
      <c r="U14" s="573"/>
      <c r="V14" s="573"/>
      <c r="W14" s="573"/>
      <c r="X14" s="573"/>
      <c r="Y14" s="573"/>
      <c r="Z14" s="573"/>
      <c r="AA14" s="573"/>
      <c r="AB14" s="573"/>
      <c r="AC14" s="573"/>
      <c r="AD14" s="573"/>
    </row>
    <row r="15" spans="1:42">
      <c r="A15" s="319">
        <v>36770</v>
      </c>
      <c r="B15" s="714">
        <v>48.170050000000003</v>
      </c>
      <c r="C15" s="705">
        <v>12.125999999999999</v>
      </c>
      <c r="D15" s="714">
        <v>1.5842620000000001</v>
      </c>
      <c r="E15" s="705">
        <v>64.46011</v>
      </c>
      <c r="F15" s="714">
        <v>1.5742499999999999</v>
      </c>
      <c r="G15" s="705">
        <v>40.654631999999999</v>
      </c>
      <c r="H15" s="714">
        <v>7.151688</v>
      </c>
      <c r="I15" s="705">
        <v>186.05951999999999</v>
      </c>
      <c r="J15" s="714">
        <v>0.99601100000000009</v>
      </c>
      <c r="K15" s="705">
        <v>43.441274999999997</v>
      </c>
      <c r="L15" s="714">
        <v>314.51</v>
      </c>
      <c r="M15" s="705">
        <v>10.692036999999999</v>
      </c>
      <c r="N15" s="1751">
        <f t="shared" si="0"/>
        <v>2000</v>
      </c>
      <c r="O15" s="1751" t="str">
        <f t="shared" si="1"/>
        <v>3</v>
      </c>
      <c r="P15" s="434"/>
      <c r="Q15" s="986">
        <f>LARGE(A$9:A$741,5)</f>
        <v>43983</v>
      </c>
      <c r="R15" s="740">
        <f t="shared" si="2"/>
        <v>25.49096209413791</v>
      </c>
      <c r="S15" s="811">
        <f t="shared" si="3"/>
        <v>25.174081999999999</v>
      </c>
      <c r="T15" s="573"/>
      <c r="U15" s="573"/>
      <c r="V15" s="573"/>
      <c r="W15" s="573"/>
      <c r="X15" s="573"/>
      <c r="Y15" s="573"/>
      <c r="Z15" s="573"/>
      <c r="AA15" s="573"/>
      <c r="AB15" s="573"/>
      <c r="AC15" s="573"/>
      <c r="AD15" s="573"/>
    </row>
    <row r="16" spans="1:42">
      <c r="A16" s="319">
        <v>36861</v>
      </c>
      <c r="B16" s="977">
        <v>36.123550000000002</v>
      </c>
      <c r="C16" s="978">
        <v>8.9040750000000006</v>
      </c>
      <c r="D16" s="977">
        <v>1.395618</v>
      </c>
      <c r="E16" s="978">
        <v>58.137219999999999</v>
      </c>
      <c r="F16" s="977">
        <v>2.3333339999999998</v>
      </c>
      <c r="G16" s="978">
        <v>65.224576999999996</v>
      </c>
      <c r="H16" s="977">
        <v>7.1440130000000002</v>
      </c>
      <c r="I16" s="978">
        <v>138.51633000000001</v>
      </c>
      <c r="J16" s="977">
        <v>1.2061489999999999</v>
      </c>
      <c r="K16" s="978">
        <v>56.461489999999998</v>
      </c>
      <c r="L16" s="977">
        <v>248.636</v>
      </c>
      <c r="M16" s="978">
        <v>10.725585000000001</v>
      </c>
      <c r="N16" s="1751">
        <f t="shared" si="0"/>
        <v>2000</v>
      </c>
      <c r="O16" s="1751" t="str">
        <f t="shared" si="1"/>
        <v>4</v>
      </c>
      <c r="P16" s="434"/>
      <c r="Q16" s="986">
        <f>LARGE(A$9:A$741,4)</f>
        <v>44075</v>
      </c>
      <c r="R16" s="983">
        <f t="shared" si="2"/>
        <v>41.338007850528918</v>
      </c>
      <c r="S16" s="988">
        <f t="shared" si="3"/>
        <v>47.362208000000003</v>
      </c>
      <c r="T16" s="573"/>
      <c r="U16" s="573"/>
      <c r="V16" s="573"/>
      <c r="W16" s="573"/>
      <c r="X16" s="573"/>
      <c r="Y16" s="573"/>
      <c r="Z16" s="573"/>
      <c r="AA16" s="573"/>
      <c r="AB16" s="573"/>
      <c r="AC16" s="573"/>
      <c r="AD16" s="573"/>
    </row>
    <row r="17" spans="1:30">
      <c r="A17" s="319">
        <v>36951</v>
      </c>
      <c r="B17" s="714">
        <v>54.526189000000002</v>
      </c>
      <c r="C17" s="705">
        <v>14.99315</v>
      </c>
      <c r="D17" s="714">
        <v>1.5618970000000001</v>
      </c>
      <c r="E17" s="705">
        <v>64.973159999999993</v>
      </c>
      <c r="F17" s="714">
        <v>2.2834430000000001</v>
      </c>
      <c r="G17" s="705">
        <v>64.993669999999995</v>
      </c>
      <c r="H17" s="714">
        <v>7.5364909999999998</v>
      </c>
      <c r="I17" s="705">
        <v>192.1585</v>
      </c>
      <c r="J17" s="714">
        <v>1.0214529999999999</v>
      </c>
      <c r="K17" s="705">
        <v>37.440311000000001</v>
      </c>
      <c r="L17" s="714">
        <v>259.02</v>
      </c>
      <c r="M17" s="705">
        <v>14.713063</v>
      </c>
      <c r="N17" s="1751">
        <f t="shared" si="0"/>
        <v>2001</v>
      </c>
      <c r="O17" s="1751" t="str">
        <f t="shared" si="1"/>
        <v>1</v>
      </c>
      <c r="P17" s="434"/>
      <c r="Q17" s="986">
        <f>LARGE(A$9:A$741,3)</f>
        <v>44166</v>
      </c>
      <c r="R17" s="740">
        <f t="shared" si="2"/>
        <v>29.438288310985445</v>
      </c>
      <c r="S17" s="811">
        <f t="shared" si="3"/>
        <v>32.737113890000003</v>
      </c>
      <c r="T17" s="573"/>
      <c r="U17" s="573"/>
      <c r="V17" s="573"/>
      <c r="W17" s="573"/>
      <c r="X17" s="573"/>
      <c r="Y17" s="573"/>
      <c r="Z17" s="573"/>
      <c r="AA17" s="573"/>
      <c r="AB17" s="573"/>
      <c r="AC17" s="573"/>
      <c r="AD17" s="573"/>
    </row>
    <row r="18" spans="1:30">
      <c r="A18" s="319">
        <v>37043</v>
      </c>
      <c r="B18" s="977">
        <v>15.433811</v>
      </c>
      <c r="C18" s="978">
        <v>3.898466</v>
      </c>
      <c r="D18" s="977">
        <v>1.5610360000000001</v>
      </c>
      <c r="E18" s="978">
        <v>64.711269999999999</v>
      </c>
      <c r="F18" s="977">
        <v>2.1126010000000002</v>
      </c>
      <c r="G18" s="978">
        <v>62.208860000000001</v>
      </c>
      <c r="H18" s="977">
        <v>3.5872389999999998</v>
      </c>
      <c r="I18" s="978">
        <v>97.719009999999997</v>
      </c>
      <c r="J18" s="977">
        <v>0.96547000000000005</v>
      </c>
      <c r="K18" s="978">
        <v>37.037523999999998</v>
      </c>
      <c r="L18" s="977">
        <v>229</v>
      </c>
      <c r="M18" s="978">
        <v>9.1052979999999994</v>
      </c>
      <c r="N18" s="1751">
        <f t="shared" si="0"/>
        <v>2001</v>
      </c>
      <c r="O18" s="1751" t="str">
        <f t="shared" si="1"/>
        <v>2</v>
      </c>
      <c r="P18" s="434"/>
      <c r="Q18" s="986">
        <f>LARGE(A$9:A$741,2)</f>
        <v>44256</v>
      </c>
      <c r="R18" s="983">
        <f t="shared" si="2"/>
        <v>32.688753028705435</v>
      </c>
      <c r="S18" s="988">
        <f t="shared" si="3"/>
        <v>35.051293000000001</v>
      </c>
      <c r="T18" s="573"/>
      <c r="U18" s="573"/>
      <c r="V18" s="573"/>
      <c r="W18" s="573"/>
      <c r="X18" s="573"/>
      <c r="Y18" s="573"/>
      <c r="Z18" s="573"/>
      <c r="AA18" s="573"/>
      <c r="AB18" s="573"/>
      <c r="AC18" s="573"/>
      <c r="AD18" s="573"/>
    </row>
    <row r="19" spans="1:30" ht="15.75" thickBot="1">
      <c r="A19" s="319">
        <v>37135</v>
      </c>
      <c r="B19" s="714">
        <v>10.779284799999999</v>
      </c>
      <c r="C19" s="705">
        <v>2.9351850000000002</v>
      </c>
      <c r="D19" s="714">
        <v>1.6005370000000001</v>
      </c>
      <c r="E19" s="705">
        <v>66.351070000000007</v>
      </c>
      <c r="F19" s="714">
        <v>1.954604</v>
      </c>
      <c r="G19" s="705">
        <v>56.981020000000001</v>
      </c>
      <c r="H19" s="714">
        <v>8.3431879999999996</v>
      </c>
      <c r="I19" s="705">
        <v>163.57499999999999</v>
      </c>
      <c r="J19" s="714">
        <v>1.0345039999999999</v>
      </c>
      <c r="K19" s="705">
        <v>35.395420999999999</v>
      </c>
      <c r="L19" s="714">
        <v>268.209</v>
      </c>
      <c r="M19" s="705">
        <v>8.3445169999999997</v>
      </c>
      <c r="N19" s="1751">
        <f t="shared" si="0"/>
        <v>2001</v>
      </c>
      <c r="O19" s="1751" t="str">
        <f t="shared" si="1"/>
        <v>3</v>
      </c>
      <c r="P19" s="434"/>
      <c r="Q19" s="612">
        <f>LARGE(A$9:A$741,1)</f>
        <v>44348</v>
      </c>
      <c r="R19" s="744">
        <f t="shared" si="2"/>
        <v>36.349259798386974</v>
      </c>
      <c r="S19" s="989">
        <f t="shared" si="3"/>
        <v>38.035324769599995</v>
      </c>
      <c r="T19" s="573"/>
      <c r="U19" s="573"/>
      <c r="V19" s="573"/>
      <c r="W19" s="573"/>
      <c r="X19" s="573"/>
      <c r="Y19" s="573"/>
      <c r="Z19" s="573"/>
      <c r="AA19" s="573"/>
      <c r="AB19" s="573"/>
      <c r="AC19" s="573"/>
      <c r="AD19" s="573"/>
    </row>
    <row r="20" spans="1:30">
      <c r="A20" s="319">
        <v>37226</v>
      </c>
      <c r="B20" s="977">
        <v>42.040999999999997</v>
      </c>
      <c r="C20" s="978">
        <v>8.8894350000000006</v>
      </c>
      <c r="D20" s="977">
        <v>1.481225</v>
      </c>
      <c r="E20" s="978">
        <v>62.176290000000002</v>
      </c>
      <c r="F20" s="977">
        <v>2.2257669999999998</v>
      </c>
      <c r="G20" s="978">
        <v>65.056740000000005</v>
      </c>
      <c r="H20" s="977">
        <v>2.213012</v>
      </c>
      <c r="I20" s="978">
        <v>46.081600000000002</v>
      </c>
      <c r="J20" s="977">
        <v>1.290513</v>
      </c>
      <c r="K20" s="978">
        <v>34.973458999999998</v>
      </c>
      <c r="L20" s="977">
        <v>245.17</v>
      </c>
      <c r="M20" s="978">
        <v>5.4069849999999997</v>
      </c>
      <c r="N20" s="1751">
        <f t="shared" si="0"/>
        <v>2001</v>
      </c>
      <c r="O20" s="1751" t="str">
        <f t="shared" si="1"/>
        <v>4</v>
      </c>
      <c r="P20" s="434"/>
      <c r="Q20" s="2"/>
      <c r="T20" s="573"/>
      <c r="U20" s="573"/>
      <c r="V20" s="573"/>
      <c r="W20" s="573"/>
      <c r="X20" s="573"/>
      <c r="Y20" s="573"/>
      <c r="Z20" s="573"/>
      <c r="AA20" s="573"/>
      <c r="AB20" s="573"/>
      <c r="AC20" s="573"/>
      <c r="AD20" s="573"/>
    </row>
    <row r="21" spans="1:30">
      <c r="A21" s="319">
        <v>37316</v>
      </c>
      <c r="B21" s="714">
        <v>8.5067913884426201</v>
      </c>
      <c r="C21" s="705">
        <v>2.7064270000000001</v>
      </c>
      <c r="D21" s="714">
        <v>1.505015</v>
      </c>
      <c r="E21" s="705">
        <v>64.021928000000003</v>
      </c>
      <c r="F21" s="714">
        <v>2.3002959999999999</v>
      </c>
      <c r="G21" s="705">
        <v>68.604766999999995</v>
      </c>
      <c r="H21" s="714">
        <v>12.646680999999999</v>
      </c>
      <c r="I21" s="705">
        <v>253.815437</v>
      </c>
      <c r="J21" s="714">
        <v>1.0311630000000001</v>
      </c>
      <c r="K21" s="705">
        <v>27.725504999999998</v>
      </c>
      <c r="L21" s="714">
        <v>225.58</v>
      </c>
      <c r="M21" s="705">
        <v>5.3030109999999997</v>
      </c>
      <c r="N21" s="1751">
        <f t="shared" si="0"/>
        <v>2002</v>
      </c>
      <c r="O21" s="1751" t="str">
        <f t="shared" si="1"/>
        <v>1</v>
      </c>
      <c r="P21" s="434"/>
      <c r="Q21" s="2"/>
      <c r="T21" s="573"/>
      <c r="U21" s="573"/>
      <c r="V21" s="573"/>
      <c r="W21" s="573"/>
      <c r="X21" s="573"/>
      <c r="Y21" s="573"/>
      <c r="Z21" s="573"/>
      <c r="AA21" s="573"/>
      <c r="AB21" s="573"/>
      <c r="AC21" s="573"/>
      <c r="AD21" s="573"/>
    </row>
    <row r="22" spans="1:30">
      <c r="A22" s="319">
        <v>37408</v>
      </c>
      <c r="B22" s="977">
        <v>41.200089999999996</v>
      </c>
      <c r="C22" s="978">
        <v>10.031777999999999</v>
      </c>
      <c r="D22" s="977">
        <v>1.5774170000000001</v>
      </c>
      <c r="E22" s="978">
        <v>65.576620000000005</v>
      </c>
      <c r="F22" s="977">
        <v>2.1654870000000002</v>
      </c>
      <c r="G22" s="978">
        <v>60.399329999999999</v>
      </c>
      <c r="H22" s="977">
        <v>7.0153869999999996</v>
      </c>
      <c r="I22" s="978">
        <v>146.80247900000001</v>
      </c>
      <c r="J22" s="977">
        <v>1.19547</v>
      </c>
      <c r="K22" s="978">
        <v>32.521793000000002</v>
      </c>
      <c r="L22" s="977">
        <v>232.72</v>
      </c>
      <c r="M22" s="978">
        <v>4.9676169999999997</v>
      </c>
      <c r="N22" s="1751">
        <f t="shared" si="0"/>
        <v>2002</v>
      </c>
      <c r="O22" s="1751" t="str">
        <f t="shared" si="1"/>
        <v>2</v>
      </c>
      <c r="P22" s="434"/>
      <c r="Q22" s="2"/>
      <c r="T22" s="573"/>
      <c r="U22" s="573"/>
      <c r="V22" s="573"/>
      <c r="W22" s="573"/>
      <c r="X22" s="573"/>
      <c r="Y22" s="573"/>
      <c r="Z22" s="573"/>
      <c r="AA22" s="573"/>
      <c r="AB22" s="573"/>
      <c r="AC22" s="573"/>
      <c r="AD22" s="573"/>
    </row>
    <row r="23" spans="1:30">
      <c r="A23" s="319">
        <v>37500</v>
      </c>
      <c r="B23" s="714">
        <v>15.169086724195569</v>
      </c>
      <c r="C23" s="705">
        <v>3.9290959999999999</v>
      </c>
      <c r="D23" s="714">
        <v>1.626439</v>
      </c>
      <c r="E23" s="705">
        <v>69.443230999999997</v>
      </c>
      <c r="F23" s="714">
        <v>2.092015</v>
      </c>
      <c r="G23" s="705">
        <v>56.626885999999999</v>
      </c>
      <c r="H23" s="714">
        <v>7.9505169999999996</v>
      </c>
      <c r="I23" s="705">
        <v>147.228297</v>
      </c>
      <c r="J23" s="714">
        <v>1.2979349999999998</v>
      </c>
      <c r="K23" s="705">
        <v>31.53819</v>
      </c>
      <c r="L23" s="714">
        <v>189.24100000000001</v>
      </c>
      <c r="M23" s="705">
        <v>3.459381</v>
      </c>
      <c r="N23" s="1751">
        <f t="shared" si="0"/>
        <v>2002</v>
      </c>
      <c r="O23" s="1751" t="str">
        <f t="shared" si="1"/>
        <v>3</v>
      </c>
      <c r="P23" s="434"/>
      <c r="Q23" s="2"/>
      <c r="T23" s="573"/>
      <c r="U23" s="573"/>
      <c r="V23" s="573"/>
      <c r="W23" s="573"/>
      <c r="X23" s="573"/>
      <c r="Y23" s="573"/>
      <c r="Z23" s="573"/>
      <c r="AA23" s="573"/>
      <c r="AB23" s="573"/>
      <c r="AC23" s="573"/>
      <c r="AD23" s="573"/>
    </row>
    <row r="24" spans="1:30">
      <c r="A24" s="319">
        <v>37591</v>
      </c>
      <c r="B24" s="977">
        <v>34.019711772046264</v>
      </c>
      <c r="C24" s="978">
        <v>8.2505400000000009</v>
      </c>
      <c r="D24" s="977">
        <v>1.5536669999999999</v>
      </c>
      <c r="E24" s="978">
        <v>67.360894000000002</v>
      </c>
      <c r="F24" s="977">
        <v>2.6136650000000001</v>
      </c>
      <c r="G24" s="978">
        <v>64.895644000000004</v>
      </c>
      <c r="H24" s="977">
        <v>7.8663959999999999</v>
      </c>
      <c r="I24" s="978">
        <v>114.01141699999999</v>
      </c>
      <c r="J24" s="977">
        <v>1.175405</v>
      </c>
      <c r="K24" s="978">
        <v>27.168202999999998</v>
      </c>
      <c r="L24" s="977">
        <v>165.81700000000001</v>
      </c>
      <c r="M24" s="978">
        <v>3.1514899999999999</v>
      </c>
      <c r="N24" s="1751">
        <f t="shared" si="0"/>
        <v>2002</v>
      </c>
      <c r="O24" s="1751" t="str">
        <f t="shared" si="1"/>
        <v>4</v>
      </c>
      <c r="P24" s="434"/>
      <c r="Q24" s="2"/>
      <c r="T24" s="573"/>
      <c r="U24" s="573"/>
      <c r="V24" s="573"/>
      <c r="W24" s="573"/>
      <c r="X24" s="573"/>
      <c r="Y24" s="573"/>
      <c r="Z24" s="573"/>
      <c r="AA24" s="573"/>
      <c r="AB24" s="573"/>
      <c r="AC24" s="573"/>
      <c r="AD24" s="573"/>
    </row>
    <row r="25" spans="1:30">
      <c r="A25" s="319">
        <v>37681</v>
      </c>
      <c r="B25" s="714">
        <v>10.363415549847053</v>
      </c>
      <c r="C25" s="705">
        <v>2.3356549392733785</v>
      </c>
      <c r="D25" s="714">
        <v>1.59413</v>
      </c>
      <c r="E25" s="705">
        <v>69.661443000000006</v>
      </c>
      <c r="F25" s="714">
        <v>2.4200170000000001</v>
      </c>
      <c r="G25" s="705">
        <v>54.355421999999997</v>
      </c>
      <c r="H25" s="714">
        <v>12.646680999999999</v>
      </c>
      <c r="I25" s="705">
        <v>253.86191199999999</v>
      </c>
      <c r="J25" s="714">
        <v>1.1724480000000002</v>
      </c>
      <c r="K25" s="705">
        <v>30.158299</v>
      </c>
      <c r="L25" s="714">
        <v>161.61000000000001</v>
      </c>
      <c r="M25" s="705">
        <v>2.9535019999999998</v>
      </c>
      <c r="N25" s="1751">
        <f t="shared" si="0"/>
        <v>2003</v>
      </c>
      <c r="O25" s="1751" t="str">
        <f t="shared" si="1"/>
        <v>1</v>
      </c>
      <c r="P25" s="434"/>
      <c r="Q25" s="2"/>
      <c r="T25" s="573"/>
      <c r="U25" s="573"/>
      <c r="V25" s="573"/>
      <c r="W25" s="573"/>
      <c r="X25" s="573"/>
      <c r="Y25" s="573"/>
      <c r="Z25" s="573"/>
      <c r="AA25" s="573"/>
      <c r="AB25" s="573"/>
      <c r="AC25" s="573"/>
      <c r="AD25" s="573"/>
    </row>
    <row r="26" spans="1:30">
      <c r="A26" s="319">
        <v>37773</v>
      </c>
      <c r="B26" s="977">
        <v>23.004932622460245</v>
      </c>
      <c r="C26" s="978">
        <v>5.7236078169604818</v>
      </c>
      <c r="D26" s="977">
        <v>1.548961</v>
      </c>
      <c r="E26" s="978">
        <v>66.421180000000007</v>
      </c>
      <c r="F26" s="977">
        <v>2.481233</v>
      </c>
      <c r="G26" s="978">
        <v>52.071703999999997</v>
      </c>
      <c r="H26" s="977">
        <v>7.0153879999999997</v>
      </c>
      <c r="I26" s="978">
        <v>146.84101100000001</v>
      </c>
      <c r="J26" s="977">
        <v>1.2773699999999999</v>
      </c>
      <c r="K26" s="978">
        <v>33.387242000000001</v>
      </c>
      <c r="L26" s="977">
        <v>152.66999999999999</v>
      </c>
      <c r="M26" s="978">
        <v>2.2418100000000001</v>
      </c>
      <c r="N26" s="1751">
        <f t="shared" si="0"/>
        <v>2003</v>
      </c>
      <c r="O26" s="1751" t="str">
        <f t="shared" si="1"/>
        <v>2</v>
      </c>
      <c r="P26" s="434"/>
      <c r="Q26" s="2"/>
      <c r="T26" s="573"/>
      <c r="U26" s="573"/>
      <c r="V26" s="573"/>
      <c r="W26" s="573"/>
      <c r="X26" s="573"/>
      <c r="Y26" s="573"/>
      <c r="Z26" s="573"/>
      <c r="AA26" s="573"/>
      <c r="AB26" s="573"/>
      <c r="AC26" s="573"/>
      <c r="AD26" s="573"/>
    </row>
    <row r="27" spans="1:30">
      <c r="A27" s="319">
        <v>37865</v>
      </c>
      <c r="B27" s="714">
        <v>27.48</v>
      </c>
      <c r="C27" s="705">
        <v>4.6400335400000001</v>
      </c>
      <c r="D27" s="714">
        <v>1.494164</v>
      </c>
      <c r="E27" s="705">
        <v>65.080843000000002</v>
      </c>
      <c r="F27" s="714">
        <v>2.1555275300000001</v>
      </c>
      <c r="G27" s="705">
        <v>42.955953039999997</v>
      </c>
      <c r="H27" s="714">
        <v>7.9505169999999996</v>
      </c>
      <c r="I27" s="705">
        <v>147.25605200000001</v>
      </c>
      <c r="J27" s="714">
        <v>1.152933</v>
      </c>
      <c r="K27" s="705">
        <v>34.490805999999999</v>
      </c>
      <c r="L27" s="714">
        <v>150.25200000000001</v>
      </c>
      <c r="M27" s="705">
        <v>1.3383670000000001</v>
      </c>
      <c r="N27" s="1751">
        <f t="shared" si="0"/>
        <v>2003</v>
      </c>
      <c r="O27" s="1751" t="str">
        <f t="shared" si="1"/>
        <v>3</v>
      </c>
      <c r="P27" s="434"/>
      <c r="T27" s="573"/>
      <c r="U27" s="573"/>
      <c r="V27" s="573"/>
      <c r="W27" s="573"/>
      <c r="X27" s="573"/>
      <c r="Y27" s="573"/>
      <c r="Z27" s="573"/>
      <c r="AA27" s="573"/>
      <c r="AB27" s="573"/>
      <c r="AC27" s="573"/>
      <c r="AD27" s="573"/>
    </row>
    <row r="28" spans="1:30">
      <c r="A28" s="319">
        <v>37956</v>
      </c>
      <c r="B28" s="977">
        <v>11.35</v>
      </c>
      <c r="C28" s="978">
        <v>2.5258398899999999</v>
      </c>
      <c r="D28" s="977">
        <v>1.3893260000000001</v>
      </c>
      <c r="E28" s="978">
        <v>60.2582825</v>
      </c>
      <c r="F28" s="977">
        <v>2.6791669300000001</v>
      </c>
      <c r="G28" s="978">
        <v>47.156611499999997</v>
      </c>
      <c r="H28" s="977">
        <v>7.8663959999999999</v>
      </c>
      <c r="I28" s="978">
        <v>114.102937</v>
      </c>
      <c r="J28" s="977">
        <v>1.3972260000000001</v>
      </c>
      <c r="K28" s="978">
        <v>47.001964000000001</v>
      </c>
      <c r="L28" s="977">
        <v>145.874</v>
      </c>
      <c r="M28" s="978">
        <v>1.775582</v>
      </c>
      <c r="N28" s="1752">
        <f t="shared" si="0"/>
        <v>2003</v>
      </c>
      <c r="O28" s="1751" t="str">
        <f t="shared" si="1"/>
        <v>4</v>
      </c>
      <c r="P28" s="434"/>
      <c r="T28" s="573"/>
      <c r="U28" s="573"/>
      <c r="V28" s="573"/>
      <c r="W28" s="573"/>
      <c r="X28" s="573"/>
      <c r="Y28" s="573"/>
      <c r="Z28" s="573"/>
      <c r="AA28" s="573"/>
      <c r="AB28" s="573"/>
      <c r="AC28" s="573"/>
      <c r="AD28" s="573"/>
    </row>
    <row r="29" spans="1:30">
      <c r="A29" s="319">
        <v>38047</v>
      </c>
      <c r="B29" s="714">
        <v>13.29</v>
      </c>
      <c r="C29" s="705">
        <v>3.1044165100000001</v>
      </c>
      <c r="D29" s="714">
        <v>1.5455429999999999</v>
      </c>
      <c r="E29" s="705">
        <v>74.215363999999994</v>
      </c>
      <c r="F29" s="714">
        <v>2.4372070799999999</v>
      </c>
      <c r="G29" s="705">
        <v>41.628523899999998</v>
      </c>
      <c r="H29" s="714">
        <v>10.401199</v>
      </c>
      <c r="I29" s="705">
        <v>150.60917900000001</v>
      </c>
      <c r="J29" s="714">
        <v>0.98941699999999999</v>
      </c>
      <c r="K29" s="705">
        <v>60.842170000000003</v>
      </c>
      <c r="L29" s="714">
        <v>163.95</v>
      </c>
      <c r="M29" s="705">
        <v>1.946752</v>
      </c>
      <c r="N29" s="1752">
        <f t="shared" si="0"/>
        <v>2004</v>
      </c>
      <c r="O29" s="1751" t="str">
        <f t="shared" si="1"/>
        <v>1</v>
      </c>
      <c r="P29" s="434"/>
      <c r="T29" s="573"/>
      <c r="U29" s="573"/>
      <c r="V29" s="573"/>
      <c r="W29" s="573"/>
      <c r="X29" s="573"/>
      <c r="Y29" s="573"/>
      <c r="Z29" s="573"/>
      <c r="AA29" s="573"/>
      <c r="AB29" s="573"/>
      <c r="AC29" s="573"/>
      <c r="AD29" s="573"/>
    </row>
    <row r="30" spans="1:30">
      <c r="A30" s="319">
        <v>38139</v>
      </c>
      <c r="B30" s="977">
        <v>45.94</v>
      </c>
      <c r="C30" s="978">
        <v>2.8316377400000001</v>
      </c>
      <c r="D30" s="977">
        <v>1.5439799999999999</v>
      </c>
      <c r="E30" s="978">
        <v>69.288295000000005</v>
      </c>
      <c r="F30" s="977">
        <v>2.6841794399999999</v>
      </c>
      <c r="G30" s="978">
        <v>49.179690200000003</v>
      </c>
      <c r="H30" s="977">
        <v>6.2809999999999997</v>
      </c>
      <c r="I30" s="978">
        <v>107.897165</v>
      </c>
      <c r="J30" s="977">
        <v>1.1341509999999999</v>
      </c>
      <c r="K30" s="978">
        <v>72.180019999999999</v>
      </c>
      <c r="L30" s="977">
        <v>206.61</v>
      </c>
      <c r="M30" s="978">
        <v>3.1444960000000002</v>
      </c>
      <c r="N30" s="1752">
        <f t="shared" si="0"/>
        <v>2004</v>
      </c>
      <c r="O30" s="1752" t="str">
        <f t="shared" si="1"/>
        <v>2</v>
      </c>
      <c r="P30" s="434"/>
      <c r="T30" s="573"/>
      <c r="U30" s="573"/>
      <c r="V30" s="573"/>
      <c r="W30" s="573"/>
      <c r="X30" s="573"/>
      <c r="Y30" s="573"/>
      <c r="Z30" s="573"/>
      <c r="AA30" s="573"/>
      <c r="AB30" s="573"/>
      <c r="AC30" s="573"/>
      <c r="AD30" s="573"/>
    </row>
    <row r="31" spans="1:30" ht="15.75" thickBot="1">
      <c r="A31" s="319">
        <v>38231</v>
      </c>
      <c r="B31" s="714">
        <v>34.18</v>
      </c>
      <c r="C31" s="705">
        <v>10.586493279999999</v>
      </c>
      <c r="D31" s="714">
        <v>1.5242880000000001</v>
      </c>
      <c r="E31" s="705">
        <v>65.108678999999995</v>
      </c>
      <c r="F31" s="714">
        <v>2.5136058600000002</v>
      </c>
      <c r="G31" s="705">
        <v>46.099858400000002</v>
      </c>
      <c r="H31" s="714">
        <v>2.9031189999999998</v>
      </c>
      <c r="I31" s="705">
        <v>68.935257000000007</v>
      </c>
      <c r="J31" s="714">
        <v>1.2430099999999999</v>
      </c>
      <c r="K31" s="705">
        <v>73.460751000000002</v>
      </c>
      <c r="L31" s="714">
        <v>342.62</v>
      </c>
      <c r="M31" s="705">
        <v>3.0398429999999999</v>
      </c>
      <c r="N31" s="1752">
        <f t="shared" si="0"/>
        <v>2004</v>
      </c>
      <c r="O31" s="1752" t="str">
        <f t="shared" si="1"/>
        <v>3</v>
      </c>
      <c r="P31" s="434"/>
      <c r="T31" s="573"/>
      <c r="U31" s="573"/>
      <c r="V31" s="573"/>
      <c r="W31" s="573"/>
      <c r="X31" s="573"/>
      <c r="Y31" s="573"/>
      <c r="Z31" s="573"/>
      <c r="AA31" s="573"/>
      <c r="AB31" s="573"/>
      <c r="AC31" s="573"/>
      <c r="AD31" s="573"/>
    </row>
    <row r="32" spans="1:30">
      <c r="A32" s="319">
        <v>38322</v>
      </c>
      <c r="B32" s="977">
        <v>28.13</v>
      </c>
      <c r="C32" s="978">
        <v>8.1323652699999993</v>
      </c>
      <c r="D32" s="977">
        <v>1.6876340000000001</v>
      </c>
      <c r="E32" s="978">
        <v>72.845381000000003</v>
      </c>
      <c r="F32" s="977">
        <v>2.851439536</v>
      </c>
      <c r="G32" s="978">
        <v>49.721344600000002</v>
      </c>
      <c r="H32" s="977">
        <v>4.639805</v>
      </c>
      <c r="I32" s="978">
        <v>93.302954</v>
      </c>
      <c r="J32" s="977">
        <v>1.0302899999999999</v>
      </c>
      <c r="K32" s="978">
        <v>54.704602000000001</v>
      </c>
      <c r="L32" s="977">
        <v>328.83</v>
      </c>
      <c r="M32" s="978">
        <v>2.4366889999999999</v>
      </c>
      <c r="N32" s="1752">
        <f t="shared" si="0"/>
        <v>2004</v>
      </c>
      <c r="O32" s="1752" t="str">
        <f t="shared" si="1"/>
        <v>4</v>
      </c>
      <c r="P32" s="434"/>
      <c r="Q32" s="404" t="s">
        <v>456</v>
      </c>
      <c r="R32" s="2051" t="s">
        <v>450</v>
      </c>
      <c r="S32" s="2052"/>
    </row>
    <row r="33" spans="1:30" ht="15.75" thickBot="1">
      <c r="A33" s="319">
        <v>38412</v>
      </c>
      <c r="B33" s="714">
        <v>69.63</v>
      </c>
      <c r="C33" s="705">
        <v>18.353739430000001</v>
      </c>
      <c r="D33" s="714">
        <v>1.542613</v>
      </c>
      <c r="E33" s="705">
        <v>66.680474000000004</v>
      </c>
      <c r="F33" s="714">
        <v>3.0537117500000002</v>
      </c>
      <c r="G33" s="705">
        <v>55.3390998</v>
      </c>
      <c r="H33" s="714">
        <v>9.3064780000000003</v>
      </c>
      <c r="I33" s="705">
        <v>175.62052700000001</v>
      </c>
      <c r="J33" s="714">
        <v>1.0505500000000001</v>
      </c>
      <c r="K33" s="705">
        <v>40.748783000000003</v>
      </c>
      <c r="L33" s="714">
        <v>212.22</v>
      </c>
      <c r="M33" s="705">
        <v>2.0615700000000001</v>
      </c>
      <c r="N33" s="1752">
        <f t="shared" si="0"/>
        <v>2005</v>
      </c>
      <c r="O33" s="1752" t="str">
        <f t="shared" si="1"/>
        <v>1</v>
      </c>
      <c r="P33" s="434"/>
      <c r="Q33" s="405" t="s">
        <v>508</v>
      </c>
      <c r="R33" s="2053" t="s">
        <v>382</v>
      </c>
      <c r="S33" s="2054"/>
    </row>
    <row r="34" spans="1:30" ht="16.5" customHeight="1" thickBot="1">
      <c r="A34" s="325">
        <v>38504</v>
      </c>
      <c r="B34" s="979">
        <v>10.46</v>
      </c>
      <c r="C34" s="980">
        <v>2.9647892699999998</v>
      </c>
      <c r="D34" s="979">
        <v>1.44953</v>
      </c>
      <c r="E34" s="980">
        <v>64.003716999999995</v>
      </c>
      <c r="F34" s="979">
        <v>3.0877919999999999</v>
      </c>
      <c r="G34" s="980">
        <v>52.637320799999998</v>
      </c>
      <c r="H34" s="979">
        <v>5.9503709999999996</v>
      </c>
      <c r="I34" s="980">
        <v>141.983859</v>
      </c>
      <c r="J34" s="979">
        <v>1.01464</v>
      </c>
      <c r="K34" s="980">
        <v>34.349407999999997</v>
      </c>
      <c r="L34" s="979">
        <v>167.33</v>
      </c>
      <c r="M34" s="980">
        <v>1.6127419999999999</v>
      </c>
      <c r="N34" s="1753">
        <f t="shared" si="0"/>
        <v>2005</v>
      </c>
      <c r="O34" s="1753" t="str">
        <f t="shared" si="1"/>
        <v>2</v>
      </c>
      <c r="P34" s="434"/>
      <c r="Q34" s="1975" t="str">
        <f>CONCATENATE(R32," Quantity and Value by ",R33)</f>
        <v>Silver Quantity and Value by Financial Year</v>
      </c>
      <c r="R34" s="1976"/>
      <c r="S34" s="1977"/>
      <c r="T34" s="573"/>
      <c r="U34" s="993"/>
      <c r="V34" s="993"/>
      <c r="W34" s="993"/>
      <c r="X34" s="993"/>
      <c r="Y34" s="993"/>
      <c r="Z34" s="993"/>
      <c r="AA34" s="993"/>
      <c r="AB34" s="993"/>
      <c r="AC34" s="993"/>
      <c r="AD34" s="326"/>
    </row>
    <row r="35" spans="1:30" ht="15.75" thickBot="1">
      <c r="A35" s="319">
        <v>38596</v>
      </c>
      <c r="B35" s="714">
        <v>8.11</v>
      </c>
      <c r="C35" s="705">
        <v>2.3440821299999999</v>
      </c>
      <c r="D35" s="714">
        <v>1.659041</v>
      </c>
      <c r="E35" s="705">
        <v>73.671881999999997</v>
      </c>
      <c r="F35" s="714">
        <v>2.5908350000000002</v>
      </c>
      <c r="G35" s="705">
        <v>50.711830509999999</v>
      </c>
      <c r="H35" s="714">
        <v>12.544718</v>
      </c>
      <c r="I35" s="705">
        <v>273.347419</v>
      </c>
      <c r="J35" s="714">
        <v>1.304505</v>
      </c>
      <c r="K35" s="705">
        <v>47.096665999999999</v>
      </c>
      <c r="L35" s="714">
        <v>211.44</v>
      </c>
      <c r="M35" s="705">
        <v>1.719373</v>
      </c>
      <c r="N35" s="1752">
        <f t="shared" si="0"/>
        <v>2005</v>
      </c>
      <c r="O35" s="1752" t="str">
        <f t="shared" si="1"/>
        <v>3</v>
      </c>
      <c r="P35" s="434"/>
      <c r="Q35" s="1408" t="s">
        <v>41</v>
      </c>
      <c r="R35" s="996" t="str">
        <f ca="1">INDIRECT(CONCATENATE(AN1,"8"),TRUE)</f>
        <v>Quantity (Kt)</v>
      </c>
      <c r="S35" s="997" t="str">
        <f ca="1">INDIRECT(CONCATENATE(AN2,"8"),TRUE)</f>
        <v>Value ($ Million)</v>
      </c>
      <c r="T35" s="573"/>
      <c r="U35" s="991"/>
      <c r="V35" s="991"/>
      <c r="W35" s="991"/>
      <c r="X35" s="991"/>
      <c r="Y35" s="991"/>
      <c r="Z35" s="991"/>
      <c r="AA35" s="991"/>
      <c r="AB35" s="991"/>
      <c r="AC35" s="991"/>
      <c r="AD35" s="326"/>
    </row>
    <row r="36" spans="1:30">
      <c r="A36" s="319">
        <v>38687</v>
      </c>
      <c r="B36" s="977">
        <v>39.32</v>
      </c>
      <c r="C36" s="978">
        <v>15.440655530000001</v>
      </c>
      <c r="D36" s="977">
        <v>1.6833</v>
      </c>
      <c r="E36" s="978">
        <v>75.830461999999997</v>
      </c>
      <c r="F36" s="977">
        <v>2.7428681699999999</v>
      </c>
      <c r="G36" s="978">
        <v>55.094403900000003</v>
      </c>
      <c r="H36" s="977">
        <v>6.505312</v>
      </c>
      <c r="I36" s="978">
        <v>149.196808</v>
      </c>
      <c r="J36" s="977">
        <v>1.197765</v>
      </c>
      <c r="K36" s="978">
        <v>44.737943000000001</v>
      </c>
      <c r="L36" s="977">
        <v>70.22</v>
      </c>
      <c r="M36" s="978">
        <v>0.62642600000000004</v>
      </c>
      <c r="N36" s="1752">
        <f t="shared" si="0"/>
        <v>2005</v>
      </c>
      <c r="O36" s="1752" t="str">
        <f t="shared" si="1"/>
        <v>4</v>
      </c>
      <c r="P36" s="434"/>
      <c r="Q36" s="1348" t="str">
        <f>IF($R$33="Calendar Year",YEAR(MIN($A$9:$A$203)),CONCATENATE(YEAR(MIN($A$9:$A$203)),"-",((YEAR(MIN($A$9:$A$203))+1))))</f>
        <v>1999-2000</v>
      </c>
      <c r="R36" s="814">
        <f ca="1">IF($R$33="Calendar Year",SUMIF($N$9:$N$201,$Q36,INDIRECT(CONCATENATE($AN$1,"9:",$AN$1,"201"),TRUE)),SUMIFS(INDIRECT(CONCATENATE($AN$1,"9:",$AN$1,"201"),TRUE),$N$9:$N$201,LEFT($Q36,4),$O$9:$O$201,3)+SUMIFS(INDIRECT(CONCATENATE($AN$1,"9:",$AN$1,"201"),TRUE),$N$9:$N$201,LEFT($Q36,4),$O$9:$O$201,4)+SUMIFS(INDIRECT(CONCATENATE($AN$1,"9:",$AN$1,"201"),TRUE),$N$9:$N$201,LEFT($Q36,4)+1,$O$9:$O$201,1)+SUMIFS(INDIRECT(CONCATENATE($AN$1,"9:",$AN$1,"201"),TRUE),$N$9:$N$201,LEFT($Q36,4)+1,$O$9:$O$201,2))</f>
        <v>110.11833000000001</v>
      </c>
      <c r="S36" s="815">
        <f ca="1">IF($R$33="Calendar Year",SUMIF($N$9:$N$201,$Q36,INDIRECT(CONCATENATE($AN$2,"9:",$AN$2,"201"),TRUE)),SUMIFS(INDIRECT(CONCATENATE($AN$2,"9:",$AN$2,"201"),TRUE),$N$9:$N$201,LEFT($Q36,4),$O$9:$O$201,3)+SUMIFS(INDIRECT(CONCATENATE($AN$2,"9:",$AN$2,"201"),TRUE),$N$9:$N$201,LEFT($Q36,4),$O$9:$O$201,4)+SUMIFS(INDIRECT(CONCATENATE($AN$2,"9:",$AN$2,"201"),TRUE),$N$9:$N$201,LEFT($Q36,4)+1,$O$9:$O$201,1)+SUMIFS(INDIRECT(CONCATENATE($AN$2,"9:",$AN$2,"201"),TRUE),$N$9:$N$201,LEFT($Q36,4)+1,$O$9:$O$201,2))</f>
        <v>24.985175000000002</v>
      </c>
      <c r="T36" s="573"/>
      <c r="U36" s="573"/>
      <c r="V36" s="573"/>
      <c r="W36" s="573"/>
      <c r="X36" s="573"/>
      <c r="Y36" s="573"/>
      <c r="Z36" s="573"/>
      <c r="AA36" s="573"/>
      <c r="AB36" s="573"/>
      <c r="AC36" s="573"/>
      <c r="AD36" s="326"/>
    </row>
    <row r="37" spans="1:30">
      <c r="A37" s="319">
        <v>38777</v>
      </c>
      <c r="B37" s="714">
        <v>22.42</v>
      </c>
      <c r="C37" s="705">
        <v>9.8991357999999998</v>
      </c>
      <c r="D37" s="714">
        <v>1.7069209999999999</v>
      </c>
      <c r="E37" s="705">
        <v>76.768270000000001</v>
      </c>
      <c r="F37" s="714">
        <v>2.6257728199999999</v>
      </c>
      <c r="G37" s="705">
        <v>58.0638668</v>
      </c>
      <c r="H37" s="714">
        <v>5.6266639999999999</v>
      </c>
      <c r="I37" s="705">
        <v>146.639973</v>
      </c>
      <c r="J37" s="714">
        <v>1.377065</v>
      </c>
      <c r="K37" s="705">
        <v>45.229629000000003</v>
      </c>
      <c r="L37" s="714">
        <v>228.24</v>
      </c>
      <c r="M37" s="705">
        <v>2.6912660000000002</v>
      </c>
      <c r="N37" s="1752">
        <f t="shared" si="0"/>
        <v>2006</v>
      </c>
      <c r="O37" s="1752" t="str">
        <f t="shared" si="1"/>
        <v>1</v>
      </c>
      <c r="P37" s="434"/>
      <c r="Q37" s="1348" t="str">
        <f>IFERROR(IF(YEAR(MAX('Commodity Prices'!$C$9:$C4984))=VALUE(RIGHT(Q36,4)),"",IF($R$33="Calendar Year",Q36+1,CONCATENATE(LEFT(Q36,4)+1,"-",RIGHT(Q36,4)+1))),"")</f>
        <v>2000-2001</v>
      </c>
      <c r="R37" s="994">
        <f t="shared" ref="R37:R61" ca="1" si="4">IF(Q37="","",IF($R$33="Calendar Year",SUMIF($N$9:$N$201,$Q37,INDIRECT(CONCATENATE($AN$1,"9:",$AN$1,"201"),TRUE)),SUMIFS(INDIRECT(CONCATENATE($AN$1,"9:",$AN$1,"201"),TRUE),$N$9:$N$201,LEFT($Q37,4),$O$9:$O$201,3)+SUMIFS(INDIRECT(CONCATENATE($AN$1,"9:",$AN$1,"201"),TRUE),$N$9:$N$201,LEFT($Q37,4),$O$9:$O$201,4)+SUMIFS(INDIRECT(CONCATENATE($AN$1,"9:",$AN$1,"201"),TRUE),$N$9:$N$201,LEFT($Q37,4)+1,$O$9:$O$201,1)+SUMIFS(INDIRECT(CONCATENATE($AN$1,"9:",$AN$1,"201"),TRUE),$N$9:$N$201,LEFT($Q37,4)+1,$O$9:$O$201,2)))</f>
        <v>154.25360000000001</v>
      </c>
      <c r="S37" s="995">
        <f t="shared" ref="S37:S61" ca="1" si="5">IF(Q37="","",IF($R$33="Calendar Year",SUMIF($N$9:$N$201,$Q37,INDIRECT(CONCATENATE($AN$2,"9:",$AN$2,"201"),TRUE)),SUMIFS(INDIRECT(CONCATENATE($AN$2,"9:",$AN$2,"201"),TRUE),$N$9:$N$201,LEFT($Q37,4),$O$9:$O$201,3)+SUMIFS(INDIRECT(CONCATENATE($AN$2,"9:",$AN$2,"201"),TRUE),$N$9:$N$201,LEFT($Q37,4),$O$9:$O$201,4)+SUMIFS(INDIRECT(CONCATENATE($AN$2,"9:",$AN$2,"201"),TRUE),$N$9:$N$201,LEFT($Q37,4)+1,$O$9:$O$201,1)+SUMIFS(INDIRECT(CONCATENATE($AN$2,"9:",$AN$2,"201"),TRUE),$N$9:$N$201,LEFT($Q37,4)+1,$O$9:$O$201,2)))</f>
        <v>39.921690999999996</v>
      </c>
      <c r="T37" s="573"/>
      <c r="U37" s="573"/>
      <c r="V37" s="573"/>
      <c r="W37" s="573"/>
      <c r="X37" s="573"/>
      <c r="Y37" s="573"/>
      <c r="Z37" s="573"/>
      <c r="AA37" s="573"/>
      <c r="AB37" s="573"/>
      <c r="AC37" s="573"/>
      <c r="AD37" s="326"/>
    </row>
    <row r="38" spans="1:30">
      <c r="A38" s="319">
        <v>38869</v>
      </c>
      <c r="B38" s="977">
        <v>24.65</v>
      </c>
      <c r="C38" s="978">
        <v>11.868411</v>
      </c>
      <c r="D38" s="977">
        <v>1.6514359999999999</v>
      </c>
      <c r="E38" s="978">
        <v>70.647069000000002</v>
      </c>
      <c r="F38" s="977">
        <v>2.8747203899999998</v>
      </c>
      <c r="G38" s="978">
        <v>65.980252629999995</v>
      </c>
      <c r="H38" s="977">
        <v>4.5871750000000002</v>
      </c>
      <c r="I38" s="978">
        <v>127.02534799999999</v>
      </c>
      <c r="J38" s="977">
        <v>1.15002</v>
      </c>
      <c r="K38" s="978">
        <v>47.843569000000002</v>
      </c>
      <c r="L38" s="977">
        <v>349.73</v>
      </c>
      <c r="M38" s="978">
        <v>4.7056250000000004</v>
      </c>
      <c r="N38" s="1752">
        <f t="shared" si="0"/>
        <v>2006</v>
      </c>
      <c r="O38" s="1752" t="str">
        <f t="shared" si="1"/>
        <v>2</v>
      </c>
      <c r="P38" s="434"/>
      <c r="Q38" s="1348" t="str">
        <f>IFERROR(IF(YEAR(MAX('Commodity Prices'!$C$9:$C4985))=VALUE(RIGHT(Q37,4)),"",IF($R$33="Calendar Year",Q37+1,CONCATENATE(LEFT(Q37,4)+1,"-",RIGHT(Q37,4)+1))),"")</f>
        <v>2001-2002</v>
      </c>
      <c r="R38" s="818">
        <f t="shared" ca="1" si="4"/>
        <v>102.52716618844261</v>
      </c>
      <c r="S38" s="819">
        <f t="shared" ca="1" si="5"/>
        <v>24.562825</v>
      </c>
      <c r="T38" s="573"/>
      <c r="U38" s="573"/>
      <c r="V38" s="573"/>
      <c r="W38" s="573"/>
      <c r="X38" s="573"/>
      <c r="Y38" s="573"/>
      <c r="Z38" s="573"/>
      <c r="AA38" s="573"/>
      <c r="AB38" s="573"/>
      <c r="AC38" s="573"/>
      <c r="AD38" s="326"/>
    </row>
    <row r="39" spans="1:30">
      <c r="A39" s="319">
        <v>38961</v>
      </c>
      <c r="B39" s="714">
        <v>36.42</v>
      </c>
      <c r="C39" s="705">
        <v>17.337604290000002</v>
      </c>
      <c r="D39" s="714">
        <v>1.7047909999999999</v>
      </c>
      <c r="E39" s="705">
        <v>73.083579</v>
      </c>
      <c r="F39" s="714">
        <v>2.30997195</v>
      </c>
      <c r="G39" s="705">
        <v>52.865980049999997</v>
      </c>
      <c r="H39" s="714">
        <v>1.761682</v>
      </c>
      <c r="I39" s="705">
        <v>73.637056999999999</v>
      </c>
      <c r="J39" s="714">
        <v>1.1085940000000001</v>
      </c>
      <c r="K39" s="705">
        <v>50.308590000000002</v>
      </c>
      <c r="L39" s="714">
        <v>170.28</v>
      </c>
      <c r="M39" s="705">
        <v>2.322508</v>
      </c>
      <c r="N39" s="1752">
        <f t="shared" si="0"/>
        <v>2006</v>
      </c>
      <c r="O39" s="1752" t="str">
        <f t="shared" si="1"/>
        <v>3</v>
      </c>
      <c r="P39" s="434"/>
      <c r="Q39" s="1348" t="str">
        <f>IFERROR(IF(YEAR(MAX('Commodity Prices'!$C$9:$C4986))=VALUE(RIGHT(Q38,4)),"",IF($R$33="Calendar Year",Q38+1,CONCATENATE(LEFT(Q38,4)+1,"-",RIGHT(Q38,4)+1))),"")</f>
        <v>2002-2003</v>
      </c>
      <c r="R39" s="994">
        <f t="shared" ca="1" si="4"/>
        <v>82.557146668549137</v>
      </c>
      <c r="S39" s="995">
        <f t="shared" ca="1" si="5"/>
        <v>20.238898756233862</v>
      </c>
      <c r="T39" s="573"/>
      <c r="U39" s="573"/>
      <c r="V39" s="573"/>
      <c r="W39" s="573"/>
      <c r="X39" s="573"/>
      <c r="Y39" s="573"/>
      <c r="Z39" s="573"/>
      <c r="AA39" s="573"/>
      <c r="AB39" s="573"/>
      <c r="AC39" s="573"/>
      <c r="AD39" s="326"/>
    </row>
    <row r="40" spans="1:30">
      <c r="A40" s="319">
        <v>39052</v>
      </c>
      <c r="B40" s="977">
        <v>19.53</v>
      </c>
      <c r="C40" s="978">
        <v>10.765750329999999</v>
      </c>
      <c r="D40" s="977">
        <v>1.5482750000000001</v>
      </c>
      <c r="E40" s="978">
        <v>69.227222999999995</v>
      </c>
      <c r="F40" s="977">
        <v>2.9054620600000001</v>
      </c>
      <c r="G40" s="978">
        <v>64.732898629999994</v>
      </c>
      <c r="H40" s="977">
        <v>5.0948669999999998</v>
      </c>
      <c r="I40" s="978">
        <v>115.15518299999999</v>
      </c>
      <c r="J40" s="977">
        <v>1.4931460000000001</v>
      </c>
      <c r="K40" s="978">
        <v>77.043387999999993</v>
      </c>
      <c r="L40" s="977">
        <v>210.83</v>
      </c>
      <c r="M40" s="978">
        <v>2.785895</v>
      </c>
      <c r="N40" s="1752">
        <f t="shared" si="0"/>
        <v>2006</v>
      </c>
      <c r="O40" s="1752" t="str">
        <f t="shared" si="1"/>
        <v>4</v>
      </c>
      <c r="P40" s="434"/>
      <c r="Q40" s="1348" t="str">
        <f>IFERROR(IF(YEAR(MAX('Commodity Prices'!$C$9:$C4987))=VALUE(RIGHT(Q39,4)),"",IF($R$33="Calendar Year",Q39+1,CONCATENATE(LEFT(Q39,4)+1,"-",RIGHT(Q39,4)+1))),"")</f>
        <v>2003-2004</v>
      </c>
      <c r="R40" s="818">
        <f t="shared" ca="1" si="4"/>
        <v>98.06</v>
      </c>
      <c r="S40" s="819">
        <f t="shared" ca="1" si="5"/>
        <v>13.101927679999999</v>
      </c>
      <c r="T40" s="573"/>
      <c r="U40" s="573"/>
      <c r="V40" s="573"/>
      <c r="W40" s="573"/>
      <c r="X40" s="573"/>
      <c r="Y40" s="573"/>
      <c r="Z40" s="573"/>
      <c r="AA40" s="573"/>
      <c r="AB40" s="573"/>
      <c r="AC40" s="573"/>
      <c r="AD40" s="326"/>
    </row>
    <row r="41" spans="1:30">
      <c r="A41" s="319">
        <v>39142</v>
      </c>
      <c r="B41" s="714">
        <v>47.54</v>
      </c>
      <c r="C41" s="705">
        <v>25.048839940000001</v>
      </c>
      <c r="D41" s="714">
        <v>1.5245740000000001</v>
      </c>
      <c r="E41" s="705">
        <v>67.910944000000001</v>
      </c>
      <c r="F41" s="714">
        <v>2.4805410000000001</v>
      </c>
      <c r="G41" s="705">
        <v>56.473620269999998</v>
      </c>
      <c r="H41" s="714">
        <v>6.8600599999999998</v>
      </c>
      <c r="I41" s="705">
        <v>158.19950399999999</v>
      </c>
      <c r="J41" s="714">
        <v>1.122004</v>
      </c>
      <c r="K41" s="705">
        <v>80.026346000000004</v>
      </c>
      <c r="L41" s="714">
        <v>185.07</v>
      </c>
      <c r="M41" s="705">
        <v>2.497878</v>
      </c>
      <c r="N41" s="1752">
        <f t="shared" ref="N41:N72" si="6">YEAR(A41)</f>
        <v>2007</v>
      </c>
      <c r="O41" s="1752" t="str">
        <f t="shared" ref="O41:O72" si="7">IF(MONTH(A41)=3,"1",IF(MONTH(A41)=6,"2",IF(MONTH(A41)=9,"3","4")))</f>
        <v>1</v>
      </c>
      <c r="P41" s="434"/>
      <c r="Q41" s="1348" t="str">
        <f>IFERROR(IF(YEAR(MAX('Commodity Prices'!$C$9:$C4988))=VALUE(RIGHT(Q40,4)),"",IF($R$33="Calendar Year",Q40+1,CONCATENATE(LEFT(Q40,4)+1,"-",RIGHT(Q40,4)+1))),"")</f>
        <v>2004-2005</v>
      </c>
      <c r="R41" s="994">
        <f t="shared" ca="1" si="4"/>
        <v>142.4</v>
      </c>
      <c r="S41" s="995">
        <f t="shared" ca="1" si="5"/>
        <v>40.037387249999995</v>
      </c>
      <c r="T41" s="573"/>
      <c r="U41" s="573"/>
      <c r="V41" s="573"/>
      <c r="W41" s="573"/>
      <c r="X41" s="573"/>
      <c r="Y41" s="573"/>
      <c r="Z41" s="573"/>
      <c r="AA41" s="573"/>
      <c r="AB41" s="573"/>
      <c r="AC41" s="573"/>
      <c r="AD41" s="326"/>
    </row>
    <row r="42" spans="1:30">
      <c r="A42" s="319">
        <v>39234</v>
      </c>
      <c r="B42" s="977">
        <v>16.77</v>
      </c>
      <c r="C42" s="978">
        <v>8.61645854</v>
      </c>
      <c r="D42" s="977">
        <v>1.239987</v>
      </c>
      <c r="E42" s="978">
        <v>61.301450000000003</v>
      </c>
      <c r="F42" s="977">
        <v>2.7276129930000002</v>
      </c>
      <c r="G42" s="978">
        <v>62.079069779999998</v>
      </c>
      <c r="H42" s="977">
        <v>4.50671</v>
      </c>
      <c r="I42" s="978">
        <v>114.932017</v>
      </c>
      <c r="J42" s="977">
        <v>0.93303400000000003</v>
      </c>
      <c r="K42" s="978">
        <v>70.114502999999999</v>
      </c>
      <c r="L42" s="977">
        <v>147.41</v>
      </c>
      <c r="M42" s="978">
        <v>2.0869070000000001</v>
      </c>
      <c r="N42" s="1752">
        <f t="shared" si="6"/>
        <v>2007</v>
      </c>
      <c r="O42" s="1752" t="str">
        <f t="shared" si="7"/>
        <v>2</v>
      </c>
      <c r="P42" s="434"/>
      <c r="Q42" s="1348" t="str">
        <f>IFERROR(IF(YEAR(MAX('Commodity Prices'!$C$9:$C4989))=VALUE(RIGHT(Q41,4)),"",IF($R$33="Calendar Year",Q41+1,CONCATENATE(LEFT(Q41,4)+1,"-",RIGHT(Q41,4)+1))),"")</f>
        <v>2005-2006</v>
      </c>
      <c r="R42" s="818">
        <f t="shared" ca="1" si="4"/>
        <v>94.5</v>
      </c>
      <c r="S42" s="819">
        <f t="shared" ca="1" si="5"/>
        <v>39.552284460000003</v>
      </c>
      <c r="T42" s="573"/>
      <c r="U42" s="573"/>
      <c r="V42" s="573"/>
      <c r="W42" s="573"/>
      <c r="X42" s="573"/>
      <c r="Y42" s="573"/>
      <c r="Z42" s="573"/>
      <c r="AA42" s="573"/>
      <c r="AB42" s="573"/>
      <c r="AC42" s="573"/>
      <c r="AD42" s="326"/>
    </row>
    <row r="43" spans="1:30">
      <c r="A43" s="319">
        <v>39326</v>
      </c>
      <c r="B43" s="714">
        <v>18.52</v>
      </c>
      <c r="C43" s="705">
        <v>9.3160715599999993</v>
      </c>
      <c r="D43" s="714">
        <v>1.5507040000000001</v>
      </c>
      <c r="E43" s="705">
        <v>68.732557999999997</v>
      </c>
      <c r="F43" s="714">
        <v>2.4074020159999998</v>
      </c>
      <c r="G43" s="705">
        <v>52.282478830000002</v>
      </c>
      <c r="H43" s="714">
        <v>7.3817740000000001</v>
      </c>
      <c r="I43" s="705">
        <v>178.80596</v>
      </c>
      <c r="J43" s="714">
        <v>1.3634200000000001</v>
      </c>
      <c r="K43" s="705">
        <v>88.325033000000005</v>
      </c>
      <c r="L43" s="714">
        <v>195.93</v>
      </c>
      <c r="M43" s="705">
        <v>2.6050979999999999</v>
      </c>
      <c r="N43" s="1752">
        <f t="shared" si="6"/>
        <v>2007</v>
      </c>
      <c r="O43" s="1752" t="str">
        <f t="shared" si="7"/>
        <v>3</v>
      </c>
      <c r="P43" s="434"/>
      <c r="Q43" s="1348" t="str">
        <f>IFERROR(IF(YEAR(MAX('Commodity Prices'!$C$9:$C4990))=VALUE(RIGHT(Q42,4)),"",IF($R$33="Calendar Year",Q42+1,CONCATENATE(LEFT(Q42,4)+1,"-",RIGHT(Q42,4)+1))),"")</f>
        <v>2006-2007</v>
      </c>
      <c r="R43" s="994">
        <f t="shared" ca="1" si="4"/>
        <v>120.26</v>
      </c>
      <c r="S43" s="995">
        <f t="shared" ca="1" si="5"/>
        <v>61.768653099999995</v>
      </c>
      <c r="T43" s="573"/>
      <c r="U43" s="573"/>
      <c r="V43" s="573"/>
      <c r="W43" s="573"/>
      <c r="X43" s="573"/>
      <c r="Y43" s="573"/>
      <c r="Z43" s="573"/>
      <c r="AA43" s="573"/>
      <c r="AB43" s="573"/>
      <c r="AC43" s="573"/>
      <c r="AD43" s="326"/>
    </row>
    <row r="44" spans="1:30">
      <c r="A44" s="319">
        <v>39417</v>
      </c>
      <c r="B44" s="977">
        <v>37.5</v>
      </c>
      <c r="C44" s="978">
        <v>20.241108180000001</v>
      </c>
      <c r="D44" s="977">
        <v>1.4948269999999999</v>
      </c>
      <c r="E44" s="978">
        <v>66.016675000000006</v>
      </c>
      <c r="F44" s="977">
        <v>2.7701297199999999</v>
      </c>
      <c r="G44" s="978">
        <v>58.769180030000001</v>
      </c>
      <c r="H44" s="977">
        <v>4.788233</v>
      </c>
      <c r="I44" s="978">
        <v>108.79293800000001</v>
      </c>
      <c r="J44" s="977">
        <v>1.3118879999999999</v>
      </c>
      <c r="K44" s="978">
        <v>110.52490299999999</v>
      </c>
      <c r="L44" s="977">
        <v>213.29</v>
      </c>
      <c r="M44" s="978">
        <v>2.9729890000000001</v>
      </c>
      <c r="N44" s="1752">
        <f t="shared" si="6"/>
        <v>2007</v>
      </c>
      <c r="O44" s="1752" t="str">
        <f t="shared" si="7"/>
        <v>4</v>
      </c>
      <c r="P44" s="434"/>
      <c r="Q44" s="1348" t="str">
        <f>IFERROR(IF(YEAR(MAX('Commodity Prices'!$C$9:$C4991))=VALUE(RIGHT(Q43,4)),"",IF($R$33="Calendar Year",Q43+1,CONCATENATE(LEFT(Q43,4)+1,"-",RIGHT(Q43,4)+1))),"")</f>
        <v>2007-2008</v>
      </c>
      <c r="R44" s="818">
        <f t="shared" ca="1" si="4"/>
        <v>95.37</v>
      </c>
      <c r="S44" s="819">
        <f t="shared" ca="1" si="5"/>
        <v>56.224613550000008</v>
      </c>
      <c r="T44" s="573"/>
      <c r="U44" s="573"/>
      <c r="V44" s="573"/>
      <c r="W44" s="573"/>
      <c r="X44" s="573"/>
      <c r="Y44" s="573"/>
      <c r="Z44" s="573"/>
      <c r="AA44" s="573"/>
      <c r="AB44" s="573"/>
      <c r="AC44" s="573"/>
      <c r="AD44" s="326"/>
    </row>
    <row r="45" spans="1:30">
      <c r="A45" s="319">
        <v>39508</v>
      </c>
      <c r="B45" s="714">
        <v>27.14</v>
      </c>
      <c r="C45" s="705">
        <v>19.41808911</v>
      </c>
      <c r="D45" s="714">
        <v>1.770068</v>
      </c>
      <c r="E45" s="705">
        <v>66.554670000000002</v>
      </c>
      <c r="F45" s="714">
        <v>2.6357444330000002</v>
      </c>
      <c r="G45" s="705">
        <v>59.606044660000002</v>
      </c>
      <c r="H45" s="714">
        <v>7.8271360000000003</v>
      </c>
      <c r="I45" s="705">
        <v>165.86742699999999</v>
      </c>
      <c r="J45" s="714">
        <v>1.342203</v>
      </c>
      <c r="K45" s="705">
        <v>142.59106600000001</v>
      </c>
      <c r="L45" s="714">
        <v>268.24</v>
      </c>
      <c r="M45" s="705">
        <v>3.4054549999999999</v>
      </c>
      <c r="N45" s="1752">
        <f t="shared" si="6"/>
        <v>2008</v>
      </c>
      <c r="O45" s="1752" t="str">
        <f t="shared" si="7"/>
        <v>1</v>
      </c>
      <c r="P45" s="434"/>
      <c r="Q45" s="1348" t="str">
        <f>IFERROR(IF(YEAR(MAX('Commodity Prices'!$C$9:$C4992))=VALUE(RIGHT(Q44,4)),"",IF($R$33="Calendar Year",Q44+1,CONCATENATE(LEFT(Q44,4)+1,"-",RIGHT(Q44,4)+1))),"")</f>
        <v>2008-2009</v>
      </c>
      <c r="R45" s="994">
        <f t="shared" ca="1" si="4"/>
        <v>137.07</v>
      </c>
      <c r="S45" s="995">
        <f t="shared" ca="1" si="5"/>
        <v>77.399267289999997</v>
      </c>
      <c r="T45" s="573"/>
      <c r="U45" s="573"/>
      <c r="V45" s="573"/>
      <c r="W45" s="573"/>
      <c r="X45" s="573"/>
      <c r="Y45" s="573"/>
      <c r="Z45" s="573"/>
      <c r="AA45" s="573"/>
      <c r="AB45" s="573"/>
      <c r="AC45" s="573"/>
      <c r="AD45" s="326"/>
    </row>
    <row r="46" spans="1:30">
      <c r="A46" s="319">
        <v>39600</v>
      </c>
      <c r="B46" s="977">
        <v>12.21</v>
      </c>
      <c r="C46" s="978">
        <v>7.2493447</v>
      </c>
      <c r="D46" s="977">
        <v>1.4158269999999999</v>
      </c>
      <c r="E46" s="978">
        <v>69.120554999999996</v>
      </c>
      <c r="F46" s="977">
        <v>2.7758882429999998</v>
      </c>
      <c r="G46" s="978">
        <v>62.27136514</v>
      </c>
      <c r="H46" s="977">
        <v>7.970955</v>
      </c>
      <c r="I46" s="978">
        <v>159.51923300000001</v>
      </c>
      <c r="J46" s="977">
        <v>1.05532</v>
      </c>
      <c r="K46" s="978">
        <v>101.614395</v>
      </c>
      <c r="L46" s="977">
        <v>270.3</v>
      </c>
      <c r="M46" s="978">
        <v>4.2303030000000001</v>
      </c>
      <c r="N46" s="1752">
        <f t="shared" si="6"/>
        <v>2008</v>
      </c>
      <c r="O46" s="1752" t="str">
        <f t="shared" si="7"/>
        <v>2</v>
      </c>
      <c r="P46" s="434"/>
      <c r="Q46" s="1348" t="str">
        <f>IFERROR(IF(YEAR(MAX('Commodity Prices'!$C$9:$C4993))=VALUE(RIGHT(Q45,4)),"",IF($R$33="Calendar Year",Q45+1,CONCATENATE(LEFT(Q45,4)+1,"-",RIGHT(Q45,4)+1))),"")</f>
        <v>2009-2010</v>
      </c>
      <c r="R46" s="818">
        <f t="shared" ca="1" si="4"/>
        <v>100.03</v>
      </c>
      <c r="S46" s="819">
        <f t="shared" ca="1" si="5"/>
        <v>63.845067659999998</v>
      </c>
      <c r="T46" s="573"/>
      <c r="U46" s="573"/>
      <c r="V46" s="573"/>
      <c r="W46" s="573"/>
      <c r="X46" s="573"/>
      <c r="Y46" s="573"/>
      <c r="Z46" s="573"/>
      <c r="AA46" s="573"/>
      <c r="AB46" s="573"/>
      <c r="AC46" s="573"/>
      <c r="AD46" s="326"/>
    </row>
    <row r="47" spans="1:30">
      <c r="A47" s="319">
        <v>39692</v>
      </c>
      <c r="B47" s="714">
        <v>10.3</v>
      </c>
      <c r="C47" s="705">
        <v>4.4101695699999999</v>
      </c>
      <c r="D47" s="714">
        <v>1.7424539999999999</v>
      </c>
      <c r="E47" s="705">
        <v>79.352620999999999</v>
      </c>
      <c r="F47" s="714">
        <v>2.863122529</v>
      </c>
      <c r="G47" s="705">
        <v>66.936909240000006</v>
      </c>
      <c r="H47" s="714">
        <v>3.7200730000000002</v>
      </c>
      <c r="I47" s="705">
        <v>96.447017000000002</v>
      </c>
      <c r="J47" s="714">
        <v>1.0820959999999999</v>
      </c>
      <c r="K47" s="705">
        <v>65.441090000000003</v>
      </c>
      <c r="L47" s="714">
        <v>0</v>
      </c>
      <c r="M47" s="705">
        <v>0</v>
      </c>
      <c r="N47" s="1752">
        <f t="shared" si="6"/>
        <v>2008</v>
      </c>
      <c r="O47" s="1752" t="str">
        <f t="shared" si="7"/>
        <v>3</v>
      </c>
      <c r="P47" s="434"/>
      <c r="Q47" s="1348" t="str">
        <f>IFERROR(IF(YEAR(MAX('Commodity Prices'!$C$9:$C4994))=VALUE(RIGHT(Q46,4)),"",IF($R$33="Calendar Year",Q46+1,CONCATENATE(LEFT(Q46,4)+1,"-",RIGHT(Q46,4)+1))),"")</f>
        <v>2010-2011</v>
      </c>
      <c r="R47" s="994">
        <f t="shared" ca="1" si="4"/>
        <v>83.55</v>
      </c>
      <c r="S47" s="995">
        <f t="shared" ca="1" si="5"/>
        <v>76.065087370000001</v>
      </c>
      <c r="T47" s="573"/>
      <c r="U47" s="573"/>
      <c r="V47" s="573"/>
      <c r="W47" s="573"/>
      <c r="X47" s="573"/>
      <c r="Y47" s="573"/>
      <c r="Z47" s="573"/>
      <c r="AA47" s="573"/>
      <c r="AB47" s="573"/>
      <c r="AC47" s="573"/>
      <c r="AD47" s="326"/>
    </row>
    <row r="48" spans="1:30">
      <c r="A48" s="319">
        <v>39783</v>
      </c>
      <c r="B48" s="977">
        <v>38.409999999999997</v>
      </c>
      <c r="C48" s="978">
        <v>20.334011749999998</v>
      </c>
      <c r="D48" s="977">
        <v>1.8029170000000001</v>
      </c>
      <c r="E48" s="978">
        <v>90.471787000000006</v>
      </c>
      <c r="F48" s="977">
        <v>3.2138775800000001</v>
      </c>
      <c r="G48" s="978">
        <v>102.13609687</v>
      </c>
      <c r="H48" s="977">
        <v>15.722381</v>
      </c>
      <c r="I48" s="978">
        <v>80.908032000000006</v>
      </c>
      <c r="J48" s="977">
        <v>1.305056</v>
      </c>
      <c r="K48" s="978">
        <v>68.013240999999994</v>
      </c>
      <c r="L48" s="977">
        <v>171.21</v>
      </c>
      <c r="M48" s="978">
        <v>1.1179429999999999</v>
      </c>
      <c r="N48" s="1752">
        <f t="shared" si="6"/>
        <v>2008</v>
      </c>
      <c r="O48" s="1752" t="str">
        <f t="shared" si="7"/>
        <v>4</v>
      </c>
      <c r="P48" s="434"/>
      <c r="Q48" s="1348" t="str">
        <f>IFERROR(IF(YEAR(MAX('Commodity Prices'!$C$9:$C4995))=VALUE(RIGHT(Q47,4)),"",IF($R$33="Calendar Year",Q47+1,CONCATENATE(LEFT(Q47,4)+1,"-",RIGHT(Q47,4)+1))),"")</f>
        <v>2011-2012</v>
      </c>
      <c r="R48" s="818">
        <f t="shared" ca="1" si="4"/>
        <v>120.08</v>
      </c>
      <c r="S48" s="819">
        <f t="shared" ca="1" si="5"/>
        <v>115.70489588999999</v>
      </c>
      <c r="T48" s="573"/>
      <c r="U48" s="573"/>
      <c r="V48" s="573"/>
      <c r="W48" s="573"/>
      <c r="X48" s="573"/>
      <c r="Y48" s="573"/>
      <c r="Z48" s="573"/>
      <c r="AA48" s="573"/>
      <c r="AB48" s="573"/>
      <c r="AC48" s="573"/>
      <c r="AD48" s="326"/>
    </row>
    <row r="49" spans="1:30">
      <c r="A49" s="319">
        <v>39873</v>
      </c>
      <c r="B49" s="714">
        <v>62.38</v>
      </c>
      <c r="C49" s="705">
        <v>37.984293219999998</v>
      </c>
      <c r="D49" s="714">
        <v>1.8383700000000001</v>
      </c>
      <c r="E49" s="705">
        <v>86.200013999999996</v>
      </c>
      <c r="F49" s="714">
        <v>2.0130125520000002</v>
      </c>
      <c r="G49" s="705">
        <v>101.59605414000001</v>
      </c>
      <c r="H49" s="714">
        <v>1.3585210000000001</v>
      </c>
      <c r="I49" s="705">
        <v>45.526029999999999</v>
      </c>
      <c r="J49" s="714">
        <v>1.2589349999999999</v>
      </c>
      <c r="K49" s="705">
        <v>43.519669999999998</v>
      </c>
      <c r="L49" s="714">
        <v>304.72000000000003</v>
      </c>
      <c r="M49" s="705">
        <v>2.8010679999999999</v>
      </c>
      <c r="N49" s="1752">
        <f t="shared" si="6"/>
        <v>2009</v>
      </c>
      <c r="O49" s="1752" t="str">
        <f t="shared" si="7"/>
        <v>1</v>
      </c>
      <c r="P49" s="434"/>
      <c r="Q49" s="1348" t="str">
        <f>IFERROR(IF(YEAR(MAX('Commodity Prices'!$C$9:$C4996))=VALUE(RIGHT(Q48,4)),"",IF($R$33="Calendar Year",Q48+1,CONCATENATE(LEFT(Q48,4)+1,"-",RIGHT(Q48,4)+1))),"")</f>
        <v>2012-2013</v>
      </c>
      <c r="R49" s="994">
        <f t="shared" ca="1" si="4"/>
        <v>123.74</v>
      </c>
      <c r="S49" s="995">
        <f t="shared" ca="1" si="5"/>
        <v>100.56067936000001</v>
      </c>
      <c r="T49" s="573"/>
      <c r="U49" s="573"/>
      <c r="V49" s="573"/>
      <c r="W49" s="573"/>
      <c r="X49" s="573"/>
      <c r="Y49" s="573"/>
      <c r="Z49" s="573"/>
      <c r="AA49" s="573"/>
      <c r="AB49" s="573"/>
      <c r="AC49" s="573"/>
      <c r="AD49" s="326"/>
    </row>
    <row r="50" spans="1:30">
      <c r="A50" s="319">
        <v>39965</v>
      </c>
      <c r="B50" s="977">
        <v>25.98</v>
      </c>
      <c r="C50" s="978">
        <v>14.67079275</v>
      </c>
      <c r="D50" s="977">
        <v>1.5954680000000001</v>
      </c>
      <c r="E50" s="978">
        <v>76.548077000000006</v>
      </c>
      <c r="F50" s="977">
        <v>2.4294787229999999</v>
      </c>
      <c r="G50" s="978">
        <v>115.58531923</v>
      </c>
      <c r="H50" s="977">
        <v>2.3868670000000001</v>
      </c>
      <c r="I50" s="978">
        <v>49.811923999999998</v>
      </c>
      <c r="J50" s="977">
        <v>1.0288809999999999</v>
      </c>
      <c r="K50" s="978">
        <v>42.097343000000002</v>
      </c>
      <c r="L50" s="977">
        <v>166.26</v>
      </c>
      <c r="M50" s="978">
        <v>1.5335909999999999</v>
      </c>
      <c r="N50" s="1752">
        <f t="shared" si="6"/>
        <v>2009</v>
      </c>
      <c r="O50" s="1752" t="str">
        <f t="shared" si="7"/>
        <v>2</v>
      </c>
      <c r="P50" s="434"/>
      <c r="Q50" s="1348" t="str">
        <f>IFERROR(IF(YEAR(MAX('Commodity Prices'!$C$9:$C4997))=VALUE(RIGHT(Q49,4)),"",IF($R$33="Calendar Year",Q49+1,CONCATENATE(LEFT(Q49,4)+1,"-",RIGHT(Q49,4)+1))),"")</f>
        <v>2013-2014</v>
      </c>
      <c r="R50" s="818">
        <f t="shared" ca="1" si="4"/>
        <v>137.17937646769744</v>
      </c>
      <c r="S50" s="819">
        <f t="shared" ca="1" si="5"/>
        <v>93.414212050000003</v>
      </c>
      <c r="T50" s="573"/>
      <c r="U50" s="573"/>
      <c r="V50" s="573"/>
      <c r="W50" s="573"/>
      <c r="X50" s="573"/>
      <c r="Y50" s="573"/>
      <c r="Z50" s="573"/>
      <c r="AA50" s="573"/>
      <c r="AB50" s="573"/>
      <c r="AC50" s="573"/>
      <c r="AD50" s="326"/>
    </row>
    <row r="51" spans="1:30">
      <c r="A51" s="319">
        <v>40057</v>
      </c>
      <c r="B51" s="714">
        <v>9.17</v>
      </c>
      <c r="C51" s="705">
        <v>5.1613192699999999</v>
      </c>
      <c r="D51" s="714">
        <v>1.484505</v>
      </c>
      <c r="E51" s="705">
        <v>70.118567999999996</v>
      </c>
      <c r="F51" s="714">
        <v>2.4854636719999998</v>
      </c>
      <c r="G51" s="705">
        <v>105.69789523999999</v>
      </c>
      <c r="H51" s="714">
        <v>4.6985549999999998</v>
      </c>
      <c r="I51" s="705">
        <v>73.393354000000002</v>
      </c>
      <c r="J51" s="714">
        <v>1.229719</v>
      </c>
      <c r="K51" s="705">
        <v>52.648847000000004</v>
      </c>
      <c r="L51" s="714">
        <v>329.54</v>
      </c>
      <c r="M51" s="705">
        <v>3.1176499999999998</v>
      </c>
      <c r="N51" s="1752">
        <f t="shared" si="6"/>
        <v>2009</v>
      </c>
      <c r="O51" s="1752" t="str">
        <f t="shared" si="7"/>
        <v>3</v>
      </c>
      <c r="P51" s="434"/>
      <c r="Q51" s="1348" t="str">
        <f>IFERROR(IF(YEAR(MAX('Commodity Prices'!$C$9:$C4998))=VALUE(RIGHT(Q50,4)),"",IF($R$33="Calendar Year",Q50+1,CONCATENATE(LEFT(Q50,4)+1,"-",RIGHT(Q50,4)+1))),"")</f>
        <v>2014-2015</v>
      </c>
      <c r="R51" s="994">
        <f t="shared" ca="1" si="4"/>
        <v>150.57800393148517</v>
      </c>
      <c r="S51" s="995">
        <f t="shared" ca="1" si="5"/>
        <v>95.972009</v>
      </c>
      <c r="T51" s="573"/>
      <c r="U51" s="573"/>
      <c r="V51" s="573"/>
      <c r="W51" s="573"/>
      <c r="X51" s="573"/>
      <c r="Y51" s="573"/>
      <c r="Z51" s="573"/>
      <c r="AA51" s="573"/>
      <c r="AB51" s="573"/>
      <c r="AC51" s="573"/>
      <c r="AD51" s="326"/>
    </row>
    <row r="52" spans="1:30">
      <c r="A52" s="319">
        <v>40148</v>
      </c>
      <c r="B52" s="977">
        <v>26.61</v>
      </c>
      <c r="C52" s="978">
        <v>16.228244220000001</v>
      </c>
      <c r="D52" s="977">
        <v>1.640514</v>
      </c>
      <c r="E52" s="978">
        <v>75.290215000000003</v>
      </c>
      <c r="F52" s="977">
        <v>3.135597985</v>
      </c>
      <c r="G52" s="978">
        <v>124.71293206999999</v>
      </c>
      <c r="H52" s="977">
        <v>3.45566</v>
      </c>
      <c r="I52" s="978">
        <v>62.770829999999997</v>
      </c>
      <c r="J52" s="977">
        <v>1.1528529999999999</v>
      </c>
      <c r="K52" s="978">
        <v>45.606217000000001</v>
      </c>
      <c r="L52" s="977">
        <v>233.53</v>
      </c>
      <c r="M52" s="978">
        <v>2.5488360000000001</v>
      </c>
      <c r="N52" s="1752">
        <f t="shared" si="6"/>
        <v>2009</v>
      </c>
      <c r="O52" s="1752" t="str">
        <f t="shared" si="7"/>
        <v>4</v>
      </c>
      <c r="P52" s="434"/>
      <c r="Q52" s="1348" t="str">
        <f>IFERROR(IF(YEAR(MAX('Commodity Prices'!$C$9:$C4999))=VALUE(RIGHT(Q51,4)),"",IF($R$33="Calendar Year",Q51+1,CONCATENATE(LEFT(Q51,4)+1,"-",RIGHT(Q51,4)+1))),"")</f>
        <v>2015-2016</v>
      </c>
      <c r="R52" s="818">
        <f t="shared" ca="1" si="4"/>
        <v>155.29208045236965</v>
      </c>
      <c r="S52" s="819">
        <f t="shared" ca="1" si="5"/>
        <v>104.786546</v>
      </c>
      <c r="T52" s="573"/>
      <c r="U52" s="573"/>
      <c r="V52" s="573"/>
      <c r="W52" s="573"/>
      <c r="X52" s="573"/>
      <c r="Y52" s="573"/>
      <c r="Z52" s="573"/>
      <c r="AA52" s="573"/>
      <c r="AB52" s="573"/>
      <c r="AC52" s="573"/>
      <c r="AD52" s="326"/>
    </row>
    <row r="53" spans="1:30">
      <c r="A53" s="319">
        <v>40238</v>
      </c>
      <c r="B53" s="714">
        <v>37.049999999999997</v>
      </c>
      <c r="C53" s="705">
        <v>23.140494889999999</v>
      </c>
      <c r="D53" s="714">
        <v>1.9090879999999999</v>
      </c>
      <c r="E53" s="705">
        <v>87.708416</v>
      </c>
      <c r="F53" s="714">
        <v>2.56266522</v>
      </c>
      <c r="G53" s="705">
        <v>92.637926379999996</v>
      </c>
      <c r="H53" s="714">
        <v>4.8594660000000003</v>
      </c>
      <c r="I53" s="705">
        <v>90.533727999999996</v>
      </c>
      <c r="J53" s="714">
        <v>1.04125</v>
      </c>
      <c r="K53" s="705">
        <v>50.073636999999998</v>
      </c>
      <c r="L53" s="714">
        <v>278.91000000000003</v>
      </c>
      <c r="M53" s="705">
        <v>3.0311279999999998</v>
      </c>
      <c r="N53" s="1752">
        <f t="shared" si="6"/>
        <v>2010</v>
      </c>
      <c r="O53" s="1752" t="str">
        <f t="shared" si="7"/>
        <v>1</v>
      </c>
      <c r="P53" s="434"/>
      <c r="Q53" s="1348" t="str">
        <f>IFERROR(IF(YEAR(MAX('Commodity Prices'!$C$9:$C5000))=VALUE(RIGHT(Q52,4)),"",IF($R$33="Calendar Year",Q52+1,CONCATENATE(LEFT(Q52,4)+1,"-",RIGHT(Q52,4)+1))),"")</f>
        <v>2016-2017</v>
      </c>
      <c r="R53" s="994">
        <f t="shared" ref="R53:R57" ca="1" si="8">IF(Q53="","",IF($R$33="Calendar Year",SUMIF($N$9:$N$201,$Q53,INDIRECT(CONCATENATE($AN$1,"9:",$AN$1,"201"),TRUE)),SUMIFS(INDIRECT(CONCATENATE($AN$1,"9:",$AN$1,"201"),TRUE),$N$9:$N$201,LEFT($Q53,4),$O$9:$O$201,3)+SUMIFS(INDIRECT(CONCATENATE($AN$1,"9:",$AN$1,"201"),TRUE),$N$9:$N$201,LEFT($Q53,4),$O$9:$O$201,4)+SUMIFS(INDIRECT(CONCATENATE($AN$1,"9:",$AN$1,"201"),TRUE),$N$9:$N$201,LEFT($Q53,4)+1,$O$9:$O$201,1)+SUMIFS(INDIRECT(CONCATENATE($AN$1,"9:",$AN$1,"201"),TRUE),$N$9:$N$201,LEFT($Q53,4)+1,$O$9:$O$201,2)))</f>
        <v>142.86769398902666</v>
      </c>
      <c r="S53" s="995">
        <f t="shared" ref="S53:S57" ca="1" si="9">IF(Q53="","",IF($R$33="Calendar Year",SUMIF($N$9:$N$201,$Q53,INDIRECT(CONCATENATE($AN$2,"9:",$AN$2,"201"),TRUE)),SUMIFS(INDIRECT(CONCATENATE($AN$2,"9:",$AN$2,"201"),TRUE),$N$9:$N$201,LEFT($Q53,4),$O$9:$O$201,3)+SUMIFS(INDIRECT(CONCATENATE($AN$2,"9:",$AN$2,"201"),TRUE),$N$9:$N$201,LEFT($Q53,4),$O$9:$O$201,4)+SUMIFS(INDIRECT(CONCATENATE($AN$2,"9:",$AN$2,"201"),TRUE),$N$9:$N$201,LEFT($Q53,4)+1,$O$9:$O$201,1)+SUMIFS(INDIRECT(CONCATENATE($AN$2,"9:",$AN$2,"201"),TRUE),$N$9:$N$201,LEFT($Q53,4)+1,$O$9:$O$201,2)))</f>
        <v>98.465480000000014</v>
      </c>
      <c r="T53" s="573"/>
      <c r="U53" s="573"/>
      <c r="V53" s="573"/>
      <c r="W53" s="573"/>
      <c r="X53" s="573"/>
      <c r="Y53" s="573"/>
      <c r="Z53" s="573"/>
      <c r="AA53" s="573"/>
      <c r="AB53" s="573"/>
      <c r="AC53" s="573"/>
      <c r="AD53" s="326"/>
    </row>
    <row r="54" spans="1:30">
      <c r="A54" s="319">
        <v>40330</v>
      </c>
      <c r="B54" s="977">
        <v>27.2</v>
      </c>
      <c r="C54" s="978">
        <v>19.315009280000002</v>
      </c>
      <c r="D54" s="977">
        <v>1.6779120000000001</v>
      </c>
      <c r="E54" s="978">
        <v>92.738175999999996</v>
      </c>
      <c r="F54" s="977">
        <v>2.7857517700000001</v>
      </c>
      <c r="G54" s="978">
        <v>94.411674640000001</v>
      </c>
      <c r="H54" s="977">
        <v>3.2670759999999999</v>
      </c>
      <c r="I54" s="978">
        <v>77.634621999999993</v>
      </c>
      <c r="J54" s="977">
        <v>0.97460999999999998</v>
      </c>
      <c r="K54" s="978">
        <v>44.997244999999999</v>
      </c>
      <c r="L54" s="977">
        <v>247.37</v>
      </c>
      <c r="M54" s="978">
        <v>2.4043049999999999</v>
      </c>
      <c r="N54" s="1752">
        <f t="shared" si="6"/>
        <v>2010</v>
      </c>
      <c r="O54" s="1752" t="str">
        <f t="shared" si="7"/>
        <v>2</v>
      </c>
      <c r="P54" s="434"/>
      <c r="Q54" s="1348" t="str">
        <f>IFERROR(IF(YEAR(MAX('Commodity Prices'!$C$9:$C5001))=VALUE(RIGHT(Q53,4)),"",IF($R$33="Calendar Year",Q53+1,CONCATENATE(LEFT(Q53,4)+1,"-",RIGHT(Q53,4)+1))),"")</f>
        <v>2017-2018</v>
      </c>
      <c r="R54" s="818">
        <f t="shared" ca="1" si="8"/>
        <v>162.18260277381205</v>
      </c>
      <c r="S54" s="819">
        <f t="shared" ca="1" si="9"/>
        <v>105.307744</v>
      </c>
      <c r="T54" s="573"/>
      <c r="U54" s="573"/>
      <c r="V54" s="573"/>
      <c r="W54" s="573"/>
      <c r="X54" s="573"/>
      <c r="Y54" s="573"/>
      <c r="Z54" s="573"/>
      <c r="AA54" s="573"/>
      <c r="AB54" s="573"/>
      <c r="AC54" s="573"/>
      <c r="AD54" s="326"/>
    </row>
    <row r="55" spans="1:30">
      <c r="A55" s="319">
        <v>40422</v>
      </c>
      <c r="B55" s="714">
        <v>23.34</v>
      </c>
      <c r="C55" s="705">
        <v>17.1025399</v>
      </c>
      <c r="D55" s="714">
        <v>1.701068</v>
      </c>
      <c r="E55" s="705">
        <v>69.848280000000003</v>
      </c>
      <c r="F55" s="714">
        <v>2.60718396</v>
      </c>
      <c r="G55" s="705">
        <v>96.228769650000004</v>
      </c>
      <c r="H55" s="714">
        <v>4.0734579999999996</v>
      </c>
      <c r="I55" s="705">
        <v>98.612891000000005</v>
      </c>
      <c r="J55" s="714">
        <v>1.1013010000000001</v>
      </c>
      <c r="K55" s="705">
        <v>47.525984000000001</v>
      </c>
      <c r="L55" s="714">
        <v>183.61</v>
      </c>
      <c r="M55" s="705">
        <v>1.5646549999999999</v>
      </c>
      <c r="N55" s="1752">
        <f t="shared" si="6"/>
        <v>2010</v>
      </c>
      <c r="O55" s="1752" t="str">
        <f t="shared" si="7"/>
        <v>3</v>
      </c>
      <c r="P55" s="434"/>
      <c r="Q55" s="1348" t="str">
        <f>IFERROR(IF(YEAR(MAX('Commodity Prices'!$C$9:$C5002))=VALUE(RIGHT(Q54,4)),"",IF($R$33="Calendar Year",Q54+1,CONCATENATE(LEFT(Q54,4)+1,"-",RIGHT(Q54,4)+1))),"")</f>
        <v>2018-2019</v>
      </c>
      <c r="R55" s="994">
        <f t="shared" ca="1" si="8"/>
        <v>129.40608686591582</v>
      </c>
      <c r="S55" s="995">
        <f t="shared" ca="1" si="9"/>
        <v>84.831662999999992</v>
      </c>
      <c r="T55" s="573"/>
      <c r="U55" s="573"/>
      <c r="V55" s="573"/>
      <c r="W55" s="573"/>
      <c r="X55" s="573"/>
      <c r="Y55" s="573"/>
      <c r="Z55" s="573"/>
      <c r="AA55" s="573"/>
      <c r="AB55" s="573"/>
      <c r="AC55" s="573"/>
      <c r="AD55" s="326"/>
    </row>
    <row r="56" spans="1:30">
      <c r="A56" s="319">
        <v>40513</v>
      </c>
      <c r="B56" s="977">
        <v>25.4</v>
      </c>
      <c r="C56" s="978">
        <v>21.096161120000001</v>
      </c>
      <c r="D56" s="977">
        <v>1.710453</v>
      </c>
      <c r="E56" s="978">
        <v>67.973329000000007</v>
      </c>
      <c r="F56" s="977">
        <v>3.5870354600000001</v>
      </c>
      <c r="G56" s="978">
        <v>103.39044622999999</v>
      </c>
      <c r="H56" s="977">
        <v>2.216656</v>
      </c>
      <c r="I56" s="978">
        <v>78.762479999999996</v>
      </c>
      <c r="J56" s="977">
        <v>0.825851</v>
      </c>
      <c r="K56" s="978">
        <v>31.190370000000001</v>
      </c>
      <c r="L56" s="977">
        <v>71.14</v>
      </c>
      <c r="M56" s="978">
        <v>1.225393</v>
      </c>
      <c r="N56" s="1752">
        <f t="shared" si="6"/>
        <v>2010</v>
      </c>
      <c r="O56" s="1752" t="str">
        <f t="shared" si="7"/>
        <v>4</v>
      </c>
      <c r="P56" s="434"/>
      <c r="Q56" s="1348" t="str">
        <f>IFERROR(IF(YEAR(MAX('Commodity Prices'!$C$9:$C5003))=VALUE(RIGHT(Q55,4)),"",IF($R$33="Calendar Year",Q55+1,CONCATENATE(LEFT(Q55,4)+1,"-",RIGHT(Q55,4)+1))),"")</f>
        <v>2019-2020</v>
      </c>
      <c r="R56" s="818">
        <f t="shared" ca="1" si="8"/>
        <v>131.66515509771173</v>
      </c>
      <c r="S56" s="819">
        <f t="shared" ca="1" si="9"/>
        <v>109.7205</v>
      </c>
      <c r="T56" s="573"/>
      <c r="U56" s="573"/>
      <c r="V56" s="573"/>
      <c r="W56" s="573"/>
      <c r="X56" s="573"/>
      <c r="Y56" s="573"/>
      <c r="Z56" s="573"/>
      <c r="AA56" s="573"/>
      <c r="AB56" s="573"/>
      <c r="AC56" s="573"/>
      <c r="AD56" s="326"/>
    </row>
    <row r="57" spans="1:30" ht="15.75" thickBot="1">
      <c r="A57" s="319">
        <v>40603</v>
      </c>
      <c r="B57" s="714">
        <v>21.82</v>
      </c>
      <c r="C57" s="705">
        <v>23.41780352</v>
      </c>
      <c r="D57" s="714">
        <v>2.0381130000000001</v>
      </c>
      <c r="E57" s="705">
        <v>82.415342999999993</v>
      </c>
      <c r="F57" s="714">
        <v>2.9696917300000001</v>
      </c>
      <c r="G57" s="705">
        <v>85.056352700000005</v>
      </c>
      <c r="H57" s="714">
        <v>2.6453880000000001</v>
      </c>
      <c r="I57" s="705">
        <v>76.294087000000005</v>
      </c>
      <c r="J57" s="714">
        <v>0.95</v>
      </c>
      <c r="K57" s="705">
        <v>35.871651</v>
      </c>
      <c r="L57" s="714">
        <v>98.93</v>
      </c>
      <c r="M57" s="705">
        <v>2.3594650000000001</v>
      </c>
      <c r="N57" s="1752">
        <f t="shared" si="6"/>
        <v>2011</v>
      </c>
      <c r="O57" s="1752" t="str">
        <f t="shared" si="7"/>
        <v>1</v>
      </c>
      <c r="P57" s="434"/>
      <c r="Q57" s="1348" t="str">
        <f>IFERROR(IF(YEAR(MAX('Commodity Prices'!$C$9:$C5004))=VALUE(RIGHT(Q56,4)),"",IF($R$33="Calendar Year",Q56+1,CONCATENATE(LEFT(Q56,4)+1,"-",RIGHT(Q56,4)+1))),"")</f>
        <v>2020-2021</v>
      </c>
      <c r="R57" s="994">
        <f t="shared" ca="1" si="8"/>
        <v>139.81430898860677</v>
      </c>
      <c r="S57" s="995">
        <f t="shared" ca="1" si="9"/>
        <v>153.1859396596</v>
      </c>
      <c r="T57" s="573"/>
      <c r="U57" s="573"/>
      <c r="V57" s="573"/>
      <c r="W57" s="573"/>
      <c r="X57" s="573"/>
      <c r="Y57" s="573"/>
      <c r="Z57" s="573"/>
      <c r="AA57" s="573"/>
      <c r="AB57" s="573"/>
      <c r="AC57" s="573"/>
    </row>
    <row r="58" spans="1:30">
      <c r="A58" s="319">
        <v>40695</v>
      </c>
      <c r="B58" s="977">
        <v>12.99</v>
      </c>
      <c r="C58" s="978">
        <v>14.448582829999999</v>
      </c>
      <c r="D58" s="977">
        <v>1.784821</v>
      </c>
      <c r="E58" s="978">
        <v>76.022599</v>
      </c>
      <c r="F58" s="977">
        <v>3.0825931400000002</v>
      </c>
      <c r="G58" s="978">
        <v>82.260321869999999</v>
      </c>
      <c r="H58" s="977">
        <v>1.1860850000000001</v>
      </c>
      <c r="I58" s="978">
        <v>49.423012999999997</v>
      </c>
      <c r="J58" s="977">
        <v>0.89</v>
      </c>
      <c r="K58" s="978">
        <v>31.892309999999998</v>
      </c>
      <c r="L58" s="977">
        <v>86.55</v>
      </c>
      <c r="M58" s="978">
        <v>1.886584</v>
      </c>
      <c r="N58" s="1752">
        <f t="shared" si="6"/>
        <v>2011</v>
      </c>
      <c r="O58" s="1752" t="str">
        <f t="shared" si="7"/>
        <v>2</v>
      </c>
      <c r="P58" s="434"/>
      <c r="Q58" s="749" t="str">
        <f>IFERROR(IF(YEAR(MAX('Commodity Prices'!$C$9:$C5004))=VALUE(RIGHT(Q57,4)),"",IF($R$33="Calendar Year",Q57+1,CONCATENATE(LEFT(Q57,4)+1,"-",RIGHT(Q57,4)+1))),"")</f>
        <v/>
      </c>
      <c r="R58" s="938" t="str">
        <f t="shared" ca="1" si="4"/>
        <v/>
      </c>
      <c r="S58" s="938" t="str">
        <f t="shared" ca="1" si="5"/>
        <v/>
      </c>
    </row>
    <row r="59" spans="1:30">
      <c r="A59" s="319">
        <v>40787</v>
      </c>
      <c r="B59" s="714">
        <v>14.88</v>
      </c>
      <c r="C59" s="705">
        <v>15.980396170000001</v>
      </c>
      <c r="D59" s="714">
        <v>1.5109030000000001</v>
      </c>
      <c r="E59" s="705">
        <v>59.122332</v>
      </c>
      <c r="F59" s="714">
        <v>2.7683849500000002</v>
      </c>
      <c r="G59" s="705">
        <v>72.734708470000001</v>
      </c>
      <c r="H59" s="714">
        <v>2.0016669999999999</v>
      </c>
      <c r="I59" s="705">
        <v>80.265319000000005</v>
      </c>
      <c r="J59" s="714">
        <v>0.91</v>
      </c>
      <c r="K59" s="705">
        <v>28.49305</v>
      </c>
      <c r="L59" s="714">
        <v>135.39346800000001</v>
      </c>
      <c r="M59" s="705">
        <v>3.548203</v>
      </c>
      <c r="N59" s="1752">
        <f t="shared" si="6"/>
        <v>2011</v>
      </c>
      <c r="O59" s="1752" t="str">
        <f t="shared" si="7"/>
        <v>3</v>
      </c>
      <c r="P59" s="434"/>
      <c r="Q59" s="656" t="str">
        <f>IFERROR(IF(YEAR(MAX('Commodity Prices'!$C$9:$C5005))=VALUE(RIGHT(Q58,4)),"",IF($R$33="Calendar Year",Q58+1,CONCATENATE(LEFT(Q58,4)+1,"-",RIGHT(Q58,4)+1))),"")</f>
        <v/>
      </c>
      <c r="R59" s="748" t="str">
        <f t="shared" ca="1" si="4"/>
        <v/>
      </c>
      <c r="S59" s="654" t="str">
        <f t="shared" ca="1" si="5"/>
        <v/>
      </c>
    </row>
    <row r="60" spans="1:30">
      <c r="A60" s="319">
        <v>40878</v>
      </c>
      <c r="B60" s="977">
        <v>41.78</v>
      </c>
      <c r="C60" s="978">
        <v>42.377195329999999</v>
      </c>
      <c r="D60" s="977">
        <v>1.6480699999999999</v>
      </c>
      <c r="E60" s="978">
        <v>65.935260999999997</v>
      </c>
      <c r="F60" s="977">
        <v>3.4319052800000001</v>
      </c>
      <c r="G60" s="978">
        <v>95.719509610000003</v>
      </c>
      <c r="H60" s="977">
        <v>1.801585</v>
      </c>
      <c r="I60" s="978">
        <v>85.195436999999998</v>
      </c>
      <c r="J60" s="977">
        <v>1.1299999999999999</v>
      </c>
      <c r="K60" s="978">
        <v>31.738264999999998</v>
      </c>
      <c r="L60" s="977">
        <v>117.733437</v>
      </c>
      <c r="M60" s="978">
        <v>2.8119420000000002</v>
      </c>
      <c r="N60" s="1752">
        <f t="shared" si="6"/>
        <v>2011</v>
      </c>
      <c r="O60" s="1752" t="str">
        <f t="shared" si="7"/>
        <v>4</v>
      </c>
      <c r="P60" s="434"/>
      <c r="Q60" s="656" t="str">
        <f>IFERROR(IF(YEAR(MAX('Commodity Prices'!$C$9:$C5006))=VALUE(RIGHT(Q59,4)),"",IF($R$33="Calendar Year",Q59+1,CONCATENATE(LEFT(Q59,4)+1,"-",RIGHT(Q59,4)+1))),"")</f>
        <v/>
      </c>
      <c r="R60" s="748" t="str">
        <f t="shared" ca="1" si="4"/>
        <v/>
      </c>
      <c r="S60" s="654" t="str">
        <f t="shared" ca="1" si="5"/>
        <v/>
      </c>
    </row>
    <row r="61" spans="1:30">
      <c r="A61" s="319">
        <v>40969</v>
      </c>
      <c r="B61" s="714">
        <v>27.45</v>
      </c>
      <c r="C61" s="705">
        <v>26.347134390000001</v>
      </c>
      <c r="D61" s="714">
        <v>2.0367510000000002</v>
      </c>
      <c r="E61" s="705">
        <v>85.819766999999999</v>
      </c>
      <c r="F61" s="714">
        <v>3.3678653700000001</v>
      </c>
      <c r="G61" s="705">
        <v>91.287571049999997</v>
      </c>
      <c r="H61" s="714">
        <v>2.9122300000000001</v>
      </c>
      <c r="I61" s="705">
        <v>93.107989000000003</v>
      </c>
      <c r="J61" s="714">
        <v>1.34</v>
      </c>
      <c r="K61" s="705">
        <v>38.508535999999999</v>
      </c>
      <c r="L61" s="714">
        <v>174.24354588</v>
      </c>
      <c r="M61" s="705">
        <v>4.0192905300000001</v>
      </c>
      <c r="N61" s="1752">
        <f t="shared" si="6"/>
        <v>2012</v>
      </c>
      <c r="O61" s="1752" t="str">
        <f t="shared" si="7"/>
        <v>1</v>
      </c>
      <c r="P61" s="434"/>
      <c r="Q61" s="656" t="str">
        <f>IFERROR(IF(YEAR(MAX('Commodity Prices'!$C$9:$C5007))=VALUE(RIGHT(Q60,4)),"",IF($R$33="Calendar Year",Q60+1,CONCATENATE(LEFT(Q60,4)+1,"-",RIGHT(Q60,4)+1))),"")</f>
        <v/>
      </c>
      <c r="R61" s="748" t="str">
        <f t="shared" ca="1" si="4"/>
        <v/>
      </c>
      <c r="S61" s="654" t="str">
        <f t="shared" ca="1" si="5"/>
        <v/>
      </c>
    </row>
    <row r="62" spans="1:30">
      <c r="A62" s="319">
        <v>41061</v>
      </c>
      <c r="B62" s="977">
        <v>35.97</v>
      </c>
      <c r="C62" s="978">
        <v>31.000170000000001</v>
      </c>
      <c r="D62" s="977">
        <v>1.7907090000000001</v>
      </c>
      <c r="E62" s="978">
        <v>78.751891999999998</v>
      </c>
      <c r="F62" s="977">
        <v>3.2393057500000002</v>
      </c>
      <c r="G62" s="978">
        <v>94.034657839999994</v>
      </c>
      <c r="H62" s="977">
        <v>1.974019</v>
      </c>
      <c r="I62" s="978">
        <v>84.724648999999999</v>
      </c>
      <c r="J62" s="977">
        <v>1.57</v>
      </c>
      <c r="K62" s="978">
        <v>44.887745000000002</v>
      </c>
      <c r="L62" s="977">
        <v>198.71228615999999</v>
      </c>
      <c r="M62" s="978">
        <v>4.5300076300000001</v>
      </c>
      <c r="N62" s="1752">
        <f t="shared" si="6"/>
        <v>2012</v>
      </c>
      <c r="O62" s="1752" t="str">
        <f t="shared" si="7"/>
        <v>2</v>
      </c>
      <c r="P62" s="434"/>
    </row>
    <row r="63" spans="1:30">
      <c r="A63" s="319">
        <v>41153</v>
      </c>
      <c r="B63" s="714">
        <v>29.33</v>
      </c>
      <c r="C63" s="705">
        <v>25.6647666</v>
      </c>
      <c r="D63" s="714">
        <v>1.801199</v>
      </c>
      <c r="E63" s="705">
        <v>75.452189000000004</v>
      </c>
      <c r="F63" s="714">
        <v>2.9870367999999998</v>
      </c>
      <c r="G63" s="705">
        <v>91.389328610000007</v>
      </c>
      <c r="H63" s="714">
        <v>1.6756359999999999</v>
      </c>
      <c r="I63" s="705">
        <v>65.373769999999993</v>
      </c>
      <c r="J63" s="714">
        <v>1.44</v>
      </c>
      <c r="K63" s="705">
        <v>36.547936999999997</v>
      </c>
      <c r="L63" s="714">
        <v>206.58351500000001</v>
      </c>
      <c r="M63" s="705">
        <v>4.3636460000000001</v>
      </c>
      <c r="N63" s="1752">
        <f t="shared" si="6"/>
        <v>2012</v>
      </c>
      <c r="O63" s="1752" t="str">
        <f t="shared" si="7"/>
        <v>3</v>
      </c>
      <c r="P63" s="434"/>
    </row>
    <row r="64" spans="1:30">
      <c r="A64" s="319">
        <v>41244</v>
      </c>
      <c r="B64" s="977">
        <v>41.92</v>
      </c>
      <c r="C64" s="978">
        <v>37.720450820000003</v>
      </c>
      <c r="D64" s="977">
        <v>1.8295969999999999</v>
      </c>
      <c r="E64" s="978">
        <v>75.062442000000004</v>
      </c>
      <c r="F64" s="977">
        <v>2.9106186200000002</v>
      </c>
      <c r="G64" s="978">
        <v>87.797827339999998</v>
      </c>
      <c r="H64" s="977">
        <v>3.3162400000000001</v>
      </c>
      <c r="I64" s="978">
        <v>107.196268</v>
      </c>
      <c r="J64" s="977">
        <v>1.56</v>
      </c>
      <c r="K64" s="978">
        <v>35.505099999999999</v>
      </c>
      <c r="L64" s="977">
        <v>126.793468</v>
      </c>
      <c r="M64" s="978">
        <v>2.7670539999999999</v>
      </c>
      <c r="N64" s="1752">
        <f t="shared" si="6"/>
        <v>2012</v>
      </c>
      <c r="O64" s="1752" t="str">
        <f t="shared" si="7"/>
        <v>4</v>
      </c>
      <c r="P64" s="434"/>
      <c r="V64" s="1"/>
    </row>
    <row r="65" spans="1:22">
      <c r="A65" s="319">
        <v>41334</v>
      </c>
      <c r="B65" s="714">
        <v>27.33</v>
      </c>
      <c r="C65" s="705">
        <v>21.169591780000001</v>
      </c>
      <c r="D65" s="714">
        <v>1.7805550000000001</v>
      </c>
      <c r="E65" s="705">
        <v>72.932895000000002</v>
      </c>
      <c r="F65" s="714">
        <v>3.4895649259999999</v>
      </c>
      <c r="G65" s="705">
        <v>104.78750985000001</v>
      </c>
      <c r="H65" s="714">
        <v>1.736796</v>
      </c>
      <c r="I65" s="705">
        <v>81.857669000000001</v>
      </c>
      <c r="J65" s="714">
        <v>1.46</v>
      </c>
      <c r="K65" s="705">
        <v>40.403044000000001</v>
      </c>
      <c r="L65" s="714">
        <v>146.04696734000001</v>
      </c>
      <c r="M65" s="705">
        <v>3.56503397</v>
      </c>
      <c r="N65" s="1752">
        <f t="shared" si="6"/>
        <v>2013</v>
      </c>
      <c r="O65" s="1752" t="str">
        <f t="shared" si="7"/>
        <v>1</v>
      </c>
      <c r="P65" s="434"/>
      <c r="V65" s="1"/>
    </row>
    <row r="66" spans="1:22">
      <c r="A66" s="319">
        <v>41426</v>
      </c>
      <c r="B66" s="977">
        <v>25.16</v>
      </c>
      <c r="C66" s="978">
        <v>16.005870160000001</v>
      </c>
      <c r="D66" s="977">
        <v>2.082929</v>
      </c>
      <c r="E66" s="978">
        <v>87.365359999999995</v>
      </c>
      <c r="F66" s="977">
        <v>3.002422336</v>
      </c>
      <c r="G66" s="978">
        <v>97.678222329999997</v>
      </c>
      <c r="H66" s="977">
        <v>2.8800129999999999</v>
      </c>
      <c r="I66" s="978">
        <v>101.53717</v>
      </c>
      <c r="J66" s="977">
        <v>1.74</v>
      </c>
      <c r="K66" s="978">
        <v>46.691724000000001</v>
      </c>
      <c r="L66" s="977">
        <v>178.31415240999999</v>
      </c>
      <c r="M66" s="978">
        <v>4.3498851299999997</v>
      </c>
      <c r="N66" s="1752">
        <f t="shared" si="6"/>
        <v>2013</v>
      </c>
      <c r="O66" s="1752" t="str">
        <f t="shared" si="7"/>
        <v>2</v>
      </c>
      <c r="P66" s="434"/>
      <c r="U66" s="520"/>
      <c r="V66" s="1"/>
    </row>
    <row r="67" spans="1:22">
      <c r="A67" s="319">
        <v>41518</v>
      </c>
      <c r="B67" s="714">
        <v>43.25</v>
      </c>
      <c r="C67" s="705">
        <v>30.699013059999999</v>
      </c>
      <c r="D67" s="714">
        <v>1.629858</v>
      </c>
      <c r="E67" s="705">
        <v>68.871536000000006</v>
      </c>
      <c r="F67" s="714">
        <v>3.1063485000000002</v>
      </c>
      <c r="G67" s="705">
        <v>99.398332929999995</v>
      </c>
      <c r="H67" s="714">
        <v>2.6419769999999998</v>
      </c>
      <c r="I67" s="705">
        <v>93.623329999999996</v>
      </c>
      <c r="J67" s="714">
        <v>1.65</v>
      </c>
      <c r="K67" s="705">
        <v>44.131681</v>
      </c>
      <c r="L67" s="714">
        <v>228.29517899999999</v>
      </c>
      <c r="M67" s="705">
        <v>6.1167610000000003</v>
      </c>
      <c r="N67" s="1752">
        <f t="shared" si="6"/>
        <v>2013</v>
      </c>
      <c r="O67" s="1752" t="str">
        <f t="shared" si="7"/>
        <v>3</v>
      </c>
      <c r="P67" s="434"/>
      <c r="V67" s="1"/>
    </row>
    <row r="68" spans="1:22">
      <c r="A68" s="319">
        <v>41609</v>
      </c>
      <c r="B68" s="977">
        <v>30.61</v>
      </c>
      <c r="C68" s="978">
        <v>20.50123499</v>
      </c>
      <c r="D68" s="977">
        <v>1.593982</v>
      </c>
      <c r="E68" s="978">
        <v>67.435451</v>
      </c>
      <c r="F68" s="977">
        <v>3.3018478500000001</v>
      </c>
      <c r="G68" s="978">
        <v>110.5508968</v>
      </c>
      <c r="H68" s="977">
        <v>3.4355799999999999</v>
      </c>
      <c r="I68" s="978">
        <v>112.077574</v>
      </c>
      <c r="J68" s="977">
        <v>1.55</v>
      </c>
      <c r="K68" s="978">
        <v>40.523435999999997</v>
      </c>
      <c r="L68" s="977">
        <v>233.53312600000001</v>
      </c>
      <c r="M68" s="978">
        <v>6.4107539999999998</v>
      </c>
      <c r="N68" s="1752">
        <f t="shared" si="6"/>
        <v>2013</v>
      </c>
      <c r="O68" s="1752" t="str">
        <f t="shared" si="7"/>
        <v>4</v>
      </c>
      <c r="P68" s="434"/>
      <c r="V68" s="1"/>
    </row>
    <row r="69" spans="1:22">
      <c r="A69" s="319">
        <v>41699</v>
      </c>
      <c r="B69" s="714">
        <v>29.009977854292444</v>
      </c>
      <c r="C69" s="705">
        <v>19.807912000000002</v>
      </c>
      <c r="D69" s="714">
        <v>1.4728449800000001</v>
      </c>
      <c r="E69" s="705">
        <v>60.185381999999997</v>
      </c>
      <c r="F69" s="714">
        <v>3.7093536500000002</v>
      </c>
      <c r="G69" s="705">
        <v>118.49862899999999</v>
      </c>
      <c r="H69" s="714">
        <v>3.6040654600000002</v>
      </c>
      <c r="I69" s="705">
        <v>116.37214299999999</v>
      </c>
      <c r="J69" s="714">
        <v>1.5272220000000001</v>
      </c>
      <c r="K69" s="705">
        <v>46.557541000000001</v>
      </c>
      <c r="L69" s="714">
        <v>264.22161881389832</v>
      </c>
      <c r="M69" s="705">
        <v>3.0281030000000002</v>
      </c>
      <c r="N69" s="1752">
        <f t="shared" si="6"/>
        <v>2014</v>
      </c>
      <c r="O69" s="1752" t="str">
        <f t="shared" si="7"/>
        <v>1</v>
      </c>
      <c r="P69" s="434"/>
      <c r="U69" s="1"/>
      <c r="V69" s="1"/>
    </row>
    <row r="70" spans="1:22">
      <c r="A70" s="319">
        <v>41791</v>
      </c>
      <c r="B70" s="977">
        <v>34.309398613404987</v>
      </c>
      <c r="C70" s="978">
        <v>22.406051999999999</v>
      </c>
      <c r="D70" s="977">
        <v>1.5787367999999997</v>
      </c>
      <c r="E70" s="978">
        <v>67.209311</v>
      </c>
      <c r="F70" s="977">
        <v>2.8744915499999997</v>
      </c>
      <c r="G70" s="978">
        <v>81.649990000000003</v>
      </c>
      <c r="H70" s="977">
        <v>1.9290085299999999</v>
      </c>
      <c r="I70" s="978">
        <v>76.137878999999998</v>
      </c>
      <c r="J70" s="977">
        <v>1.5086619999999999</v>
      </c>
      <c r="K70" s="978">
        <v>43.90513</v>
      </c>
      <c r="L70" s="977">
        <v>288.98219945444418</v>
      </c>
      <c r="M70" s="978">
        <v>3.3002639999999999</v>
      </c>
      <c r="N70" s="1752">
        <f t="shared" si="6"/>
        <v>2014</v>
      </c>
      <c r="O70" s="1752" t="str">
        <f t="shared" si="7"/>
        <v>2</v>
      </c>
      <c r="P70" s="434"/>
      <c r="U70" s="1"/>
      <c r="V70" s="1"/>
    </row>
    <row r="71" spans="1:22">
      <c r="A71" s="319">
        <v>41883</v>
      </c>
      <c r="B71" s="714">
        <v>31.4168397888693</v>
      </c>
      <c r="C71" s="705">
        <v>19.796593000000001</v>
      </c>
      <c r="D71" s="714">
        <v>1.53169767</v>
      </c>
      <c r="E71" s="705">
        <v>63.946494999999999</v>
      </c>
      <c r="F71" s="714">
        <v>3.1389231899999999</v>
      </c>
      <c r="G71" s="705">
        <v>102.104128</v>
      </c>
      <c r="H71" s="714">
        <v>2.97988937</v>
      </c>
      <c r="I71" s="705">
        <v>91.957121999999998</v>
      </c>
      <c r="J71" s="714">
        <v>1.5784659999999999</v>
      </c>
      <c r="K71" s="705">
        <v>52.481675000000003</v>
      </c>
      <c r="L71" s="714">
        <v>86.259086116320958</v>
      </c>
      <c r="M71" s="705">
        <v>2.4103119999999998</v>
      </c>
      <c r="N71" s="1752">
        <f t="shared" si="6"/>
        <v>2014</v>
      </c>
      <c r="O71" s="1752" t="str">
        <f t="shared" si="7"/>
        <v>3</v>
      </c>
      <c r="P71" s="434"/>
      <c r="U71" s="1"/>
      <c r="V71" s="1"/>
    </row>
    <row r="72" spans="1:22">
      <c r="A72" s="319">
        <v>41974</v>
      </c>
      <c r="B72" s="977">
        <v>52.73313890521824</v>
      </c>
      <c r="C72" s="978">
        <v>32.598633</v>
      </c>
      <c r="D72" s="977">
        <v>1.6277688300000002</v>
      </c>
      <c r="E72" s="978">
        <v>75.543021999999993</v>
      </c>
      <c r="F72" s="977">
        <v>3.2751842099999999</v>
      </c>
      <c r="G72" s="978">
        <v>104.173846</v>
      </c>
      <c r="H72" s="977">
        <v>2.11641842</v>
      </c>
      <c r="I72" s="978">
        <v>86.153610999999998</v>
      </c>
      <c r="J72" s="977">
        <v>1.5869059999999999</v>
      </c>
      <c r="K72" s="978">
        <v>54.631796000000001</v>
      </c>
      <c r="L72" s="977">
        <v>126.04173470562071</v>
      </c>
      <c r="M72" s="978">
        <v>3.4722390000000001</v>
      </c>
      <c r="N72" s="1752">
        <f t="shared" si="6"/>
        <v>2014</v>
      </c>
      <c r="O72" s="1752" t="str">
        <f t="shared" si="7"/>
        <v>4</v>
      </c>
      <c r="P72" s="434"/>
      <c r="U72" s="1"/>
      <c r="V72" s="1"/>
    </row>
    <row r="73" spans="1:22">
      <c r="A73" s="320">
        <v>42064</v>
      </c>
      <c r="B73" s="714">
        <v>20.223950551620963</v>
      </c>
      <c r="C73" s="705">
        <v>13.192783</v>
      </c>
      <c r="D73" s="714">
        <v>1.73593022</v>
      </c>
      <c r="E73" s="705">
        <v>85.775346999999996</v>
      </c>
      <c r="F73" s="714">
        <v>2.7974106700000001</v>
      </c>
      <c r="G73" s="705">
        <v>94.308603000000005</v>
      </c>
      <c r="H73" s="714">
        <v>2.3001332400000001</v>
      </c>
      <c r="I73" s="705">
        <v>80.105303000000006</v>
      </c>
      <c r="J73" s="714">
        <v>1.1466620000000001</v>
      </c>
      <c r="K73" s="705">
        <v>41.786538999999998</v>
      </c>
      <c r="L73" s="714">
        <v>118.12161741835149</v>
      </c>
      <c r="M73" s="705">
        <v>3.5442749999999998</v>
      </c>
      <c r="N73" s="1752">
        <f t="shared" ref="N73:N136" si="10">YEAR(A73)</f>
        <v>2015</v>
      </c>
      <c r="O73" s="1752" t="str">
        <f t="shared" ref="O73:O136" si="11">IF(MONTH(A73)=3,"1",IF(MONTH(A73)=6,"2",IF(MONTH(A73)=9,"3","4")))</f>
        <v>1</v>
      </c>
      <c r="P73" s="434"/>
      <c r="U73" s="1"/>
      <c r="V73" s="1"/>
    </row>
    <row r="74" spans="1:22">
      <c r="A74" s="320">
        <v>42156</v>
      </c>
      <c r="B74" s="977">
        <v>46.204074685776668</v>
      </c>
      <c r="C74" s="978">
        <v>30.384</v>
      </c>
      <c r="D74" s="977">
        <v>1.6576670299999998</v>
      </c>
      <c r="E74" s="978">
        <v>81.469047000000003</v>
      </c>
      <c r="F74" s="977">
        <v>2.5150882299999999</v>
      </c>
      <c r="G74" s="978">
        <v>74.035737999999995</v>
      </c>
      <c r="H74" s="977">
        <v>2.9914851900000001</v>
      </c>
      <c r="I74" s="978">
        <v>84.097628</v>
      </c>
      <c r="J74" s="977">
        <v>1.7243069999999998</v>
      </c>
      <c r="K74" s="978">
        <v>61.667501999999999</v>
      </c>
      <c r="L74" s="977">
        <v>133.1704510108865</v>
      </c>
      <c r="M74" s="978">
        <v>3.9539040000000001</v>
      </c>
      <c r="N74" s="1752">
        <f t="shared" si="10"/>
        <v>2015</v>
      </c>
      <c r="O74" s="1752" t="str">
        <f t="shared" si="11"/>
        <v>2</v>
      </c>
      <c r="P74" s="434"/>
      <c r="U74" s="1"/>
      <c r="V74" s="1"/>
    </row>
    <row r="75" spans="1:22">
      <c r="A75" s="320">
        <v>42248</v>
      </c>
      <c r="B75" s="714">
        <v>46.27317482978598</v>
      </c>
      <c r="C75" s="705">
        <v>29.06352</v>
      </c>
      <c r="D75" s="714">
        <v>1.7817292199999999</v>
      </c>
      <c r="E75" s="705">
        <v>87.926783999999998</v>
      </c>
      <c r="F75" s="714">
        <v>2.8467047499999998</v>
      </c>
      <c r="G75" s="705">
        <v>88.280248999999998</v>
      </c>
      <c r="H75" s="714">
        <v>3.71488218</v>
      </c>
      <c r="I75" s="705">
        <v>89.720455999999999</v>
      </c>
      <c r="J75" s="714">
        <v>1.3063420000000001</v>
      </c>
      <c r="K75" s="705">
        <v>49.770592000000001</v>
      </c>
      <c r="L75" s="714">
        <v>161.01275272161746</v>
      </c>
      <c r="M75" s="705">
        <v>4.2429069999999998</v>
      </c>
      <c r="N75" s="1752">
        <f t="shared" si="10"/>
        <v>2015</v>
      </c>
      <c r="O75" s="1752" t="str">
        <f t="shared" si="11"/>
        <v>3</v>
      </c>
      <c r="P75" s="434"/>
      <c r="U75" s="1"/>
      <c r="V75" s="1"/>
    </row>
    <row r="76" spans="1:22">
      <c r="A76" s="320">
        <v>42339</v>
      </c>
      <c r="B76" s="977">
        <v>37.059786101080235</v>
      </c>
      <c r="C76" s="978">
        <v>23.435217000000002</v>
      </c>
      <c r="D76" s="977">
        <v>1.7704526699999998</v>
      </c>
      <c r="E76" s="978">
        <v>86.281214000000006</v>
      </c>
      <c r="F76" s="977">
        <v>3.2308495499999998</v>
      </c>
      <c r="G76" s="978">
        <v>98.521816000000001</v>
      </c>
      <c r="H76" s="977">
        <v>3.6368174600000001</v>
      </c>
      <c r="I76" s="978">
        <v>96.563993999999994</v>
      </c>
      <c r="J76" s="977">
        <v>1.5433749999999999</v>
      </c>
      <c r="K76" s="978">
        <v>46.247318</v>
      </c>
      <c r="L76" s="977">
        <v>120.89938943786605</v>
      </c>
      <c r="M76" s="978">
        <v>2.9649740000000002</v>
      </c>
      <c r="N76" s="1752">
        <f t="shared" si="10"/>
        <v>2015</v>
      </c>
      <c r="O76" s="1752" t="str">
        <f t="shared" si="11"/>
        <v>4</v>
      </c>
      <c r="P76" s="434"/>
      <c r="U76" s="1"/>
      <c r="V76" s="1"/>
    </row>
    <row r="77" spans="1:22">
      <c r="A77" s="320">
        <v>42430</v>
      </c>
      <c r="B77" s="714">
        <v>32.46053955279357</v>
      </c>
      <c r="C77" s="705">
        <v>22.150397999999999</v>
      </c>
      <c r="D77" s="714">
        <v>1.7477521699999998</v>
      </c>
      <c r="E77" s="705">
        <v>84.967208999999997</v>
      </c>
      <c r="F77" s="714">
        <v>2.7306514999999996</v>
      </c>
      <c r="G77" s="705">
        <v>86.755505999999997</v>
      </c>
      <c r="H77" s="714">
        <v>4.0032909400000003</v>
      </c>
      <c r="I77" s="705">
        <v>95.502229999999997</v>
      </c>
      <c r="J77" s="714">
        <v>1.3560669999999999</v>
      </c>
      <c r="K77" s="705">
        <v>40.263105000000003</v>
      </c>
      <c r="L77" s="714">
        <v>167.73320643096417</v>
      </c>
      <c r="M77" s="705">
        <v>3.5041920000000002</v>
      </c>
      <c r="N77" s="1752">
        <f t="shared" si="10"/>
        <v>2016</v>
      </c>
      <c r="O77" s="1752" t="str">
        <f t="shared" si="11"/>
        <v>1</v>
      </c>
      <c r="P77" s="434"/>
      <c r="U77" s="1"/>
      <c r="V77" s="1"/>
    </row>
    <row r="78" spans="1:22">
      <c r="A78" s="320">
        <v>42522</v>
      </c>
      <c r="B78" s="977">
        <v>39.498579968709862</v>
      </c>
      <c r="C78" s="978">
        <v>30.137411</v>
      </c>
      <c r="D78" s="977">
        <v>1.5910167000000002</v>
      </c>
      <c r="E78" s="978">
        <v>77.291618</v>
      </c>
      <c r="F78" s="977">
        <v>2.1665156900000002</v>
      </c>
      <c r="G78" s="978">
        <v>62.696184000000002</v>
      </c>
      <c r="H78" s="977">
        <v>2.5145565200000002</v>
      </c>
      <c r="I78" s="978">
        <v>72.260983999999993</v>
      </c>
      <c r="J78" s="977">
        <v>1.2730859999999999</v>
      </c>
      <c r="K78" s="978">
        <v>38.565810999999997</v>
      </c>
      <c r="L78" s="977">
        <v>237.27290541107968</v>
      </c>
      <c r="M78" s="978">
        <v>5.9443679999999999</v>
      </c>
      <c r="N78" s="1752">
        <f t="shared" si="10"/>
        <v>2016</v>
      </c>
      <c r="O78" s="1752" t="str">
        <f t="shared" si="11"/>
        <v>2</v>
      </c>
      <c r="P78" s="434"/>
      <c r="U78" s="1"/>
      <c r="V78" s="1"/>
    </row>
    <row r="79" spans="1:22">
      <c r="A79" s="320">
        <v>42614</v>
      </c>
      <c r="B79" s="714">
        <v>36.404920079500592</v>
      </c>
      <c r="C79" s="705">
        <v>26.293773999999999</v>
      </c>
      <c r="D79" s="714">
        <v>1.653069031</v>
      </c>
      <c r="E79" s="705">
        <v>81.075592999999998</v>
      </c>
      <c r="F79" s="714">
        <v>2.7557906299999999</v>
      </c>
      <c r="G79" s="705">
        <v>81.550015000000002</v>
      </c>
      <c r="H79" s="714">
        <v>1.56046624</v>
      </c>
      <c r="I79" s="705">
        <v>50.855893000000002</v>
      </c>
      <c r="J79" s="714">
        <v>1.25075</v>
      </c>
      <c r="K79" s="705">
        <v>41.809353000000002</v>
      </c>
      <c r="L79" s="714">
        <v>159.83555567996964</v>
      </c>
      <c r="M79" s="705">
        <v>4.2244070000000002</v>
      </c>
      <c r="N79" s="1752">
        <f t="shared" si="10"/>
        <v>2016</v>
      </c>
      <c r="O79" s="1752" t="str">
        <f t="shared" si="11"/>
        <v>3</v>
      </c>
      <c r="P79" s="434"/>
      <c r="U79" s="1"/>
      <c r="V79" s="1"/>
    </row>
    <row r="80" spans="1:22">
      <c r="A80" s="320">
        <v>42705</v>
      </c>
      <c r="B80" s="977">
        <v>49.659990731150494</v>
      </c>
      <c r="C80" s="978">
        <v>33.031581000000003</v>
      </c>
      <c r="D80" s="977">
        <v>1.7466794999999999</v>
      </c>
      <c r="E80" s="978">
        <v>86.068100999999999</v>
      </c>
      <c r="F80" s="977">
        <v>2.7572323500000007</v>
      </c>
      <c r="G80" s="978">
        <v>81.741234000000006</v>
      </c>
      <c r="H80" s="977">
        <v>1.9179383300000001</v>
      </c>
      <c r="I80" s="978">
        <v>58.440088000000003</v>
      </c>
      <c r="J80" s="977">
        <v>1.259846</v>
      </c>
      <c r="K80" s="978">
        <v>48.740402000000003</v>
      </c>
      <c r="L80" s="977">
        <v>197.3710059190002</v>
      </c>
      <c r="M80" s="978">
        <v>4.572336</v>
      </c>
      <c r="N80" s="1752">
        <f t="shared" si="10"/>
        <v>2016</v>
      </c>
      <c r="O80" s="1752" t="str">
        <f t="shared" si="11"/>
        <v>4</v>
      </c>
      <c r="P80" s="434"/>
      <c r="U80" s="1"/>
      <c r="V80" s="1"/>
    </row>
    <row r="81" spans="1:22">
      <c r="A81" s="320">
        <v>42795</v>
      </c>
      <c r="B81" s="714">
        <v>26.520858345230437</v>
      </c>
      <c r="C81" s="705">
        <v>18.715737000000001</v>
      </c>
      <c r="D81" s="714">
        <v>1.7377971400000001</v>
      </c>
      <c r="E81" s="705">
        <v>87.505555000000001</v>
      </c>
      <c r="F81" s="714">
        <v>2.5023846199999999</v>
      </c>
      <c r="G81" s="705">
        <v>64.982561000000004</v>
      </c>
      <c r="H81" s="714">
        <v>5.18799075</v>
      </c>
      <c r="I81" s="705">
        <v>87.443330000000003</v>
      </c>
      <c r="J81" s="714">
        <v>1.013927</v>
      </c>
      <c r="K81" s="705">
        <v>57.565624</v>
      </c>
      <c r="L81" s="714">
        <v>159.49923329818634</v>
      </c>
      <c r="M81" s="705">
        <v>4.4570040000000004</v>
      </c>
      <c r="N81" s="1752">
        <f t="shared" si="10"/>
        <v>2017</v>
      </c>
      <c r="O81" s="1752" t="str">
        <f t="shared" si="11"/>
        <v>1</v>
      </c>
      <c r="P81" s="434"/>
      <c r="U81" s="1"/>
      <c r="V81" s="1"/>
    </row>
    <row r="82" spans="1:22">
      <c r="A82" s="320">
        <v>42887</v>
      </c>
      <c r="B82" s="977">
        <v>30.281924833145144</v>
      </c>
      <c r="C82" s="978">
        <v>20.424388</v>
      </c>
      <c r="D82" s="977">
        <v>1.6688435500000001</v>
      </c>
      <c r="E82" s="978">
        <v>83.785796000000005</v>
      </c>
      <c r="F82" s="977">
        <v>2.8588712200000002</v>
      </c>
      <c r="G82" s="978">
        <v>64.012016000000003</v>
      </c>
      <c r="H82" s="977">
        <v>3.9406371200000003</v>
      </c>
      <c r="I82" s="978">
        <v>71.643782999999999</v>
      </c>
      <c r="J82" s="977">
        <v>1.234326</v>
      </c>
      <c r="K82" s="978">
        <v>91.524556000000004</v>
      </c>
      <c r="L82" s="977">
        <v>266.37550659861216</v>
      </c>
      <c r="M82" s="978">
        <v>8.5546340000000001</v>
      </c>
      <c r="N82" s="1752">
        <f t="shared" si="10"/>
        <v>2017</v>
      </c>
      <c r="O82" s="1752" t="str">
        <f t="shared" si="11"/>
        <v>2</v>
      </c>
      <c r="P82" s="434"/>
      <c r="U82" s="1"/>
      <c r="V82" s="1"/>
    </row>
    <row r="83" spans="1:22">
      <c r="A83" s="320">
        <v>42979</v>
      </c>
      <c r="B83" s="714">
        <v>37.436005810137864</v>
      </c>
      <c r="C83" s="705">
        <v>25.170453999999999</v>
      </c>
      <c r="D83" s="714">
        <v>1.74735079</v>
      </c>
      <c r="E83" s="705">
        <v>84.514028629999999</v>
      </c>
      <c r="F83" s="714">
        <v>2.9615462300000002</v>
      </c>
      <c r="G83" s="705">
        <v>66.401518999999993</v>
      </c>
      <c r="H83" s="714">
        <v>2.2960930499999996</v>
      </c>
      <c r="I83" s="705">
        <v>43.130329000000003</v>
      </c>
      <c r="J83" s="714">
        <v>1.4377779999999998</v>
      </c>
      <c r="K83" s="705">
        <v>111.008098</v>
      </c>
      <c r="L83" s="714">
        <v>168.03917177542013</v>
      </c>
      <c r="M83" s="705">
        <v>5.9075480000000002</v>
      </c>
      <c r="N83" s="1752">
        <f t="shared" si="10"/>
        <v>2017</v>
      </c>
      <c r="O83" s="1752" t="str">
        <f t="shared" si="11"/>
        <v>3</v>
      </c>
      <c r="P83" s="434"/>
      <c r="U83" s="1"/>
      <c r="V83" s="1"/>
    </row>
    <row r="84" spans="1:22">
      <c r="A84" s="320">
        <v>43070</v>
      </c>
      <c r="B84" s="977">
        <v>55.711471943068126</v>
      </c>
      <c r="C84" s="978">
        <v>34.221868000000001</v>
      </c>
      <c r="D84" s="977">
        <v>1.6606737</v>
      </c>
      <c r="E84" s="978">
        <v>83.140252000000004</v>
      </c>
      <c r="F84" s="977">
        <v>3.3521844499999998</v>
      </c>
      <c r="G84" s="978">
        <v>78.665259000000006</v>
      </c>
      <c r="H84" s="977">
        <v>4.0531889699999999</v>
      </c>
      <c r="I84" s="978">
        <v>64.845235000000002</v>
      </c>
      <c r="J84" s="977">
        <v>1.3477970000000001</v>
      </c>
      <c r="K84" s="978">
        <v>121.121916</v>
      </c>
      <c r="L84" s="977">
        <v>171.23698706404525</v>
      </c>
      <c r="M84" s="978">
        <v>6.5911860000000004</v>
      </c>
      <c r="N84" s="1752">
        <f t="shared" si="10"/>
        <v>2017</v>
      </c>
      <c r="O84" s="1752" t="str">
        <f t="shared" si="11"/>
        <v>4</v>
      </c>
      <c r="P84" s="434"/>
      <c r="U84" s="1"/>
      <c r="V84" s="1"/>
    </row>
    <row r="85" spans="1:22">
      <c r="A85" s="320">
        <v>43160</v>
      </c>
      <c r="B85" s="714">
        <v>26.355252109596368</v>
      </c>
      <c r="C85" s="705">
        <v>17.711662</v>
      </c>
      <c r="D85" s="714">
        <v>1.7157082399999999</v>
      </c>
      <c r="E85" s="705">
        <v>86.831630000000004</v>
      </c>
      <c r="F85" s="714">
        <v>3.0873070799999995</v>
      </c>
      <c r="G85" s="705">
        <v>71.347104451000007</v>
      </c>
      <c r="H85" s="714">
        <v>4.40610166</v>
      </c>
      <c r="I85" s="705">
        <v>74.533694999999994</v>
      </c>
      <c r="J85" s="714">
        <v>1.0993470000000001</v>
      </c>
      <c r="K85" s="705">
        <v>123.55183700000001</v>
      </c>
      <c r="L85" s="714">
        <v>156.47942346511894</v>
      </c>
      <c r="M85" s="705">
        <v>8.2516499999999997</v>
      </c>
      <c r="N85" s="1752">
        <f t="shared" si="10"/>
        <v>2018</v>
      </c>
      <c r="O85" s="1752" t="str">
        <f t="shared" si="11"/>
        <v>1</v>
      </c>
      <c r="P85" s="434"/>
      <c r="U85" s="1"/>
      <c r="V85" s="1"/>
    </row>
    <row r="86" spans="1:22">
      <c r="A86" s="320">
        <v>43252</v>
      </c>
      <c r="B86" s="977">
        <v>42.67987291100971</v>
      </c>
      <c r="C86" s="978">
        <v>28.203759999999999</v>
      </c>
      <c r="D86" s="977">
        <v>1.5562021099999999</v>
      </c>
      <c r="E86" s="978">
        <v>77.473710999999994</v>
      </c>
      <c r="F86" s="977">
        <v>3.56273989</v>
      </c>
      <c r="G86" s="978">
        <v>86.517061999999996</v>
      </c>
      <c r="H86" s="977">
        <v>4.5259190499999997</v>
      </c>
      <c r="I86" s="978">
        <v>67.250491999999994</v>
      </c>
      <c r="J86" s="977">
        <v>1.315563</v>
      </c>
      <c r="K86" s="978">
        <v>154.56547900000001</v>
      </c>
      <c r="L86" s="977">
        <v>149.71854423076326</v>
      </c>
      <c r="M86" s="978">
        <v>5.4695239999999998</v>
      </c>
      <c r="N86" s="1752">
        <f t="shared" si="10"/>
        <v>2018</v>
      </c>
      <c r="O86" s="1752" t="str">
        <f t="shared" si="11"/>
        <v>2</v>
      </c>
      <c r="P86" s="434"/>
      <c r="U86" s="1"/>
      <c r="V86" s="1"/>
    </row>
    <row r="87" spans="1:22">
      <c r="A87" s="320">
        <v>43344</v>
      </c>
      <c r="B87" s="714">
        <v>31.811374340216549</v>
      </c>
      <c r="C87" s="705">
        <v>20.453320999999999</v>
      </c>
      <c r="D87" s="714">
        <v>1.62737708</v>
      </c>
      <c r="E87" s="705">
        <v>82.302030999999999</v>
      </c>
      <c r="F87" s="714">
        <v>2.8697717200000001</v>
      </c>
      <c r="G87" s="705">
        <v>64.260886045800007</v>
      </c>
      <c r="H87" s="714">
        <v>2.30330105</v>
      </c>
      <c r="I87" s="705">
        <v>42.755681000000003</v>
      </c>
      <c r="J87" s="714">
        <v>1.2339010000000001</v>
      </c>
      <c r="K87" s="705">
        <v>119.26661900000001</v>
      </c>
      <c r="L87" s="714">
        <v>110.39834280435574</v>
      </c>
      <c r="M87" s="705">
        <v>4.2562610000000003</v>
      </c>
      <c r="N87" s="1752">
        <f t="shared" si="10"/>
        <v>2018</v>
      </c>
      <c r="O87" s="1752" t="str">
        <f t="shared" si="11"/>
        <v>3</v>
      </c>
      <c r="P87" s="434"/>
      <c r="U87" s="1"/>
      <c r="V87" s="1"/>
    </row>
    <row r="88" spans="1:22">
      <c r="A88" s="320">
        <v>43435</v>
      </c>
      <c r="B88" s="977">
        <v>42.886570401266539</v>
      </c>
      <c r="C88" s="978">
        <v>27.697673999999999</v>
      </c>
      <c r="D88" s="977">
        <v>1.5663788399999998</v>
      </c>
      <c r="E88" s="978">
        <v>80.768991999999997</v>
      </c>
      <c r="F88" s="977">
        <v>3.3746348000000004</v>
      </c>
      <c r="G88" s="978">
        <v>81.504491000000002</v>
      </c>
      <c r="H88" s="977">
        <v>4.7420326199999998</v>
      </c>
      <c r="I88" s="978">
        <v>74.245384000000001</v>
      </c>
      <c r="J88" s="977">
        <v>1.229287</v>
      </c>
      <c r="K88" s="978">
        <v>105.832773</v>
      </c>
      <c r="L88" s="977">
        <v>124.16746758235435</v>
      </c>
      <c r="M88" s="978">
        <v>5.8479939999999999</v>
      </c>
      <c r="N88" s="1752">
        <f t="shared" si="10"/>
        <v>2018</v>
      </c>
      <c r="O88" s="1752" t="str">
        <f t="shared" si="11"/>
        <v>4</v>
      </c>
      <c r="P88" s="434"/>
      <c r="U88" s="1"/>
      <c r="V88" s="1"/>
    </row>
    <row r="89" spans="1:22">
      <c r="A89" s="320">
        <v>43525</v>
      </c>
      <c r="B89" s="714">
        <v>32.162743517248458</v>
      </c>
      <c r="C89" s="705">
        <v>21.278261000000001</v>
      </c>
      <c r="D89" s="714">
        <v>1.5415049599999999</v>
      </c>
      <c r="E89" s="705">
        <v>78.712603000000001</v>
      </c>
      <c r="F89" s="714">
        <v>2.5285080199999999</v>
      </c>
      <c r="G89" s="705">
        <v>72.185452999999995</v>
      </c>
      <c r="H89" s="714">
        <v>1.98630818</v>
      </c>
      <c r="I89" s="705">
        <v>55.170575999999997</v>
      </c>
      <c r="J89" s="714">
        <v>1.3442499999999999</v>
      </c>
      <c r="K89" s="705">
        <v>51.695200999999997</v>
      </c>
      <c r="L89" s="714">
        <v>129.42735305918688</v>
      </c>
      <c r="M89" s="705">
        <v>7.7773760000000003</v>
      </c>
      <c r="N89" s="1752">
        <f t="shared" si="10"/>
        <v>2019</v>
      </c>
      <c r="O89" s="1752" t="str">
        <f t="shared" si="11"/>
        <v>1</v>
      </c>
      <c r="P89" s="434"/>
      <c r="U89" s="1"/>
      <c r="V89" s="1"/>
    </row>
    <row r="90" spans="1:22">
      <c r="A90" s="320">
        <v>43617</v>
      </c>
      <c r="B90" s="977">
        <v>22.545398607184293</v>
      </c>
      <c r="C90" s="978">
        <v>15.402407</v>
      </c>
      <c r="D90" s="977">
        <v>1.5399295800000001</v>
      </c>
      <c r="E90" s="978">
        <v>77.586529999999996</v>
      </c>
      <c r="F90" s="977">
        <v>2.9565677799999999</v>
      </c>
      <c r="G90" s="978">
        <v>85.336044999999999</v>
      </c>
      <c r="H90" s="977">
        <v>2.1182530000000002</v>
      </c>
      <c r="I90" s="978">
        <v>47.049543</v>
      </c>
      <c r="J90" s="977">
        <v>1.4143934999999999</v>
      </c>
      <c r="K90" s="978">
        <v>55.594425000000001</v>
      </c>
      <c r="L90" s="977">
        <v>148.37935099391305</v>
      </c>
      <c r="M90" s="978">
        <v>10.194182</v>
      </c>
      <c r="N90" s="1752">
        <f t="shared" si="10"/>
        <v>2019</v>
      </c>
      <c r="O90" s="1752" t="str">
        <f t="shared" si="11"/>
        <v>2</v>
      </c>
      <c r="P90" s="434"/>
      <c r="U90" s="1"/>
      <c r="V90" s="1"/>
    </row>
    <row r="91" spans="1:22">
      <c r="A91" s="320">
        <v>43709</v>
      </c>
      <c r="B91" s="714">
        <v>41.693862466447094</v>
      </c>
      <c r="C91" s="705">
        <v>31.539327</v>
      </c>
      <c r="D91" s="714">
        <v>1.5846551469999999</v>
      </c>
      <c r="E91" s="705">
        <v>82.282777999999993</v>
      </c>
      <c r="F91" s="714">
        <v>2.8121460319999998</v>
      </c>
      <c r="G91" s="705">
        <v>78.885829000000001</v>
      </c>
      <c r="H91" s="714">
        <v>5.7299032199999997</v>
      </c>
      <c r="I91" s="705">
        <v>76.779437999999999</v>
      </c>
      <c r="J91" s="714">
        <v>1.44539</v>
      </c>
      <c r="K91" s="705">
        <v>70.839695000000006</v>
      </c>
      <c r="L91" s="714">
        <v>139.03305371267189</v>
      </c>
      <c r="M91" s="705">
        <v>8.4347910000000006</v>
      </c>
      <c r="N91" s="1752">
        <f t="shared" si="10"/>
        <v>2019</v>
      </c>
      <c r="O91" s="1752" t="str">
        <f t="shared" si="11"/>
        <v>3</v>
      </c>
      <c r="P91" s="434"/>
      <c r="U91" s="1"/>
      <c r="V91" s="1"/>
    </row>
    <row r="92" spans="1:22">
      <c r="A92" s="320">
        <v>43800</v>
      </c>
      <c r="B92" s="977">
        <v>35.643333706575596</v>
      </c>
      <c r="C92" s="978">
        <v>27.966259000000001</v>
      </c>
      <c r="D92" s="977">
        <v>1.57316126</v>
      </c>
      <c r="E92" s="978">
        <v>84.787373000000002</v>
      </c>
      <c r="F92" s="977">
        <v>3.1765463109999996</v>
      </c>
      <c r="G92" s="978">
        <v>96.980530000000002</v>
      </c>
      <c r="H92" s="977">
        <v>5.9292972099999997</v>
      </c>
      <c r="I92" s="978">
        <v>125.27854600000001</v>
      </c>
      <c r="J92" s="977">
        <v>1.5366070000000001</v>
      </c>
      <c r="K92" s="978">
        <v>82.655339999999995</v>
      </c>
      <c r="L92" s="977">
        <v>66.386423934782144</v>
      </c>
      <c r="M92" s="978">
        <v>6.2005220000000003</v>
      </c>
      <c r="N92" s="1752">
        <f t="shared" si="10"/>
        <v>2019</v>
      </c>
      <c r="O92" s="1752" t="str">
        <f t="shared" si="11"/>
        <v>4</v>
      </c>
      <c r="P92" s="434"/>
      <c r="U92" s="1"/>
      <c r="V92" s="1"/>
    </row>
    <row r="93" spans="1:22">
      <c r="A93" s="320">
        <v>43891</v>
      </c>
      <c r="B93" s="714">
        <v>28.836996830551126</v>
      </c>
      <c r="C93" s="705">
        <v>25.040832000000002</v>
      </c>
      <c r="D93" s="714">
        <v>1.5964380499999997</v>
      </c>
      <c r="E93" s="705">
        <v>84.167677999999995</v>
      </c>
      <c r="F93" s="714">
        <v>2.5249831170000001</v>
      </c>
      <c r="G93" s="705">
        <v>94.675821856999988</v>
      </c>
      <c r="H93" s="714">
        <v>2.91525246</v>
      </c>
      <c r="I93" s="705">
        <v>43.605328999999998</v>
      </c>
      <c r="J93" s="714">
        <v>1.221112</v>
      </c>
      <c r="K93" s="705">
        <v>63.596279000000003</v>
      </c>
      <c r="L93" s="714">
        <v>110.18951375864289</v>
      </c>
      <c r="M93" s="705">
        <v>10.764703000000001</v>
      </c>
      <c r="N93" s="1752">
        <f t="shared" si="10"/>
        <v>2020</v>
      </c>
      <c r="O93" s="1752" t="str">
        <f t="shared" si="11"/>
        <v>1</v>
      </c>
      <c r="P93" s="434"/>
      <c r="U93" s="1"/>
      <c r="V93" s="1"/>
    </row>
    <row r="94" spans="1:22">
      <c r="A94" s="320">
        <v>43983</v>
      </c>
      <c r="B94" s="977">
        <v>25.49096209413791</v>
      </c>
      <c r="C94" s="978">
        <v>25.174081999999999</v>
      </c>
      <c r="D94" s="977">
        <v>1.4413593</v>
      </c>
      <c r="E94" s="978">
        <v>75.743397000000002</v>
      </c>
      <c r="F94" s="977">
        <v>2.7527097600000001</v>
      </c>
      <c r="G94" s="978">
        <v>104.582486</v>
      </c>
      <c r="H94" s="977">
        <v>2.91546707</v>
      </c>
      <c r="I94" s="978">
        <v>35.602719999999998</v>
      </c>
      <c r="J94" s="977">
        <v>1.5930059999999999</v>
      </c>
      <c r="K94" s="978">
        <v>78.072978000000006</v>
      </c>
      <c r="L94" s="977">
        <v>166.29840096794157</v>
      </c>
      <c r="M94" s="978">
        <v>14.218786</v>
      </c>
      <c r="N94" s="1752">
        <f t="shared" si="10"/>
        <v>2020</v>
      </c>
      <c r="O94" s="1752" t="str">
        <f t="shared" si="11"/>
        <v>2</v>
      </c>
      <c r="P94" s="434"/>
      <c r="U94" s="1"/>
      <c r="V94" s="1"/>
    </row>
    <row r="95" spans="1:22">
      <c r="A95" s="320">
        <v>44075</v>
      </c>
      <c r="B95" s="714">
        <v>41.338007850528918</v>
      </c>
      <c r="C95" s="705">
        <v>47.362208000000003</v>
      </c>
      <c r="D95" s="714">
        <v>1.41177917</v>
      </c>
      <c r="E95" s="705">
        <v>81.802660000000003</v>
      </c>
      <c r="F95" s="714">
        <v>2.5471324769999999</v>
      </c>
      <c r="G95" s="705">
        <v>87.403908740000006</v>
      </c>
      <c r="H95" s="714">
        <v>3.6299270699999999</v>
      </c>
      <c r="I95" s="705">
        <v>43.648040000000002</v>
      </c>
      <c r="J95" s="714">
        <v>1.507558</v>
      </c>
      <c r="K95" s="705">
        <v>70.955323000000007</v>
      </c>
      <c r="L95" s="714">
        <v>118.83318248125235</v>
      </c>
      <c r="M95" s="705">
        <v>9.2489889999999999</v>
      </c>
      <c r="N95" s="1752">
        <f t="shared" si="10"/>
        <v>2020</v>
      </c>
      <c r="O95" s="1752" t="str">
        <f t="shared" si="11"/>
        <v>3</v>
      </c>
      <c r="P95" s="434"/>
      <c r="U95" s="1"/>
      <c r="V95" s="1"/>
    </row>
    <row r="96" spans="1:22">
      <c r="A96" s="320">
        <v>44166</v>
      </c>
      <c r="B96" s="1746">
        <v>29.438288310985445</v>
      </c>
      <c r="C96" s="1747">
        <v>32.737113890000003</v>
      </c>
      <c r="D96" s="1746">
        <v>1.1699307400000001</v>
      </c>
      <c r="E96" s="1747">
        <v>67.683903999999998</v>
      </c>
      <c r="F96" s="1746">
        <v>3.717483359</v>
      </c>
      <c r="G96" s="1747">
        <v>144.018429</v>
      </c>
      <c r="H96" s="1746">
        <v>4.4506945700000005</v>
      </c>
      <c r="I96" s="1747">
        <v>67.525081999999998</v>
      </c>
      <c r="J96" s="1746">
        <v>1.3087959999999998</v>
      </c>
      <c r="K96" s="1747">
        <v>68.421679999999995</v>
      </c>
      <c r="L96" s="1746">
        <v>126.33099745884226</v>
      </c>
      <c r="M96" s="1747">
        <v>11.077496999999999</v>
      </c>
      <c r="N96" s="1752">
        <f t="shared" si="10"/>
        <v>2020</v>
      </c>
      <c r="O96" s="1752" t="str">
        <f t="shared" si="11"/>
        <v>4</v>
      </c>
      <c r="P96" s="434"/>
      <c r="U96" s="1"/>
      <c r="V96" s="1"/>
    </row>
    <row r="97" spans="1:22">
      <c r="A97" s="320">
        <v>44256</v>
      </c>
      <c r="B97" s="714">
        <v>32.688753028705435</v>
      </c>
      <c r="C97" s="705">
        <v>35.051293000000001</v>
      </c>
      <c r="D97" s="714">
        <v>1.3174095299999999</v>
      </c>
      <c r="E97" s="705">
        <v>76.591329999999999</v>
      </c>
      <c r="F97" s="714">
        <v>3.0874519250000003</v>
      </c>
      <c r="G97" s="705">
        <v>190.236021193</v>
      </c>
      <c r="H97" s="714">
        <v>2.4338899999999998E-3</v>
      </c>
      <c r="I97" s="705">
        <v>0.92711299999999996</v>
      </c>
      <c r="J97" s="714">
        <v>1.238426</v>
      </c>
      <c r="K97" s="705">
        <v>72.407394999999994</v>
      </c>
      <c r="L97" s="714">
        <v>108.27789130563254</v>
      </c>
      <c r="M97" s="705">
        <v>8.9768489999999996</v>
      </c>
      <c r="N97" s="1752">
        <f t="shared" si="10"/>
        <v>2021</v>
      </c>
      <c r="O97" s="1752" t="str">
        <f t="shared" si="11"/>
        <v>1</v>
      </c>
      <c r="P97" s="434"/>
      <c r="U97" s="1"/>
      <c r="V97" s="1"/>
    </row>
    <row r="98" spans="1:22" ht="15.75" thickBot="1">
      <c r="A98" s="320">
        <v>44348</v>
      </c>
      <c r="B98" s="1748">
        <v>36.349259798386974</v>
      </c>
      <c r="C98" s="1749">
        <v>38.035324769599995</v>
      </c>
      <c r="D98" s="1748">
        <v>1.3733146000000001</v>
      </c>
      <c r="E98" s="1749">
        <v>79.985511000000002</v>
      </c>
      <c r="F98" s="1748">
        <v>3.1465455839999996</v>
      </c>
      <c r="G98" s="1749">
        <v>131.689211</v>
      </c>
      <c r="H98" s="1748">
        <v>0</v>
      </c>
      <c r="I98" s="1749">
        <v>0</v>
      </c>
      <c r="J98" s="1748">
        <v>1.3911219999999997</v>
      </c>
      <c r="K98" s="1749">
        <v>82.018778999999995</v>
      </c>
      <c r="L98" s="1748">
        <v>116.89076754160874</v>
      </c>
      <c r="M98" s="1749">
        <v>10.982543</v>
      </c>
      <c r="N98" s="1752">
        <f t="shared" si="10"/>
        <v>2021</v>
      </c>
      <c r="O98" s="1752" t="str">
        <f t="shared" si="11"/>
        <v>2</v>
      </c>
      <c r="P98" s="434"/>
      <c r="U98" s="1"/>
      <c r="V98" s="1"/>
    </row>
    <row r="99" spans="1:22">
      <c r="C99" s="17"/>
      <c r="N99" s="1752">
        <f t="shared" si="10"/>
        <v>1900</v>
      </c>
      <c r="O99" s="1752" t="str">
        <f t="shared" si="11"/>
        <v>4</v>
      </c>
      <c r="P99" s="434"/>
      <c r="U99" s="1"/>
      <c r="V99" s="1"/>
    </row>
    <row r="100" spans="1:22">
      <c r="C100" s="17"/>
      <c r="N100" s="1752">
        <f t="shared" si="10"/>
        <v>1900</v>
      </c>
      <c r="O100" s="1752" t="str">
        <f t="shared" si="11"/>
        <v>4</v>
      </c>
      <c r="P100" s="434"/>
      <c r="U100" s="1"/>
      <c r="V100" s="1"/>
    </row>
    <row r="101" spans="1:22">
      <c r="C101" s="17"/>
      <c r="N101" s="1752">
        <f t="shared" si="10"/>
        <v>1900</v>
      </c>
      <c r="O101" s="1752" t="str">
        <f t="shared" si="11"/>
        <v>4</v>
      </c>
      <c r="P101" s="434"/>
      <c r="U101" s="1"/>
      <c r="V101" s="1"/>
    </row>
    <row r="102" spans="1:22">
      <c r="C102" s="17"/>
      <c r="N102" s="1752">
        <f t="shared" si="10"/>
        <v>1900</v>
      </c>
      <c r="O102" s="1752" t="str">
        <f t="shared" si="11"/>
        <v>4</v>
      </c>
      <c r="P102" s="434"/>
      <c r="U102" s="1"/>
      <c r="V102" s="1"/>
    </row>
    <row r="103" spans="1:22">
      <c r="C103" s="17"/>
      <c r="N103" s="1752">
        <f t="shared" si="10"/>
        <v>1900</v>
      </c>
      <c r="O103" s="1752" t="str">
        <f t="shared" si="11"/>
        <v>4</v>
      </c>
      <c r="P103" s="434"/>
      <c r="U103" s="1"/>
      <c r="V103" s="1"/>
    </row>
    <row r="104" spans="1:22">
      <c r="C104" s="17"/>
      <c r="N104" s="1752">
        <f t="shared" si="10"/>
        <v>1900</v>
      </c>
      <c r="O104" s="1752" t="str">
        <f t="shared" si="11"/>
        <v>4</v>
      </c>
      <c r="P104" s="434"/>
      <c r="U104" s="1"/>
      <c r="V104" s="1"/>
    </row>
    <row r="105" spans="1:22">
      <c r="C105" s="17"/>
      <c r="N105" s="1752">
        <f t="shared" si="10"/>
        <v>1900</v>
      </c>
      <c r="O105" s="1752" t="str">
        <f t="shared" si="11"/>
        <v>4</v>
      </c>
      <c r="P105" s="434"/>
      <c r="U105" s="1"/>
      <c r="V105" s="1"/>
    </row>
    <row r="106" spans="1:22">
      <c r="C106" s="17"/>
      <c r="N106" s="1752">
        <f t="shared" si="10"/>
        <v>1900</v>
      </c>
      <c r="O106" s="1752" t="str">
        <f t="shared" si="11"/>
        <v>4</v>
      </c>
      <c r="P106" s="434"/>
      <c r="U106" s="1"/>
      <c r="V106" s="1"/>
    </row>
    <row r="107" spans="1:22">
      <c r="C107" s="17"/>
      <c r="N107" s="1752">
        <f t="shared" si="10"/>
        <v>1900</v>
      </c>
      <c r="O107" s="1752" t="str">
        <f t="shared" si="11"/>
        <v>4</v>
      </c>
      <c r="P107" s="434"/>
      <c r="U107" s="1"/>
      <c r="V107" s="1"/>
    </row>
    <row r="108" spans="1:22">
      <c r="C108" s="17"/>
      <c r="N108" s="1752">
        <f t="shared" si="10"/>
        <v>1900</v>
      </c>
      <c r="O108" s="1752" t="str">
        <f t="shared" si="11"/>
        <v>4</v>
      </c>
      <c r="P108" s="434"/>
      <c r="U108" s="1"/>
      <c r="V108" s="1"/>
    </row>
    <row r="109" spans="1:22">
      <c r="C109" s="17"/>
      <c r="N109" s="1752">
        <f t="shared" si="10"/>
        <v>1900</v>
      </c>
      <c r="O109" s="1752" t="str">
        <f t="shared" si="11"/>
        <v>4</v>
      </c>
      <c r="P109" s="434"/>
      <c r="U109" s="1"/>
      <c r="V109" s="1"/>
    </row>
    <row r="110" spans="1:22">
      <c r="C110" s="17"/>
      <c r="N110" s="1752">
        <f t="shared" si="10"/>
        <v>1900</v>
      </c>
      <c r="O110" s="1752" t="str">
        <f t="shared" si="11"/>
        <v>4</v>
      </c>
      <c r="P110" s="434"/>
      <c r="U110" s="1"/>
      <c r="V110" s="1"/>
    </row>
    <row r="111" spans="1:22">
      <c r="C111" s="17"/>
      <c r="N111" s="1752">
        <f t="shared" si="10"/>
        <v>1900</v>
      </c>
      <c r="O111" s="1752" t="str">
        <f t="shared" si="11"/>
        <v>4</v>
      </c>
      <c r="P111" s="434"/>
      <c r="U111" s="1"/>
      <c r="V111" s="1"/>
    </row>
    <row r="112" spans="1:22">
      <c r="C112" s="17"/>
      <c r="N112" s="1752">
        <f t="shared" si="10"/>
        <v>1900</v>
      </c>
      <c r="O112" s="1752" t="str">
        <f t="shared" si="11"/>
        <v>4</v>
      </c>
      <c r="P112" s="434"/>
      <c r="U112" s="1"/>
      <c r="V112" s="1"/>
    </row>
    <row r="113" spans="3:22">
      <c r="C113" s="17"/>
      <c r="N113" s="1752">
        <f t="shared" si="10"/>
        <v>1900</v>
      </c>
      <c r="O113" s="1752" t="str">
        <f t="shared" si="11"/>
        <v>4</v>
      </c>
      <c r="P113" s="434"/>
      <c r="U113" s="1"/>
      <c r="V113" s="1"/>
    </row>
    <row r="114" spans="3:22">
      <c r="C114" s="17"/>
      <c r="N114" s="1752">
        <f t="shared" si="10"/>
        <v>1900</v>
      </c>
      <c r="O114" s="1752" t="str">
        <f t="shared" si="11"/>
        <v>4</v>
      </c>
      <c r="P114" s="434"/>
      <c r="U114" s="1"/>
      <c r="V114" s="1"/>
    </row>
    <row r="115" spans="3:22">
      <c r="C115" s="17"/>
      <c r="N115" s="1752">
        <f t="shared" si="10"/>
        <v>1900</v>
      </c>
      <c r="O115" s="1752" t="str">
        <f t="shared" si="11"/>
        <v>4</v>
      </c>
      <c r="P115" s="434"/>
      <c r="U115" s="1"/>
      <c r="V115" s="1"/>
    </row>
    <row r="116" spans="3:22">
      <c r="C116" s="17"/>
      <c r="N116" s="1752">
        <f t="shared" si="10"/>
        <v>1900</v>
      </c>
      <c r="O116" s="1752" t="str">
        <f t="shared" si="11"/>
        <v>4</v>
      </c>
      <c r="P116" s="434"/>
      <c r="U116" s="1"/>
      <c r="V116" s="1"/>
    </row>
    <row r="117" spans="3:22">
      <c r="C117" s="17"/>
      <c r="N117" s="1752">
        <f t="shared" si="10"/>
        <v>1900</v>
      </c>
      <c r="O117" s="1752" t="str">
        <f t="shared" si="11"/>
        <v>4</v>
      </c>
      <c r="P117" s="434"/>
      <c r="U117" s="1"/>
      <c r="V117" s="1"/>
    </row>
    <row r="118" spans="3:22">
      <c r="C118" s="17"/>
      <c r="N118" s="1752">
        <f t="shared" si="10"/>
        <v>1900</v>
      </c>
      <c r="O118" s="1752" t="str">
        <f t="shared" si="11"/>
        <v>4</v>
      </c>
      <c r="P118" s="434"/>
      <c r="U118" s="1"/>
      <c r="V118" s="1"/>
    </row>
    <row r="119" spans="3:22">
      <c r="C119" s="17"/>
      <c r="N119" s="1752">
        <f t="shared" si="10"/>
        <v>1900</v>
      </c>
      <c r="O119" s="1752" t="str">
        <f t="shared" si="11"/>
        <v>4</v>
      </c>
      <c r="P119" s="434"/>
      <c r="U119" s="1"/>
      <c r="V119" s="1"/>
    </row>
    <row r="120" spans="3:22">
      <c r="C120" s="17"/>
      <c r="N120" s="1752">
        <f t="shared" si="10"/>
        <v>1900</v>
      </c>
      <c r="O120" s="1752" t="str">
        <f t="shared" si="11"/>
        <v>4</v>
      </c>
      <c r="P120" s="434"/>
      <c r="U120" s="1"/>
      <c r="V120" s="1"/>
    </row>
    <row r="121" spans="3:22">
      <c r="C121" s="17"/>
      <c r="N121" s="1752">
        <f t="shared" si="10"/>
        <v>1900</v>
      </c>
      <c r="O121" s="1752" t="str">
        <f t="shared" si="11"/>
        <v>4</v>
      </c>
      <c r="P121" s="434"/>
      <c r="U121" s="1"/>
      <c r="V121" s="1"/>
    </row>
    <row r="122" spans="3:22">
      <c r="C122" s="17"/>
      <c r="N122" s="1752">
        <f t="shared" si="10"/>
        <v>1900</v>
      </c>
      <c r="O122" s="1752" t="str">
        <f t="shared" si="11"/>
        <v>4</v>
      </c>
      <c r="P122" s="434"/>
      <c r="U122" s="1"/>
      <c r="V122" s="1"/>
    </row>
    <row r="123" spans="3:22">
      <c r="C123" s="17"/>
      <c r="N123" s="1752">
        <f t="shared" si="10"/>
        <v>1900</v>
      </c>
      <c r="O123" s="1752" t="str">
        <f t="shared" si="11"/>
        <v>4</v>
      </c>
      <c r="P123" s="434"/>
      <c r="U123" s="1"/>
      <c r="V123" s="1"/>
    </row>
    <row r="124" spans="3:22">
      <c r="C124" s="17"/>
      <c r="N124" s="1752">
        <f t="shared" si="10"/>
        <v>1900</v>
      </c>
      <c r="O124" s="1752" t="str">
        <f t="shared" si="11"/>
        <v>4</v>
      </c>
      <c r="P124" s="434"/>
      <c r="U124" s="1"/>
      <c r="V124" s="1"/>
    </row>
    <row r="125" spans="3:22">
      <c r="C125" s="17"/>
      <c r="N125" s="1752">
        <f t="shared" si="10"/>
        <v>1900</v>
      </c>
      <c r="O125" s="1752" t="str">
        <f t="shared" si="11"/>
        <v>4</v>
      </c>
      <c r="P125" s="434"/>
      <c r="U125" s="1"/>
      <c r="V125" s="1"/>
    </row>
    <row r="126" spans="3:22">
      <c r="C126" s="17"/>
      <c r="N126" s="1752">
        <f t="shared" si="10"/>
        <v>1900</v>
      </c>
      <c r="O126" s="1752" t="str">
        <f t="shared" si="11"/>
        <v>4</v>
      </c>
      <c r="P126" s="434"/>
      <c r="U126" s="1"/>
      <c r="V126" s="1"/>
    </row>
    <row r="127" spans="3:22">
      <c r="C127" s="17"/>
      <c r="N127" s="1752">
        <f t="shared" si="10"/>
        <v>1900</v>
      </c>
      <c r="O127" s="1752" t="str">
        <f t="shared" si="11"/>
        <v>4</v>
      </c>
      <c r="P127" s="434"/>
      <c r="U127" s="1"/>
      <c r="V127" s="1"/>
    </row>
    <row r="128" spans="3:22">
      <c r="C128" s="17"/>
      <c r="N128" s="1752">
        <f t="shared" si="10"/>
        <v>1900</v>
      </c>
      <c r="O128" s="1752" t="str">
        <f t="shared" si="11"/>
        <v>4</v>
      </c>
      <c r="P128" s="434"/>
      <c r="U128" s="1"/>
      <c r="V128" s="1"/>
    </row>
    <row r="129" spans="3:22">
      <c r="C129" s="17"/>
      <c r="N129" s="1752">
        <f t="shared" si="10"/>
        <v>1900</v>
      </c>
      <c r="O129" s="1752" t="str">
        <f t="shared" si="11"/>
        <v>4</v>
      </c>
      <c r="P129" s="434"/>
      <c r="U129" s="1"/>
      <c r="V129" s="1"/>
    </row>
    <row r="130" spans="3:22">
      <c r="C130" s="17"/>
      <c r="N130" s="1752">
        <f t="shared" si="10"/>
        <v>1900</v>
      </c>
      <c r="O130" s="1752" t="str">
        <f t="shared" si="11"/>
        <v>4</v>
      </c>
      <c r="P130" s="434"/>
      <c r="U130" s="1"/>
      <c r="V130" s="1"/>
    </row>
    <row r="131" spans="3:22">
      <c r="C131" s="17"/>
      <c r="N131" s="1752">
        <f t="shared" si="10"/>
        <v>1900</v>
      </c>
      <c r="O131" s="1752" t="str">
        <f t="shared" si="11"/>
        <v>4</v>
      </c>
      <c r="P131" s="434"/>
      <c r="U131" s="1"/>
      <c r="V131" s="1"/>
    </row>
    <row r="132" spans="3:22">
      <c r="C132" s="17"/>
      <c r="N132" s="1752">
        <f t="shared" si="10"/>
        <v>1900</v>
      </c>
      <c r="O132" s="1752" t="str">
        <f t="shared" si="11"/>
        <v>4</v>
      </c>
      <c r="P132" s="434"/>
      <c r="U132" s="1"/>
      <c r="V132" s="1"/>
    </row>
    <row r="133" spans="3:22">
      <c r="C133" s="17"/>
      <c r="N133" s="1752">
        <f t="shared" si="10"/>
        <v>1900</v>
      </c>
      <c r="O133" s="1752" t="str">
        <f t="shared" si="11"/>
        <v>4</v>
      </c>
      <c r="P133" s="434"/>
      <c r="U133" s="1"/>
      <c r="V133" s="1"/>
    </row>
    <row r="134" spans="3:22">
      <c r="C134" s="17"/>
      <c r="N134" s="1752">
        <f t="shared" si="10"/>
        <v>1900</v>
      </c>
      <c r="O134" s="1752" t="str">
        <f t="shared" si="11"/>
        <v>4</v>
      </c>
      <c r="P134" s="434"/>
      <c r="U134" s="1"/>
      <c r="V134" s="1"/>
    </row>
    <row r="135" spans="3:22">
      <c r="C135" s="17"/>
      <c r="N135" s="1752">
        <f t="shared" si="10"/>
        <v>1900</v>
      </c>
      <c r="O135" s="1752" t="str">
        <f t="shared" si="11"/>
        <v>4</v>
      </c>
      <c r="P135" s="434"/>
      <c r="U135" s="1"/>
      <c r="V135" s="1"/>
    </row>
    <row r="136" spans="3:22">
      <c r="C136" s="17"/>
      <c r="N136" s="1752">
        <f t="shared" si="10"/>
        <v>1900</v>
      </c>
      <c r="O136" s="1752" t="str">
        <f t="shared" si="11"/>
        <v>4</v>
      </c>
      <c r="P136" s="434"/>
      <c r="U136" s="1"/>
      <c r="V136" s="1"/>
    </row>
    <row r="137" spans="3:22">
      <c r="C137" s="17"/>
      <c r="N137" s="1752">
        <f t="shared" ref="N137:N200" si="12">YEAR(A137)</f>
        <v>1900</v>
      </c>
      <c r="O137" s="1752" t="str">
        <f t="shared" ref="O137:O200" si="13">IF(MONTH(A137)=3,"1",IF(MONTH(A137)=6,"2",IF(MONTH(A137)=9,"3","4")))</f>
        <v>4</v>
      </c>
      <c r="P137" s="434"/>
      <c r="U137" s="1"/>
      <c r="V137" s="1"/>
    </row>
    <row r="138" spans="3:22">
      <c r="C138" s="17"/>
      <c r="N138" s="1752">
        <f t="shared" si="12"/>
        <v>1900</v>
      </c>
      <c r="O138" s="1752" t="str">
        <f t="shared" si="13"/>
        <v>4</v>
      </c>
      <c r="P138" s="434"/>
      <c r="U138" s="1"/>
      <c r="V138" s="1"/>
    </row>
    <row r="139" spans="3:22">
      <c r="C139" s="17"/>
      <c r="N139" s="1752">
        <f t="shared" si="12"/>
        <v>1900</v>
      </c>
      <c r="O139" s="1752" t="str">
        <f t="shared" si="13"/>
        <v>4</v>
      </c>
      <c r="P139" s="434"/>
      <c r="U139" s="1"/>
      <c r="V139" s="1"/>
    </row>
    <row r="140" spans="3:22">
      <c r="C140" s="17"/>
      <c r="N140" s="1752">
        <f t="shared" si="12"/>
        <v>1900</v>
      </c>
      <c r="O140" s="1752" t="str">
        <f t="shared" si="13"/>
        <v>4</v>
      </c>
      <c r="P140" s="434"/>
      <c r="U140" s="1"/>
      <c r="V140" s="1"/>
    </row>
    <row r="141" spans="3:22">
      <c r="C141" s="17"/>
      <c r="N141" s="1752">
        <f t="shared" si="12"/>
        <v>1900</v>
      </c>
      <c r="O141" s="1752" t="str">
        <f t="shared" si="13"/>
        <v>4</v>
      </c>
      <c r="P141" s="434"/>
      <c r="U141" s="1"/>
      <c r="V141" s="1"/>
    </row>
    <row r="142" spans="3:22">
      <c r="C142" s="17"/>
      <c r="N142" s="1752">
        <f t="shared" si="12"/>
        <v>1900</v>
      </c>
      <c r="O142" s="1752" t="str">
        <f t="shared" si="13"/>
        <v>4</v>
      </c>
      <c r="P142" s="434"/>
      <c r="U142" s="1"/>
      <c r="V142" s="1"/>
    </row>
    <row r="143" spans="3:22">
      <c r="C143" s="17"/>
      <c r="N143" s="1752">
        <f t="shared" si="12"/>
        <v>1900</v>
      </c>
      <c r="O143" s="1752" t="str">
        <f t="shared" si="13"/>
        <v>4</v>
      </c>
      <c r="P143" s="434"/>
      <c r="U143" s="1"/>
      <c r="V143" s="1"/>
    </row>
    <row r="144" spans="3:22">
      <c r="C144" s="17"/>
      <c r="N144" s="1752">
        <f t="shared" si="12"/>
        <v>1900</v>
      </c>
      <c r="O144" s="1752" t="str">
        <f t="shared" si="13"/>
        <v>4</v>
      </c>
      <c r="P144" s="434"/>
      <c r="U144" s="1"/>
      <c r="V144" s="1"/>
    </row>
    <row r="145" spans="3:22">
      <c r="C145" s="17"/>
      <c r="N145" s="1752">
        <f t="shared" si="12"/>
        <v>1900</v>
      </c>
      <c r="O145" s="1752" t="str">
        <f t="shared" si="13"/>
        <v>4</v>
      </c>
      <c r="P145" s="434"/>
      <c r="U145" s="1"/>
      <c r="V145" s="1"/>
    </row>
    <row r="146" spans="3:22">
      <c r="C146" s="17"/>
      <c r="N146" s="1752">
        <f t="shared" si="12"/>
        <v>1900</v>
      </c>
      <c r="O146" s="1752" t="str">
        <f t="shared" si="13"/>
        <v>4</v>
      </c>
      <c r="P146" s="434"/>
      <c r="U146" s="1"/>
      <c r="V146" s="1"/>
    </row>
    <row r="147" spans="3:22">
      <c r="C147" s="17"/>
      <c r="N147" s="1752">
        <f t="shared" si="12"/>
        <v>1900</v>
      </c>
      <c r="O147" s="1752" t="str">
        <f t="shared" si="13"/>
        <v>4</v>
      </c>
      <c r="P147" s="434"/>
      <c r="U147" s="1"/>
      <c r="V147" s="1"/>
    </row>
    <row r="148" spans="3:22">
      <c r="C148" s="17"/>
      <c r="N148" s="1752">
        <f t="shared" si="12"/>
        <v>1900</v>
      </c>
      <c r="O148" s="1752" t="str">
        <f t="shared" si="13"/>
        <v>4</v>
      </c>
      <c r="P148" s="434"/>
      <c r="U148" s="1"/>
      <c r="V148" s="1"/>
    </row>
    <row r="149" spans="3:22">
      <c r="C149" s="17"/>
      <c r="N149" s="1752">
        <f t="shared" si="12"/>
        <v>1900</v>
      </c>
      <c r="O149" s="1752" t="str">
        <f t="shared" si="13"/>
        <v>4</v>
      </c>
      <c r="P149" s="434"/>
      <c r="U149" s="1"/>
      <c r="V149" s="1"/>
    </row>
    <row r="150" spans="3:22">
      <c r="C150" s="17"/>
      <c r="N150" s="1752">
        <f t="shared" si="12"/>
        <v>1900</v>
      </c>
      <c r="O150" s="1752" t="str">
        <f t="shared" si="13"/>
        <v>4</v>
      </c>
      <c r="P150" s="434"/>
      <c r="U150" s="1"/>
      <c r="V150" s="1"/>
    </row>
    <row r="151" spans="3:22">
      <c r="C151" s="17"/>
      <c r="N151" s="1752">
        <f t="shared" si="12"/>
        <v>1900</v>
      </c>
      <c r="O151" s="1752" t="str">
        <f t="shared" si="13"/>
        <v>4</v>
      </c>
      <c r="P151" s="434"/>
      <c r="U151" s="1"/>
      <c r="V151" s="1"/>
    </row>
    <row r="152" spans="3:22">
      <c r="C152" s="17"/>
      <c r="N152" s="1752">
        <f t="shared" si="12"/>
        <v>1900</v>
      </c>
      <c r="O152" s="1752" t="str">
        <f t="shared" si="13"/>
        <v>4</v>
      </c>
      <c r="P152" s="434"/>
      <c r="U152" s="1"/>
      <c r="V152" s="1"/>
    </row>
    <row r="153" spans="3:22">
      <c r="C153" s="17"/>
      <c r="N153" s="1752">
        <f t="shared" si="12"/>
        <v>1900</v>
      </c>
      <c r="O153" s="1752" t="str">
        <f t="shared" si="13"/>
        <v>4</v>
      </c>
      <c r="P153" s="434"/>
      <c r="U153" s="1"/>
      <c r="V153" s="1"/>
    </row>
    <row r="154" spans="3:22">
      <c r="C154" s="17"/>
      <c r="N154" s="1752">
        <f t="shared" si="12"/>
        <v>1900</v>
      </c>
      <c r="O154" s="1752" t="str">
        <f t="shared" si="13"/>
        <v>4</v>
      </c>
      <c r="P154" s="434"/>
      <c r="U154" s="1"/>
      <c r="V154" s="1"/>
    </row>
    <row r="155" spans="3:22">
      <c r="C155" s="17"/>
      <c r="N155" s="1752">
        <f t="shared" si="12"/>
        <v>1900</v>
      </c>
      <c r="O155" s="1752" t="str">
        <f t="shared" si="13"/>
        <v>4</v>
      </c>
      <c r="P155" s="434"/>
      <c r="U155" s="1"/>
      <c r="V155" s="1"/>
    </row>
    <row r="156" spans="3:22">
      <c r="C156" s="17"/>
      <c r="N156" s="1752">
        <f t="shared" si="12"/>
        <v>1900</v>
      </c>
      <c r="O156" s="1752" t="str">
        <f t="shared" si="13"/>
        <v>4</v>
      </c>
      <c r="P156" s="434"/>
      <c r="U156" s="1"/>
      <c r="V156" s="1"/>
    </row>
    <row r="157" spans="3:22">
      <c r="C157" s="17"/>
      <c r="N157" s="1752">
        <f t="shared" si="12"/>
        <v>1900</v>
      </c>
      <c r="O157" s="1752" t="str">
        <f t="shared" si="13"/>
        <v>4</v>
      </c>
      <c r="P157" s="434"/>
      <c r="U157" s="1"/>
      <c r="V157" s="1"/>
    </row>
    <row r="158" spans="3:22">
      <c r="C158" s="17"/>
      <c r="N158" s="1752">
        <f t="shared" si="12"/>
        <v>1900</v>
      </c>
      <c r="O158" s="1752" t="str">
        <f t="shared" si="13"/>
        <v>4</v>
      </c>
      <c r="P158" s="434"/>
      <c r="U158" s="1"/>
      <c r="V158" s="1"/>
    </row>
    <row r="159" spans="3:22">
      <c r="C159" s="17"/>
      <c r="N159" s="1752">
        <f t="shared" si="12"/>
        <v>1900</v>
      </c>
      <c r="O159" s="1752" t="str">
        <f t="shared" si="13"/>
        <v>4</v>
      </c>
      <c r="P159" s="434"/>
      <c r="U159" s="1"/>
      <c r="V159" s="1"/>
    </row>
    <row r="160" spans="3:22">
      <c r="C160" s="17"/>
      <c r="N160" s="1752">
        <f t="shared" si="12"/>
        <v>1900</v>
      </c>
      <c r="O160" s="1752" t="str">
        <f t="shared" si="13"/>
        <v>4</v>
      </c>
      <c r="P160" s="434"/>
      <c r="U160" s="1"/>
      <c r="V160" s="1"/>
    </row>
    <row r="161" spans="3:22">
      <c r="C161" s="17"/>
      <c r="N161" s="1752">
        <f t="shared" si="12"/>
        <v>1900</v>
      </c>
      <c r="O161" s="1752" t="str">
        <f t="shared" si="13"/>
        <v>4</v>
      </c>
      <c r="P161" s="434"/>
      <c r="U161" s="1"/>
      <c r="V161" s="1"/>
    </row>
    <row r="162" spans="3:22">
      <c r="C162" s="17"/>
      <c r="N162" s="1752">
        <f t="shared" si="12"/>
        <v>1900</v>
      </c>
      <c r="O162" s="1752" t="str">
        <f t="shared" si="13"/>
        <v>4</v>
      </c>
      <c r="P162" s="434"/>
      <c r="U162" s="1"/>
      <c r="V162" s="1"/>
    </row>
    <row r="163" spans="3:22">
      <c r="C163" s="17"/>
      <c r="N163" s="1752">
        <f t="shared" si="12"/>
        <v>1900</v>
      </c>
      <c r="O163" s="1752" t="str">
        <f t="shared" si="13"/>
        <v>4</v>
      </c>
      <c r="P163" s="434"/>
      <c r="U163" s="1"/>
      <c r="V163" s="1"/>
    </row>
    <row r="164" spans="3:22">
      <c r="C164" s="17"/>
      <c r="N164" s="1752">
        <f t="shared" si="12"/>
        <v>1900</v>
      </c>
      <c r="O164" s="1752" t="str">
        <f t="shared" si="13"/>
        <v>4</v>
      </c>
      <c r="P164" s="434"/>
      <c r="U164" s="1"/>
      <c r="V164" s="1"/>
    </row>
    <row r="165" spans="3:22">
      <c r="C165" s="17"/>
      <c r="N165" s="1752">
        <f t="shared" si="12"/>
        <v>1900</v>
      </c>
      <c r="O165" s="1752" t="str">
        <f t="shared" si="13"/>
        <v>4</v>
      </c>
      <c r="P165" s="434"/>
      <c r="U165" s="1"/>
      <c r="V165" s="1"/>
    </row>
    <row r="166" spans="3:22">
      <c r="C166" s="17"/>
      <c r="N166" s="1752">
        <f t="shared" si="12"/>
        <v>1900</v>
      </c>
      <c r="O166" s="1752" t="str">
        <f t="shared" si="13"/>
        <v>4</v>
      </c>
      <c r="P166" s="434"/>
      <c r="U166" s="1"/>
      <c r="V166" s="1"/>
    </row>
    <row r="167" spans="3:22">
      <c r="C167" s="17"/>
      <c r="N167" s="1752">
        <f t="shared" si="12"/>
        <v>1900</v>
      </c>
      <c r="O167" s="1752" t="str">
        <f t="shared" si="13"/>
        <v>4</v>
      </c>
      <c r="P167" s="434"/>
      <c r="U167" s="1"/>
      <c r="V167" s="1"/>
    </row>
    <row r="168" spans="3:22">
      <c r="C168" s="17"/>
      <c r="N168" s="1752">
        <f t="shared" si="12"/>
        <v>1900</v>
      </c>
      <c r="O168" s="1752" t="str">
        <f t="shared" si="13"/>
        <v>4</v>
      </c>
      <c r="P168" s="434"/>
      <c r="U168" s="1"/>
      <c r="V168" s="1"/>
    </row>
    <row r="169" spans="3:22">
      <c r="C169" s="17"/>
      <c r="N169" s="1752">
        <f t="shared" si="12"/>
        <v>1900</v>
      </c>
      <c r="O169" s="1752" t="str">
        <f t="shared" si="13"/>
        <v>4</v>
      </c>
      <c r="P169" s="434"/>
      <c r="U169" s="1"/>
      <c r="V169" s="1"/>
    </row>
    <row r="170" spans="3:22">
      <c r="C170" s="17"/>
      <c r="N170" s="1752">
        <f t="shared" si="12"/>
        <v>1900</v>
      </c>
      <c r="O170" s="1752" t="str">
        <f t="shared" si="13"/>
        <v>4</v>
      </c>
      <c r="P170" s="434"/>
      <c r="U170" s="1"/>
      <c r="V170" s="1"/>
    </row>
    <row r="171" spans="3:22">
      <c r="C171" s="17"/>
      <c r="N171" s="1752">
        <f t="shared" si="12"/>
        <v>1900</v>
      </c>
      <c r="O171" s="1752" t="str">
        <f t="shared" si="13"/>
        <v>4</v>
      </c>
      <c r="P171" s="434"/>
      <c r="U171" s="1"/>
      <c r="V171" s="1"/>
    </row>
    <row r="172" spans="3:22">
      <c r="C172" s="17"/>
      <c r="N172" s="1752">
        <f t="shared" si="12"/>
        <v>1900</v>
      </c>
      <c r="O172" s="1752" t="str">
        <f t="shared" si="13"/>
        <v>4</v>
      </c>
      <c r="P172" s="434"/>
      <c r="U172" s="1"/>
      <c r="V172" s="1"/>
    </row>
    <row r="173" spans="3:22">
      <c r="C173" s="17"/>
      <c r="N173" s="1752">
        <f t="shared" si="12"/>
        <v>1900</v>
      </c>
      <c r="O173" s="1752" t="str">
        <f t="shared" si="13"/>
        <v>4</v>
      </c>
      <c r="P173" s="434"/>
      <c r="U173" s="1"/>
      <c r="V173" s="1"/>
    </row>
    <row r="174" spans="3:22">
      <c r="C174" s="17"/>
      <c r="N174" s="1752">
        <f t="shared" si="12"/>
        <v>1900</v>
      </c>
      <c r="O174" s="1752" t="str">
        <f t="shared" si="13"/>
        <v>4</v>
      </c>
      <c r="P174" s="434"/>
      <c r="U174" s="1"/>
      <c r="V174" s="1"/>
    </row>
    <row r="175" spans="3:22">
      <c r="C175" s="17"/>
      <c r="N175" s="1752">
        <f t="shared" si="12"/>
        <v>1900</v>
      </c>
      <c r="O175" s="1752" t="str">
        <f t="shared" si="13"/>
        <v>4</v>
      </c>
      <c r="P175" s="434"/>
      <c r="U175" s="1"/>
      <c r="V175" s="1"/>
    </row>
    <row r="176" spans="3:22">
      <c r="C176" s="17"/>
      <c r="N176" s="1752">
        <f t="shared" si="12"/>
        <v>1900</v>
      </c>
      <c r="O176" s="1752" t="str">
        <f t="shared" si="13"/>
        <v>4</v>
      </c>
      <c r="P176" s="434"/>
      <c r="U176" s="1"/>
      <c r="V176" s="1"/>
    </row>
    <row r="177" spans="3:22">
      <c r="C177" s="17"/>
      <c r="N177" s="1752">
        <f t="shared" si="12"/>
        <v>1900</v>
      </c>
      <c r="O177" s="1752" t="str">
        <f t="shared" si="13"/>
        <v>4</v>
      </c>
      <c r="P177" s="434"/>
      <c r="U177" s="1"/>
      <c r="V177" s="1"/>
    </row>
    <row r="178" spans="3:22">
      <c r="C178" s="17"/>
      <c r="N178" s="1752">
        <f t="shared" si="12"/>
        <v>1900</v>
      </c>
      <c r="O178" s="1752" t="str">
        <f t="shared" si="13"/>
        <v>4</v>
      </c>
      <c r="P178" s="434"/>
      <c r="U178" s="1"/>
      <c r="V178" s="1"/>
    </row>
    <row r="179" spans="3:22">
      <c r="C179" s="17"/>
      <c r="N179" s="1752">
        <f t="shared" si="12"/>
        <v>1900</v>
      </c>
      <c r="O179" s="1752" t="str">
        <f t="shared" si="13"/>
        <v>4</v>
      </c>
      <c r="P179" s="434"/>
      <c r="U179" s="1"/>
      <c r="V179" s="1"/>
    </row>
    <row r="180" spans="3:22">
      <c r="C180" s="17"/>
      <c r="N180" s="1752">
        <f t="shared" si="12"/>
        <v>1900</v>
      </c>
      <c r="O180" s="1752" t="str">
        <f t="shared" si="13"/>
        <v>4</v>
      </c>
      <c r="P180" s="434"/>
      <c r="U180" s="1"/>
      <c r="V180" s="1"/>
    </row>
    <row r="181" spans="3:22">
      <c r="C181" s="17"/>
      <c r="N181" s="1752">
        <f t="shared" si="12"/>
        <v>1900</v>
      </c>
      <c r="O181" s="1752" t="str">
        <f t="shared" si="13"/>
        <v>4</v>
      </c>
      <c r="P181" s="434"/>
      <c r="U181" s="1"/>
      <c r="V181" s="1"/>
    </row>
    <row r="182" spans="3:22">
      <c r="C182" s="17"/>
      <c r="N182" s="1752">
        <f t="shared" si="12"/>
        <v>1900</v>
      </c>
      <c r="O182" s="1752" t="str">
        <f t="shared" si="13"/>
        <v>4</v>
      </c>
      <c r="P182" s="434"/>
      <c r="U182" s="1"/>
      <c r="V182" s="1"/>
    </row>
    <row r="183" spans="3:22">
      <c r="C183" s="17"/>
      <c r="N183" s="1752">
        <f t="shared" si="12"/>
        <v>1900</v>
      </c>
      <c r="O183" s="1752" t="str">
        <f t="shared" si="13"/>
        <v>4</v>
      </c>
      <c r="P183" s="434"/>
      <c r="U183" s="1"/>
      <c r="V183" s="1"/>
    </row>
    <row r="184" spans="3:22">
      <c r="C184" s="17"/>
      <c r="N184" s="1752">
        <f t="shared" si="12"/>
        <v>1900</v>
      </c>
      <c r="O184" s="1752" t="str">
        <f t="shared" si="13"/>
        <v>4</v>
      </c>
      <c r="P184" s="434"/>
      <c r="U184" s="1"/>
      <c r="V184" s="1"/>
    </row>
    <row r="185" spans="3:22">
      <c r="C185" s="17"/>
      <c r="N185" s="1752">
        <f t="shared" si="12"/>
        <v>1900</v>
      </c>
      <c r="O185" s="1752" t="str">
        <f t="shared" si="13"/>
        <v>4</v>
      </c>
      <c r="P185" s="434"/>
      <c r="U185" s="1"/>
      <c r="V185" s="1"/>
    </row>
    <row r="186" spans="3:22">
      <c r="C186" s="17"/>
      <c r="N186" s="1752">
        <f t="shared" si="12"/>
        <v>1900</v>
      </c>
      <c r="O186" s="1752" t="str">
        <f t="shared" si="13"/>
        <v>4</v>
      </c>
      <c r="P186" s="434"/>
      <c r="U186" s="1"/>
      <c r="V186" s="1"/>
    </row>
    <row r="187" spans="3:22">
      <c r="C187" s="17"/>
      <c r="N187" s="1752">
        <f t="shared" si="12"/>
        <v>1900</v>
      </c>
      <c r="O187" s="1752" t="str">
        <f t="shared" si="13"/>
        <v>4</v>
      </c>
      <c r="P187" s="434"/>
      <c r="U187" s="1"/>
      <c r="V187" s="1"/>
    </row>
    <row r="188" spans="3:22">
      <c r="C188" s="17"/>
      <c r="N188" s="1752">
        <f t="shared" si="12"/>
        <v>1900</v>
      </c>
      <c r="O188" s="1752" t="str">
        <f t="shared" si="13"/>
        <v>4</v>
      </c>
      <c r="P188" s="434"/>
      <c r="U188" s="1"/>
      <c r="V188" s="1"/>
    </row>
    <row r="189" spans="3:22">
      <c r="C189" s="17"/>
      <c r="N189" s="1752">
        <f t="shared" si="12"/>
        <v>1900</v>
      </c>
      <c r="O189" s="1752" t="str">
        <f t="shared" si="13"/>
        <v>4</v>
      </c>
      <c r="P189" s="434"/>
      <c r="U189" s="1"/>
      <c r="V189" s="1"/>
    </row>
    <row r="190" spans="3:22">
      <c r="C190" s="17"/>
      <c r="N190" s="1752">
        <f t="shared" si="12"/>
        <v>1900</v>
      </c>
      <c r="O190" s="1752" t="str">
        <f t="shared" si="13"/>
        <v>4</v>
      </c>
      <c r="P190" s="434"/>
      <c r="U190" s="1"/>
      <c r="V190" s="1"/>
    </row>
    <row r="191" spans="3:22">
      <c r="C191" s="17"/>
      <c r="N191" s="1752">
        <f t="shared" si="12"/>
        <v>1900</v>
      </c>
      <c r="O191" s="1752" t="str">
        <f t="shared" si="13"/>
        <v>4</v>
      </c>
      <c r="P191" s="434"/>
      <c r="U191" s="1"/>
      <c r="V191" s="1"/>
    </row>
    <row r="192" spans="3:22">
      <c r="C192" s="17"/>
      <c r="N192" s="1752">
        <f t="shared" si="12"/>
        <v>1900</v>
      </c>
      <c r="O192" s="1752" t="str">
        <f t="shared" si="13"/>
        <v>4</v>
      </c>
      <c r="P192" s="434"/>
      <c r="U192" s="1"/>
      <c r="V192" s="1"/>
    </row>
    <row r="193" spans="3:22">
      <c r="C193" s="17"/>
      <c r="N193" s="1752">
        <f t="shared" si="12"/>
        <v>1900</v>
      </c>
      <c r="O193" s="1752" t="str">
        <f t="shared" si="13"/>
        <v>4</v>
      </c>
      <c r="P193" s="434"/>
      <c r="U193" s="1"/>
      <c r="V193" s="1"/>
    </row>
    <row r="194" spans="3:22">
      <c r="C194" s="17"/>
      <c r="N194" s="1752">
        <f t="shared" si="12"/>
        <v>1900</v>
      </c>
      <c r="O194" s="1752" t="str">
        <f t="shared" si="13"/>
        <v>4</v>
      </c>
      <c r="P194" s="434"/>
      <c r="U194" s="1"/>
      <c r="V194" s="1"/>
    </row>
    <row r="195" spans="3:22">
      <c r="C195" s="17"/>
      <c r="N195" s="1752">
        <f t="shared" si="12"/>
        <v>1900</v>
      </c>
      <c r="O195" s="1752" t="str">
        <f t="shared" si="13"/>
        <v>4</v>
      </c>
      <c r="P195" s="434"/>
      <c r="U195" s="1"/>
      <c r="V195" s="1"/>
    </row>
    <row r="196" spans="3:22">
      <c r="C196" s="17"/>
      <c r="N196" s="1752">
        <f t="shared" si="12"/>
        <v>1900</v>
      </c>
      <c r="O196" s="1752" t="str">
        <f t="shared" si="13"/>
        <v>4</v>
      </c>
      <c r="P196" s="434"/>
      <c r="U196" s="1"/>
      <c r="V196" s="1"/>
    </row>
    <row r="197" spans="3:22">
      <c r="C197" s="17"/>
      <c r="N197" s="1752">
        <f t="shared" si="12"/>
        <v>1900</v>
      </c>
      <c r="O197" s="1752" t="str">
        <f t="shared" si="13"/>
        <v>4</v>
      </c>
      <c r="P197" s="434"/>
      <c r="U197" s="1"/>
      <c r="V197" s="1"/>
    </row>
    <row r="198" spans="3:22">
      <c r="C198" s="17"/>
      <c r="N198" s="1752">
        <f t="shared" si="12"/>
        <v>1900</v>
      </c>
      <c r="O198" s="1752" t="str">
        <f t="shared" si="13"/>
        <v>4</v>
      </c>
      <c r="P198" s="434"/>
      <c r="U198" s="1"/>
      <c r="V198" s="1"/>
    </row>
    <row r="199" spans="3:22">
      <c r="C199" s="17"/>
      <c r="N199" s="1752">
        <f t="shared" si="12"/>
        <v>1900</v>
      </c>
      <c r="O199" s="1752" t="str">
        <f t="shared" si="13"/>
        <v>4</v>
      </c>
      <c r="P199" s="434"/>
      <c r="U199" s="1"/>
      <c r="V199" s="1"/>
    </row>
    <row r="200" spans="3:22">
      <c r="C200" s="17"/>
      <c r="N200" s="1752">
        <f t="shared" si="12"/>
        <v>1900</v>
      </c>
      <c r="O200" s="1752" t="str">
        <f t="shared" si="13"/>
        <v>4</v>
      </c>
      <c r="P200" s="434"/>
      <c r="U200" s="1"/>
      <c r="V200" s="1"/>
    </row>
    <row r="201" spans="3:22">
      <c r="C201" s="17"/>
      <c r="N201" s="1752">
        <f t="shared" ref="N201:N251" si="14">YEAR(A201)</f>
        <v>1900</v>
      </c>
      <c r="O201" s="1752" t="str">
        <f t="shared" ref="O201:O251" si="15">IF(MONTH(A201)=3,"1",IF(MONTH(A201)=6,"2",IF(MONTH(A201)=9,"3","4")))</f>
        <v>4</v>
      </c>
      <c r="P201" s="434"/>
      <c r="U201" s="1"/>
      <c r="V201" s="1"/>
    </row>
    <row r="202" spans="3:22">
      <c r="C202" s="17"/>
      <c r="N202" s="1752">
        <f t="shared" si="14"/>
        <v>1900</v>
      </c>
      <c r="O202" s="1752" t="str">
        <f t="shared" si="15"/>
        <v>4</v>
      </c>
      <c r="P202" s="434"/>
      <c r="U202" s="1"/>
      <c r="V202" s="1"/>
    </row>
    <row r="203" spans="3:22">
      <c r="C203" s="17"/>
      <c r="N203" s="1752">
        <f t="shared" si="14"/>
        <v>1900</v>
      </c>
      <c r="O203" s="1752" t="str">
        <f t="shared" si="15"/>
        <v>4</v>
      </c>
      <c r="P203" s="434"/>
      <c r="U203" s="1"/>
      <c r="V203" s="1"/>
    </row>
    <row r="204" spans="3:22">
      <c r="C204" s="17"/>
      <c r="N204" s="1752">
        <f t="shared" si="14"/>
        <v>1900</v>
      </c>
      <c r="O204" s="1752" t="str">
        <f t="shared" si="15"/>
        <v>4</v>
      </c>
      <c r="P204" s="434"/>
      <c r="U204" s="1"/>
      <c r="V204" s="1"/>
    </row>
    <row r="205" spans="3:22">
      <c r="C205" s="17"/>
      <c r="N205" s="1752">
        <f t="shared" si="14"/>
        <v>1900</v>
      </c>
      <c r="O205" s="1752" t="str">
        <f t="shared" si="15"/>
        <v>4</v>
      </c>
      <c r="P205" s="434"/>
      <c r="U205" s="1"/>
      <c r="V205" s="1"/>
    </row>
    <row r="206" spans="3:22">
      <c r="C206" s="17"/>
      <c r="N206" s="1752">
        <f t="shared" si="14"/>
        <v>1900</v>
      </c>
      <c r="O206" s="1752" t="str">
        <f t="shared" si="15"/>
        <v>4</v>
      </c>
      <c r="P206" s="434"/>
      <c r="U206" s="1"/>
      <c r="V206" s="1"/>
    </row>
    <row r="207" spans="3:22">
      <c r="C207" s="17"/>
      <c r="N207" s="1752">
        <f t="shared" si="14"/>
        <v>1900</v>
      </c>
      <c r="O207" s="1752" t="str">
        <f t="shared" si="15"/>
        <v>4</v>
      </c>
      <c r="P207" s="434"/>
      <c r="U207" s="1"/>
      <c r="V207" s="1"/>
    </row>
    <row r="208" spans="3:22">
      <c r="C208" s="17"/>
      <c r="N208" s="1752">
        <f t="shared" si="14"/>
        <v>1900</v>
      </c>
      <c r="O208" s="1752" t="str">
        <f t="shared" si="15"/>
        <v>4</v>
      </c>
      <c r="P208" s="434"/>
      <c r="U208" s="1"/>
      <c r="V208" s="1"/>
    </row>
    <row r="209" spans="3:22">
      <c r="C209" s="17"/>
      <c r="N209" s="1752">
        <f t="shared" si="14"/>
        <v>1900</v>
      </c>
      <c r="O209" s="1752" t="str">
        <f t="shared" si="15"/>
        <v>4</v>
      </c>
      <c r="P209" s="434"/>
      <c r="U209" s="1"/>
      <c r="V209" s="1"/>
    </row>
    <row r="210" spans="3:22">
      <c r="C210" s="17"/>
      <c r="N210" s="1752">
        <f t="shared" si="14"/>
        <v>1900</v>
      </c>
      <c r="O210" s="1752" t="str">
        <f t="shared" si="15"/>
        <v>4</v>
      </c>
      <c r="P210" s="434"/>
      <c r="U210" s="1"/>
      <c r="V210" s="1"/>
    </row>
    <row r="211" spans="3:22">
      <c r="C211" s="17"/>
      <c r="N211" s="1752">
        <f t="shared" si="14"/>
        <v>1900</v>
      </c>
      <c r="O211" s="1752" t="str">
        <f t="shared" si="15"/>
        <v>4</v>
      </c>
      <c r="P211" s="434"/>
      <c r="U211" s="1"/>
      <c r="V211" s="1"/>
    </row>
    <row r="212" spans="3:22">
      <c r="C212" s="17"/>
      <c r="N212" s="1752">
        <f t="shared" si="14"/>
        <v>1900</v>
      </c>
      <c r="O212" s="1752" t="str">
        <f t="shared" si="15"/>
        <v>4</v>
      </c>
      <c r="P212" s="434"/>
      <c r="U212" s="1"/>
      <c r="V212" s="1"/>
    </row>
    <row r="213" spans="3:22">
      <c r="C213" s="17"/>
      <c r="N213" s="1752">
        <f t="shared" si="14"/>
        <v>1900</v>
      </c>
      <c r="O213" s="1752" t="str">
        <f t="shared" si="15"/>
        <v>4</v>
      </c>
      <c r="P213" s="434"/>
      <c r="U213" s="1"/>
      <c r="V213" s="1"/>
    </row>
    <row r="214" spans="3:22">
      <c r="C214" s="17"/>
      <c r="N214" s="1752">
        <f t="shared" si="14"/>
        <v>1900</v>
      </c>
      <c r="O214" s="1752" t="str">
        <f t="shared" si="15"/>
        <v>4</v>
      </c>
      <c r="P214" s="434"/>
      <c r="U214" s="1"/>
      <c r="V214" s="1"/>
    </row>
    <row r="215" spans="3:22">
      <c r="C215" s="17"/>
      <c r="N215" s="1752">
        <f t="shared" si="14"/>
        <v>1900</v>
      </c>
      <c r="O215" s="1752" t="str">
        <f t="shared" si="15"/>
        <v>4</v>
      </c>
      <c r="P215" s="434"/>
      <c r="U215" s="1"/>
      <c r="V215" s="1"/>
    </row>
    <row r="216" spans="3:22">
      <c r="C216" s="17"/>
      <c r="N216" s="1752">
        <f t="shared" si="14"/>
        <v>1900</v>
      </c>
      <c r="O216" s="1752" t="str">
        <f t="shared" si="15"/>
        <v>4</v>
      </c>
      <c r="P216" s="434"/>
      <c r="U216" s="1"/>
      <c r="V216" s="1"/>
    </row>
    <row r="217" spans="3:22">
      <c r="C217" s="17"/>
      <c r="N217" s="1752">
        <f t="shared" si="14"/>
        <v>1900</v>
      </c>
      <c r="O217" s="1752" t="str">
        <f t="shared" si="15"/>
        <v>4</v>
      </c>
      <c r="P217" s="434"/>
      <c r="U217" s="1"/>
      <c r="V217" s="1"/>
    </row>
    <row r="218" spans="3:22">
      <c r="C218" s="17"/>
      <c r="N218" s="1752">
        <f t="shared" si="14"/>
        <v>1900</v>
      </c>
      <c r="O218" s="1752" t="str">
        <f t="shared" si="15"/>
        <v>4</v>
      </c>
      <c r="P218" s="434"/>
      <c r="U218" s="1"/>
      <c r="V218" s="1"/>
    </row>
    <row r="219" spans="3:22">
      <c r="C219" s="17"/>
      <c r="N219" s="1752">
        <f t="shared" si="14"/>
        <v>1900</v>
      </c>
      <c r="O219" s="1752" t="str">
        <f t="shared" si="15"/>
        <v>4</v>
      </c>
      <c r="P219" s="434"/>
      <c r="U219" s="1"/>
      <c r="V219" s="1"/>
    </row>
    <row r="220" spans="3:22">
      <c r="C220" s="17"/>
      <c r="N220" s="1752">
        <f t="shared" si="14"/>
        <v>1900</v>
      </c>
      <c r="O220" s="1752" t="str">
        <f t="shared" si="15"/>
        <v>4</v>
      </c>
      <c r="P220" s="434"/>
      <c r="U220" s="1"/>
      <c r="V220" s="1"/>
    </row>
    <row r="221" spans="3:22">
      <c r="C221" s="17"/>
      <c r="N221" s="1752">
        <f t="shared" si="14"/>
        <v>1900</v>
      </c>
      <c r="O221" s="1752" t="str">
        <f t="shared" si="15"/>
        <v>4</v>
      </c>
      <c r="P221" s="434"/>
      <c r="U221" s="1"/>
      <c r="V221" s="1"/>
    </row>
    <row r="222" spans="3:22">
      <c r="C222" s="17"/>
      <c r="N222" s="1752">
        <f t="shared" si="14"/>
        <v>1900</v>
      </c>
      <c r="O222" s="1752" t="str">
        <f t="shared" si="15"/>
        <v>4</v>
      </c>
      <c r="P222" s="434"/>
      <c r="U222" s="1"/>
      <c r="V222" s="1"/>
    </row>
    <row r="223" spans="3:22">
      <c r="C223" s="17"/>
      <c r="N223" s="1752">
        <f t="shared" si="14"/>
        <v>1900</v>
      </c>
      <c r="O223" s="1752" t="str">
        <f t="shared" si="15"/>
        <v>4</v>
      </c>
      <c r="P223" s="434"/>
      <c r="U223" s="1"/>
      <c r="V223" s="1"/>
    </row>
    <row r="224" spans="3:22">
      <c r="C224" s="17"/>
      <c r="N224" s="1752">
        <f t="shared" si="14"/>
        <v>1900</v>
      </c>
      <c r="O224" s="1752" t="str">
        <f t="shared" si="15"/>
        <v>4</v>
      </c>
      <c r="P224" s="434"/>
    </row>
    <row r="225" spans="3:16">
      <c r="C225" s="17"/>
      <c r="N225" s="1752">
        <f t="shared" si="14"/>
        <v>1900</v>
      </c>
      <c r="O225" s="1752" t="str">
        <f t="shared" si="15"/>
        <v>4</v>
      </c>
      <c r="P225" s="434"/>
    </row>
    <row r="226" spans="3:16">
      <c r="C226" s="17"/>
      <c r="N226" s="1752">
        <f t="shared" si="14"/>
        <v>1900</v>
      </c>
      <c r="O226" s="1752" t="str">
        <f t="shared" si="15"/>
        <v>4</v>
      </c>
      <c r="P226" s="434"/>
    </row>
    <row r="227" spans="3:16">
      <c r="C227" s="17"/>
      <c r="N227" s="1752">
        <f t="shared" si="14"/>
        <v>1900</v>
      </c>
      <c r="O227" s="1752" t="str">
        <f t="shared" si="15"/>
        <v>4</v>
      </c>
      <c r="P227" s="434"/>
    </row>
    <row r="228" spans="3:16">
      <c r="C228" s="17"/>
      <c r="N228" s="1752">
        <f t="shared" si="14"/>
        <v>1900</v>
      </c>
      <c r="O228" s="1752" t="str">
        <f t="shared" si="15"/>
        <v>4</v>
      </c>
      <c r="P228" s="434"/>
    </row>
    <row r="229" spans="3:16">
      <c r="C229" s="17"/>
      <c r="N229" s="1752">
        <f t="shared" si="14"/>
        <v>1900</v>
      </c>
      <c r="O229" s="1752" t="str">
        <f t="shared" si="15"/>
        <v>4</v>
      </c>
      <c r="P229" s="434"/>
    </row>
    <row r="230" spans="3:16">
      <c r="C230" s="17"/>
      <c r="N230" s="1752">
        <f t="shared" si="14"/>
        <v>1900</v>
      </c>
      <c r="O230" s="1752" t="str">
        <f t="shared" si="15"/>
        <v>4</v>
      </c>
      <c r="P230" s="434"/>
    </row>
    <row r="231" spans="3:16">
      <c r="C231" s="17"/>
      <c r="N231" s="1752">
        <f t="shared" si="14"/>
        <v>1900</v>
      </c>
      <c r="O231" s="1752" t="str">
        <f t="shared" si="15"/>
        <v>4</v>
      </c>
      <c r="P231" s="434"/>
    </row>
    <row r="232" spans="3:16">
      <c r="C232" s="17"/>
      <c r="N232" s="1752">
        <f t="shared" si="14"/>
        <v>1900</v>
      </c>
      <c r="O232" s="1752" t="str">
        <f t="shared" si="15"/>
        <v>4</v>
      </c>
      <c r="P232" s="434"/>
    </row>
    <row r="233" spans="3:16">
      <c r="C233" s="17"/>
      <c r="N233" s="1752">
        <f t="shared" si="14"/>
        <v>1900</v>
      </c>
      <c r="O233" s="1752" t="str">
        <f t="shared" si="15"/>
        <v>4</v>
      </c>
      <c r="P233" s="434"/>
    </row>
    <row r="234" spans="3:16">
      <c r="C234" s="17"/>
      <c r="N234" s="1752">
        <f t="shared" si="14"/>
        <v>1900</v>
      </c>
      <c r="O234" s="1752" t="str">
        <f t="shared" si="15"/>
        <v>4</v>
      </c>
      <c r="P234" s="434"/>
    </row>
    <row r="235" spans="3:16">
      <c r="C235" s="17"/>
      <c r="N235" s="1752">
        <f t="shared" si="14"/>
        <v>1900</v>
      </c>
      <c r="O235" s="1752" t="str">
        <f t="shared" si="15"/>
        <v>4</v>
      </c>
      <c r="P235" s="434"/>
    </row>
    <row r="236" spans="3:16">
      <c r="C236" s="17"/>
      <c r="N236" s="1752">
        <f t="shared" si="14"/>
        <v>1900</v>
      </c>
      <c r="O236" s="1752" t="str">
        <f t="shared" si="15"/>
        <v>4</v>
      </c>
      <c r="P236" s="434"/>
    </row>
    <row r="237" spans="3:16">
      <c r="C237" s="17"/>
      <c r="N237" s="1752">
        <f t="shared" si="14"/>
        <v>1900</v>
      </c>
      <c r="O237" s="1752" t="str">
        <f t="shared" si="15"/>
        <v>4</v>
      </c>
      <c r="P237" s="434"/>
    </row>
    <row r="238" spans="3:16">
      <c r="C238" s="17"/>
      <c r="N238" s="1752">
        <f t="shared" si="14"/>
        <v>1900</v>
      </c>
      <c r="O238" s="1752" t="str">
        <f t="shared" si="15"/>
        <v>4</v>
      </c>
      <c r="P238" s="434"/>
    </row>
    <row r="239" spans="3:16">
      <c r="C239" s="17"/>
      <c r="N239" s="1752">
        <f t="shared" si="14"/>
        <v>1900</v>
      </c>
      <c r="O239" s="1752" t="str">
        <f t="shared" si="15"/>
        <v>4</v>
      </c>
      <c r="P239" s="434"/>
    </row>
    <row r="240" spans="3:16">
      <c r="C240" s="17"/>
      <c r="N240" s="1752">
        <f t="shared" si="14"/>
        <v>1900</v>
      </c>
      <c r="O240" s="1752" t="str">
        <f t="shared" si="15"/>
        <v>4</v>
      </c>
      <c r="P240" s="434"/>
    </row>
    <row r="241" spans="3:16">
      <c r="C241" s="17"/>
      <c r="N241" s="1752">
        <f t="shared" si="14"/>
        <v>1900</v>
      </c>
      <c r="O241" s="1752" t="str">
        <f t="shared" si="15"/>
        <v>4</v>
      </c>
      <c r="P241" s="434"/>
    </row>
    <row r="242" spans="3:16">
      <c r="C242" s="17"/>
      <c r="N242" s="1752">
        <f t="shared" si="14"/>
        <v>1900</v>
      </c>
      <c r="O242" s="1752" t="str">
        <f t="shared" si="15"/>
        <v>4</v>
      </c>
      <c r="P242" s="434"/>
    </row>
    <row r="243" spans="3:16">
      <c r="C243" s="17"/>
      <c r="N243" s="1752">
        <f t="shared" si="14"/>
        <v>1900</v>
      </c>
      <c r="O243" s="1752" t="str">
        <f t="shared" si="15"/>
        <v>4</v>
      </c>
      <c r="P243" s="434"/>
    </row>
    <row r="244" spans="3:16">
      <c r="C244" s="17"/>
      <c r="N244" s="1752">
        <f t="shared" si="14"/>
        <v>1900</v>
      </c>
      <c r="O244" s="1752" t="str">
        <f t="shared" si="15"/>
        <v>4</v>
      </c>
      <c r="P244" s="434"/>
    </row>
    <row r="245" spans="3:16">
      <c r="C245" s="17"/>
      <c r="N245" s="1752">
        <f t="shared" si="14"/>
        <v>1900</v>
      </c>
      <c r="O245" s="1752" t="str">
        <f t="shared" si="15"/>
        <v>4</v>
      </c>
      <c r="P245" s="434"/>
    </row>
    <row r="246" spans="3:16">
      <c r="C246" s="17"/>
      <c r="N246" s="1752">
        <f t="shared" si="14"/>
        <v>1900</v>
      </c>
      <c r="O246" s="1752" t="str">
        <f t="shared" si="15"/>
        <v>4</v>
      </c>
      <c r="P246" s="434"/>
    </row>
    <row r="247" spans="3:16">
      <c r="C247" s="17"/>
      <c r="N247" s="1752">
        <f t="shared" si="14"/>
        <v>1900</v>
      </c>
      <c r="O247" s="1752" t="str">
        <f t="shared" si="15"/>
        <v>4</v>
      </c>
      <c r="P247" s="434"/>
    </row>
    <row r="248" spans="3:16">
      <c r="C248" s="17"/>
      <c r="N248" s="1752">
        <f t="shared" si="14"/>
        <v>1900</v>
      </c>
      <c r="O248" s="1752" t="str">
        <f t="shared" si="15"/>
        <v>4</v>
      </c>
      <c r="P248" s="434"/>
    </row>
    <row r="249" spans="3:16">
      <c r="C249" s="17"/>
      <c r="N249" s="1752">
        <f t="shared" si="14"/>
        <v>1900</v>
      </c>
      <c r="O249" s="1752" t="str">
        <f t="shared" si="15"/>
        <v>4</v>
      </c>
      <c r="P249" s="434"/>
    </row>
    <row r="250" spans="3:16">
      <c r="C250" s="17"/>
      <c r="N250" s="1752">
        <f t="shared" si="14"/>
        <v>1900</v>
      </c>
      <c r="O250" s="1752" t="str">
        <f t="shared" si="15"/>
        <v>4</v>
      </c>
      <c r="P250" s="434"/>
    </row>
    <row r="251" spans="3:16">
      <c r="C251" s="17"/>
      <c r="N251" s="1752">
        <f t="shared" si="14"/>
        <v>1900</v>
      </c>
      <c r="O251" s="1752" t="str">
        <f t="shared" si="15"/>
        <v>4</v>
      </c>
      <c r="P251" s="434"/>
    </row>
    <row r="252" spans="3:16">
      <c r="C252" s="17"/>
      <c r="N252" s="1754"/>
      <c r="O252" s="1754"/>
    </row>
    <row r="253" spans="3:16">
      <c r="C253" s="17"/>
      <c r="N253" s="1754"/>
      <c r="O253" s="1754"/>
    </row>
    <row r="254" spans="3:16">
      <c r="C254" s="17"/>
      <c r="N254" s="1754"/>
      <c r="O254" s="1754"/>
    </row>
    <row r="255" spans="3:16">
      <c r="C255" s="17"/>
      <c r="N255" s="1754"/>
      <c r="O255" s="1754"/>
    </row>
    <row r="256" spans="3:16">
      <c r="C256" s="17"/>
      <c r="N256" s="1754"/>
      <c r="O256" s="1754"/>
    </row>
    <row r="257" spans="3:15">
      <c r="C257" s="17"/>
      <c r="N257" s="1754"/>
      <c r="O257" s="1754"/>
    </row>
    <row r="258" spans="3:15">
      <c r="C258" s="17"/>
      <c r="N258" s="1754"/>
      <c r="O258" s="1754"/>
    </row>
    <row r="259" spans="3:15">
      <c r="C259" s="17"/>
      <c r="N259" s="1754"/>
      <c r="O259" s="1754"/>
    </row>
    <row r="260" spans="3:15">
      <c r="C260" s="17"/>
      <c r="N260" s="1754"/>
      <c r="O260" s="1754"/>
    </row>
    <row r="261" spans="3:15">
      <c r="C261" s="17"/>
      <c r="N261" s="1754"/>
      <c r="O261" s="1754"/>
    </row>
    <row r="262" spans="3:15">
      <c r="C262" s="17"/>
      <c r="N262" s="1754"/>
      <c r="O262" s="1754"/>
    </row>
    <row r="263" spans="3:15">
      <c r="C263" s="17"/>
      <c r="N263" s="1754"/>
      <c r="O263" s="1754"/>
    </row>
    <row r="264" spans="3:15">
      <c r="C264" s="17"/>
      <c r="N264" s="1754"/>
      <c r="O264" s="1754"/>
    </row>
    <row r="265" spans="3:15">
      <c r="C265" s="17"/>
      <c r="N265" s="1754"/>
      <c r="O265" s="1754"/>
    </row>
    <row r="266" spans="3:15">
      <c r="C266" s="17"/>
      <c r="N266" s="1754"/>
      <c r="O266" s="1754"/>
    </row>
    <row r="267" spans="3:15">
      <c r="C267" s="17"/>
      <c r="N267" s="1754"/>
      <c r="O267" s="1754"/>
    </row>
    <row r="268" spans="3:15">
      <c r="C268" s="17"/>
      <c r="N268" s="1754"/>
      <c r="O268" s="1754"/>
    </row>
    <row r="269" spans="3:15">
      <c r="C269" s="17"/>
      <c r="N269" s="1754"/>
      <c r="O269" s="1754"/>
    </row>
    <row r="270" spans="3:15">
      <c r="C270" s="17"/>
      <c r="N270" s="1754"/>
      <c r="O270" s="1754"/>
    </row>
    <row r="271" spans="3:15">
      <c r="C271" s="17"/>
      <c r="N271" s="1754"/>
      <c r="O271" s="1754"/>
    </row>
    <row r="272" spans="3:15">
      <c r="C272" s="17"/>
      <c r="N272" s="1754"/>
      <c r="O272" s="1754"/>
    </row>
    <row r="273" spans="3:15">
      <c r="C273" s="17"/>
      <c r="N273" s="1754"/>
      <c r="O273" s="1754"/>
    </row>
    <row r="274" spans="3:15">
      <c r="C274" s="17"/>
      <c r="N274" s="1754"/>
      <c r="O274" s="1754"/>
    </row>
    <row r="275" spans="3:15">
      <c r="C275" s="17"/>
      <c r="N275" s="1754"/>
      <c r="O275" s="1754"/>
    </row>
    <row r="276" spans="3:15">
      <c r="C276" s="17"/>
      <c r="N276" s="1754"/>
      <c r="O276" s="1754"/>
    </row>
    <row r="277" spans="3:15">
      <c r="C277" s="17"/>
      <c r="N277" s="1754"/>
      <c r="O277" s="1754"/>
    </row>
    <row r="278" spans="3:15">
      <c r="C278" s="17"/>
      <c r="N278" s="1754"/>
      <c r="O278" s="1754"/>
    </row>
    <row r="279" spans="3:15">
      <c r="C279" s="17"/>
      <c r="N279" s="1754"/>
      <c r="O279" s="1754"/>
    </row>
    <row r="280" spans="3:15">
      <c r="C280" s="17"/>
      <c r="N280" s="1754"/>
      <c r="O280" s="1754"/>
    </row>
    <row r="281" spans="3:15">
      <c r="C281" s="17"/>
      <c r="N281" s="1754"/>
      <c r="O281" s="1754"/>
    </row>
    <row r="282" spans="3:15">
      <c r="C282" s="17"/>
      <c r="N282" s="1754"/>
      <c r="O282" s="1754"/>
    </row>
    <row r="283" spans="3:15">
      <c r="C283" s="17"/>
      <c r="N283" s="1754"/>
      <c r="O283" s="1754"/>
    </row>
    <row r="284" spans="3:15">
      <c r="C284" s="17"/>
      <c r="N284" s="1754"/>
      <c r="O284" s="1754"/>
    </row>
    <row r="285" spans="3:15">
      <c r="C285" s="17"/>
      <c r="N285" s="1754"/>
      <c r="O285" s="1754"/>
    </row>
    <row r="286" spans="3:15">
      <c r="C286" s="17"/>
      <c r="N286" s="1754"/>
      <c r="O286" s="1754"/>
    </row>
    <row r="287" spans="3:15">
      <c r="C287" s="17"/>
      <c r="N287" s="1754"/>
      <c r="O287" s="1754"/>
    </row>
    <row r="288" spans="3:15">
      <c r="C288" s="17"/>
      <c r="N288" s="1754"/>
      <c r="O288" s="1754"/>
    </row>
    <row r="289" spans="3:15">
      <c r="C289" s="17"/>
      <c r="N289" s="1754"/>
      <c r="O289" s="1754"/>
    </row>
    <row r="290" spans="3:15">
      <c r="C290" s="17"/>
      <c r="N290" s="1754"/>
      <c r="O290" s="1754"/>
    </row>
    <row r="291" spans="3:15">
      <c r="C291" s="17"/>
      <c r="N291" s="1754"/>
      <c r="O291" s="1754"/>
    </row>
    <row r="292" spans="3:15">
      <c r="C292" s="17"/>
      <c r="N292" s="1754"/>
      <c r="O292" s="1754"/>
    </row>
    <row r="293" spans="3:15">
      <c r="C293" s="17"/>
      <c r="N293" s="1754"/>
      <c r="O293" s="1754"/>
    </row>
    <row r="294" spans="3:15">
      <c r="C294" s="17"/>
      <c r="N294" s="1754"/>
      <c r="O294" s="1754"/>
    </row>
    <row r="295" spans="3:15">
      <c r="C295" s="17"/>
      <c r="N295" s="1754"/>
      <c r="O295" s="1754"/>
    </row>
    <row r="296" spans="3:15">
      <c r="C296" s="17"/>
      <c r="N296" s="1754"/>
      <c r="O296" s="1754"/>
    </row>
    <row r="297" spans="3:15">
      <c r="C297" s="17"/>
      <c r="N297" s="1754"/>
      <c r="O297" s="1754"/>
    </row>
    <row r="298" spans="3:15">
      <c r="C298" s="17"/>
      <c r="N298" s="1754"/>
      <c r="O298" s="1754"/>
    </row>
    <row r="299" spans="3:15">
      <c r="C299" s="17"/>
      <c r="N299" s="1754"/>
      <c r="O299" s="1754"/>
    </row>
    <row r="300" spans="3:15">
      <c r="C300" s="17"/>
      <c r="N300" s="1754"/>
      <c r="O300" s="1754"/>
    </row>
    <row r="301" spans="3:15">
      <c r="C301" s="17"/>
      <c r="N301" s="1754"/>
      <c r="O301" s="1754"/>
    </row>
    <row r="302" spans="3:15">
      <c r="C302" s="17"/>
      <c r="N302" s="1754"/>
      <c r="O302" s="1754"/>
    </row>
    <row r="303" spans="3:15">
      <c r="C303" s="17"/>
      <c r="N303" s="1754"/>
      <c r="O303" s="1754"/>
    </row>
    <row r="304" spans="3:15">
      <c r="C304" s="17"/>
      <c r="N304" s="1754"/>
      <c r="O304" s="1754"/>
    </row>
    <row r="305" spans="3:15">
      <c r="C305" s="17"/>
      <c r="N305" s="1754"/>
      <c r="O305" s="1754"/>
    </row>
    <row r="306" spans="3:15">
      <c r="C306" s="17"/>
      <c r="N306" s="1754"/>
      <c r="O306" s="1754"/>
    </row>
    <row r="307" spans="3:15">
      <c r="C307" s="17"/>
      <c r="N307" s="1754"/>
      <c r="O307" s="1754"/>
    </row>
    <row r="308" spans="3:15">
      <c r="C308" s="17"/>
      <c r="N308" s="1754"/>
      <c r="O308" s="1754"/>
    </row>
    <row r="309" spans="3:15">
      <c r="C309" s="17"/>
      <c r="N309" s="1754"/>
      <c r="O309" s="1754"/>
    </row>
    <row r="310" spans="3:15">
      <c r="C310" s="17"/>
      <c r="N310" s="1754"/>
      <c r="O310" s="1754"/>
    </row>
    <row r="311" spans="3:15">
      <c r="C311" s="17"/>
      <c r="N311" s="1754"/>
      <c r="O311" s="1754"/>
    </row>
    <row r="312" spans="3:15">
      <c r="C312" s="17"/>
      <c r="N312" s="1754"/>
      <c r="O312" s="1754"/>
    </row>
    <row r="313" spans="3:15">
      <c r="C313" s="17"/>
      <c r="N313" s="1754"/>
      <c r="O313" s="1754"/>
    </row>
    <row r="314" spans="3:15">
      <c r="C314" s="17"/>
      <c r="N314" s="1754"/>
      <c r="O314" s="1754"/>
    </row>
    <row r="315" spans="3:15">
      <c r="C315" s="17"/>
      <c r="N315" s="1754"/>
      <c r="O315" s="1754"/>
    </row>
    <row r="316" spans="3:15">
      <c r="C316" s="17"/>
      <c r="N316" s="1754"/>
      <c r="O316" s="1754"/>
    </row>
    <row r="317" spans="3:15">
      <c r="C317" s="17"/>
      <c r="N317" s="1754"/>
      <c r="O317" s="1754"/>
    </row>
    <row r="318" spans="3:15">
      <c r="C318" s="17"/>
      <c r="N318" s="1754"/>
      <c r="O318" s="1754"/>
    </row>
    <row r="319" spans="3:15">
      <c r="C319" s="17"/>
      <c r="N319" s="1754"/>
      <c r="O319" s="1754"/>
    </row>
    <row r="320" spans="3:15">
      <c r="C320" s="17"/>
      <c r="N320" s="1754"/>
      <c r="O320" s="1754"/>
    </row>
    <row r="321" spans="3:15">
      <c r="C321" s="17"/>
      <c r="N321" s="1754"/>
      <c r="O321" s="1754"/>
    </row>
    <row r="322" spans="3:15">
      <c r="C322" s="17"/>
      <c r="N322" s="1754"/>
      <c r="O322" s="1754"/>
    </row>
    <row r="323" spans="3:15">
      <c r="C323" s="17"/>
      <c r="N323" s="1754"/>
      <c r="O323" s="1754"/>
    </row>
    <row r="324" spans="3:15">
      <c r="C324" s="17"/>
      <c r="N324" s="1754"/>
      <c r="O324" s="1754"/>
    </row>
    <row r="325" spans="3:15">
      <c r="C325" s="17"/>
      <c r="N325" s="1754"/>
      <c r="O325" s="1754"/>
    </row>
    <row r="326" spans="3:15">
      <c r="C326" s="17"/>
      <c r="N326" s="1754"/>
      <c r="O326" s="1754"/>
    </row>
    <row r="327" spans="3:15">
      <c r="C327" s="17"/>
      <c r="N327" s="1754"/>
      <c r="O327" s="1754"/>
    </row>
    <row r="328" spans="3:15">
      <c r="C328" s="17"/>
      <c r="N328" s="1754"/>
      <c r="O328" s="1754"/>
    </row>
    <row r="329" spans="3:15">
      <c r="C329" s="17"/>
      <c r="N329" s="1754"/>
      <c r="O329" s="1754"/>
    </row>
    <row r="330" spans="3:15">
      <c r="C330" s="17"/>
      <c r="N330" s="1754"/>
      <c r="O330" s="1754"/>
    </row>
    <row r="331" spans="3:15">
      <c r="C331" s="17"/>
      <c r="N331" s="1754"/>
      <c r="O331" s="1754"/>
    </row>
    <row r="332" spans="3:15">
      <c r="C332" s="17"/>
      <c r="N332" s="1754"/>
      <c r="O332" s="1754"/>
    </row>
    <row r="333" spans="3:15">
      <c r="C333" s="17"/>
      <c r="N333" s="1754"/>
      <c r="O333" s="1754"/>
    </row>
    <row r="334" spans="3:15">
      <c r="C334" s="17"/>
      <c r="N334" s="1754"/>
      <c r="O334" s="1754"/>
    </row>
    <row r="335" spans="3:15">
      <c r="C335" s="17"/>
      <c r="N335" s="1754"/>
      <c r="O335" s="1754"/>
    </row>
    <row r="336" spans="3:15">
      <c r="C336" s="17"/>
      <c r="N336" s="1754"/>
      <c r="O336" s="1754"/>
    </row>
    <row r="337" spans="3:15">
      <c r="C337" s="17"/>
      <c r="N337" s="1754"/>
      <c r="O337" s="1754"/>
    </row>
    <row r="338" spans="3:15">
      <c r="C338" s="17"/>
      <c r="N338" s="1754"/>
      <c r="O338" s="1754"/>
    </row>
    <row r="339" spans="3:15">
      <c r="C339" s="17"/>
      <c r="N339" s="1754"/>
      <c r="O339" s="1754"/>
    </row>
    <row r="340" spans="3:15">
      <c r="C340" s="17"/>
      <c r="N340" s="1754"/>
      <c r="O340" s="1754"/>
    </row>
    <row r="341" spans="3:15">
      <c r="C341" s="17"/>
      <c r="N341" s="1754"/>
      <c r="O341" s="1754"/>
    </row>
    <row r="342" spans="3:15">
      <c r="C342" s="17"/>
      <c r="N342" s="1754"/>
      <c r="O342" s="1754"/>
    </row>
    <row r="343" spans="3:15">
      <c r="C343" s="17"/>
      <c r="N343" s="1754"/>
      <c r="O343" s="1754"/>
    </row>
    <row r="344" spans="3:15">
      <c r="C344" s="17"/>
      <c r="N344" s="1754"/>
      <c r="O344" s="1754"/>
    </row>
    <row r="345" spans="3:15">
      <c r="C345" s="17"/>
      <c r="N345" s="1754"/>
      <c r="O345" s="1754"/>
    </row>
    <row r="346" spans="3:15">
      <c r="C346" s="17"/>
      <c r="N346" s="1754"/>
      <c r="O346" s="1754"/>
    </row>
    <row r="347" spans="3:15">
      <c r="C347" s="17"/>
      <c r="N347" s="1754"/>
      <c r="O347" s="1754"/>
    </row>
    <row r="348" spans="3:15">
      <c r="C348" s="17"/>
      <c r="N348" s="1754"/>
      <c r="O348" s="1754"/>
    </row>
    <row r="349" spans="3:15">
      <c r="C349" s="17"/>
      <c r="N349" s="1754"/>
      <c r="O349" s="1754"/>
    </row>
    <row r="350" spans="3:15">
      <c r="C350" s="17"/>
      <c r="N350" s="1754"/>
      <c r="O350" s="1754"/>
    </row>
    <row r="351" spans="3:15">
      <c r="C351" s="17"/>
      <c r="N351" s="1754"/>
      <c r="O351" s="1754"/>
    </row>
    <row r="352" spans="3:15">
      <c r="C352" s="17"/>
      <c r="N352" s="1754"/>
      <c r="O352" s="1754"/>
    </row>
    <row r="353" spans="3:15">
      <c r="C353" s="17"/>
      <c r="N353" s="1754"/>
      <c r="O353" s="1754"/>
    </row>
    <row r="354" spans="3:15">
      <c r="C354" s="17"/>
      <c r="N354" s="1754"/>
      <c r="O354" s="1754"/>
    </row>
    <row r="355" spans="3:15">
      <c r="C355" s="17"/>
      <c r="N355" s="1754"/>
      <c r="O355" s="1754"/>
    </row>
    <row r="356" spans="3:15">
      <c r="C356" s="17"/>
      <c r="N356" s="1754"/>
      <c r="O356" s="1754"/>
    </row>
    <row r="357" spans="3:15">
      <c r="C357" s="17"/>
      <c r="N357" s="1754"/>
      <c r="O357" s="1754"/>
    </row>
    <row r="358" spans="3:15">
      <c r="C358" s="17"/>
      <c r="N358" s="1754"/>
      <c r="O358" s="1754"/>
    </row>
    <row r="359" spans="3:15">
      <c r="C359" s="17"/>
      <c r="N359" s="1754"/>
      <c r="O359" s="1754"/>
    </row>
    <row r="360" spans="3:15">
      <c r="C360" s="17"/>
      <c r="N360" s="1754"/>
      <c r="O360" s="1754"/>
    </row>
    <row r="361" spans="3:15">
      <c r="C361" s="17"/>
      <c r="N361" s="1754"/>
      <c r="O361" s="1754"/>
    </row>
    <row r="362" spans="3:15">
      <c r="C362" s="17"/>
      <c r="N362" s="1754"/>
      <c r="O362" s="1754"/>
    </row>
    <row r="363" spans="3:15">
      <c r="C363" s="17"/>
      <c r="N363" s="1754"/>
      <c r="O363" s="1754"/>
    </row>
    <row r="364" spans="3:15">
      <c r="C364" s="17"/>
    </row>
    <row r="365" spans="3:15">
      <c r="C365" s="17"/>
    </row>
  </sheetData>
  <mergeCells count="13">
    <mergeCell ref="A5:M5"/>
    <mergeCell ref="A6:M6"/>
    <mergeCell ref="B7:C7"/>
    <mergeCell ref="D7:E7"/>
    <mergeCell ref="F7:G7"/>
    <mergeCell ref="H7:I7"/>
    <mergeCell ref="J7:K7"/>
    <mergeCell ref="Q8:S8"/>
    <mergeCell ref="Q34:S34"/>
    <mergeCell ref="R32:S32"/>
    <mergeCell ref="R33:S33"/>
    <mergeCell ref="L7:M7"/>
    <mergeCell ref="Q7:S7"/>
  </mergeCells>
  <dataValidations count="2">
    <dataValidation type="list" allowBlank="1" showInputMessage="1" showErrorMessage="1" promptTitle="Select a Period:" prompt="Select Financial or Calendar years." sqref="R33:S33">
      <formula1>A1:A2</formula1>
    </dataValidation>
    <dataValidation type="list" allowBlank="1" showInputMessage="1" showErrorMessage="1" promptTitle="Select a Commodity:" prompt="Select a Commodity for graphical display." sqref="R32:S32">
      <formula1>$AO$1:$AO$6</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GF1306"/>
  <sheetViews>
    <sheetView showGridLines="0" topLeftCell="C1" zoomScaleNormal="100" workbookViewId="0">
      <pane ySplit="8" topLeftCell="A605" activePane="bottomLeft" state="frozen"/>
      <selection activeCell="C1" sqref="C1"/>
      <selection pane="bottomLeft" activeCell="O615" sqref="O615"/>
    </sheetView>
  </sheetViews>
  <sheetFormatPr defaultRowHeight="23.25"/>
  <cols>
    <col min="1" max="2" width="9.140625" style="333" hidden="1" customWidth="1"/>
    <col min="3" max="3" width="8.7109375" bestFit="1" customWidth="1"/>
    <col min="4" max="4" width="12.42578125" style="630" bestFit="1" customWidth="1"/>
    <col min="5" max="6" width="10.7109375" style="630" bestFit="1" customWidth="1"/>
    <col min="7" max="8" width="14.28515625" style="630" bestFit="1" customWidth="1"/>
    <col min="9" max="9" width="14.7109375" style="630" bestFit="1" customWidth="1"/>
    <col min="10" max="10" width="14.28515625" style="630" bestFit="1" customWidth="1"/>
    <col min="11" max="11" width="13.7109375" style="1675" bestFit="1" customWidth="1"/>
    <col min="12" max="12" width="12.42578125" style="1675" bestFit="1" customWidth="1"/>
    <col min="13" max="13" width="14.42578125" style="1675" bestFit="1" customWidth="1"/>
    <col min="14" max="14" width="12" style="630" bestFit="1" customWidth="1"/>
    <col min="15" max="16" width="12.42578125" style="630" bestFit="1" customWidth="1"/>
    <col min="17" max="17" width="14.140625" style="630" bestFit="1" customWidth="1"/>
    <col min="18" max="18" width="14.85546875" style="630" bestFit="1" customWidth="1"/>
    <col min="19" max="19" width="12.42578125" style="630" bestFit="1" customWidth="1"/>
    <col min="20" max="20" width="12.42578125" style="649" customWidth="1"/>
    <col min="21" max="21" width="12.85546875" style="630" bestFit="1" customWidth="1"/>
    <col min="22" max="22" width="17.5703125" style="630" bestFit="1" customWidth="1"/>
    <col min="23" max="23" width="22.85546875" style="630" customWidth="1"/>
    <col min="24" max="24" width="16.7109375" style="630" bestFit="1" customWidth="1"/>
    <col min="25" max="25" width="20.140625" customWidth="1"/>
    <col min="26" max="26" width="30.7109375" customWidth="1"/>
    <col min="27" max="27" width="20.5703125" style="1915" customWidth="1"/>
    <col min="28" max="28" width="18.140625" style="1915" bestFit="1" customWidth="1"/>
    <col min="29" max="29" width="21.42578125" style="1804" customWidth="1"/>
    <col min="30" max="30" width="11.85546875" style="1804" customWidth="1"/>
    <col min="31" max="32" width="9.140625" style="1804"/>
    <col min="33" max="33" width="15.85546875" style="1804" bestFit="1" customWidth="1"/>
    <col min="34" max="34" width="9.140625" style="1804"/>
    <col min="35" max="35" width="32.28515625" style="1781" bestFit="1" customWidth="1"/>
    <col min="36" max="36" width="8.85546875" style="1826" customWidth="1"/>
    <col min="37" max="37" width="24.42578125" style="1781" bestFit="1" customWidth="1"/>
    <col min="38" max="38" width="12.140625" style="1781" bestFit="1" customWidth="1"/>
    <col min="39" max="39" width="26.7109375" style="1781" bestFit="1" customWidth="1"/>
    <col min="40" max="40" width="13.140625" style="1831" bestFit="1" customWidth="1"/>
    <col min="41" max="41" width="9.140625" style="1781"/>
    <col min="42" max="42" width="46" style="1781" customWidth="1"/>
    <col min="43" max="43" width="12" style="1781" bestFit="1" customWidth="1"/>
    <col min="44" max="44" width="24.42578125" style="1781" bestFit="1" customWidth="1"/>
    <col min="45" max="45" width="5.42578125" style="1781" bestFit="1" customWidth="1"/>
    <col min="46" max="46" width="29.28515625" style="1781" bestFit="1" customWidth="1"/>
    <col min="47" max="47" width="18.5703125" style="1909" bestFit="1" customWidth="1"/>
    <col min="48" max="48" width="10.5703125" style="1781" bestFit="1" customWidth="1"/>
    <col min="49" max="49" width="13.85546875" style="1671" bestFit="1" customWidth="1"/>
    <col min="50" max="50" width="18.140625" style="1671" customWidth="1"/>
    <col min="51" max="120" width="9.140625" style="1804"/>
    <col min="121" max="130" width="9.140625" style="1671"/>
  </cols>
  <sheetData>
    <row r="1" spans="1:188" s="36" customFormat="1">
      <c r="A1" s="333"/>
      <c r="B1" s="333"/>
      <c r="D1" s="630"/>
      <c r="E1" s="630"/>
      <c r="F1" s="630"/>
      <c r="G1" s="630"/>
      <c r="H1" s="630"/>
      <c r="I1" s="630"/>
      <c r="J1" s="630"/>
      <c r="K1" s="1675"/>
      <c r="L1" s="1675"/>
      <c r="M1" s="1675"/>
      <c r="N1" s="630"/>
      <c r="O1" s="630"/>
      <c r="P1" s="630"/>
      <c r="Q1" s="630"/>
      <c r="R1" s="630"/>
      <c r="S1" s="630"/>
      <c r="T1" s="1615"/>
      <c r="U1" s="630"/>
      <c r="V1" s="630"/>
      <c r="W1" s="630"/>
      <c r="X1" s="630"/>
      <c r="AA1" s="1915"/>
      <c r="AB1" s="1915"/>
      <c r="AC1" s="1804"/>
      <c r="AD1" s="1804"/>
      <c r="AE1" s="1804"/>
      <c r="AF1" s="1804"/>
      <c r="AG1" s="1804"/>
      <c r="AH1" s="1804"/>
      <c r="AI1" s="1671"/>
      <c r="AJ1" s="1813"/>
      <c r="AK1" s="1671"/>
      <c r="AL1" s="1671"/>
      <c r="AM1" s="1671"/>
      <c r="AN1" s="1814"/>
      <c r="AO1" s="1671"/>
      <c r="AP1" s="1671"/>
      <c r="AQ1" s="1671"/>
      <c r="AR1" s="1671"/>
      <c r="AS1" s="1671"/>
      <c r="AT1" s="1671"/>
      <c r="AU1" s="1815"/>
      <c r="AV1" s="1671"/>
      <c r="AW1" s="1671"/>
      <c r="AX1" s="1671"/>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671"/>
      <c r="DR1" s="1671"/>
      <c r="DS1" s="1671"/>
      <c r="DT1" s="1671"/>
      <c r="DU1" s="1671"/>
      <c r="DV1" s="1671"/>
      <c r="DW1" s="1671"/>
      <c r="DX1" s="1671"/>
      <c r="DY1" s="1671"/>
      <c r="DZ1" s="1671"/>
    </row>
    <row r="2" spans="1:188" s="36" customFormat="1">
      <c r="A2" s="333"/>
      <c r="B2" s="333"/>
      <c r="D2" s="630"/>
      <c r="E2" s="630"/>
      <c r="F2" s="630"/>
      <c r="G2" s="630"/>
      <c r="H2" s="630"/>
      <c r="I2" s="630"/>
      <c r="J2" s="630"/>
      <c r="K2" s="1675"/>
      <c r="L2" s="1675"/>
      <c r="M2" s="1675"/>
      <c r="N2" s="630"/>
      <c r="O2" s="630"/>
      <c r="P2" s="630"/>
      <c r="Q2" s="630"/>
      <c r="R2" s="630"/>
      <c r="S2" s="630"/>
      <c r="T2" s="191"/>
      <c r="U2" s="630"/>
      <c r="V2" s="630"/>
      <c r="W2" s="630"/>
      <c r="X2" s="630"/>
      <c r="AA2" s="1915"/>
      <c r="AB2" s="1915"/>
      <c r="AC2" s="1804"/>
      <c r="AD2" s="1804"/>
      <c r="AE2" s="1804"/>
      <c r="AF2" s="1804"/>
      <c r="AG2" s="1804"/>
      <c r="AH2" s="1804"/>
      <c r="AI2" s="1671"/>
      <c r="AJ2" s="1813"/>
      <c r="AK2" s="1671"/>
      <c r="AL2" s="1671"/>
      <c r="AM2" s="1671"/>
      <c r="AN2" s="1814"/>
      <c r="AO2" s="1671"/>
      <c r="AP2" s="1671"/>
      <c r="AQ2" s="1671"/>
      <c r="AR2" s="1671"/>
      <c r="AS2" s="1671"/>
      <c r="AT2" s="1671"/>
      <c r="AU2" s="1815"/>
      <c r="AV2" s="1671"/>
      <c r="AW2" s="1671"/>
      <c r="AX2" s="1671"/>
      <c r="AY2" s="1804"/>
      <c r="AZ2" s="1804"/>
      <c r="BA2" s="1804"/>
      <c r="BB2" s="1804"/>
      <c r="BC2" s="1804"/>
      <c r="BD2" s="1804"/>
      <c r="BE2" s="1804"/>
      <c r="BF2" s="1804"/>
      <c r="BG2" s="1804"/>
      <c r="BH2" s="1804"/>
      <c r="BI2" s="1804"/>
      <c r="BJ2" s="1804"/>
      <c r="BK2" s="1804"/>
      <c r="BL2" s="1804"/>
      <c r="BM2" s="1804"/>
      <c r="BN2" s="1804"/>
      <c r="BO2" s="1804"/>
      <c r="BP2" s="1804"/>
      <c r="BQ2" s="1804"/>
      <c r="BR2" s="1804"/>
      <c r="BS2" s="1804"/>
      <c r="BT2" s="1804"/>
      <c r="BU2" s="1804"/>
      <c r="BV2" s="1804"/>
      <c r="BW2" s="1804"/>
      <c r="BX2" s="1804"/>
      <c r="BY2" s="1804"/>
      <c r="BZ2" s="1804"/>
      <c r="CA2" s="1804"/>
      <c r="CB2" s="1804"/>
      <c r="CC2" s="1804"/>
      <c r="CD2" s="1804"/>
      <c r="CE2" s="1804"/>
      <c r="CF2" s="1804"/>
      <c r="CG2" s="1804"/>
      <c r="CH2" s="1804"/>
      <c r="CI2" s="1804"/>
      <c r="CJ2" s="1804"/>
      <c r="CK2" s="1804"/>
      <c r="CL2" s="1804"/>
      <c r="CM2" s="1804"/>
      <c r="CN2" s="1804"/>
      <c r="CO2" s="1804"/>
      <c r="CP2" s="1804"/>
      <c r="CQ2" s="1804"/>
      <c r="CR2" s="1804"/>
      <c r="CS2" s="1804"/>
      <c r="CT2" s="1804"/>
      <c r="CU2" s="1804"/>
      <c r="CV2" s="1804"/>
      <c r="CW2" s="1804"/>
      <c r="CX2" s="1804"/>
      <c r="CY2" s="1804"/>
      <c r="CZ2" s="1804"/>
      <c r="DA2" s="1804"/>
      <c r="DB2" s="1804"/>
      <c r="DC2" s="1804"/>
      <c r="DD2" s="1804"/>
      <c r="DE2" s="1804"/>
      <c r="DF2" s="1804"/>
      <c r="DG2" s="1804"/>
      <c r="DH2" s="1804"/>
      <c r="DI2" s="1804"/>
      <c r="DJ2" s="1804"/>
      <c r="DK2" s="1804"/>
      <c r="DL2" s="1804"/>
      <c r="DM2" s="1804"/>
      <c r="DN2" s="1804"/>
      <c r="DO2" s="1804"/>
      <c r="DP2" s="1804"/>
      <c r="DQ2" s="1671"/>
      <c r="DR2" s="1671"/>
      <c r="DS2" s="1671"/>
      <c r="DT2" s="1671"/>
      <c r="DU2" s="1671"/>
      <c r="DV2" s="1671"/>
      <c r="DW2" s="1671"/>
      <c r="DX2" s="1671"/>
      <c r="DY2" s="1671"/>
      <c r="DZ2" s="1671"/>
    </row>
    <row r="3" spans="1:188">
      <c r="T3" s="191"/>
      <c r="V3" s="1610"/>
      <c r="AI3" s="1671"/>
      <c r="AJ3" s="1813"/>
      <c r="AK3" s="1671"/>
      <c r="AL3" s="1671"/>
      <c r="AM3" s="1671"/>
      <c r="AN3" s="1814"/>
      <c r="AO3" s="1671"/>
      <c r="AP3" s="1671"/>
      <c r="AQ3" s="1671"/>
      <c r="AR3" s="1671"/>
      <c r="AS3" s="1671"/>
      <c r="AT3" s="1671"/>
      <c r="AU3" s="1815"/>
      <c r="AV3" s="1671"/>
    </row>
    <row r="4" spans="1:188">
      <c r="T4" s="191"/>
      <c r="AI4" s="1671"/>
      <c r="AJ4" s="1813"/>
      <c r="AK4" s="1671"/>
      <c r="AL4" s="1671"/>
      <c r="AM4" s="1671"/>
      <c r="AN4" s="1814"/>
      <c r="AO4" s="1671"/>
      <c r="AP4" s="1671"/>
      <c r="AQ4" s="1671"/>
      <c r="AR4" s="1671"/>
      <c r="AS4" s="1671"/>
      <c r="AT4" s="1671"/>
      <c r="AU4" s="1815"/>
      <c r="AV4" s="1671"/>
    </row>
    <row r="5" spans="1:188">
      <c r="C5" s="373"/>
      <c r="D5" s="628" t="s">
        <v>0</v>
      </c>
      <c r="E5" s="628" t="s">
        <v>1</v>
      </c>
      <c r="F5" s="628" t="s">
        <v>1</v>
      </c>
      <c r="G5" s="135" t="s">
        <v>2</v>
      </c>
      <c r="H5" s="135" t="s">
        <v>2</v>
      </c>
      <c r="I5" s="135" t="s">
        <v>2</v>
      </c>
      <c r="J5" s="135" t="s">
        <v>2</v>
      </c>
      <c r="K5" s="1157" t="s">
        <v>3</v>
      </c>
      <c r="L5" s="1157" t="s">
        <v>3</v>
      </c>
      <c r="M5" s="1157" t="s">
        <v>4</v>
      </c>
      <c r="N5" s="133" t="s">
        <v>375</v>
      </c>
      <c r="O5" s="133" t="s">
        <v>374</v>
      </c>
      <c r="P5" s="133" t="s">
        <v>376</v>
      </c>
      <c r="Q5" s="628" t="s">
        <v>5</v>
      </c>
      <c r="R5" s="133" t="s">
        <v>309</v>
      </c>
      <c r="S5" s="133" t="s">
        <v>300</v>
      </c>
      <c r="T5" s="133" t="s">
        <v>792</v>
      </c>
      <c r="U5" s="133" t="s">
        <v>453</v>
      </c>
      <c r="V5" s="133" t="s">
        <v>575</v>
      </c>
      <c r="W5" s="133" t="s">
        <v>536</v>
      </c>
      <c r="X5" s="133" t="s">
        <v>408</v>
      </c>
      <c r="Y5" s="132"/>
      <c r="Z5" s="132"/>
      <c r="AI5" s="1953" t="s">
        <v>523</v>
      </c>
      <c r="AJ5" s="1953"/>
      <c r="AK5" s="1953"/>
      <c r="AL5" s="1953"/>
      <c r="AM5" s="1953"/>
      <c r="AN5" s="1953"/>
      <c r="AO5" s="1671"/>
      <c r="AP5" s="1953" t="s">
        <v>526</v>
      </c>
      <c r="AQ5" s="1953"/>
      <c r="AR5" s="1953"/>
      <c r="AS5" s="1953"/>
      <c r="AT5" s="1953"/>
      <c r="AU5" s="1953"/>
      <c r="AV5" s="1953"/>
    </row>
    <row r="6" spans="1:188">
      <c r="C6" s="1157"/>
      <c r="D6" s="134" t="s">
        <v>683</v>
      </c>
      <c r="E6" s="134" t="s">
        <v>700</v>
      </c>
      <c r="F6" s="134" t="s">
        <v>699</v>
      </c>
      <c r="G6" s="629" t="s">
        <v>682</v>
      </c>
      <c r="H6" s="629" t="s">
        <v>683</v>
      </c>
      <c r="I6" s="1154" t="s">
        <v>682</v>
      </c>
      <c r="J6" s="1154" t="s">
        <v>683</v>
      </c>
      <c r="K6" s="1676" t="s">
        <v>682</v>
      </c>
      <c r="L6" s="1676" t="s">
        <v>683</v>
      </c>
      <c r="M6" s="1157" t="s">
        <v>13</v>
      </c>
      <c r="N6" s="1154" t="s">
        <v>683</v>
      </c>
      <c r="O6" s="1154" t="s">
        <v>683</v>
      </c>
      <c r="P6" s="1154" t="s">
        <v>683</v>
      </c>
      <c r="Q6" s="134" t="s">
        <v>732</v>
      </c>
      <c r="R6" s="1154" t="s">
        <v>683</v>
      </c>
      <c r="S6" s="1154" t="s">
        <v>683</v>
      </c>
      <c r="T6" s="1613" t="s">
        <v>683</v>
      </c>
      <c r="U6" s="1154" t="s">
        <v>683</v>
      </c>
      <c r="V6" s="1154" t="s">
        <v>683</v>
      </c>
      <c r="W6" s="1154" t="s">
        <v>683</v>
      </c>
      <c r="X6" s="133" t="s">
        <v>731</v>
      </c>
      <c r="AI6" s="1816"/>
      <c r="AJ6" s="1813"/>
      <c r="AK6" s="1671"/>
      <c r="AL6" s="1671"/>
      <c r="AM6" s="1671"/>
      <c r="AN6" s="1814"/>
      <c r="AO6" s="1671"/>
      <c r="AP6" s="1816"/>
      <c r="AQ6" s="1671"/>
      <c r="AR6" s="1671"/>
      <c r="AS6" s="1671"/>
      <c r="AT6" s="1671"/>
      <c r="AU6" s="1815"/>
      <c r="AV6" s="1671"/>
    </row>
    <row r="7" spans="1:188" s="4" customFormat="1">
      <c r="A7" s="333"/>
      <c r="B7" s="333"/>
      <c r="C7" s="435"/>
      <c r="D7" s="134"/>
      <c r="E7" s="134"/>
      <c r="F7" s="134"/>
      <c r="G7" s="135" t="s">
        <v>9</v>
      </c>
      <c r="H7" s="135" t="s">
        <v>9</v>
      </c>
      <c r="I7" s="135" t="s">
        <v>10</v>
      </c>
      <c r="J7" s="135" t="s">
        <v>11</v>
      </c>
      <c r="K7" s="1157"/>
      <c r="L7" s="1157"/>
      <c r="M7" s="1157" t="s">
        <v>733</v>
      </c>
      <c r="N7" s="134"/>
      <c r="O7" s="134"/>
      <c r="P7" s="134"/>
      <c r="Q7" s="134"/>
      <c r="R7" s="628"/>
      <c r="S7" s="628"/>
      <c r="T7" s="1611"/>
      <c r="U7" s="628"/>
      <c r="V7" s="628"/>
      <c r="W7" s="628"/>
      <c r="X7" s="631"/>
      <c r="AA7" s="1915"/>
      <c r="AB7" s="1915"/>
      <c r="AC7" s="1804"/>
      <c r="AD7" s="1804"/>
      <c r="AE7" s="1804"/>
      <c r="AF7" s="1804"/>
      <c r="AG7" s="1804"/>
      <c r="AH7" s="1804"/>
      <c r="AI7" s="1671"/>
      <c r="AJ7" s="1813"/>
      <c r="AK7" s="1671"/>
      <c r="AL7" s="1671"/>
      <c r="AM7" s="1816" t="s">
        <v>525</v>
      </c>
      <c r="AN7" s="1814"/>
      <c r="AO7" s="1671"/>
      <c r="AP7" s="1671"/>
      <c r="AQ7" s="1671"/>
      <c r="AR7" s="1671"/>
      <c r="AS7" s="1671"/>
      <c r="AT7" s="1816" t="s">
        <v>525</v>
      </c>
      <c r="AU7" s="1815"/>
      <c r="AV7" s="1671"/>
      <c r="AW7" s="1671"/>
      <c r="AX7" s="1671"/>
      <c r="AY7" s="1804"/>
      <c r="AZ7" s="1804"/>
      <c r="BA7" s="1804"/>
      <c r="BB7" s="1804"/>
      <c r="BC7" s="1804"/>
      <c r="BD7" s="1804"/>
      <c r="BE7" s="1804"/>
      <c r="BF7" s="1804"/>
      <c r="BG7" s="1804"/>
      <c r="BH7" s="1804"/>
      <c r="BI7" s="1804"/>
      <c r="BJ7" s="1804"/>
      <c r="BK7" s="1804"/>
      <c r="BL7" s="1804"/>
      <c r="BM7" s="1804"/>
      <c r="BN7" s="1804"/>
      <c r="BO7" s="1804"/>
      <c r="BP7" s="1804"/>
      <c r="BQ7" s="1804"/>
      <c r="BR7" s="1804"/>
      <c r="BS7" s="1804"/>
      <c r="BT7" s="1804"/>
      <c r="BU7" s="1804"/>
      <c r="BV7" s="1804"/>
      <c r="BW7" s="1804"/>
      <c r="BX7" s="1804"/>
      <c r="BY7" s="1804"/>
      <c r="BZ7" s="1804"/>
      <c r="CA7" s="1804"/>
      <c r="CB7" s="1804"/>
      <c r="CC7" s="1804"/>
      <c r="CD7" s="1804"/>
      <c r="CE7" s="1804"/>
      <c r="CF7" s="1804"/>
      <c r="CG7" s="1804"/>
      <c r="CH7" s="1804"/>
      <c r="CI7" s="1804"/>
      <c r="CJ7" s="1804"/>
      <c r="CK7" s="1804"/>
      <c r="CL7" s="1804"/>
      <c r="CM7" s="1804"/>
      <c r="CN7" s="1804"/>
      <c r="CO7" s="1804"/>
      <c r="CP7" s="1804"/>
      <c r="CQ7" s="1804"/>
      <c r="CR7" s="1804"/>
      <c r="CS7" s="1804"/>
      <c r="CT7" s="1804"/>
      <c r="CU7" s="1804"/>
      <c r="CV7" s="1804"/>
      <c r="CW7" s="1804"/>
      <c r="CX7" s="1804"/>
      <c r="CY7" s="1804"/>
      <c r="CZ7" s="1804"/>
      <c r="DA7" s="1804"/>
      <c r="DB7" s="1804"/>
      <c r="DC7" s="1804"/>
      <c r="DD7" s="1804"/>
      <c r="DE7" s="1804"/>
      <c r="DF7" s="1804"/>
      <c r="DG7" s="1804"/>
      <c r="DH7" s="1804"/>
      <c r="DI7" s="1804"/>
      <c r="DJ7" s="1804"/>
      <c r="DK7" s="1804"/>
      <c r="DL7" s="1804"/>
      <c r="DM7" s="1804"/>
      <c r="DN7" s="1804"/>
      <c r="DO7" s="1804"/>
      <c r="DP7" s="1804"/>
      <c r="DQ7" s="1671"/>
      <c r="DR7" s="1671"/>
      <c r="DS7" s="1671"/>
      <c r="DT7" s="1671"/>
      <c r="DU7" s="1671"/>
      <c r="DV7" s="1671"/>
      <c r="DW7" s="1671"/>
      <c r="DX7" s="1671"/>
      <c r="DY7" s="1671"/>
      <c r="DZ7" s="1671"/>
    </row>
    <row r="8" spans="1:188" s="4" customFormat="1">
      <c r="A8" s="333"/>
      <c r="B8" s="333"/>
      <c r="C8" s="1157" t="s">
        <v>676</v>
      </c>
      <c r="D8" s="134"/>
      <c r="E8" s="134"/>
      <c r="F8" s="134"/>
      <c r="G8" s="135" t="s">
        <v>12</v>
      </c>
      <c r="H8" s="135" t="s">
        <v>12</v>
      </c>
      <c r="I8" s="135" t="s">
        <v>12</v>
      </c>
      <c r="J8" s="135" t="s">
        <v>12</v>
      </c>
      <c r="K8" s="1157"/>
      <c r="L8" s="1157"/>
      <c r="M8" s="1157"/>
      <c r="N8" s="134"/>
      <c r="O8" s="134"/>
      <c r="P8" s="134"/>
      <c r="Q8" s="134"/>
      <c r="R8" s="628"/>
      <c r="S8" s="628"/>
      <c r="T8" s="1611"/>
      <c r="U8" s="628"/>
      <c r="V8" s="628"/>
      <c r="W8" s="628"/>
      <c r="X8" s="631"/>
      <c r="AA8" s="1915"/>
      <c r="AB8" s="1915"/>
      <c r="AC8" s="1804"/>
      <c r="AD8" s="1804"/>
      <c r="AE8" s="1804"/>
      <c r="AF8" s="1804"/>
      <c r="AG8" s="1804"/>
      <c r="AH8" s="1804"/>
      <c r="AI8" s="1816" t="s">
        <v>384</v>
      </c>
      <c r="AJ8" s="1817" t="s">
        <v>41</v>
      </c>
      <c r="AK8" s="1816" t="s">
        <v>37</v>
      </c>
      <c r="AL8" s="1818" t="s">
        <v>38</v>
      </c>
      <c r="AM8" s="1819" t="s">
        <v>524</v>
      </c>
      <c r="AN8" s="1820"/>
      <c r="AO8" s="1816"/>
      <c r="AP8" s="1816" t="s">
        <v>384</v>
      </c>
      <c r="AQ8" s="1816" t="s">
        <v>521</v>
      </c>
      <c r="AR8" s="1816" t="s">
        <v>37</v>
      </c>
      <c r="AS8" s="1816" t="s">
        <v>38</v>
      </c>
      <c r="AT8" s="1819" t="s">
        <v>524</v>
      </c>
      <c r="AU8" s="1821"/>
      <c r="AV8" s="1816" t="s">
        <v>522</v>
      </c>
      <c r="AW8" s="1671"/>
      <c r="AX8" s="1671"/>
      <c r="AY8" s="1804"/>
      <c r="AZ8" s="1804"/>
      <c r="BA8" s="1804"/>
      <c r="BB8" s="1804"/>
      <c r="BC8" s="1804"/>
      <c r="BD8" s="1804"/>
      <c r="BE8" s="1804"/>
      <c r="BF8" s="1804"/>
      <c r="BG8" s="1804"/>
      <c r="BH8" s="1804"/>
      <c r="BI8" s="1804"/>
      <c r="BJ8" s="1804"/>
      <c r="BK8" s="1804"/>
      <c r="BL8" s="1804"/>
      <c r="BM8" s="1804"/>
      <c r="BN8" s="1804"/>
      <c r="BO8" s="1804"/>
      <c r="BP8" s="1804"/>
      <c r="BQ8" s="1804"/>
      <c r="BR8" s="1804"/>
      <c r="BS8" s="1804"/>
      <c r="BT8" s="1804"/>
      <c r="BU8" s="1804"/>
      <c r="BV8" s="1804"/>
      <c r="BW8" s="1804"/>
      <c r="BX8" s="1804"/>
      <c r="BY8" s="1804"/>
      <c r="BZ8" s="1804"/>
      <c r="CA8" s="1804"/>
      <c r="CB8" s="1804"/>
      <c r="CC8" s="1804"/>
      <c r="CD8" s="1804"/>
      <c r="CE8" s="1804"/>
      <c r="CF8" s="1804"/>
      <c r="CG8" s="1804"/>
      <c r="CH8" s="1804"/>
      <c r="CI8" s="1804"/>
      <c r="CJ8" s="1804"/>
      <c r="CK8" s="1804"/>
      <c r="CL8" s="1804"/>
      <c r="CM8" s="1804"/>
      <c r="CN8" s="1804"/>
      <c r="CO8" s="1804"/>
      <c r="CP8" s="1804"/>
      <c r="CQ8" s="1804"/>
      <c r="CR8" s="1804"/>
      <c r="CS8" s="1804"/>
      <c r="CT8" s="1804"/>
      <c r="CU8" s="1804"/>
      <c r="CV8" s="1804"/>
      <c r="CW8" s="1804"/>
      <c r="CX8" s="1804"/>
      <c r="CY8" s="1804"/>
      <c r="CZ8" s="1804"/>
      <c r="DA8" s="1804"/>
      <c r="DB8" s="1804"/>
      <c r="DC8" s="1804"/>
      <c r="DD8" s="1804"/>
      <c r="DE8" s="1804"/>
      <c r="DF8" s="1804"/>
      <c r="DG8" s="1804"/>
      <c r="DH8" s="1804"/>
      <c r="DI8" s="1804"/>
      <c r="DJ8" s="1804"/>
      <c r="DK8" s="1804"/>
      <c r="DL8" s="1804"/>
      <c r="DM8" s="1804"/>
      <c r="DN8" s="1804"/>
      <c r="DO8" s="1804"/>
      <c r="DP8" s="1804"/>
      <c r="DQ8" s="1671"/>
      <c r="DR8" s="1671"/>
      <c r="DS8" s="1671"/>
      <c r="DT8" s="1671"/>
      <c r="DU8" s="1671"/>
      <c r="DV8" s="1671"/>
      <c r="DW8" s="1671"/>
      <c r="DX8" s="1671"/>
      <c r="DY8" s="1671"/>
      <c r="DZ8" s="1671"/>
      <c r="EA8" s="1740"/>
      <c r="EB8" s="1740"/>
      <c r="EC8" s="1740"/>
      <c r="ED8" s="1740"/>
      <c r="EE8" s="1740"/>
      <c r="EF8" s="1740"/>
      <c r="EG8" s="1740"/>
      <c r="EH8" s="1740"/>
      <c r="EI8" s="1740"/>
      <c r="EJ8" s="1740"/>
      <c r="EK8" s="1740"/>
      <c r="EL8" s="1740"/>
      <c r="EM8" s="1740"/>
      <c r="EN8" s="1740"/>
      <c r="EO8" s="1740"/>
      <c r="EP8" s="1740"/>
      <c r="EQ8" s="1740"/>
      <c r="ER8" s="1740"/>
      <c r="ES8" s="1740"/>
      <c r="ET8" s="1740"/>
      <c r="EU8" s="1740"/>
      <c r="EV8" s="1740"/>
      <c r="EW8" s="1740"/>
      <c r="EX8" s="1740"/>
      <c r="EY8" s="1740"/>
      <c r="EZ8" s="1740"/>
      <c r="FA8" s="1740"/>
      <c r="FB8" s="1740"/>
      <c r="FC8" s="1740"/>
      <c r="FD8" s="1740"/>
      <c r="FE8" s="1740"/>
      <c r="FF8" s="1740"/>
      <c r="FG8" s="1740"/>
      <c r="FH8" s="1740"/>
      <c r="FI8" s="1740"/>
      <c r="FJ8" s="1740"/>
      <c r="FK8" s="1740"/>
      <c r="FL8" s="1740"/>
      <c r="FM8" s="1740"/>
      <c r="FN8" s="1740"/>
      <c r="FO8" s="1740"/>
      <c r="FP8" s="1740"/>
      <c r="FQ8" s="1740"/>
      <c r="FR8" s="1740"/>
      <c r="FS8" s="1740"/>
      <c r="FT8" s="1740"/>
      <c r="FU8" s="1740"/>
      <c r="FV8" s="1740"/>
      <c r="FW8" s="1740"/>
      <c r="FX8" s="1740"/>
      <c r="FY8" s="1740"/>
      <c r="FZ8" s="1740"/>
      <c r="GA8" s="1740"/>
      <c r="GB8" s="1740"/>
      <c r="GC8" s="1740"/>
      <c r="GD8" s="1740"/>
      <c r="GE8" s="1740"/>
      <c r="GF8" s="1740"/>
    </row>
    <row r="9" spans="1:188" s="20" customFormat="1">
      <c r="A9" s="333">
        <f t="shared" ref="A9:A72" si="0">YEAR(C9)</f>
        <v>1971</v>
      </c>
      <c r="B9" s="333">
        <f t="shared" ref="B9:B72" si="1">IF(OR(MONTH(C9)=1,MONTH(C9)=2,MONTH(C9)=3),1,IF(OR(MONTH(C9)=4,MONTH(C9)=5,MONTH(C9)=6),2,IF(OR(MONTH(C9)=7,MONTH(C9)=8,MONTH(C9)=9),3,4)))</f>
        <v>1</v>
      </c>
      <c r="C9" s="1174">
        <v>25937</v>
      </c>
      <c r="D9" s="1158"/>
      <c r="E9" s="1159">
        <v>37.880000000000003</v>
      </c>
      <c r="F9" s="1159">
        <v>33.641190120000005</v>
      </c>
      <c r="G9" s="1160"/>
      <c r="H9" s="1161"/>
      <c r="I9" s="1160"/>
      <c r="J9" s="1160"/>
      <c r="K9" s="1677"/>
      <c r="L9" s="1677"/>
      <c r="M9" s="1681"/>
      <c r="N9" s="1162"/>
      <c r="O9" s="1162"/>
      <c r="P9" s="1162"/>
      <c r="Q9" s="1163"/>
      <c r="R9" s="1164"/>
      <c r="S9" s="1164"/>
      <c r="T9" s="1164"/>
      <c r="U9" s="1165"/>
      <c r="V9" s="1166"/>
      <c r="W9" s="1166"/>
      <c r="X9" s="630"/>
      <c r="AA9" s="1915"/>
      <c r="AB9" s="1915"/>
      <c r="AC9" s="1804"/>
      <c r="AD9" s="1804"/>
      <c r="AE9" s="1804"/>
      <c r="AF9" s="1804"/>
      <c r="AG9" s="1804"/>
      <c r="AH9" s="1804"/>
      <c r="AI9" s="1671" t="s">
        <v>0</v>
      </c>
      <c r="AJ9" s="1813">
        <v>2015</v>
      </c>
      <c r="AK9" s="1822" t="s">
        <v>34</v>
      </c>
      <c r="AL9" s="1822">
        <v>1</v>
      </c>
      <c r="AM9" s="1823">
        <v>932036163</v>
      </c>
      <c r="AN9" s="1824">
        <v>0.20100000000000001</v>
      </c>
      <c r="AO9" s="1781"/>
      <c r="AP9" s="1781" t="s">
        <v>0</v>
      </c>
      <c r="AQ9" s="1781" t="s">
        <v>505</v>
      </c>
      <c r="AR9" s="1822" t="s">
        <v>34</v>
      </c>
      <c r="AS9" s="1822">
        <v>1</v>
      </c>
      <c r="AT9" s="1823">
        <v>976703108.16999996</v>
      </c>
      <c r="AU9" s="1825">
        <v>0.2186958337475437</v>
      </c>
      <c r="AV9" s="1781">
        <v>2015</v>
      </c>
      <c r="AW9" s="1781"/>
      <c r="AX9" s="1671"/>
      <c r="AY9" s="1804"/>
      <c r="AZ9" s="1804"/>
      <c r="BA9" s="1804"/>
      <c r="BB9" s="1804"/>
      <c r="BC9" s="1804"/>
      <c r="BD9" s="1804"/>
      <c r="BE9" s="1804"/>
      <c r="BF9" s="1804"/>
      <c r="BG9" s="1804"/>
      <c r="BH9" s="1804"/>
      <c r="BI9" s="1804"/>
      <c r="BJ9" s="1804"/>
      <c r="BK9" s="1804"/>
      <c r="BL9" s="1804"/>
      <c r="BM9" s="1804"/>
      <c r="BN9" s="1804"/>
      <c r="BO9" s="1804"/>
      <c r="BP9" s="1804"/>
      <c r="BQ9" s="1804"/>
      <c r="BR9" s="1804"/>
      <c r="BS9" s="1804"/>
      <c r="BT9" s="1804"/>
      <c r="BU9" s="1804"/>
      <c r="BV9" s="1804"/>
      <c r="BW9" s="1804"/>
      <c r="BX9" s="1804"/>
      <c r="BY9" s="1804"/>
      <c r="BZ9" s="1804"/>
      <c r="CA9" s="1804"/>
      <c r="CB9" s="1804"/>
      <c r="CC9" s="1804"/>
      <c r="CD9" s="1804"/>
      <c r="CE9" s="1804"/>
      <c r="CF9" s="1804"/>
      <c r="CG9" s="1804"/>
      <c r="CH9" s="1804"/>
      <c r="CI9" s="1804"/>
      <c r="CJ9" s="1804"/>
      <c r="CK9" s="1804"/>
      <c r="CL9" s="1804"/>
      <c r="CM9" s="1804"/>
      <c r="CN9" s="1804"/>
      <c r="CO9" s="1804"/>
      <c r="CP9" s="1804"/>
      <c r="CQ9" s="1804"/>
      <c r="CR9" s="1804"/>
      <c r="CS9" s="1804"/>
      <c r="CT9" s="1804"/>
      <c r="CU9" s="1804"/>
      <c r="CV9" s="1804"/>
      <c r="CW9" s="1804"/>
      <c r="CX9" s="1804"/>
      <c r="CY9" s="1804"/>
      <c r="CZ9" s="1804"/>
      <c r="DA9" s="1804"/>
      <c r="DB9" s="1804"/>
      <c r="DC9" s="1804"/>
      <c r="DD9" s="1804"/>
      <c r="DE9" s="1804"/>
      <c r="DF9" s="1804"/>
      <c r="DG9" s="1804"/>
      <c r="DH9" s="1804"/>
      <c r="DI9" s="1804"/>
      <c r="DJ9" s="1804"/>
      <c r="DK9" s="1804"/>
      <c r="DL9" s="1804"/>
      <c r="DM9" s="1804"/>
      <c r="DN9" s="1804"/>
      <c r="DO9" s="1804"/>
      <c r="DP9" s="1804"/>
      <c r="DQ9" s="1671"/>
      <c r="DR9" s="1671"/>
      <c r="DS9" s="1671"/>
      <c r="DT9" s="1671"/>
      <c r="DU9" s="1671"/>
      <c r="DV9" s="1671"/>
      <c r="DW9" s="1671"/>
      <c r="DX9" s="1671"/>
      <c r="DY9" s="1671"/>
      <c r="DZ9" s="1671"/>
      <c r="EA9" s="1740"/>
      <c r="EB9" s="1740"/>
      <c r="EC9" s="1740"/>
      <c r="ED9" s="1740"/>
      <c r="EE9" s="1740"/>
      <c r="EF9" s="1740"/>
      <c r="EG9" s="1740"/>
      <c r="EH9" s="1740"/>
      <c r="EI9" s="1740"/>
      <c r="EJ9" s="1740"/>
      <c r="EK9" s="1740"/>
      <c r="EL9" s="1740"/>
      <c r="EM9" s="1740"/>
      <c r="EN9" s="1740"/>
      <c r="EO9" s="1740"/>
      <c r="EP9" s="1740"/>
      <c r="EQ9" s="1740"/>
      <c r="ER9" s="1740"/>
      <c r="ES9" s="1740"/>
      <c r="ET9" s="1740"/>
      <c r="EU9" s="1740"/>
      <c r="EV9" s="1740"/>
      <c r="EW9" s="1740"/>
      <c r="EX9" s="1740"/>
      <c r="EY9" s="1740"/>
      <c r="EZ9" s="1740"/>
      <c r="FA9" s="1740"/>
      <c r="FB9" s="1740"/>
      <c r="FC9" s="1740"/>
      <c r="FD9" s="1740"/>
      <c r="FE9" s="1740"/>
      <c r="FF9" s="1740"/>
      <c r="FG9" s="1740"/>
      <c r="FH9" s="1740"/>
      <c r="FI9" s="1740"/>
      <c r="FJ9" s="1740"/>
      <c r="FK9" s="1740"/>
      <c r="FL9" s="1740"/>
      <c r="FM9" s="1740"/>
      <c r="FN9" s="1740"/>
      <c r="FO9" s="1740"/>
      <c r="FP9" s="1740"/>
      <c r="FQ9" s="1740"/>
      <c r="FR9" s="1740"/>
      <c r="FS9" s="1740"/>
      <c r="FT9" s="1740"/>
      <c r="FU9" s="1740"/>
      <c r="FV9" s="1740"/>
      <c r="FW9" s="1740"/>
      <c r="FX9" s="1740"/>
      <c r="FY9" s="1740"/>
      <c r="FZ9" s="1740"/>
      <c r="GA9" s="1740"/>
      <c r="GB9" s="1740"/>
      <c r="GC9" s="1740"/>
      <c r="GD9" s="1740"/>
      <c r="GE9" s="1740"/>
      <c r="GF9" s="1740"/>
    </row>
    <row r="10" spans="1:188" s="20" customFormat="1">
      <c r="A10" s="333">
        <f t="shared" si="0"/>
        <v>1971</v>
      </c>
      <c r="B10" s="333">
        <f t="shared" si="1"/>
        <v>1</v>
      </c>
      <c r="C10" s="1174">
        <v>25965</v>
      </c>
      <c r="D10" s="1167"/>
      <c r="E10" s="1168">
        <v>38.74</v>
      </c>
      <c r="F10" s="1168">
        <v>34.404955260000001</v>
      </c>
      <c r="G10" s="1168"/>
      <c r="H10" s="1167"/>
      <c r="I10" s="1168"/>
      <c r="J10" s="1168"/>
      <c r="K10" s="1678"/>
      <c r="L10" s="1678"/>
      <c r="M10" s="1682"/>
      <c r="N10" s="1169"/>
      <c r="O10" s="1169"/>
      <c r="P10" s="1169"/>
      <c r="Q10" s="1167"/>
      <c r="R10" s="1167"/>
      <c r="S10" s="1167"/>
      <c r="T10" s="1167"/>
      <c r="U10" s="1167"/>
      <c r="V10" s="1167"/>
      <c r="W10" s="1167"/>
      <c r="X10" s="630"/>
      <c r="AA10" s="1915"/>
      <c r="AB10" s="1915"/>
      <c r="AC10" s="1804"/>
      <c r="AD10" s="1804"/>
      <c r="AE10" s="1804"/>
      <c r="AF10" s="1804"/>
      <c r="AG10" s="1804"/>
      <c r="AH10" s="1804"/>
      <c r="AI10" s="1781" t="s">
        <v>0</v>
      </c>
      <c r="AJ10" s="1826">
        <v>2015</v>
      </c>
      <c r="AK10" s="1822" t="s">
        <v>18</v>
      </c>
      <c r="AL10" s="1822">
        <v>2</v>
      </c>
      <c r="AM10" s="1823">
        <v>724908116</v>
      </c>
      <c r="AN10" s="1824">
        <v>0.156</v>
      </c>
      <c r="AO10" s="1781"/>
      <c r="AP10" s="1781" t="s">
        <v>0</v>
      </c>
      <c r="AQ10" s="1781" t="s">
        <v>505</v>
      </c>
      <c r="AR10" s="1822" t="s">
        <v>18</v>
      </c>
      <c r="AS10" s="1822">
        <v>2</v>
      </c>
      <c r="AT10" s="1823">
        <v>629651610.97000003</v>
      </c>
      <c r="AU10" s="1825">
        <v>0.14098673678798251</v>
      </c>
      <c r="AV10" s="1781">
        <v>2015</v>
      </c>
      <c r="AW10" s="1671"/>
      <c r="AX10" s="1671"/>
      <c r="AY10" s="1804"/>
      <c r="AZ10" s="1804"/>
      <c r="BA10" s="1804"/>
      <c r="BB10" s="1804"/>
      <c r="BC10" s="1804"/>
      <c r="BD10" s="1804"/>
      <c r="BE10" s="1804"/>
      <c r="BF10" s="1804"/>
      <c r="BG10" s="1804"/>
      <c r="BH10" s="1804"/>
      <c r="BI10" s="1804"/>
      <c r="BJ10" s="1804"/>
      <c r="BK10" s="1804"/>
      <c r="BL10" s="1804"/>
      <c r="BM10" s="1804"/>
      <c r="BN10" s="1804"/>
      <c r="BO10" s="1804"/>
      <c r="BP10" s="1804"/>
      <c r="BQ10" s="1804"/>
      <c r="BR10" s="1804"/>
      <c r="BS10" s="1804"/>
      <c r="BT10" s="1804"/>
      <c r="BU10" s="1804"/>
      <c r="BV10" s="1804"/>
      <c r="BW10" s="1804"/>
      <c r="BX10" s="1804"/>
      <c r="BY10" s="1804"/>
      <c r="BZ10" s="1804"/>
      <c r="CA10" s="1804"/>
      <c r="CB10" s="1804"/>
      <c r="CC10" s="1804"/>
      <c r="CD10" s="1804"/>
      <c r="CE10" s="1804"/>
      <c r="CF10" s="1804"/>
      <c r="CG10" s="1804"/>
      <c r="CH10" s="1804"/>
      <c r="CI10" s="1804"/>
      <c r="CJ10" s="1804"/>
      <c r="CK10" s="1804"/>
      <c r="CL10" s="1804"/>
      <c r="CM10" s="1804"/>
      <c r="CN10" s="1804"/>
      <c r="CO10" s="1804"/>
      <c r="CP10" s="1804"/>
      <c r="CQ10" s="1804"/>
      <c r="CR10" s="1804"/>
      <c r="CS10" s="1804"/>
      <c r="CT10" s="1804"/>
      <c r="CU10" s="1804"/>
      <c r="CV10" s="1804"/>
      <c r="CW10" s="1804"/>
      <c r="CX10" s="1804"/>
      <c r="CY10" s="1804"/>
      <c r="CZ10" s="1804"/>
      <c r="DA10" s="1804"/>
      <c r="DB10" s="1804"/>
      <c r="DC10" s="1804"/>
      <c r="DD10" s="1804"/>
      <c r="DE10" s="1804"/>
      <c r="DF10" s="1804"/>
      <c r="DG10" s="1804"/>
      <c r="DH10" s="1804"/>
      <c r="DI10" s="1804"/>
      <c r="DJ10" s="1804"/>
      <c r="DK10" s="1804"/>
      <c r="DL10" s="1804"/>
      <c r="DM10" s="1804"/>
      <c r="DN10" s="1804"/>
      <c r="DO10" s="1804"/>
      <c r="DP10" s="1804"/>
      <c r="DQ10" s="1671"/>
      <c r="DR10" s="1671"/>
      <c r="DS10" s="1671"/>
      <c r="DT10" s="1671"/>
      <c r="DU10" s="1671"/>
      <c r="DV10" s="1671"/>
      <c r="DW10" s="1671"/>
      <c r="DX10" s="1671"/>
      <c r="DY10" s="1671"/>
      <c r="DZ10" s="1671"/>
      <c r="EA10" s="1740"/>
      <c r="EB10" s="1740"/>
      <c r="EC10" s="1740"/>
      <c r="ED10" s="1740"/>
      <c r="EE10" s="1740"/>
      <c r="EF10" s="1740"/>
      <c r="EG10" s="1740"/>
      <c r="EH10" s="1740"/>
      <c r="EI10" s="1740"/>
      <c r="EJ10" s="1740"/>
      <c r="EK10" s="1740"/>
      <c r="EL10" s="1740"/>
      <c r="EM10" s="1740"/>
      <c r="EN10" s="1740"/>
      <c r="EO10" s="1740"/>
      <c r="EP10" s="1740"/>
      <c r="EQ10" s="1740"/>
      <c r="ER10" s="1740"/>
      <c r="ES10" s="1740"/>
      <c r="ET10" s="1740"/>
      <c r="EU10" s="1740"/>
      <c r="EV10" s="1740"/>
      <c r="EW10" s="1740"/>
      <c r="EX10" s="1740"/>
      <c r="EY10" s="1740"/>
      <c r="EZ10" s="1740"/>
      <c r="FA10" s="1740"/>
      <c r="FB10" s="1740"/>
      <c r="FC10" s="1740"/>
      <c r="FD10" s="1740"/>
      <c r="FE10" s="1740"/>
      <c r="FF10" s="1740"/>
      <c r="FG10" s="1740"/>
      <c r="FH10" s="1740"/>
      <c r="FI10" s="1740"/>
      <c r="FJ10" s="1740"/>
      <c r="FK10" s="1740"/>
      <c r="FL10" s="1740"/>
      <c r="FM10" s="1740"/>
      <c r="FN10" s="1740"/>
      <c r="FO10" s="1740"/>
      <c r="FP10" s="1740"/>
      <c r="FQ10" s="1740"/>
      <c r="FR10" s="1740"/>
      <c r="FS10" s="1740"/>
      <c r="FT10" s="1740"/>
      <c r="FU10" s="1740"/>
      <c r="FV10" s="1740"/>
      <c r="FW10" s="1740"/>
      <c r="FX10" s="1740"/>
      <c r="FY10" s="1740"/>
      <c r="FZ10" s="1740"/>
      <c r="GA10" s="1740"/>
      <c r="GB10" s="1740"/>
      <c r="GC10" s="1740"/>
      <c r="GD10" s="1740"/>
      <c r="GE10" s="1740"/>
      <c r="GF10" s="1740"/>
    </row>
    <row r="11" spans="1:188" s="20" customFormat="1">
      <c r="A11" s="333">
        <f t="shared" si="0"/>
        <v>1971</v>
      </c>
      <c r="B11" s="333">
        <f t="shared" si="1"/>
        <v>1</v>
      </c>
      <c r="C11" s="1174">
        <v>25993</v>
      </c>
      <c r="D11" s="1158"/>
      <c r="E11" s="1159">
        <v>38.869999999999997</v>
      </c>
      <c r="F11" s="1159">
        <v>34.52040813</v>
      </c>
      <c r="G11" s="1160"/>
      <c r="H11" s="1161"/>
      <c r="I11" s="1160"/>
      <c r="J11" s="1160"/>
      <c r="K11" s="1677"/>
      <c r="L11" s="1677"/>
      <c r="M11" s="1681"/>
      <c r="N11" s="1162"/>
      <c r="O11" s="1162"/>
      <c r="P11" s="1162"/>
      <c r="Q11" s="1163"/>
      <c r="R11" s="1164"/>
      <c r="S11" s="1164"/>
      <c r="T11" s="1164"/>
      <c r="U11" s="1165"/>
      <c r="V11" s="1166"/>
      <c r="W11" s="1166"/>
      <c r="X11" s="630"/>
      <c r="AA11" s="1915"/>
      <c r="AB11" s="1915"/>
      <c r="AC11" s="1804"/>
      <c r="AD11" s="1804"/>
      <c r="AE11" s="1804"/>
      <c r="AF11" s="1804"/>
      <c r="AG11" s="1804"/>
      <c r="AH11" s="1804"/>
      <c r="AI11" s="1781" t="s">
        <v>0</v>
      </c>
      <c r="AJ11" s="1826">
        <v>2015</v>
      </c>
      <c r="AK11" s="1822" t="s">
        <v>17</v>
      </c>
      <c r="AL11" s="1822">
        <v>3</v>
      </c>
      <c r="AM11" s="1823">
        <v>536975610</v>
      </c>
      <c r="AN11" s="1824">
        <v>0.11600000000000001</v>
      </c>
      <c r="AO11" s="1781"/>
      <c r="AP11" s="1781" t="s">
        <v>0</v>
      </c>
      <c r="AQ11" s="1781" t="s">
        <v>505</v>
      </c>
      <c r="AR11" s="1822" t="s">
        <v>17</v>
      </c>
      <c r="AS11" s="1822">
        <v>3</v>
      </c>
      <c r="AT11" s="1823">
        <v>483221527.47000003</v>
      </c>
      <c r="AU11" s="1825">
        <v>0.10819924084486418</v>
      </c>
      <c r="AV11" s="1781">
        <v>2015</v>
      </c>
      <c r="AW11" s="1671"/>
      <c r="AX11" s="1925">
        <f>'Alumina - Prices'!A10</f>
        <v>42614</v>
      </c>
      <c r="AY11" s="1804"/>
      <c r="AZ11" s="1804"/>
      <c r="BA11" s="1804"/>
      <c r="BB11" s="1804"/>
      <c r="BC11" s="1804"/>
      <c r="BD11" s="1804"/>
      <c r="BE11" s="1804"/>
      <c r="BF11" s="1804"/>
      <c r="BG11" s="1804"/>
      <c r="BH11" s="1804"/>
      <c r="BI11" s="1804"/>
      <c r="BJ11" s="1804"/>
      <c r="BK11" s="1804"/>
      <c r="BL11" s="1804"/>
      <c r="BM11" s="1804"/>
      <c r="BN11" s="1804"/>
      <c r="BO11" s="1804"/>
      <c r="BP11" s="1804"/>
      <c r="BQ11" s="1804"/>
      <c r="BR11" s="1804"/>
      <c r="BS11" s="1804"/>
      <c r="BT11" s="1804"/>
      <c r="BU11" s="1804"/>
      <c r="BV11" s="1804"/>
      <c r="BW11" s="1804"/>
      <c r="BX11" s="1804"/>
      <c r="BY11" s="1804"/>
      <c r="BZ11" s="1804"/>
      <c r="CA11" s="1804"/>
      <c r="CB11" s="1804"/>
      <c r="CC11" s="1804"/>
      <c r="CD11" s="1804"/>
      <c r="CE11" s="1804"/>
      <c r="CF11" s="1804"/>
      <c r="CG11" s="1804"/>
      <c r="CH11" s="1804"/>
      <c r="CI11" s="1804"/>
      <c r="CJ11" s="1804"/>
      <c r="CK11" s="1804"/>
      <c r="CL11" s="1804"/>
      <c r="CM11" s="1804"/>
      <c r="CN11" s="1804"/>
      <c r="CO11" s="1804"/>
      <c r="CP11" s="1804"/>
      <c r="CQ11" s="1804"/>
      <c r="CR11" s="1804"/>
      <c r="CS11" s="1804"/>
      <c r="CT11" s="1804"/>
      <c r="CU11" s="1804"/>
      <c r="CV11" s="1804"/>
      <c r="CW11" s="1804"/>
      <c r="CX11" s="1804"/>
      <c r="CY11" s="1804"/>
      <c r="CZ11" s="1804"/>
      <c r="DA11" s="1804"/>
      <c r="DB11" s="1804"/>
      <c r="DC11" s="1804"/>
      <c r="DD11" s="1804"/>
      <c r="DE11" s="1804"/>
      <c r="DF11" s="1804"/>
      <c r="DG11" s="1804"/>
      <c r="DH11" s="1804"/>
      <c r="DI11" s="1804"/>
      <c r="DJ11" s="1804"/>
      <c r="DK11" s="1804"/>
      <c r="DL11" s="1804"/>
      <c r="DM11" s="1804"/>
      <c r="DN11" s="1804"/>
      <c r="DO11" s="1804"/>
      <c r="DP11" s="1804"/>
      <c r="DQ11" s="1671"/>
      <c r="DR11" s="1671"/>
      <c r="DS11" s="1671"/>
      <c r="DT11" s="1671"/>
      <c r="DU11" s="1671"/>
      <c r="DV11" s="1671"/>
      <c r="DW11" s="1671"/>
      <c r="DX11" s="1671"/>
      <c r="DY11" s="1671"/>
      <c r="DZ11" s="1671"/>
      <c r="EA11" s="1740"/>
      <c r="EB11" s="1740"/>
      <c r="EC11" s="1740"/>
      <c r="ED11" s="1740"/>
      <c r="EE11" s="1740"/>
      <c r="EF11" s="1740"/>
      <c r="EG11" s="1740"/>
      <c r="EH11" s="1740"/>
      <c r="EI11" s="1740"/>
      <c r="EJ11" s="1740"/>
      <c r="EK11" s="1740"/>
      <c r="EL11" s="1740"/>
      <c r="EM11" s="1740"/>
      <c r="EN11" s="1740"/>
      <c r="EO11" s="1740"/>
      <c r="EP11" s="1740"/>
      <c r="EQ11" s="1740"/>
      <c r="ER11" s="1740"/>
      <c r="ES11" s="1740"/>
      <c r="ET11" s="1740"/>
      <c r="EU11" s="1740"/>
      <c r="EV11" s="1740"/>
      <c r="EW11" s="1740"/>
      <c r="EX11" s="1740"/>
      <c r="EY11" s="1740"/>
      <c r="EZ11" s="1740"/>
      <c r="FA11" s="1740"/>
      <c r="FB11" s="1740"/>
      <c r="FC11" s="1740"/>
      <c r="FD11" s="1740"/>
      <c r="FE11" s="1740"/>
      <c r="FF11" s="1740"/>
      <c r="FG11" s="1740"/>
      <c r="FH11" s="1740"/>
      <c r="FI11" s="1740"/>
      <c r="FJ11" s="1740"/>
      <c r="FK11" s="1740"/>
      <c r="FL11" s="1740"/>
      <c r="FM11" s="1740"/>
      <c r="FN11" s="1740"/>
      <c r="FO11" s="1740"/>
      <c r="FP11" s="1740"/>
      <c r="FQ11" s="1740"/>
      <c r="FR11" s="1740"/>
      <c r="FS11" s="1740"/>
      <c r="FT11" s="1740"/>
      <c r="FU11" s="1740"/>
      <c r="FV11" s="1740"/>
      <c r="FW11" s="1740"/>
      <c r="FX11" s="1740"/>
      <c r="FY11" s="1740"/>
      <c r="FZ11" s="1740"/>
      <c r="GA11" s="1740"/>
      <c r="GB11" s="1740"/>
      <c r="GC11" s="1740"/>
      <c r="GD11" s="1740"/>
      <c r="GE11" s="1740"/>
      <c r="GF11" s="1740"/>
    </row>
    <row r="12" spans="1:188" s="20" customFormat="1">
      <c r="A12" s="333">
        <f t="shared" si="0"/>
        <v>1971</v>
      </c>
      <c r="B12" s="333">
        <f t="shared" si="1"/>
        <v>2</v>
      </c>
      <c r="C12" s="1174">
        <v>26024</v>
      </c>
      <c r="D12" s="1167"/>
      <c r="E12" s="1168">
        <v>39.01</v>
      </c>
      <c r="F12" s="1168">
        <v>34.64474199</v>
      </c>
      <c r="G12" s="1168"/>
      <c r="H12" s="1167"/>
      <c r="I12" s="1168"/>
      <c r="J12" s="1168"/>
      <c r="K12" s="1678"/>
      <c r="L12" s="1678"/>
      <c r="M12" s="1682"/>
      <c r="N12" s="1169"/>
      <c r="O12" s="1169"/>
      <c r="P12" s="1169"/>
      <c r="Q12" s="1167"/>
      <c r="R12" s="1167"/>
      <c r="S12" s="1167"/>
      <c r="T12" s="1167"/>
      <c r="U12" s="1167"/>
      <c r="V12" s="1167"/>
      <c r="W12" s="1167"/>
      <c r="X12" s="630"/>
      <c r="AA12" s="1915"/>
      <c r="AB12" s="1915"/>
      <c r="AC12" s="1804"/>
      <c r="AD12" s="1804"/>
      <c r="AE12" s="1804"/>
      <c r="AF12" s="1804"/>
      <c r="AG12" s="1804"/>
      <c r="AH12" s="1804"/>
      <c r="AI12" s="1781" t="s">
        <v>0</v>
      </c>
      <c r="AJ12" s="1826">
        <v>2015</v>
      </c>
      <c r="AK12" s="1822" t="s">
        <v>32</v>
      </c>
      <c r="AL12" s="1822">
        <v>4</v>
      </c>
      <c r="AM12" s="1823">
        <v>489031425</v>
      </c>
      <c r="AN12" s="1824">
        <v>0.106</v>
      </c>
      <c r="AO12" s="1781"/>
      <c r="AP12" s="1781" t="s">
        <v>0</v>
      </c>
      <c r="AQ12" s="1781" t="s">
        <v>505</v>
      </c>
      <c r="AR12" s="1822" t="s">
        <v>32</v>
      </c>
      <c r="AS12" s="1822">
        <v>4</v>
      </c>
      <c r="AT12" s="1823">
        <v>442160427.08999991</v>
      </c>
      <c r="AU12" s="1825">
        <v>9.9005155654513052E-2</v>
      </c>
      <c r="AV12" s="1781">
        <v>2015</v>
      </c>
      <c r="AW12" s="1671"/>
      <c r="AX12" s="1671"/>
      <c r="AY12" s="1804"/>
      <c r="AZ12" s="1804"/>
      <c r="BA12" s="1804"/>
      <c r="BB12" s="1804"/>
      <c r="BC12" s="1804"/>
      <c r="BD12" s="1804"/>
      <c r="BE12" s="1804"/>
      <c r="BF12" s="1804"/>
      <c r="BG12" s="1804"/>
      <c r="BH12" s="1804"/>
      <c r="BI12" s="1804"/>
      <c r="BJ12" s="1804"/>
      <c r="BK12" s="1804"/>
      <c r="BL12" s="1804"/>
      <c r="BM12" s="1804"/>
      <c r="BN12" s="1804"/>
      <c r="BO12" s="1804"/>
      <c r="BP12" s="1804"/>
      <c r="BQ12" s="1804"/>
      <c r="BR12" s="1804"/>
      <c r="BS12" s="1804"/>
      <c r="BT12" s="1804"/>
      <c r="BU12" s="1804"/>
      <c r="BV12" s="1804"/>
      <c r="BW12" s="1804"/>
      <c r="BX12" s="1804"/>
      <c r="BY12" s="1804"/>
      <c r="BZ12" s="1804"/>
      <c r="CA12" s="1804"/>
      <c r="CB12" s="1804"/>
      <c r="CC12" s="1804"/>
      <c r="CD12" s="1804"/>
      <c r="CE12" s="1804"/>
      <c r="CF12" s="1804"/>
      <c r="CG12" s="1804"/>
      <c r="CH12" s="1804"/>
      <c r="CI12" s="1804"/>
      <c r="CJ12" s="1804"/>
      <c r="CK12" s="1804"/>
      <c r="CL12" s="1804"/>
      <c r="CM12" s="1804"/>
      <c r="CN12" s="1804"/>
      <c r="CO12" s="1804"/>
      <c r="CP12" s="1804"/>
      <c r="CQ12" s="1804"/>
      <c r="CR12" s="1804"/>
      <c r="CS12" s="1804"/>
      <c r="CT12" s="1804"/>
      <c r="CU12" s="1804"/>
      <c r="CV12" s="1804"/>
      <c r="CW12" s="1804"/>
      <c r="CX12" s="1804"/>
      <c r="CY12" s="1804"/>
      <c r="CZ12" s="1804"/>
      <c r="DA12" s="1804"/>
      <c r="DB12" s="1804"/>
      <c r="DC12" s="1804"/>
      <c r="DD12" s="1804"/>
      <c r="DE12" s="1804"/>
      <c r="DF12" s="1804"/>
      <c r="DG12" s="1804"/>
      <c r="DH12" s="1804"/>
      <c r="DI12" s="1804"/>
      <c r="DJ12" s="1804"/>
      <c r="DK12" s="1804"/>
      <c r="DL12" s="1804"/>
      <c r="DM12" s="1804"/>
      <c r="DN12" s="1804"/>
      <c r="DO12" s="1804"/>
      <c r="DP12" s="1804"/>
      <c r="DQ12" s="1671"/>
      <c r="DR12" s="1671"/>
      <c r="DS12" s="1671"/>
      <c r="DT12" s="1671"/>
      <c r="DU12" s="1671"/>
      <c r="DV12" s="1671"/>
      <c r="DW12" s="1671"/>
      <c r="DX12" s="1671"/>
      <c r="DY12" s="1671"/>
      <c r="DZ12" s="1671"/>
      <c r="EA12" s="1740"/>
      <c r="EB12" s="1740"/>
      <c r="EC12" s="1740"/>
      <c r="ED12" s="1740"/>
      <c r="EE12" s="1740"/>
      <c r="EF12" s="1740"/>
      <c r="EG12" s="1740"/>
      <c r="EH12" s="1740"/>
      <c r="EI12" s="1740"/>
      <c r="EJ12" s="1740"/>
      <c r="EK12" s="1740"/>
      <c r="EL12" s="1740"/>
      <c r="EM12" s="1740"/>
      <c r="EN12" s="1740"/>
      <c r="EO12" s="1740"/>
      <c r="EP12" s="1740"/>
      <c r="EQ12" s="1740"/>
      <c r="ER12" s="1740"/>
      <c r="ES12" s="1740"/>
      <c r="ET12" s="1740"/>
      <c r="EU12" s="1740"/>
      <c r="EV12" s="1740"/>
      <c r="EW12" s="1740"/>
      <c r="EX12" s="1740"/>
      <c r="EY12" s="1740"/>
      <c r="EZ12" s="1740"/>
      <c r="FA12" s="1740"/>
      <c r="FB12" s="1740"/>
      <c r="FC12" s="1740"/>
      <c r="FD12" s="1740"/>
      <c r="FE12" s="1740"/>
      <c r="FF12" s="1740"/>
      <c r="FG12" s="1740"/>
      <c r="FH12" s="1740"/>
      <c r="FI12" s="1740"/>
      <c r="FJ12" s="1740"/>
      <c r="FK12" s="1740"/>
      <c r="FL12" s="1740"/>
      <c r="FM12" s="1740"/>
      <c r="FN12" s="1740"/>
      <c r="FO12" s="1740"/>
      <c r="FP12" s="1740"/>
      <c r="FQ12" s="1740"/>
      <c r="FR12" s="1740"/>
      <c r="FS12" s="1740"/>
      <c r="FT12" s="1740"/>
      <c r="FU12" s="1740"/>
      <c r="FV12" s="1740"/>
      <c r="FW12" s="1740"/>
      <c r="FX12" s="1740"/>
      <c r="FY12" s="1740"/>
      <c r="FZ12" s="1740"/>
      <c r="GA12" s="1740"/>
      <c r="GB12" s="1740"/>
      <c r="GC12" s="1740"/>
      <c r="GD12" s="1740"/>
      <c r="GE12" s="1740"/>
      <c r="GF12" s="1740"/>
    </row>
    <row r="13" spans="1:188" s="20" customFormat="1">
      <c r="A13" s="333">
        <f t="shared" si="0"/>
        <v>1971</v>
      </c>
      <c r="B13" s="333">
        <f t="shared" si="1"/>
        <v>2</v>
      </c>
      <c r="C13" s="1174">
        <v>26056</v>
      </c>
      <c r="D13" s="1158"/>
      <c r="E13" s="1159">
        <v>40.520000000000003</v>
      </c>
      <c r="F13" s="1159">
        <v>35.985771480000004</v>
      </c>
      <c r="G13" s="1160"/>
      <c r="H13" s="1161"/>
      <c r="I13" s="1160"/>
      <c r="J13" s="1160"/>
      <c r="K13" s="1677"/>
      <c r="L13" s="1677"/>
      <c r="M13" s="1681"/>
      <c r="N13" s="1162"/>
      <c r="O13" s="1162"/>
      <c r="P13" s="1162"/>
      <c r="Q13" s="1163"/>
      <c r="R13" s="1164"/>
      <c r="S13" s="1164"/>
      <c r="T13" s="1164"/>
      <c r="U13" s="1165"/>
      <c r="V13" s="1166"/>
      <c r="W13" s="1166"/>
      <c r="X13" s="630"/>
      <c r="AA13" s="1915"/>
      <c r="AB13" s="1915"/>
      <c r="AC13" s="1804"/>
      <c r="AD13" s="1804"/>
      <c r="AE13" s="1804"/>
      <c r="AF13" s="1804"/>
      <c r="AG13" s="1804"/>
      <c r="AH13" s="1804"/>
      <c r="AI13" s="1781" t="s">
        <v>0</v>
      </c>
      <c r="AJ13" s="1826">
        <v>2015</v>
      </c>
      <c r="AK13" s="1822" t="s">
        <v>26</v>
      </c>
      <c r="AL13" s="1822">
        <v>5</v>
      </c>
      <c r="AM13" s="1823">
        <v>388934786</v>
      </c>
      <c r="AN13" s="1824">
        <v>8.4000000000000005E-2</v>
      </c>
      <c r="AO13" s="1781"/>
      <c r="AP13" s="1781" t="s">
        <v>0</v>
      </c>
      <c r="AQ13" s="1781" t="s">
        <v>505</v>
      </c>
      <c r="AR13" s="1822" t="s">
        <v>26</v>
      </c>
      <c r="AS13" s="1822">
        <v>5</v>
      </c>
      <c r="AT13" s="1823">
        <v>380193998.39999998</v>
      </c>
      <c r="AU13" s="1825">
        <v>8.513011044030401E-2</v>
      </c>
      <c r="AV13" s="1781">
        <v>2015</v>
      </c>
      <c r="AW13" s="1671"/>
      <c r="AX13" s="1671"/>
      <c r="AY13" s="1804"/>
      <c r="AZ13" s="1804"/>
      <c r="BA13" s="1804"/>
      <c r="BB13" s="1804"/>
      <c r="BC13" s="1804"/>
      <c r="BD13" s="1804"/>
      <c r="BE13" s="1804"/>
      <c r="BF13" s="1804"/>
      <c r="BG13" s="1804"/>
      <c r="BH13" s="1804"/>
      <c r="BI13" s="1804"/>
      <c r="BJ13" s="1804"/>
      <c r="BK13" s="1804"/>
      <c r="BL13" s="1804"/>
      <c r="BM13" s="1804"/>
      <c r="BN13" s="1804"/>
      <c r="BO13" s="1804"/>
      <c r="BP13" s="1804"/>
      <c r="BQ13" s="1804"/>
      <c r="BR13" s="1804"/>
      <c r="BS13" s="1804"/>
      <c r="BT13" s="1804"/>
      <c r="BU13" s="1804"/>
      <c r="BV13" s="1804"/>
      <c r="BW13" s="1804"/>
      <c r="BX13" s="1804"/>
      <c r="BY13" s="1804"/>
      <c r="BZ13" s="1804"/>
      <c r="CA13" s="1804"/>
      <c r="CB13" s="1804"/>
      <c r="CC13" s="1804"/>
      <c r="CD13" s="1804"/>
      <c r="CE13" s="1804"/>
      <c r="CF13" s="1804"/>
      <c r="CG13" s="1804"/>
      <c r="CH13" s="1804"/>
      <c r="CI13" s="1804"/>
      <c r="CJ13" s="1804"/>
      <c r="CK13" s="1804"/>
      <c r="CL13" s="1804"/>
      <c r="CM13" s="1804"/>
      <c r="CN13" s="1804"/>
      <c r="CO13" s="1804"/>
      <c r="CP13" s="1804"/>
      <c r="CQ13" s="1804"/>
      <c r="CR13" s="1804"/>
      <c r="CS13" s="1804"/>
      <c r="CT13" s="1804"/>
      <c r="CU13" s="1804"/>
      <c r="CV13" s="1804"/>
      <c r="CW13" s="1804"/>
      <c r="CX13" s="1804"/>
      <c r="CY13" s="1804"/>
      <c r="CZ13" s="1804"/>
      <c r="DA13" s="1804"/>
      <c r="DB13" s="1804"/>
      <c r="DC13" s="1804"/>
      <c r="DD13" s="1804"/>
      <c r="DE13" s="1804"/>
      <c r="DF13" s="1804"/>
      <c r="DG13" s="1804"/>
      <c r="DH13" s="1804"/>
      <c r="DI13" s="1804"/>
      <c r="DJ13" s="1804"/>
      <c r="DK13" s="1804"/>
      <c r="DL13" s="1804"/>
      <c r="DM13" s="1804"/>
      <c r="DN13" s="1804"/>
      <c r="DO13" s="1804"/>
      <c r="DP13" s="1804"/>
      <c r="DQ13" s="1671"/>
      <c r="DR13" s="1671"/>
      <c r="DS13" s="1671"/>
      <c r="DT13" s="1671"/>
      <c r="DU13" s="1671"/>
      <c r="DV13" s="1671"/>
      <c r="DW13" s="1671"/>
      <c r="DX13" s="1671"/>
      <c r="DY13" s="1671"/>
      <c r="DZ13" s="1671"/>
      <c r="EA13" s="1740"/>
      <c r="EB13" s="1740"/>
      <c r="EC13" s="1740"/>
      <c r="ED13" s="1740"/>
      <c r="EE13" s="1740"/>
      <c r="EF13" s="1740"/>
      <c r="EG13" s="1740"/>
      <c r="EH13" s="1740"/>
      <c r="EI13" s="1740"/>
      <c r="EJ13" s="1740"/>
      <c r="EK13" s="1740"/>
      <c r="EL13" s="1740"/>
      <c r="EM13" s="1740"/>
      <c r="EN13" s="1740"/>
      <c r="EO13" s="1740"/>
      <c r="EP13" s="1740"/>
      <c r="EQ13" s="1740"/>
      <c r="ER13" s="1740"/>
      <c r="ES13" s="1740"/>
      <c r="ET13" s="1740"/>
      <c r="EU13" s="1740"/>
      <c r="EV13" s="1740"/>
      <c r="EW13" s="1740"/>
      <c r="EX13" s="1740"/>
      <c r="EY13" s="1740"/>
      <c r="EZ13" s="1740"/>
      <c r="FA13" s="1740"/>
      <c r="FB13" s="1740"/>
      <c r="FC13" s="1740"/>
      <c r="FD13" s="1740"/>
      <c r="FE13" s="1740"/>
      <c r="FF13" s="1740"/>
      <c r="FG13" s="1740"/>
      <c r="FH13" s="1740"/>
      <c r="FI13" s="1740"/>
      <c r="FJ13" s="1740"/>
      <c r="FK13" s="1740"/>
      <c r="FL13" s="1740"/>
      <c r="FM13" s="1740"/>
      <c r="FN13" s="1740"/>
      <c r="FO13" s="1740"/>
      <c r="FP13" s="1740"/>
      <c r="FQ13" s="1740"/>
      <c r="FR13" s="1740"/>
      <c r="FS13" s="1740"/>
      <c r="FT13" s="1740"/>
      <c r="FU13" s="1740"/>
      <c r="FV13" s="1740"/>
      <c r="FW13" s="1740"/>
      <c r="FX13" s="1740"/>
      <c r="FY13" s="1740"/>
      <c r="FZ13" s="1740"/>
      <c r="GA13" s="1740"/>
      <c r="GB13" s="1740"/>
      <c r="GC13" s="1740"/>
      <c r="GD13" s="1740"/>
      <c r="GE13" s="1740"/>
      <c r="GF13" s="1740"/>
    </row>
    <row r="14" spans="1:188" s="20" customFormat="1">
      <c r="A14" s="333">
        <f t="shared" si="0"/>
        <v>1971</v>
      </c>
      <c r="B14" s="333">
        <f t="shared" si="1"/>
        <v>2</v>
      </c>
      <c r="C14" s="1174">
        <v>26085</v>
      </c>
      <c r="D14" s="1167"/>
      <c r="E14" s="1168">
        <v>40.1</v>
      </c>
      <c r="F14" s="1168">
        <v>35.581171099999999</v>
      </c>
      <c r="G14" s="1168"/>
      <c r="H14" s="1167"/>
      <c r="I14" s="1168"/>
      <c r="J14" s="1168"/>
      <c r="K14" s="1678"/>
      <c r="L14" s="1678"/>
      <c r="M14" s="1682"/>
      <c r="N14" s="1169"/>
      <c r="O14" s="1169"/>
      <c r="P14" s="1169"/>
      <c r="Q14" s="1167"/>
      <c r="R14" s="1167"/>
      <c r="S14" s="1167"/>
      <c r="T14" s="1167"/>
      <c r="U14" s="1167"/>
      <c r="V14" s="1167"/>
      <c r="W14" s="1167"/>
      <c r="X14" s="630"/>
      <c r="AA14" s="1915"/>
      <c r="AB14" s="1915"/>
      <c r="AC14" s="1804"/>
      <c r="AD14" s="1804"/>
      <c r="AE14" s="1804"/>
      <c r="AF14" s="1804"/>
      <c r="AG14" s="1804"/>
      <c r="AH14" s="1804"/>
      <c r="AI14" s="1781" t="s">
        <v>0</v>
      </c>
      <c r="AJ14" s="1826">
        <v>2015</v>
      </c>
      <c r="AK14" s="1822" t="s">
        <v>25</v>
      </c>
      <c r="AL14" s="1822">
        <v>6</v>
      </c>
      <c r="AM14" s="1823">
        <v>238444141</v>
      </c>
      <c r="AN14" s="1824">
        <v>5.0999999999999997E-2</v>
      </c>
      <c r="AO14" s="1781"/>
      <c r="AP14" s="1781" t="s">
        <v>0</v>
      </c>
      <c r="AQ14" s="1781" t="s">
        <v>505</v>
      </c>
      <c r="AR14" s="1822" t="s">
        <v>25</v>
      </c>
      <c r="AS14" s="1822">
        <v>6</v>
      </c>
      <c r="AT14" s="1823">
        <v>277963487.05000001</v>
      </c>
      <c r="AU14" s="1825">
        <v>6.2239442101983788E-2</v>
      </c>
      <c r="AV14" s="1781">
        <v>2015</v>
      </c>
      <c r="AW14" s="1671"/>
      <c r="AX14" s="1925">
        <f>'Alumina - Prices'!A13</f>
        <v>42705</v>
      </c>
      <c r="AY14" s="1804"/>
      <c r="AZ14" s="1804"/>
      <c r="BA14" s="1804"/>
      <c r="BB14" s="1804"/>
      <c r="BC14" s="1804"/>
      <c r="BD14" s="1804"/>
      <c r="BE14" s="1804"/>
      <c r="BF14" s="1804"/>
      <c r="BG14" s="1804"/>
      <c r="BH14" s="1804"/>
      <c r="BI14" s="1804"/>
      <c r="BJ14" s="1804"/>
      <c r="BK14" s="1804"/>
      <c r="BL14" s="1804"/>
      <c r="BM14" s="1804"/>
      <c r="BN14" s="1804"/>
      <c r="BO14" s="1804"/>
      <c r="BP14" s="1804"/>
      <c r="BQ14" s="1804"/>
      <c r="BR14" s="1804"/>
      <c r="BS14" s="1804"/>
      <c r="BT14" s="1804"/>
      <c r="BU14" s="1804"/>
      <c r="BV14" s="1804"/>
      <c r="BW14" s="1804"/>
      <c r="BX14" s="1804"/>
      <c r="BY14" s="1804"/>
      <c r="BZ14" s="1804"/>
      <c r="CA14" s="1804"/>
      <c r="CB14" s="1804"/>
      <c r="CC14" s="1804"/>
      <c r="CD14" s="1804"/>
      <c r="CE14" s="1804"/>
      <c r="CF14" s="1804"/>
      <c r="CG14" s="1804"/>
      <c r="CH14" s="1804"/>
      <c r="CI14" s="1804"/>
      <c r="CJ14" s="1804"/>
      <c r="CK14" s="1804"/>
      <c r="CL14" s="1804"/>
      <c r="CM14" s="1804"/>
      <c r="CN14" s="1804"/>
      <c r="CO14" s="1804"/>
      <c r="CP14" s="1804"/>
      <c r="CQ14" s="1804"/>
      <c r="CR14" s="1804"/>
      <c r="CS14" s="1804"/>
      <c r="CT14" s="1804"/>
      <c r="CU14" s="1804"/>
      <c r="CV14" s="1804"/>
      <c r="CW14" s="1804"/>
      <c r="CX14" s="1804"/>
      <c r="CY14" s="1804"/>
      <c r="CZ14" s="1804"/>
      <c r="DA14" s="1804"/>
      <c r="DB14" s="1804"/>
      <c r="DC14" s="1804"/>
      <c r="DD14" s="1804"/>
      <c r="DE14" s="1804"/>
      <c r="DF14" s="1804"/>
      <c r="DG14" s="1804"/>
      <c r="DH14" s="1804"/>
      <c r="DI14" s="1804"/>
      <c r="DJ14" s="1804"/>
      <c r="DK14" s="1804"/>
      <c r="DL14" s="1804"/>
      <c r="DM14" s="1804"/>
      <c r="DN14" s="1804"/>
      <c r="DO14" s="1804"/>
      <c r="DP14" s="1804"/>
      <c r="DQ14" s="1671"/>
      <c r="DR14" s="1671"/>
      <c r="DS14" s="1671"/>
      <c r="DT14" s="1671"/>
      <c r="DU14" s="1671"/>
      <c r="DV14" s="1671"/>
      <c r="DW14" s="1671"/>
      <c r="DX14" s="1671"/>
      <c r="DY14" s="1671"/>
      <c r="DZ14" s="1671"/>
      <c r="EA14" s="1740"/>
      <c r="EB14" s="1740"/>
      <c r="EC14" s="1740"/>
      <c r="ED14" s="1740"/>
      <c r="EE14" s="1740"/>
      <c r="EF14" s="1740"/>
      <c r="EG14" s="1740"/>
      <c r="EH14" s="1740"/>
      <c r="EI14" s="1740"/>
      <c r="EJ14" s="1740"/>
      <c r="EK14" s="1740"/>
      <c r="EL14" s="1740"/>
      <c r="EM14" s="1740"/>
      <c r="EN14" s="1740"/>
      <c r="EO14" s="1740"/>
      <c r="EP14" s="1740"/>
      <c r="EQ14" s="1740"/>
      <c r="ER14" s="1740"/>
      <c r="ES14" s="1740"/>
      <c r="ET14" s="1740"/>
      <c r="EU14" s="1740"/>
      <c r="EV14" s="1740"/>
      <c r="EW14" s="1740"/>
      <c r="EX14" s="1740"/>
      <c r="EY14" s="1740"/>
      <c r="EZ14" s="1740"/>
      <c r="FA14" s="1740"/>
      <c r="FB14" s="1740"/>
      <c r="FC14" s="1740"/>
      <c r="FD14" s="1740"/>
      <c r="FE14" s="1740"/>
      <c r="FF14" s="1740"/>
      <c r="FG14" s="1740"/>
      <c r="FH14" s="1740"/>
      <c r="FI14" s="1740"/>
      <c r="FJ14" s="1740"/>
      <c r="FK14" s="1740"/>
      <c r="FL14" s="1740"/>
      <c r="FM14" s="1740"/>
      <c r="FN14" s="1740"/>
      <c r="FO14" s="1740"/>
      <c r="FP14" s="1740"/>
      <c r="FQ14" s="1740"/>
      <c r="FR14" s="1740"/>
      <c r="FS14" s="1740"/>
      <c r="FT14" s="1740"/>
      <c r="FU14" s="1740"/>
      <c r="FV14" s="1740"/>
      <c r="FW14" s="1740"/>
      <c r="FX14" s="1740"/>
      <c r="FY14" s="1740"/>
      <c r="FZ14" s="1740"/>
      <c r="GA14" s="1740"/>
      <c r="GB14" s="1740"/>
      <c r="GC14" s="1740"/>
      <c r="GD14" s="1740"/>
      <c r="GE14" s="1740"/>
      <c r="GF14" s="1740"/>
    </row>
    <row r="15" spans="1:188" s="20" customFormat="1">
      <c r="A15" s="333">
        <f t="shared" si="0"/>
        <v>1971</v>
      </c>
      <c r="B15" s="333">
        <f t="shared" si="1"/>
        <v>3</v>
      </c>
      <c r="C15" s="1174">
        <v>26115</v>
      </c>
      <c r="D15" s="1158"/>
      <c r="E15" s="1159">
        <v>40.950000000000003</v>
      </c>
      <c r="F15" s="1159">
        <v>36.238948200000003</v>
      </c>
      <c r="G15" s="1160"/>
      <c r="H15" s="1161"/>
      <c r="I15" s="1160"/>
      <c r="J15" s="1160"/>
      <c r="K15" s="1677"/>
      <c r="L15" s="1677"/>
      <c r="M15" s="1681"/>
      <c r="N15" s="1162"/>
      <c r="O15" s="1162"/>
      <c r="P15" s="1162"/>
      <c r="Q15" s="1163"/>
      <c r="R15" s="1164"/>
      <c r="S15" s="1164"/>
      <c r="T15" s="1164"/>
      <c r="U15" s="1165"/>
      <c r="V15" s="1166"/>
      <c r="W15" s="1166"/>
      <c r="X15" s="630"/>
      <c r="AA15" s="1915"/>
      <c r="AB15" s="1915"/>
      <c r="AC15" s="1804"/>
      <c r="AD15" s="1804"/>
      <c r="AE15" s="1804"/>
      <c r="AF15" s="1804"/>
      <c r="AG15" s="1804"/>
      <c r="AH15" s="1804"/>
      <c r="AI15" s="1781" t="s">
        <v>0</v>
      </c>
      <c r="AJ15" s="1826">
        <v>2015</v>
      </c>
      <c r="AK15" s="1822" t="s">
        <v>758</v>
      </c>
      <c r="AL15" s="1822">
        <v>7</v>
      </c>
      <c r="AM15" s="1823">
        <v>230838006</v>
      </c>
      <c r="AN15" s="1824">
        <v>0.05</v>
      </c>
      <c r="AO15" s="1781"/>
      <c r="AP15" s="1781" t="s">
        <v>0</v>
      </c>
      <c r="AQ15" s="1781" t="s">
        <v>505</v>
      </c>
      <c r="AR15" s="1822" t="s">
        <v>21</v>
      </c>
      <c r="AS15" s="1822">
        <v>7</v>
      </c>
      <c r="AT15" s="1823">
        <v>188105271.33000001</v>
      </c>
      <c r="AU15" s="1825">
        <v>4.2119082863266613E-2</v>
      </c>
      <c r="AV15" s="1781">
        <v>2015</v>
      </c>
      <c r="AW15" s="1671"/>
      <c r="AX15" s="1671"/>
      <c r="AY15" s="1804"/>
      <c r="AZ15" s="1804"/>
      <c r="BA15" s="1804"/>
      <c r="BB15" s="1804"/>
      <c r="BC15" s="1804"/>
      <c r="BD15" s="1804"/>
      <c r="BE15" s="1804"/>
      <c r="BF15" s="1804"/>
      <c r="BG15" s="1804"/>
      <c r="BH15" s="1804"/>
      <c r="BI15" s="1804"/>
      <c r="BJ15" s="1804"/>
      <c r="BK15" s="1804"/>
      <c r="BL15" s="1804"/>
      <c r="BM15" s="1804"/>
      <c r="BN15" s="1804"/>
      <c r="BO15" s="1804"/>
      <c r="BP15" s="1804"/>
      <c r="BQ15" s="1804"/>
      <c r="BR15" s="1804"/>
      <c r="BS15" s="1804"/>
      <c r="BT15" s="1804"/>
      <c r="BU15" s="1804"/>
      <c r="BV15" s="1804"/>
      <c r="BW15" s="1804"/>
      <c r="BX15" s="1804"/>
      <c r="BY15" s="1804"/>
      <c r="BZ15" s="1804"/>
      <c r="CA15" s="1804"/>
      <c r="CB15" s="1804"/>
      <c r="CC15" s="1804"/>
      <c r="CD15" s="1804"/>
      <c r="CE15" s="1804"/>
      <c r="CF15" s="1804"/>
      <c r="CG15" s="1804"/>
      <c r="CH15" s="1804"/>
      <c r="CI15" s="1804"/>
      <c r="CJ15" s="1804"/>
      <c r="CK15" s="1804"/>
      <c r="CL15" s="1804"/>
      <c r="CM15" s="1804"/>
      <c r="CN15" s="1804"/>
      <c r="CO15" s="1804"/>
      <c r="CP15" s="1804"/>
      <c r="CQ15" s="1804"/>
      <c r="CR15" s="1804"/>
      <c r="CS15" s="1804"/>
      <c r="CT15" s="1804"/>
      <c r="CU15" s="1804"/>
      <c r="CV15" s="1804"/>
      <c r="CW15" s="1804"/>
      <c r="CX15" s="1804"/>
      <c r="CY15" s="1804"/>
      <c r="CZ15" s="1804"/>
      <c r="DA15" s="1804"/>
      <c r="DB15" s="1804"/>
      <c r="DC15" s="1804"/>
      <c r="DD15" s="1804"/>
      <c r="DE15" s="1804"/>
      <c r="DF15" s="1804"/>
      <c r="DG15" s="1804"/>
      <c r="DH15" s="1804"/>
      <c r="DI15" s="1804"/>
      <c r="DJ15" s="1804"/>
      <c r="DK15" s="1804"/>
      <c r="DL15" s="1804"/>
      <c r="DM15" s="1804"/>
      <c r="DN15" s="1804"/>
      <c r="DO15" s="1804"/>
      <c r="DP15" s="1804"/>
      <c r="DQ15" s="1671"/>
      <c r="DR15" s="1671"/>
      <c r="DS15" s="1671"/>
      <c r="DT15" s="1671"/>
      <c r="DU15" s="1671"/>
      <c r="DV15" s="1671"/>
      <c r="DW15" s="1671"/>
      <c r="DX15" s="1671"/>
      <c r="DY15" s="1671"/>
      <c r="DZ15" s="1671"/>
      <c r="EA15" s="1740"/>
      <c r="EB15" s="1740"/>
      <c r="EC15" s="1740"/>
      <c r="ED15" s="1740"/>
      <c r="EE15" s="1740"/>
      <c r="EF15" s="1740"/>
      <c r="EG15" s="1740"/>
      <c r="EH15" s="1740"/>
      <c r="EI15" s="1740"/>
      <c r="EJ15" s="1740"/>
      <c r="EK15" s="1740"/>
      <c r="EL15" s="1740"/>
      <c r="EM15" s="1740"/>
      <c r="EN15" s="1740"/>
      <c r="EO15" s="1740"/>
      <c r="EP15" s="1740"/>
      <c r="EQ15" s="1740"/>
      <c r="ER15" s="1740"/>
      <c r="ES15" s="1740"/>
      <c r="ET15" s="1740"/>
      <c r="EU15" s="1740"/>
      <c r="EV15" s="1740"/>
      <c r="EW15" s="1740"/>
      <c r="EX15" s="1740"/>
      <c r="EY15" s="1740"/>
      <c r="EZ15" s="1740"/>
      <c r="FA15" s="1740"/>
      <c r="FB15" s="1740"/>
      <c r="FC15" s="1740"/>
      <c r="FD15" s="1740"/>
      <c r="FE15" s="1740"/>
      <c r="FF15" s="1740"/>
      <c r="FG15" s="1740"/>
      <c r="FH15" s="1740"/>
      <c r="FI15" s="1740"/>
      <c r="FJ15" s="1740"/>
      <c r="FK15" s="1740"/>
      <c r="FL15" s="1740"/>
      <c r="FM15" s="1740"/>
      <c r="FN15" s="1740"/>
      <c r="FO15" s="1740"/>
      <c r="FP15" s="1740"/>
      <c r="FQ15" s="1740"/>
      <c r="FR15" s="1740"/>
      <c r="FS15" s="1740"/>
      <c r="FT15" s="1740"/>
      <c r="FU15" s="1740"/>
      <c r="FV15" s="1740"/>
      <c r="FW15" s="1740"/>
      <c r="FX15" s="1740"/>
      <c r="FY15" s="1740"/>
      <c r="FZ15" s="1740"/>
      <c r="GA15" s="1740"/>
      <c r="GB15" s="1740"/>
      <c r="GC15" s="1740"/>
      <c r="GD15" s="1740"/>
      <c r="GE15" s="1740"/>
      <c r="GF15" s="1740"/>
    </row>
    <row r="16" spans="1:188" s="20" customFormat="1">
      <c r="A16" s="333">
        <f t="shared" si="0"/>
        <v>1971</v>
      </c>
      <c r="B16" s="333">
        <f t="shared" si="1"/>
        <v>3</v>
      </c>
      <c r="C16" s="1174">
        <v>26147</v>
      </c>
      <c r="D16" s="1167"/>
      <c r="E16" s="1168">
        <v>42.71</v>
      </c>
      <c r="F16" s="1168">
        <v>37.171452620000004</v>
      </c>
      <c r="G16" s="1168"/>
      <c r="H16" s="1167"/>
      <c r="I16" s="1168"/>
      <c r="J16" s="1168"/>
      <c r="K16" s="1678"/>
      <c r="L16" s="1678"/>
      <c r="M16" s="1682"/>
      <c r="N16" s="1169"/>
      <c r="O16" s="1169"/>
      <c r="P16" s="1169"/>
      <c r="Q16" s="1167"/>
      <c r="R16" s="1167"/>
      <c r="S16" s="1167"/>
      <c r="T16" s="1167"/>
      <c r="U16" s="1167"/>
      <c r="V16" s="1167"/>
      <c r="W16" s="1167"/>
      <c r="X16" s="630"/>
      <c r="AA16" s="1915"/>
      <c r="AB16" s="1915"/>
      <c r="AC16" s="1804"/>
      <c r="AD16" s="1804"/>
      <c r="AE16" s="1804"/>
      <c r="AF16" s="1804"/>
      <c r="AG16" s="1804"/>
      <c r="AH16" s="1804"/>
      <c r="AI16" s="1781" t="s">
        <v>0</v>
      </c>
      <c r="AJ16" s="1826">
        <v>2015</v>
      </c>
      <c r="AK16" s="1822" t="s">
        <v>29</v>
      </c>
      <c r="AL16" s="1822">
        <v>8</v>
      </c>
      <c r="AM16" s="1823">
        <v>189083062</v>
      </c>
      <c r="AN16" s="1824">
        <v>4.1000000000000002E-2</v>
      </c>
      <c r="AO16" s="1781"/>
      <c r="AP16" s="1781" t="s">
        <v>0</v>
      </c>
      <c r="AQ16" s="1781" t="s">
        <v>505</v>
      </c>
      <c r="AR16" s="1822" t="s">
        <v>22</v>
      </c>
      <c r="AS16" s="1822">
        <v>8</v>
      </c>
      <c r="AT16" s="1823">
        <v>174073011.62999997</v>
      </c>
      <c r="AU16" s="1825">
        <v>3.8977087400383914E-2</v>
      </c>
      <c r="AV16" s="1781">
        <v>2015</v>
      </c>
      <c r="AW16" s="1671"/>
      <c r="AX16" s="1671"/>
      <c r="AY16" s="1804"/>
      <c r="AZ16" s="1804"/>
      <c r="BA16" s="1804"/>
      <c r="BB16" s="1804"/>
      <c r="BC16" s="1804"/>
      <c r="BD16" s="1804"/>
      <c r="BE16" s="1804"/>
      <c r="BF16" s="1804"/>
      <c r="BG16" s="1804"/>
      <c r="BH16" s="1804"/>
      <c r="BI16" s="1804"/>
      <c r="BJ16" s="1804"/>
      <c r="BK16" s="1804"/>
      <c r="BL16" s="1804"/>
      <c r="BM16" s="1804"/>
      <c r="BN16" s="1804"/>
      <c r="BO16" s="1804"/>
      <c r="BP16" s="1804"/>
      <c r="BQ16" s="1804"/>
      <c r="BR16" s="1804"/>
      <c r="BS16" s="1804"/>
      <c r="BT16" s="1804"/>
      <c r="BU16" s="1804"/>
      <c r="BV16" s="1804"/>
      <c r="BW16" s="1804"/>
      <c r="BX16" s="1804"/>
      <c r="BY16" s="1804"/>
      <c r="BZ16" s="1804"/>
      <c r="CA16" s="1804"/>
      <c r="CB16" s="1804"/>
      <c r="CC16" s="1804"/>
      <c r="CD16" s="1804"/>
      <c r="CE16" s="1804"/>
      <c r="CF16" s="1804"/>
      <c r="CG16" s="1804"/>
      <c r="CH16" s="1804"/>
      <c r="CI16" s="1804"/>
      <c r="CJ16" s="1804"/>
      <c r="CK16" s="1804"/>
      <c r="CL16" s="1804"/>
      <c r="CM16" s="1804"/>
      <c r="CN16" s="1804"/>
      <c r="CO16" s="1804"/>
      <c r="CP16" s="1804"/>
      <c r="CQ16" s="1804"/>
      <c r="CR16" s="1804"/>
      <c r="CS16" s="1804"/>
      <c r="CT16" s="1804"/>
      <c r="CU16" s="1804"/>
      <c r="CV16" s="1804"/>
      <c r="CW16" s="1804"/>
      <c r="CX16" s="1804"/>
      <c r="CY16" s="1804"/>
      <c r="CZ16" s="1804"/>
      <c r="DA16" s="1804"/>
      <c r="DB16" s="1804"/>
      <c r="DC16" s="1804"/>
      <c r="DD16" s="1804"/>
      <c r="DE16" s="1804"/>
      <c r="DF16" s="1804"/>
      <c r="DG16" s="1804"/>
      <c r="DH16" s="1804"/>
      <c r="DI16" s="1804"/>
      <c r="DJ16" s="1804"/>
      <c r="DK16" s="1804"/>
      <c r="DL16" s="1804"/>
      <c r="DM16" s="1804"/>
      <c r="DN16" s="1804"/>
      <c r="DO16" s="1804"/>
      <c r="DP16" s="1804"/>
      <c r="DQ16" s="1671"/>
      <c r="DR16" s="1671"/>
      <c r="DS16" s="1671"/>
      <c r="DT16" s="1671"/>
      <c r="DU16" s="1671"/>
      <c r="DV16" s="1671"/>
      <c r="DW16" s="1671"/>
      <c r="DX16" s="1671"/>
      <c r="DY16" s="1671"/>
      <c r="DZ16" s="1671"/>
      <c r="EA16" s="1740"/>
      <c r="EB16" s="1740"/>
      <c r="EC16" s="1740"/>
      <c r="ED16" s="1740"/>
      <c r="EE16" s="1740"/>
      <c r="EF16" s="1740"/>
      <c r="EG16" s="1740"/>
      <c r="EH16" s="1740"/>
      <c r="EI16" s="1740"/>
      <c r="EJ16" s="1740"/>
      <c r="EK16" s="1740"/>
      <c r="EL16" s="1740"/>
      <c r="EM16" s="1740"/>
      <c r="EN16" s="1740"/>
      <c r="EO16" s="1740"/>
      <c r="EP16" s="1740"/>
      <c r="EQ16" s="1740"/>
      <c r="ER16" s="1740"/>
      <c r="ES16" s="1740"/>
      <c r="ET16" s="1740"/>
      <c r="EU16" s="1740"/>
      <c r="EV16" s="1740"/>
      <c r="EW16" s="1740"/>
      <c r="EX16" s="1740"/>
      <c r="EY16" s="1740"/>
      <c r="EZ16" s="1740"/>
      <c r="FA16" s="1740"/>
      <c r="FB16" s="1740"/>
      <c r="FC16" s="1740"/>
      <c r="FD16" s="1740"/>
      <c r="FE16" s="1740"/>
      <c r="FF16" s="1740"/>
      <c r="FG16" s="1740"/>
      <c r="FH16" s="1740"/>
      <c r="FI16" s="1740"/>
      <c r="FJ16" s="1740"/>
      <c r="FK16" s="1740"/>
      <c r="FL16" s="1740"/>
      <c r="FM16" s="1740"/>
      <c r="FN16" s="1740"/>
      <c r="FO16" s="1740"/>
      <c r="FP16" s="1740"/>
      <c r="FQ16" s="1740"/>
      <c r="FR16" s="1740"/>
      <c r="FS16" s="1740"/>
      <c r="FT16" s="1740"/>
      <c r="FU16" s="1740"/>
      <c r="FV16" s="1740"/>
      <c r="FW16" s="1740"/>
      <c r="FX16" s="1740"/>
      <c r="FY16" s="1740"/>
      <c r="FZ16" s="1740"/>
      <c r="GA16" s="1740"/>
      <c r="GB16" s="1740"/>
      <c r="GC16" s="1740"/>
      <c r="GD16" s="1740"/>
      <c r="GE16" s="1740"/>
      <c r="GF16" s="1740"/>
    </row>
    <row r="17" spans="1:188" s="20" customFormat="1">
      <c r="A17" s="333">
        <f t="shared" si="0"/>
        <v>1971</v>
      </c>
      <c r="B17" s="333">
        <f t="shared" si="1"/>
        <v>3</v>
      </c>
      <c r="C17" s="1174">
        <v>26177</v>
      </c>
      <c r="D17" s="1158"/>
      <c r="E17" s="1159">
        <v>42.03</v>
      </c>
      <c r="F17" s="1159">
        <v>36.326697119999999</v>
      </c>
      <c r="G17" s="1160"/>
      <c r="H17" s="1161"/>
      <c r="I17" s="1160"/>
      <c r="J17" s="1160"/>
      <c r="K17" s="1677"/>
      <c r="L17" s="1677"/>
      <c r="M17" s="1681"/>
      <c r="N17" s="1162"/>
      <c r="O17" s="1162"/>
      <c r="P17" s="1162"/>
      <c r="Q17" s="1163"/>
      <c r="R17" s="1164"/>
      <c r="S17" s="1164"/>
      <c r="T17" s="1164"/>
      <c r="U17" s="1165"/>
      <c r="V17" s="1166"/>
      <c r="W17" s="1166"/>
      <c r="X17" s="630"/>
      <c r="AA17" s="1915"/>
      <c r="AB17" s="1915"/>
      <c r="AC17" s="1804"/>
      <c r="AD17" s="1804"/>
      <c r="AE17" s="1804"/>
      <c r="AF17" s="1804"/>
      <c r="AG17" s="1804"/>
      <c r="AH17" s="1804"/>
      <c r="AI17" s="1781" t="s">
        <v>0</v>
      </c>
      <c r="AJ17" s="1826">
        <v>2015</v>
      </c>
      <c r="AK17" s="1822" t="s">
        <v>22</v>
      </c>
      <c r="AL17" s="1822">
        <v>9</v>
      </c>
      <c r="AM17" s="1823">
        <v>183558887</v>
      </c>
      <c r="AN17" s="1824">
        <v>0.04</v>
      </c>
      <c r="AO17" s="1781"/>
      <c r="AP17" s="1781" t="s">
        <v>0</v>
      </c>
      <c r="AQ17" s="1781" t="s">
        <v>505</v>
      </c>
      <c r="AR17" s="1822" t="s">
        <v>758</v>
      </c>
      <c r="AS17" s="1822">
        <v>9</v>
      </c>
      <c r="AT17" s="1823">
        <v>164822533.56999999</v>
      </c>
      <c r="AU17" s="1825">
        <v>3.6905791635097038E-2</v>
      </c>
      <c r="AV17" s="1781">
        <v>2015</v>
      </c>
      <c r="AW17" s="1671"/>
      <c r="AX17" s="1925">
        <f>'Alumina - Prices'!A16</f>
        <v>42795</v>
      </c>
      <c r="AY17" s="1804"/>
      <c r="AZ17" s="1804"/>
      <c r="BA17" s="1804"/>
      <c r="BB17" s="1804"/>
      <c r="BC17" s="1804"/>
      <c r="BD17" s="1804"/>
      <c r="BE17" s="1804"/>
      <c r="BF17" s="1804"/>
      <c r="BG17" s="1804"/>
      <c r="BH17" s="1804"/>
      <c r="BI17" s="1804"/>
      <c r="BJ17" s="1804"/>
      <c r="BK17" s="1804"/>
      <c r="BL17" s="1804"/>
      <c r="BM17" s="1804"/>
      <c r="BN17" s="1804"/>
      <c r="BO17" s="1804"/>
      <c r="BP17" s="1804"/>
      <c r="BQ17" s="1804"/>
      <c r="BR17" s="1804"/>
      <c r="BS17" s="1804"/>
      <c r="BT17" s="1804"/>
      <c r="BU17" s="1804"/>
      <c r="BV17" s="1804"/>
      <c r="BW17" s="1804"/>
      <c r="BX17" s="1804"/>
      <c r="BY17" s="1804"/>
      <c r="BZ17" s="1804"/>
      <c r="CA17" s="1804"/>
      <c r="CB17" s="1804"/>
      <c r="CC17" s="1804"/>
      <c r="CD17" s="1804"/>
      <c r="CE17" s="1804"/>
      <c r="CF17" s="1804"/>
      <c r="CG17" s="1804"/>
      <c r="CH17" s="1804"/>
      <c r="CI17" s="1804"/>
      <c r="CJ17" s="1804"/>
      <c r="CK17" s="1804"/>
      <c r="CL17" s="1804"/>
      <c r="CM17" s="1804"/>
      <c r="CN17" s="1804"/>
      <c r="CO17" s="1804"/>
      <c r="CP17" s="1804"/>
      <c r="CQ17" s="1804"/>
      <c r="CR17" s="1804"/>
      <c r="CS17" s="1804"/>
      <c r="CT17" s="1804"/>
      <c r="CU17" s="1804"/>
      <c r="CV17" s="1804"/>
      <c r="CW17" s="1804"/>
      <c r="CX17" s="1804"/>
      <c r="CY17" s="1804"/>
      <c r="CZ17" s="1804"/>
      <c r="DA17" s="1804"/>
      <c r="DB17" s="1804"/>
      <c r="DC17" s="1804"/>
      <c r="DD17" s="1804"/>
      <c r="DE17" s="1804"/>
      <c r="DF17" s="1804"/>
      <c r="DG17" s="1804"/>
      <c r="DH17" s="1804"/>
      <c r="DI17" s="1804"/>
      <c r="DJ17" s="1804"/>
      <c r="DK17" s="1804"/>
      <c r="DL17" s="1804"/>
      <c r="DM17" s="1804"/>
      <c r="DN17" s="1804"/>
      <c r="DO17" s="1804"/>
      <c r="DP17" s="1804"/>
      <c r="DQ17" s="1671"/>
      <c r="DR17" s="1671"/>
      <c r="DS17" s="1671"/>
      <c r="DT17" s="1671"/>
      <c r="DU17" s="1671"/>
      <c r="DV17" s="1671"/>
      <c r="DW17" s="1671"/>
      <c r="DX17" s="1671"/>
      <c r="DY17" s="1671"/>
      <c r="DZ17" s="1671"/>
      <c r="EA17" s="1740"/>
      <c r="EB17" s="1740"/>
      <c r="EC17" s="1740"/>
      <c r="ED17" s="1740"/>
      <c r="EE17" s="1740"/>
      <c r="EF17" s="1740"/>
      <c r="EG17" s="1740"/>
      <c r="EH17" s="1740"/>
      <c r="EI17" s="1740"/>
      <c r="EJ17" s="1740"/>
      <c r="EK17" s="1740"/>
      <c r="EL17" s="1740"/>
      <c r="EM17" s="1740"/>
      <c r="EN17" s="1740"/>
      <c r="EO17" s="1740"/>
      <c r="EP17" s="1740"/>
      <c r="EQ17" s="1740"/>
      <c r="ER17" s="1740"/>
      <c r="ES17" s="1740"/>
      <c r="ET17" s="1740"/>
      <c r="EU17" s="1740"/>
      <c r="EV17" s="1740"/>
      <c r="EW17" s="1740"/>
      <c r="EX17" s="1740"/>
      <c r="EY17" s="1740"/>
      <c r="EZ17" s="1740"/>
      <c r="FA17" s="1740"/>
      <c r="FB17" s="1740"/>
      <c r="FC17" s="1740"/>
      <c r="FD17" s="1740"/>
      <c r="FE17" s="1740"/>
      <c r="FF17" s="1740"/>
      <c r="FG17" s="1740"/>
      <c r="FH17" s="1740"/>
      <c r="FI17" s="1740"/>
      <c r="FJ17" s="1740"/>
      <c r="FK17" s="1740"/>
      <c r="FL17" s="1740"/>
      <c r="FM17" s="1740"/>
      <c r="FN17" s="1740"/>
      <c r="FO17" s="1740"/>
      <c r="FP17" s="1740"/>
      <c r="FQ17" s="1740"/>
      <c r="FR17" s="1740"/>
      <c r="FS17" s="1740"/>
      <c r="FT17" s="1740"/>
      <c r="FU17" s="1740"/>
      <c r="FV17" s="1740"/>
      <c r="FW17" s="1740"/>
      <c r="FX17" s="1740"/>
      <c r="FY17" s="1740"/>
      <c r="FZ17" s="1740"/>
      <c r="GA17" s="1740"/>
      <c r="GB17" s="1740"/>
      <c r="GC17" s="1740"/>
      <c r="GD17" s="1740"/>
      <c r="GE17" s="1740"/>
      <c r="GF17" s="1740"/>
    </row>
    <row r="18" spans="1:188" s="20" customFormat="1">
      <c r="A18" s="333">
        <f t="shared" si="0"/>
        <v>1971</v>
      </c>
      <c r="B18" s="333">
        <f t="shared" si="1"/>
        <v>4</v>
      </c>
      <c r="C18" s="1174">
        <v>26207</v>
      </c>
      <c r="D18" s="1167"/>
      <c r="E18" s="1168">
        <v>42.5</v>
      </c>
      <c r="F18" s="1168">
        <v>36.574862500000002</v>
      </c>
      <c r="G18" s="1168"/>
      <c r="H18" s="1167"/>
      <c r="I18" s="1168"/>
      <c r="J18" s="1168"/>
      <c r="K18" s="1678"/>
      <c r="L18" s="1678"/>
      <c r="M18" s="1682"/>
      <c r="N18" s="1169"/>
      <c r="O18" s="1169"/>
      <c r="P18" s="1169"/>
      <c r="Q18" s="1167"/>
      <c r="R18" s="1167"/>
      <c r="S18" s="1167"/>
      <c r="T18" s="1167"/>
      <c r="U18" s="1167"/>
      <c r="V18" s="1167"/>
      <c r="W18" s="1167"/>
      <c r="X18" s="630"/>
      <c r="AA18" s="1915"/>
      <c r="AB18" s="1915"/>
      <c r="AC18" s="1804"/>
      <c r="AD18" s="1804"/>
      <c r="AE18" s="1804"/>
      <c r="AF18" s="1804"/>
      <c r="AG18" s="1804"/>
      <c r="AH18" s="1804"/>
      <c r="AI18" s="1781" t="s">
        <v>0</v>
      </c>
      <c r="AJ18" s="1826">
        <v>2015</v>
      </c>
      <c r="AK18" s="1822" t="s">
        <v>31</v>
      </c>
      <c r="AL18" s="1822">
        <v>10</v>
      </c>
      <c r="AM18" s="1823">
        <v>176633337</v>
      </c>
      <c r="AN18" s="1824">
        <v>3.7999999999999999E-2</v>
      </c>
      <c r="AO18" s="1781"/>
      <c r="AP18" s="1781" t="s">
        <v>0</v>
      </c>
      <c r="AQ18" s="1781" t="s">
        <v>505</v>
      </c>
      <c r="AR18" s="1822" t="s">
        <v>29</v>
      </c>
      <c r="AS18" s="1822">
        <v>10</v>
      </c>
      <c r="AT18" s="1823">
        <v>150690887.59999999</v>
      </c>
      <c r="AU18" s="1825">
        <v>3.3741542364482097E-2</v>
      </c>
      <c r="AV18" s="1781">
        <v>2015</v>
      </c>
      <c r="AW18" s="1671"/>
      <c r="AX18" s="1671"/>
      <c r="AY18" s="1804"/>
      <c r="AZ18" s="1804"/>
      <c r="BA18" s="1804"/>
      <c r="BB18" s="1804"/>
      <c r="BC18" s="1804"/>
      <c r="BD18" s="1804"/>
      <c r="BE18" s="1804"/>
      <c r="BF18" s="1804"/>
      <c r="BG18" s="1804"/>
      <c r="BH18" s="1804"/>
      <c r="BI18" s="1804"/>
      <c r="BJ18" s="1804"/>
      <c r="BK18" s="1804"/>
      <c r="BL18" s="1804"/>
      <c r="BM18" s="1804"/>
      <c r="BN18" s="1804"/>
      <c r="BO18" s="1804"/>
      <c r="BP18" s="1804"/>
      <c r="BQ18" s="1804"/>
      <c r="BR18" s="1804"/>
      <c r="BS18" s="1804"/>
      <c r="BT18" s="1804"/>
      <c r="BU18" s="1804"/>
      <c r="BV18" s="1804"/>
      <c r="BW18" s="1804"/>
      <c r="BX18" s="1804"/>
      <c r="BY18" s="1804"/>
      <c r="BZ18" s="1804"/>
      <c r="CA18" s="1804"/>
      <c r="CB18" s="1804"/>
      <c r="CC18" s="1804"/>
      <c r="CD18" s="1804"/>
      <c r="CE18" s="1804"/>
      <c r="CF18" s="1804"/>
      <c r="CG18" s="1804"/>
      <c r="CH18" s="1804"/>
      <c r="CI18" s="1804"/>
      <c r="CJ18" s="1804"/>
      <c r="CK18" s="1804"/>
      <c r="CL18" s="1804"/>
      <c r="CM18" s="1804"/>
      <c r="CN18" s="1804"/>
      <c r="CO18" s="1804"/>
      <c r="CP18" s="1804"/>
      <c r="CQ18" s="1804"/>
      <c r="CR18" s="1804"/>
      <c r="CS18" s="1804"/>
      <c r="CT18" s="1804"/>
      <c r="CU18" s="1804"/>
      <c r="CV18" s="1804"/>
      <c r="CW18" s="1804"/>
      <c r="CX18" s="1804"/>
      <c r="CY18" s="1804"/>
      <c r="CZ18" s="1804"/>
      <c r="DA18" s="1804"/>
      <c r="DB18" s="1804"/>
      <c r="DC18" s="1804"/>
      <c r="DD18" s="1804"/>
      <c r="DE18" s="1804"/>
      <c r="DF18" s="1804"/>
      <c r="DG18" s="1804"/>
      <c r="DH18" s="1804"/>
      <c r="DI18" s="1804"/>
      <c r="DJ18" s="1804"/>
      <c r="DK18" s="1804"/>
      <c r="DL18" s="1804"/>
      <c r="DM18" s="1804"/>
      <c r="DN18" s="1804"/>
      <c r="DO18" s="1804"/>
      <c r="DP18" s="1804"/>
      <c r="DQ18" s="1671"/>
      <c r="DR18" s="1671"/>
      <c r="DS18" s="1671"/>
      <c r="DT18" s="1671"/>
      <c r="DU18" s="1671"/>
      <c r="DV18" s="1671"/>
      <c r="DW18" s="1671"/>
      <c r="DX18" s="1671"/>
      <c r="DY18" s="1671"/>
      <c r="DZ18" s="1671"/>
      <c r="EA18" s="1740"/>
      <c r="EB18" s="1740"/>
      <c r="EC18" s="1740"/>
      <c r="ED18" s="1740"/>
      <c r="EE18" s="1740"/>
      <c r="EF18" s="1740"/>
      <c r="EG18" s="1740"/>
      <c r="EH18" s="1740"/>
      <c r="EI18" s="1740"/>
      <c r="EJ18" s="1740"/>
      <c r="EK18" s="1740"/>
      <c r="EL18" s="1740"/>
      <c r="EM18" s="1740"/>
      <c r="EN18" s="1740"/>
      <c r="EO18" s="1740"/>
      <c r="EP18" s="1740"/>
      <c r="EQ18" s="1740"/>
      <c r="ER18" s="1740"/>
      <c r="ES18" s="1740"/>
      <c r="ET18" s="1740"/>
      <c r="EU18" s="1740"/>
      <c r="EV18" s="1740"/>
      <c r="EW18" s="1740"/>
      <c r="EX18" s="1740"/>
      <c r="EY18" s="1740"/>
      <c r="EZ18" s="1740"/>
      <c r="FA18" s="1740"/>
      <c r="FB18" s="1740"/>
      <c r="FC18" s="1740"/>
      <c r="FD18" s="1740"/>
      <c r="FE18" s="1740"/>
      <c r="FF18" s="1740"/>
      <c r="FG18" s="1740"/>
      <c r="FH18" s="1740"/>
      <c r="FI18" s="1740"/>
      <c r="FJ18" s="1740"/>
      <c r="FK18" s="1740"/>
      <c r="FL18" s="1740"/>
      <c r="FM18" s="1740"/>
      <c r="FN18" s="1740"/>
      <c r="FO18" s="1740"/>
      <c r="FP18" s="1740"/>
      <c r="FQ18" s="1740"/>
      <c r="FR18" s="1740"/>
      <c r="FS18" s="1740"/>
      <c r="FT18" s="1740"/>
      <c r="FU18" s="1740"/>
      <c r="FV18" s="1740"/>
      <c r="FW18" s="1740"/>
      <c r="FX18" s="1740"/>
      <c r="FY18" s="1740"/>
      <c r="FZ18" s="1740"/>
      <c r="GA18" s="1740"/>
      <c r="GB18" s="1740"/>
      <c r="GC18" s="1740"/>
      <c r="GD18" s="1740"/>
      <c r="GE18" s="1740"/>
      <c r="GF18" s="1740"/>
    </row>
    <row r="19" spans="1:188" s="20" customFormat="1">
      <c r="A19" s="333">
        <f t="shared" si="0"/>
        <v>1971</v>
      </c>
      <c r="B19" s="333">
        <f t="shared" si="1"/>
        <v>4</v>
      </c>
      <c r="C19" s="1174">
        <v>26238</v>
      </c>
      <c r="D19" s="1158"/>
      <c r="E19" s="1159">
        <v>42.86</v>
      </c>
      <c r="F19" s="1159">
        <v>36.884673100000001</v>
      </c>
      <c r="G19" s="1160"/>
      <c r="H19" s="1161"/>
      <c r="I19" s="1160"/>
      <c r="J19" s="1160"/>
      <c r="K19" s="1677"/>
      <c r="L19" s="1677"/>
      <c r="M19" s="1681"/>
      <c r="N19" s="1162"/>
      <c r="O19" s="1162"/>
      <c r="P19" s="1162"/>
      <c r="Q19" s="1163"/>
      <c r="R19" s="1164"/>
      <c r="S19" s="1164"/>
      <c r="T19" s="1164"/>
      <c r="U19" s="1165"/>
      <c r="V19" s="1166"/>
      <c r="W19" s="1166"/>
      <c r="X19" s="630"/>
      <c r="AA19" s="1915"/>
      <c r="AB19" s="1915"/>
      <c r="AC19" s="1804"/>
      <c r="AD19" s="1804"/>
      <c r="AE19" s="1804"/>
      <c r="AF19" s="1804"/>
      <c r="AG19" s="1804"/>
      <c r="AH19" s="1804"/>
      <c r="AI19" s="1781" t="s">
        <v>0</v>
      </c>
      <c r="AJ19" s="1826">
        <v>2015</v>
      </c>
      <c r="AK19" s="1822" t="s">
        <v>39</v>
      </c>
      <c r="AL19" s="1822"/>
      <c r="AM19" s="1823">
        <v>542086836</v>
      </c>
      <c r="AN19" s="1824">
        <v>0.11700000000000001</v>
      </c>
      <c r="AO19" s="1781"/>
      <c r="AP19" s="1781" t="s">
        <v>0</v>
      </c>
      <c r="AQ19" s="1781" t="s">
        <v>505</v>
      </c>
      <c r="AR19" s="1822" t="s">
        <v>39</v>
      </c>
      <c r="AS19" s="1822"/>
      <c r="AT19" s="1823">
        <v>598448497.93000078</v>
      </c>
      <c r="AU19" s="1825">
        <v>0.13399997615957901</v>
      </c>
      <c r="AV19" s="1781">
        <v>2015</v>
      </c>
      <c r="AW19" s="1671"/>
      <c r="AX19" s="1671"/>
      <c r="AY19" s="1804"/>
      <c r="AZ19" s="1804"/>
      <c r="BA19" s="1804"/>
      <c r="BB19" s="1804"/>
      <c r="BC19" s="1804"/>
      <c r="BD19" s="1804"/>
      <c r="BE19" s="1804"/>
      <c r="BF19" s="1804"/>
      <c r="BG19" s="1804"/>
      <c r="BH19" s="1804"/>
      <c r="BI19" s="1804"/>
      <c r="BJ19" s="1804"/>
      <c r="BK19" s="1804"/>
      <c r="BL19" s="1804"/>
      <c r="BM19" s="1804"/>
      <c r="BN19" s="1804"/>
      <c r="BO19" s="1804"/>
      <c r="BP19" s="1804"/>
      <c r="BQ19" s="1804"/>
      <c r="BR19" s="1804"/>
      <c r="BS19" s="1804"/>
      <c r="BT19" s="1804"/>
      <c r="BU19" s="1804"/>
      <c r="BV19" s="1804"/>
      <c r="BW19" s="1804"/>
      <c r="BX19" s="1804"/>
      <c r="BY19" s="1804"/>
      <c r="BZ19" s="1804"/>
      <c r="CA19" s="1804"/>
      <c r="CB19" s="1804"/>
      <c r="CC19" s="1804"/>
      <c r="CD19" s="1804"/>
      <c r="CE19" s="1804"/>
      <c r="CF19" s="1804"/>
      <c r="CG19" s="1804"/>
      <c r="CH19" s="1804"/>
      <c r="CI19" s="1804"/>
      <c r="CJ19" s="1804"/>
      <c r="CK19" s="1804"/>
      <c r="CL19" s="1804"/>
      <c r="CM19" s="1804"/>
      <c r="CN19" s="1804"/>
      <c r="CO19" s="1804"/>
      <c r="CP19" s="1804"/>
      <c r="CQ19" s="1804"/>
      <c r="CR19" s="1804"/>
      <c r="CS19" s="1804"/>
      <c r="CT19" s="1804"/>
      <c r="CU19" s="1804"/>
      <c r="CV19" s="1804"/>
      <c r="CW19" s="1804"/>
      <c r="CX19" s="1804"/>
      <c r="CY19" s="1804"/>
      <c r="CZ19" s="1804"/>
      <c r="DA19" s="1804"/>
      <c r="DB19" s="1804"/>
      <c r="DC19" s="1804"/>
      <c r="DD19" s="1804"/>
      <c r="DE19" s="1804"/>
      <c r="DF19" s="1804"/>
      <c r="DG19" s="1804"/>
      <c r="DH19" s="1804"/>
      <c r="DI19" s="1804"/>
      <c r="DJ19" s="1804"/>
      <c r="DK19" s="1804"/>
      <c r="DL19" s="1804"/>
      <c r="DM19" s="1804"/>
      <c r="DN19" s="1804"/>
      <c r="DO19" s="1804"/>
      <c r="DP19" s="1804"/>
      <c r="DQ19" s="1671"/>
      <c r="DR19" s="1671"/>
      <c r="DS19" s="1671"/>
      <c r="DT19" s="1671"/>
      <c r="DU19" s="1671"/>
      <c r="DV19" s="1671"/>
      <c r="DW19" s="1671"/>
      <c r="DX19" s="1671"/>
      <c r="DY19" s="1671"/>
      <c r="DZ19" s="1671"/>
      <c r="EA19" s="1740"/>
      <c r="EB19" s="1740"/>
      <c r="EC19" s="1740"/>
      <c r="ED19" s="1740"/>
      <c r="EE19" s="1740"/>
      <c r="EF19" s="1740"/>
      <c r="EG19" s="1740"/>
      <c r="EH19" s="1740"/>
      <c r="EI19" s="1740"/>
      <c r="EJ19" s="1740"/>
      <c r="EK19" s="1740"/>
      <c r="EL19" s="1740"/>
      <c r="EM19" s="1740"/>
      <c r="EN19" s="1740"/>
      <c r="EO19" s="1740"/>
      <c r="EP19" s="1740"/>
      <c r="EQ19" s="1740"/>
      <c r="ER19" s="1740"/>
      <c r="ES19" s="1740"/>
      <c r="ET19" s="1740"/>
      <c r="EU19" s="1740"/>
      <c r="EV19" s="1740"/>
      <c r="EW19" s="1740"/>
      <c r="EX19" s="1740"/>
      <c r="EY19" s="1740"/>
      <c r="EZ19" s="1740"/>
      <c r="FA19" s="1740"/>
      <c r="FB19" s="1740"/>
      <c r="FC19" s="1740"/>
      <c r="FD19" s="1740"/>
      <c r="FE19" s="1740"/>
      <c r="FF19" s="1740"/>
      <c r="FG19" s="1740"/>
      <c r="FH19" s="1740"/>
      <c r="FI19" s="1740"/>
      <c r="FJ19" s="1740"/>
      <c r="FK19" s="1740"/>
      <c r="FL19" s="1740"/>
      <c r="FM19" s="1740"/>
      <c r="FN19" s="1740"/>
      <c r="FO19" s="1740"/>
      <c r="FP19" s="1740"/>
      <c r="FQ19" s="1740"/>
      <c r="FR19" s="1740"/>
      <c r="FS19" s="1740"/>
      <c r="FT19" s="1740"/>
      <c r="FU19" s="1740"/>
      <c r="FV19" s="1740"/>
      <c r="FW19" s="1740"/>
      <c r="FX19" s="1740"/>
      <c r="FY19" s="1740"/>
      <c r="FZ19" s="1740"/>
      <c r="GA19" s="1740"/>
      <c r="GB19" s="1740"/>
      <c r="GC19" s="1740"/>
      <c r="GD19" s="1740"/>
      <c r="GE19" s="1740"/>
      <c r="GF19" s="1740"/>
    </row>
    <row r="20" spans="1:188" s="20" customFormat="1">
      <c r="A20" s="333">
        <f t="shared" si="0"/>
        <v>1971</v>
      </c>
      <c r="B20" s="333">
        <f t="shared" si="1"/>
        <v>4</v>
      </c>
      <c r="C20" s="1174">
        <v>26268</v>
      </c>
      <c r="D20" s="1167"/>
      <c r="E20" s="1168">
        <v>43.48</v>
      </c>
      <c r="F20" s="1168">
        <v>36.507155879999999</v>
      </c>
      <c r="G20" s="1168"/>
      <c r="H20" s="1167"/>
      <c r="I20" s="1168"/>
      <c r="J20" s="1168"/>
      <c r="K20" s="1678"/>
      <c r="L20" s="1678"/>
      <c r="M20" s="1682"/>
      <c r="N20" s="1169"/>
      <c r="O20" s="1169"/>
      <c r="P20" s="1169"/>
      <c r="Q20" s="1167"/>
      <c r="R20" s="1167"/>
      <c r="S20" s="1167"/>
      <c r="T20" s="1167"/>
      <c r="U20" s="1167"/>
      <c r="V20" s="1167"/>
      <c r="W20" s="1167"/>
      <c r="X20" s="630"/>
      <c r="AA20" s="1915"/>
      <c r="AB20" s="1915"/>
      <c r="AC20" s="1804"/>
      <c r="AD20" s="1804"/>
      <c r="AE20" s="1804"/>
      <c r="AF20" s="1804"/>
      <c r="AG20" s="1804"/>
      <c r="AH20" s="1804"/>
      <c r="AI20" s="1781" t="s">
        <v>0</v>
      </c>
      <c r="AJ20" s="1826">
        <v>2015</v>
      </c>
      <c r="AK20" s="1822" t="s">
        <v>386</v>
      </c>
      <c r="AL20" s="1822"/>
      <c r="AM20" s="1823">
        <v>4632530370</v>
      </c>
      <c r="AN20" s="1824">
        <v>1</v>
      </c>
      <c r="AO20" s="1781"/>
      <c r="AP20" s="1781" t="s">
        <v>0</v>
      </c>
      <c r="AQ20" s="1781" t="s">
        <v>505</v>
      </c>
      <c r="AR20" s="1822" t="s">
        <v>386</v>
      </c>
      <c r="AS20" s="1822"/>
      <c r="AT20" s="1823">
        <v>4466034361.210001</v>
      </c>
      <c r="AU20" s="1825"/>
      <c r="AV20" s="1781">
        <v>2015</v>
      </c>
      <c r="AW20" s="1671"/>
      <c r="AX20" s="1925">
        <f>'Alumina - Prices'!A19</f>
        <v>42887</v>
      </c>
      <c r="AY20" s="1804"/>
      <c r="AZ20" s="1804"/>
      <c r="BA20" s="1804"/>
      <c r="BB20" s="1804"/>
      <c r="BC20" s="1804"/>
      <c r="BD20" s="1804"/>
      <c r="BE20" s="1804"/>
      <c r="BF20" s="1804"/>
      <c r="BG20" s="1804"/>
      <c r="BH20" s="1804"/>
      <c r="BI20" s="1804"/>
      <c r="BJ20" s="1804"/>
      <c r="BK20" s="1804"/>
      <c r="BL20" s="1804"/>
      <c r="BM20" s="1804"/>
      <c r="BN20" s="1804"/>
      <c r="BO20" s="1804"/>
      <c r="BP20" s="1804"/>
      <c r="BQ20" s="1804"/>
      <c r="BR20" s="1804"/>
      <c r="BS20" s="1804"/>
      <c r="BT20" s="1804"/>
      <c r="BU20" s="1804"/>
      <c r="BV20" s="1804"/>
      <c r="BW20" s="1804"/>
      <c r="BX20" s="1804"/>
      <c r="BY20" s="1804"/>
      <c r="BZ20" s="1804"/>
      <c r="CA20" s="1804"/>
      <c r="CB20" s="1804"/>
      <c r="CC20" s="1804"/>
      <c r="CD20" s="1804"/>
      <c r="CE20" s="1804"/>
      <c r="CF20" s="1804"/>
      <c r="CG20" s="1804"/>
      <c r="CH20" s="1804"/>
      <c r="CI20" s="1804"/>
      <c r="CJ20" s="1804"/>
      <c r="CK20" s="1804"/>
      <c r="CL20" s="1804"/>
      <c r="CM20" s="1804"/>
      <c r="CN20" s="1804"/>
      <c r="CO20" s="1804"/>
      <c r="CP20" s="1804"/>
      <c r="CQ20" s="1804"/>
      <c r="CR20" s="1804"/>
      <c r="CS20" s="1804"/>
      <c r="CT20" s="1804"/>
      <c r="CU20" s="1804"/>
      <c r="CV20" s="1804"/>
      <c r="CW20" s="1804"/>
      <c r="CX20" s="1804"/>
      <c r="CY20" s="1804"/>
      <c r="CZ20" s="1804"/>
      <c r="DA20" s="1804"/>
      <c r="DB20" s="1804"/>
      <c r="DC20" s="1804"/>
      <c r="DD20" s="1804"/>
      <c r="DE20" s="1804"/>
      <c r="DF20" s="1804"/>
      <c r="DG20" s="1804"/>
      <c r="DH20" s="1804"/>
      <c r="DI20" s="1804"/>
      <c r="DJ20" s="1804"/>
      <c r="DK20" s="1804"/>
      <c r="DL20" s="1804"/>
      <c r="DM20" s="1804"/>
      <c r="DN20" s="1804"/>
      <c r="DO20" s="1804"/>
      <c r="DP20" s="1804"/>
      <c r="DQ20" s="1671"/>
      <c r="DR20" s="1671"/>
      <c r="DS20" s="1671"/>
      <c r="DT20" s="1671"/>
      <c r="DU20" s="1671"/>
      <c r="DV20" s="1671"/>
      <c r="DW20" s="1671"/>
      <c r="DX20" s="1671"/>
      <c r="DY20" s="1671"/>
      <c r="DZ20" s="1671"/>
      <c r="EA20" s="1740"/>
      <c r="EB20" s="1740"/>
      <c r="EC20" s="1740"/>
      <c r="ED20" s="1740"/>
      <c r="EE20" s="1740"/>
      <c r="EF20" s="1740"/>
      <c r="EG20" s="1740"/>
      <c r="EH20" s="1740"/>
      <c r="EI20" s="1740"/>
      <c r="EJ20" s="1740"/>
      <c r="EK20" s="1740"/>
      <c r="EL20" s="1740"/>
      <c r="EM20" s="1740"/>
      <c r="EN20" s="1740"/>
      <c r="EO20" s="1740"/>
      <c r="EP20" s="1740"/>
      <c r="EQ20" s="1740"/>
      <c r="ER20" s="1740"/>
      <c r="ES20" s="1740"/>
      <c r="ET20" s="1740"/>
      <c r="EU20" s="1740"/>
      <c r="EV20" s="1740"/>
      <c r="EW20" s="1740"/>
      <c r="EX20" s="1740"/>
      <c r="EY20" s="1740"/>
      <c r="EZ20" s="1740"/>
      <c r="FA20" s="1740"/>
      <c r="FB20" s="1740"/>
      <c r="FC20" s="1740"/>
      <c r="FD20" s="1740"/>
      <c r="FE20" s="1740"/>
      <c r="FF20" s="1740"/>
      <c r="FG20" s="1740"/>
      <c r="FH20" s="1740"/>
      <c r="FI20" s="1740"/>
      <c r="FJ20" s="1740"/>
      <c r="FK20" s="1740"/>
      <c r="FL20" s="1740"/>
      <c r="FM20" s="1740"/>
      <c r="FN20" s="1740"/>
      <c r="FO20" s="1740"/>
      <c r="FP20" s="1740"/>
      <c r="FQ20" s="1740"/>
      <c r="FR20" s="1740"/>
      <c r="FS20" s="1740"/>
      <c r="FT20" s="1740"/>
      <c r="FU20" s="1740"/>
      <c r="FV20" s="1740"/>
      <c r="FW20" s="1740"/>
      <c r="FX20" s="1740"/>
      <c r="FY20" s="1740"/>
      <c r="FZ20" s="1740"/>
      <c r="GA20" s="1740"/>
      <c r="GB20" s="1740"/>
      <c r="GC20" s="1740"/>
      <c r="GD20" s="1740"/>
      <c r="GE20" s="1740"/>
      <c r="GF20" s="1740"/>
    </row>
    <row r="21" spans="1:188" s="20" customFormat="1">
      <c r="A21" s="333">
        <f t="shared" si="0"/>
        <v>1972</v>
      </c>
      <c r="B21" s="333">
        <f t="shared" si="1"/>
        <v>1</v>
      </c>
      <c r="C21" s="1174">
        <v>26301</v>
      </c>
      <c r="D21" s="1158"/>
      <c r="E21" s="1159">
        <v>45.75</v>
      </c>
      <c r="F21" s="1159">
        <v>38.413118250000004</v>
      </c>
      <c r="G21" s="1160"/>
      <c r="H21" s="1161"/>
      <c r="I21" s="1160"/>
      <c r="J21" s="1160"/>
      <c r="K21" s="1677"/>
      <c r="L21" s="1677"/>
      <c r="M21" s="1681"/>
      <c r="N21" s="1162"/>
      <c r="O21" s="1162"/>
      <c r="P21" s="1162"/>
      <c r="Q21" s="1163"/>
      <c r="R21" s="1164"/>
      <c r="S21" s="1164"/>
      <c r="T21" s="1164"/>
      <c r="U21" s="1165"/>
      <c r="V21" s="1166"/>
      <c r="W21" s="1166"/>
      <c r="X21" s="630"/>
      <c r="AA21" s="1915"/>
      <c r="AB21" s="1915"/>
      <c r="AC21" s="1804"/>
      <c r="AD21" s="1804"/>
      <c r="AE21" s="1804"/>
      <c r="AF21" s="1804"/>
      <c r="AG21" s="1804"/>
      <c r="AH21" s="1804"/>
      <c r="AI21" s="1781" t="s">
        <v>0</v>
      </c>
      <c r="AJ21" s="1826">
        <v>2014</v>
      </c>
      <c r="AK21" s="1822" t="s">
        <v>34</v>
      </c>
      <c r="AL21" s="1822">
        <v>1</v>
      </c>
      <c r="AM21" s="1823">
        <v>640295054</v>
      </c>
      <c r="AN21" s="1824">
        <v>0.17699999999999999</v>
      </c>
      <c r="AO21" s="1781"/>
      <c r="AP21" s="1781" t="s">
        <v>0</v>
      </c>
      <c r="AQ21" s="1781" t="s">
        <v>504</v>
      </c>
      <c r="AR21" s="1822" t="s">
        <v>34</v>
      </c>
      <c r="AS21" s="1822">
        <v>1</v>
      </c>
      <c r="AT21" s="1823">
        <v>758669887</v>
      </c>
      <c r="AU21" s="1825">
        <v>0.18</v>
      </c>
      <c r="AV21" s="1781">
        <v>2014</v>
      </c>
      <c r="AW21" s="1671"/>
      <c r="AX21" s="1671"/>
      <c r="AY21" s="1804"/>
      <c r="AZ21" s="1804"/>
      <c r="BA21" s="1804"/>
      <c r="BB21" s="1804"/>
      <c r="BC21" s="1804"/>
      <c r="BD21" s="1804"/>
      <c r="BE21" s="1804"/>
      <c r="BF21" s="1804"/>
      <c r="BG21" s="1804"/>
      <c r="BH21" s="1804"/>
      <c r="BI21" s="1804"/>
      <c r="BJ21" s="1804"/>
      <c r="BK21" s="1804"/>
      <c r="BL21" s="1804"/>
      <c r="BM21" s="1804"/>
      <c r="BN21" s="1804"/>
      <c r="BO21" s="1804"/>
      <c r="BP21" s="1804"/>
      <c r="BQ21" s="1804"/>
      <c r="BR21" s="1804"/>
      <c r="BS21" s="1804"/>
      <c r="BT21" s="1804"/>
      <c r="BU21" s="1804"/>
      <c r="BV21" s="1804"/>
      <c r="BW21" s="1804"/>
      <c r="BX21" s="1804"/>
      <c r="BY21" s="1804"/>
      <c r="BZ21" s="1804"/>
      <c r="CA21" s="1804"/>
      <c r="CB21" s="1804"/>
      <c r="CC21" s="1804"/>
      <c r="CD21" s="1804"/>
      <c r="CE21" s="1804"/>
      <c r="CF21" s="1804"/>
      <c r="CG21" s="1804"/>
      <c r="CH21" s="1804"/>
      <c r="CI21" s="1804"/>
      <c r="CJ21" s="1804"/>
      <c r="CK21" s="1804"/>
      <c r="CL21" s="1804"/>
      <c r="CM21" s="1804"/>
      <c r="CN21" s="1804"/>
      <c r="CO21" s="1804"/>
      <c r="CP21" s="1804"/>
      <c r="CQ21" s="1804"/>
      <c r="CR21" s="1804"/>
      <c r="CS21" s="1804"/>
      <c r="CT21" s="1804"/>
      <c r="CU21" s="1804"/>
      <c r="CV21" s="1804"/>
      <c r="CW21" s="1804"/>
      <c r="CX21" s="1804"/>
      <c r="CY21" s="1804"/>
      <c r="CZ21" s="1804"/>
      <c r="DA21" s="1804"/>
      <c r="DB21" s="1804"/>
      <c r="DC21" s="1804"/>
      <c r="DD21" s="1804"/>
      <c r="DE21" s="1804"/>
      <c r="DF21" s="1804"/>
      <c r="DG21" s="1804"/>
      <c r="DH21" s="1804"/>
      <c r="DI21" s="1804"/>
      <c r="DJ21" s="1804"/>
      <c r="DK21" s="1804"/>
      <c r="DL21" s="1804"/>
      <c r="DM21" s="1804"/>
      <c r="DN21" s="1804"/>
      <c r="DO21" s="1804"/>
      <c r="DP21" s="1804"/>
      <c r="DQ21" s="1671"/>
      <c r="DR21" s="1671"/>
      <c r="DS21" s="1671"/>
      <c r="DT21" s="1671"/>
      <c r="DU21" s="1671"/>
      <c r="DV21" s="1671"/>
      <c r="DW21" s="1671"/>
      <c r="DX21" s="1671"/>
      <c r="DY21" s="1671"/>
      <c r="DZ21" s="1671"/>
      <c r="EA21" s="1740"/>
      <c r="EB21" s="1740"/>
      <c r="EC21" s="1740"/>
      <c r="ED21" s="1740"/>
      <c r="EE21" s="1740"/>
      <c r="EF21" s="1740"/>
      <c r="EG21" s="1740"/>
      <c r="EH21" s="1740"/>
      <c r="EI21" s="1740"/>
      <c r="EJ21" s="1740"/>
      <c r="EK21" s="1740"/>
      <c r="EL21" s="1740"/>
      <c r="EM21" s="1740"/>
      <c r="EN21" s="1740"/>
      <c r="EO21" s="1740"/>
      <c r="EP21" s="1740"/>
      <c r="EQ21" s="1740"/>
      <c r="ER21" s="1740"/>
      <c r="ES21" s="1740"/>
      <c r="ET21" s="1740"/>
      <c r="EU21" s="1740"/>
      <c r="EV21" s="1740"/>
      <c r="EW21" s="1740"/>
      <c r="EX21" s="1740"/>
      <c r="EY21" s="1740"/>
      <c r="EZ21" s="1740"/>
      <c r="FA21" s="1740"/>
      <c r="FB21" s="1740"/>
      <c r="FC21" s="1740"/>
      <c r="FD21" s="1740"/>
      <c r="FE21" s="1740"/>
      <c r="FF21" s="1740"/>
      <c r="FG21" s="1740"/>
      <c r="FH21" s="1740"/>
      <c r="FI21" s="1740"/>
      <c r="FJ21" s="1740"/>
      <c r="FK21" s="1740"/>
      <c r="FL21" s="1740"/>
      <c r="FM21" s="1740"/>
      <c r="FN21" s="1740"/>
      <c r="FO21" s="1740"/>
      <c r="FP21" s="1740"/>
      <c r="FQ21" s="1740"/>
      <c r="FR21" s="1740"/>
      <c r="FS21" s="1740"/>
      <c r="FT21" s="1740"/>
      <c r="FU21" s="1740"/>
      <c r="FV21" s="1740"/>
      <c r="FW21" s="1740"/>
      <c r="FX21" s="1740"/>
      <c r="FY21" s="1740"/>
      <c r="FZ21" s="1740"/>
      <c r="GA21" s="1740"/>
      <c r="GB21" s="1740"/>
      <c r="GC21" s="1740"/>
      <c r="GD21" s="1740"/>
      <c r="GE21" s="1740"/>
      <c r="GF21" s="1740"/>
    </row>
    <row r="22" spans="1:188" s="20" customFormat="1">
      <c r="A22" s="333">
        <f t="shared" si="0"/>
        <v>1972</v>
      </c>
      <c r="B22" s="333">
        <f t="shared" si="1"/>
        <v>1</v>
      </c>
      <c r="C22" s="1174">
        <v>26330</v>
      </c>
      <c r="D22" s="1167"/>
      <c r="E22" s="1168">
        <v>48.26</v>
      </c>
      <c r="F22" s="1168">
        <v>40.520592059999998</v>
      </c>
      <c r="G22" s="1168"/>
      <c r="H22" s="1167"/>
      <c r="I22" s="1168"/>
      <c r="J22" s="1168"/>
      <c r="K22" s="1678"/>
      <c r="L22" s="1678"/>
      <c r="M22" s="1682"/>
      <c r="N22" s="1169"/>
      <c r="O22" s="1169"/>
      <c r="P22" s="1169"/>
      <c r="Q22" s="1167"/>
      <c r="R22" s="1167"/>
      <c r="S22" s="1167"/>
      <c r="T22" s="1167"/>
      <c r="U22" s="1167"/>
      <c r="V22" s="1167"/>
      <c r="W22" s="1167"/>
      <c r="X22" s="630"/>
      <c r="AA22" s="1915"/>
      <c r="AB22" s="1915"/>
      <c r="AC22" s="1804"/>
      <c r="AD22" s="1804"/>
      <c r="AE22" s="1804"/>
      <c r="AF22" s="1804"/>
      <c r="AG22" s="1804"/>
      <c r="AH22" s="1804"/>
      <c r="AI22" s="1781" t="s">
        <v>0</v>
      </c>
      <c r="AJ22" s="1826">
        <v>2014</v>
      </c>
      <c r="AK22" s="1822" t="s">
        <v>18</v>
      </c>
      <c r="AL22" s="1822">
        <v>2</v>
      </c>
      <c r="AM22" s="1823">
        <v>554354076</v>
      </c>
      <c r="AN22" s="1824">
        <v>0.153</v>
      </c>
      <c r="AO22" s="1781"/>
      <c r="AP22" s="1781" t="s">
        <v>0</v>
      </c>
      <c r="AQ22" s="1781" t="s">
        <v>504</v>
      </c>
      <c r="AR22" s="1822" t="s">
        <v>18</v>
      </c>
      <c r="AS22" s="1822">
        <v>2</v>
      </c>
      <c r="AT22" s="1823">
        <v>599875179</v>
      </c>
      <c r="AU22" s="1825">
        <v>0.14199999999999999</v>
      </c>
      <c r="AV22" s="1781">
        <v>2014</v>
      </c>
      <c r="AW22" s="1671"/>
      <c r="AX22" s="1671"/>
      <c r="AY22" s="1804"/>
      <c r="AZ22" s="1804"/>
      <c r="BA22" s="1804"/>
      <c r="BB22" s="1804"/>
      <c r="BC22" s="1804"/>
      <c r="BD22" s="1804"/>
      <c r="BE22" s="1804"/>
      <c r="BF22" s="1804"/>
      <c r="BG22" s="1804"/>
      <c r="BH22" s="1804"/>
      <c r="BI22" s="1804"/>
      <c r="BJ22" s="1804"/>
      <c r="BK22" s="1804"/>
      <c r="BL22" s="1804"/>
      <c r="BM22" s="1804"/>
      <c r="BN22" s="1804"/>
      <c r="BO22" s="1804"/>
      <c r="BP22" s="1804"/>
      <c r="BQ22" s="1804"/>
      <c r="BR22" s="1804"/>
      <c r="BS22" s="1804"/>
      <c r="BT22" s="1804"/>
      <c r="BU22" s="1804"/>
      <c r="BV22" s="1804"/>
      <c r="BW22" s="1804"/>
      <c r="BX22" s="1804"/>
      <c r="BY22" s="1804"/>
      <c r="BZ22" s="1804"/>
      <c r="CA22" s="1804"/>
      <c r="CB22" s="1804"/>
      <c r="CC22" s="1804"/>
      <c r="CD22" s="1804"/>
      <c r="CE22" s="1804"/>
      <c r="CF22" s="1804"/>
      <c r="CG22" s="1804"/>
      <c r="CH22" s="1804"/>
      <c r="CI22" s="1804"/>
      <c r="CJ22" s="1804"/>
      <c r="CK22" s="1804"/>
      <c r="CL22" s="1804"/>
      <c r="CM22" s="1804"/>
      <c r="CN22" s="1804"/>
      <c r="CO22" s="1804"/>
      <c r="CP22" s="1804"/>
      <c r="CQ22" s="1804"/>
      <c r="CR22" s="1804"/>
      <c r="CS22" s="1804"/>
      <c r="CT22" s="1804"/>
      <c r="CU22" s="1804"/>
      <c r="CV22" s="1804"/>
      <c r="CW22" s="1804"/>
      <c r="CX22" s="1804"/>
      <c r="CY22" s="1804"/>
      <c r="CZ22" s="1804"/>
      <c r="DA22" s="1804"/>
      <c r="DB22" s="1804"/>
      <c r="DC22" s="1804"/>
      <c r="DD22" s="1804"/>
      <c r="DE22" s="1804"/>
      <c r="DF22" s="1804"/>
      <c r="DG22" s="1804"/>
      <c r="DH22" s="1804"/>
      <c r="DI22" s="1804"/>
      <c r="DJ22" s="1804"/>
      <c r="DK22" s="1804"/>
      <c r="DL22" s="1804"/>
      <c r="DM22" s="1804"/>
      <c r="DN22" s="1804"/>
      <c r="DO22" s="1804"/>
      <c r="DP22" s="1804"/>
      <c r="DQ22" s="1671"/>
      <c r="DR22" s="1671"/>
      <c r="DS22" s="1671"/>
      <c r="DT22" s="1671"/>
      <c r="DU22" s="1671"/>
      <c r="DV22" s="1671"/>
      <c r="DW22" s="1671"/>
      <c r="DX22" s="1671"/>
      <c r="DY22" s="1671"/>
      <c r="DZ22" s="1671"/>
      <c r="EA22" s="1740"/>
      <c r="EB22" s="1740"/>
      <c r="EC22" s="1740"/>
      <c r="ED22" s="1740"/>
      <c r="EE22" s="1740"/>
      <c r="EF22" s="1740"/>
      <c r="EG22" s="1740"/>
      <c r="EH22" s="1740"/>
      <c r="EI22" s="1740"/>
      <c r="EJ22" s="1740"/>
      <c r="EK22" s="1740"/>
      <c r="EL22" s="1740"/>
      <c r="EM22" s="1740"/>
      <c r="EN22" s="1740"/>
      <c r="EO22" s="1740"/>
      <c r="EP22" s="1740"/>
      <c r="EQ22" s="1740"/>
      <c r="ER22" s="1740"/>
      <c r="ES22" s="1740"/>
      <c r="ET22" s="1740"/>
      <c r="EU22" s="1740"/>
      <c r="EV22" s="1740"/>
      <c r="EW22" s="1740"/>
      <c r="EX22" s="1740"/>
      <c r="EY22" s="1740"/>
      <c r="EZ22" s="1740"/>
      <c r="FA22" s="1740"/>
      <c r="FB22" s="1740"/>
      <c r="FC22" s="1740"/>
      <c r="FD22" s="1740"/>
      <c r="FE22" s="1740"/>
      <c r="FF22" s="1740"/>
      <c r="FG22" s="1740"/>
      <c r="FH22" s="1740"/>
      <c r="FI22" s="1740"/>
      <c r="FJ22" s="1740"/>
      <c r="FK22" s="1740"/>
      <c r="FL22" s="1740"/>
      <c r="FM22" s="1740"/>
      <c r="FN22" s="1740"/>
      <c r="FO22" s="1740"/>
      <c r="FP22" s="1740"/>
      <c r="FQ22" s="1740"/>
      <c r="FR22" s="1740"/>
      <c r="FS22" s="1740"/>
      <c r="FT22" s="1740"/>
      <c r="FU22" s="1740"/>
      <c r="FV22" s="1740"/>
      <c r="FW22" s="1740"/>
      <c r="FX22" s="1740"/>
      <c r="FY22" s="1740"/>
      <c r="FZ22" s="1740"/>
      <c r="GA22" s="1740"/>
      <c r="GB22" s="1740"/>
      <c r="GC22" s="1740"/>
      <c r="GD22" s="1740"/>
      <c r="GE22" s="1740"/>
      <c r="GF22" s="1740"/>
    </row>
    <row r="23" spans="1:188" s="20" customFormat="1">
      <c r="A23" s="333">
        <f t="shared" si="0"/>
        <v>1972</v>
      </c>
      <c r="B23" s="333">
        <f t="shared" si="1"/>
        <v>1</v>
      </c>
      <c r="C23" s="1174">
        <v>26359</v>
      </c>
      <c r="D23" s="1158"/>
      <c r="E23" s="1159">
        <v>48.33</v>
      </c>
      <c r="F23" s="1159">
        <v>40.579366229999998</v>
      </c>
      <c r="G23" s="1160"/>
      <c r="H23" s="1161"/>
      <c r="I23" s="1160"/>
      <c r="J23" s="1160"/>
      <c r="K23" s="1677"/>
      <c r="L23" s="1677"/>
      <c r="M23" s="1681"/>
      <c r="N23" s="1162"/>
      <c r="O23" s="1162"/>
      <c r="P23" s="1162"/>
      <c r="Q23" s="1163"/>
      <c r="R23" s="1164"/>
      <c r="S23" s="1164"/>
      <c r="T23" s="1164"/>
      <c r="U23" s="1165"/>
      <c r="V23" s="1166"/>
      <c r="W23" s="1166"/>
      <c r="X23" s="630"/>
      <c r="AA23" s="1915"/>
      <c r="AB23" s="1915"/>
      <c r="AC23" s="1804"/>
      <c r="AD23" s="1804"/>
      <c r="AE23" s="1804"/>
      <c r="AF23" s="1804"/>
      <c r="AG23" s="1804"/>
      <c r="AH23" s="1804"/>
      <c r="AI23" s="1781" t="s">
        <v>0</v>
      </c>
      <c r="AJ23" s="1826">
        <v>2014</v>
      </c>
      <c r="AK23" s="1822" t="s">
        <v>32</v>
      </c>
      <c r="AL23" s="1822">
        <v>3</v>
      </c>
      <c r="AM23" s="1823">
        <v>425506418</v>
      </c>
      <c r="AN23" s="1824">
        <v>0.11700000000000001</v>
      </c>
      <c r="AO23" s="1781"/>
      <c r="AP23" s="1781" t="s">
        <v>0</v>
      </c>
      <c r="AQ23" s="1781" t="s">
        <v>504</v>
      </c>
      <c r="AR23" s="1822" t="s">
        <v>17</v>
      </c>
      <c r="AS23" s="1822">
        <v>3</v>
      </c>
      <c r="AT23" s="1823">
        <v>513421015</v>
      </c>
      <c r="AU23" s="1825">
        <v>0.122</v>
      </c>
      <c r="AV23" s="1781">
        <v>2014</v>
      </c>
      <c r="AW23" s="1671"/>
      <c r="AX23" s="1925">
        <f>'Alumina - Prices'!A22</f>
        <v>42979</v>
      </c>
      <c r="AY23" s="1804"/>
      <c r="AZ23" s="1804"/>
      <c r="BA23" s="1804"/>
      <c r="BB23" s="1804"/>
      <c r="BC23" s="1804"/>
      <c r="BD23" s="1804"/>
      <c r="BE23" s="1804"/>
      <c r="BF23" s="1804"/>
      <c r="BG23" s="1804"/>
      <c r="BH23" s="1804"/>
      <c r="BI23" s="1804"/>
      <c r="BJ23" s="1804"/>
      <c r="BK23" s="1804"/>
      <c r="BL23" s="1804"/>
      <c r="BM23" s="1804"/>
      <c r="BN23" s="1804"/>
      <c r="BO23" s="1804"/>
      <c r="BP23" s="1804"/>
      <c r="BQ23" s="1804"/>
      <c r="BR23" s="1804"/>
      <c r="BS23" s="1804"/>
      <c r="BT23" s="1804"/>
      <c r="BU23" s="1804"/>
      <c r="BV23" s="1804"/>
      <c r="BW23" s="1804"/>
      <c r="BX23" s="1804"/>
      <c r="BY23" s="1804"/>
      <c r="BZ23" s="1804"/>
      <c r="CA23" s="1804"/>
      <c r="CB23" s="1804"/>
      <c r="CC23" s="1804"/>
      <c r="CD23" s="1804"/>
      <c r="CE23" s="1804"/>
      <c r="CF23" s="1804"/>
      <c r="CG23" s="1804"/>
      <c r="CH23" s="1804"/>
      <c r="CI23" s="1804"/>
      <c r="CJ23" s="1804"/>
      <c r="CK23" s="1804"/>
      <c r="CL23" s="1804"/>
      <c r="CM23" s="1804"/>
      <c r="CN23" s="1804"/>
      <c r="CO23" s="1804"/>
      <c r="CP23" s="1804"/>
      <c r="CQ23" s="1804"/>
      <c r="CR23" s="1804"/>
      <c r="CS23" s="1804"/>
      <c r="CT23" s="1804"/>
      <c r="CU23" s="1804"/>
      <c r="CV23" s="1804"/>
      <c r="CW23" s="1804"/>
      <c r="CX23" s="1804"/>
      <c r="CY23" s="1804"/>
      <c r="CZ23" s="1804"/>
      <c r="DA23" s="1804"/>
      <c r="DB23" s="1804"/>
      <c r="DC23" s="1804"/>
      <c r="DD23" s="1804"/>
      <c r="DE23" s="1804"/>
      <c r="DF23" s="1804"/>
      <c r="DG23" s="1804"/>
      <c r="DH23" s="1804"/>
      <c r="DI23" s="1804"/>
      <c r="DJ23" s="1804"/>
      <c r="DK23" s="1804"/>
      <c r="DL23" s="1804"/>
      <c r="DM23" s="1804"/>
      <c r="DN23" s="1804"/>
      <c r="DO23" s="1804"/>
      <c r="DP23" s="1804"/>
      <c r="DQ23" s="1671"/>
      <c r="DR23" s="1671"/>
      <c r="DS23" s="1671"/>
      <c r="DT23" s="1671"/>
      <c r="DU23" s="1671"/>
      <c r="DV23" s="1671"/>
      <c r="DW23" s="1671"/>
      <c r="DX23" s="1671"/>
      <c r="DY23" s="1671"/>
      <c r="DZ23" s="1671"/>
      <c r="EA23" s="1740"/>
      <c r="EB23" s="1740"/>
      <c r="EC23" s="1740"/>
      <c r="ED23" s="1740"/>
      <c r="EE23" s="1740"/>
      <c r="EF23" s="1740"/>
      <c r="EG23" s="1740"/>
      <c r="EH23" s="1740"/>
      <c r="EI23" s="1740"/>
      <c r="EJ23" s="1740"/>
      <c r="EK23" s="1740"/>
      <c r="EL23" s="1740"/>
      <c r="EM23" s="1740"/>
      <c r="EN23" s="1740"/>
      <c r="EO23" s="1740"/>
      <c r="EP23" s="1740"/>
      <c r="EQ23" s="1740"/>
      <c r="ER23" s="1740"/>
      <c r="ES23" s="1740"/>
      <c r="ET23" s="1740"/>
      <c r="EU23" s="1740"/>
      <c r="EV23" s="1740"/>
      <c r="EW23" s="1740"/>
      <c r="EX23" s="1740"/>
      <c r="EY23" s="1740"/>
      <c r="EZ23" s="1740"/>
      <c r="FA23" s="1740"/>
      <c r="FB23" s="1740"/>
      <c r="FC23" s="1740"/>
      <c r="FD23" s="1740"/>
      <c r="FE23" s="1740"/>
      <c r="FF23" s="1740"/>
      <c r="FG23" s="1740"/>
      <c r="FH23" s="1740"/>
      <c r="FI23" s="1740"/>
      <c r="FJ23" s="1740"/>
      <c r="FK23" s="1740"/>
      <c r="FL23" s="1740"/>
      <c r="FM23" s="1740"/>
      <c r="FN23" s="1740"/>
      <c r="FO23" s="1740"/>
      <c r="FP23" s="1740"/>
      <c r="FQ23" s="1740"/>
      <c r="FR23" s="1740"/>
      <c r="FS23" s="1740"/>
      <c r="FT23" s="1740"/>
      <c r="FU23" s="1740"/>
      <c r="FV23" s="1740"/>
      <c r="FW23" s="1740"/>
      <c r="FX23" s="1740"/>
      <c r="FY23" s="1740"/>
      <c r="FZ23" s="1740"/>
      <c r="GA23" s="1740"/>
      <c r="GB23" s="1740"/>
      <c r="GC23" s="1740"/>
      <c r="GD23" s="1740"/>
      <c r="GE23" s="1740"/>
      <c r="GF23" s="1740"/>
    </row>
    <row r="24" spans="1:188" s="20" customFormat="1">
      <c r="A24" s="333">
        <f t="shared" si="0"/>
        <v>1972</v>
      </c>
      <c r="B24" s="333">
        <f t="shared" si="1"/>
        <v>2</v>
      </c>
      <c r="C24" s="1174">
        <v>26392</v>
      </c>
      <c r="D24" s="1167"/>
      <c r="E24" s="1168">
        <v>49.03</v>
      </c>
      <c r="F24" s="1168">
        <v>41.16710793</v>
      </c>
      <c r="G24" s="1168"/>
      <c r="H24" s="1167"/>
      <c r="I24" s="1168"/>
      <c r="J24" s="1168"/>
      <c r="K24" s="1678"/>
      <c r="L24" s="1678"/>
      <c r="M24" s="1682"/>
      <c r="N24" s="1169"/>
      <c r="O24" s="1169"/>
      <c r="P24" s="1169"/>
      <c r="Q24" s="1167"/>
      <c r="R24" s="1167"/>
      <c r="S24" s="1167"/>
      <c r="T24" s="1167"/>
      <c r="U24" s="1167"/>
      <c r="V24" s="1167"/>
      <c r="W24" s="1167"/>
      <c r="X24" s="630"/>
      <c r="AA24" s="1915"/>
      <c r="AB24" s="1915"/>
      <c r="AC24" s="1804"/>
      <c r="AD24" s="1804"/>
      <c r="AE24" s="1804"/>
      <c r="AF24" s="1804"/>
      <c r="AG24" s="1804"/>
      <c r="AH24" s="1804"/>
      <c r="AI24" s="1781" t="s">
        <v>0</v>
      </c>
      <c r="AJ24" s="1826">
        <v>2014</v>
      </c>
      <c r="AK24" s="1822" t="s">
        <v>17</v>
      </c>
      <c r="AL24" s="1822">
        <v>4</v>
      </c>
      <c r="AM24" s="1823">
        <v>384930143</v>
      </c>
      <c r="AN24" s="1824">
        <v>0.106</v>
      </c>
      <c r="AO24" s="1781"/>
      <c r="AP24" s="1781" t="s">
        <v>0</v>
      </c>
      <c r="AQ24" s="1781" t="s">
        <v>504</v>
      </c>
      <c r="AR24" s="1822" t="s">
        <v>32</v>
      </c>
      <c r="AS24" s="1822">
        <v>4</v>
      </c>
      <c r="AT24" s="1823">
        <v>467013328</v>
      </c>
      <c r="AU24" s="1825">
        <v>0.111</v>
      </c>
      <c r="AV24" s="1781">
        <v>2014</v>
      </c>
      <c r="AW24" s="1671"/>
      <c r="AX24" s="1671"/>
      <c r="AY24" s="1804"/>
      <c r="AZ24" s="1804"/>
      <c r="BA24" s="1804"/>
      <c r="BB24" s="1804"/>
      <c r="BC24" s="1804"/>
      <c r="BD24" s="1804"/>
      <c r="BE24" s="1804"/>
      <c r="BF24" s="1804"/>
      <c r="BG24" s="1804"/>
      <c r="BH24" s="1804"/>
      <c r="BI24" s="1804"/>
      <c r="BJ24" s="1804"/>
      <c r="BK24" s="1804"/>
      <c r="BL24" s="1804"/>
      <c r="BM24" s="1804"/>
      <c r="BN24" s="1804"/>
      <c r="BO24" s="1804"/>
      <c r="BP24" s="1804"/>
      <c r="BQ24" s="1804"/>
      <c r="BR24" s="1804"/>
      <c r="BS24" s="1804"/>
      <c r="BT24" s="1804"/>
      <c r="BU24" s="1804"/>
      <c r="BV24" s="1804"/>
      <c r="BW24" s="1804"/>
      <c r="BX24" s="1804"/>
      <c r="BY24" s="1804"/>
      <c r="BZ24" s="1804"/>
      <c r="CA24" s="1804"/>
      <c r="CB24" s="1804"/>
      <c r="CC24" s="1804"/>
      <c r="CD24" s="1804"/>
      <c r="CE24" s="1804"/>
      <c r="CF24" s="1804"/>
      <c r="CG24" s="1804"/>
      <c r="CH24" s="1804"/>
      <c r="CI24" s="1804"/>
      <c r="CJ24" s="1804"/>
      <c r="CK24" s="1804"/>
      <c r="CL24" s="1804"/>
      <c r="CM24" s="1804"/>
      <c r="CN24" s="1804"/>
      <c r="CO24" s="1804"/>
      <c r="CP24" s="1804"/>
      <c r="CQ24" s="1804"/>
      <c r="CR24" s="1804"/>
      <c r="CS24" s="1804"/>
      <c r="CT24" s="1804"/>
      <c r="CU24" s="1804"/>
      <c r="CV24" s="1804"/>
      <c r="CW24" s="1804"/>
      <c r="CX24" s="1804"/>
      <c r="CY24" s="1804"/>
      <c r="CZ24" s="1804"/>
      <c r="DA24" s="1804"/>
      <c r="DB24" s="1804"/>
      <c r="DC24" s="1804"/>
      <c r="DD24" s="1804"/>
      <c r="DE24" s="1804"/>
      <c r="DF24" s="1804"/>
      <c r="DG24" s="1804"/>
      <c r="DH24" s="1804"/>
      <c r="DI24" s="1804"/>
      <c r="DJ24" s="1804"/>
      <c r="DK24" s="1804"/>
      <c r="DL24" s="1804"/>
      <c r="DM24" s="1804"/>
      <c r="DN24" s="1804"/>
      <c r="DO24" s="1804"/>
      <c r="DP24" s="1804"/>
      <c r="DQ24" s="1671"/>
      <c r="DR24" s="1671"/>
      <c r="DS24" s="1671"/>
      <c r="DT24" s="1671"/>
      <c r="DU24" s="1671"/>
      <c r="DV24" s="1671"/>
      <c r="DW24" s="1671"/>
      <c r="DX24" s="1671"/>
      <c r="DY24" s="1671"/>
      <c r="DZ24" s="1671"/>
      <c r="EA24" s="1740"/>
      <c r="EB24" s="1740"/>
      <c r="EC24" s="1740"/>
      <c r="ED24" s="1740"/>
      <c r="EE24" s="1740"/>
      <c r="EF24" s="1740"/>
      <c r="EG24" s="1740"/>
      <c r="EH24" s="1740"/>
      <c r="EI24" s="1740"/>
      <c r="EJ24" s="1740"/>
      <c r="EK24" s="1740"/>
      <c r="EL24" s="1740"/>
      <c r="EM24" s="1740"/>
      <c r="EN24" s="1740"/>
      <c r="EO24" s="1740"/>
      <c r="EP24" s="1740"/>
      <c r="EQ24" s="1740"/>
      <c r="ER24" s="1740"/>
      <c r="ES24" s="1740"/>
      <c r="ET24" s="1740"/>
      <c r="EU24" s="1740"/>
      <c r="EV24" s="1740"/>
      <c r="EW24" s="1740"/>
      <c r="EX24" s="1740"/>
      <c r="EY24" s="1740"/>
      <c r="EZ24" s="1740"/>
      <c r="FA24" s="1740"/>
      <c r="FB24" s="1740"/>
      <c r="FC24" s="1740"/>
      <c r="FD24" s="1740"/>
      <c r="FE24" s="1740"/>
      <c r="FF24" s="1740"/>
      <c r="FG24" s="1740"/>
      <c r="FH24" s="1740"/>
      <c r="FI24" s="1740"/>
      <c r="FJ24" s="1740"/>
      <c r="FK24" s="1740"/>
      <c r="FL24" s="1740"/>
      <c r="FM24" s="1740"/>
      <c r="FN24" s="1740"/>
      <c r="FO24" s="1740"/>
      <c r="FP24" s="1740"/>
      <c r="FQ24" s="1740"/>
      <c r="FR24" s="1740"/>
      <c r="FS24" s="1740"/>
      <c r="FT24" s="1740"/>
      <c r="FU24" s="1740"/>
      <c r="FV24" s="1740"/>
      <c r="FW24" s="1740"/>
      <c r="FX24" s="1740"/>
      <c r="FY24" s="1740"/>
      <c r="FZ24" s="1740"/>
      <c r="GA24" s="1740"/>
      <c r="GB24" s="1740"/>
      <c r="GC24" s="1740"/>
      <c r="GD24" s="1740"/>
      <c r="GE24" s="1740"/>
      <c r="GF24" s="1740"/>
    </row>
    <row r="25" spans="1:188" s="20" customFormat="1">
      <c r="A25" s="333">
        <f t="shared" si="0"/>
        <v>1972</v>
      </c>
      <c r="B25" s="333">
        <f t="shared" si="1"/>
        <v>2</v>
      </c>
      <c r="C25" s="1174">
        <v>26420</v>
      </c>
      <c r="D25" s="1158"/>
      <c r="E25" s="1159">
        <v>54.62</v>
      </c>
      <c r="F25" s="1159">
        <v>45.860645220000002</v>
      </c>
      <c r="G25" s="1160"/>
      <c r="H25" s="1161"/>
      <c r="I25" s="1160"/>
      <c r="J25" s="1160"/>
      <c r="K25" s="1677"/>
      <c r="L25" s="1677"/>
      <c r="M25" s="1681"/>
      <c r="N25" s="1162"/>
      <c r="O25" s="1162"/>
      <c r="P25" s="1162"/>
      <c r="Q25" s="1163"/>
      <c r="R25" s="1164"/>
      <c r="S25" s="1164"/>
      <c r="T25" s="1164"/>
      <c r="U25" s="1165"/>
      <c r="V25" s="1166"/>
      <c r="W25" s="1166"/>
      <c r="X25" s="630"/>
      <c r="AA25" s="1915"/>
      <c r="AB25" s="1915"/>
      <c r="AC25" s="1804"/>
      <c r="AD25" s="1804"/>
      <c r="AE25" s="1804"/>
      <c r="AF25" s="1804"/>
      <c r="AG25" s="1804"/>
      <c r="AH25" s="1804"/>
      <c r="AI25" s="1781" t="s">
        <v>0</v>
      </c>
      <c r="AJ25" s="1826">
        <v>2014</v>
      </c>
      <c r="AK25" s="1822" t="s">
        <v>31</v>
      </c>
      <c r="AL25" s="1822">
        <v>5</v>
      </c>
      <c r="AM25" s="1823">
        <v>380369918</v>
      </c>
      <c r="AN25" s="1824">
        <v>0.105</v>
      </c>
      <c r="AO25" s="1781"/>
      <c r="AP25" s="1781" t="s">
        <v>0</v>
      </c>
      <c r="AQ25" s="1781" t="s">
        <v>504</v>
      </c>
      <c r="AR25" s="1822" t="s">
        <v>26</v>
      </c>
      <c r="AS25" s="1822">
        <v>5</v>
      </c>
      <c r="AT25" s="1823">
        <v>363972126</v>
      </c>
      <c r="AU25" s="1825">
        <v>8.5999999999999993E-2</v>
      </c>
      <c r="AV25" s="1781">
        <v>2014</v>
      </c>
      <c r="AW25" s="1671"/>
      <c r="AX25" s="1671"/>
      <c r="AY25" s="1804"/>
      <c r="AZ25" s="1804"/>
      <c r="BA25" s="1804"/>
      <c r="BB25" s="1804"/>
      <c r="BC25" s="1804"/>
      <c r="BD25" s="1804"/>
      <c r="BE25" s="1804"/>
      <c r="BF25" s="1804"/>
      <c r="BG25" s="1804"/>
      <c r="BH25" s="1804"/>
      <c r="BI25" s="1804"/>
      <c r="BJ25" s="1804"/>
      <c r="BK25" s="1804"/>
      <c r="BL25" s="1804"/>
      <c r="BM25" s="1804"/>
      <c r="BN25" s="1804"/>
      <c r="BO25" s="1804"/>
      <c r="BP25" s="1804"/>
      <c r="BQ25" s="1804"/>
      <c r="BR25" s="1804"/>
      <c r="BS25" s="1804"/>
      <c r="BT25" s="1804"/>
      <c r="BU25" s="1804"/>
      <c r="BV25" s="1804"/>
      <c r="BW25" s="1804"/>
      <c r="BX25" s="1804"/>
      <c r="BY25" s="1804"/>
      <c r="BZ25" s="1804"/>
      <c r="CA25" s="1804"/>
      <c r="CB25" s="1804"/>
      <c r="CC25" s="1804"/>
      <c r="CD25" s="1804"/>
      <c r="CE25" s="1804"/>
      <c r="CF25" s="1804"/>
      <c r="CG25" s="1804"/>
      <c r="CH25" s="1804"/>
      <c r="CI25" s="1804"/>
      <c r="CJ25" s="1804"/>
      <c r="CK25" s="1804"/>
      <c r="CL25" s="1804"/>
      <c r="CM25" s="1804"/>
      <c r="CN25" s="1804"/>
      <c r="CO25" s="1804"/>
      <c r="CP25" s="1804"/>
      <c r="CQ25" s="1804"/>
      <c r="CR25" s="1804"/>
      <c r="CS25" s="1804"/>
      <c r="CT25" s="1804"/>
      <c r="CU25" s="1804"/>
      <c r="CV25" s="1804"/>
      <c r="CW25" s="1804"/>
      <c r="CX25" s="1804"/>
      <c r="CY25" s="1804"/>
      <c r="CZ25" s="1804"/>
      <c r="DA25" s="1804"/>
      <c r="DB25" s="1804"/>
      <c r="DC25" s="1804"/>
      <c r="DD25" s="1804"/>
      <c r="DE25" s="1804"/>
      <c r="DF25" s="1804"/>
      <c r="DG25" s="1804"/>
      <c r="DH25" s="1804"/>
      <c r="DI25" s="1804"/>
      <c r="DJ25" s="1804"/>
      <c r="DK25" s="1804"/>
      <c r="DL25" s="1804"/>
      <c r="DM25" s="1804"/>
      <c r="DN25" s="1804"/>
      <c r="DO25" s="1804"/>
      <c r="DP25" s="1804"/>
      <c r="DQ25" s="1671"/>
      <c r="DR25" s="1671"/>
      <c r="DS25" s="1671"/>
      <c r="DT25" s="1671"/>
      <c r="DU25" s="1671"/>
      <c r="DV25" s="1671"/>
      <c r="DW25" s="1671"/>
      <c r="DX25" s="1671"/>
      <c r="DY25" s="1671"/>
      <c r="DZ25" s="1671"/>
      <c r="EA25" s="1740"/>
      <c r="EB25" s="1740"/>
      <c r="EC25" s="1740"/>
      <c r="ED25" s="1740"/>
      <c r="EE25" s="1740"/>
      <c r="EF25" s="1740"/>
      <c r="EG25" s="1740"/>
      <c r="EH25" s="1740"/>
      <c r="EI25" s="1740"/>
      <c r="EJ25" s="1740"/>
      <c r="EK25" s="1740"/>
      <c r="EL25" s="1740"/>
      <c r="EM25" s="1740"/>
      <c r="EN25" s="1740"/>
      <c r="EO25" s="1740"/>
      <c r="EP25" s="1740"/>
      <c r="EQ25" s="1740"/>
      <c r="ER25" s="1740"/>
      <c r="ES25" s="1740"/>
      <c r="ET25" s="1740"/>
      <c r="EU25" s="1740"/>
      <c r="EV25" s="1740"/>
      <c r="EW25" s="1740"/>
      <c r="EX25" s="1740"/>
      <c r="EY25" s="1740"/>
      <c r="EZ25" s="1740"/>
      <c r="FA25" s="1740"/>
      <c r="FB25" s="1740"/>
      <c r="FC25" s="1740"/>
      <c r="FD25" s="1740"/>
      <c r="FE25" s="1740"/>
      <c r="FF25" s="1740"/>
      <c r="FG25" s="1740"/>
      <c r="FH25" s="1740"/>
      <c r="FI25" s="1740"/>
      <c r="FJ25" s="1740"/>
      <c r="FK25" s="1740"/>
      <c r="FL25" s="1740"/>
      <c r="FM25" s="1740"/>
      <c r="FN25" s="1740"/>
      <c r="FO25" s="1740"/>
      <c r="FP25" s="1740"/>
      <c r="FQ25" s="1740"/>
      <c r="FR25" s="1740"/>
      <c r="FS25" s="1740"/>
      <c r="FT25" s="1740"/>
      <c r="FU25" s="1740"/>
      <c r="FV25" s="1740"/>
      <c r="FW25" s="1740"/>
      <c r="FX25" s="1740"/>
      <c r="FY25" s="1740"/>
      <c r="FZ25" s="1740"/>
      <c r="GA25" s="1740"/>
      <c r="GB25" s="1740"/>
      <c r="GC25" s="1740"/>
      <c r="GD25" s="1740"/>
      <c r="GE25" s="1740"/>
      <c r="GF25" s="1740"/>
    </row>
    <row r="26" spans="1:188" s="20" customFormat="1">
      <c r="A26" s="333">
        <f t="shared" si="0"/>
        <v>1972</v>
      </c>
      <c r="B26" s="333">
        <f t="shared" si="1"/>
        <v>2</v>
      </c>
      <c r="C26" s="1174">
        <v>26451</v>
      </c>
      <c r="D26" s="1167"/>
      <c r="E26" s="1168">
        <v>62.09</v>
      </c>
      <c r="F26" s="1168">
        <v>52.132688790000003</v>
      </c>
      <c r="G26" s="1168"/>
      <c r="H26" s="1167"/>
      <c r="I26" s="1168"/>
      <c r="J26" s="1168"/>
      <c r="K26" s="1678"/>
      <c r="L26" s="1678"/>
      <c r="M26" s="1682"/>
      <c r="N26" s="1169"/>
      <c r="O26" s="1169"/>
      <c r="P26" s="1169"/>
      <c r="Q26" s="1167"/>
      <c r="R26" s="1167"/>
      <c r="S26" s="1167"/>
      <c r="T26" s="1167"/>
      <c r="U26" s="1167"/>
      <c r="V26" s="1167"/>
      <c r="W26" s="1167"/>
      <c r="X26" s="630"/>
      <c r="AA26" s="1915"/>
      <c r="AB26" s="1915"/>
      <c r="AC26" s="1804"/>
      <c r="AD26" s="1804"/>
      <c r="AE26" s="1804"/>
      <c r="AF26" s="1804"/>
      <c r="AG26" s="1804"/>
      <c r="AH26" s="1804"/>
      <c r="AI26" s="1781" t="s">
        <v>0</v>
      </c>
      <c r="AJ26" s="1826">
        <v>2014</v>
      </c>
      <c r="AK26" s="1822" t="s">
        <v>26</v>
      </c>
      <c r="AL26" s="1822">
        <v>6</v>
      </c>
      <c r="AM26" s="1823">
        <v>310242513</v>
      </c>
      <c r="AN26" s="1824">
        <v>8.5999999999999993E-2</v>
      </c>
      <c r="AO26" s="1781"/>
      <c r="AP26" s="1781" t="s">
        <v>0</v>
      </c>
      <c r="AQ26" s="1781" t="s">
        <v>504</v>
      </c>
      <c r="AR26" s="1822" t="s">
        <v>31</v>
      </c>
      <c r="AS26" s="1822">
        <v>6</v>
      </c>
      <c r="AT26" s="1823">
        <v>346592895</v>
      </c>
      <c r="AU26" s="1825">
        <v>8.2000000000000003E-2</v>
      </c>
      <c r="AV26" s="1781">
        <v>2014</v>
      </c>
      <c r="AW26" s="1671"/>
      <c r="AX26" s="1925">
        <f>'Alumina - Prices'!A25</f>
        <v>43070</v>
      </c>
      <c r="AY26" s="1804"/>
      <c r="AZ26" s="1804"/>
      <c r="BA26" s="1804"/>
      <c r="BB26" s="1804"/>
      <c r="BC26" s="1804"/>
      <c r="BD26" s="1804"/>
      <c r="BE26" s="1804"/>
      <c r="BF26" s="1804"/>
      <c r="BG26" s="1804"/>
      <c r="BH26" s="1804"/>
      <c r="BI26" s="1804"/>
      <c r="BJ26" s="1804"/>
      <c r="BK26" s="1804"/>
      <c r="BL26" s="1804"/>
      <c r="BM26" s="1804"/>
      <c r="BN26" s="1804"/>
      <c r="BO26" s="1804"/>
      <c r="BP26" s="1804"/>
      <c r="BQ26" s="1804"/>
      <c r="BR26" s="1804"/>
      <c r="BS26" s="1804"/>
      <c r="BT26" s="1804"/>
      <c r="BU26" s="1804"/>
      <c r="BV26" s="1804"/>
      <c r="BW26" s="1804"/>
      <c r="BX26" s="1804"/>
      <c r="BY26" s="1804"/>
      <c r="BZ26" s="1804"/>
      <c r="CA26" s="1804"/>
      <c r="CB26" s="1804"/>
      <c r="CC26" s="1804"/>
      <c r="CD26" s="1804"/>
      <c r="CE26" s="1804"/>
      <c r="CF26" s="1804"/>
      <c r="CG26" s="1804"/>
      <c r="CH26" s="1804"/>
      <c r="CI26" s="1804"/>
      <c r="CJ26" s="1804"/>
      <c r="CK26" s="1804"/>
      <c r="CL26" s="1804"/>
      <c r="CM26" s="1804"/>
      <c r="CN26" s="1804"/>
      <c r="CO26" s="1804"/>
      <c r="CP26" s="1804"/>
      <c r="CQ26" s="1804"/>
      <c r="CR26" s="1804"/>
      <c r="CS26" s="1804"/>
      <c r="CT26" s="1804"/>
      <c r="CU26" s="1804"/>
      <c r="CV26" s="1804"/>
      <c r="CW26" s="1804"/>
      <c r="CX26" s="1804"/>
      <c r="CY26" s="1804"/>
      <c r="CZ26" s="1804"/>
      <c r="DA26" s="1804"/>
      <c r="DB26" s="1804"/>
      <c r="DC26" s="1804"/>
      <c r="DD26" s="1804"/>
      <c r="DE26" s="1804"/>
      <c r="DF26" s="1804"/>
      <c r="DG26" s="1804"/>
      <c r="DH26" s="1804"/>
      <c r="DI26" s="1804"/>
      <c r="DJ26" s="1804"/>
      <c r="DK26" s="1804"/>
      <c r="DL26" s="1804"/>
      <c r="DM26" s="1804"/>
      <c r="DN26" s="1804"/>
      <c r="DO26" s="1804"/>
      <c r="DP26" s="1804"/>
      <c r="DQ26" s="1671"/>
      <c r="DR26" s="1671"/>
      <c r="DS26" s="1671"/>
      <c r="DT26" s="1671"/>
      <c r="DU26" s="1671"/>
      <c r="DV26" s="1671"/>
      <c r="DW26" s="1671"/>
      <c r="DX26" s="1671"/>
      <c r="DY26" s="1671"/>
      <c r="DZ26" s="1671"/>
      <c r="EA26" s="1740"/>
      <c r="EB26" s="1740"/>
      <c r="EC26" s="1740"/>
      <c r="ED26" s="1740"/>
      <c r="EE26" s="1740"/>
      <c r="EF26" s="1740"/>
      <c r="EG26" s="1740"/>
      <c r="EH26" s="1740"/>
      <c r="EI26" s="1740"/>
      <c r="EJ26" s="1740"/>
      <c r="EK26" s="1740"/>
      <c r="EL26" s="1740"/>
      <c r="EM26" s="1740"/>
      <c r="EN26" s="1740"/>
      <c r="EO26" s="1740"/>
      <c r="EP26" s="1740"/>
      <c r="EQ26" s="1740"/>
      <c r="ER26" s="1740"/>
      <c r="ES26" s="1740"/>
      <c r="ET26" s="1740"/>
      <c r="EU26" s="1740"/>
      <c r="EV26" s="1740"/>
      <c r="EW26" s="1740"/>
      <c r="EX26" s="1740"/>
      <c r="EY26" s="1740"/>
      <c r="EZ26" s="1740"/>
      <c r="FA26" s="1740"/>
      <c r="FB26" s="1740"/>
      <c r="FC26" s="1740"/>
      <c r="FD26" s="1740"/>
      <c r="FE26" s="1740"/>
      <c r="FF26" s="1740"/>
      <c r="FG26" s="1740"/>
      <c r="FH26" s="1740"/>
      <c r="FI26" s="1740"/>
      <c r="FJ26" s="1740"/>
      <c r="FK26" s="1740"/>
      <c r="FL26" s="1740"/>
      <c r="FM26" s="1740"/>
      <c r="FN26" s="1740"/>
      <c r="FO26" s="1740"/>
      <c r="FP26" s="1740"/>
      <c r="FQ26" s="1740"/>
      <c r="FR26" s="1740"/>
      <c r="FS26" s="1740"/>
      <c r="FT26" s="1740"/>
      <c r="FU26" s="1740"/>
      <c r="FV26" s="1740"/>
      <c r="FW26" s="1740"/>
      <c r="FX26" s="1740"/>
      <c r="FY26" s="1740"/>
      <c r="FZ26" s="1740"/>
      <c r="GA26" s="1740"/>
      <c r="GB26" s="1740"/>
      <c r="GC26" s="1740"/>
      <c r="GD26" s="1740"/>
      <c r="GE26" s="1740"/>
      <c r="GF26" s="1740"/>
    </row>
    <row r="27" spans="1:188" s="20" customFormat="1">
      <c r="A27" s="333">
        <f t="shared" si="0"/>
        <v>1972</v>
      </c>
      <c r="B27" s="333">
        <f t="shared" si="1"/>
        <v>3</v>
      </c>
      <c r="C27" s="1174">
        <v>26483</v>
      </c>
      <c r="D27" s="1158"/>
      <c r="E27" s="1159">
        <v>65.66</v>
      </c>
      <c r="F27" s="1159">
        <v>55.13017146</v>
      </c>
      <c r="G27" s="1160"/>
      <c r="H27" s="1161"/>
      <c r="I27" s="1160"/>
      <c r="J27" s="1160"/>
      <c r="K27" s="1677"/>
      <c r="L27" s="1677"/>
      <c r="M27" s="1681"/>
      <c r="N27" s="1162"/>
      <c r="O27" s="1162"/>
      <c r="P27" s="1162"/>
      <c r="Q27" s="1163"/>
      <c r="R27" s="1164"/>
      <c r="S27" s="1164"/>
      <c r="T27" s="1164"/>
      <c r="U27" s="1165"/>
      <c r="V27" s="1166"/>
      <c r="W27" s="1166"/>
      <c r="X27" s="630"/>
      <c r="AA27" s="1915"/>
      <c r="AB27" s="1915"/>
      <c r="AC27" s="1804"/>
      <c r="AD27" s="1804"/>
      <c r="AE27" s="1804"/>
      <c r="AF27" s="1804"/>
      <c r="AG27" s="1804"/>
      <c r="AH27" s="1804"/>
      <c r="AI27" s="1781" t="s">
        <v>0</v>
      </c>
      <c r="AJ27" s="1826">
        <v>2014</v>
      </c>
      <c r="AK27" s="1822" t="s">
        <v>758</v>
      </c>
      <c r="AL27" s="1822">
        <v>7</v>
      </c>
      <c r="AM27" s="1823">
        <v>177041293</v>
      </c>
      <c r="AN27" s="1824">
        <v>4.9000000000000002E-2</v>
      </c>
      <c r="AO27" s="1781"/>
      <c r="AP27" s="1781" t="s">
        <v>0</v>
      </c>
      <c r="AQ27" s="1781" t="s">
        <v>504</v>
      </c>
      <c r="AR27" s="1822" t="s">
        <v>758</v>
      </c>
      <c r="AS27" s="1822">
        <v>7</v>
      </c>
      <c r="AT27" s="1823">
        <v>209137833</v>
      </c>
      <c r="AU27" s="1825">
        <v>0.05</v>
      </c>
      <c r="AV27" s="1781">
        <v>2014</v>
      </c>
      <c r="AW27" s="1671"/>
      <c r="AX27" s="1671"/>
      <c r="AY27" s="1804"/>
      <c r="AZ27" s="1804"/>
      <c r="BA27" s="1804"/>
      <c r="BB27" s="1804"/>
      <c r="BC27" s="1804"/>
      <c r="BD27" s="1804"/>
      <c r="BE27" s="1804"/>
      <c r="BF27" s="1804"/>
      <c r="BG27" s="1804"/>
      <c r="BH27" s="1804"/>
      <c r="BI27" s="1804"/>
      <c r="BJ27" s="1804"/>
      <c r="BK27" s="1804"/>
      <c r="BL27" s="1804"/>
      <c r="BM27" s="1804"/>
      <c r="BN27" s="1804"/>
      <c r="BO27" s="1804"/>
      <c r="BP27" s="1804"/>
      <c r="BQ27" s="1804"/>
      <c r="BR27" s="1804"/>
      <c r="BS27" s="1804"/>
      <c r="BT27" s="1804"/>
      <c r="BU27" s="1804"/>
      <c r="BV27" s="1804"/>
      <c r="BW27" s="1804"/>
      <c r="BX27" s="1804"/>
      <c r="BY27" s="1804"/>
      <c r="BZ27" s="1804"/>
      <c r="CA27" s="1804"/>
      <c r="CB27" s="1804"/>
      <c r="CC27" s="1804"/>
      <c r="CD27" s="1804"/>
      <c r="CE27" s="1804"/>
      <c r="CF27" s="1804"/>
      <c r="CG27" s="1804"/>
      <c r="CH27" s="1804"/>
      <c r="CI27" s="1804"/>
      <c r="CJ27" s="1804"/>
      <c r="CK27" s="1804"/>
      <c r="CL27" s="1804"/>
      <c r="CM27" s="1804"/>
      <c r="CN27" s="1804"/>
      <c r="CO27" s="1804"/>
      <c r="CP27" s="1804"/>
      <c r="CQ27" s="1804"/>
      <c r="CR27" s="1804"/>
      <c r="CS27" s="1804"/>
      <c r="CT27" s="1804"/>
      <c r="CU27" s="1804"/>
      <c r="CV27" s="1804"/>
      <c r="CW27" s="1804"/>
      <c r="CX27" s="1804"/>
      <c r="CY27" s="1804"/>
      <c r="CZ27" s="1804"/>
      <c r="DA27" s="1804"/>
      <c r="DB27" s="1804"/>
      <c r="DC27" s="1804"/>
      <c r="DD27" s="1804"/>
      <c r="DE27" s="1804"/>
      <c r="DF27" s="1804"/>
      <c r="DG27" s="1804"/>
      <c r="DH27" s="1804"/>
      <c r="DI27" s="1804"/>
      <c r="DJ27" s="1804"/>
      <c r="DK27" s="1804"/>
      <c r="DL27" s="1804"/>
      <c r="DM27" s="1804"/>
      <c r="DN27" s="1804"/>
      <c r="DO27" s="1804"/>
      <c r="DP27" s="1804"/>
      <c r="DQ27" s="1671"/>
      <c r="DR27" s="1671"/>
      <c r="DS27" s="1671"/>
      <c r="DT27" s="1671"/>
      <c r="DU27" s="1671"/>
      <c r="DV27" s="1671"/>
      <c r="DW27" s="1671"/>
      <c r="DX27" s="1671"/>
      <c r="DY27" s="1671"/>
      <c r="DZ27" s="1671"/>
      <c r="EA27" s="1740"/>
      <c r="EB27" s="1740"/>
      <c r="EC27" s="1740"/>
      <c r="ED27" s="1740"/>
      <c r="EE27" s="1740"/>
      <c r="EF27" s="1740"/>
      <c r="EG27" s="1740"/>
      <c r="EH27" s="1740"/>
      <c r="EI27" s="1740"/>
      <c r="EJ27" s="1740"/>
      <c r="EK27" s="1740"/>
      <c r="EL27" s="1740"/>
      <c r="EM27" s="1740"/>
      <c r="EN27" s="1740"/>
      <c r="EO27" s="1740"/>
      <c r="EP27" s="1740"/>
      <c r="EQ27" s="1740"/>
      <c r="ER27" s="1740"/>
      <c r="ES27" s="1740"/>
      <c r="ET27" s="1740"/>
      <c r="EU27" s="1740"/>
      <c r="EV27" s="1740"/>
      <c r="EW27" s="1740"/>
      <c r="EX27" s="1740"/>
      <c r="EY27" s="1740"/>
      <c r="EZ27" s="1740"/>
      <c r="FA27" s="1740"/>
      <c r="FB27" s="1740"/>
      <c r="FC27" s="1740"/>
      <c r="FD27" s="1740"/>
      <c r="FE27" s="1740"/>
      <c r="FF27" s="1740"/>
      <c r="FG27" s="1740"/>
      <c r="FH27" s="1740"/>
      <c r="FI27" s="1740"/>
      <c r="FJ27" s="1740"/>
      <c r="FK27" s="1740"/>
      <c r="FL27" s="1740"/>
      <c r="FM27" s="1740"/>
      <c r="FN27" s="1740"/>
      <c r="FO27" s="1740"/>
      <c r="FP27" s="1740"/>
      <c r="FQ27" s="1740"/>
      <c r="FR27" s="1740"/>
      <c r="FS27" s="1740"/>
      <c r="FT27" s="1740"/>
      <c r="FU27" s="1740"/>
      <c r="FV27" s="1740"/>
      <c r="FW27" s="1740"/>
      <c r="FX27" s="1740"/>
      <c r="FY27" s="1740"/>
      <c r="FZ27" s="1740"/>
      <c r="GA27" s="1740"/>
      <c r="GB27" s="1740"/>
      <c r="GC27" s="1740"/>
      <c r="GD27" s="1740"/>
      <c r="GE27" s="1740"/>
      <c r="GF27" s="1740"/>
    </row>
    <row r="28" spans="1:188" s="20" customFormat="1">
      <c r="A28" s="333">
        <f t="shared" si="0"/>
        <v>1972</v>
      </c>
      <c r="B28" s="333">
        <f t="shared" si="1"/>
        <v>3</v>
      </c>
      <c r="C28" s="1174">
        <v>26512</v>
      </c>
      <c r="D28" s="1167"/>
      <c r="E28" s="1168">
        <v>67.03</v>
      </c>
      <c r="F28" s="1168">
        <v>56.280465930000005</v>
      </c>
      <c r="G28" s="1168"/>
      <c r="H28" s="1167"/>
      <c r="I28" s="1168"/>
      <c r="J28" s="1168"/>
      <c r="K28" s="1678"/>
      <c r="L28" s="1678"/>
      <c r="M28" s="1682"/>
      <c r="N28" s="1169"/>
      <c r="O28" s="1169"/>
      <c r="P28" s="1169"/>
      <c r="Q28" s="1167"/>
      <c r="R28" s="1167"/>
      <c r="S28" s="1167"/>
      <c r="T28" s="1167"/>
      <c r="U28" s="1167"/>
      <c r="V28" s="1167"/>
      <c r="W28" s="1167"/>
      <c r="X28" s="630"/>
      <c r="AA28" s="1915"/>
      <c r="AB28" s="1915"/>
      <c r="AC28" s="1804"/>
      <c r="AD28" s="1804"/>
      <c r="AE28" s="1804"/>
      <c r="AF28" s="1804"/>
      <c r="AG28" s="1804"/>
      <c r="AH28" s="1804"/>
      <c r="AI28" s="1781" t="s">
        <v>0</v>
      </c>
      <c r="AJ28" s="1826">
        <v>2014</v>
      </c>
      <c r="AK28" s="1822" t="s">
        <v>21</v>
      </c>
      <c r="AL28" s="1822">
        <v>8</v>
      </c>
      <c r="AM28" s="1823">
        <v>171734884</v>
      </c>
      <c r="AN28" s="1824">
        <v>4.7E-2</v>
      </c>
      <c r="AO28" s="1781"/>
      <c r="AP28" s="1781" t="s">
        <v>0</v>
      </c>
      <c r="AQ28" s="1781" t="s">
        <v>504</v>
      </c>
      <c r="AR28" s="1822" t="s">
        <v>29</v>
      </c>
      <c r="AS28" s="1822">
        <v>8</v>
      </c>
      <c r="AT28" s="1823">
        <v>184837513</v>
      </c>
      <c r="AU28" s="1825">
        <v>4.3999999999999997E-2</v>
      </c>
      <c r="AV28" s="1781">
        <v>2014</v>
      </c>
      <c r="AW28" s="1671"/>
      <c r="AX28" s="1671"/>
      <c r="AY28" s="1804"/>
      <c r="AZ28" s="1804"/>
      <c r="BA28" s="1804"/>
      <c r="BB28" s="1804"/>
      <c r="BC28" s="1804"/>
      <c r="BD28" s="1804"/>
      <c r="BE28" s="1804"/>
      <c r="BF28" s="1804"/>
      <c r="BG28" s="1804"/>
      <c r="BH28" s="1804"/>
      <c r="BI28" s="1804"/>
      <c r="BJ28" s="1804"/>
      <c r="BK28" s="1804"/>
      <c r="BL28" s="1804"/>
      <c r="BM28" s="1804"/>
      <c r="BN28" s="1804"/>
      <c r="BO28" s="1804"/>
      <c r="BP28" s="1804"/>
      <c r="BQ28" s="1804"/>
      <c r="BR28" s="1804"/>
      <c r="BS28" s="1804"/>
      <c r="BT28" s="1804"/>
      <c r="BU28" s="1804"/>
      <c r="BV28" s="1804"/>
      <c r="BW28" s="1804"/>
      <c r="BX28" s="1804"/>
      <c r="BY28" s="1804"/>
      <c r="BZ28" s="1804"/>
      <c r="CA28" s="1804"/>
      <c r="CB28" s="1804"/>
      <c r="CC28" s="1804"/>
      <c r="CD28" s="1804"/>
      <c r="CE28" s="1804"/>
      <c r="CF28" s="1804"/>
      <c r="CG28" s="1804"/>
      <c r="CH28" s="1804"/>
      <c r="CI28" s="1804"/>
      <c r="CJ28" s="1804"/>
      <c r="CK28" s="1804"/>
      <c r="CL28" s="1804"/>
      <c r="CM28" s="1804"/>
      <c r="CN28" s="1804"/>
      <c r="CO28" s="1804"/>
      <c r="CP28" s="1804"/>
      <c r="CQ28" s="1804"/>
      <c r="CR28" s="1804"/>
      <c r="CS28" s="1804"/>
      <c r="CT28" s="1804"/>
      <c r="CU28" s="1804"/>
      <c r="CV28" s="1804"/>
      <c r="CW28" s="1804"/>
      <c r="CX28" s="1804"/>
      <c r="CY28" s="1804"/>
      <c r="CZ28" s="1804"/>
      <c r="DA28" s="1804"/>
      <c r="DB28" s="1804"/>
      <c r="DC28" s="1804"/>
      <c r="DD28" s="1804"/>
      <c r="DE28" s="1804"/>
      <c r="DF28" s="1804"/>
      <c r="DG28" s="1804"/>
      <c r="DH28" s="1804"/>
      <c r="DI28" s="1804"/>
      <c r="DJ28" s="1804"/>
      <c r="DK28" s="1804"/>
      <c r="DL28" s="1804"/>
      <c r="DM28" s="1804"/>
      <c r="DN28" s="1804"/>
      <c r="DO28" s="1804"/>
      <c r="DP28" s="1804"/>
      <c r="DQ28" s="1671"/>
      <c r="DR28" s="1671"/>
      <c r="DS28" s="1671"/>
      <c r="DT28" s="1671"/>
      <c r="DU28" s="1671"/>
      <c r="DV28" s="1671"/>
      <c r="DW28" s="1671"/>
      <c r="DX28" s="1671"/>
      <c r="DY28" s="1671"/>
      <c r="DZ28" s="1671"/>
      <c r="EA28" s="1740"/>
      <c r="EB28" s="1740"/>
      <c r="EC28" s="1740"/>
      <c r="ED28" s="1740"/>
      <c r="EE28" s="1740"/>
      <c r="EF28" s="1740"/>
      <c r="EG28" s="1740"/>
      <c r="EH28" s="1740"/>
      <c r="EI28" s="1740"/>
      <c r="EJ28" s="1740"/>
      <c r="EK28" s="1740"/>
      <c r="EL28" s="1740"/>
      <c r="EM28" s="1740"/>
      <c r="EN28" s="1740"/>
      <c r="EO28" s="1740"/>
      <c r="EP28" s="1740"/>
      <c r="EQ28" s="1740"/>
      <c r="ER28" s="1740"/>
      <c r="ES28" s="1740"/>
      <c r="ET28" s="1740"/>
      <c r="EU28" s="1740"/>
      <c r="EV28" s="1740"/>
      <c r="EW28" s="1740"/>
      <c r="EX28" s="1740"/>
      <c r="EY28" s="1740"/>
      <c r="EZ28" s="1740"/>
      <c r="FA28" s="1740"/>
      <c r="FB28" s="1740"/>
      <c r="FC28" s="1740"/>
      <c r="FD28" s="1740"/>
      <c r="FE28" s="1740"/>
      <c r="FF28" s="1740"/>
      <c r="FG28" s="1740"/>
      <c r="FH28" s="1740"/>
      <c r="FI28" s="1740"/>
      <c r="FJ28" s="1740"/>
      <c r="FK28" s="1740"/>
      <c r="FL28" s="1740"/>
      <c r="FM28" s="1740"/>
      <c r="FN28" s="1740"/>
      <c r="FO28" s="1740"/>
      <c r="FP28" s="1740"/>
      <c r="FQ28" s="1740"/>
      <c r="FR28" s="1740"/>
      <c r="FS28" s="1740"/>
      <c r="FT28" s="1740"/>
      <c r="FU28" s="1740"/>
      <c r="FV28" s="1740"/>
      <c r="FW28" s="1740"/>
      <c r="FX28" s="1740"/>
      <c r="FY28" s="1740"/>
      <c r="FZ28" s="1740"/>
      <c r="GA28" s="1740"/>
      <c r="GB28" s="1740"/>
      <c r="GC28" s="1740"/>
      <c r="GD28" s="1740"/>
      <c r="GE28" s="1740"/>
      <c r="GF28" s="1740"/>
    </row>
    <row r="29" spans="1:188" s="20" customFormat="1">
      <c r="A29" s="333">
        <f t="shared" si="0"/>
        <v>1972</v>
      </c>
      <c r="B29" s="333">
        <f t="shared" si="1"/>
        <v>3</v>
      </c>
      <c r="C29" s="1174">
        <v>26543</v>
      </c>
      <c r="D29" s="1158"/>
      <c r="E29" s="1159">
        <v>65.459999999999994</v>
      </c>
      <c r="F29" s="1159">
        <v>54.962245259999996</v>
      </c>
      <c r="G29" s="1160"/>
      <c r="H29" s="1161"/>
      <c r="I29" s="1160"/>
      <c r="J29" s="1160"/>
      <c r="K29" s="1677"/>
      <c r="L29" s="1677"/>
      <c r="M29" s="1681"/>
      <c r="N29" s="1162"/>
      <c r="O29" s="1162"/>
      <c r="P29" s="1162"/>
      <c r="Q29" s="1163"/>
      <c r="R29" s="1164"/>
      <c r="S29" s="1164"/>
      <c r="T29" s="1164"/>
      <c r="U29" s="1165"/>
      <c r="V29" s="1166"/>
      <c r="W29" s="1166"/>
      <c r="X29" s="630"/>
      <c r="AA29" s="1915"/>
      <c r="AB29" s="1915"/>
      <c r="AC29" s="1804"/>
      <c r="AD29" s="1804"/>
      <c r="AE29" s="1804"/>
      <c r="AF29" s="1804"/>
      <c r="AG29" s="1804"/>
      <c r="AH29" s="1804"/>
      <c r="AI29" s="1781" t="s">
        <v>0</v>
      </c>
      <c r="AJ29" s="1826">
        <v>2014</v>
      </c>
      <c r="AK29" s="1822" t="s">
        <v>29</v>
      </c>
      <c r="AL29" s="1822">
        <v>9</v>
      </c>
      <c r="AM29" s="1823">
        <v>155493543</v>
      </c>
      <c r="AN29" s="1824">
        <v>4.2999999999999997E-2</v>
      </c>
      <c r="AO29" s="1781"/>
      <c r="AP29" s="1781" t="s">
        <v>0</v>
      </c>
      <c r="AQ29" s="1781" t="s">
        <v>504</v>
      </c>
      <c r="AR29" s="1822" t="s">
        <v>21</v>
      </c>
      <c r="AS29" s="1822">
        <v>9</v>
      </c>
      <c r="AT29" s="1823">
        <v>171200361</v>
      </c>
      <c r="AU29" s="1825">
        <v>4.1000000000000002E-2</v>
      </c>
      <c r="AV29" s="1781">
        <v>2014</v>
      </c>
      <c r="AW29" s="1671"/>
      <c r="AX29" s="1925">
        <f>'Alumina - Prices'!A28</f>
        <v>43160</v>
      </c>
      <c r="AY29" s="1804"/>
      <c r="AZ29" s="1804"/>
      <c r="BA29" s="1804"/>
      <c r="BB29" s="1804"/>
      <c r="BC29" s="1804"/>
      <c r="BD29" s="1804"/>
      <c r="BE29" s="1804"/>
      <c r="BF29" s="1804"/>
      <c r="BG29" s="1804"/>
      <c r="BH29" s="1804"/>
      <c r="BI29" s="1804"/>
      <c r="BJ29" s="1804"/>
      <c r="BK29" s="1804"/>
      <c r="BL29" s="1804"/>
      <c r="BM29" s="1804"/>
      <c r="BN29" s="1804"/>
      <c r="BO29" s="1804"/>
      <c r="BP29" s="1804"/>
      <c r="BQ29" s="1804"/>
      <c r="BR29" s="1804"/>
      <c r="BS29" s="1804"/>
      <c r="BT29" s="1804"/>
      <c r="BU29" s="1804"/>
      <c r="BV29" s="1804"/>
      <c r="BW29" s="1804"/>
      <c r="BX29" s="1804"/>
      <c r="BY29" s="1804"/>
      <c r="BZ29" s="1804"/>
      <c r="CA29" s="1804"/>
      <c r="CB29" s="1804"/>
      <c r="CC29" s="1804"/>
      <c r="CD29" s="1804"/>
      <c r="CE29" s="1804"/>
      <c r="CF29" s="1804"/>
      <c r="CG29" s="1804"/>
      <c r="CH29" s="1804"/>
      <c r="CI29" s="1804"/>
      <c r="CJ29" s="1804"/>
      <c r="CK29" s="1804"/>
      <c r="CL29" s="1804"/>
      <c r="CM29" s="1804"/>
      <c r="CN29" s="1804"/>
      <c r="CO29" s="1804"/>
      <c r="CP29" s="1804"/>
      <c r="CQ29" s="1804"/>
      <c r="CR29" s="1804"/>
      <c r="CS29" s="1804"/>
      <c r="CT29" s="1804"/>
      <c r="CU29" s="1804"/>
      <c r="CV29" s="1804"/>
      <c r="CW29" s="1804"/>
      <c r="CX29" s="1804"/>
      <c r="CY29" s="1804"/>
      <c r="CZ29" s="1804"/>
      <c r="DA29" s="1804"/>
      <c r="DB29" s="1804"/>
      <c r="DC29" s="1804"/>
      <c r="DD29" s="1804"/>
      <c r="DE29" s="1804"/>
      <c r="DF29" s="1804"/>
      <c r="DG29" s="1804"/>
      <c r="DH29" s="1804"/>
      <c r="DI29" s="1804"/>
      <c r="DJ29" s="1804"/>
      <c r="DK29" s="1804"/>
      <c r="DL29" s="1804"/>
      <c r="DM29" s="1804"/>
      <c r="DN29" s="1804"/>
      <c r="DO29" s="1804"/>
      <c r="DP29" s="1804"/>
      <c r="DQ29" s="1671"/>
      <c r="DR29" s="1671"/>
      <c r="DS29" s="1671"/>
      <c r="DT29" s="1671"/>
      <c r="DU29" s="1671"/>
      <c r="DV29" s="1671"/>
      <c r="DW29" s="1671"/>
      <c r="DX29" s="1671"/>
      <c r="DY29" s="1671"/>
      <c r="DZ29" s="1671"/>
      <c r="EA29" s="1740"/>
      <c r="EB29" s="1740"/>
      <c r="EC29" s="1740"/>
      <c r="ED29" s="1740"/>
      <c r="EE29" s="1740"/>
      <c r="EF29" s="1740"/>
      <c r="EG29" s="1740"/>
      <c r="EH29" s="1740"/>
      <c r="EI29" s="1740"/>
      <c r="EJ29" s="1740"/>
      <c r="EK29" s="1740"/>
      <c r="EL29" s="1740"/>
      <c r="EM29" s="1740"/>
      <c r="EN29" s="1740"/>
      <c r="EO29" s="1740"/>
      <c r="EP29" s="1740"/>
      <c r="EQ29" s="1740"/>
      <c r="ER29" s="1740"/>
      <c r="ES29" s="1740"/>
      <c r="ET29" s="1740"/>
      <c r="EU29" s="1740"/>
      <c r="EV29" s="1740"/>
      <c r="EW29" s="1740"/>
      <c r="EX29" s="1740"/>
      <c r="EY29" s="1740"/>
      <c r="EZ29" s="1740"/>
      <c r="FA29" s="1740"/>
      <c r="FB29" s="1740"/>
      <c r="FC29" s="1740"/>
      <c r="FD29" s="1740"/>
      <c r="FE29" s="1740"/>
      <c r="FF29" s="1740"/>
      <c r="FG29" s="1740"/>
      <c r="FH29" s="1740"/>
      <c r="FI29" s="1740"/>
      <c r="FJ29" s="1740"/>
      <c r="FK29" s="1740"/>
      <c r="FL29" s="1740"/>
      <c r="FM29" s="1740"/>
      <c r="FN29" s="1740"/>
      <c r="FO29" s="1740"/>
      <c r="FP29" s="1740"/>
      <c r="FQ29" s="1740"/>
      <c r="FR29" s="1740"/>
      <c r="FS29" s="1740"/>
      <c r="FT29" s="1740"/>
      <c r="FU29" s="1740"/>
      <c r="FV29" s="1740"/>
      <c r="FW29" s="1740"/>
      <c r="FX29" s="1740"/>
      <c r="FY29" s="1740"/>
      <c r="FZ29" s="1740"/>
      <c r="GA29" s="1740"/>
      <c r="GB29" s="1740"/>
      <c r="GC29" s="1740"/>
      <c r="GD29" s="1740"/>
      <c r="GE29" s="1740"/>
      <c r="GF29" s="1740"/>
    </row>
    <row r="30" spans="1:188" s="20" customFormat="1">
      <c r="A30" s="333">
        <f t="shared" si="0"/>
        <v>1972</v>
      </c>
      <c r="B30" s="333">
        <f t="shared" si="1"/>
        <v>4</v>
      </c>
      <c r="C30" s="1174">
        <v>26574</v>
      </c>
      <c r="D30" s="1167"/>
      <c r="E30" s="1168">
        <v>64.86</v>
      </c>
      <c r="F30" s="1168">
        <v>54.458466659999999</v>
      </c>
      <c r="G30" s="1168"/>
      <c r="H30" s="1167"/>
      <c r="I30" s="1168"/>
      <c r="J30" s="1168"/>
      <c r="K30" s="1678"/>
      <c r="L30" s="1678"/>
      <c r="M30" s="1682"/>
      <c r="N30" s="1169"/>
      <c r="O30" s="1169"/>
      <c r="P30" s="1169"/>
      <c r="Q30" s="1167"/>
      <c r="R30" s="1167"/>
      <c r="S30" s="1167"/>
      <c r="T30" s="1167"/>
      <c r="U30" s="1167"/>
      <c r="V30" s="1167"/>
      <c r="W30" s="1167"/>
      <c r="X30" s="630"/>
      <c r="AA30" s="1915"/>
      <c r="AB30" s="1915"/>
      <c r="AC30" s="1804"/>
      <c r="AD30" s="1804"/>
      <c r="AE30" s="1804"/>
      <c r="AF30" s="1804"/>
      <c r="AG30" s="1804"/>
      <c r="AH30" s="1804"/>
      <c r="AI30" s="1781" t="s">
        <v>0</v>
      </c>
      <c r="AJ30" s="1826">
        <v>2014</v>
      </c>
      <c r="AK30" s="1822" t="s">
        <v>25</v>
      </c>
      <c r="AL30" s="1822">
        <v>10</v>
      </c>
      <c r="AM30" s="1823">
        <v>153082446</v>
      </c>
      <c r="AN30" s="1824">
        <v>4.2000000000000003E-2</v>
      </c>
      <c r="AO30" s="1781"/>
      <c r="AP30" s="1781" t="s">
        <v>0</v>
      </c>
      <c r="AQ30" s="1781" t="s">
        <v>504</v>
      </c>
      <c r="AR30" s="1822" t="s">
        <v>25</v>
      </c>
      <c r="AS30" s="1822">
        <v>10</v>
      </c>
      <c r="AT30" s="1823">
        <v>168803110</v>
      </c>
      <c r="AU30" s="1825">
        <v>0.04</v>
      </c>
      <c r="AV30" s="1781">
        <v>2014</v>
      </c>
      <c r="AW30" s="1671"/>
      <c r="AX30" s="1671"/>
      <c r="AY30" s="1804"/>
      <c r="AZ30" s="1804"/>
      <c r="BA30" s="1804"/>
      <c r="BB30" s="1804"/>
      <c r="BC30" s="1804"/>
      <c r="BD30" s="1804"/>
      <c r="BE30" s="1804"/>
      <c r="BF30" s="1804"/>
      <c r="BG30" s="1804"/>
      <c r="BH30" s="1804"/>
      <c r="BI30" s="1804"/>
      <c r="BJ30" s="1804"/>
      <c r="BK30" s="1804"/>
      <c r="BL30" s="1804"/>
      <c r="BM30" s="1804"/>
      <c r="BN30" s="1804"/>
      <c r="BO30" s="1804"/>
      <c r="BP30" s="1804"/>
      <c r="BQ30" s="1804"/>
      <c r="BR30" s="1804"/>
      <c r="BS30" s="1804"/>
      <c r="BT30" s="1804"/>
      <c r="BU30" s="1804"/>
      <c r="BV30" s="1804"/>
      <c r="BW30" s="1804"/>
      <c r="BX30" s="1804"/>
      <c r="BY30" s="1804"/>
      <c r="BZ30" s="1804"/>
      <c r="CA30" s="1804"/>
      <c r="CB30" s="1804"/>
      <c r="CC30" s="1804"/>
      <c r="CD30" s="1804"/>
      <c r="CE30" s="1804"/>
      <c r="CF30" s="1804"/>
      <c r="CG30" s="1804"/>
      <c r="CH30" s="1804"/>
      <c r="CI30" s="1804"/>
      <c r="CJ30" s="1804"/>
      <c r="CK30" s="1804"/>
      <c r="CL30" s="1804"/>
      <c r="CM30" s="1804"/>
      <c r="CN30" s="1804"/>
      <c r="CO30" s="1804"/>
      <c r="CP30" s="1804"/>
      <c r="CQ30" s="1804"/>
      <c r="CR30" s="1804"/>
      <c r="CS30" s="1804"/>
      <c r="CT30" s="1804"/>
      <c r="CU30" s="1804"/>
      <c r="CV30" s="1804"/>
      <c r="CW30" s="1804"/>
      <c r="CX30" s="1804"/>
      <c r="CY30" s="1804"/>
      <c r="CZ30" s="1804"/>
      <c r="DA30" s="1804"/>
      <c r="DB30" s="1804"/>
      <c r="DC30" s="1804"/>
      <c r="DD30" s="1804"/>
      <c r="DE30" s="1804"/>
      <c r="DF30" s="1804"/>
      <c r="DG30" s="1804"/>
      <c r="DH30" s="1804"/>
      <c r="DI30" s="1804"/>
      <c r="DJ30" s="1804"/>
      <c r="DK30" s="1804"/>
      <c r="DL30" s="1804"/>
      <c r="DM30" s="1804"/>
      <c r="DN30" s="1804"/>
      <c r="DO30" s="1804"/>
      <c r="DP30" s="1804"/>
      <c r="DQ30" s="1671"/>
      <c r="DR30" s="1671"/>
      <c r="DS30" s="1671"/>
      <c r="DT30" s="1671"/>
      <c r="DU30" s="1671"/>
      <c r="DV30" s="1671"/>
      <c r="DW30" s="1671"/>
      <c r="DX30" s="1671"/>
      <c r="DY30" s="1671"/>
      <c r="DZ30" s="1671"/>
      <c r="EA30" s="1740"/>
      <c r="EB30" s="1740"/>
      <c r="EC30" s="1740"/>
      <c r="ED30" s="1740"/>
      <c r="EE30" s="1740"/>
      <c r="EF30" s="1740"/>
      <c r="EG30" s="1740"/>
      <c r="EH30" s="1740"/>
      <c r="EI30" s="1740"/>
      <c r="EJ30" s="1740"/>
      <c r="EK30" s="1740"/>
      <c r="EL30" s="1740"/>
      <c r="EM30" s="1740"/>
      <c r="EN30" s="1740"/>
      <c r="EO30" s="1740"/>
      <c r="EP30" s="1740"/>
      <c r="EQ30" s="1740"/>
      <c r="ER30" s="1740"/>
      <c r="ES30" s="1740"/>
      <c r="ET30" s="1740"/>
      <c r="EU30" s="1740"/>
      <c r="EV30" s="1740"/>
      <c r="EW30" s="1740"/>
      <c r="EX30" s="1740"/>
      <c r="EY30" s="1740"/>
      <c r="EZ30" s="1740"/>
      <c r="FA30" s="1740"/>
      <c r="FB30" s="1740"/>
      <c r="FC30" s="1740"/>
      <c r="FD30" s="1740"/>
      <c r="FE30" s="1740"/>
      <c r="FF30" s="1740"/>
      <c r="FG30" s="1740"/>
      <c r="FH30" s="1740"/>
      <c r="FI30" s="1740"/>
      <c r="FJ30" s="1740"/>
      <c r="FK30" s="1740"/>
      <c r="FL30" s="1740"/>
      <c r="FM30" s="1740"/>
      <c r="FN30" s="1740"/>
      <c r="FO30" s="1740"/>
      <c r="FP30" s="1740"/>
      <c r="FQ30" s="1740"/>
      <c r="FR30" s="1740"/>
      <c r="FS30" s="1740"/>
      <c r="FT30" s="1740"/>
      <c r="FU30" s="1740"/>
      <c r="FV30" s="1740"/>
      <c r="FW30" s="1740"/>
      <c r="FX30" s="1740"/>
      <c r="FY30" s="1740"/>
      <c r="FZ30" s="1740"/>
      <c r="GA30" s="1740"/>
      <c r="GB30" s="1740"/>
      <c r="GC30" s="1740"/>
      <c r="GD30" s="1740"/>
      <c r="GE30" s="1740"/>
      <c r="GF30" s="1740"/>
    </row>
    <row r="31" spans="1:188" s="20" customFormat="1">
      <c r="A31" s="333">
        <f t="shared" si="0"/>
        <v>1972</v>
      </c>
      <c r="B31" s="333">
        <f t="shared" si="1"/>
        <v>4</v>
      </c>
      <c r="C31" s="1174">
        <v>26604</v>
      </c>
      <c r="D31" s="1158"/>
      <c r="E31" s="1159">
        <v>62.91</v>
      </c>
      <c r="F31" s="1159">
        <v>52.82118621</v>
      </c>
      <c r="G31" s="1160"/>
      <c r="H31" s="1161"/>
      <c r="I31" s="1160"/>
      <c r="J31" s="1160"/>
      <c r="K31" s="1677"/>
      <c r="L31" s="1677"/>
      <c r="M31" s="1681"/>
      <c r="N31" s="1162"/>
      <c r="O31" s="1162"/>
      <c r="P31" s="1162"/>
      <c r="Q31" s="1163"/>
      <c r="R31" s="1164"/>
      <c r="S31" s="1164"/>
      <c r="T31" s="1164"/>
      <c r="U31" s="1165"/>
      <c r="V31" s="1166"/>
      <c r="W31" s="1166"/>
      <c r="X31" s="630"/>
      <c r="AA31" s="1915"/>
      <c r="AB31" s="1915"/>
      <c r="AC31" s="1804"/>
      <c r="AD31" s="1804"/>
      <c r="AE31" s="1804"/>
      <c r="AF31" s="1804"/>
      <c r="AG31" s="1804"/>
      <c r="AH31" s="1804"/>
      <c r="AI31" s="1781" t="s">
        <v>0</v>
      </c>
      <c r="AJ31" s="1826">
        <v>2014</v>
      </c>
      <c r="AK31" s="1822" t="s">
        <v>39</v>
      </c>
      <c r="AL31" s="1822"/>
      <c r="AM31" s="1823">
        <v>272089657</v>
      </c>
      <c r="AN31" s="1824">
        <v>7.4999999999999997E-2</v>
      </c>
      <c r="AO31" s="1781"/>
      <c r="AP31" s="1781" t="s">
        <v>0</v>
      </c>
      <c r="AQ31" s="1781" t="s">
        <v>504</v>
      </c>
      <c r="AR31" s="1822" t="s">
        <v>39</v>
      </c>
      <c r="AS31" s="1822"/>
      <c r="AT31" s="1823">
        <v>435642186</v>
      </c>
      <c r="AU31" s="1825">
        <v>0.10299999999999999</v>
      </c>
      <c r="AV31" s="1781">
        <v>2014</v>
      </c>
      <c r="AW31" s="1671"/>
      <c r="AX31" s="1671"/>
      <c r="AY31" s="1804"/>
      <c r="AZ31" s="1804"/>
      <c r="BA31" s="1804"/>
      <c r="BB31" s="1804"/>
      <c r="BC31" s="1804"/>
      <c r="BD31" s="1804"/>
      <c r="BE31" s="1804"/>
      <c r="BF31" s="1804"/>
      <c r="BG31" s="1804"/>
      <c r="BH31" s="1804"/>
      <c r="BI31" s="1804"/>
      <c r="BJ31" s="1804"/>
      <c r="BK31" s="1804"/>
      <c r="BL31" s="1804"/>
      <c r="BM31" s="1804"/>
      <c r="BN31" s="1804"/>
      <c r="BO31" s="1804"/>
      <c r="BP31" s="1804"/>
      <c r="BQ31" s="1804"/>
      <c r="BR31" s="1804"/>
      <c r="BS31" s="1804"/>
      <c r="BT31" s="1804"/>
      <c r="BU31" s="1804"/>
      <c r="BV31" s="1804"/>
      <c r="BW31" s="1804"/>
      <c r="BX31" s="1804"/>
      <c r="BY31" s="1804"/>
      <c r="BZ31" s="1804"/>
      <c r="CA31" s="1804"/>
      <c r="CB31" s="1804"/>
      <c r="CC31" s="1804"/>
      <c r="CD31" s="1804"/>
      <c r="CE31" s="1804"/>
      <c r="CF31" s="1804"/>
      <c r="CG31" s="1804"/>
      <c r="CH31" s="1804"/>
      <c r="CI31" s="1804"/>
      <c r="CJ31" s="1804"/>
      <c r="CK31" s="1804"/>
      <c r="CL31" s="1804"/>
      <c r="CM31" s="1804"/>
      <c r="CN31" s="1804"/>
      <c r="CO31" s="1804"/>
      <c r="CP31" s="1804"/>
      <c r="CQ31" s="1804"/>
      <c r="CR31" s="1804"/>
      <c r="CS31" s="1804"/>
      <c r="CT31" s="1804"/>
      <c r="CU31" s="1804"/>
      <c r="CV31" s="1804"/>
      <c r="CW31" s="1804"/>
      <c r="CX31" s="1804"/>
      <c r="CY31" s="1804"/>
      <c r="CZ31" s="1804"/>
      <c r="DA31" s="1804"/>
      <c r="DB31" s="1804"/>
      <c r="DC31" s="1804"/>
      <c r="DD31" s="1804"/>
      <c r="DE31" s="1804"/>
      <c r="DF31" s="1804"/>
      <c r="DG31" s="1804"/>
      <c r="DH31" s="1804"/>
      <c r="DI31" s="1804"/>
      <c r="DJ31" s="1804"/>
      <c r="DK31" s="1804"/>
      <c r="DL31" s="1804"/>
      <c r="DM31" s="1804"/>
      <c r="DN31" s="1804"/>
      <c r="DO31" s="1804"/>
      <c r="DP31" s="1804"/>
      <c r="DQ31" s="1671"/>
      <c r="DR31" s="1671"/>
      <c r="DS31" s="1671"/>
      <c r="DT31" s="1671"/>
      <c r="DU31" s="1671"/>
      <c r="DV31" s="1671"/>
      <c r="DW31" s="1671"/>
      <c r="DX31" s="1671"/>
      <c r="DY31" s="1671"/>
      <c r="DZ31" s="1671"/>
      <c r="EA31" s="1740"/>
      <c r="EB31" s="1740"/>
      <c r="EC31" s="1740"/>
      <c r="ED31" s="1740"/>
      <c r="EE31" s="1740"/>
      <c r="EF31" s="1740"/>
      <c r="EG31" s="1740"/>
      <c r="EH31" s="1740"/>
      <c r="EI31" s="1740"/>
      <c r="EJ31" s="1740"/>
      <c r="EK31" s="1740"/>
      <c r="EL31" s="1740"/>
      <c r="EM31" s="1740"/>
      <c r="EN31" s="1740"/>
      <c r="EO31" s="1740"/>
      <c r="EP31" s="1740"/>
      <c r="EQ31" s="1740"/>
      <c r="ER31" s="1740"/>
      <c r="ES31" s="1740"/>
      <c r="ET31" s="1740"/>
      <c r="EU31" s="1740"/>
      <c r="EV31" s="1740"/>
      <c r="EW31" s="1740"/>
      <c r="EX31" s="1740"/>
      <c r="EY31" s="1740"/>
      <c r="EZ31" s="1740"/>
      <c r="FA31" s="1740"/>
      <c r="FB31" s="1740"/>
      <c r="FC31" s="1740"/>
      <c r="FD31" s="1740"/>
      <c r="FE31" s="1740"/>
      <c r="FF31" s="1740"/>
      <c r="FG31" s="1740"/>
      <c r="FH31" s="1740"/>
      <c r="FI31" s="1740"/>
      <c r="FJ31" s="1740"/>
      <c r="FK31" s="1740"/>
      <c r="FL31" s="1740"/>
      <c r="FM31" s="1740"/>
      <c r="FN31" s="1740"/>
      <c r="FO31" s="1740"/>
      <c r="FP31" s="1740"/>
      <c r="FQ31" s="1740"/>
      <c r="FR31" s="1740"/>
      <c r="FS31" s="1740"/>
      <c r="FT31" s="1740"/>
      <c r="FU31" s="1740"/>
      <c r="FV31" s="1740"/>
      <c r="FW31" s="1740"/>
      <c r="FX31" s="1740"/>
      <c r="FY31" s="1740"/>
      <c r="FZ31" s="1740"/>
      <c r="GA31" s="1740"/>
      <c r="GB31" s="1740"/>
      <c r="GC31" s="1740"/>
      <c r="GD31" s="1740"/>
      <c r="GE31" s="1740"/>
      <c r="GF31" s="1740"/>
    </row>
    <row r="32" spans="1:188" s="20" customFormat="1">
      <c r="A32" s="333">
        <f t="shared" si="0"/>
        <v>1972</v>
      </c>
      <c r="B32" s="333">
        <f t="shared" si="1"/>
        <v>4</v>
      </c>
      <c r="C32" s="1174">
        <v>26634</v>
      </c>
      <c r="D32" s="1167"/>
      <c r="E32" s="1168">
        <v>63.91</v>
      </c>
      <c r="F32" s="1168">
        <v>50.125507739999996</v>
      </c>
      <c r="G32" s="1168"/>
      <c r="H32" s="1167"/>
      <c r="I32" s="1168"/>
      <c r="J32" s="1168"/>
      <c r="K32" s="1678"/>
      <c r="L32" s="1678"/>
      <c r="M32" s="1682"/>
      <c r="N32" s="1169"/>
      <c r="O32" s="1169"/>
      <c r="P32" s="1169"/>
      <c r="Q32" s="1167"/>
      <c r="R32" s="1167"/>
      <c r="S32" s="1167"/>
      <c r="T32" s="1167"/>
      <c r="U32" s="1167"/>
      <c r="V32" s="1167"/>
      <c r="W32" s="1167"/>
      <c r="X32" s="630"/>
      <c r="AA32" s="1915"/>
      <c r="AB32" s="1915"/>
      <c r="AC32" s="1804"/>
      <c r="AD32" s="1804"/>
      <c r="AE32" s="1804"/>
      <c r="AF32" s="1804"/>
      <c r="AG32" s="1804"/>
      <c r="AH32" s="1804"/>
      <c r="AI32" s="1781" t="s">
        <v>0</v>
      </c>
      <c r="AJ32" s="1826">
        <v>2014</v>
      </c>
      <c r="AK32" s="1822" t="s">
        <v>386</v>
      </c>
      <c r="AL32" s="1822"/>
      <c r="AM32" s="1823">
        <v>3625139945</v>
      </c>
      <c r="AN32" s="1824">
        <v>1</v>
      </c>
      <c r="AO32" s="1781"/>
      <c r="AP32" s="1781" t="s">
        <v>0</v>
      </c>
      <c r="AQ32" s="1781" t="s">
        <v>504</v>
      </c>
      <c r="AR32" s="1822" t="s">
        <v>386</v>
      </c>
      <c r="AS32" s="1822"/>
      <c r="AT32" s="1823">
        <v>4219165433</v>
      </c>
      <c r="AU32" s="1825"/>
      <c r="AV32" s="1781">
        <v>2014</v>
      </c>
      <c r="AW32" s="1671"/>
      <c r="AX32" s="1925">
        <f>'Alumina - Prices'!A31</f>
        <v>43252</v>
      </c>
      <c r="AY32" s="1804"/>
      <c r="AZ32" s="1804"/>
      <c r="BA32" s="1804"/>
      <c r="BB32" s="1804"/>
      <c r="BC32" s="1804"/>
      <c r="BD32" s="1804"/>
      <c r="BE32" s="1804"/>
      <c r="BF32" s="1804"/>
      <c r="BG32" s="1804"/>
      <c r="BH32" s="1804"/>
      <c r="BI32" s="1804"/>
      <c r="BJ32" s="1804"/>
      <c r="BK32" s="1804"/>
      <c r="BL32" s="1804"/>
      <c r="BM32" s="1804"/>
      <c r="BN32" s="1804"/>
      <c r="BO32" s="1804"/>
      <c r="BP32" s="1804"/>
      <c r="BQ32" s="1804"/>
      <c r="BR32" s="1804"/>
      <c r="BS32" s="1804"/>
      <c r="BT32" s="1804"/>
      <c r="BU32" s="1804"/>
      <c r="BV32" s="1804"/>
      <c r="BW32" s="1804"/>
      <c r="BX32" s="1804"/>
      <c r="BY32" s="1804"/>
      <c r="BZ32" s="1804"/>
      <c r="CA32" s="1804"/>
      <c r="CB32" s="1804"/>
      <c r="CC32" s="1804"/>
      <c r="CD32" s="1804"/>
      <c r="CE32" s="1804"/>
      <c r="CF32" s="1804"/>
      <c r="CG32" s="1804"/>
      <c r="CH32" s="1804"/>
      <c r="CI32" s="1804"/>
      <c r="CJ32" s="1804"/>
      <c r="CK32" s="1804"/>
      <c r="CL32" s="1804"/>
      <c r="CM32" s="1804"/>
      <c r="CN32" s="1804"/>
      <c r="CO32" s="1804"/>
      <c r="CP32" s="1804"/>
      <c r="CQ32" s="1804"/>
      <c r="CR32" s="1804"/>
      <c r="CS32" s="1804"/>
      <c r="CT32" s="1804"/>
      <c r="CU32" s="1804"/>
      <c r="CV32" s="1804"/>
      <c r="CW32" s="1804"/>
      <c r="CX32" s="1804"/>
      <c r="CY32" s="1804"/>
      <c r="CZ32" s="1804"/>
      <c r="DA32" s="1804"/>
      <c r="DB32" s="1804"/>
      <c r="DC32" s="1804"/>
      <c r="DD32" s="1804"/>
      <c r="DE32" s="1804"/>
      <c r="DF32" s="1804"/>
      <c r="DG32" s="1804"/>
      <c r="DH32" s="1804"/>
      <c r="DI32" s="1804"/>
      <c r="DJ32" s="1804"/>
      <c r="DK32" s="1804"/>
      <c r="DL32" s="1804"/>
      <c r="DM32" s="1804"/>
      <c r="DN32" s="1804"/>
      <c r="DO32" s="1804"/>
      <c r="DP32" s="1804"/>
      <c r="DQ32" s="1671"/>
      <c r="DR32" s="1671"/>
      <c r="DS32" s="1671"/>
      <c r="DT32" s="1671"/>
      <c r="DU32" s="1671"/>
      <c r="DV32" s="1671"/>
      <c r="DW32" s="1671"/>
      <c r="DX32" s="1671"/>
      <c r="DY32" s="1671"/>
      <c r="DZ32" s="1671"/>
      <c r="EA32" s="1740"/>
      <c r="EB32" s="1740"/>
      <c r="EC32" s="1740"/>
      <c r="ED32" s="1740"/>
      <c r="EE32" s="1740"/>
      <c r="EF32" s="1740"/>
      <c r="EG32" s="1740"/>
      <c r="EH32" s="1740"/>
      <c r="EI32" s="1740"/>
      <c r="EJ32" s="1740"/>
      <c r="EK32" s="1740"/>
      <c r="EL32" s="1740"/>
      <c r="EM32" s="1740"/>
      <c r="EN32" s="1740"/>
      <c r="EO32" s="1740"/>
      <c r="EP32" s="1740"/>
      <c r="EQ32" s="1740"/>
      <c r="ER32" s="1740"/>
      <c r="ES32" s="1740"/>
      <c r="ET32" s="1740"/>
      <c r="EU32" s="1740"/>
      <c r="EV32" s="1740"/>
      <c r="EW32" s="1740"/>
      <c r="EX32" s="1740"/>
      <c r="EY32" s="1740"/>
      <c r="EZ32" s="1740"/>
      <c r="FA32" s="1740"/>
      <c r="FB32" s="1740"/>
      <c r="FC32" s="1740"/>
      <c r="FD32" s="1740"/>
      <c r="FE32" s="1740"/>
      <c r="FF32" s="1740"/>
      <c r="FG32" s="1740"/>
      <c r="FH32" s="1740"/>
      <c r="FI32" s="1740"/>
      <c r="FJ32" s="1740"/>
      <c r="FK32" s="1740"/>
      <c r="FL32" s="1740"/>
      <c r="FM32" s="1740"/>
      <c r="FN32" s="1740"/>
      <c r="FO32" s="1740"/>
      <c r="FP32" s="1740"/>
      <c r="FQ32" s="1740"/>
      <c r="FR32" s="1740"/>
      <c r="FS32" s="1740"/>
      <c r="FT32" s="1740"/>
      <c r="FU32" s="1740"/>
      <c r="FV32" s="1740"/>
      <c r="FW32" s="1740"/>
      <c r="FX32" s="1740"/>
      <c r="FY32" s="1740"/>
      <c r="FZ32" s="1740"/>
      <c r="GA32" s="1740"/>
      <c r="GB32" s="1740"/>
      <c r="GC32" s="1740"/>
      <c r="GD32" s="1740"/>
      <c r="GE32" s="1740"/>
      <c r="GF32" s="1740"/>
    </row>
    <row r="33" spans="1:188" s="20" customFormat="1">
      <c r="A33" s="333">
        <f t="shared" si="0"/>
        <v>1973</v>
      </c>
      <c r="B33" s="333">
        <f t="shared" si="1"/>
        <v>1</v>
      </c>
      <c r="C33" s="1174">
        <v>26665</v>
      </c>
      <c r="D33" s="1158"/>
      <c r="E33" s="1159">
        <v>65.14</v>
      </c>
      <c r="F33" s="1159">
        <v>51.09021396</v>
      </c>
      <c r="G33" s="1160"/>
      <c r="H33" s="1161"/>
      <c r="I33" s="1160"/>
      <c r="J33" s="1160"/>
      <c r="K33" s="1677"/>
      <c r="L33" s="1677"/>
      <c r="M33" s="1681"/>
      <c r="N33" s="1162"/>
      <c r="O33" s="1162"/>
      <c r="P33" s="1162"/>
      <c r="Q33" s="1163"/>
      <c r="R33" s="1164"/>
      <c r="S33" s="1164"/>
      <c r="T33" s="1164"/>
      <c r="U33" s="1165"/>
      <c r="V33" s="1166"/>
      <c r="W33" s="1166"/>
      <c r="X33" s="630"/>
      <c r="AA33" s="1915"/>
      <c r="AB33" s="1915"/>
      <c r="AC33" s="1804"/>
      <c r="AD33" s="1804"/>
      <c r="AE33" s="1804"/>
      <c r="AF33" s="1804"/>
      <c r="AG33" s="1804"/>
      <c r="AH33" s="1804"/>
      <c r="AI33" s="1781" t="s">
        <v>0</v>
      </c>
      <c r="AJ33" s="1826">
        <v>2013</v>
      </c>
      <c r="AK33" s="1822" t="s">
        <v>34</v>
      </c>
      <c r="AL33" s="1822">
        <v>1</v>
      </c>
      <c r="AM33" s="1823">
        <v>655295504</v>
      </c>
      <c r="AN33" s="1824">
        <v>0.182</v>
      </c>
      <c r="AO33" s="1781"/>
      <c r="AP33" s="1781" t="s">
        <v>0</v>
      </c>
      <c r="AQ33" s="1781" t="s">
        <v>503</v>
      </c>
      <c r="AR33" s="1822" t="s">
        <v>34</v>
      </c>
      <c r="AS33" s="1822">
        <v>1</v>
      </c>
      <c r="AT33" s="1823">
        <v>620027344</v>
      </c>
      <c r="AU33" s="1825">
        <v>0.183</v>
      </c>
      <c r="AV33" s="1781">
        <v>2013</v>
      </c>
      <c r="AW33" s="1671"/>
      <c r="AX33" s="1671"/>
      <c r="AY33" s="1804"/>
      <c r="AZ33" s="1804"/>
      <c r="BA33" s="1804"/>
      <c r="BB33" s="1804"/>
      <c r="BC33" s="1804"/>
      <c r="BD33" s="1804"/>
      <c r="BE33" s="1804"/>
      <c r="BF33" s="1804"/>
      <c r="BG33" s="1804"/>
      <c r="BH33" s="1804"/>
      <c r="BI33" s="1804"/>
      <c r="BJ33" s="1804"/>
      <c r="BK33" s="1804"/>
      <c r="BL33" s="1804"/>
      <c r="BM33" s="1804"/>
      <c r="BN33" s="1804"/>
      <c r="BO33" s="1804"/>
      <c r="BP33" s="1804"/>
      <c r="BQ33" s="1804"/>
      <c r="BR33" s="1804"/>
      <c r="BS33" s="1804"/>
      <c r="BT33" s="1804"/>
      <c r="BU33" s="1804"/>
      <c r="BV33" s="1804"/>
      <c r="BW33" s="1804"/>
      <c r="BX33" s="1804"/>
      <c r="BY33" s="1804"/>
      <c r="BZ33" s="1804"/>
      <c r="CA33" s="1804"/>
      <c r="CB33" s="1804"/>
      <c r="CC33" s="1804"/>
      <c r="CD33" s="1804"/>
      <c r="CE33" s="1804"/>
      <c r="CF33" s="1804"/>
      <c r="CG33" s="1804"/>
      <c r="CH33" s="1804"/>
      <c r="CI33" s="1804"/>
      <c r="CJ33" s="1804"/>
      <c r="CK33" s="1804"/>
      <c r="CL33" s="1804"/>
      <c r="CM33" s="1804"/>
      <c r="CN33" s="1804"/>
      <c r="CO33" s="1804"/>
      <c r="CP33" s="1804"/>
      <c r="CQ33" s="1804"/>
      <c r="CR33" s="1804"/>
      <c r="CS33" s="1804"/>
      <c r="CT33" s="1804"/>
      <c r="CU33" s="1804"/>
      <c r="CV33" s="1804"/>
      <c r="CW33" s="1804"/>
      <c r="CX33" s="1804"/>
      <c r="CY33" s="1804"/>
      <c r="CZ33" s="1804"/>
      <c r="DA33" s="1804"/>
      <c r="DB33" s="1804"/>
      <c r="DC33" s="1804"/>
      <c r="DD33" s="1804"/>
      <c r="DE33" s="1804"/>
      <c r="DF33" s="1804"/>
      <c r="DG33" s="1804"/>
      <c r="DH33" s="1804"/>
      <c r="DI33" s="1804"/>
      <c r="DJ33" s="1804"/>
      <c r="DK33" s="1804"/>
      <c r="DL33" s="1804"/>
      <c r="DM33" s="1804"/>
      <c r="DN33" s="1804"/>
      <c r="DO33" s="1804"/>
      <c r="DP33" s="1804"/>
      <c r="DQ33" s="1671"/>
      <c r="DR33" s="1671"/>
      <c r="DS33" s="1671"/>
      <c r="DT33" s="1671"/>
      <c r="DU33" s="1671"/>
      <c r="DV33" s="1671"/>
      <c r="DW33" s="1671"/>
      <c r="DX33" s="1671"/>
      <c r="DY33" s="1671"/>
      <c r="DZ33" s="1671"/>
      <c r="EA33" s="1740"/>
      <c r="EB33" s="1740"/>
      <c r="EC33" s="1740"/>
      <c r="ED33" s="1740"/>
      <c r="EE33" s="1740"/>
      <c r="EF33" s="1740"/>
      <c r="EG33" s="1740"/>
      <c r="EH33" s="1740"/>
      <c r="EI33" s="1740"/>
      <c r="EJ33" s="1740"/>
      <c r="EK33" s="1740"/>
      <c r="EL33" s="1740"/>
      <c r="EM33" s="1740"/>
      <c r="EN33" s="1740"/>
      <c r="EO33" s="1740"/>
      <c r="EP33" s="1740"/>
      <c r="EQ33" s="1740"/>
      <c r="ER33" s="1740"/>
      <c r="ES33" s="1740"/>
      <c r="ET33" s="1740"/>
      <c r="EU33" s="1740"/>
      <c r="EV33" s="1740"/>
      <c r="EW33" s="1740"/>
      <c r="EX33" s="1740"/>
      <c r="EY33" s="1740"/>
      <c r="EZ33" s="1740"/>
      <c r="FA33" s="1740"/>
      <c r="FB33" s="1740"/>
      <c r="FC33" s="1740"/>
      <c r="FD33" s="1740"/>
      <c r="FE33" s="1740"/>
      <c r="FF33" s="1740"/>
      <c r="FG33" s="1740"/>
      <c r="FH33" s="1740"/>
      <c r="FI33" s="1740"/>
      <c r="FJ33" s="1740"/>
      <c r="FK33" s="1740"/>
      <c r="FL33" s="1740"/>
      <c r="FM33" s="1740"/>
      <c r="FN33" s="1740"/>
      <c r="FO33" s="1740"/>
      <c r="FP33" s="1740"/>
      <c r="FQ33" s="1740"/>
      <c r="FR33" s="1740"/>
      <c r="FS33" s="1740"/>
      <c r="FT33" s="1740"/>
      <c r="FU33" s="1740"/>
      <c r="FV33" s="1740"/>
      <c r="FW33" s="1740"/>
      <c r="FX33" s="1740"/>
      <c r="FY33" s="1740"/>
      <c r="FZ33" s="1740"/>
      <c r="GA33" s="1740"/>
      <c r="GB33" s="1740"/>
      <c r="GC33" s="1740"/>
      <c r="GD33" s="1740"/>
      <c r="GE33" s="1740"/>
      <c r="GF33" s="1740"/>
    </row>
    <row r="34" spans="1:188" s="20" customFormat="1">
      <c r="A34" s="333">
        <f t="shared" si="0"/>
        <v>1973</v>
      </c>
      <c r="B34" s="333">
        <f t="shared" si="1"/>
        <v>1</v>
      </c>
      <c r="C34" s="1174">
        <v>26696</v>
      </c>
      <c r="D34" s="1167"/>
      <c r="E34" s="1168">
        <v>74.2</v>
      </c>
      <c r="F34" s="1168">
        <v>52.364127200000006</v>
      </c>
      <c r="G34" s="1168"/>
      <c r="H34" s="1167"/>
      <c r="I34" s="1168"/>
      <c r="J34" s="1168"/>
      <c r="K34" s="1678"/>
      <c r="L34" s="1678"/>
      <c r="M34" s="1682"/>
      <c r="N34" s="1169"/>
      <c r="O34" s="1169"/>
      <c r="P34" s="1169"/>
      <c r="Q34" s="1167"/>
      <c r="R34" s="1167"/>
      <c r="S34" s="1167"/>
      <c r="T34" s="1167"/>
      <c r="U34" s="1167"/>
      <c r="V34" s="1167"/>
      <c r="W34" s="1167"/>
      <c r="X34" s="630"/>
      <c r="AA34" s="1915"/>
      <c r="AB34" s="1915"/>
      <c r="AC34" s="1804"/>
      <c r="AD34" s="1804"/>
      <c r="AE34" s="1804"/>
      <c r="AF34" s="1804"/>
      <c r="AG34" s="1804"/>
      <c r="AH34" s="1804"/>
      <c r="AI34" s="1781" t="s">
        <v>0</v>
      </c>
      <c r="AJ34" s="1826">
        <v>2013</v>
      </c>
      <c r="AK34" s="1822" t="s">
        <v>18</v>
      </c>
      <c r="AL34" s="1822">
        <v>2</v>
      </c>
      <c r="AM34" s="1823">
        <v>602893544</v>
      </c>
      <c r="AN34" s="1824">
        <v>0.16700000000000001</v>
      </c>
      <c r="AO34" s="1781"/>
      <c r="AP34" s="1781" t="s">
        <v>0</v>
      </c>
      <c r="AQ34" s="1781" t="s">
        <v>503</v>
      </c>
      <c r="AR34" s="1822" t="s">
        <v>18</v>
      </c>
      <c r="AS34" s="1822">
        <v>2</v>
      </c>
      <c r="AT34" s="1823">
        <v>595991097</v>
      </c>
      <c r="AU34" s="1825">
        <v>0.17599999999999999</v>
      </c>
      <c r="AV34" s="1781">
        <v>2013</v>
      </c>
      <c r="AW34" s="1671"/>
      <c r="AX34" s="1671"/>
      <c r="AY34" s="1804"/>
      <c r="AZ34" s="1804"/>
      <c r="BA34" s="1804"/>
      <c r="BB34" s="1804"/>
      <c r="BC34" s="1804"/>
      <c r="BD34" s="1804"/>
      <c r="BE34" s="1804"/>
      <c r="BF34" s="1804"/>
      <c r="BG34" s="1804"/>
      <c r="BH34" s="1804"/>
      <c r="BI34" s="1804"/>
      <c r="BJ34" s="1804"/>
      <c r="BK34" s="1804"/>
      <c r="BL34" s="1804"/>
      <c r="BM34" s="1804"/>
      <c r="BN34" s="1804"/>
      <c r="BO34" s="1804"/>
      <c r="BP34" s="1804"/>
      <c r="BQ34" s="1804"/>
      <c r="BR34" s="1804"/>
      <c r="BS34" s="1804"/>
      <c r="BT34" s="1804"/>
      <c r="BU34" s="1804"/>
      <c r="BV34" s="1804"/>
      <c r="BW34" s="1804"/>
      <c r="BX34" s="1804"/>
      <c r="BY34" s="1804"/>
      <c r="BZ34" s="1804"/>
      <c r="CA34" s="1804"/>
      <c r="CB34" s="1804"/>
      <c r="CC34" s="1804"/>
      <c r="CD34" s="1804"/>
      <c r="CE34" s="1804"/>
      <c r="CF34" s="1804"/>
      <c r="CG34" s="1804"/>
      <c r="CH34" s="1804"/>
      <c r="CI34" s="1804"/>
      <c r="CJ34" s="1804"/>
      <c r="CK34" s="1804"/>
      <c r="CL34" s="1804"/>
      <c r="CM34" s="1804"/>
      <c r="CN34" s="1804"/>
      <c r="CO34" s="1804"/>
      <c r="CP34" s="1804"/>
      <c r="CQ34" s="1804"/>
      <c r="CR34" s="1804"/>
      <c r="CS34" s="1804"/>
      <c r="CT34" s="1804"/>
      <c r="CU34" s="1804"/>
      <c r="CV34" s="1804"/>
      <c r="CW34" s="1804"/>
      <c r="CX34" s="1804"/>
      <c r="CY34" s="1804"/>
      <c r="CZ34" s="1804"/>
      <c r="DA34" s="1804"/>
      <c r="DB34" s="1804"/>
      <c r="DC34" s="1804"/>
      <c r="DD34" s="1804"/>
      <c r="DE34" s="1804"/>
      <c r="DF34" s="1804"/>
      <c r="DG34" s="1804"/>
      <c r="DH34" s="1804"/>
      <c r="DI34" s="1804"/>
      <c r="DJ34" s="1804"/>
      <c r="DK34" s="1804"/>
      <c r="DL34" s="1804"/>
      <c r="DM34" s="1804"/>
      <c r="DN34" s="1804"/>
      <c r="DO34" s="1804"/>
      <c r="DP34" s="1804"/>
      <c r="DQ34" s="1671"/>
      <c r="DR34" s="1671"/>
      <c r="DS34" s="1671"/>
      <c r="DT34" s="1671"/>
      <c r="DU34" s="1671"/>
      <c r="DV34" s="1671"/>
      <c r="DW34" s="1671"/>
      <c r="DX34" s="1671"/>
      <c r="DY34" s="1671"/>
      <c r="DZ34" s="1671"/>
      <c r="EA34" s="1740"/>
      <c r="EB34" s="1740"/>
      <c r="EC34" s="1740"/>
      <c r="ED34" s="1740"/>
      <c r="EE34" s="1740"/>
      <c r="EF34" s="1740"/>
      <c r="EG34" s="1740"/>
      <c r="EH34" s="1740"/>
      <c r="EI34" s="1740"/>
      <c r="EJ34" s="1740"/>
      <c r="EK34" s="1740"/>
      <c r="EL34" s="1740"/>
      <c r="EM34" s="1740"/>
      <c r="EN34" s="1740"/>
      <c r="EO34" s="1740"/>
      <c r="EP34" s="1740"/>
      <c r="EQ34" s="1740"/>
      <c r="ER34" s="1740"/>
      <c r="ES34" s="1740"/>
      <c r="ET34" s="1740"/>
      <c r="EU34" s="1740"/>
      <c r="EV34" s="1740"/>
      <c r="EW34" s="1740"/>
      <c r="EX34" s="1740"/>
      <c r="EY34" s="1740"/>
      <c r="EZ34" s="1740"/>
      <c r="FA34" s="1740"/>
      <c r="FB34" s="1740"/>
      <c r="FC34" s="1740"/>
      <c r="FD34" s="1740"/>
      <c r="FE34" s="1740"/>
      <c r="FF34" s="1740"/>
      <c r="FG34" s="1740"/>
      <c r="FH34" s="1740"/>
      <c r="FI34" s="1740"/>
      <c r="FJ34" s="1740"/>
      <c r="FK34" s="1740"/>
      <c r="FL34" s="1740"/>
      <c r="FM34" s="1740"/>
      <c r="FN34" s="1740"/>
      <c r="FO34" s="1740"/>
      <c r="FP34" s="1740"/>
      <c r="FQ34" s="1740"/>
      <c r="FR34" s="1740"/>
      <c r="FS34" s="1740"/>
      <c r="FT34" s="1740"/>
      <c r="FU34" s="1740"/>
      <c r="FV34" s="1740"/>
      <c r="FW34" s="1740"/>
      <c r="FX34" s="1740"/>
      <c r="FY34" s="1740"/>
      <c r="FZ34" s="1740"/>
      <c r="GA34" s="1740"/>
      <c r="GB34" s="1740"/>
      <c r="GC34" s="1740"/>
      <c r="GD34" s="1740"/>
      <c r="GE34" s="1740"/>
      <c r="GF34" s="1740"/>
    </row>
    <row r="35" spans="1:188" s="20" customFormat="1">
      <c r="A35" s="333">
        <f t="shared" si="0"/>
        <v>1973</v>
      </c>
      <c r="B35" s="333">
        <f t="shared" si="1"/>
        <v>1</v>
      </c>
      <c r="C35" s="1174">
        <v>26724</v>
      </c>
      <c r="D35" s="1158"/>
      <c r="E35" s="1159">
        <v>84.457954545500002</v>
      </c>
      <c r="F35" s="1159">
        <v>59.603329850032083</v>
      </c>
      <c r="G35" s="1160"/>
      <c r="H35" s="1161"/>
      <c r="I35" s="1160"/>
      <c r="J35" s="1160"/>
      <c r="K35" s="1677"/>
      <c r="L35" s="1677"/>
      <c r="M35" s="1681"/>
      <c r="N35" s="1162"/>
      <c r="O35" s="1162"/>
      <c r="P35" s="1162"/>
      <c r="Q35" s="1163"/>
      <c r="R35" s="1164"/>
      <c r="S35" s="1164"/>
      <c r="T35" s="1164"/>
      <c r="U35" s="1165"/>
      <c r="V35" s="1166"/>
      <c r="W35" s="1166"/>
      <c r="X35" s="630"/>
      <c r="AA35" s="1915"/>
      <c r="AB35" s="1915"/>
      <c r="AC35" s="1804"/>
      <c r="AD35" s="1804"/>
      <c r="AE35" s="1804"/>
      <c r="AF35" s="1804"/>
      <c r="AG35" s="1804"/>
      <c r="AH35" s="1804"/>
      <c r="AI35" s="1781" t="s">
        <v>0</v>
      </c>
      <c r="AJ35" s="1826">
        <v>2013</v>
      </c>
      <c r="AK35" s="1822" t="s">
        <v>17</v>
      </c>
      <c r="AL35" s="1822">
        <v>3</v>
      </c>
      <c r="AM35" s="1823">
        <v>438172534</v>
      </c>
      <c r="AN35" s="1824">
        <v>0.122</v>
      </c>
      <c r="AO35" s="1781"/>
      <c r="AP35" s="1781" t="s">
        <v>0</v>
      </c>
      <c r="AQ35" s="1781" t="s">
        <v>503</v>
      </c>
      <c r="AR35" s="1822" t="s">
        <v>32</v>
      </c>
      <c r="AS35" s="1822">
        <v>3</v>
      </c>
      <c r="AT35" s="1823">
        <v>428744165</v>
      </c>
      <c r="AU35" s="1825">
        <v>0.127</v>
      </c>
      <c r="AV35" s="1781">
        <v>2013</v>
      </c>
      <c r="AW35" s="1671"/>
      <c r="AX35" s="1925">
        <f>'Alumina - Prices'!A34</f>
        <v>43344</v>
      </c>
      <c r="AY35" s="1804"/>
      <c r="AZ35" s="1804"/>
      <c r="BA35" s="1804"/>
      <c r="BB35" s="1804"/>
      <c r="BC35" s="1804"/>
      <c r="BD35" s="1804"/>
      <c r="BE35" s="1804"/>
      <c r="BF35" s="1804"/>
      <c r="BG35" s="1804"/>
      <c r="BH35" s="1804"/>
      <c r="BI35" s="1804"/>
      <c r="BJ35" s="1804"/>
      <c r="BK35" s="1804"/>
      <c r="BL35" s="1804"/>
      <c r="BM35" s="1804"/>
      <c r="BN35" s="1804"/>
      <c r="BO35" s="1804"/>
      <c r="BP35" s="1804"/>
      <c r="BQ35" s="1804"/>
      <c r="BR35" s="1804"/>
      <c r="BS35" s="1804"/>
      <c r="BT35" s="1804"/>
      <c r="BU35" s="1804"/>
      <c r="BV35" s="1804"/>
      <c r="BW35" s="1804"/>
      <c r="BX35" s="1804"/>
      <c r="BY35" s="1804"/>
      <c r="BZ35" s="1804"/>
      <c r="CA35" s="1804"/>
      <c r="CB35" s="1804"/>
      <c r="CC35" s="1804"/>
      <c r="CD35" s="1804"/>
      <c r="CE35" s="1804"/>
      <c r="CF35" s="1804"/>
      <c r="CG35" s="1804"/>
      <c r="CH35" s="1804"/>
      <c r="CI35" s="1804"/>
      <c r="CJ35" s="1804"/>
      <c r="CK35" s="1804"/>
      <c r="CL35" s="1804"/>
      <c r="CM35" s="1804"/>
      <c r="CN35" s="1804"/>
      <c r="CO35" s="1804"/>
      <c r="CP35" s="1804"/>
      <c r="CQ35" s="1804"/>
      <c r="CR35" s="1804"/>
      <c r="CS35" s="1804"/>
      <c r="CT35" s="1804"/>
      <c r="CU35" s="1804"/>
      <c r="CV35" s="1804"/>
      <c r="CW35" s="1804"/>
      <c r="CX35" s="1804"/>
      <c r="CY35" s="1804"/>
      <c r="CZ35" s="1804"/>
      <c r="DA35" s="1804"/>
      <c r="DB35" s="1804"/>
      <c r="DC35" s="1804"/>
      <c r="DD35" s="1804"/>
      <c r="DE35" s="1804"/>
      <c r="DF35" s="1804"/>
      <c r="DG35" s="1804"/>
      <c r="DH35" s="1804"/>
      <c r="DI35" s="1804"/>
      <c r="DJ35" s="1804"/>
      <c r="DK35" s="1804"/>
      <c r="DL35" s="1804"/>
      <c r="DM35" s="1804"/>
      <c r="DN35" s="1804"/>
      <c r="DO35" s="1804"/>
      <c r="DP35" s="1804"/>
      <c r="DQ35" s="1671"/>
      <c r="DR35" s="1671"/>
      <c r="DS35" s="1671"/>
      <c r="DT35" s="1671"/>
      <c r="DU35" s="1671"/>
      <c r="DV35" s="1671"/>
      <c r="DW35" s="1671"/>
      <c r="DX35" s="1671"/>
      <c r="DY35" s="1671"/>
      <c r="DZ35" s="1671"/>
      <c r="EA35" s="1740"/>
      <c r="EB35" s="1740"/>
      <c r="EC35" s="1740"/>
      <c r="ED35" s="1740"/>
      <c r="EE35" s="1740"/>
      <c r="EF35" s="1740"/>
      <c r="EG35" s="1740"/>
      <c r="EH35" s="1740"/>
      <c r="EI35" s="1740"/>
      <c r="EJ35" s="1740"/>
      <c r="EK35" s="1740"/>
      <c r="EL35" s="1740"/>
      <c r="EM35" s="1740"/>
      <c r="EN35" s="1740"/>
      <c r="EO35" s="1740"/>
      <c r="EP35" s="1740"/>
      <c r="EQ35" s="1740"/>
      <c r="ER35" s="1740"/>
      <c r="ES35" s="1740"/>
      <c r="ET35" s="1740"/>
      <c r="EU35" s="1740"/>
      <c r="EV35" s="1740"/>
      <c r="EW35" s="1740"/>
      <c r="EX35" s="1740"/>
      <c r="EY35" s="1740"/>
      <c r="EZ35" s="1740"/>
      <c r="FA35" s="1740"/>
      <c r="FB35" s="1740"/>
      <c r="FC35" s="1740"/>
      <c r="FD35" s="1740"/>
      <c r="FE35" s="1740"/>
      <c r="FF35" s="1740"/>
      <c r="FG35" s="1740"/>
      <c r="FH35" s="1740"/>
      <c r="FI35" s="1740"/>
      <c r="FJ35" s="1740"/>
      <c r="FK35" s="1740"/>
      <c r="FL35" s="1740"/>
      <c r="FM35" s="1740"/>
      <c r="FN35" s="1740"/>
      <c r="FO35" s="1740"/>
      <c r="FP35" s="1740"/>
      <c r="FQ35" s="1740"/>
      <c r="FR35" s="1740"/>
      <c r="FS35" s="1740"/>
      <c r="FT35" s="1740"/>
      <c r="FU35" s="1740"/>
      <c r="FV35" s="1740"/>
      <c r="FW35" s="1740"/>
      <c r="FX35" s="1740"/>
      <c r="FY35" s="1740"/>
      <c r="FZ35" s="1740"/>
      <c r="GA35" s="1740"/>
      <c r="GB35" s="1740"/>
      <c r="GC35" s="1740"/>
      <c r="GD35" s="1740"/>
      <c r="GE35" s="1740"/>
      <c r="GF35" s="1740"/>
    </row>
    <row r="36" spans="1:188" s="20" customFormat="1">
      <c r="A36" s="333">
        <f t="shared" si="0"/>
        <v>1973</v>
      </c>
      <c r="B36" s="333">
        <f t="shared" si="1"/>
        <v>2</v>
      </c>
      <c r="C36" s="1174">
        <v>26756</v>
      </c>
      <c r="D36" s="1167"/>
      <c r="E36" s="1168">
        <v>90.509210526299995</v>
      </c>
      <c r="F36" s="1168">
        <v>63.873798015778327</v>
      </c>
      <c r="G36" s="1168"/>
      <c r="H36" s="1167"/>
      <c r="I36" s="1168"/>
      <c r="J36" s="1168"/>
      <c r="K36" s="1678"/>
      <c r="L36" s="1678"/>
      <c r="M36" s="1682"/>
      <c r="N36" s="1169"/>
      <c r="O36" s="1169"/>
      <c r="P36" s="1169"/>
      <c r="Q36" s="1167"/>
      <c r="R36" s="1167"/>
      <c r="S36" s="1167"/>
      <c r="T36" s="1167"/>
      <c r="U36" s="1167"/>
      <c r="V36" s="1167"/>
      <c r="W36" s="1167"/>
      <c r="X36" s="630"/>
      <c r="AA36" s="1915"/>
      <c r="AB36" s="1915"/>
      <c r="AC36" s="1804"/>
      <c r="AD36" s="1804"/>
      <c r="AE36" s="1804"/>
      <c r="AF36" s="1804"/>
      <c r="AG36" s="1804"/>
      <c r="AH36" s="1804"/>
      <c r="AI36" s="1781" t="s">
        <v>0</v>
      </c>
      <c r="AJ36" s="1826">
        <v>2013</v>
      </c>
      <c r="AK36" s="1822" t="s">
        <v>32</v>
      </c>
      <c r="AL36" s="1822">
        <v>4</v>
      </c>
      <c r="AM36" s="1823">
        <v>431711055</v>
      </c>
      <c r="AN36" s="1824">
        <v>0.12</v>
      </c>
      <c r="AO36" s="1781"/>
      <c r="AP36" s="1781" t="s">
        <v>0</v>
      </c>
      <c r="AQ36" s="1781" t="s">
        <v>503</v>
      </c>
      <c r="AR36" s="1822" t="s">
        <v>17</v>
      </c>
      <c r="AS36" s="1822">
        <v>4</v>
      </c>
      <c r="AT36" s="1823">
        <v>410494059</v>
      </c>
      <c r="AU36" s="1825">
        <v>0.121</v>
      </c>
      <c r="AV36" s="1781">
        <v>2013</v>
      </c>
      <c r="AW36" s="1671"/>
      <c r="AX36" s="1671"/>
      <c r="AY36" s="1804"/>
      <c r="AZ36" s="1804"/>
      <c r="BA36" s="1804"/>
      <c r="BB36" s="1804"/>
      <c r="BC36" s="1804"/>
      <c r="BD36" s="1804"/>
      <c r="BE36" s="1804"/>
      <c r="BF36" s="1804"/>
      <c r="BG36" s="1804"/>
      <c r="BH36" s="1804"/>
      <c r="BI36" s="1804"/>
      <c r="BJ36" s="1804"/>
      <c r="BK36" s="1804"/>
      <c r="BL36" s="1804"/>
      <c r="BM36" s="1804"/>
      <c r="BN36" s="1804"/>
      <c r="BO36" s="1804"/>
      <c r="BP36" s="1804"/>
      <c r="BQ36" s="1804"/>
      <c r="BR36" s="1804"/>
      <c r="BS36" s="1804"/>
      <c r="BT36" s="1804"/>
      <c r="BU36" s="1804"/>
      <c r="BV36" s="1804"/>
      <c r="BW36" s="1804"/>
      <c r="BX36" s="1804"/>
      <c r="BY36" s="1804"/>
      <c r="BZ36" s="1804"/>
      <c r="CA36" s="1804"/>
      <c r="CB36" s="1804"/>
      <c r="CC36" s="1804"/>
      <c r="CD36" s="1804"/>
      <c r="CE36" s="1804"/>
      <c r="CF36" s="1804"/>
      <c r="CG36" s="1804"/>
      <c r="CH36" s="1804"/>
      <c r="CI36" s="1804"/>
      <c r="CJ36" s="1804"/>
      <c r="CK36" s="1804"/>
      <c r="CL36" s="1804"/>
      <c r="CM36" s="1804"/>
      <c r="CN36" s="1804"/>
      <c r="CO36" s="1804"/>
      <c r="CP36" s="1804"/>
      <c r="CQ36" s="1804"/>
      <c r="CR36" s="1804"/>
      <c r="CS36" s="1804"/>
      <c r="CT36" s="1804"/>
      <c r="CU36" s="1804"/>
      <c r="CV36" s="1804"/>
      <c r="CW36" s="1804"/>
      <c r="CX36" s="1804"/>
      <c r="CY36" s="1804"/>
      <c r="CZ36" s="1804"/>
      <c r="DA36" s="1804"/>
      <c r="DB36" s="1804"/>
      <c r="DC36" s="1804"/>
      <c r="DD36" s="1804"/>
      <c r="DE36" s="1804"/>
      <c r="DF36" s="1804"/>
      <c r="DG36" s="1804"/>
      <c r="DH36" s="1804"/>
      <c r="DI36" s="1804"/>
      <c r="DJ36" s="1804"/>
      <c r="DK36" s="1804"/>
      <c r="DL36" s="1804"/>
      <c r="DM36" s="1804"/>
      <c r="DN36" s="1804"/>
      <c r="DO36" s="1804"/>
      <c r="DP36" s="1804"/>
      <c r="DQ36" s="1671"/>
      <c r="DR36" s="1671"/>
      <c r="DS36" s="1671"/>
      <c r="DT36" s="1671"/>
      <c r="DU36" s="1671"/>
      <c r="DV36" s="1671"/>
      <c r="DW36" s="1671"/>
      <c r="DX36" s="1671"/>
      <c r="DY36" s="1671"/>
      <c r="DZ36" s="1671"/>
      <c r="EA36" s="1740"/>
      <c r="EB36" s="1740"/>
      <c r="EC36" s="1740"/>
      <c r="ED36" s="1740"/>
      <c r="EE36" s="1740"/>
      <c r="EF36" s="1740"/>
      <c r="EG36" s="1740"/>
      <c r="EH36" s="1740"/>
      <c r="EI36" s="1740"/>
      <c r="EJ36" s="1740"/>
      <c r="EK36" s="1740"/>
      <c r="EL36" s="1740"/>
      <c r="EM36" s="1740"/>
      <c r="EN36" s="1740"/>
      <c r="EO36" s="1740"/>
      <c r="EP36" s="1740"/>
      <c r="EQ36" s="1740"/>
      <c r="ER36" s="1740"/>
      <c r="ES36" s="1740"/>
      <c r="ET36" s="1740"/>
      <c r="EU36" s="1740"/>
      <c r="EV36" s="1740"/>
      <c r="EW36" s="1740"/>
      <c r="EX36" s="1740"/>
      <c r="EY36" s="1740"/>
      <c r="EZ36" s="1740"/>
      <c r="FA36" s="1740"/>
      <c r="FB36" s="1740"/>
      <c r="FC36" s="1740"/>
      <c r="FD36" s="1740"/>
      <c r="FE36" s="1740"/>
      <c r="FF36" s="1740"/>
      <c r="FG36" s="1740"/>
      <c r="FH36" s="1740"/>
      <c r="FI36" s="1740"/>
      <c r="FJ36" s="1740"/>
      <c r="FK36" s="1740"/>
      <c r="FL36" s="1740"/>
      <c r="FM36" s="1740"/>
      <c r="FN36" s="1740"/>
      <c r="FO36" s="1740"/>
      <c r="FP36" s="1740"/>
      <c r="FQ36" s="1740"/>
      <c r="FR36" s="1740"/>
      <c r="FS36" s="1740"/>
      <c r="FT36" s="1740"/>
      <c r="FU36" s="1740"/>
      <c r="FV36" s="1740"/>
      <c r="FW36" s="1740"/>
      <c r="FX36" s="1740"/>
      <c r="FY36" s="1740"/>
      <c r="FZ36" s="1740"/>
      <c r="GA36" s="1740"/>
      <c r="GB36" s="1740"/>
      <c r="GC36" s="1740"/>
      <c r="GD36" s="1740"/>
      <c r="GE36" s="1740"/>
      <c r="GF36" s="1740"/>
    </row>
    <row r="37" spans="1:188" s="20" customFormat="1">
      <c r="A37" s="333">
        <f t="shared" si="0"/>
        <v>1973</v>
      </c>
      <c r="B37" s="333">
        <f t="shared" si="1"/>
        <v>2</v>
      </c>
      <c r="C37" s="1174">
        <v>26785</v>
      </c>
      <c r="D37" s="1158"/>
      <c r="E37" s="1159">
        <v>102.5625</v>
      </c>
      <c r="F37" s="1159">
        <v>72.379997250000002</v>
      </c>
      <c r="G37" s="1160"/>
      <c r="H37" s="1161"/>
      <c r="I37" s="1160"/>
      <c r="J37" s="1160"/>
      <c r="K37" s="1677"/>
      <c r="L37" s="1677"/>
      <c r="M37" s="1681"/>
      <c r="N37" s="1162"/>
      <c r="O37" s="1162"/>
      <c r="P37" s="1162"/>
      <c r="Q37" s="1163"/>
      <c r="R37" s="1164"/>
      <c r="S37" s="1164"/>
      <c r="T37" s="1164"/>
      <c r="U37" s="1165"/>
      <c r="V37" s="1166"/>
      <c r="W37" s="1166"/>
      <c r="X37" s="630"/>
      <c r="AA37" s="1915"/>
      <c r="AB37" s="1915"/>
      <c r="AC37" s="1804"/>
      <c r="AD37" s="1804"/>
      <c r="AE37" s="1804"/>
      <c r="AF37" s="1804"/>
      <c r="AG37" s="1804"/>
      <c r="AH37" s="1804"/>
      <c r="AI37" s="1781" t="s">
        <v>0</v>
      </c>
      <c r="AJ37" s="1826">
        <v>2013</v>
      </c>
      <c r="AK37" s="1822" t="s">
        <v>26</v>
      </c>
      <c r="AL37" s="1822">
        <v>5</v>
      </c>
      <c r="AM37" s="1823">
        <v>332391283</v>
      </c>
      <c r="AN37" s="1824">
        <v>9.1999999999999998E-2</v>
      </c>
      <c r="AO37" s="1781"/>
      <c r="AP37" s="1781" t="s">
        <v>0</v>
      </c>
      <c r="AQ37" s="1781" t="s">
        <v>503</v>
      </c>
      <c r="AR37" s="1822" t="s">
        <v>26</v>
      </c>
      <c r="AS37" s="1822">
        <v>5</v>
      </c>
      <c r="AT37" s="1823">
        <v>310453814</v>
      </c>
      <c r="AU37" s="1825">
        <v>9.1999999999999998E-2</v>
      </c>
      <c r="AV37" s="1781">
        <v>2013</v>
      </c>
      <c r="AW37" s="1671"/>
      <c r="AX37" s="1671"/>
      <c r="AY37" s="1804"/>
      <c r="AZ37" s="1804"/>
      <c r="BA37" s="1804"/>
      <c r="BB37" s="1804"/>
      <c r="BC37" s="1804"/>
      <c r="BD37" s="1804"/>
      <c r="BE37" s="1804"/>
      <c r="BF37" s="1804"/>
      <c r="BG37" s="1804"/>
      <c r="BH37" s="1804"/>
      <c r="BI37" s="1804"/>
      <c r="BJ37" s="1804"/>
      <c r="BK37" s="1804"/>
      <c r="BL37" s="1804"/>
      <c r="BM37" s="1804"/>
      <c r="BN37" s="1804"/>
      <c r="BO37" s="1804"/>
      <c r="BP37" s="1804"/>
      <c r="BQ37" s="1804"/>
      <c r="BR37" s="1804"/>
      <c r="BS37" s="1804"/>
      <c r="BT37" s="1804"/>
      <c r="BU37" s="1804"/>
      <c r="BV37" s="1804"/>
      <c r="BW37" s="1804"/>
      <c r="BX37" s="1804"/>
      <c r="BY37" s="1804"/>
      <c r="BZ37" s="1804"/>
      <c r="CA37" s="1804"/>
      <c r="CB37" s="1804"/>
      <c r="CC37" s="1804"/>
      <c r="CD37" s="1804"/>
      <c r="CE37" s="1804"/>
      <c r="CF37" s="1804"/>
      <c r="CG37" s="1804"/>
      <c r="CH37" s="1804"/>
      <c r="CI37" s="1804"/>
      <c r="CJ37" s="1804"/>
      <c r="CK37" s="1804"/>
      <c r="CL37" s="1804"/>
      <c r="CM37" s="1804"/>
      <c r="CN37" s="1804"/>
      <c r="CO37" s="1804"/>
      <c r="CP37" s="1804"/>
      <c r="CQ37" s="1804"/>
      <c r="CR37" s="1804"/>
      <c r="CS37" s="1804"/>
      <c r="CT37" s="1804"/>
      <c r="CU37" s="1804"/>
      <c r="CV37" s="1804"/>
      <c r="CW37" s="1804"/>
      <c r="CX37" s="1804"/>
      <c r="CY37" s="1804"/>
      <c r="CZ37" s="1804"/>
      <c r="DA37" s="1804"/>
      <c r="DB37" s="1804"/>
      <c r="DC37" s="1804"/>
      <c r="DD37" s="1804"/>
      <c r="DE37" s="1804"/>
      <c r="DF37" s="1804"/>
      <c r="DG37" s="1804"/>
      <c r="DH37" s="1804"/>
      <c r="DI37" s="1804"/>
      <c r="DJ37" s="1804"/>
      <c r="DK37" s="1804"/>
      <c r="DL37" s="1804"/>
      <c r="DM37" s="1804"/>
      <c r="DN37" s="1804"/>
      <c r="DO37" s="1804"/>
      <c r="DP37" s="1804"/>
      <c r="DQ37" s="1671"/>
      <c r="DR37" s="1671"/>
      <c r="DS37" s="1671"/>
      <c r="DT37" s="1671"/>
      <c r="DU37" s="1671"/>
      <c r="DV37" s="1671"/>
      <c r="DW37" s="1671"/>
      <c r="DX37" s="1671"/>
      <c r="DY37" s="1671"/>
      <c r="DZ37" s="1671"/>
      <c r="EA37" s="1740"/>
      <c r="EB37" s="1740"/>
      <c r="EC37" s="1740"/>
      <c r="ED37" s="1740"/>
      <c r="EE37" s="1740"/>
      <c r="EF37" s="1740"/>
      <c r="EG37" s="1740"/>
      <c r="EH37" s="1740"/>
      <c r="EI37" s="1740"/>
      <c r="EJ37" s="1740"/>
      <c r="EK37" s="1740"/>
      <c r="EL37" s="1740"/>
      <c r="EM37" s="1740"/>
      <c r="EN37" s="1740"/>
      <c r="EO37" s="1740"/>
      <c r="EP37" s="1740"/>
      <c r="EQ37" s="1740"/>
      <c r="ER37" s="1740"/>
      <c r="ES37" s="1740"/>
      <c r="ET37" s="1740"/>
      <c r="EU37" s="1740"/>
      <c r="EV37" s="1740"/>
      <c r="EW37" s="1740"/>
      <c r="EX37" s="1740"/>
      <c r="EY37" s="1740"/>
      <c r="EZ37" s="1740"/>
      <c r="FA37" s="1740"/>
      <c r="FB37" s="1740"/>
      <c r="FC37" s="1740"/>
      <c r="FD37" s="1740"/>
      <c r="FE37" s="1740"/>
      <c r="FF37" s="1740"/>
      <c r="FG37" s="1740"/>
      <c r="FH37" s="1740"/>
      <c r="FI37" s="1740"/>
      <c r="FJ37" s="1740"/>
      <c r="FK37" s="1740"/>
      <c r="FL37" s="1740"/>
      <c r="FM37" s="1740"/>
      <c r="FN37" s="1740"/>
      <c r="FO37" s="1740"/>
      <c r="FP37" s="1740"/>
      <c r="FQ37" s="1740"/>
      <c r="FR37" s="1740"/>
      <c r="FS37" s="1740"/>
      <c r="FT37" s="1740"/>
      <c r="FU37" s="1740"/>
      <c r="FV37" s="1740"/>
      <c r="FW37" s="1740"/>
      <c r="FX37" s="1740"/>
      <c r="FY37" s="1740"/>
      <c r="FZ37" s="1740"/>
      <c r="GA37" s="1740"/>
      <c r="GB37" s="1740"/>
      <c r="GC37" s="1740"/>
      <c r="GD37" s="1740"/>
      <c r="GE37" s="1740"/>
      <c r="GF37" s="1740"/>
    </row>
    <row r="38" spans="1:188" s="20" customFormat="1">
      <c r="A38" s="333">
        <f t="shared" si="0"/>
        <v>1973</v>
      </c>
      <c r="B38" s="333">
        <f t="shared" si="1"/>
        <v>2</v>
      </c>
      <c r="C38" s="1174">
        <v>26816</v>
      </c>
      <c r="D38" s="1167"/>
      <c r="E38" s="1168">
        <v>120.19642857140001</v>
      </c>
      <c r="F38" s="1168">
        <v>84.824542785694121</v>
      </c>
      <c r="G38" s="1168"/>
      <c r="H38" s="1167"/>
      <c r="I38" s="1168"/>
      <c r="J38" s="1168"/>
      <c r="K38" s="1678"/>
      <c r="L38" s="1678"/>
      <c r="M38" s="1682"/>
      <c r="N38" s="1169"/>
      <c r="O38" s="1169"/>
      <c r="P38" s="1169"/>
      <c r="Q38" s="1167"/>
      <c r="R38" s="1167"/>
      <c r="S38" s="1167"/>
      <c r="T38" s="1167"/>
      <c r="U38" s="1167"/>
      <c r="V38" s="1167"/>
      <c r="W38" s="1167"/>
      <c r="X38" s="630"/>
      <c r="AA38" s="1915"/>
      <c r="AB38" s="1915"/>
      <c r="AC38" s="1804"/>
      <c r="AD38" s="1804"/>
      <c r="AE38" s="1804"/>
      <c r="AF38" s="1804"/>
      <c r="AG38" s="1804"/>
      <c r="AH38" s="1804"/>
      <c r="AI38" s="1781" t="s">
        <v>0</v>
      </c>
      <c r="AJ38" s="1826">
        <v>2013</v>
      </c>
      <c r="AK38" s="1822" t="s">
        <v>21</v>
      </c>
      <c r="AL38" s="1822">
        <v>6</v>
      </c>
      <c r="AM38" s="1823">
        <v>321118019</v>
      </c>
      <c r="AN38" s="1824">
        <v>8.8999999999999996E-2</v>
      </c>
      <c r="AO38" s="1781"/>
      <c r="AP38" s="1781" t="s">
        <v>0</v>
      </c>
      <c r="AQ38" s="1781" t="s">
        <v>503</v>
      </c>
      <c r="AR38" s="1822" t="s">
        <v>31</v>
      </c>
      <c r="AS38" s="1822">
        <v>6</v>
      </c>
      <c r="AT38" s="1823">
        <v>217829272</v>
      </c>
      <c r="AU38" s="1825">
        <v>6.4000000000000001E-2</v>
      </c>
      <c r="AV38" s="1781">
        <v>2013</v>
      </c>
      <c r="AW38" s="1671"/>
      <c r="AX38" s="1925">
        <f>'Alumina - Prices'!A37</f>
        <v>43435</v>
      </c>
      <c r="AY38" s="1804"/>
      <c r="AZ38" s="1804"/>
      <c r="BA38" s="1804"/>
      <c r="BB38" s="1804"/>
      <c r="BC38" s="1804"/>
      <c r="BD38" s="1804"/>
      <c r="BE38" s="1804"/>
      <c r="BF38" s="1804"/>
      <c r="BG38" s="1804"/>
      <c r="BH38" s="1804"/>
      <c r="BI38" s="1804"/>
      <c r="BJ38" s="1804"/>
      <c r="BK38" s="1804"/>
      <c r="BL38" s="1804"/>
      <c r="BM38" s="1804"/>
      <c r="BN38" s="1804"/>
      <c r="BO38" s="1804"/>
      <c r="BP38" s="1804"/>
      <c r="BQ38" s="1804"/>
      <c r="BR38" s="1804"/>
      <c r="BS38" s="1804"/>
      <c r="BT38" s="1804"/>
      <c r="BU38" s="1804"/>
      <c r="BV38" s="1804"/>
      <c r="BW38" s="1804"/>
      <c r="BX38" s="1804"/>
      <c r="BY38" s="1804"/>
      <c r="BZ38" s="1804"/>
      <c r="CA38" s="1804"/>
      <c r="CB38" s="1804"/>
      <c r="CC38" s="1804"/>
      <c r="CD38" s="1804"/>
      <c r="CE38" s="1804"/>
      <c r="CF38" s="1804"/>
      <c r="CG38" s="1804"/>
      <c r="CH38" s="1804"/>
      <c r="CI38" s="1804"/>
      <c r="CJ38" s="1804"/>
      <c r="CK38" s="1804"/>
      <c r="CL38" s="1804"/>
      <c r="CM38" s="1804"/>
      <c r="CN38" s="1804"/>
      <c r="CO38" s="1804"/>
      <c r="CP38" s="1804"/>
      <c r="CQ38" s="1804"/>
      <c r="CR38" s="1804"/>
      <c r="CS38" s="1804"/>
      <c r="CT38" s="1804"/>
      <c r="CU38" s="1804"/>
      <c r="CV38" s="1804"/>
      <c r="CW38" s="1804"/>
      <c r="CX38" s="1804"/>
      <c r="CY38" s="1804"/>
      <c r="CZ38" s="1804"/>
      <c r="DA38" s="1804"/>
      <c r="DB38" s="1804"/>
      <c r="DC38" s="1804"/>
      <c r="DD38" s="1804"/>
      <c r="DE38" s="1804"/>
      <c r="DF38" s="1804"/>
      <c r="DG38" s="1804"/>
      <c r="DH38" s="1804"/>
      <c r="DI38" s="1804"/>
      <c r="DJ38" s="1804"/>
      <c r="DK38" s="1804"/>
      <c r="DL38" s="1804"/>
      <c r="DM38" s="1804"/>
      <c r="DN38" s="1804"/>
      <c r="DO38" s="1804"/>
      <c r="DP38" s="1804"/>
      <c r="DQ38" s="1671"/>
      <c r="DR38" s="1671"/>
      <c r="DS38" s="1671"/>
      <c r="DT38" s="1671"/>
      <c r="DU38" s="1671"/>
      <c r="DV38" s="1671"/>
      <c r="DW38" s="1671"/>
      <c r="DX38" s="1671"/>
      <c r="DY38" s="1671"/>
      <c r="DZ38" s="1671"/>
      <c r="EA38" s="1740"/>
      <c r="EB38" s="1740"/>
      <c r="EC38" s="1740"/>
      <c r="ED38" s="1740"/>
      <c r="EE38" s="1740"/>
      <c r="EF38" s="1740"/>
      <c r="EG38" s="1740"/>
      <c r="EH38" s="1740"/>
      <c r="EI38" s="1740"/>
      <c r="EJ38" s="1740"/>
      <c r="EK38" s="1740"/>
      <c r="EL38" s="1740"/>
      <c r="EM38" s="1740"/>
      <c r="EN38" s="1740"/>
      <c r="EO38" s="1740"/>
      <c r="EP38" s="1740"/>
      <c r="EQ38" s="1740"/>
      <c r="ER38" s="1740"/>
      <c r="ES38" s="1740"/>
      <c r="ET38" s="1740"/>
      <c r="EU38" s="1740"/>
      <c r="EV38" s="1740"/>
      <c r="EW38" s="1740"/>
      <c r="EX38" s="1740"/>
      <c r="EY38" s="1740"/>
      <c r="EZ38" s="1740"/>
      <c r="FA38" s="1740"/>
      <c r="FB38" s="1740"/>
      <c r="FC38" s="1740"/>
      <c r="FD38" s="1740"/>
      <c r="FE38" s="1740"/>
      <c r="FF38" s="1740"/>
      <c r="FG38" s="1740"/>
      <c r="FH38" s="1740"/>
      <c r="FI38" s="1740"/>
      <c r="FJ38" s="1740"/>
      <c r="FK38" s="1740"/>
      <c r="FL38" s="1740"/>
      <c r="FM38" s="1740"/>
      <c r="FN38" s="1740"/>
      <c r="FO38" s="1740"/>
      <c r="FP38" s="1740"/>
      <c r="FQ38" s="1740"/>
      <c r="FR38" s="1740"/>
      <c r="FS38" s="1740"/>
      <c r="FT38" s="1740"/>
      <c r="FU38" s="1740"/>
      <c r="FV38" s="1740"/>
      <c r="FW38" s="1740"/>
      <c r="FX38" s="1740"/>
      <c r="FY38" s="1740"/>
      <c r="FZ38" s="1740"/>
      <c r="GA38" s="1740"/>
      <c r="GB38" s="1740"/>
      <c r="GC38" s="1740"/>
      <c r="GD38" s="1740"/>
      <c r="GE38" s="1740"/>
      <c r="GF38" s="1740"/>
    </row>
    <row r="39" spans="1:188" s="20" customFormat="1">
      <c r="A39" s="333">
        <f t="shared" si="0"/>
        <v>1973</v>
      </c>
      <c r="B39" s="333">
        <f t="shared" si="1"/>
        <v>3</v>
      </c>
      <c r="C39" s="1174">
        <v>26847</v>
      </c>
      <c r="D39" s="1158"/>
      <c r="E39" s="1159">
        <v>119.9238095238</v>
      </c>
      <c r="F39" s="1159">
        <v>84.632151161898051</v>
      </c>
      <c r="G39" s="1160"/>
      <c r="H39" s="1161"/>
      <c r="I39" s="1160"/>
      <c r="J39" s="1160"/>
      <c r="K39" s="1677"/>
      <c r="L39" s="1677"/>
      <c r="M39" s="1681"/>
      <c r="N39" s="1162"/>
      <c r="O39" s="1162"/>
      <c r="P39" s="1162"/>
      <c r="Q39" s="1163"/>
      <c r="R39" s="1164"/>
      <c r="S39" s="1164"/>
      <c r="T39" s="1164"/>
      <c r="U39" s="1165"/>
      <c r="V39" s="1166"/>
      <c r="W39" s="1166"/>
      <c r="X39" s="630"/>
      <c r="AA39" s="1915"/>
      <c r="AB39" s="1915"/>
      <c r="AC39" s="1804"/>
      <c r="AD39" s="1804"/>
      <c r="AE39" s="1804"/>
      <c r="AF39" s="1804"/>
      <c r="AG39" s="1804"/>
      <c r="AH39" s="1804"/>
      <c r="AI39" s="1781" t="s">
        <v>0</v>
      </c>
      <c r="AJ39" s="1826">
        <v>2013</v>
      </c>
      <c r="AK39" s="1822" t="s">
        <v>758</v>
      </c>
      <c r="AL39" s="1822">
        <v>7</v>
      </c>
      <c r="AM39" s="1823">
        <v>180640631</v>
      </c>
      <c r="AN39" s="1824">
        <v>0.05</v>
      </c>
      <c r="AO39" s="1781"/>
      <c r="AP39" s="1781" t="s">
        <v>0</v>
      </c>
      <c r="AQ39" s="1781" t="s">
        <v>503</v>
      </c>
      <c r="AR39" s="1822" t="s">
        <v>758</v>
      </c>
      <c r="AS39" s="1822">
        <v>7</v>
      </c>
      <c r="AT39" s="1823">
        <v>185122554</v>
      </c>
      <c r="AU39" s="1825">
        <v>5.5E-2</v>
      </c>
      <c r="AV39" s="1781">
        <v>2013</v>
      </c>
      <c r="AW39" s="1671"/>
      <c r="AX39" s="1671"/>
      <c r="AY39" s="1804"/>
      <c r="AZ39" s="1804"/>
      <c r="BA39" s="1804"/>
      <c r="BB39" s="1804"/>
      <c r="BC39" s="1804"/>
      <c r="BD39" s="1804"/>
      <c r="BE39" s="1804"/>
      <c r="BF39" s="1804"/>
      <c r="BG39" s="1804"/>
      <c r="BH39" s="1804"/>
      <c r="BI39" s="1804"/>
      <c r="BJ39" s="1804"/>
      <c r="BK39" s="1804"/>
      <c r="BL39" s="1804"/>
      <c r="BM39" s="1804"/>
      <c r="BN39" s="1804"/>
      <c r="BO39" s="1804"/>
      <c r="BP39" s="1804"/>
      <c r="BQ39" s="1804"/>
      <c r="BR39" s="1804"/>
      <c r="BS39" s="1804"/>
      <c r="BT39" s="1804"/>
      <c r="BU39" s="1804"/>
      <c r="BV39" s="1804"/>
      <c r="BW39" s="1804"/>
      <c r="BX39" s="1804"/>
      <c r="BY39" s="1804"/>
      <c r="BZ39" s="1804"/>
      <c r="CA39" s="1804"/>
      <c r="CB39" s="1804"/>
      <c r="CC39" s="1804"/>
      <c r="CD39" s="1804"/>
      <c r="CE39" s="1804"/>
      <c r="CF39" s="1804"/>
      <c r="CG39" s="1804"/>
      <c r="CH39" s="1804"/>
      <c r="CI39" s="1804"/>
      <c r="CJ39" s="1804"/>
      <c r="CK39" s="1804"/>
      <c r="CL39" s="1804"/>
      <c r="CM39" s="1804"/>
      <c r="CN39" s="1804"/>
      <c r="CO39" s="1804"/>
      <c r="CP39" s="1804"/>
      <c r="CQ39" s="1804"/>
      <c r="CR39" s="1804"/>
      <c r="CS39" s="1804"/>
      <c r="CT39" s="1804"/>
      <c r="CU39" s="1804"/>
      <c r="CV39" s="1804"/>
      <c r="CW39" s="1804"/>
      <c r="CX39" s="1804"/>
      <c r="CY39" s="1804"/>
      <c r="CZ39" s="1804"/>
      <c r="DA39" s="1804"/>
      <c r="DB39" s="1804"/>
      <c r="DC39" s="1804"/>
      <c r="DD39" s="1804"/>
      <c r="DE39" s="1804"/>
      <c r="DF39" s="1804"/>
      <c r="DG39" s="1804"/>
      <c r="DH39" s="1804"/>
      <c r="DI39" s="1804"/>
      <c r="DJ39" s="1804"/>
      <c r="DK39" s="1804"/>
      <c r="DL39" s="1804"/>
      <c r="DM39" s="1804"/>
      <c r="DN39" s="1804"/>
      <c r="DO39" s="1804"/>
      <c r="DP39" s="1804"/>
      <c r="DQ39" s="1671"/>
      <c r="DR39" s="1671"/>
      <c r="DS39" s="1671"/>
      <c r="DT39" s="1671"/>
      <c r="DU39" s="1671"/>
      <c r="DV39" s="1671"/>
      <c r="DW39" s="1671"/>
      <c r="DX39" s="1671"/>
      <c r="DY39" s="1671"/>
      <c r="DZ39" s="1671"/>
      <c r="EA39" s="1740"/>
      <c r="EB39" s="1740"/>
      <c r="EC39" s="1740"/>
      <c r="ED39" s="1740"/>
      <c r="EE39" s="1740"/>
      <c r="EF39" s="1740"/>
      <c r="EG39" s="1740"/>
      <c r="EH39" s="1740"/>
      <c r="EI39" s="1740"/>
      <c r="EJ39" s="1740"/>
      <c r="EK39" s="1740"/>
      <c r="EL39" s="1740"/>
      <c r="EM39" s="1740"/>
      <c r="EN39" s="1740"/>
      <c r="EO39" s="1740"/>
      <c r="EP39" s="1740"/>
      <c r="EQ39" s="1740"/>
      <c r="ER39" s="1740"/>
      <c r="ES39" s="1740"/>
      <c r="ET39" s="1740"/>
      <c r="EU39" s="1740"/>
      <c r="EV39" s="1740"/>
      <c r="EW39" s="1740"/>
      <c r="EX39" s="1740"/>
      <c r="EY39" s="1740"/>
      <c r="EZ39" s="1740"/>
      <c r="FA39" s="1740"/>
      <c r="FB39" s="1740"/>
      <c r="FC39" s="1740"/>
      <c r="FD39" s="1740"/>
      <c r="FE39" s="1740"/>
      <c r="FF39" s="1740"/>
      <c r="FG39" s="1740"/>
      <c r="FH39" s="1740"/>
      <c r="FI39" s="1740"/>
      <c r="FJ39" s="1740"/>
      <c r="FK39" s="1740"/>
      <c r="FL39" s="1740"/>
      <c r="FM39" s="1740"/>
      <c r="FN39" s="1740"/>
      <c r="FO39" s="1740"/>
      <c r="FP39" s="1740"/>
      <c r="FQ39" s="1740"/>
      <c r="FR39" s="1740"/>
      <c r="FS39" s="1740"/>
      <c r="FT39" s="1740"/>
      <c r="FU39" s="1740"/>
      <c r="FV39" s="1740"/>
      <c r="FW39" s="1740"/>
      <c r="FX39" s="1740"/>
      <c r="FY39" s="1740"/>
      <c r="FZ39" s="1740"/>
      <c r="GA39" s="1740"/>
      <c r="GB39" s="1740"/>
      <c r="GC39" s="1740"/>
      <c r="GD39" s="1740"/>
      <c r="GE39" s="1740"/>
      <c r="GF39" s="1740"/>
    </row>
    <row r="40" spans="1:188" s="20" customFormat="1">
      <c r="A40" s="333">
        <f t="shared" si="0"/>
        <v>1973</v>
      </c>
      <c r="B40" s="333">
        <f t="shared" si="1"/>
        <v>3</v>
      </c>
      <c r="C40" s="1174">
        <v>26877</v>
      </c>
      <c r="D40" s="1167"/>
      <c r="E40" s="1168">
        <v>106.5833333333</v>
      </c>
      <c r="F40" s="1168">
        <v>75.217563666643144</v>
      </c>
      <c r="G40" s="1168"/>
      <c r="H40" s="1167"/>
      <c r="I40" s="1168"/>
      <c r="J40" s="1168"/>
      <c r="K40" s="1678"/>
      <c r="L40" s="1678"/>
      <c r="M40" s="1682"/>
      <c r="N40" s="1169"/>
      <c r="O40" s="1169"/>
      <c r="P40" s="1169"/>
      <c r="Q40" s="1167"/>
      <c r="R40" s="1167"/>
      <c r="S40" s="1167"/>
      <c r="T40" s="1167"/>
      <c r="U40" s="1167"/>
      <c r="V40" s="1167"/>
      <c r="W40" s="1167"/>
      <c r="X40" s="630"/>
      <c r="AA40" s="1915"/>
      <c r="AB40" s="1915"/>
      <c r="AC40" s="1804"/>
      <c r="AD40" s="1804"/>
      <c r="AE40" s="1804"/>
      <c r="AF40" s="1804"/>
      <c r="AG40" s="1804"/>
      <c r="AH40" s="1804"/>
      <c r="AI40" s="1781" t="s">
        <v>0</v>
      </c>
      <c r="AJ40" s="1826">
        <v>2013</v>
      </c>
      <c r="AK40" s="1822" t="s">
        <v>29</v>
      </c>
      <c r="AL40" s="1822">
        <v>8</v>
      </c>
      <c r="AM40" s="1823">
        <v>137961914</v>
      </c>
      <c r="AN40" s="1824">
        <v>3.7999999999999999E-2</v>
      </c>
      <c r="AO40" s="1781"/>
      <c r="AP40" s="1781" t="s">
        <v>0</v>
      </c>
      <c r="AQ40" s="1781" t="s">
        <v>503</v>
      </c>
      <c r="AR40" s="1822" t="s">
        <v>21</v>
      </c>
      <c r="AS40" s="1822">
        <v>8</v>
      </c>
      <c r="AT40" s="1823">
        <v>160918742</v>
      </c>
      <c r="AU40" s="1825">
        <v>4.8000000000000001E-2</v>
      </c>
      <c r="AV40" s="1781">
        <v>2013</v>
      </c>
      <c r="AW40" s="1671"/>
      <c r="AX40" s="1671"/>
      <c r="AY40" s="1804"/>
      <c r="AZ40" s="1804"/>
      <c r="BA40" s="1804"/>
      <c r="BB40" s="1804"/>
      <c r="BC40" s="1804"/>
      <c r="BD40" s="1804"/>
      <c r="BE40" s="1804"/>
      <c r="BF40" s="1804"/>
      <c r="BG40" s="1804"/>
      <c r="BH40" s="1804"/>
      <c r="BI40" s="1804"/>
      <c r="BJ40" s="1804"/>
      <c r="BK40" s="1804"/>
      <c r="BL40" s="1804"/>
      <c r="BM40" s="1804"/>
      <c r="BN40" s="1804"/>
      <c r="BO40" s="1804"/>
      <c r="BP40" s="1804"/>
      <c r="BQ40" s="1804"/>
      <c r="BR40" s="1804"/>
      <c r="BS40" s="1804"/>
      <c r="BT40" s="1804"/>
      <c r="BU40" s="1804"/>
      <c r="BV40" s="1804"/>
      <c r="BW40" s="1804"/>
      <c r="BX40" s="1804"/>
      <c r="BY40" s="1804"/>
      <c r="BZ40" s="1804"/>
      <c r="CA40" s="1804"/>
      <c r="CB40" s="1804"/>
      <c r="CC40" s="1804"/>
      <c r="CD40" s="1804"/>
      <c r="CE40" s="1804"/>
      <c r="CF40" s="1804"/>
      <c r="CG40" s="1804"/>
      <c r="CH40" s="1804"/>
      <c r="CI40" s="1804"/>
      <c r="CJ40" s="1804"/>
      <c r="CK40" s="1804"/>
      <c r="CL40" s="1804"/>
      <c r="CM40" s="1804"/>
      <c r="CN40" s="1804"/>
      <c r="CO40" s="1804"/>
      <c r="CP40" s="1804"/>
      <c r="CQ40" s="1804"/>
      <c r="CR40" s="1804"/>
      <c r="CS40" s="1804"/>
      <c r="CT40" s="1804"/>
      <c r="CU40" s="1804"/>
      <c r="CV40" s="1804"/>
      <c r="CW40" s="1804"/>
      <c r="CX40" s="1804"/>
      <c r="CY40" s="1804"/>
      <c r="CZ40" s="1804"/>
      <c r="DA40" s="1804"/>
      <c r="DB40" s="1804"/>
      <c r="DC40" s="1804"/>
      <c r="DD40" s="1804"/>
      <c r="DE40" s="1804"/>
      <c r="DF40" s="1804"/>
      <c r="DG40" s="1804"/>
      <c r="DH40" s="1804"/>
      <c r="DI40" s="1804"/>
      <c r="DJ40" s="1804"/>
      <c r="DK40" s="1804"/>
      <c r="DL40" s="1804"/>
      <c r="DM40" s="1804"/>
      <c r="DN40" s="1804"/>
      <c r="DO40" s="1804"/>
      <c r="DP40" s="1804"/>
      <c r="DQ40" s="1671"/>
      <c r="DR40" s="1671"/>
      <c r="DS40" s="1671"/>
      <c r="DT40" s="1671"/>
      <c r="DU40" s="1671"/>
      <c r="DV40" s="1671"/>
      <c r="DW40" s="1671"/>
      <c r="DX40" s="1671"/>
      <c r="DY40" s="1671"/>
      <c r="DZ40" s="1671"/>
      <c r="EA40" s="1740"/>
      <c r="EB40" s="1740"/>
      <c r="EC40" s="1740"/>
      <c r="ED40" s="1740"/>
      <c r="EE40" s="1740"/>
      <c r="EF40" s="1740"/>
      <c r="EG40" s="1740"/>
      <c r="EH40" s="1740"/>
      <c r="EI40" s="1740"/>
      <c r="EJ40" s="1740"/>
      <c r="EK40" s="1740"/>
      <c r="EL40" s="1740"/>
      <c r="EM40" s="1740"/>
      <c r="EN40" s="1740"/>
      <c r="EO40" s="1740"/>
      <c r="EP40" s="1740"/>
      <c r="EQ40" s="1740"/>
      <c r="ER40" s="1740"/>
      <c r="ES40" s="1740"/>
      <c r="ET40" s="1740"/>
      <c r="EU40" s="1740"/>
      <c r="EV40" s="1740"/>
      <c r="EW40" s="1740"/>
      <c r="EX40" s="1740"/>
      <c r="EY40" s="1740"/>
      <c r="EZ40" s="1740"/>
      <c r="FA40" s="1740"/>
      <c r="FB40" s="1740"/>
      <c r="FC40" s="1740"/>
      <c r="FD40" s="1740"/>
      <c r="FE40" s="1740"/>
      <c r="FF40" s="1740"/>
      <c r="FG40" s="1740"/>
      <c r="FH40" s="1740"/>
      <c r="FI40" s="1740"/>
      <c r="FJ40" s="1740"/>
      <c r="FK40" s="1740"/>
      <c r="FL40" s="1740"/>
      <c r="FM40" s="1740"/>
      <c r="FN40" s="1740"/>
      <c r="FO40" s="1740"/>
      <c r="FP40" s="1740"/>
      <c r="FQ40" s="1740"/>
      <c r="FR40" s="1740"/>
      <c r="FS40" s="1740"/>
      <c r="FT40" s="1740"/>
      <c r="FU40" s="1740"/>
      <c r="FV40" s="1740"/>
      <c r="FW40" s="1740"/>
      <c r="FX40" s="1740"/>
      <c r="FY40" s="1740"/>
      <c r="FZ40" s="1740"/>
      <c r="GA40" s="1740"/>
      <c r="GB40" s="1740"/>
      <c r="GC40" s="1740"/>
      <c r="GD40" s="1740"/>
      <c r="GE40" s="1740"/>
      <c r="GF40" s="1740"/>
    </row>
    <row r="41" spans="1:188" s="20" customFormat="1">
      <c r="A41" s="333">
        <f t="shared" si="0"/>
        <v>1973</v>
      </c>
      <c r="B41" s="333">
        <f t="shared" si="1"/>
        <v>3</v>
      </c>
      <c r="C41" s="1174">
        <v>26910</v>
      </c>
      <c r="D41" s="1158"/>
      <c r="E41" s="1159">
        <v>102.66973684209999</v>
      </c>
      <c r="F41" s="1159">
        <v>68.905869853943827</v>
      </c>
      <c r="G41" s="1160"/>
      <c r="H41" s="1161"/>
      <c r="I41" s="1160"/>
      <c r="J41" s="1160"/>
      <c r="K41" s="1677"/>
      <c r="L41" s="1677"/>
      <c r="M41" s="1681"/>
      <c r="N41" s="1162"/>
      <c r="O41" s="1162"/>
      <c r="P41" s="1162"/>
      <c r="Q41" s="1163"/>
      <c r="R41" s="1164"/>
      <c r="S41" s="1164"/>
      <c r="T41" s="1164"/>
      <c r="U41" s="1165"/>
      <c r="V41" s="1166"/>
      <c r="W41" s="1166"/>
      <c r="X41" s="630"/>
      <c r="AA41" s="1915"/>
      <c r="AB41" s="1915"/>
      <c r="AC41" s="1804"/>
      <c r="AD41" s="1804"/>
      <c r="AE41" s="1804"/>
      <c r="AF41" s="1804"/>
      <c r="AG41" s="1804"/>
      <c r="AH41" s="1804"/>
      <c r="AI41" s="1781" t="s">
        <v>0</v>
      </c>
      <c r="AJ41" s="1826">
        <v>2013</v>
      </c>
      <c r="AK41" s="1822" t="s">
        <v>31</v>
      </c>
      <c r="AL41" s="1822">
        <v>9</v>
      </c>
      <c r="AM41" s="1823">
        <v>131612007</v>
      </c>
      <c r="AN41" s="1824">
        <v>3.6999999999999998E-2</v>
      </c>
      <c r="AO41" s="1781"/>
      <c r="AP41" s="1781" t="s">
        <v>0</v>
      </c>
      <c r="AQ41" s="1781" t="s">
        <v>503</v>
      </c>
      <c r="AR41" s="1822" t="s">
        <v>29</v>
      </c>
      <c r="AS41" s="1822">
        <v>9</v>
      </c>
      <c r="AT41" s="1823">
        <v>149866353</v>
      </c>
      <c r="AU41" s="1825">
        <v>4.3999999999999997E-2</v>
      </c>
      <c r="AV41" s="1781">
        <v>2013</v>
      </c>
      <c r="AW41" s="1671"/>
      <c r="AX41" s="1925">
        <f>'Alumina - Prices'!A40</f>
        <v>43525</v>
      </c>
      <c r="AY41" s="1804"/>
      <c r="AZ41" s="1804"/>
      <c r="BA41" s="1804"/>
      <c r="BB41" s="1804"/>
      <c r="BC41" s="1804"/>
      <c r="BD41" s="1804"/>
      <c r="BE41" s="1804"/>
      <c r="BF41" s="1804"/>
      <c r="BG41" s="1804"/>
      <c r="BH41" s="1804"/>
      <c r="BI41" s="1804"/>
      <c r="BJ41" s="1804"/>
      <c r="BK41" s="1804"/>
      <c r="BL41" s="1804"/>
      <c r="BM41" s="1804"/>
      <c r="BN41" s="1804"/>
      <c r="BO41" s="1804"/>
      <c r="BP41" s="1804"/>
      <c r="BQ41" s="1804"/>
      <c r="BR41" s="1804"/>
      <c r="BS41" s="1804"/>
      <c r="BT41" s="1804"/>
      <c r="BU41" s="1804"/>
      <c r="BV41" s="1804"/>
      <c r="BW41" s="1804"/>
      <c r="BX41" s="1804"/>
      <c r="BY41" s="1804"/>
      <c r="BZ41" s="1804"/>
      <c r="CA41" s="1804"/>
      <c r="CB41" s="1804"/>
      <c r="CC41" s="1804"/>
      <c r="CD41" s="1804"/>
      <c r="CE41" s="1804"/>
      <c r="CF41" s="1804"/>
      <c r="CG41" s="1804"/>
      <c r="CH41" s="1804"/>
      <c r="CI41" s="1804"/>
      <c r="CJ41" s="1804"/>
      <c r="CK41" s="1804"/>
      <c r="CL41" s="1804"/>
      <c r="CM41" s="1804"/>
      <c r="CN41" s="1804"/>
      <c r="CO41" s="1804"/>
      <c r="CP41" s="1804"/>
      <c r="CQ41" s="1804"/>
      <c r="CR41" s="1804"/>
      <c r="CS41" s="1804"/>
      <c r="CT41" s="1804"/>
      <c r="CU41" s="1804"/>
      <c r="CV41" s="1804"/>
      <c r="CW41" s="1804"/>
      <c r="CX41" s="1804"/>
      <c r="CY41" s="1804"/>
      <c r="CZ41" s="1804"/>
      <c r="DA41" s="1804"/>
      <c r="DB41" s="1804"/>
      <c r="DC41" s="1804"/>
      <c r="DD41" s="1804"/>
      <c r="DE41" s="1804"/>
      <c r="DF41" s="1804"/>
      <c r="DG41" s="1804"/>
      <c r="DH41" s="1804"/>
      <c r="DI41" s="1804"/>
      <c r="DJ41" s="1804"/>
      <c r="DK41" s="1804"/>
      <c r="DL41" s="1804"/>
      <c r="DM41" s="1804"/>
      <c r="DN41" s="1804"/>
      <c r="DO41" s="1804"/>
      <c r="DP41" s="1804"/>
      <c r="DQ41" s="1671"/>
      <c r="DR41" s="1671"/>
      <c r="DS41" s="1671"/>
      <c r="DT41" s="1671"/>
      <c r="DU41" s="1671"/>
      <c r="DV41" s="1671"/>
      <c r="DW41" s="1671"/>
      <c r="DX41" s="1671"/>
      <c r="DY41" s="1671"/>
      <c r="DZ41" s="1671"/>
      <c r="EA41" s="1740"/>
      <c r="EB41" s="1740"/>
      <c r="EC41" s="1740"/>
      <c r="ED41" s="1740"/>
      <c r="EE41" s="1740"/>
      <c r="EF41" s="1740"/>
      <c r="EG41" s="1740"/>
      <c r="EH41" s="1740"/>
      <c r="EI41" s="1740"/>
      <c r="EJ41" s="1740"/>
      <c r="EK41" s="1740"/>
      <c r="EL41" s="1740"/>
      <c r="EM41" s="1740"/>
      <c r="EN41" s="1740"/>
      <c r="EO41" s="1740"/>
      <c r="EP41" s="1740"/>
      <c r="EQ41" s="1740"/>
      <c r="ER41" s="1740"/>
      <c r="ES41" s="1740"/>
      <c r="ET41" s="1740"/>
      <c r="EU41" s="1740"/>
      <c r="EV41" s="1740"/>
      <c r="EW41" s="1740"/>
      <c r="EX41" s="1740"/>
      <c r="EY41" s="1740"/>
      <c r="EZ41" s="1740"/>
      <c r="FA41" s="1740"/>
      <c r="FB41" s="1740"/>
      <c r="FC41" s="1740"/>
      <c r="FD41" s="1740"/>
      <c r="FE41" s="1740"/>
      <c r="FF41" s="1740"/>
      <c r="FG41" s="1740"/>
      <c r="FH41" s="1740"/>
      <c r="FI41" s="1740"/>
      <c r="FJ41" s="1740"/>
      <c r="FK41" s="1740"/>
      <c r="FL41" s="1740"/>
      <c r="FM41" s="1740"/>
      <c r="FN41" s="1740"/>
      <c r="FO41" s="1740"/>
      <c r="FP41" s="1740"/>
      <c r="FQ41" s="1740"/>
      <c r="FR41" s="1740"/>
      <c r="FS41" s="1740"/>
      <c r="FT41" s="1740"/>
      <c r="FU41" s="1740"/>
      <c r="FV41" s="1740"/>
      <c r="FW41" s="1740"/>
      <c r="FX41" s="1740"/>
      <c r="FY41" s="1740"/>
      <c r="FZ41" s="1740"/>
      <c r="GA41" s="1740"/>
      <c r="GB41" s="1740"/>
      <c r="GC41" s="1740"/>
      <c r="GD41" s="1740"/>
      <c r="GE41" s="1740"/>
      <c r="GF41" s="1740"/>
    </row>
    <row r="42" spans="1:188" s="20" customFormat="1">
      <c r="A42" s="333">
        <f t="shared" si="0"/>
        <v>1973</v>
      </c>
      <c r="B42" s="333">
        <f t="shared" si="1"/>
        <v>4</v>
      </c>
      <c r="C42" s="1174">
        <v>26938</v>
      </c>
      <c r="D42" s="1167"/>
      <c r="E42" s="1168">
        <v>100.08369565220001</v>
      </c>
      <c r="F42" s="1168">
        <v>67.260547077191447</v>
      </c>
      <c r="G42" s="1168"/>
      <c r="H42" s="1167"/>
      <c r="I42" s="1168"/>
      <c r="J42" s="1168"/>
      <c r="K42" s="1678"/>
      <c r="L42" s="1678"/>
      <c r="M42" s="1682"/>
      <c r="N42" s="1169"/>
      <c r="O42" s="1169"/>
      <c r="P42" s="1169"/>
      <c r="Q42" s="1167"/>
      <c r="R42" s="1167"/>
      <c r="S42" s="1167"/>
      <c r="T42" s="1167"/>
      <c r="U42" s="1167"/>
      <c r="V42" s="1167"/>
      <c r="W42" s="1167"/>
      <c r="X42" s="630"/>
      <c r="AA42" s="1915"/>
      <c r="AB42" s="1915"/>
      <c r="AC42" s="1804"/>
      <c r="AD42" s="1804"/>
      <c r="AE42" s="1804"/>
      <c r="AF42" s="1804"/>
      <c r="AG42" s="1804"/>
      <c r="AH42" s="1804"/>
      <c r="AI42" s="1781" t="s">
        <v>0</v>
      </c>
      <c r="AJ42" s="1826">
        <v>2013</v>
      </c>
      <c r="AK42" s="1822" t="s">
        <v>22</v>
      </c>
      <c r="AL42" s="1822">
        <v>10</v>
      </c>
      <c r="AM42" s="1823">
        <v>93354264</v>
      </c>
      <c r="AN42" s="1824">
        <v>2.5999999999999999E-2</v>
      </c>
      <c r="AO42" s="1781"/>
      <c r="AP42" s="1781" t="s">
        <v>0</v>
      </c>
      <c r="AQ42" s="1781" t="s">
        <v>503</v>
      </c>
      <c r="AR42" s="1822" t="s">
        <v>25</v>
      </c>
      <c r="AS42" s="1822">
        <v>10</v>
      </c>
      <c r="AT42" s="1823">
        <v>94107146</v>
      </c>
      <c r="AU42" s="1825">
        <v>2.8000000000000001E-2</v>
      </c>
      <c r="AV42" s="1781">
        <v>2013</v>
      </c>
      <c r="AW42" s="1671"/>
      <c r="AX42" s="1671"/>
      <c r="AY42" s="1804"/>
      <c r="AZ42" s="1804"/>
      <c r="BA42" s="1804"/>
      <c r="BB42" s="1804"/>
      <c r="BC42" s="1804"/>
      <c r="BD42" s="1804"/>
      <c r="BE42" s="1804"/>
      <c r="BF42" s="1804"/>
      <c r="BG42" s="1804"/>
      <c r="BH42" s="1804"/>
      <c r="BI42" s="1804"/>
      <c r="BJ42" s="1804"/>
      <c r="BK42" s="1804"/>
      <c r="BL42" s="1804"/>
      <c r="BM42" s="1804"/>
      <c r="BN42" s="1804"/>
      <c r="BO42" s="1804"/>
      <c r="BP42" s="1804"/>
      <c r="BQ42" s="1804"/>
      <c r="BR42" s="1804"/>
      <c r="BS42" s="1804"/>
      <c r="BT42" s="1804"/>
      <c r="BU42" s="1804"/>
      <c r="BV42" s="1804"/>
      <c r="BW42" s="1804"/>
      <c r="BX42" s="1804"/>
      <c r="BY42" s="1804"/>
      <c r="BZ42" s="1804"/>
      <c r="CA42" s="1804"/>
      <c r="CB42" s="1804"/>
      <c r="CC42" s="1804"/>
      <c r="CD42" s="1804"/>
      <c r="CE42" s="1804"/>
      <c r="CF42" s="1804"/>
      <c r="CG42" s="1804"/>
      <c r="CH42" s="1804"/>
      <c r="CI42" s="1804"/>
      <c r="CJ42" s="1804"/>
      <c r="CK42" s="1804"/>
      <c r="CL42" s="1804"/>
      <c r="CM42" s="1804"/>
      <c r="CN42" s="1804"/>
      <c r="CO42" s="1804"/>
      <c r="CP42" s="1804"/>
      <c r="CQ42" s="1804"/>
      <c r="CR42" s="1804"/>
      <c r="CS42" s="1804"/>
      <c r="CT42" s="1804"/>
      <c r="CU42" s="1804"/>
      <c r="CV42" s="1804"/>
      <c r="CW42" s="1804"/>
      <c r="CX42" s="1804"/>
      <c r="CY42" s="1804"/>
      <c r="CZ42" s="1804"/>
      <c r="DA42" s="1804"/>
      <c r="DB42" s="1804"/>
      <c r="DC42" s="1804"/>
      <c r="DD42" s="1804"/>
      <c r="DE42" s="1804"/>
      <c r="DF42" s="1804"/>
      <c r="DG42" s="1804"/>
      <c r="DH42" s="1804"/>
      <c r="DI42" s="1804"/>
      <c r="DJ42" s="1804"/>
      <c r="DK42" s="1804"/>
      <c r="DL42" s="1804"/>
      <c r="DM42" s="1804"/>
      <c r="DN42" s="1804"/>
      <c r="DO42" s="1804"/>
      <c r="DP42" s="1804"/>
      <c r="DQ42" s="1671"/>
      <c r="DR42" s="1671"/>
      <c r="DS42" s="1671"/>
      <c r="DT42" s="1671"/>
      <c r="DU42" s="1671"/>
      <c r="DV42" s="1671"/>
      <c r="DW42" s="1671"/>
      <c r="DX42" s="1671"/>
      <c r="DY42" s="1671"/>
      <c r="DZ42" s="1671"/>
      <c r="EA42" s="1740"/>
      <c r="EB42" s="1740"/>
      <c r="EC42" s="1740"/>
      <c r="ED42" s="1740"/>
      <c r="EE42" s="1740"/>
      <c r="EF42" s="1740"/>
      <c r="EG42" s="1740"/>
      <c r="EH42" s="1740"/>
      <c r="EI42" s="1740"/>
      <c r="EJ42" s="1740"/>
      <c r="EK42" s="1740"/>
      <c r="EL42" s="1740"/>
      <c r="EM42" s="1740"/>
      <c r="EN42" s="1740"/>
      <c r="EO42" s="1740"/>
      <c r="EP42" s="1740"/>
      <c r="EQ42" s="1740"/>
      <c r="ER42" s="1740"/>
      <c r="ES42" s="1740"/>
      <c r="ET42" s="1740"/>
      <c r="EU42" s="1740"/>
      <c r="EV42" s="1740"/>
      <c r="EW42" s="1740"/>
      <c r="EX42" s="1740"/>
      <c r="EY42" s="1740"/>
      <c r="EZ42" s="1740"/>
      <c r="FA42" s="1740"/>
      <c r="FB42" s="1740"/>
      <c r="FC42" s="1740"/>
      <c r="FD42" s="1740"/>
      <c r="FE42" s="1740"/>
      <c r="FF42" s="1740"/>
      <c r="FG42" s="1740"/>
      <c r="FH42" s="1740"/>
      <c r="FI42" s="1740"/>
      <c r="FJ42" s="1740"/>
      <c r="FK42" s="1740"/>
      <c r="FL42" s="1740"/>
      <c r="FM42" s="1740"/>
      <c r="FN42" s="1740"/>
      <c r="FO42" s="1740"/>
      <c r="FP42" s="1740"/>
      <c r="FQ42" s="1740"/>
      <c r="FR42" s="1740"/>
      <c r="FS42" s="1740"/>
      <c r="FT42" s="1740"/>
      <c r="FU42" s="1740"/>
      <c r="FV42" s="1740"/>
      <c r="FW42" s="1740"/>
      <c r="FX42" s="1740"/>
      <c r="FY42" s="1740"/>
      <c r="FZ42" s="1740"/>
      <c r="GA42" s="1740"/>
      <c r="GB42" s="1740"/>
      <c r="GC42" s="1740"/>
      <c r="GD42" s="1740"/>
      <c r="GE42" s="1740"/>
      <c r="GF42" s="1740"/>
    </row>
    <row r="43" spans="1:188" s="20" customFormat="1">
      <c r="A43" s="333">
        <f t="shared" si="0"/>
        <v>1973</v>
      </c>
      <c r="B43" s="333">
        <f t="shared" si="1"/>
        <v>4</v>
      </c>
      <c r="C43" s="1174">
        <v>26969</v>
      </c>
      <c r="D43" s="1158"/>
      <c r="E43" s="1159">
        <v>95.222619047600006</v>
      </c>
      <c r="F43" s="1159">
        <v>63.907803770225314</v>
      </c>
      <c r="G43" s="1160"/>
      <c r="H43" s="1161"/>
      <c r="I43" s="1160"/>
      <c r="J43" s="1160"/>
      <c r="K43" s="1677"/>
      <c r="L43" s="1677"/>
      <c r="M43" s="1681"/>
      <c r="N43" s="1162"/>
      <c r="O43" s="1162"/>
      <c r="P43" s="1162"/>
      <c r="Q43" s="1163"/>
      <c r="R43" s="1164"/>
      <c r="S43" s="1164"/>
      <c r="T43" s="1164"/>
      <c r="U43" s="1165"/>
      <c r="V43" s="1166"/>
      <c r="W43" s="1166"/>
      <c r="X43" s="630"/>
      <c r="AA43" s="1915"/>
      <c r="AB43" s="1915"/>
      <c r="AC43" s="1804"/>
      <c r="AD43" s="1804"/>
      <c r="AE43" s="1804"/>
      <c r="AF43" s="1804"/>
      <c r="AG43" s="1804"/>
      <c r="AH43" s="1804"/>
      <c r="AI43" s="1781" t="s">
        <v>0</v>
      </c>
      <c r="AJ43" s="1826">
        <v>2013</v>
      </c>
      <c r="AK43" s="1822" t="s">
        <v>39</v>
      </c>
      <c r="AL43" s="1822"/>
      <c r="AM43" s="1823">
        <v>274492227</v>
      </c>
      <c r="AN43" s="1824">
        <v>7.5999999999999998E-2</v>
      </c>
      <c r="AO43" s="1781"/>
      <c r="AP43" s="1781" t="s">
        <v>0</v>
      </c>
      <c r="AQ43" s="1781" t="s">
        <v>503</v>
      </c>
      <c r="AR43" s="1822" t="s">
        <v>39</v>
      </c>
      <c r="AS43" s="1822"/>
      <c r="AT43" s="1823">
        <v>213809811</v>
      </c>
      <c r="AU43" s="1825">
        <v>6.3E-2</v>
      </c>
      <c r="AV43" s="1781">
        <v>2013</v>
      </c>
      <c r="AW43" s="1671"/>
      <c r="AX43" s="1671"/>
      <c r="AY43" s="1804"/>
      <c r="AZ43" s="1804"/>
      <c r="BA43" s="1804"/>
      <c r="BB43" s="1804"/>
      <c r="BC43" s="1804"/>
      <c r="BD43" s="1804"/>
      <c r="BE43" s="1804"/>
      <c r="BF43" s="1804"/>
      <c r="BG43" s="1804"/>
      <c r="BH43" s="1804"/>
      <c r="BI43" s="1804"/>
      <c r="BJ43" s="1804"/>
      <c r="BK43" s="1804"/>
      <c r="BL43" s="1804"/>
      <c r="BM43" s="1804"/>
      <c r="BN43" s="1804"/>
      <c r="BO43" s="1804"/>
      <c r="BP43" s="1804"/>
      <c r="BQ43" s="1804"/>
      <c r="BR43" s="1804"/>
      <c r="BS43" s="1804"/>
      <c r="BT43" s="1804"/>
      <c r="BU43" s="1804"/>
      <c r="BV43" s="1804"/>
      <c r="BW43" s="1804"/>
      <c r="BX43" s="1804"/>
      <c r="BY43" s="1804"/>
      <c r="BZ43" s="1804"/>
      <c r="CA43" s="1804"/>
      <c r="CB43" s="1804"/>
      <c r="CC43" s="1804"/>
      <c r="CD43" s="1804"/>
      <c r="CE43" s="1804"/>
      <c r="CF43" s="1804"/>
      <c r="CG43" s="1804"/>
      <c r="CH43" s="1804"/>
      <c r="CI43" s="1804"/>
      <c r="CJ43" s="1804"/>
      <c r="CK43" s="1804"/>
      <c r="CL43" s="1804"/>
      <c r="CM43" s="1804"/>
      <c r="CN43" s="1804"/>
      <c r="CO43" s="1804"/>
      <c r="CP43" s="1804"/>
      <c r="CQ43" s="1804"/>
      <c r="CR43" s="1804"/>
      <c r="CS43" s="1804"/>
      <c r="CT43" s="1804"/>
      <c r="CU43" s="1804"/>
      <c r="CV43" s="1804"/>
      <c r="CW43" s="1804"/>
      <c r="CX43" s="1804"/>
      <c r="CY43" s="1804"/>
      <c r="CZ43" s="1804"/>
      <c r="DA43" s="1804"/>
      <c r="DB43" s="1804"/>
      <c r="DC43" s="1804"/>
      <c r="DD43" s="1804"/>
      <c r="DE43" s="1804"/>
      <c r="DF43" s="1804"/>
      <c r="DG43" s="1804"/>
      <c r="DH43" s="1804"/>
      <c r="DI43" s="1804"/>
      <c r="DJ43" s="1804"/>
      <c r="DK43" s="1804"/>
      <c r="DL43" s="1804"/>
      <c r="DM43" s="1804"/>
      <c r="DN43" s="1804"/>
      <c r="DO43" s="1804"/>
      <c r="DP43" s="1804"/>
      <c r="DQ43" s="1671"/>
      <c r="DR43" s="1671"/>
      <c r="DS43" s="1671"/>
      <c r="DT43" s="1671"/>
      <c r="DU43" s="1671"/>
      <c r="DV43" s="1671"/>
      <c r="DW43" s="1671"/>
      <c r="DX43" s="1671"/>
      <c r="DY43" s="1671"/>
      <c r="DZ43" s="1671"/>
      <c r="EA43" s="1740"/>
      <c r="EB43" s="1740"/>
      <c r="EC43" s="1740"/>
      <c r="ED43" s="1740"/>
      <c r="EE43" s="1740"/>
      <c r="EF43" s="1740"/>
      <c r="EG43" s="1740"/>
      <c r="EH43" s="1740"/>
      <c r="EI43" s="1740"/>
      <c r="EJ43" s="1740"/>
      <c r="EK43" s="1740"/>
      <c r="EL43" s="1740"/>
      <c r="EM43" s="1740"/>
      <c r="EN43" s="1740"/>
      <c r="EO43" s="1740"/>
      <c r="EP43" s="1740"/>
      <c r="EQ43" s="1740"/>
      <c r="ER43" s="1740"/>
      <c r="ES43" s="1740"/>
      <c r="ET43" s="1740"/>
      <c r="EU43" s="1740"/>
      <c r="EV43" s="1740"/>
      <c r="EW43" s="1740"/>
      <c r="EX43" s="1740"/>
      <c r="EY43" s="1740"/>
      <c r="EZ43" s="1740"/>
      <c r="FA43" s="1740"/>
      <c r="FB43" s="1740"/>
      <c r="FC43" s="1740"/>
      <c r="FD43" s="1740"/>
      <c r="FE43" s="1740"/>
      <c r="FF43" s="1740"/>
      <c r="FG43" s="1740"/>
      <c r="FH43" s="1740"/>
      <c r="FI43" s="1740"/>
      <c r="FJ43" s="1740"/>
      <c r="FK43" s="1740"/>
      <c r="FL43" s="1740"/>
      <c r="FM43" s="1740"/>
      <c r="FN43" s="1740"/>
      <c r="FO43" s="1740"/>
      <c r="FP43" s="1740"/>
      <c r="FQ43" s="1740"/>
      <c r="FR43" s="1740"/>
      <c r="FS43" s="1740"/>
      <c r="FT43" s="1740"/>
      <c r="FU43" s="1740"/>
      <c r="FV43" s="1740"/>
      <c r="FW43" s="1740"/>
      <c r="FX43" s="1740"/>
      <c r="FY43" s="1740"/>
      <c r="FZ43" s="1740"/>
      <c r="GA43" s="1740"/>
      <c r="GB43" s="1740"/>
      <c r="GC43" s="1740"/>
      <c r="GD43" s="1740"/>
      <c r="GE43" s="1740"/>
      <c r="GF43" s="1740"/>
    </row>
    <row r="44" spans="1:188" s="20" customFormat="1">
      <c r="A44" s="333">
        <f t="shared" si="0"/>
        <v>1973</v>
      </c>
      <c r="B44" s="333">
        <f t="shared" si="1"/>
        <v>4</v>
      </c>
      <c r="C44" s="1174">
        <v>27001</v>
      </c>
      <c r="D44" s="1167"/>
      <c r="E44" s="1168">
        <v>106.7470588235</v>
      </c>
      <c r="F44" s="1168">
        <v>71.738613652921401</v>
      </c>
      <c r="G44" s="1168"/>
      <c r="H44" s="1167"/>
      <c r="I44" s="1168"/>
      <c r="J44" s="1168"/>
      <c r="K44" s="1678"/>
      <c r="L44" s="1678"/>
      <c r="M44" s="1682"/>
      <c r="N44" s="1169"/>
      <c r="O44" s="1169"/>
      <c r="P44" s="1169"/>
      <c r="Q44" s="1167"/>
      <c r="R44" s="1167"/>
      <c r="S44" s="1167"/>
      <c r="T44" s="1167"/>
      <c r="U44" s="1167"/>
      <c r="V44" s="1167"/>
      <c r="W44" s="1167"/>
      <c r="X44" s="630"/>
      <c r="AA44" s="1915"/>
      <c r="AB44" s="1915"/>
      <c r="AC44" s="1804"/>
      <c r="AD44" s="1804"/>
      <c r="AE44" s="1804"/>
      <c r="AF44" s="1804"/>
      <c r="AG44" s="1804"/>
      <c r="AH44" s="1804"/>
      <c r="AI44" s="1781" t="s">
        <v>0</v>
      </c>
      <c r="AJ44" s="1826">
        <v>2013</v>
      </c>
      <c r="AK44" s="1822" t="s">
        <v>386</v>
      </c>
      <c r="AL44" s="1822"/>
      <c r="AM44" s="1823">
        <v>3599642983</v>
      </c>
      <c r="AN44" s="1824">
        <v>1</v>
      </c>
      <c r="AO44" s="1781"/>
      <c r="AP44" s="1781" t="s">
        <v>0</v>
      </c>
      <c r="AQ44" s="1781" t="s">
        <v>503</v>
      </c>
      <c r="AR44" s="1822" t="s">
        <v>386</v>
      </c>
      <c r="AS44" s="1822"/>
      <c r="AT44" s="1823">
        <v>3387364358</v>
      </c>
      <c r="AU44" s="1825">
        <v>1</v>
      </c>
      <c r="AV44" s="1781">
        <v>2013</v>
      </c>
      <c r="AW44" s="1671"/>
      <c r="AX44" s="1925">
        <f>'Alumina - Prices'!A43</f>
        <v>43617</v>
      </c>
      <c r="AY44" s="1804"/>
      <c r="AZ44" s="1804"/>
      <c r="BA44" s="1804"/>
      <c r="BB44" s="1804"/>
      <c r="BC44" s="1804"/>
      <c r="BD44" s="1804"/>
      <c r="BE44" s="1804"/>
      <c r="BF44" s="1804"/>
      <c r="BG44" s="1804"/>
      <c r="BH44" s="1804"/>
      <c r="BI44" s="1804"/>
      <c r="BJ44" s="1804"/>
      <c r="BK44" s="1804"/>
      <c r="BL44" s="1804"/>
      <c r="BM44" s="1804"/>
      <c r="BN44" s="1804"/>
      <c r="BO44" s="1804"/>
      <c r="BP44" s="1804"/>
      <c r="BQ44" s="1804"/>
      <c r="BR44" s="1804"/>
      <c r="BS44" s="1804"/>
      <c r="BT44" s="1804"/>
      <c r="BU44" s="1804"/>
      <c r="BV44" s="1804"/>
      <c r="BW44" s="1804"/>
      <c r="BX44" s="1804"/>
      <c r="BY44" s="1804"/>
      <c r="BZ44" s="1804"/>
      <c r="CA44" s="1804"/>
      <c r="CB44" s="1804"/>
      <c r="CC44" s="1804"/>
      <c r="CD44" s="1804"/>
      <c r="CE44" s="1804"/>
      <c r="CF44" s="1804"/>
      <c r="CG44" s="1804"/>
      <c r="CH44" s="1804"/>
      <c r="CI44" s="1804"/>
      <c r="CJ44" s="1804"/>
      <c r="CK44" s="1804"/>
      <c r="CL44" s="1804"/>
      <c r="CM44" s="1804"/>
      <c r="CN44" s="1804"/>
      <c r="CO44" s="1804"/>
      <c r="CP44" s="1804"/>
      <c r="CQ44" s="1804"/>
      <c r="CR44" s="1804"/>
      <c r="CS44" s="1804"/>
      <c r="CT44" s="1804"/>
      <c r="CU44" s="1804"/>
      <c r="CV44" s="1804"/>
      <c r="CW44" s="1804"/>
      <c r="CX44" s="1804"/>
      <c r="CY44" s="1804"/>
      <c r="CZ44" s="1804"/>
      <c r="DA44" s="1804"/>
      <c r="DB44" s="1804"/>
      <c r="DC44" s="1804"/>
      <c r="DD44" s="1804"/>
      <c r="DE44" s="1804"/>
      <c r="DF44" s="1804"/>
      <c r="DG44" s="1804"/>
      <c r="DH44" s="1804"/>
      <c r="DI44" s="1804"/>
      <c r="DJ44" s="1804"/>
      <c r="DK44" s="1804"/>
      <c r="DL44" s="1804"/>
      <c r="DM44" s="1804"/>
      <c r="DN44" s="1804"/>
      <c r="DO44" s="1804"/>
      <c r="DP44" s="1804"/>
      <c r="DQ44" s="1671"/>
      <c r="DR44" s="1671"/>
      <c r="DS44" s="1671"/>
      <c r="DT44" s="1671"/>
      <c r="DU44" s="1671"/>
      <c r="DV44" s="1671"/>
      <c r="DW44" s="1671"/>
      <c r="DX44" s="1671"/>
      <c r="DY44" s="1671"/>
      <c r="DZ44" s="1671"/>
      <c r="EA44" s="1740"/>
      <c r="EB44" s="1740"/>
      <c r="EC44" s="1740"/>
      <c r="ED44" s="1740"/>
      <c r="EE44" s="1740"/>
      <c r="EF44" s="1740"/>
      <c r="EG44" s="1740"/>
      <c r="EH44" s="1740"/>
      <c r="EI44" s="1740"/>
      <c r="EJ44" s="1740"/>
      <c r="EK44" s="1740"/>
      <c r="EL44" s="1740"/>
      <c r="EM44" s="1740"/>
      <c r="EN44" s="1740"/>
      <c r="EO44" s="1740"/>
      <c r="EP44" s="1740"/>
      <c r="EQ44" s="1740"/>
      <c r="ER44" s="1740"/>
      <c r="ES44" s="1740"/>
      <c r="ET44" s="1740"/>
      <c r="EU44" s="1740"/>
      <c r="EV44" s="1740"/>
      <c r="EW44" s="1740"/>
      <c r="EX44" s="1740"/>
      <c r="EY44" s="1740"/>
      <c r="EZ44" s="1740"/>
      <c r="FA44" s="1740"/>
      <c r="FB44" s="1740"/>
      <c r="FC44" s="1740"/>
      <c r="FD44" s="1740"/>
      <c r="FE44" s="1740"/>
      <c r="FF44" s="1740"/>
      <c r="FG44" s="1740"/>
      <c r="FH44" s="1740"/>
      <c r="FI44" s="1740"/>
      <c r="FJ44" s="1740"/>
      <c r="FK44" s="1740"/>
      <c r="FL44" s="1740"/>
      <c r="FM44" s="1740"/>
      <c r="FN44" s="1740"/>
      <c r="FO44" s="1740"/>
      <c r="FP44" s="1740"/>
      <c r="FQ44" s="1740"/>
      <c r="FR44" s="1740"/>
      <c r="FS44" s="1740"/>
      <c r="FT44" s="1740"/>
      <c r="FU44" s="1740"/>
      <c r="FV44" s="1740"/>
      <c r="FW44" s="1740"/>
      <c r="FX44" s="1740"/>
      <c r="FY44" s="1740"/>
      <c r="FZ44" s="1740"/>
      <c r="GA44" s="1740"/>
      <c r="GB44" s="1740"/>
      <c r="GC44" s="1740"/>
      <c r="GD44" s="1740"/>
      <c r="GE44" s="1740"/>
      <c r="GF44" s="1740"/>
    </row>
    <row r="45" spans="1:188" s="20" customFormat="1">
      <c r="A45" s="333">
        <f t="shared" si="0"/>
        <v>1974</v>
      </c>
      <c r="B45" s="333">
        <f t="shared" si="1"/>
        <v>1</v>
      </c>
      <c r="C45" s="1174">
        <v>27030</v>
      </c>
      <c r="D45" s="1158"/>
      <c r="E45" s="1159">
        <v>129.5090909091</v>
      </c>
      <c r="F45" s="1159">
        <v>87.035677981824279</v>
      </c>
      <c r="G45" s="1160"/>
      <c r="H45" s="1161"/>
      <c r="I45" s="1160"/>
      <c r="J45" s="1160"/>
      <c r="K45" s="1677"/>
      <c r="L45" s="1677"/>
      <c r="M45" s="1681"/>
      <c r="N45" s="1162"/>
      <c r="O45" s="1162"/>
      <c r="P45" s="1162"/>
      <c r="Q45" s="1163"/>
      <c r="R45" s="1164"/>
      <c r="S45" s="1164"/>
      <c r="T45" s="1164"/>
      <c r="U45" s="1165"/>
      <c r="V45" s="1166"/>
      <c r="W45" s="1166"/>
      <c r="X45" s="630"/>
      <c r="AA45" s="1915"/>
      <c r="AB45" s="1915"/>
      <c r="AC45" s="1804"/>
      <c r="AD45" s="1804"/>
      <c r="AE45" s="1804"/>
      <c r="AF45" s="1804"/>
      <c r="AG45" s="1804"/>
      <c r="AH45" s="1804"/>
      <c r="AI45" s="1781" t="s">
        <v>0</v>
      </c>
      <c r="AJ45" s="1827">
        <v>2012</v>
      </c>
      <c r="AK45" s="1822" t="s">
        <v>18</v>
      </c>
      <c r="AL45" s="1822">
        <v>1</v>
      </c>
      <c r="AM45" s="1823">
        <v>772399703</v>
      </c>
      <c r="AN45" s="1824">
        <v>0.26300000000000001</v>
      </c>
      <c r="AO45" s="1781"/>
      <c r="AP45" s="1781" t="s">
        <v>0</v>
      </c>
      <c r="AQ45" s="1781" t="s">
        <v>502</v>
      </c>
      <c r="AR45" s="1822" t="s">
        <v>18</v>
      </c>
      <c r="AS45" s="1822">
        <v>1</v>
      </c>
      <c r="AT45" s="1823">
        <v>619278559</v>
      </c>
      <c r="AU45" s="1825">
        <v>0.187</v>
      </c>
      <c r="AV45" s="1781">
        <v>2012</v>
      </c>
      <c r="AW45" s="1671"/>
      <c r="AX45" s="1671"/>
      <c r="AY45" s="1804"/>
      <c r="AZ45" s="1804"/>
      <c r="BA45" s="1804"/>
      <c r="BB45" s="1804"/>
      <c r="BC45" s="1804"/>
      <c r="BD45" s="1804"/>
      <c r="BE45" s="1804"/>
      <c r="BF45" s="1804"/>
      <c r="BG45" s="1804"/>
      <c r="BH45" s="1804"/>
      <c r="BI45" s="1804"/>
      <c r="BJ45" s="1804"/>
      <c r="BK45" s="1804"/>
      <c r="BL45" s="1804"/>
      <c r="BM45" s="1804"/>
      <c r="BN45" s="1804"/>
      <c r="BO45" s="1804"/>
      <c r="BP45" s="1804"/>
      <c r="BQ45" s="1804"/>
      <c r="BR45" s="1804"/>
      <c r="BS45" s="1804"/>
      <c r="BT45" s="1804"/>
      <c r="BU45" s="1804"/>
      <c r="BV45" s="1804"/>
      <c r="BW45" s="1804"/>
      <c r="BX45" s="1804"/>
      <c r="BY45" s="1804"/>
      <c r="BZ45" s="1804"/>
      <c r="CA45" s="1804"/>
      <c r="CB45" s="1804"/>
      <c r="CC45" s="1804"/>
      <c r="CD45" s="1804"/>
      <c r="CE45" s="1804"/>
      <c r="CF45" s="1804"/>
      <c r="CG45" s="1804"/>
      <c r="CH45" s="1804"/>
      <c r="CI45" s="1804"/>
      <c r="CJ45" s="1804"/>
      <c r="CK45" s="1804"/>
      <c r="CL45" s="1804"/>
      <c r="CM45" s="1804"/>
      <c r="CN45" s="1804"/>
      <c r="CO45" s="1804"/>
      <c r="CP45" s="1804"/>
      <c r="CQ45" s="1804"/>
      <c r="CR45" s="1804"/>
      <c r="CS45" s="1804"/>
      <c r="CT45" s="1804"/>
      <c r="CU45" s="1804"/>
      <c r="CV45" s="1804"/>
      <c r="CW45" s="1804"/>
      <c r="CX45" s="1804"/>
      <c r="CY45" s="1804"/>
      <c r="CZ45" s="1804"/>
      <c r="DA45" s="1804"/>
      <c r="DB45" s="1804"/>
      <c r="DC45" s="1804"/>
      <c r="DD45" s="1804"/>
      <c r="DE45" s="1804"/>
      <c r="DF45" s="1804"/>
      <c r="DG45" s="1804"/>
      <c r="DH45" s="1804"/>
      <c r="DI45" s="1804"/>
      <c r="DJ45" s="1804"/>
      <c r="DK45" s="1804"/>
      <c r="DL45" s="1804"/>
      <c r="DM45" s="1804"/>
      <c r="DN45" s="1804"/>
      <c r="DO45" s="1804"/>
      <c r="DP45" s="1804"/>
      <c r="DQ45" s="1671"/>
      <c r="DR45" s="1671"/>
      <c r="DS45" s="1671"/>
      <c r="DT45" s="1671"/>
      <c r="DU45" s="1671"/>
      <c r="DV45" s="1671"/>
      <c r="DW45" s="1671"/>
      <c r="DX45" s="1671"/>
      <c r="DY45" s="1671"/>
      <c r="DZ45" s="1671"/>
      <c r="EA45" s="1740"/>
      <c r="EB45" s="1740"/>
      <c r="EC45" s="1740"/>
      <c r="ED45" s="1740"/>
      <c r="EE45" s="1740"/>
      <c r="EF45" s="1740"/>
      <c r="EG45" s="1740"/>
      <c r="EH45" s="1740"/>
      <c r="EI45" s="1740"/>
      <c r="EJ45" s="1740"/>
      <c r="EK45" s="1740"/>
      <c r="EL45" s="1740"/>
      <c r="EM45" s="1740"/>
      <c r="EN45" s="1740"/>
      <c r="EO45" s="1740"/>
      <c r="EP45" s="1740"/>
      <c r="EQ45" s="1740"/>
      <c r="ER45" s="1740"/>
      <c r="ES45" s="1740"/>
      <c r="ET45" s="1740"/>
      <c r="EU45" s="1740"/>
      <c r="EV45" s="1740"/>
      <c r="EW45" s="1740"/>
      <c r="EX45" s="1740"/>
      <c r="EY45" s="1740"/>
      <c r="EZ45" s="1740"/>
      <c r="FA45" s="1740"/>
      <c r="FB45" s="1740"/>
      <c r="FC45" s="1740"/>
      <c r="FD45" s="1740"/>
      <c r="FE45" s="1740"/>
      <c r="FF45" s="1740"/>
      <c r="FG45" s="1740"/>
      <c r="FH45" s="1740"/>
      <c r="FI45" s="1740"/>
      <c r="FJ45" s="1740"/>
      <c r="FK45" s="1740"/>
      <c r="FL45" s="1740"/>
      <c r="FM45" s="1740"/>
      <c r="FN45" s="1740"/>
      <c r="FO45" s="1740"/>
      <c r="FP45" s="1740"/>
      <c r="FQ45" s="1740"/>
      <c r="FR45" s="1740"/>
      <c r="FS45" s="1740"/>
      <c r="FT45" s="1740"/>
      <c r="FU45" s="1740"/>
      <c r="FV45" s="1740"/>
      <c r="FW45" s="1740"/>
      <c r="FX45" s="1740"/>
      <c r="FY45" s="1740"/>
      <c r="FZ45" s="1740"/>
      <c r="GA45" s="1740"/>
      <c r="GB45" s="1740"/>
      <c r="GC45" s="1740"/>
      <c r="GD45" s="1740"/>
      <c r="GE45" s="1740"/>
      <c r="GF45" s="1740"/>
    </row>
    <row r="46" spans="1:188" s="20" customFormat="1">
      <c r="A46" s="333">
        <f t="shared" si="0"/>
        <v>1974</v>
      </c>
      <c r="B46" s="333">
        <f t="shared" si="1"/>
        <v>1</v>
      </c>
      <c r="C46" s="1174">
        <v>27061</v>
      </c>
      <c r="D46" s="1167"/>
      <c r="E46" s="1168">
        <v>151.21842105260001</v>
      </c>
      <c r="F46" s="1168">
        <v>101.62528133945246</v>
      </c>
      <c r="G46" s="1168"/>
      <c r="H46" s="1167"/>
      <c r="I46" s="1168"/>
      <c r="J46" s="1168"/>
      <c r="K46" s="1678"/>
      <c r="L46" s="1678"/>
      <c r="M46" s="1682"/>
      <c r="N46" s="1169"/>
      <c r="O46" s="1169"/>
      <c r="P46" s="1169"/>
      <c r="Q46" s="1167"/>
      <c r="R46" s="1167"/>
      <c r="S46" s="1167"/>
      <c r="T46" s="1167"/>
      <c r="U46" s="1167"/>
      <c r="V46" s="1167"/>
      <c r="W46" s="1167"/>
      <c r="X46" s="630"/>
      <c r="AA46" s="1915"/>
      <c r="AB46" s="1915"/>
      <c r="AC46" s="1804"/>
      <c r="AD46" s="1804"/>
      <c r="AE46" s="1804"/>
      <c r="AF46" s="1804"/>
      <c r="AG46" s="1804"/>
      <c r="AH46" s="1804"/>
      <c r="AI46" s="1781" t="s">
        <v>0</v>
      </c>
      <c r="AJ46" s="1827">
        <v>2012</v>
      </c>
      <c r="AK46" s="1822" t="s">
        <v>34</v>
      </c>
      <c r="AL46" s="1822">
        <v>2</v>
      </c>
      <c r="AM46" s="1823">
        <v>471103226</v>
      </c>
      <c r="AN46" s="1824">
        <v>0.161</v>
      </c>
      <c r="AO46" s="1781"/>
      <c r="AP46" s="1781" t="s">
        <v>0</v>
      </c>
      <c r="AQ46" s="1781" t="s">
        <v>502</v>
      </c>
      <c r="AR46" s="1822" t="s">
        <v>34</v>
      </c>
      <c r="AS46" s="1822">
        <v>2</v>
      </c>
      <c r="AT46" s="1823">
        <v>547054759</v>
      </c>
      <c r="AU46" s="1825">
        <v>0.16500000000000001</v>
      </c>
      <c r="AV46" s="1781">
        <v>2012</v>
      </c>
      <c r="AW46" s="1671"/>
      <c r="AX46" s="1671"/>
      <c r="AY46" s="1804"/>
      <c r="AZ46" s="1804"/>
      <c r="BA46" s="1804"/>
      <c r="BB46" s="1804"/>
      <c r="BC46" s="1804"/>
      <c r="BD46" s="1804"/>
      <c r="BE46" s="1804"/>
      <c r="BF46" s="1804"/>
      <c r="BG46" s="1804"/>
      <c r="BH46" s="1804"/>
      <c r="BI46" s="1804"/>
      <c r="BJ46" s="1804"/>
      <c r="BK46" s="1804"/>
      <c r="BL46" s="1804"/>
      <c r="BM46" s="1804"/>
      <c r="BN46" s="1804"/>
      <c r="BO46" s="1804"/>
      <c r="BP46" s="1804"/>
      <c r="BQ46" s="1804"/>
      <c r="BR46" s="1804"/>
      <c r="BS46" s="1804"/>
      <c r="BT46" s="1804"/>
      <c r="BU46" s="1804"/>
      <c r="BV46" s="1804"/>
      <c r="BW46" s="1804"/>
      <c r="BX46" s="1804"/>
      <c r="BY46" s="1804"/>
      <c r="BZ46" s="1804"/>
      <c r="CA46" s="1804"/>
      <c r="CB46" s="1804"/>
      <c r="CC46" s="1804"/>
      <c r="CD46" s="1804"/>
      <c r="CE46" s="1804"/>
      <c r="CF46" s="1804"/>
      <c r="CG46" s="1804"/>
      <c r="CH46" s="1804"/>
      <c r="CI46" s="1804"/>
      <c r="CJ46" s="1804"/>
      <c r="CK46" s="1804"/>
      <c r="CL46" s="1804"/>
      <c r="CM46" s="1804"/>
      <c r="CN46" s="1804"/>
      <c r="CO46" s="1804"/>
      <c r="CP46" s="1804"/>
      <c r="CQ46" s="1804"/>
      <c r="CR46" s="1804"/>
      <c r="CS46" s="1804"/>
      <c r="CT46" s="1804"/>
      <c r="CU46" s="1804"/>
      <c r="CV46" s="1804"/>
      <c r="CW46" s="1804"/>
      <c r="CX46" s="1804"/>
      <c r="CY46" s="1804"/>
      <c r="CZ46" s="1804"/>
      <c r="DA46" s="1804"/>
      <c r="DB46" s="1804"/>
      <c r="DC46" s="1804"/>
      <c r="DD46" s="1804"/>
      <c r="DE46" s="1804"/>
      <c r="DF46" s="1804"/>
      <c r="DG46" s="1804"/>
      <c r="DH46" s="1804"/>
      <c r="DI46" s="1804"/>
      <c r="DJ46" s="1804"/>
      <c r="DK46" s="1804"/>
      <c r="DL46" s="1804"/>
      <c r="DM46" s="1804"/>
      <c r="DN46" s="1804"/>
      <c r="DO46" s="1804"/>
      <c r="DP46" s="1804"/>
      <c r="DQ46" s="1671"/>
      <c r="DR46" s="1671"/>
      <c r="DS46" s="1671"/>
      <c r="DT46" s="1671"/>
      <c r="DU46" s="1671"/>
      <c r="DV46" s="1671"/>
      <c r="DW46" s="1671"/>
      <c r="DX46" s="1671"/>
      <c r="DY46" s="1671"/>
      <c r="DZ46" s="1671"/>
      <c r="EA46" s="1740"/>
      <c r="EB46" s="1740"/>
      <c r="EC46" s="1740"/>
      <c r="ED46" s="1740"/>
      <c r="EE46" s="1740"/>
      <c r="EF46" s="1740"/>
      <c r="EG46" s="1740"/>
      <c r="EH46" s="1740"/>
      <c r="EI46" s="1740"/>
      <c r="EJ46" s="1740"/>
      <c r="EK46" s="1740"/>
      <c r="EL46" s="1740"/>
      <c r="EM46" s="1740"/>
      <c r="EN46" s="1740"/>
      <c r="EO46" s="1740"/>
      <c r="EP46" s="1740"/>
      <c r="EQ46" s="1740"/>
      <c r="ER46" s="1740"/>
      <c r="ES46" s="1740"/>
      <c r="ET46" s="1740"/>
      <c r="EU46" s="1740"/>
      <c r="EV46" s="1740"/>
      <c r="EW46" s="1740"/>
      <c r="EX46" s="1740"/>
      <c r="EY46" s="1740"/>
      <c r="EZ46" s="1740"/>
      <c r="FA46" s="1740"/>
      <c r="FB46" s="1740"/>
      <c r="FC46" s="1740"/>
      <c r="FD46" s="1740"/>
      <c r="FE46" s="1740"/>
      <c r="FF46" s="1740"/>
      <c r="FG46" s="1740"/>
      <c r="FH46" s="1740"/>
      <c r="FI46" s="1740"/>
      <c r="FJ46" s="1740"/>
      <c r="FK46" s="1740"/>
      <c r="FL46" s="1740"/>
      <c r="FM46" s="1740"/>
      <c r="FN46" s="1740"/>
      <c r="FO46" s="1740"/>
      <c r="FP46" s="1740"/>
      <c r="FQ46" s="1740"/>
      <c r="FR46" s="1740"/>
      <c r="FS46" s="1740"/>
      <c r="FT46" s="1740"/>
      <c r="FU46" s="1740"/>
      <c r="FV46" s="1740"/>
      <c r="FW46" s="1740"/>
      <c r="FX46" s="1740"/>
      <c r="FY46" s="1740"/>
      <c r="FZ46" s="1740"/>
      <c r="GA46" s="1740"/>
      <c r="GB46" s="1740"/>
      <c r="GC46" s="1740"/>
      <c r="GD46" s="1740"/>
      <c r="GE46" s="1740"/>
      <c r="GF46" s="1740"/>
    </row>
    <row r="47" spans="1:188" s="20" customFormat="1">
      <c r="A47" s="333">
        <f t="shared" si="0"/>
        <v>1974</v>
      </c>
      <c r="B47" s="333">
        <f t="shared" si="1"/>
        <v>1</v>
      </c>
      <c r="C47" s="1174">
        <v>27089</v>
      </c>
      <c r="D47" s="1158"/>
      <c r="E47" s="1159">
        <v>168.57857142859999</v>
      </c>
      <c r="F47" s="1159">
        <v>113.29204887859061</v>
      </c>
      <c r="G47" s="1160"/>
      <c r="H47" s="1161"/>
      <c r="I47" s="1160"/>
      <c r="J47" s="1160"/>
      <c r="K47" s="1677"/>
      <c r="L47" s="1677"/>
      <c r="M47" s="1681"/>
      <c r="N47" s="1162"/>
      <c r="O47" s="1162"/>
      <c r="P47" s="1162"/>
      <c r="Q47" s="1163"/>
      <c r="R47" s="1164"/>
      <c r="S47" s="1164"/>
      <c r="T47" s="1164"/>
      <c r="U47" s="1165"/>
      <c r="V47" s="1166"/>
      <c r="W47" s="1166"/>
      <c r="X47" s="630"/>
      <c r="AA47" s="1915"/>
      <c r="AB47" s="1915"/>
      <c r="AC47" s="1804"/>
      <c r="AD47" s="1804"/>
      <c r="AE47" s="1804"/>
      <c r="AF47" s="1804"/>
      <c r="AG47" s="1804"/>
      <c r="AH47" s="1804"/>
      <c r="AI47" s="1781" t="s">
        <v>0</v>
      </c>
      <c r="AJ47" s="1827">
        <v>2012</v>
      </c>
      <c r="AK47" s="1822" t="s">
        <v>32</v>
      </c>
      <c r="AL47" s="1822">
        <v>3</v>
      </c>
      <c r="AM47" s="1823">
        <v>351151151</v>
      </c>
      <c r="AN47" s="1824">
        <v>0.12</v>
      </c>
      <c r="AO47" s="1781"/>
      <c r="AP47" s="1781" t="s">
        <v>0</v>
      </c>
      <c r="AQ47" s="1781" t="s">
        <v>502</v>
      </c>
      <c r="AR47" s="1822" t="s">
        <v>32</v>
      </c>
      <c r="AS47" s="1822">
        <v>3</v>
      </c>
      <c r="AT47" s="1823">
        <v>371607646</v>
      </c>
      <c r="AU47" s="1825">
        <v>0.112</v>
      </c>
      <c r="AV47" s="1781">
        <v>2012</v>
      </c>
      <c r="AW47" s="1671"/>
      <c r="AX47" s="1925">
        <f>'Alumina - Prices'!A46</f>
        <v>43709</v>
      </c>
      <c r="AY47" s="1804"/>
      <c r="AZ47" s="1804"/>
      <c r="BA47" s="1804"/>
      <c r="BB47" s="1804"/>
      <c r="BC47" s="1804"/>
      <c r="BD47" s="1804"/>
      <c r="BE47" s="1804"/>
      <c r="BF47" s="1804"/>
      <c r="BG47" s="1804"/>
      <c r="BH47" s="1804"/>
      <c r="BI47" s="1804"/>
      <c r="BJ47" s="1804"/>
      <c r="BK47" s="1804"/>
      <c r="BL47" s="1804"/>
      <c r="BM47" s="1804"/>
      <c r="BN47" s="1804"/>
      <c r="BO47" s="1804"/>
      <c r="BP47" s="1804"/>
      <c r="BQ47" s="1804"/>
      <c r="BR47" s="1804"/>
      <c r="BS47" s="1804"/>
      <c r="BT47" s="1804"/>
      <c r="BU47" s="1804"/>
      <c r="BV47" s="1804"/>
      <c r="BW47" s="1804"/>
      <c r="BX47" s="1804"/>
      <c r="BY47" s="1804"/>
      <c r="BZ47" s="1804"/>
      <c r="CA47" s="1804"/>
      <c r="CB47" s="1804"/>
      <c r="CC47" s="1804"/>
      <c r="CD47" s="1804"/>
      <c r="CE47" s="1804"/>
      <c r="CF47" s="1804"/>
      <c r="CG47" s="1804"/>
      <c r="CH47" s="1804"/>
      <c r="CI47" s="1804"/>
      <c r="CJ47" s="1804"/>
      <c r="CK47" s="1804"/>
      <c r="CL47" s="1804"/>
      <c r="CM47" s="1804"/>
      <c r="CN47" s="1804"/>
      <c r="CO47" s="1804"/>
      <c r="CP47" s="1804"/>
      <c r="CQ47" s="1804"/>
      <c r="CR47" s="1804"/>
      <c r="CS47" s="1804"/>
      <c r="CT47" s="1804"/>
      <c r="CU47" s="1804"/>
      <c r="CV47" s="1804"/>
      <c r="CW47" s="1804"/>
      <c r="CX47" s="1804"/>
      <c r="CY47" s="1804"/>
      <c r="CZ47" s="1804"/>
      <c r="DA47" s="1804"/>
      <c r="DB47" s="1804"/>
      <c r="DC47" s="1804"/>
      <c r="DD47" s="1804"/>
      <c r="DE47" s="1804"/>
      <c r="DF47" s="1804"/>
      <c r="DG47" s="1804"/>
      <c r="DH47" s="1804"/>
      <c r="DI47" s="1804"/>
      <c r="DJ47" s="1804"/>
      <c r="DK47" s="1804"/>
      <c r="DL47" s="1804"/>
      <c r="DM47" s="1804"/>
      <c r="DN47" s="1804"/>
      <c r="DO47" s="1804"/>
      <c r="DP47" s="1804"/>
      <c r="DQ47" s="1671"/>
      <c r="DR47" s="1671"/>
      <c r="DS47" s="1671"/>
      <c r="DT47" s="1671"/>
      <c r="DU47" s="1671"/>
      <c r="DV47" s="1671"/>
      <c r="DW47" s="1671"/>
      <c r="DX47" s="1671"/>
      <c r="DY47" s="1671"/>
      <c r="DZ47" s="1671"/>
      <c r="EA47" s="1740"/>
      <c r="EB47" s="1740"/>
      <c r="EC47" s="1740"/>
      <c r="ED47" s="1740"/>
      <c r="EE47" s="1740"/>
      <c r="EF47" s="1740"/>
      <c r="EG47" s="1740"/>
      <c r="EH47" s="1740"/>
      <c r="EI47" s="1740"/>
      <c r="EJ47" s="1740"/>
      <c r="EK47" s="1740"/>
      <c r="EL47" s="1740"/>
      <c r="EM47" s="1740"/>
      <c r="EN47" s="1740"/>
      <c r="EO47" s="1740"/>
      <c r="EP47" s="1740"/>
      <c r="EQ47" s="1740"/>
      <c r="ER47" s="1740"/>
      <c r="ES47" s="1740"/>
      <c r="ET47" s="1740"/>
      <c r="EU47" s="1740"/>
      <c r="EV47" s="1740"/>
      <c r="EW47" s="1740"/>
      <c r="EX47" s="1740"/>
      <c r="EY47" s="1740"/>
      <c r="EZ47" s="1740"/>
      <c r="FA47" s="1740"/>
      <c r="FB47" s="1740"/>
      <c r="FC47" s="1740"/>
      <c r="FD47" s="1740"/>
      <c r="FE47" s="1740"/>
      <c r="FF47" s="1740"/>
      <c r="FG47" s="1740"/>
      <c r="FH47" s="1740"/>
      <c r="FI47" s="1740"/>
      <c r="FJ47" s="1740"/>
      <c r="FK47" s="1740"/>
      <c r="FL47" s="1740"/>
      <c r="FM47" s="1740"/>
      <c r="FN47" s="1740"/>
      <c r="FO47" s="1740"/>
      <c r="FP47" s="1740"/>
      <c r="FQ47" s="1740"/>
      <c r="FR47" s="1740"/>
      <c r="FS47" s="1740"/>
      <c r="FT47" s="1740"/>
      <c r="FU47" s="1740"/>
      <c r="FV47" s="1740"/>
      <c r="FW47" s="1740"/>
      <c r="FX47" s="1740"/>
      <c r="FY47" s="1740"/>
      <c r="FZ47" s="1740"/>
      <c r="GA47" s="1740"/>
      <c r="GB47" s="1740"/>
      <c r="GC47" s="1740"/>
      <c r="GD47" s="1740"/>
      <c r="GE47" s="1740"/>
      <c r="GF47" s="1740"/>
    </row>
    <row r="48" spans="1:188" s="20" customFormat="1">
      <c r="A48" s="333">
        <f t="shared" si="0"/>
        <v>1974</v>
      </c>
      <c r="B48" s="333">
        <f t="shared" si="1"/>
        <v>2</v>
      </c>
      <c r="C48" s="1174">
        <v>27120</v>
      </c>
      <c r="D48" s="1167"/>
      <c r="E48" s="1168">
        <v>172.12</v>
      </c>
      <c r="F48" s="1168">
        <v>115.67204115999999</v>
      </c>
      <c r="G48" s="1168"/>
      <c r="H48" s="1167"/>
      <c r="I48" s="1168"/>
      <c r="J48" s="1168"/>
      <c r="K48" s="1678"/>
      <c r="L48" s="1678"/>
      <c r="M48" s="1682"/>
      <c r="N48" s="1169"/>
      <c r="O48" s="1169"/>
      <c r="P48" s="1169"/>
      <c r="Q48" s="1167"/>
      <c r="R48" s="1167"/>
      <c r="S48" s="1167"/>
      <c r="T48" s="1167"/>
      <c r="U48" s="1167"/>
      <c r="V48" s="1167"/>
      <c r="W48" s="1167"/>
      <c r="X48" s="630"/>
      <c r="AA48" s="1915"/>
      <c r="AB48" s="1915"/>
      <c r="AC48" s="1804"/>
      <c r="AD48" s="1804"/>
      <c r="AE48" s="1804"/>
      <c r="AF48" s="1804"/>
      <c r="AG48" s="1804"/>
      <c r="AH48" s="1804"/>
      <c r="AI48" s="1781" t="s">
        <v>0</v>
      </c>
      <c r="AJ48" s="1827">
        <v>2012</v>
      </c>
      <c r="AK48" s="1822" t="s">
        <v>26</v>
      </c>
      <c r="AL48" s="1822">
        <v>4</v>
      </c>
      <c r="AM48" s="1823">
        <v>260648271</v>
      </c>
      <c r="AN48" s="1824">
        <v>8.8999999999999996E-2</v>
      </c>
      <c r="AO48" s="1781"/>
      <c r="AP48" s="1781" t="s">
        <v>0</v>
      </c>
      <c r="AQ48" s="1781" t="s">
        <v>502</v>
      </c>
      <c r="AR48" s="1822" t="s">
        <v>21</v>
      </c>
      <c r="AS48" s="1822">
        <v>4</v>
      </c>
      <c r="AT48" s="1823">
        <v>317770877</v>
      </c>
      <c r="AU48" s="1825">
        <v>9.6000000000000002E-2</v>
      </c>
      <c r="AV48" s="1781">
        <v>2012</v>
      </c>
      <c r="AW48" s="1671"/>
      <c r="AX48" s="1671"/>
      <c r="AY48" s="1804"/>
      <c r="AZ48" s="1804"/>
      <c r="BA48" s="1804"/>
      <c r="BB48" s="1804"/>
      <c r="BC48" s="1804"/>
      <c r="BD48" s="1804"/>
      <c r="BE48" s="1804"/>
      <c r="BF48" s="1804"/>
      <c r="BG48" s="1804"/>
      <c r="BH48" s="1804"/>
      <c r="BI48" s="1804"/>
      <c r="BJ48" s="1804"/>
      <c r="BK48" s="1804"/>
      <c r="BL48" s="1804"/>
      <c r="BM48" s="1804"/>
      <c r="BN48" s="1804"/>
      <c r="BO48" s="1804"/>
      <c r="BP48" s="1804"/>
      <c r="BQ48" s="1804"/>
      <c r="BR48" s="1804"/>
      <c r="BS48" s="1804"/>
      <c r="BT48" s="1804"/>
      <c r="BU48" s="1804"/>
      <c r="BV48" s="1804"/>
      <c r="BW48" s="1804"/>
      <c r="BX48" s="1804"/>
      <c r="BY48" s="1804"/>
      <c r="BZ48" s="1804"/>
      <c r="CA48" s="1804"/>
      <c r="CB48" s="1804"/>
      <c r="CC48" s="1804"/>
      <c r="CD48" s="1804"/>
      <c r="CE48" s="1804"/>
      <c r="CF48" s="1804"/>
      <c r="CG48" s="1804"/>
      <c r="CH48" s="1804"/>
      <c r="CI48" s="1804"/>
      <c r="CJ48" s="1804"/>
      <c r="CK48" s="1804"/>
      <c r="CL48" s="1804"/>
      <c r="CM48" s="1804"/>
      <c r="CN48" s="1804"/>
      <c r="CO48" s="1804"/>
      <c r="CP48" s="1804"/>
      <c r="CQ48" s="1804"/>
      <c r="CR48" s="1804"/>
      <c r="CS48" s="1804"/>
      <c r="CT48" s="1804"/>
      <c r="CU48" s="1804"/>
      <c r="CV48" s="1804"/>
      <c r="CW48" s="1804"/>
      <c r="CX48" s="1804"/>
      <c r="CY48" s="1804"/>
      <c r="CZ48" s="1804"/>
      <c r="DA48" s="1804"/>
      <c r="DB48" s="1804"/>
      <c r="DC48" s="1804"/>
      <c r="DD48" s="1804"/>
      <c r="DE48" s="1804"/>
      <c r="DF48" s="1804"/>
      <c r="DG48" s="1804"/>
      <c r="DH48" s="1804"/>
      <c r="DI48" s="1804"/>
      <c r="DJ48" s="1804"/>
      <c r="DK48" s="1804"/>
      <c r="DL48" s="1804"/>
      <c r="DM48" s="1804"/>
      <c r="DN48" s="1804"/>
      <c r="DO48" s="1804"/>
      <c r="DP48" s="1804"/>
      <c r="DQ48" s="1671"/>
      <c r="DR48" s="1671"/>
      <c r="DS48" s="1671"/>
      <c r="DT48" s="1671"/>
      <c r="DU48" s="1671"/>
      <c r="DV48" s="1671"/>
      <c r="DW48" s="1671"/>
      <c r="DX48" s="1671"/>
      <c r="DY48" s="1671"/>
      <c r="DZ48" s="1671"/>
      <c r="EA48" s="1740"/>
      <c r="EB48" s="1740"/>
      <c r="EC48" s="1740"/>
      <c r="ED48" s="1740"/>
      <c r="EE48" s="1740"/>
      <c r="EF48" s="1740"/>
      <c r="EG48" s="1740"/>
      <c r="EH48" s="1740"/>
      <c r="EI48" s="1740"/>
      <c r="EJ48" s="1740"/>
      <c r="EK48" s="1740"/>
      <c r="EL48" s="1740"/>
      <c r="EM48" s="1740"/>
      <c r="EN48" s="1740"/>
      <c r="EO48" s="1740"/>
      <c r="EP48" s="1740"/>
      <c r="EQ48" s="1740"/>
      <c r="ER48" s="1740"/>
      <c r="ES48" s="1740"/>
      <c r="ET48" s="1740"/>
      <c r="EU48" s="1740"/>
      <c r="EV48" s="1740"/>
      <c r="EW48" s="1740"/>
      <c r="EX48" s="1740"/>
      <c r="EY48" s="1740"/>
      <c r="EZ48" s="1740"/>
      <c r="FA48" s="1740"/>
      <c r="FB48" s="1740"/>
      <c r="FC48" s="1740"/>
      <c r="FD48" s="1740"/>
      <c r="FE48" s="1740"/>
      <c r="FF48" s="1740"/>
      <c r="FG48" s="1740"/>
      <c r="FH48" s="1740"/>
      <c r="FI48" s="1740"/>
      <c r="FJ48" s="1740"/>
      <c r="FK48" s="1740"/>
      <c r="FL48" s="1740"/>
      <c r="FM48" s="1740"/>
      <c r="FN48" s="1740"/>
      <c r="FO48" s="1740"/>
      <c r="FP48" s="1740"/>
      <c r="FQ48" s="1740"/>
      <c r="FR48" s="1740"/>
      <c r="FS48" s="1740"/>
      <c r="FT48" s="1740"/>
      <c r="FU48" s="1740"/>
      <c r="FV48" s="1740"/>
      <c r="FW48" s="1740"/>
      <c r="FX48" s="1740"/>
      <c r="FY48" s="1740"/>
      <c r="FZ48" s="1740"/>
      <c r="GA48" s="1740"/>
      <c r="GB48" s="1740"/>
      <c r="GC48" s="1740"/>
      <c r="GD48" s="1740"/>
      <c r="GE48" s="1740"/>
      <c r="GF48" s="1740"/>
    </row>
    <row r="49" spans="1:188" s="20" customFormat="1">
      <c r="A49" s="333">
        <f t="shared" si="0"/>
        <v>1974</v>
      </c>
      <c r="B49" s="333">
        <f t="shared" si="1"/>
        <v>2</v>
      </c>
      <c r="C49" s="1174">
        <v>27150</v>
      </c>
      <c r="D49" s="1158"/>
      <c r="E49" s="1159">
        <v>162.94999999999999</v>
      </c>
      <c r="F49" s="1159">
        <v>109.50940684999999</v>
      </c>
      <c r="G49" s="1160"/>
      <c r="H49" s="1161"/>
      <c r="I49" s="1160"/>
      <c r="J49" s="1160"/>
      <c r="K49" s="1677"/>
      <c r="L49" s="1677"/>
      <c r="M49" s="1681"/>
      <c r="N49" s="1162"/>
      <c r="O49" s="1162"/>
      <c r="P49" s="1162"/>
      <c r="Q49" s="1163"/>
      <c r="R49" s="1164"/>
      <c r="S49" s="1164"/>
      <c r="T49" s="1164"/>
      <c r="U49" s="1165"/>
      <c r="V49" s="1166"/>
      <c r="W49" s="1166"/>
      <c r="X49" s="630"/>
      <c r="AA49" s="1915"/>
      <c r="AB49" s="1915"/>
      <c r="AC49" s="1804"/>
      <c r="AD49" s="1804"/>
      <c r="AE49" s="1804"/>
      <c r="AF49" s="1804"/>
      <c r="AG49" s="1804"/>
      <c r="AH49" s="1804"/>
      <c r="AI49" s="1781" t="s">
        <v>0</v>
      </c>
      <c r="AJ49" s="1827">
        <v>2012</v>
      </c>
      <c r="AK49" s="1822" t="s">
        <v>21</v>
      </c>
      <c r="AL49" s="1822">
        <v>5</v>
      </c>
      <c r="AM49" s="1823">
        <v>196396052</v>
      </c>
      <c r="AN49" s="1824">
        <v>6.7000000000000004E-2</v>
      </c>
      <c r="AO49" s="1781"/>
      <c r="AP49" s="1781" t="s">
        <v>0</v>
      </c>
      <c r="AQ49" s="1781" t="s">
        <v>502</v>
      </c>
      <c r="AR49" s="1822" t="s">
        <v>26</v>
      </c>
      <c r="AS49" s="1822">
        <v>5</v>
      </c>
      <c r="AT49" s="1823">
        <v>307159190</v>
      </c>
      <c r="AU49" s="1825">
        <v>9.2999999999999999E-2</v>
      </c>
      <c r="AV49" s="1781">
        <v>2012</v>
      </c>
      <c r="AW49" s="1671"/>
      <c r="AX49" s="1671"/>
      <c r="AY49" s="1804"/>
      <c r="AZ49" s="1804"/>
      <c r="BA49" s="1804"/>
      <c r="BB49" s="1804"/>
      <c r="BC49" s="1804"/>
      <c r="BD49" s="1804"/>
      <c r="BE49" s="1804"/>
      <c r="BF49" s="1804"/>
      <c r="BG49" s="1804"/>
      <c r="BH49" s="1804"/>
      <c r="BI49" s="1804"/>
      <c r="BJ49" s="1804"/>
      <c r="BK49" s="1804"/>
      <c r="BL49" s="1804"/>
      <c r="BM49" s="1804"/>
      <c r="BN49" s="1804"/>
      <c r="BO49" s="1804"/>
      <c r="BP49" s="1804"/>
      <c r="BQ49" s="1804"/>
      <c r="BR49" s="1804"/>
      <c r="BS49" s="1804"/>
      <c r="BT49" s="1804"/>
      <c r="BU49" s="1804"/>
      <c r="BV49" s="1804"/>
      <c r="BW49" s="1804"/>
      <c r="BX49" s="1804"/>
      <c r="BY49" s="1804"/>
      <c r="BZ49" s="1804"/>
      <c r="CA49" s="1804"/>
      <c r="CB49" s="1804"/>
      <c r="CC49" s="1804"/>
      <c r="CD49" s="1804"/>
      <c r="CE49" s="1804"/>
      <c r="CF49" s="1804"/>
      <c r="CG49" s="1804"/>
      <c r="CH49" s="1804"/>
      <c r="CI49" s="1804"/>
      <c r="CJ49" s="1804"/>
      <c r="CK49" s="1804"/>
      <c r="CL49" s="1804"/>
      <c r="CM49" s="1804"/>
      <c r="CN49" s="1804"/>
      <c r="CO49" s="1804"/>
      <c r="CP49" s="1804"/>
      <c r="CQ49" s="1804"/>
      <c r="CR49" s="1804"/>
      <c r="CS49" s="1804"/>
      <c r="CT49" s="1804"/>
      <c r="CU49" s="1804"/>
      <c r="CV49" s="1804"/>
      <c r="CW49" s="1804"/>
      <c r="CX49" s="1804"/>
      <c r="CY49" s="1804"/>
      <c r="CZ49" s="1804"/>
      <c r="DA49" s="1804"/>
      <c r="DB49" s="1804"/>
      <c r="DC49" s="1804"/>
      <c r="DD49" s="1804"/>
      <c r="DE49" s="1804"/>
      <c r="DF49" s="1804"/>
      <c r="DG49" s="1804"/>
      <c r="DH49" s="1804"/>
      <c r="DI49" s="1804"/>
      <c r="DJ49" s="1804"/>
      <c r="DK49" s="1804"/>
      <c r="DL49" s="1804"/>
      <c r="DM49" s="1804"/>
      <c r="DN49" s="1804"/>
      <c r="DO49" s="1804"/>
      <c r="DP49" s="1804"/>
      <c r="DQ49" s="1671"/>
      <c r="DR49" s="1671"/>
      <c r="DS49" s="1671"/>
      <c r="DT49" s="1671"/>
      <c r="DU49" s="1671"/>
      <c r="DV49" s="1671"/>
      <c r="DW49" s="1671"/>
      <c r="DX49" s="1671"/>
      <c r="DY49" s="1671"/>
      <c r="DZ49" s="1671"/>
      <c r="EA49" s="1740"/>
      <c r="EB49" s="1740"/>
      <c r="EC49" s="1740"/>
      <c r="ED49" s="1740"/>
      <c r="EE49" s="1740"/>
      <c r="EF49" s="1740"/>
      <c r="EG49" s="1740"/>
      <c r="EH49" s="1740"/>
      <c r="EI49" s="1740"/>
      <c r="EJ49" s="1740"/>
      <c r="EK49" s="1740"/>
      <c r="EL49" s="1740"/>
      <c r="EM49" s="1740"/>
      <c r="EN49" s="1740"/>
      <c r="EO49" s="1740"/>
      <c r="EP49" s="1740"/>
      <c r="EQ49" s="1740"/>
      <c r="ER49" s="1740"/>
      <c r="ES49" s="1740"/>
      <c r="ET49" s="1740"/>
      <c r="EU49" s="1740"/>
      <c r="EV49" s="1740"/>
      <c r="EW49" s="1740"/>
      <c r="EX49" s="1740"/>
      <c r="EY49" s="1740"/>
      <c r="EZ49" s="1740"/>
      <c r="FA49" s="1740"/>
      <c r="FB49" s="1740"/>
      <c r="FC49" s="1740"/>
      <c r="FD49" s="1740"/>
      <c r="FE49" s="1740"/>
      <c r="FF49" s="1740"/>
      <c r="FG49" s="1740"/>
      <c r="FH49" s="1740"/>
      <c r="FI49" s="1740"/>
      <c r="FJ49" s="1740"/>
      <c r="FK49" s="1740"/>
      <c r="FL49" s="1740"/>
      <c r="FM49" s="1740"/>
      <c r="FN49" s="1740"/>
      <c r="FO49" s="1740"/>
      <c r="FP49" s="1740"/>
      <c r="FQ49" s="1740"/>
      <c r="FR49" s="1740"/>
      <c r="FS49" s="1740"/>
      <c r="FT49" s="1740"/>
      <c r="FU49" s="1740"/>
      <c r="FV49" s="1740"/>
      <c r="FW49" s="1740"/>
      <c r="FX49" s="1740"/>
      <c r="FY49" s="1740"/>
      <c r="FZ49" s="1740"/>
      <c r="GA49" s="1740"/>
      <c r="GB49" s="1740"/>
      <c r="GC49" s="1740"/>
      <c r="GD49" s="1740"/>
      <c r="GE49" s="1740"/>
      <c r="GF49" s="1740"/>
    </row>
    <row r="50" spans="1:188" s="20" customFormat="1">
      <c r="A50" s="333">
        <f t="shared" si="0"/>
        <v>1974</v>
      </c>
      <c r="B50" s="333">
        <f t="shared" si="1"/>
        <v>2</v>
      </c>
      <c r="C50" s="1174">
        <v>27183</v>
      </c>
      <c r="D50" s="1167"/>
      <c r="E50" s="1168">
        <v>153.78749999999999</v>
      </c>
      <c r="F50" s="1168">
        <v>103.35181286249998</v>
      </c>
      <c r="G50" s="1168"/>
      <c r="H50" s="1167"/>
      <c r="I50" s="1168"/>
      <c r="J50" s="1168"/>
      <c r="K50" s="1678"/>
      <c r="L50" s="1678"/>
      <c r="M50" s="1682"/>
      <c r="N50" s="1169"/>
      <c r="O50" s="1169"/>
      <c r="P50" s="1169"/>
      <c r="Q50" s="1167"/>
      <c r="R50" s="1167"/>
      <c r="S50" s="1167"/>
      <c r="T50" s="1167"/>
      <c r="U50" s="1167"/>
      <c r="V50" s="1167"/>
      <c r="W50" s="1167"/>
      <c r="X50" s="630"/>
      <c r="AA50" s="1915"/>
      <c r="AB50" s="1915"/>
      <c r="AC50" s="1804"/>
      <c r="AD50" s="1804"/>
      <c r="AE50" s="1804"/>
      <c r="AF50" s="1804"/>
      <c r="AG50" s="1804"/>
      <c r="AH50" s="1804"/>
      <c r="AI50" s="1781" t="s">
        <v>0</v>
      </c>
      <c r="AJ50" s="1827">
        <v>2012</v>
      </c>
      <c r="AK50" s="1822" t="s">
        <v>17</v>
      </c>
      <c r="AL50" s="1822">
        <v>6</v>
      </c>
      <c r="AM50" s="1823">
        <v>173942235</v>
      </c>
      <c r="AN50" s="1824">
        <v>5.8999999999999997E-2</v>
      </c>
      <c r="AO50" s="1781"/>
      <c r="AP50" s="1781" t="s">
        <v>0</v>
      </c>
      <c r="AQ50" s="1781" t="s">
        <v>502</v>
      </c>
      <c r="AR50" s="1822" t="s">
        <v>17</v>
      </c>
      <c r="AS50" s="1822">
        <v>6</v>
      </c>
      <c r="AT50" s="1823">
        <v>253345599</v>
      </c>
      <c r="AU50" s="1825">
        <v>7.6999999999999999E-2</v>
      </c>
      <c r="AV50" s="1781">
        <v>2012</v>
      </c>
      <c r="AW50" s="1671"/>
      <c r="AX50" s="1925">
        <f>'Alumina - Prices'!A49</f>
        <v>43800</v>
      </c>
      <c r="AY50" s="1804"/>
      <c r="AZ50" s="1804"/>
      <c r="BA50" s="1804"/>
      <c r="BB50" s="1804"/>
      <c r="BC50" s="1804"/>
      <c r="BD50" s="1804"/>
      <c r="BE50" s="1804"/>
      <c r="BF50" s="1804"/>
      <c r="BG50" s="1804"/>
      <c r="BH50" s="1804"/>
      <c r="BI50" s="1804"/>
      <c r="BJ50" s="1804"/>
      <c r="BK50" s="1804"/>
      <c r="BL50" s="1804"/>
      <c r="BM50" s="1804"/>
      <c r="BN50" s="1804"/>
      <c r="BO50" s="1804"/>
      <c r="BP50" s="1804"/>
      <c r="BQ50" s="1804"/>
      <c r="BR50" s="1804"/>
      <c r="BS50" s="1804"/>
      <c r="BT50" s="1804"/>
      <c r="BU50" s="1804"/>
      <c r="BV50" s="1804"/>
      <c r="BW50" s="1804"/>
      <c r="BX50" s="1804"/>
      <c r="BY50" s="1804"/>
      <c r="BZ50" s="1804"/>
      <c r="CA50" s="1804"/>
      <c r="CB50" s="1804"/>
      <c r="CC50" s="1804"/>
      <c r="CD50" s="1804"/>
      <c r="CE50" s="1804"/>
      <c r="CF50" s="1804"/>
      <c r="CG50" s="1804"/>
      <c r="CH50" s="1804"/>
      <c r="CI50" s="1804"/>
      <c r="CJ50" s="1804"/>
      <c r="CK50" s="1804"/>
      <c r="CL50" s="1804"/>
      <c r="CM50" s="1804"/>
      <c r="CN50" s="1804"/>
      <c r="CO50" s="1804"/>
      <c r="CP50" s="1804"/>
      <c r="CQ50" s="1804"/>
      <c r="CR50" s="1804"/>
      <c r="CS50" s="1804"/>
      <c r="CT50" s="1804"/>
      <c r="CU50" s="1804"/>
      <c r="CV50" s="1804"/>
      <c r="CW50" s="1804"/>
      <c r="CX50" s="1804"/>
      <c r="CY50" s="1804"/>
      <c r="CZ50" s="1804"/>
      <c r="DA50" s="1804"/>
      <c r="DB50" s="1804"/>
      <c r="DC50" s="1804"/>
      <c r="DD50" s="1804"/>
      <c r="DE50" s="1804"/>
      <c r="DF50" s="1804"/>
      <c r="DG50" s="1804"/>
      <c r="DH50" s="1804"/>
      <c r="DI50" s="1804"/>
      <c r="DJ50" s="1804"/>
      <c r="DK50" s="1804"/>
      <c r="DL50" s="1804"/>
      <c r="DM50" s="1804"/>
      <c r="DN50" s="1804"/>
      <c r="DO50" s="1804"/>
      <c r="DP50" s="1804"/>
      <c r="DQ50" s="1671"/>
      <c r="DR50" s="1671"/>
      <c r="DS50" s="1671"/>
      <c r="DT50" s="1671"/>
      <c r="DU50" s="1671"/>
      <c r="DV50" s="1671"/>
      <c r="DW50" s="1671"/>
      <c r="DX50" s="1671"/>
      <c r="DY50" s="1671"/>
      <c r="DZ50" s="1671"/>
      <c r="EA50" s="1740"/>
      <c r="EB50" s="1740"/>
      <c r="EC50" s="1740"/>
      <c r="ED50" s="1740"/>
      <c r="EE50" s="1740"/>
      <c r="EF50" s="1740"/>
      <c r="EG50" s="1740"/>
      <c r="EH50" s="1740"/>
      <c r="EI50" s="1740"/>
      <c r="EJ50" s="1740"/>
      <c r="EK50" s="1740"/>
      <c r="EL50" s="1740"/>
      <c r="EM50" s="1740"/>
      <c r="EN50" s="1740"/>
      <c r="EO50" s="1740"/>
      <c r="EP50" s="1740"/>
      <c r="EQ50" s="1740"/>
      <c r="ER50" s="1740"/>
      <c r="ES50" s="1740"/>
      <c r="ET50" s="1740"/>
      <c r="EU50" s="1740"/>
      <c r="EV50" s="1740"/>
      <c r="EW50" s="1740"/>
      <c r="EX50" s="1740"/>
      <c r="EY50" s="1740"/>
      <c r="EZ50" s="1740"/>
      <c r="FA50" s="1740"/>
      <c r="FB50" s="1740"/>
      <c r="FC50" s="1740"/>
      <c r="FD50" s="1740"/>
      <c r="FE50" s="1740"/>
      <c r="FF50" s="1740"/>
      <c r="FG50" s="1740"/>
      <c r="FH50" s="1740"/>
      <c r="FI50" s="1740"/>
      <c r="FJ50" s="1740"/>
      <c r="FK50" s="1740"/>
      <c r="FL50" s="1740"/>
      <c r="FM50" s="1740"/>
      <c r="FN50" s="1740"/>
      <c r="FO50" s="1740"/>
      <c r="FP50" s="1740"/>
      <c r="FQ50" s="1740"/>
      <c r="FR50" s="1740"/>
      <c r="FS50" s="1740"/>
      <c r="FT50" s="1740"/>
      <c r="FU50" s="1740"/>
      <c r="FV50" s="1740"/>
      <c r="FW50" s="1740"/>
      <c r="FX50" s="1740"/>
      <c r="FY50" s="1740"/>
      <c r="FZ50" s="1740"/>
      <c r="GA50" s="1740"/>
      <c r="GB50" s="1740"/>
      <c r="GC50" s="1740"/>
      <c r="GD50" s="1740"/>
      <c r="GE50" s="1740"/>
      <c r="GF50" s="1740"/>
    </row>
    <row r="51" spans="1:188" s="20" customFormat="1">
      <c r="A51" s="333">
        <f t="shared" si="0"/>
        <v>1974</v>
      </c>
      <c r="B51" s="333">
        <f t="shared" si="1"/>
        <v>3</v>
      </c>
      <c r="C51" s="1174">
        <v>27211</v>
      </c>
      <c r="D51" s="1158"/>
      <c r="E51" s="1159">
        <v>143.9863636364</v>
      </c>
      <c r="F51" s="1159">
        <v>96.765027777297163</v>
      </c>
      <c r="G51" s="1160"/>
      <c r="H51" s="1161"/>
      <c r="I51" s="1160"/>
      <c r="J51" s="1160"/>
      <c r="K51" s="1677"/>
      <c r="L51" s="1677"/>
      <c r="M51" s="1681"/>
      <c r="N51" s="1162"/>
      <c r="O51" s="1162"/>
      <c r="P51" s="1162"/>
      <c r="Q51" s="1163"/>
      <c r="R51" s="1164"/>
      <c r="S51" s="1164"/>
      <c r="T51" s="1164"/>
      <c r="U51" s="1165"/>
      <c r="V51" s="1166"/>
      <c r="W51" s="1166"/>
      <c r="X51" s="630"/>
      <c r="AA51" s="1915"/>
      <c r="AB51" s="1915"/>
      <c r="AC51" s="1804"/>
      <c r="AD51" s="1804"/>
      <c r="AE51" s="1804"/>
      <c r="AF51" s="1804"/>
      <c r="AG51" s="1804"/>
      <c r="AH51" s="1804"/>
      <c r="AI51" s="1781" t="s">
        <v>0</v>
      </c>
      <c r="AJ51" s="1827">
        <v>2012</v>
      </c>
      <c r="AK51" s="1822" t="s">
        <v>758</v>
      </c>
      <c r="AL51" s="1822">
        <v>7</v>
      </c>
      <c r="AM51" s="1823">
        <v>154103253</v>
      </c>
      <c r="AN51" s="1824">
        <v>5.2999999999999999E-2</v>
      </c>
      <c r="AO51" s="1781"/>
      <c r="AP51" s="1781" t="s">
        <v>0</v>
      </c>
      <c r="AQ51" s="1781" t="s">
        <v>502</v>
      </c>
      <c r="AR51" s="1822" t="s">
        <v>758</v>
      </c>
      <c r="AS51" s="1822">
        <v>7</v>
      </c>
      <c r="AT51" s="1823">
        <v>171570000</v>
      </c>
      <c r="AU51" s="1825">
        <v>5.1999999999999998E-2</v>
      </c>
      <c r="AV51" s="1781">
        <v>2012</v>
      </c>
      <c r="AW51" s="1671"/>
      <c r="AX51" s="1671"/>
      <c r="AY51" s="1804"/>
      <c r="AZ51" s="1804"/>
      <c r="BA51" s="1804"/>
      <c r="BB51" s="1804"/>
      <c r="BC51" s="1804"/>
      <c r="BD51" s="1804"/>
      <c r="BE51" s="1804"/>
      <c r="BF51" s="1804"/>
      <c r="BG51" s="1804"/>
      <c r="BH51" s="1804"/>
      <c r="BI51" s="1804"/>
      <c r="BJ51" s="1804"/>
      <c r="BK51" s="1804"/>
      <c r="BL51" s="1804"/>
      <c r="BM51" s="1804"/>
      <c r="BN51" s="1804"/>
      <c r="BO51" s="1804"/>
      <c r="BP51" s="1804"/>
      <c r="BQ51" s="1804"/>
      <c r="BR51" s="1804"/>
      <c r="BS51" s="1804"/>
      <c r="BT51" s="1804"/>
      <c r="BU51" s="1804"/>
      <c r="BV51" s="1804"/>
      <c r="BW51" s="1804"/>
      <c r="BX51" s="1804"/>
      <c r="BY51" s="1804"/>
      <c r="BZ51" s="1804"/>
      <c r="CA51" s="1804"/>
      <c r="CB51" s="1804"/>
      <c r="CC51" s="1804"/>
      <c r="CD51" s="1804"/>
      <c r="CE51" s="1804"/>
      <c r="CF51" s="1804"/>
      <c r="CG51" s="1804"/>
      <c r="CH51" s="1804"/>
      <c r="CI51" s="1804"/>
      <c r="CJ51" s="1804"/>
      <c r="CK51" s="1804"/>
      <c r="CL51" s="1804"/>
      <c r="CM51" s="1804"/>
      <c r="CN51" s="1804"/>
      <c r="CO51" s="1804"/>
      <c r="CP51" s="1804"/>
      <c r="CQ51" s="1804"/>
      <c r="CR51" s="1804"/>
      <c r="CS51" s="1804"/>
      <c r="CT51" s="1804"/>
      <c r="CU51" s="1804"/>
      <c r="CV51" s="1804"/>
      <c r="CW51" s="1804"/>
      <c r="CX51" s="1804"/>
      <c r="CY51" s="1804"/>
      <c r="CZ51" s="1804"/>
      <c r="DA51" s="1804"/>
      <c r="DB51" s="1804"/>
      <c r="DC51" s="1804"/>
      <c r="DD51" s="1804"/>
      <c r="DE51" s="1804"/>
      <c r="DF51" s="1804"/>
      <c r="DG51" s="1804"/>
      <c r="DH51" s="1804"/>
      <c r="DI51" s="1804"/>
      <c r="DJ51" s="1804"/>
      <c r="DK51" s="1804"/>
      <c r="DL51" s="1804"/>
      <c r="DM51" s="1804"/>
      <c r="DN51" s="1804"/>
      <c r="DO51" s="1804"/>
      <c r="DP51" s="1804"/>
      <c r="DQ51" s="1671"/>
      <c r="DR51" s="1671"/>
      <c r="DS51" s="1671"/>
      <c r="DT51" s="1671"/>
      <c r="DU51" s="1671"/>
      <c r="DV51" s="1671"/>
      <c r="DW51" s="1671"/>
      <c r="DX51" s="1671"/>
      <c r="DY51" s="1671"/>
      <c r="DZ51" s="1671"/>
      <c r="EA51" s="1740"/>
      <c r="EB51" s="1740"/>
      <c r="EC51" s="1740"/>
      <c r="ED51" s="1740"/>
      <c r="EE51" s="1740"/>
      <c r="EF51" s="1740"/>
      <c r="EG51" s="1740"/>
      <c r="EH51" s="1740"/>
      <c r="EI51" s="1740"/>
      <c r="EJ51" s="1740"/>
      <c r="EK51" s="1740"/>
      <c r="EL51" s="1740"/>
      <c r="EM51" s="1740"/>
      <c r="EN51" s="1740"/>
      <c r="EO51" s="1740"/>
      <c r="EP51" s="1740"/>
      <c r="EQ51" s="1740"/>
      <c r="ER51" s="1740"/>
      <c r="ES51" s="1740"/>
      <c r="ET51" s="1740"/>
      <c r="EU51" s="1740"/>
      <c r="EV51" s="1740"/>
      <c r="EW51" s="1740"/>
      <c r="EX51" s="1740"/>
      <c r="EY51" s="1740"/>
      <c r="EZ51" s="1740"/>
      <c r="FA51" s="1740"/>
      <c r="FB51" s="1740"/>
      <c r="FC51" s="1740"/>
      <c r="FD51" s="1740"/>
      <c r="FE51" s="1740"/>
      <c r="FF51" s="1740"/>
      <c r="FG51" s="1740"/>
      <c r="FH51" s="1740"/>
      <c r="FI51" s="1740"/>
      <c r="FJ51" s="1740"/>
      <c r="FK51" s="1740"/>
      <c r="FL51" s="1740"/>
      <c r="FM51" s="1740"/>
      <c r="FN51" s="1740"/>
      <c r="FO51" s="1740"/>
      <c r="FP51" s="1740"/>
      <c r="FQ51" s="1740"/>
      <c r="FR51" s="1740"/>
      <c r="FS51" s="1740"/>
      <c r="FT51" s="1740"/>
      <c r="FU51" s="1740"/>
      <c r="FV51" s="1740"/>
      <c r="FW51" s="1740"/>
      <c r="FX51" s="1740"/>
      <c r="FY51" s="1740"/>
      <c r="FZ51" s="1740"/>
      <c r="GA51" s="1740"/>
      <c r="GB51" s="1740"/>
      <c r="GC51" s="1740"/>
      <c r="GD51" s="1740"/>
      <c r="GE51" s="1740"/>
      <c r="GF51" s="1740"/>
    </row>
    <row r="52" spans="1:188" s="20" customFormat="1">
      <c r="A52" s="333">
        <f t="shared" si="0"/>
        <v>1974</v>
      </c>
      <c r="B52" s="333">
        <f t="shared" si="1"/>
        <v>3</v>
      </c>
      <c r="C52" s="1174">
        <v>27242</v>
      </c>
      <c r="D52" s="1167"/>
      <c r="E52" s="1168">
        <v>154.48500000000001</v>
      </c>
      <c r="F52" s="1168">
        <v>103.82056285500001</v>
      </c>
      <c r="G52" s="1168"/>
      <c r="H52" s="1167"/>
      <c r="I52" s="1168"/>
      <c r="J52" s="1168"/>
      <c r="K52" s="1678"/>
      <c r="L52" s="1678"/>
      <c r="M52" s="1682"/>
      <c r="N52" s="1169"/>
      <c r="O52" s="1169"/>
      <c r="P52" s="1169"/>
      <c r="Q52" s="1167"/>
      <c r="R52" s="1167"/>
      <c r="S52" s="1167"/>
      <c r="T52" s="1167"/>
      <c r="U52" s="1167"/>
      <c r="V52" s="1167"/>
      <c r="W52" s="1167"/>
      <c r="X52" s="630"/>
      <c r="AA52" s="1915"/>
      <c r="AB52" s="1915"/>
      <c r="AC52" s="1804"/>
      <c r="AD52" s="1804"/>
      <c r="AE52" s="1804"/>
      <c r="AF52" s="1804"/>
      <c r="AG52" s="1804"/>
      <c r="AH52" s="1804"/>
      <c r="AI52" s="1781" t="s">
        <v>0</v>
      </c>
      <c r="AJ52" s="1827">
        <v>2012</v>
      </c>
      <c r="AK52" s="1822" t="s">
        <v>16</v>
      </c>
      <c r="AL52" s="1822">
        <v>8</v>
      </c>
      <c r="AM52" s="1823">
        <v>117247314</v>
      </c>
      <c r="AN52" s="1824">
        <v>0.04</v>
      </c>
      <c r="AO52" s="1781"/>
      <c r="AP52" s="1781" t="s">
        <v>0</v>
      </c>
      <c r="AQ52" s="1781" t="s">
        <v>502</v>
      </c>
      <c r="AR52" s="1822" t="s">
        <v>29</v>
      </c>
      <c r="AS52" s="1822">
        <v>8</v>
      </c>
      <c r="AT52" s="1823">
        <v>136874866</v>
      </c>
      <c r="AU52" s="1825">
        <v>4.1000000000000002E-2</v>
      </c>
      <c r="AV52" s="1781">
        <v>2012</v>
      </c>
      <c r="AW52" s="1671"/>
      <c r="AX52" s="1671"/>
      <c r="AY52" s="1804"/>
      <c r="AZ52" s="1804"/>
      <c r="BA52" s="1804"/>
      <c r="BB52" s="1804"/>
      <c r="BC52" s="1804"/>
      <c r="BD52" s="1804"/>
      <c r="BE52" s="1804"/>
      <c r="BF52" s="1804"/>
      <c r="BG52" s="1804"/>
      <c r="BH52" s="1804"/>
      <c r="BI52" s="1804"/>
      <c r="BJ52" s="1804"/>
      <c r="BK52" s="1804"/>
      <c r="BL52" s="1804"/>
      <c r="BM52" s="1804"/>
      <c r="BN52" s="1804"/>
      <c r="BO52" s="1804"/>
      <c r="BP52" s="1804"/>
      <c r="BQ52" s="1804"/>
      <c r="BR52" s="1804"/>
      <c r="BS52" s="1804"/>
      <c r="BT52" s="1804"/>
      <c r="BU52" s="1804"/>
      <c r="BV52" s="1804"/>
      <c r="BW52" s="1804"/>
      <c r="BX52" s="1804"/>
      <c r="BY52" s="1804"/>
      <c r="BZ52" s="1804"/>
      <c r="CA52" s="1804"/>
      <c r="CB52" s="1804"/>
      <c r="CC52" s="1804"/>
      <c r="CD52" s="1804"/>
      <c r="CE52" s="1804"/>
      <c r="CF52" s="1804"/>
      <c r="CG52" s="1804"/>
      <c r="CH52" s="1804"/>
      <c r="CI52" s="1804"/>
      <c r="CJ52" s="1804"/>
      <c r="CK52" s="1804"/>
      <c r="CL52" s="1804"/>
      <c r="CM52" s="1804"/>
      <c r="CN52" s="1804"/>
      <c r="CO52" s="1804"/>
      <c r="CP52" s="1804"/>
      <c r="CQ52" s="1804"/>
      <c r="CR52" s="1804"/>
      <c r="CS52" s="1804"/>
      <c r="CT52" s="1804"/>
      <c r="CU52" s="1804"/>
      <c r="CV52" s="1804"/>
      <c r="CW52" s="1804"/>
      <c r="CX52" s="1804"/>
      <c r="CY52" s="1804"/>
      <c r="CZ52" s="1804"/>
      <c r="DA52" s="1804"/>
      <c r="DB52" s="1804"/>
      <c r="DC52" s="1804"/>
      <c r="DD52" s="1804"/>
      <c r="DE52" s="1804"/>
      <c r="DF52" s="1804"/>
      <c r="DG52" s="1804"/>
      <c r="DH52" s="1804"/>
      <c r="DI52" s="1804"/>
      <c r="DJ52" s="1804"/>
      <c r="DK52" s="1804"/>
      <c r="DL52" s="1804"/>
      <c r="DM52" s="1804"/>
      <c r="DN52" s="1804"/>
      <c r="DO52" s="1804"/>
      <c r="DP52" s="1804"/>
      <c r="DQ52" s="1671"/>
      <c r="DR52" s="1671"/>
      <c r="DS52" s="1671"/>
      <c r="DT52" s="1671"/>
      <c r="DU52" s="1671"/>
      <c r="DV52" s="1671"/>
      <c r="DW52" s="1671"/>
      <c r="DX52" s="1671"/>
      <c r="DY52" s="1671"/>
      <c r="DZ52" s="1671"/>
      <c r="EA52" s="1740"/>
      <c r="EB52" s="1740"/>
      <c r="EC52" s="1740"/>
      <c r="ED52" s="1740"/>
      <c r="EE52" s="1740"/>
      <c r="EF52" s="1740"/>
      <c r="EG52" s="1740"/>
      <c r="EH52" s="1740"/>
      <c r="EI52" s="1740"/>
      <c r="EJ52" s="1740"/>
      <c r="EK52" s="1740"/>
      <c r="EL52" s="1740"/>
      <c r="EM52" s="1740"/>
      <c r="EN52" s="1740"/>
      <c r="EO52" s="1740"/>
      <c r="EP52" s="1740"/>
      <c r="EQ52" s="1740"/>
      <c r="ER52" s="1740"/>
      <c r="ES52" s="1740"/>
      <c r="ET52" s="1740"/>
      <c r="EU52" s="1740"/>
      <c r="EV52" s="1740"/>
      <c r="EW52" s="1740"/>
      <c r="EX52" s="1740"/>
      <c r="EY52" s="1740"/>
      <c r="EZ52" s="1740"/>
      <c r="FA52" s="1740"/>
      <c r="FB52" s="1740"/>
      <c r="FC52" s="1740"/>
      <c r="FD52" s="1740"/>
      <c r="FE52" s="1740"/>
      <c r="FF52" s="1740"/>
      <c r="FG52" s="1740"/>
      <c r="FH52" s="1740"/>
      <c r="FI52" s="1740"/>
      <c r="FJ52" s="1740"/>
      <c r="FK52" s="1740"/>
      <c r="FL52" s="1740"/>
      <c r="FM52" s="1740"/>
      <c r="FN52" s="1740"/>
      <c r="FO52" s="1740"/>
      <c r="FP52" s="1740"/>
      <c r="FQ52" s="1740"/>
      <c r="FR52" s="1740"/>
      <c r="FS52" s="1740"/>
      <c r="FT52" s="1740"/>
      <c r="FU52" s="1740"/>
      <c r="FV52" s="1740"/>
      <c r="FW52" s="1740"/>
      <c r="FX52" s="1740"/>
      <c r="FY52" s="1740"/>
      <c r="FZ52" s="1740"/>
      <c r="GA52" s="1740"/>
      <c r="GB52" s="1740"/>
      <c r="GC52" s="1740"/>
      <c r="GD52" s="1740"/>
      <c r="GE52" s="1740"/>
      <c r="GF52" s="1740"/>
    </row>
    <row r="53" spans="1:188" s="20" customFormat="1">
      <c r="A53" s="333">
        <f t="shared" si="0"/>
        <v>1974</v>
      </c>
      <c r="B53" s="333">
        <f t="shared" si="1"/>
        <v>3</v>
      </c>
      <c r="C53" s="1174">
        <v>27274</v>
      </c>
      <c r="D53" s="1158"/>
      <c r="E53" s="1159">
        <v>151.41999999999999</v>
      </c>
      <c r="F53" s="1159">
        <v>115.58781977999999</v>
      </c>
      <c r="G53" s="1160"/>
      <c r="H53" s="1161"/>
      <c r="I53" s="1160"/>
      <c r="J53" s="1160"/>
      <c r="K53" s="1677"/>
      <c r="L53" s="1677"/>
      <c r="M53" s="1681"/>
      <c r="N53" s="1162"/>
      <c r="O53" s="1162"/>
      <c r="P53" s="1162"/>
      <c r="Q53" s="1163"/>
      <c r="R53" s="1164"/>
      <c r="S53" s="1164"/>
      <c r="T53" s="1164"/>
      <c r="U53" s="1165"/>
      <c r="V53" s="1166"/>
      <c r="W53" s="1166"/>
      <c r="X53" s="630"/>
      <c r="AA53" s="1915"/>
      <c r="AB53" s="1915"/>
      <c r="AC53" s="1804"/>
      <c r="AD53" s="1804"/>
      <c r="AE53" s="1804"/>
      <c r="AF53" s="1804"/>
      <c r="AG53" s="1804"/>
      <c r="AH53" s="1804"/>
      <c r="AI53" s="1781" t="s">
        <v>0</v>
      </c>
      <c r="AJ53" s="1827">
        <v>2012</v>
      </c>
      <c r="AK53" s="1822" t="s">
        <v>22</v>
      </c>
      <c r="AL53" s="1822">
        <v>9</v>
      </c>
      <c r="AM53" s="1823">
        <v>112474135</v>
      </c>
      <c r="AN53" s="1824">
        <v>3.7999999999999999E-2</v>
      </c>
      <c r="AO53" s="1781"/>
      <c r="AP53" s="1781" t="s">
        <v>0</v>
      </c>
      <c r="AQ53" s="1781" t="s">
        <v>502</v>
      </c>
      <c r="AR53" s="1822" t="s">
        <v>31</v>
      </c>
      <c r="AS53" s="1822">
        <v>9</v>
      </c>
      <c r="AT53" s="1823">
        <v>100217651</v>
      </c>
      <c r="AU53" s="1825">
        <v>0.03</v>
      </c>
      <c r="AV53" s="1781">
        <v>2012</v>
      </c>
      <c r="AW53" s="1671"/>
      <c r="AX53" s="1925">
        <f>'Alumina - Prices'!A52</f>
        <v>43891</v>
      </c>
      <c r="AY53" s="1804"/>
      <c r="AZ53" s="1804"/>
      <c r="BA53" s="1804"/>
      <c r="BB53" s="1804"/>
      <c r="BC53" s="1804"/>
      <c r="BD53" s="1804"/>
      <c r="BE53" s="1804"/>
      <c r="BF53" s="1804"/>
      <c r="BG53" s="1804"/>
      <c r="BH53" s="1804"/>
      <c r="BI53" s="1804"/>
      <c r="BJ53" s="1804"/>
      <c r="BK53" s="1804"/>
      <c r="BL53" s="1804"/>
      <c r="BM53" s="1804"/>
      <c r="BN53" s="1804"/>
      <c r="BO53" s="1804"/>
      <c r="BP53" s="1804"/>
      <c r="BQ53" s="1804"/>
      <c r="BR53" s="1804"/>
      <c r="BS53" s="1804"/>
      <c r="BT53" s="1804"/>
      <c r="BU53" s="1804"/>
      <c r="BV53" s="1804"/>
      <c r="BW53" s="1804"/>
      <c r="BX53" s="1804"/>
      <c r="BY53" s="1804"/>
      <c r="BZ53" s="1804"/>
      <c r="CA53" s="1804"/>
      <c r="CB53" s="1804"/>
      <c r="CC53" s="1804"/>
      <c r="CD53" s="1804"/>
      <c r="CE53" s="1804"/>
      <c r="CF53" s="1804"/>
      <c r="CG53" s="1804"/>
      <c r="CH53" s="1804"/>
      <c r="CI53" s="1804"/>
      <c r="CJ53" s="1804"/>
      <c r="CK53" s="1804"/>
      <c r="CL53" s="1804"/>
      <c r="CM53" s="1804"/>
      <c r="CN53" s="1804"/>
      <c r="CO53" s="1804"/>
      <c r="CP53" s="1804"/>
      <c r="CQ53" s="1804"/>
      <c r="CR53" s="1804"/>
      <c r="CS53" s="1804"/>
      <c r="CT53" s="1804"/>
      <c r="CU53" s="1804"/>
      <c r="CV53" s="1804"/>
      <c r="CW53" s="1804"/>
      <c r="CX53" s="1804"/>
      <c r="CY53" s="1804"/>
      <c r="CZ53" s="1804"/>
      <c r="DA53" s="1804"/>
      <c r="DB53" s="1804"/>
      <c r="DC53" s="1804"/>
      <c r="DD53" s="1804"/>
      <c r="DE53" s="1804"/>
      <c r="DF53" s="1804"/>
      <c r="DG53" s="1804"/>
      <c r="DH53" s="1804"/>
      <c r="DI53" s="1804"/>
      <c r="DJ53" s="1804"/>
      <c r="DK53" s="1804"/>
      <c r="DL53" s="1804"/>
      <c r="DM53" s="1804"/>
      <c r="DN53" s="1804"/>
      <c r="DO53" s="1804"/>
      <c r="DP53" s="1804"/>
      <c r="DQ53" s="1671"/>
      <c r="DR53" s="1671"/>
      <c r="DS53" s="1671"/>
      <c r="DT53" s="1671"/>
      <c r="DU53" s="1671"/>
      <c r="DV53" s="1671"/>
      <c r="DW53" s="1671"/>
      <c r="DX53" s="1671"/>
      <c r="DY53" s="1671"/>
      <c r="DZ53" s="1671"/>
      <c r="EA53" s="1740"/>
      <c r="EB53" s="1740"/>
      <c r="EC53" s="1740"/>
      <c r="ED53" s="1740"/>
      <c r="EE53" s="1740"/>
      <c r="EF53" s="1740"/>
      <c r="EG53" s="1740"/>
      <c r="EH53" s="1740"/>
      <c r="EI53" s="1740"/>
      <c r="EJ53" s="1740"/>
      <c r="EK53" s="1740"/>
      <c r="EL53" s="1740"/>
      <c r="EM53" s="1740"/>
      <c r="EN53" s="1740"/>
      <c r="EO53" s="1740"/>
      <c r="EP53" s="1740"/>
      <c r="EQ53" s="1740"/>
      <c r="ER53" s="1740"/>
      <c r="ES53" s="1740"/>
      <c r="ET53" s="1740"/>
      <c r="EU53" s="1740"/>
      <c r="EV53" s="1740"/>
      <c r="EW53" s="1740"/>
      <c r="EX53" s="1740"/>
      <c r="EY53" s="1740"/>
      <c r="EZ53" s="1740"/>
      <c r="FA53" s="1740"/>
      <c r="FB53" s="1740"/>
      <c r="FC53" s="1740"/>
      <c r="FD53" s="1740"/>
      <c r="FE53" s="1740"/>
      <c r="FF53" s="1740"/>
      <c r="FG53" s="1740"/>
      <c r="FH53" s="1740"/>
      <c r="FI53" s="1740"/>
      <c r="FJ53" s="1740"/>
      <c r="FK53" s="1740"/>
      <c r="FL53" s="1740"/>
      <c r="FM53" s="1740"/>
      <c r="FN53" s="1740"/>
      <c r="FO53" s="1740"/>
      <c r="FP53" s="1740"/>
      <c r="FQ53" s="1740"/>
      <c r="FR53" s="1740"/>
      <c r="FS53" s="1740"/>
      <c r="FT53" s="1740"/>
      <c r="FU53" s="1740"/>
      <c r="FV53" s="1740"/>
      <c r="FW53" s="1740"/>
      <c r="FX53" s="1740"/>
      <c r="FY53" s="1740"/>
      <c r="FZ53" s="1740"/>
      <c r="GA53" s="1740"/>
      <c r="GB53" s="1740"/>
      <c r="GC53" s="1740"/>
      <c r="GD53" s="1740"/>
      <c r="GE53" s="1740"/>
      <c r="GF53" s="1740"/>
    </row>
    <row r="54" spans="1:188" s="20" customFormat="1">
      <c r="A54" s="333">
        <f t="shared" si="0"/>
        <v>1974</v>
      </c>
      <c r="B54" s="333">
        <f t="shared" si="1"/>
        <v>4</v>
      </c>
      <c r="C54" s="1174">
        <v>27303</v>
      </c>
      <c r="D54" s="1167"/>
      <c r="E54" s="1168">
        <v>158.98478260869999</v>
      </c>
      <c r="F54" s="1168">
        <v>121.36246466739462</v>
      </c>
      <c r="G54" s="1168"/>
      <c r="H54" s="1167"/>
      <c r="I54" s="1168"/>
      <c r="J54" s="1168"/>
      <c r="K54" s="1678"/>
      <c r="L54" s="1678"/>
      <c r="M54" s="1682"/>
      <c r="N54" s="1169"/>
      <c r="O54" s="1169"/>
      <c r="P54" s="1169"/>
      <c r="Q54" s="1167"/>
      <c r="R54" s="1167"/>
      <c r="S54" s="1167"/>
      <c r="T54" s="1167"/>
      <c r="U54" s="1167"/>
      <c r="V54" s="1167"/>
      <c r="W54" s="1167"/>
      <c r="X54" s="630"/>
      <c r="AA54" s="1915"/>
      <c r="AB54" s="1915"/>
      <c r="AC54" s="1804"/>
      <c r="AD54" s="1804"/>
      <c r="AE54" s="1804"/>
      <c r="AF54" s="1804"/>
      <c r="AG54" s="1804"/>
      <c r="AH54" s="1804"/>
      <c r="AI54" s="1781" t="s">
        <v>0</v>
      </c>
      <c r="AJ54" s="1827">
        <v>2012</v>
      </c>
      <c r="AK54" s="1822" t="s">
        <v>29</v>
      </c>
      <c r="AL54" s="1822">
        <v>10</v>
      </c>
      <c r="AM54" s="1823">
        <v>103592536</v>
      </c>
      <c r="AN54" s="1824">
        <v>3.5000000000000003E-2</v>
      </c>
      <c r="AO54" s="1781"/>
      <c r="AP54" s="1781" t="s">
        <v>0</v>
      </c>
      <c r="AQ54" s="1781" t="s">
        <v>502</v>
      </c>
      <c r="AR54" s="1822" t="s">
        <v>22</v>
      </c>
      <c r="AS54" s="1822">
        <v>10</v>
      </c>
      <c r="AT54" s="1823">
        <v>98946031</v>
      </c>
      <c r="AU54" s="1825">
        <v>0.03</v>
      </c>
      <c r="AV54" s="1781">
        <v>2012</v>
      </c>
      <c r="AW54" s="1671"/>
      <c r="AX54" s="1671"/>
      <c r="AY54" s="1804"/>
      <c r="AZ54" s="1804"/>
      <c r="BA54" s="1804"/>
      <c r="BB54" s="1804"/>
      <c r="BC54" s="1804"/>
      <c r="BD54" s="1804"/>
      <c r="BE54" s="1804"/>
      <c r="BF54" s="1804"/>
      <c r="BG54" s="1804"/>
      <c r="BH54" s="1804"/>
      <c r="BI54" s="1804"/>
      <c r="BJ54" s="1804"/>
      <c r="BK54" s="1804"/>
      <c r="BL54" s="1804"/>
      <c r="BM54" s="1804"/>
      <c r="BN54" s="1804"/>
      <c r="BO54" s="1804"/>
      <c r="BP54" s="1804"/>
      <c r="BQ54" s="1804"/>
      <c r="BR54" s="1804"/>
      <c r="BS54" s="1804"/>
      <c r="BT54" s="1804"/>
      <c r="BU54" s="1804"/>
      <c r="BV54" s="1804"/>
      <c r="BW54" s="1804"/>
      <c r="BX54" s="1804"/>
      <c r="BY54" s="1804"/>
      <c r="BZ54" s="1804"/>
      <c r="CA54" s="1804"/>
      <c r="CB54" s="1804"/>
      <c r="CC54" s="1804"/>
      <c r="CD54" s="1804"/>
      <c r="CE54" s="1804"/>
      <c r="CF54" s="1804"/>
      <c r="CG54" s="1804"/>
      <c r="CH54" s="1804"/>
      <c r="CI54" s="1804"/>
      <c r="CJ54" s="1804"/>
      <c r="CK54" s="1804"/>
      <c r="CL54" s="1804"/>
      <c r="CM54" s="1804"/>
      <c r="CN54" s="1804"/>
      <c r="CO54" s="1804"/>
      <c r="CP54" s="1804"/>
      <c r="CQ54" s="1804"/>
      <c r="CR54" s="1804"/>
      <c r="CS54" s="1804"/>
      <c r="CT54" s="1804"/>
      <c r="CU54" s="1804"/>
      <c r="CV54" s="1804"/>
      <c r="CW54" s="1804"/>
      <c r="CX54" s="1804"/>
      <c r="CY54" s="1804"/>
      <c r="CZ54" s="1804"/>
      <c r="DA54" s="1804"/>
      <c r="DB54" s="1804"/>
      <c r="DC54" s="1804"/>
      <c r="DD54" s="1804"/>
      <c r="DE54" s="1804"/>
      <c r="DF54" s="1804"/>
      <c r="DG54" s="1804"/>
      <c r="DH54" s="1804"/>
      <c r="DI54" s="1804"/>
      <c r="DJ54" s="1804"/>
      <c r="DK54" s="1804"/>
      <c r="DL54" s="1804"/>
      <c r="DM54" s="1804"/>
      <c r="DN54" s="1804"/>
      <c r="DO54" s="1804"/>
      <c r="DP54" s="1804"/>
      <c r="DQ54" s="1671"/>
      <c r="DR54" s="1671"/>
      <c r="DS54" s="1671"/>
      <c r="DT54" s="1671"/>
      <c r="DU54" s="1671"/>
      <c r="DV54" s="1671"/>
      <c r="DW54" s="1671"/>
      <c r="DX54" s="1671"/>
      <c r="DY54" s="1671"/>
      <c r="DZ54" s="1671"/>
      <c r="EA54" s="1740"/>
      <c r="EB54" s="1740"/>
      <c r="EC54" s="1740"/>
      <c r="ED54" s="1740"/>
      <c r="EE54" s="1740"/>
      <c r="EF54" s="1740"/>
      <c r="EG54" s="1740"/>
      <c r="EH54" s="1740"/>
      <c r="EI54" s="1740"/>
      <c r="EJ54" s="1740"/>
      <c r="EK54" s="1740"/>
      <c r="EL54" s="1740"/>
      <c r="EM54" s="1740"/>
      <c r="EN54" s="1740"/>
      <c r="EO54" s="1740"/>
      <c r="EP54" s="1740"/>
      <c r="EQ54" s="1740"/>
      <c r="ER54" s="1740"/>
      <c r="ES54" s="1740"/>
      <c r="ET54" s="1740"/>
      <c r="EU54" s="1740"/>
      <c r="EV54" s="1740"/>
      <c r="EW54" s="1740"/>
      <c r="EX54" s="1740"/>
      <c r="EY54" s="1740"/>
      <c r="EZ54" s="1740"/>
      <c r="FA54" s="1740"/>
      <c r="FB54" s="1740"/>
      <c r="FC54" s="1740"/>
      <c r="FD54" s="1740"/>
      <c r="FE54" s="1740"/>
      <c r="FF54" s="1740"/>
      <c r="FG54" s="1740"/>
      <c r="FH54" s="1740"/>
      <c r="FI54" s="1740"/>
      <c r="FJ54" s="1740"/>
      <c r="FK54" s="1740"/>
      <c r="FL54" s="1740"/>
      <c r="FM54" s="1740"/>
      <c r="FN54" s="1740"/>
      <c r="FO54" s="1740"/>
      <c r="FP54" s="1740"/>
      <c r="FQ54" s="1740"/>
      <c r="FR54" s="1740"/>
      <c r="FS54" s="1740"/>
      <c r="FT54" s="1740"/>
      <c r="FU54" s="1740"/>
      <c r="FV54" s="1740"/>
      <c r="FW54" s="1740"/>
      <c r="FX54" s="1740"/>
      <c r="FY54" s="1740"/>
      <c r="FZ54" s="1740"/>
      <c r="GA54" s="1740"/>
      <c r="GB54" s="1740"/>
      <c r="GC54" s="1740"/>
      <c r="GD54" s="1740"/>
      <c r="GE54" s="1740"/>
      <c r="GF54" s="1740"/>
    </row>
    <row r="55" spans="1:188" s="20" customFormat="1">
      <c r="A55" s="333">
        <f t="shared" si="0"/>
        <v>1974</v>
      </c>
      <c r="B55" s="333">
        <f t="shared" si="1"/>
        <v>4</v>
      </c>
      <c r="C55" s="1174">
        <v>27334</v>
      </c>
      <c r="D55" s="1158"/>
      <c r="E55" s="1159">
        <v>182.5</v>
      </c>
      <c r="F55" s="1159">
        <v>138.67773500000001</v>
      </c>
      <c r="G55" s="1160"/>
      <c r="H55" s="1161"/>
      <c r="I55" s="1160"/>
      <c r="J55" s="1160"/>
      <c r="K55" s="1677"/>
      <c r="L55" s="1677"/>
      <c r="M55" s="1681"/>
      <c r="N55" s="1162"/>
      <c r="O55" s="1162"/>
      <c r="P55" s="1162"/>
      <c r="Q55" s="1163"/>
      <c r="R55" s="1164"/>
      <c r="S55" s="1164"/>
      <c r="T55" s="1164"/>
      <c r="U55" s="1165"/>
      <c r="V55" s="1166"/>
      <c r="W55" s="1166"/>
      <c r="X55" s="630"/>
      <c r="AA55" s="1915"/>
      <c r="AB55" s="1915"/>
      <c r="AC55" s="1804"/>
      <c r="AD55" s="1804"/>
      <c r="AE55" s="1804"/>
      <c r="AF55" s="1804"/>
      <c r="AG55" s="1804"/>
      <c r="AH55" s="1804"/>
      <c r="AI55" s="1781" t="s">
        <v>0</v>
      </c>
      <c r="AJ55" s="1827">
        <v>2012</v>
      </c>
      <c r="AK55" s="1822" t="s">
        <v>39</v>
      </c>
      <c r="AL55" s="1822"/>
      <c r="AM55" s="1823">
        <v>220337119</v>
      </c>
      <c r="AN55" s="1824">
        <v>7.4999999999999997E-2</v>
      </c>
      <c r="AO55" s="1781"/>
      <c r="AP55" s="1781" t="s">
        <v>0</v>
      </c>
      <c r="AQ55" s="1781" t="s">
        <v>502</v>
      </c>
      <c r="AR55" s="1822" t="s">
        <v>39</v>
      </c>
      <c r="AS55" s="1822"/>
      <c r="AT55" s="1823">
        <v>384614310</v>
      </c>
      <c r="AU55" s="1825">
        <v>0.11600000000000001</v>
      </c>
      <c r="AV55" s="1781">
        <v>2012</v>
      </c>
      <c r="AW55" s="1671"/>
      <c r="AX55" s="1671"/>
      <c r="AY55" s="1804"/>
      <c r="AZ55" s="1804"/>
      <c r="BA55" s="1804"/>
      <c r="BB55" s="1804"/>
      <c r="BC55" s="1804"/>
      <c r="BD55" s="1804"/>
      <c r="BE55" s="1804"/>
      <c r="BF55" s="1804"/>
      <c r="BG55" s="1804"/>
      <c r="BH55" s="1804"/>
      <c r="BI55" s="1804"/>
      <c r="BJ55" s="1804"/>
      <c r="BK55" s="1804"/>
      <c r="BL55" s="1804"/>
      <c r="BM55" s="1804"/>
      <c r="BN55" s="1804"/>
      <c r="BO55" s="1804"/>
      <c r="BP55" s="1804"/>
      <c r="BQ55" s="1804"/>
      <c r="BR55" s="1804"/>
      <c r="BS55" s="1804"/>
      <c r="BT55" s="1804"/>
      <c r="BU55" s="1804"/>
      <c r="BV55" s="1804"/>
      <c r="BW55" s="1804"/>
      <c r="BX55" s="1804"/>
      <c r="BY55" s="1804"/>
      <c r="BZ55" s="1804"/>
      <c r="CA55" s="1804"/>
      <c r="CB55" s="1804"/>
      <c r="CC55" s="1804"/>
      <c r="CD55" s="1804"/>
      <c r="CE55" s="1804"/>
      <c r="CF55" s="1804"/>
      <c r="CG55" s="1804"/>
      <c r="CH55" s="1804"/>
      <c r="CI55" s="1804"/>
      <c r="CJ55" s="1804"/>
      <c r="CK55" s="1804"/>
      <c r="CL55" s="1804"/>
      <c r="CM55" s="1804"/>
      <c r="CN55" s="1804"/>
      <c r="CO55" s="1804"/>
      <c r="CP55" s="1804"/>
      <c r="CQ55" s="1804"/>
      <c r="CR55" s="1804"/>
      <c r="CS55" s="1804"/>
      <c r="CT55" s="1804"/>
      <c r="CU55" s="1804"/>
      <c r="CV55" s="1804"/>
      <c r="CW55" s="1804"/>
      <c r="CX55" s="1804"/>
      <c r="CY55" s="1804"/>
      <c r="CZ55" s="1804"/>
      <c r="DA55" s="1804"/>
      <c r="DB55" s="1804"/>
      <c r="DC55" s="1804"/>
      <c r="DD55" s="1804"/>
      <c r="DE55" s="1804"/>
      <c r="DF55" s="1804"/>
      <c r="DG55" s="1804"/>
      <c r="DH55" s="1804"/>
      <c r="DI55" s="1804"/>
      <c r="DJ55" s="1804"/>
      <c r="DK55" s="1804"/>
      <c r="DL55" s="1804"/>
      <c r="DM55" s="1804"/>
      <c r="DN55" s="1804"/>
      <c r="DO55" s="1804"/>
      <c r="DP55" s="1804"/>
      <c r="DQ55" s="1671"/>
      <c r="DR55" s="1671"/>
      <c r="DS55" s="1671"/>
      <c r="DT55" s="1671"/>
      <c r="DU55" s="1671"/>
      <c r="DV55" s="1671"/>
      <c r="DW55" s="1671"/>
      <c r="DX55" s="1671"/>
      <c r="DY55" s="1671"/>
      <c r="DZ55" s="1671"/>
      <c r="EA55" s="1740"/>
      <c r="EB55" s="1740"/>
      <c r="EC55" s="1740"/>
      <c r="ED55" s="1740"/>
      <c r="EE55" s="1740"/>
      <c r="EF55" s="1740"/>
      <c r="EG55" s="1740"/>
      <c r="EH55" s="1740"/>
      <c r="EI55" s="1740"/>
      <c r="EJ55" s="1740"/>
      <c r="EK55" s="1740"/>
      <c r="EL55" s="1740"/>
      <c r="EM55" s="1740"/>
      <c r="EN55" s="1740"/>
      <c r="EO55" s="1740"/>
      <c r="EP55" s="1740"/>
      <c r="EQ55" s="1740"/>
      <c r="ER55" s="1740"/>
      <c r="ES55" s="1740"/>
      <c r="ET55" s="1740"/>
      <c r="EU55" s="1740"/>
      <c r="EV55" s="1740"/>
      <c r="EW55" s="1740"/>
      <c r="EX55" s="1740"/>
      <c r="EY55" s="1740"/>
      <c r="EZ55" s="1740"/>
      <c r="FA55" s="1740"/>
      <c r="FB55" s="1740"/>
      <c r="FC55" s="1740"/>
      <c r="FD55" s="1740"/>
      <c r="FE55" s="1740"/>
      <c r="FF55" s="1740"/>
      <c r="FG55" s="1740"/>
      <c r="FH55" s="1740"/>
      <c r="FI55" s="1740"/>
      <c r="FJ55" s="1740"/>
      <c r="FK55" s="1740"/>
      <c r="FL55" s="1740"/>
      <c r="FM55" s="1740"/>
      <c r="FN55" s="1740"/>
      <c r="FO55" s="1740"/>
      <c r="FP55" s="1740"/>
      <c r="FQ55" s="1740"/>
      <c r="FR55" s="1740"/>
      <c r="FS55" s="1740"/>
      <c r="FT55" s="1740"/>
      <c r="FU55" s="1740"/>
      <c r="FV55" s="1740"/>
      <c r="FW55" s="1740"/>
      <c r="FX55" s="1740"/>
      <c r="FY55" s="1740"/>
      <c r="FZ55" s="1740"/>
      <c r="GA55" s="1740"/>
      <c r="GB55" s="1740"/>
      <c r="GC55" s="1740"/>
      <c r="GD55" s="1740"/>
      <c r="GE55" s="1740"/>
      <c r="GF55" s="1740"/>
    </row>
    <row r="56" spans="1:188" s="20" customFormat="1">
      <c r="A56" s="333">
        <f t="shared" si="0"/>
        <v>1974</v>
      </c>
      <c r="B56" s="333">
        <f t="shared" si="1"/>
        <v>4</v>
      </c>
      <c r="C56" s="1174">
        <v>27365</v>
      </c>
      <c r="D56" s="1167"/>
      <c r="E56" s="1168">
        <v>183.72361111110001</v>
      </c>
      <c r="F56" s="1168">
        <v>138.45043886110275</v>
      </c>
      <c r="G56" s="1168"/>
      <c r="H56" s="1167"/>
      <c r="I56" s="1168"/>
      <c r="J56" s="1168"/>
      <c r="K56" s="1678"/>
      <c r="L56" s="1678"/>
      <c r="M56" s="1682"/>
      <c r="N56" s="1169"/>
      <c r="O56" s="1169"/>
      <c r="P56" s="1169"/>
      <c r="Q56" s="1167"/>
      <c r="R56" s="1167"/>
      <c r="S56" s="1167"/>
      <c r="T56" s="1167"/>
      <c r="U56" s="1167"/>
      <c r="V56" s="1167"/>
      <c r="W56" s="1167"/>
      <c r="X56" s="630"/>
      <c r="AA56" s="1915"/>
      <c r="AB56" s="1915"/>
      <c r="AC56" s="1804"/>
      <c r="AD56" s="1804"/>
      <c r="AE56" s="1804"/>
      <c r="AF56" s="1804"/>
      <c r="AG56" s="1804"/>
      <c r="AH56" s="1804"/>
      <c r="AI56" s="1781" t="s">
        <v>0</v>
      </c>
      <c r="AJ56" s="1827">
        <v>2012</v>
      </c>
      <c r="AK56" s="1822" t="s">
        <v>386</v>
      </c>
      <c r="AL56" s="1822"/>
      <c r="AM56" s="1823">
        <v>2933394994</v>
      </c>
      <c r="AN56" s="1824">
        <v>1</v>
      </c>
      <c r="AO56" s="1781"/>
      <c r="AP56" s="1781" t="s">
        <v>0</v>
      </c>
      <c r="AQ56" s="1781" t="s">
        <v>502</v>
      </c>
      <c r="AR56" s="1822" t="s">
        <v>386</v>
      </c>
      <c r="AS56" s="1822"/>
      <c r="AT56" s="1823">
        <v>3308439488</v>
      </c>
      <c r="AU56" s="1825">
        <v>1</v>
      </c>
      <c r="AV56" s="1781">
        <v>2012</v>
      </c>
      <c r="AW56" s="1671"/>
      <c r="AX56" s="1925">
        <f>'Alumina - Prices'!A55</f>
        <v>43983</v>
      </c>
      <c r="AY56" s="1804"/>
      <c r="AZ56" s="1804"/>
      <c r="BA56" s="1804"/>
      <c r="BB56" s="1804"/>
      <c r="BC56" s="1804"/>
      <c r="BD56" s="1804"/>
      <c r="BE56" s="1804"/>
      <c r="BF56" s="1804"/>
      <c r="BG56" s="1804"/>
      <c r="BH56" s="1804"/>
      <c r="BI56" s="1804"/>
      <c r="BJ56" s="1804"/>
      <c r="BK56" s="1804"/>
      <c r="BL56" s="1804"/>
      <c r="BM56" s="1804"/>
      <c r="BN56" s="1804"/>
      <c r="BO56" s="1804"/>
      <c r="BP56" s="1804"/>
      <c r="BQ56" s="1804"/>
      <c r="BR56" s="1804"/>
      <c r="BS56" s="1804"/>
      <c r="BT56" s="1804"/>
      <c r="BU56" s="1804"/>
      <c r="BV56" s="1804"/>
      <c r="BW56" s="1804"/>
      <c r="BX56" s="1804"/>
      <c r="BY56" s="1804"/>
      <c r="BZ56" s="1804"/>
      <c r="CA56" s="1804"/>
      <c r="CB56" s="1804"/>
      <c r="CC56" s="1804"/>
      <c r="CD56" s="1804"/>
      <c r="CE56" s="1804"/>
      <c r="CF56" s="1804"/>
      <c r="CG56" s="1804"/>
      <c r="CH56" s="1804"/>
      <c r="CI56" s="1804"/>
      <c r="CJ56" s="1804"/>
      <c r="CK56" s="1804"/>
      <c r="CL56" s="1804"/>
      <c r="CM56" s="1804"/>
      <c r="CN56" s="1804"/>
      <c r="CO56" s="1804"/>
      <c r="CP56" s="1804"/>
      <c r="CQ56" s="1804"/>
      <c r="CR56" s="1804"/>
      <c r="CS56" s="1804"/>
      <c r="CT56" s="1804"/>
      <c r="CU56" s="1804"/>
      <c r="CV56" s="1804"/>
      <c r="CW56" s="1804"/>
      <c r="CX56" s="1804"/>
      <c r="CY56" s="1804"/>
      <c r="CZ56" s="1804"/>
      <c r="DA56" s="1804"/>
      <c r="DB56" s="1804"/>
      <c r="DC56" s="1804"/>
      <c r="DD56" s="1804"/>
      <c r="DE56" s="1804"/>
      <c r="DF56" s="1804"/>
      <c r="DG56" s="1804"/>
      <c r="DH56" s="1804"/>
      <c r="DI56" s="1804"/>
      <c r="DJ56" s="1804"/>
      <c r="DK56" s="1804"/>
      <c r="DL56" s="1804"/>
      <c r="DM56" s="1804"/>
      <c r="DN56" s="1804"/>
      <c r="DO56" s="1804"/>
      <c r="DP56" s="1804"/>
      <c r="DQ56" s="1671"/>
      <c r="DR56" s="1671"/>
      <c r="DS56" s="1671"/>
      <c r="DT56" s="1671"/>
      <c r="DU56" s="1671"/>
      <c r="DV56" s="1671"/>
      <c r="DW56" s="1671"/>
      <c r="DX56" s="1671"/>
      <c r="DY56" s="1671"/>
      <c r="DZ56" s="1671"/>
      <c r="EA56" s="1740"/>
      <c r="EB56" s="1740"/>
      <c r="EC56" s="1740"/>
      <c r="ED56" s="1740"/>
      <c r="EE56" s="1740"/>
      <c r="EF56" s="1740"/>
      <c r="EG56" s="1740"/>
      <c r="EH56" s="1740"/>
      <c r="EI56" s="1740"/>
      <c r="EJ56" s="1740"/>
      <c r="EK56" s="1740"/>
      <c r="EL56" s="1740"/>
      <c r="EM56" s="1740"/>
      <c r="EN56" s="1740"/>
      <c r="EO56" s="1740"/>
      <c r="EP56" s="1740"/>
      <c r="EQ56" s="1740"/>
      <c r="ER56" s="1740"/>
      <c r="ES56" s="1740"/>
      <c r="ET56" s="1740"/>
      <c r="EU56" s="1740"/>
      <c r="EV56" s="1740"/>
      <c r="EW56" s="1740"/>
      <c r="EX56" s="1740"/>
      <c r="EY56" s="1740"/>
      <c r="EZ56" s="1740"/>
      <c r="FA56" s="1740"/>
      <c r="FB56" s="1740"/>
      <c r="FC56" s="1740"/>
      <c r="FD56" s="1740"/>
      <c r="FE56" s="1740"/>
      <c r="FF56" s="1740"/>
      <c r="FG56" s="1740"/>
      <c r="FH56" s="1740"/>
      <c r="FI56" s="1740"/>
      <c r="FJ56" s="1740"/>
      <c r="FK56" s="1740"/>
      <c r="FL56" s="1740"/>
      <c r="FM56" s="1740"/>
      <c r="FN56" s="1740"/>
      <c r="FO56" s="1740"/>
      <c r="FP56" s="1740"/>
      <c r="FQ56" s="1740"/>
      <c r="FR56" s="1740"/>
      <c r="FS56" s="1740"/>
      <c r="FT56" s="1740"/>
      <c r="FU56" s="1740"/>
      <c r="FV56" s="1740"/>
      <c r="FW56" s="1740"/>
      <c r="FX56" s="1740"/>
      <c r="FY56" s="1740"/>
      <c r="FZ56" s="1740"/>
      <c r="GA56" s="1740"/>
      <c r="GB56" s="1740"/>
      <c r="GC56" s="1740"/>
      <c r="GD56" s="1740"/>
      <c r="GE56" s="1740"/>
      <c r="GF56" s="1740"/>
    </row>
    <row r="57" spans="1:188" s="20" customFormat="1">
      <c r="A57" s="333">
        <f t="shared" si="0"/>
        <v>1975</v>
      </c>
      <c r="B57" s="333">
        <f t="shared" si="1"/>
        <v>1</v>
      </c>
      <c r="C57" s="1174">
        <v>27395</v>
      </c>
      <c r="D57" s="1158"/>
      <c r="E57" s="1159">
        <v>176.52386363639999</v>
      </c>
      <c r="F57" s="1159">
        <v>131.89174647843626</v>
      </c>
      <c r="G57" s="1160"/>
      <c r="H57" s="1161"/>
      <c r="I57" s="1160"/>
      <c r="J57" s="1160"/>
      <c r="K57" s="1677"/>
      <c r="L57" s="1677"/>
      <c r="M57" s="1681"/>
      <c r="N57" s="1162"/>
      <c r="O57" s="1162"/>
      <c r="P57" s="1162"/>
      <c r="Q57" s="1163"/>
      <c r="R57" s="1164"/>
      <c r="S57" s="1164"/>
      <c r="T57" s="1164"/>
      <c r="U57" s="1165"/>
      <c r="V57" s="1166"/>
      <c r="W57" s="1166"/>
      <c r="X57" s="630"/>
      <c r="AA57" s="1915"/>
      <c r="AB57" s="1915"/>
      <c r="AC57" s="1804"/>
      <c r="AD57" s="1804"/>
      <c r="AE57" s="1804"/>
      <c r="AF57" s="1804"/>
      <c r="AG57" s="1804"/>
      <c r="AH57" s="1804"/>
      <c r="AI57" s="1781" t="s">
        <v>0</v>
      </c>
      <c r="AJ57" s="1827">
        <v>2011</v>
      </c>
      <c r="AK57" s="1822" t="s">
        <v>34</v>
      </c>
      <c r="AL57" s="1822">
        <v>1</v>
      </c>
      <c r="AM57" s="1823">
        <v>784497562.99999988</v>
      </c>
      <c r="AN57" s="1824">
        <v>0.22518435084858127</v>
      </c>
      <c r="AO57" s="1781"/>
      <c r="AP57" s="1781" t="s">
        <v>0</v>
      </c>
      <c r="AQ57" s="1781" t="s">
        <v>501</v>
      </c>
      <c r="AR57" s="1822" t="s">
        <v>135</v>
      </c>
      <c r="AS57" s="1822">
        <v>1</v>
      </c>
      <c r="AT57" s="1823">
        <v>762205409.72999966</v>
      </c>
      <c r="AU57" s="1825">
        <v>0.20754421704556564</v>
      </c>
      <c r="AV57" s="1781">
        <v>2011</v>
      </c>
      <c r="AW57" s="1671"/>
      <c r="AX57" s="1671"/>
      <c r="AY57" s="1804"/>
      <c r="AZ57" s="1804"/>
      <c r="BA57" s="1804"/>
      <c r="BB57" s="1804"/>
      <c r="BC57" s="1804"/>
      <c r="BD57" s="1804"/>
      <c r="BE57" s="1804"/>
      <c r="BF57" s="1804"/>
      <c r="BG57" s="1804"/>
      <c r="BH57" s="1804"/>
      <c r="BI57" s="1804"/>
      <c r="BJ57" s="1804"/>
      <c r="BK57" s="1804"/>
      <c r="BL57" s="1804"/>
      <c r="BM57" s="1804"/>
      <c r="BN57" s="1804"/>
      <c r="BO57" s="1804"/>
      <c r="BP57" s="1804"/>
      <c r="BQ57" s="1804"/>
      <c r="BR57" s="1804"/>
      <c r="BS57" s="1804"/>
      <c r="BT57" s="1804"/>
      <c r="BU57" s="1804"/>
      <c r="BV57" s="1804"/>
      <c r="BW57" s="1804"/>
      <c r="BX57" s="1804"/>
      <c r="BY57" s="1804"/>
      <c r="BZ57" s="1804"/>
      <c r="CA57" s="1804"/>
      <c r="CB57" s="1804"/>
      <c r="CC57" s="1804"/>
      <c r="CD57" s="1804"/>
      <c r="CE57" s="1804"/>
      <c r="CF57" s="1804"/>
      <c r="CG57" s="1804"/>
      <c r="CH57" s="1804"/>
      <c r="CI57" s="1804"/>
      <c r="CJ57" s="1804"/>
      <c r="CK57" s="1804"/>
      <c r="CL57" s="1804"/>
      <c r="CM57" s="1804"/>
      <c r="CN57" s="1804"/>
      <c r="CO57" s="1804"/>
      <c r="CP57" s="1804"/>
      <c r="CQ57" s="1804"/>
      <c r="CR57" s="1804"/>
      <c r="CS57" s="1804"/>
      <c r="CT57" s="1804"/>
      <c r="CU57" s="1804"/>
      <c r="CV57" s="1804"/>
      <c r="CW57" s="1804"/>
      <c r="CX57" s="1804"/>
      <c r="CY57" s="1804"/>
      <c r="CZ57" s="1804"/>
      <c r="DA57" s="1804"/>
      <c r="DB57" s="1804"/>
      <c r="DC57" s="1804"/>
      <c r="DD57" s="1804"/>
      <c r="DE57" s="1804"/>
      <c r="DF57" s="1804"/>
      <c r="DG57" s="1804"/>
      <c r="DH57" s="1804"/>
      <c r="DI57" s="1804"/>
      <c r="DJ57" s="1804"/>
      <c r="DK57" s="1804"/>
      <c r="DL57" s="1804"/>
      <c r="DM57" s="1804"/>
      <c r="DN57" s="1804"/>
      <c r="DO57" s="1804"/>
      <c r="DP57" s="1804"/>
      <c r="DQ57" s="1671"/>
      <c r="DR57" s="1671"/>
      <c r="DS57" s="1671"/>
      <c r="DT57" s="1671"/>
      <c r="DU57" s="1671"/>
      <c r="DV57" s="1671"/>
      <c r="DW57" s="1671"/>
      <c r="DX57" s="1671"/>
      <c r="DY57" s="1671"/>
      <c r="DZ57" s="1671"/>
      <c r="EA57" s="1740"/>
      <c r="EB57" s="1740"/>
      <c r="EC57" s="1740"/>
      <c r="ED57" s="1740"/>
      <c r="EE57" s="1740"/>
      <c r="EF57" s="1740"/>
      <c r="EG57" s="1740"/>
      <c r="EH57" s="1740"/>
      <c r="EI57" s="1740"/>
      <c r="EJ57" s="1740"/>
      <c r="EK57" s="1740"/>
      <c r="EL57" s="1740"/>
      <c r="EM57" s="1740"/>
      <c r="EN57" s="1740"/>
      <c r="EO57" s="1740"/>
      <c r="EP57" s="1740"/>
      <c r="EQ57" s="1740"/>
      <c r="ER57" s="1740"/>
      <c r="ES57" s="1740"/>
      <c r="ET57" s="1740"/>
      <c r="EU57" s="1740"/>
      <c r="EV57" s="1740"/>
      <c r="EW57" s="1740"/>
      <c r="EX57" s="1740"/>
      <c r="EY57" s="1740"/>
      <c r="EZ57" s="1740"/>
      <c r="FA57" s="1740"/>
      <c r="FB57" s="1740"/>
      <c r="FC57" s="1740"/>
      <c r="FD57" s="1740"/>
      <c r="FE57" s="1740"/>
      <c r="FF57" s="1740"/>
      <c r="FG57" s="1740"/>
      <c r="FH57" s="1740"/>
      <c r="FI57" s="1740"/>
      <c r="FJ57" s="1740"/>
      <c r="FK57" s="1740"/>
      <c r="FL57" s="1740"/>
      <c r="FM57" s="1740"/>
      <c r="FN57" s="1740"/>
      <c r="FO57" s="1740"/>
      <c r="FP57" s="1740"/>
      <c r="FQ57" s="1740"/>
      <c r="FR57" s="1740"/>
      <c r="FS57" s="1740"/>
      <c r="FT57" s="1740"/>
      <c r="FU57" s="1740"/>
      <c r="FV57" s="1740"/>
      <c r="FW57" s="1740"/>
      <c r="FX57" s="1740"/>
      <c r="FY57" s="1740"/>
      <c r="FZ57" s="1740"/>
      <c r="GA57" s="1740"/>
      <c r="GB57" s="1740"/>
      <c r="GC57" s="1740"/>
      <c r="GD57" s="1740"/>
      <c r="GE57" s="1740"/>
      <c r="GF57" s="1740"/>
    </row>
    <row r="58" spans="1:188" s="20" customFormat="1">
      <c r="A58" s="333">
        <f t="shared" si="0"/>
        <v>1975</v>
      </c>
      <c r="B58" s="333">
        <f t="shared" si="1"/>
        <v>1</v>
      </c>
      <c r="C58" s="1174">
        <v>27428</v>
      </c>
      <c r="D58" s="1167"/>
      <c r="E58" s="1168">
        <v>179.73</v>
      </c>
      <c r="F58" s="1168">
        <v>131.51616938999999</v>
      </c>
      <c r="G58" s="1168"/>
      <c r="H58" s="1167"/>
      <c r="I58" s="1168"/>
      <c r="J58" s="1168"/>
      <c r="K58" s="1678"/>
      <c r="L58" s="1678"/>
      <c r="M58" s="1682"/>
      <c r="N58" s="1169"/>
      <c r="O58" s="1169"/>
      <c r="P58" s="1169"/>
      <c r="Q58" s="1167"/>
      <c r="R58" s="1167"/>
      <c r="S58" s="1167"/>
      <c r="T58" s="1167"/>
      <c r="U58" s="1167"/>
      <c r="V58" s="1167"/>
      <c r="W58" s="1167"/>
      <c r="X58" s="630"/>
      <c r="AA58" s="1915"/>
      <c r="AB58" s="1915"/>
      <c r="AC58" s="1804"/>
      <c r="AD58" s="1804"/>
      <c r="AE58" s="1804"/>
      <c r="AF58" s="1804"/>
      <c r="AG58" s="1804"/>
      <c r="AH58" s="1804"/>
      <c r="AI58" s="1781" t="s">
        <v>0</v>
      </c>
      <c r="AJ58" s="1827">
        <v>2011</v>
      </c>
      <c r="AK58" s="1822" t="s">
        <v>32</v>
      </c>
      <c r="AL58" s="1822">
        <v>2</v>
      </c>
      <c r="AM58" s="1823">
        <v>449255312.01999998</v>
      </c>
      <c r="AN58" s="1824">
        <v>0.12895548765713696</v>
      </c>
      <c r="AO58" s="1781"/>
      <c r="AP58" s="1781" t="s">
        <v>0</v>
      </c>
      <c r="AQ58" s="1781" t="s">
        <v>501</v>
      </c>
      <c r="AR58" s="1822" t="s">
        <v>18</v>
      </c>
      <c r="AS58" s="1822">
        <v>2</v>
      </c>
      <c r="AT58" s="1823">
        <v>738530708.09999979</v>
      </c>
      <c r="AU58" s="1825">
        <v>0.20109772985082605</v>
      </c>
      <c r="AV58" s="1781">
        <v>2011</v>
      </c>
      <c r="AW58" s="1671"/>
      <c r="AX58" s="1671"/>
      <c r="AY58" s="1804"/>
      <c r="AZ58" s="1804"/>
      <c r="BA58" s="1804"/>
      <c r="BB58" s="1804"/>
      <c r="BC58" s="1804"/>
      <c r="BD58" s="1804"/>
      <c r="BE58" s="1804"/>
      <c r="BF58" s="1804"/>
      <c r="BG58" s="1804"/>
      <c r="BH58" s="1804"/>
      <c r="BI58" s="1804"/>
      <c r="BJ58" s="1804"/>
      <c r="BK58" s="1804"/>
      <c r="BL58" s="1804"/>
      <c r="BM58" s="1804"/>
      <c r="BN58" s="1804"/>
      <c r="BO58" s="1804"/>
      <c r="BP58" s="1804"/>
      <c r="BQ58" s="1804"/>
      <c r="BR58" s="1804"/>
      <c r="BS58" s="1804"/>
      <c r="BT58" s="1804"/>
      <c r="BU58" s="1804"/>
      <c r="BV58" s="1804"/>
      <c r="BW58" s="1804"/>
      <c r="BX58" s="1804"/>
      <c r="BY58" s="1804"/>
      <c r="BZ58" s="1804"/>
      <c r="CA58" s="1804"/>
      <c r="CB58" s="1804"/>
      <c r="CC58" s="1804"/>
      <c r="CD58" s="1804"/>
      <c r="CE58" s="1804"/>
      <c r="CF58" s="1804"/>
      <c r="CG58" s="1804"/>
      <c r="CH58" s="1804"/>
      <c r="CI58" s="1804"/>
      <c r="CJ58" s="1804"/>
      <c r="CK58" s="1804"/>
      <c r="CL58" s="1804"/>
      <c r="CM58" s="1804"/>
      <c r="CN58" s="1804"/>
      <c r="CO58" s="1804"/>
      <c r="CP58" s="1804"/>
      <c r="CQ58" s="1804"/>
      <c r="CR58" s="1804"/>
      <c r="CS58" s="1804"/>
      <c r="CT58" s="1804"/>
      <c r="CU58" s="1804"/>
      <c r="CV58" s="1804"/>
      <c r="CW58" s="1804"/>
      <c r="CX58" s="1804"/>
      <c r="CY58" s="1804"/>
      <c r="CZ58" s="1804"/>
      <c r="DA58" s="1804"/>
      <c r="DB58" s="1804"/>
      <c r="DC58" s="1804"/>
      <c r="DD58" s="1804"/>
      <c r="DE58" s="1804"/>
      <c r="DF58" s="1804"/>
      <c r="DG58" s="1804"/>
      <c r="DH58" s="1804"/>
      <c r="DI58" s="1804"/>
      <c r="DJ58" s="1804"/>
      <c r="DK58" s="1804"/>
      <c r="DL58" s="1804"/>
      <c r="DM58" s="1804"/>
      <c r="DN58" s="1804"/>
      <c r="DO58" s="1804"/>
      <c r="DP58" s="1804"/>
      <c r="DQ58" s="1671"/>
      <c r="DR58" s="1671"/>
      <c r="DS58" s="1671"/>
      <c r="DT58" s="1671"/>
      <c r="DU58" s="1671"/>
      <c r="DV58" s="1671"/>
      <c r="DW58" s="1671"/>
      <c r="DX58" s="1671"/>
      <c r="DY58" s="1671"/>
      <c r="DZ58" s="1671"/>
      <c r="EA58" s="1740"/>
      <c r="EB58" s="1740"/>
      <c r="EC58" s="1740"/>
      <c r="ED58" s="1740"/>
      <c r="EE58" s="1740"/>
      <c r="EF58" s="1740"/>
      <c r="EG58" s="1740"/>
      <c r="EH58" s="1740"/>
      <c r="EI58" s="1740"/>
      <c r="EJ58" s="1740"/>
      <c r="EK58" s="1740"/>
      <c r="EL58" s="1740"/>
      <c r="EM58" s="1740"/>
      <c r="EN58" s="1740"/>
      <c r="EO58" s="1740"/>
      <c r="EP58" s="1740"/>
      <c r="EQ58" s="1740"/>
      <c r="ER58" s="1740"/>
      <c r="ES58" s="1740"/>
      <c r="ET58" s="1740"/>
      <c r="EU58" s="1740"/>
      <c r="EV58" s="1740"/>
      <c r="EW58" s="1740"/>
      <c r="EX58" s="1740"/>
      <c r="EY58" s="1740"/>
      <c r="EZ58" s="1740"/>
      <c r="FA58" s="1740"/>
      <c r="FB58" s="1740"/>
      <c r="FC58" s="1740"/>
      <c r="FD58" s="1740"/>
      <c r="FE58" s="1740"/>
      <c r="FF58" s="1740"/>
      <c r="FG58" s="1740"/>
      <c r="FH58" s="1740"/>
      <c r="FI58" s="1740"/>
      <c r="FJ58" s="1740"/>
      <c r="FK58" s="1740"/>
      <c r="FL58" s="1740"/>
      <c r="FM58" s="1740"/>
      <c r="FN58" s="1740"/>
      <c r="FO58" s="1740"/>
      <c r="FP58" s="1740"/>
      <c r="FQ58" s="1740"/>
      <c r="FR58" s="1740"/>
      <c r="FS58" s="1740"/>
      <c r="FT58" s="1740"/>
      <c r="FU58" s="1740"/>
      <c r="FV58" s="1740"/>
      <c r="FW58" s="1740"/>
      <c r="FX58" s="1740"/>
      <c r="FY58" s="1740"/>
      <c r="FZ58" s="1740"/>
      <c r="GA58" s="1740"/>
      <c r="GB58" s="1740"/>
      <c r="GC58" s="1740"/>
      <c r="GD58" s="1740"/>
      <c r="GE58" s="1740"/>
      <c r="GF58" s="1740"/>
    </row>
    <row r="59" spans="1:188" s="20" customFormat="1">
      <c r="A59" s="333">
        <f t="shared" si="0"/>
        <v>1975</v>
      </c>
      <c r="B59" s="333">
        <f t="shared" si="1"/>
        <v>1</v>
      </c>
      <c r="C59" s="1174">
        <v>27456</v>
      </c>
      <c r="D59" s="1158"/>
      <c r="E59" s="1159">
        <v>178.0368421053</v>
      </c>
      <c r="F59" s="1159">
        <v>131.51866385265879</v>
      </c>
      <c r="G59" s="1160"/>
      <c r="H59" s="1161"/>
      <c r="I59" s="1160"/>
      <c r="J59" s="1160"/>
      <c r="K59" s="1677"/>
      <c r="L59" s="1677"/>
      <c r="M59" s="1681"/>
      <c r="N59" s="1162"/>
      <c r="O59" s="1162"/>
      <c r="P59" s="1162"/>
      <c r="Q59" s="1163"/>
      <c r="R59" s="1164"/>
      <c r="S59" s="1164"/>
      <c r="T59" s="1164"/>
      <c r="U59" s="1165"/>
      <c r="V59" s="1166"/>
      <c r="W59" s="1166"/>
      <c r="X59" s="630"/>
      <c r="AA59" s="1915"/>
      <c r="AB59" s="1915"/>
      <c r="AC59" s="1804"/>
      <c r="AD59" s="1804"/>
      <c r="AE59" s="1804"/>
      <c r="AF59" s="1804"/>
      <c r="AG59" s="1804"/>
      <c r="AH59" s="1804"/>
      <c r="AI59" s="1781" t="s">
        <v>0</v>
      </c>
      <c r="AJ59" s="1827">
        <v>2011</v>
      </c>
      <c r="AK59" s="1822" t="s">
        <v>18</v>
      </c>
      <c r="AL59" s="1822">
        <v>3</v>
      </c>
      <c r="AM59" s="1823">
        <v>442213355.84000003</v>
      </c>
      <c r="AN59" s="1824">
        <v>0.12693414507318629</v>
      </c>
      <c r="AO59" s="1781"/>
      <c r="AP59" s="1781" t="s">
        <v>0</v>
      </c>
      <c r="AQ59" s="1781" t="s">
        <v>501</v>
      </c>
      <c r="AR59" s="1822" t="s">
        <v>32</v>
      </c>
      <c r="AS59" s="1822">
        <v>3</v>
      </c>
      <c r="AT59" s="1823">
        <v>473916645.72999996</v>
      </c>
      <c r="AU59" s="1825">
        <v>0.1290448190570252</v>
      </c>
      <c r="AV59" s="1781">
        <v>2011</v>
      </c>
      <c r="AW59" s="1671"/>
      <c r="AX59" s="1925">
        <f>'Alumina - Prices'!A58</f>
        <v>44075</v>
      </c>
      <c r="AY59" s="1804"/>
      <c r="AZ59" s="1804"/>
      <c r="BA59" s="1804"/>
      <c r="BB59" s="1804"/>
      <c r="BC59" s="1804"/>
      <c r="BD59" s="1804"/>
      <c r="BE59" s="1804"/>
      <c r="BF59" s="1804"/>
      <c r="BG59" s="1804"/>
      <c r="BH59" s="1804"/>
      <c r="BI59" s="1804"/>
      <c r="BJ59" s="1804"/>
      <c r="BK59" s="1804"/>
      <c r="BL59" s="1804"/>
      <c r="BM59" s="1804"/>
      <c r="BN59" s="1804"/>
      <c r="BO59" s="1804"/>
      <c r="BP59" s="1804"/>
      <c r="BQ59" s="1804"/>
      <c r="BR59" s="1804"/>
      <c r="BS59" s="1804"/>
      <c r="BT59" s="1804"/>
      <c r="BU59" s="1804"/>
      <c r="BV59" s="1804"/>
      <c r="BW59" s="1804"/>
      <c r="BX59" s="1804"/>
      <c r="BY59" s="1804"/>
      <c r="BZ59" s="1804"/>
      <c r="CA59" s="1804"/>
      <c r="CB59" s="1804"/>
      <c r="CC59" s="1804"/>
      <c r="CD59" s="1804"/>
      <c r="CE59" s="1804"/>
      <c r="CF59" s="1804"/>
      <c r="CG59" s="1804"/>
      <c r="CH59" s="1804"/>
      <c r="CI59" s="1804"/>
      <c r="CJ59" s="1804"/>
      <c r="CK59" s="1804"/>
      <c r="CL59" s="1804"/>
      <c r="CM59" s="1804"/>
      <c r="CN59" s="1804"/>
      <c r="CO59" s="1804"/>
      <c r="CP59" s="1804"/>
      <c r="CQ59" s="1804"/>
      <c r="CR59" s="1804"/>
      <c r="CS59" s="1804"/>
      <c r="CT59" s="1804"/>
      <c r="CU59" s="1804"/>
      <c r="CV59" s="1804"/>
      <c r="CW59" s="1804"/>
      <c r="CX59" s="1804"/>
      <c r="CY59" s="1804"/>
      <c r="CZ59" s="1804"/>
      <c r="DA59" s="1804"/>
      <c r="DB59" s="1804"/>
      <c r="DC59" s="1804"/>
      <c r="DD59" s="1804"/>
      <c r="DE59" s="1804"/>
      <c r="DF59" s="1804"/>
      <c r="DG59" s="1804"/>
      <c r="DH59" s="1804"/>
      <c r="DI59" s="1804"/>
      <c r="DJ59" s="1804"/>
      <c r="DK59" s="1804"/>
      <c r="DL59" s="1804"/>
      <c r="DM59" s="1804"/>
      <c r="DN59" s="1804"/>
      <c r="DO59" s="1804"/>
      <c r="DP59" s="1804"/>
      <c r="DQ59" s="1671"/>
      <c r="DR59" s="1671"/>
      <c r="DS59" s="1671"/>
      <c r="DT59" s="1671"/>
      <c r="DU59" s="1671"/>
      <c r="DV59" s="1671"/>
      <c r="DW59" s="1671"/>
      <c r="DX59" s="1671"/>
      <c r="DY59" s="1671"/>
      <c r="DZ59" s="1671"/>
      <c r="EA59" s="1740"/>
      <c r="EB59" s="1740"/>
      <c r="EC59" s="1740"/>
      <c r="ED59" s="1740"/>
      <c r="EE59" s="1740"/>
      <c r="EF59" s="1740"/>
      <c r="EG59" s="1740"/>
      <c r="EH59" s="1740"/>
      <c r="EI59" s="1740"/>
      <c r="EJ59" s="1740"/>
      <c r="EK59" s="1740"/>
      <c r="EL59" s="1740"/>
      <c r="EM59" s="1740"/>
      <c r="EN59" s="1740"/>
      <c r="EO59" s="1740"/>
      <c r="EP59" s="1740"/>
      <c r="EQ59" s="1740"/>
      <c r="ER59" s="1740"/>
      <c r="ES59" s="1740"/>
      <c r="ET59" s="1740"/>
      <c r="EU59" s="1740"/>
      <c r="EV59" s="1740"/>
      <c r="EW59" s="1740"/>
      <c r="EX59" s="1740"/>
      <c r="EY59" s="1740"/>
      <c r="EZ59" s="1740"/>
      <c r="FA59" s="1740"/>
      <c r="FB59" s="1740"/>
      <c r="FC59" s="1740"/>
      <c r="FD59" s="1740"/>
      <c r="FE59" s="1740"/>
      <c r="FF59" s="1740"/>
      <c r="FG59" s="1740"/>
      <c r="FH59" s="1740"/>
      <c r="FI59" s="1740"/>
      <c r="FJ59" s="1740"/>
      <c r="FK59" s="1740"/>
      <c r="FL59" s="1740"/>
      <c r="FM59" s="1740"/>
      <c r="FN59" s="1740"/>
      <c r="FO59" s="1740"/>
      <c r="FP59" s="1740"/>
      <c r="FQ59" s="1740"/>
      <c r="FR59" s="1740"/>
      <c r="FS59" s="1740"/>
      <c r="FT59" s="1740"/>
      <c r="FU59" s="1740"/>
      <c r="FV59" s="1740"/>
      <c r="FW59" s="1740"/>
      <c r="FX59" s="1740"/>
      <c r="FY59" s="1740"/>
      <c r="FZ59" s="1740"/>
      <c r="GA59" s="1740"/>
      <c r="GB59" s="1740"/>
      <c r="GC59" s="1740"/>
      <c r="GD59" s="1740"/>
      <c r="GE59" s="1740"/>
      <c r="GF59" s="1740"/>
    </row>
    <row r="60" spans="1:188" s="20" customFormat="1">
      <c r="A60" s="333">
        <f t="shared" si="0"/>
        <v>1975</v>
      </c>
      <c r="B60" s="333">
        <f t="shared" si="1"/>
        <v>2</v>
      </c>
      <c r="C60" s="1174">
        <v>27485</v>
      </c>
      <c r="D60" s="1167"/>
      <c r="E60" s="1168">
        <v>169.57840909090001</v>
      </c>
      <c r="F60" s="1168">
        <v>126.45665459999323</v>
      </c>
      <c r="G60" s="1168"/>
      <c r="H60" s="1167"/>
      <c r="I60" s="1168"/>
      <c r="J60" s="1168"/>
      <c r="K60" s="1678"/>
      <c r="L60" s="1678"/>
      <c r="M60" s="1682"/>
      <c r="N60" s="1169"/>
      <c r="O60" s="1169"/>
      <c r="P60" s="1169"/>
      <c r="Q60" s="1167"/>
      <c r="R60" s="1167"/>
      <c r="S60" s="1167"/>
      <c r="T60" s="1167"/>
      <c r="U60" s="1167"/>
      <c r="V60" s="1167"/>
      <c r="W60" s="1167"/>
      <c r="X60" s="630"/>
      <c r="AA60" s="1915"/>
      <c r="AB60" s="1915"/>
      <c r="AC60" s="1804"/>
      <c r="AD60" s="1804"/>
      <c r="AE60" s="1804"/>
      <c r="AF60" s="1804"/>
      <c r="AG60" s="1804"/>
      <c r="AH60" s="1804"/>
      <c r="AI60" s="1781" t="s">
        <v>0</v>
      </c>
      <c r="AJ60" s="1827">
        <v>2011</v>
      </c>
      <c r="AK60" s="1822" t="s">
        <v>17</v>
      </c>
      <c r="AL60" s="1822">
        <v>4</v>
      </c>
      <c r="AM60" s="1823">
        <v>335390627.97000003</v>
      </c>
      <c r="AN60" s="1824">
        <v>9.6271453733148799E-2</v>
      </c>
      <c r="AO60" s="1781"/>
      <c r="AP60" s="1781" t="s">
        <v>0</v>
      </c>
      <c r="AQ60" s="1781" t="s">
        <v>501</v>
      </c>
      <c r="AR60" s="1822" t="s">
        <v>17</v>
      </c>
      <c r="AS60" s="1822">
        <v>4</v>
      </c>
      <c r="AT60" s="1823">
        <v>319682429.44999999</v>
      </c>
      <c r="AU60" s="1825">
        <v>8.70477153224712E-2</v>
      </c>
      <c r="AV60" s="1781">
        <v>2011</v>
      </c>
      <c r="AW60" s="1671"/>
      <c r="AX60" s="1671"/>
      <c r="AY60" s="1804"/>
      <c r="AZ60" s="1804"/>
      <c r="BA60" s="1804"/>
      <c r="BB60" s="1804"/>
      <c r="BC60" s="1804"/>
      <c r="BD60" s="1804"/>
      <c r="BE60" s="1804"/>
      <c r="BF60" s="1804"/>
      <c r="BG60" s="1804"/>
      <c r="BH60" s="1804"/>
      <c r="BI60" s="1804"/>
      <c r="BJ60" s="1804"/>
      <c r="BK60" s="1804"/>
      <c r="BL60" s="1804"/>
      <c r="BM60" s="1804"/>
      <c r="BN60" s="1804"/>
      <c r="BO60" s="1804"/>
      <c r="BP60" s="1804"/>
      <c r="BQ60" s="1804"/>
      <c r="BR60" s="1804"/>
      <c r="BS60" s="1804"/>
      <c r="BT60" s="1804"/>
      <c r="BU60" s="1804"/>
      <c r="BV60" s="1804"/>
      <c r="BW60" s="1804"/>
      <c r="BX60" s="1804"/>
      <c r="BY60" s="1804"/>
      <c r="BZ60" s="1804"/>
      <c r="CA60" s="1804"/>
      <c r="CB60" s="1804"/>
      <c r="CC60" s="1804"/>
      <c r="CD60" s="1804"/>
      <c r="CE60" s="1804"/>
      <c r="CF60" s="1804"/>
      <c r="CG60" s="1804"/>
      <c r="CH60" s="1804"/>
      <c r="CI60" s="1804"/>
      <c r="CJ60" s="1804"/>
      <c r="CK60" s="1804"/>
      <c r="CL60" s="1804"/>
      <c r="CM60" s="1804"/>
      <c r="CN60" s="1804"/>
      <c r="CO60" s="1804"/>
      <c r="CP60" s="1804"/>
      <c r="CQ60" s="1804"/>
      <c r="CR60" s="1804"/>
      <c r="CS60" s="1804"/>
      <c r="CT60" s="1804"/>
      <c r="CU60" s="1804"/>
      <c r="CV60" s="1804"/>
      <c r="CW60" s="1804"/>
      <c r="CX60" s="1804"/>
      <c r="CY60" s="1804"/>
      <c r="CZ60" s="1804"/>
      <c r="DA60" s="1804"/>
      <c r="DB60" s="1804"/>
      <c r="DC60" s="1804"/>
      <c r="DD60" s="1804"/>
      <c r="DE60" s="1804"/>
      <c r="DF60" s="1804"/>
      <c r="DG60" s="1804"/>
      <c r="DH60" s="1804"/>
      <c r="DI60" s="1804"/>
      <c r="DJ60" s="1804"/>
      <c r="DK60" s="1804"/>
      <c r="DL60" s="1804"/>
      <c r="DM60" s="1804"/>
      <c r="DN60" s="1804"/>
      <c r="DO60" s="1804"/>
      <c r="DP60" s="1804"/>
      <c r="DQ60" s="1671"/>
      <c r="DR60" s="1671"/>
      <c r="DS60" s="1671"/>
      <c r="DT60" s="1671"/>
      <c r="DU60" s="1671"/>
      <c r="DV60" s="1671"/>
      <c r="DW60" s="1671"/>
      <c r="DX60" s="1671"/>
      <c r="DY60" s="1671"/>
      <c r="DZ60" s="1671"/>
      <c r="EA60" s="1740"/>
      <c r="EB60" s="1740"/>
      <c r="EC60" s="1740"/>
      <c r="ED60" s="1740"/>
      <c r="EE60" s="1740"/>
      <c r="EF60" s="1740"/>
      <c r="EG60" s="1740"/>
      <c r="EH60" s="1740"/>
      <c r="EI60" s="1740"/>
      <c r="EJ60" s="1740"/>
      <c r="EK60" s="1740"/>
      <c r="EL60" s="1740"/>
      <c r="EM60" s="1740"/>
      <c r="EN60" s="1740"/>
      <c r="EO60" s="1740"/>
      <c r="EP60" s="1740"/>
      <c r="EQ60" s="1740"/>
      <c r="ER60" s="1740"/>
      <c r="ES60" s="1740"/>
      <c r="ET60" s="1740"/>
      <c r="EU60" s="1740"/>
      <c r="EV60" s="1740"/>
      <c r="EW60" s="1740"/>
      <c r="EX60" s="1740"/>
      <c r="EY60" s="1740"/>
      <c r="EZ60" s="1740"/>
      <c r="FA60" s="1740"/>
      <c r="FB60" s="1740"/>
      <c r="FC60" s="1740"/>
      <c r="FD60" s="1740"/>
      <c r="FE60" s="1740"/>
      <c r="FF60" s="1740"/>
      <c r="FG60" s="1740"/>
      <c r="FH60" s="1740"/>
      <c r="FI60" s="1740"/>
      <c r="FJ60" s="1740"/>
      <c r="FK60" s="1740"/>
      <c r="FL60" s="1740"/>
      <c r="FM60" s="1740"/>
      <c r="FN60" s="1740"/>
      <c r="FO60" s="1740"/>
      <c r="FP60" s="1740"/>
      <c r="FQ60" s="1740"/>
      <c r="FR60" s="1740"/>
      <c r="FS60" s="1740"/>
      <c r="FT60" s="1740"/>
      <c r="FU60" s="1740"/>
      <c r="FV60" s="1740"/>
      <c r="FW60" s="1740"/>
      <c r="FX60" s="1740"/>
      <c r="FY60" s="1740"/>
      <c r="FZ60" s="1740"/>
      <c r="GA60" s="1740"/>
      <c r="GB60" s="1740"/>
      <c r="GC60" s="1740"/>
      <c r="GD60" s="1740"/>
      <c r="GE60" s="1740"/>
      <c r="GF60" s="1740"/>
    </row>
    <row r="61" spans="1:188" s="20" customFormat="1">
      <c r="A61" s="333">
        <f t="shared" si="0"/>
        <v>1975</v>
      </c>
      <c r="B61" s="333">
        <f t="shared" si="1"/>
        <v>2</v>
      </c>
      <c r="C61" s="1174">
        <v>27515</v>
      </c>
      <c r="D61" s="1158"/>
      <c r="E61" s="1159">
        <v>167.26547619050001</v>
      </c>
      <c r="F61" s="1159">
        <v>124.52764163454154</v>
      </c>
      <c r="G61" s="1160"/>
      <c r="H61" s="1161"/>
      <c r="I61" s="1160"/>
      <c r="J61" s="1160"/>
      <c r="K61" s="1677"/>
      <c r="L61" s="1677"/>
      <c r="M61" s="1681"/>
      <c r="N61" s="1162"/>
      <c r="O61" s="1162"/>
      <c r="P61" s="1162"/>
      <c r="Q61" s="1163"/>
      <c r="R61" s="1164"/>
      <c r="S61" s="1164"/>
      <c r="T61" s="1164"/>
      <c r="U61" s="1165"/>
      <c r="V61" s="1166"/>
      <c r="W61" s="1166"/>
      <c r="X61" s="630"/>
      <c r="AA61" s="1915"/>
      <c r="AB61" s="1915"/>
      <c r="AC61" s="1804"/>
      <c r="AD61" s="1804"/>
      <c r="AE61" s="1804"/>
      <c r="AF61" s="1804"/>
      <c r="AG61" s="1804"/>
      <c r="AH61" s="1804"/>
      <c r="AI61" s="1781" t="s">
        <v>0</v>
      </c>
      <c r="AJ61" s="1827">
        <v>2011</v>
      </c>
      <c r="AK61" s="1822" t="s">
        <v>26</v>
      </c>
      <c r="AL61" s="1822">
        <v>5</v>
      </c>
      <c r="AM61" s="1823">
        <v>296772260.06000006</v>
      </c>
      <c r="AN61" s="1824">
        <v>8.5186330567960558E-2</v>
      </c>
      <c r="AO61" s="1781"/>
      <c r="AP61" s="1781" t="s">
        <v>0</v>
      </c>
      <c r="AQ61" s="1781" t="s">
        <v>501</v>
      </c>
      <c r="AR61" s="1822" t="s">
        <v>26</v>
      </c>
      <c r="AS61" s="1822">
        <v>5</v>
      </c>
      <c r="AT61" s="1823">
        <v>281448198.71000004</v>
      </c>
      <c r="AU61" s="1825">
        <v>7.6636750795095632E-2</v>
      </c>
      <c r="AV61" s="1781">
        <v>2011</v>
      </c>
      <c r="AW61" s="1671"/>
      <c r="AX61" s="1671"/>
      <c r="AY61" s="1804"/>
      <c r="AZ61" s="1804"/>
      <c r="BA61" s="1804"/>
      <c r="BB61" s="1804"/>
      <c r="BC61" s="1804"/>
      <c r="BD61" s="1804"/>
      <c r="BE61" s="1804"/>
      <c r="BF61" s="1804"/>
      <c r="BG61" s="1804"/>
      <c r="BH61" s="1804"/>
      <c r="BI61" s="1804"/>
      <c r="BJ61" s="1804"/>
      <c r="BK61" s="1804"/>
      <c r="BL61" s="1804"/>
      <c r="BM61" s="1804"/>
      <c r="BN61" s="1804"/>
      <c r="BO61" s="1804"/>
      <c r="BP61" s="1804"/>
      <c r="BQ61" s="1804"/>
      <c r="BR61" s="1804"/>
      <c r="BS61" s="1804"/>
      <c r="BT61" s="1804"/>
      <c r="BU61" s="1804"/>
      <c r="BV61" s="1804"/>
      <c r="BW61" s="1804"/>
      <c r="BX61" s="1804"/>
      <c r="BY61" s="1804"/>
      <c r="BZ61" s="1804"/>
      <c r="CA61" s="1804"/>
      <c r="CB61" s="1804"/>
      <c r="CC61" s="1804"/>
      <c r="CD61" s="1804"/>
      <c r="CE61" s="1804"/>
      <c r="CF61" s="1804"/>
      <c r="CG61" s="1804"/>
      <c r="CH61" s="1804"/>
      <c r="CI61" s="1804"/>
      <c r="CJ61" s="1804"/>
      <c r="CK61" s="1804"/>
      <c r="CL61" s="1804"/>
      <c r="CM61" s="1804"/>
      <c r="CN61" s="1804"/>
      <c r="CO61" s="1804"/>
      <c r="CP61" s="1804"/>
      <c r="CQ61" s="1804"/>
      <c r="CR61" s="1804"/>
      <c r="CS61" s="1804"/>
      <c r="CT61" s="1804"/>
      <c r="CU61" s="1804"/>
      <c r="CV61" s="1804"/>
      <c r="CW61" s="1804"/>
      <c r="CX61" s="1804"/>
      <c r="CY61" s="1804"/>
      <c r="CZ61" s="1804"/>
      <c r="DA61" s="1804"/>
      <c r="DB61" s="1804"/>
      <c r="DC61" s="1804"/>
      <c r="DD61" s="1804"/>
      <c r="DE61" s="1804"/>
      <c r="DF61" s="1804"/>
      <c r="DG61" s="1804"/>
      <c r="DH61" s="1804"/>
      <c r="DI61" s="1804"/>
      <c r="DJ61" s="1804"/>
      <c r="DK61" s="1804"/>
      <c r="DL61" s="1804"/>
      <c r="DM61" s="1804"/>
      <c r="DN61" s="1804"/>
      <c r="DO61" s="1804"/>
      <c r="DP61" s="1804"/>
      <c r="DQ61" s="1671"/>
      <c r="DR61" s="1671"/>
      <c r="DS61" s="1671"/>
      <c r="DT61" s="1671"/>
      <c r="DU61" s="1671"/>
      <c r="DV61" s="1671"/>
      <c r="DW61" s="1671"/>
      <c r="DX61" s="1671"/>
      <c r="DY61" s="1671"/>
      <c r="DZ61" s="1671"/>
      <c r="EA61" s="1740"/>
      <c r="EB61" s="1740"/>
      <c r="EC61" s="1740"/>
      <c r="ED61" s="1740"/>
      <c r="EE61" s="1740"/>
      <c r="EF61" s="1740"/>
      <c r="EG61" s="1740"/>
      <c r="EH61" s="1740"/>
      <c r="EI61" s="1740"/>
      <c r="EJ61" s="1740"/>
      <c r="EK61" s="1740"/>
      <c r="EL61" s="1740"/>
      <c r="EM61" s="1740"/>
      <c r="EN61" s="1740"/>
      <c r="EO61" s="1740"/>
      <c r="EP61" s="1740"/>
      <c r="EQ61" s="1740"/>
      <c r="ER61" s="1740"/>
      <c r="ES61" s="1740"/>
      <c r="ET61" s="1740"/>
      <c r="EU61" s="1740"/>
      <c r="EV61" s="1740"/>
      <c r="EW61" s="1740"/>
      <c r="EX61" s="1740"/>
      <c r="EY61" s="1740"/>
      <c r="EZ61" s="1740"/>
      <c r="FA61" s="1740"/>
      <c r="FB61" s="1740"/>
      <c r="FC61" s="1740"/>
      <c r="FD61" s="1740"/>
      <c r="FE61" s="1740"/>
      <c r="FF61" s="1740"/>
      <c r="FG61" s="1740"/>
      <c r="FH61" s="1740"/>
      <c r="FI61" s="1740"/>
      <c r="FJ61" s="1740"/>
      <c r="FK61" s="1740"/>
      <c r="FL61" s="1740"/>
      <c r="FM61" s="1740"/>
      <c r="FN61" s="1740"/>
      <c r="FO61" s="1740"/>
      <c r="FP61" s="1740"/>
      <c r="FQ61" s="1740"/>
      <c r="FR61" s="1740"/>
      <c r="FS61" s="1740"/>
      <c r="FT61" s="1740"/>
      <c r="FU61" s="1740"/>
      <c r="FV61" s="1740"/>
      <c r="FW61" s="1740"/>
      <c r="FX61" s="1740"/>
      <c r="FY61" s="1740"/>
      <c r="FZ61" s="1740"/>
      <c r="GA61" s="1740"/>
      <c r="GB61" s="1740"/>
      <c r="GC61" s="1740"/>
      <c r="GD61" s="1740"/>
      <c r="GE61" s="1740"/>
      <c r="GF61" s="1740"/>
    </row>
    <row r="62" spans="1:188" s="20" customFormat="1">
      <c r="A62" s="333">
        <f t="shared" si="0"/>
        <v>1975</v>
      </c>
      <c r="B62" s="333">
        <f t="shared" si="1"/>
        <v>2</v>
      </c>
      <c r="C62" s="1174">
        <v>27547</v>
      </c>
      <c r="D62" s="1167"/>
      <c r="E62" s="1168">
        <v>164.3607142857</v>
      </c>
      <c r="F62" s="1168">
        <v>123.97104107856065</v>
      </c>
      <c r="G62" s="1168"/>
      <c r="H62" s="1167"/>
      <c r="I62" s="1168"/>
      <c r="J62" s="1168"/>
      <c r="K62" s="1678"/>
      <c r="L62" s="1678"/>
      <c r="M62" s="1682"/>
      <c r="N62" s="1169"/>
      <c r="O62" s="1169"/>
      <c r="P62" s="1169"/>
      <c r="Q62" s="1167"/>
      <c r="R62" s="1167"/>
      <c r="S62" s="1167"/>
      <c r="T62" s="1167"/>
      <c r="U62" s="1167"/>
      <c r="V62" s="1167"/>
      <c r="W62" s="1167"/>
      <c r="X62" s="630"/>
      <c r="AA62" s="1915"/>
      <c r="AB62" s="1915"/>
      <c r="AC62" s="1804"/>
      <c r="AD62" s="1804"/>
      <c r="AE62" s="1804"/>
      <c r="AF62" s="1804"/>
      <c r="AG62" s="1804"/>
      <c r="AH62" s="1804"/>
      <c r="AI62" s="1781" t="s">
        <v>0</v>
      </c>
      <c r="AJ62" s="1827">
        <v>2011</v>
      </c>
      <c r="AK62" s="1822" t="s">
        <v>29</v>
      </c>
      <c r="AL62" s="1822">
        <v>6</v>
      </c>
      <c r="AM62" s="1823">
        <v>211566750.22999996</v>
      </c>
      <c r="AN62" s="1824">
        <v>6.0728705299606493E-2</v>
      </c>
      <c r="AO62" s="1781"/>
      <c r="AP62" s="1781" t="s">
        <v>0</v>
      </c>
      <c r="AQ62" s="1781" t="s">
        <v>501</v>
      </c>
      <c r="AR62" s="1822" t="s">
        <v>138</v>
      </c>
      <c r="AS62" s="1822">
        <v>6</v>
      </c>
      <c r="AT62" s="1823">
        <v>232472654.44000006</v>
      </c>
      <c r="AU62" s="1825">
        <v>6.3300987416693141E-2</v>
      </c>
      <c r="AV62" s="1781">
        <v>2011</v>
      </c>
      <c r="AW62" s="1671"/>
      <c r="AX62" s="1925">
        <f>'Alumina - Prices'!A61</f>
        <v>44166</v>
      </c>
      <c r="AY62" s="1804"/>
      <c r="AZ62" s="1804"/>
      <c r="BA62" s="1804"/>
      <c r="BB62" s="1804"/>
      <c r="BC62" s="1804"/>
      <c r="BD62" s="1804"/>
      <c r="BE62" s="1804"/>
      <c r="BF62" s="1804"/>
      <c r="BG62" s="1804"/>
      <c r="BH62" s="1804"/>
      <c r="BI62" s="1804"/>
      <c r="BJ62" s="1804"/>
      <c r="BK62" s="1804"/>
      <c r="BL62" s="1804"/>
      <c r="BM62" s="1804"/>
      <c r="BN62" s="1804"/>
      <c r="BO62" s="1804"/>
      <c r="BP62" s="1804"/>
      <c r="BQ62" s="1804"/>
      <c r="BR62" s="1804"/>
      <c r="BS62" s="1804"/>
      <c r="BT62" s="1804"/>
      <c r="BU62" s="1804"/>
      <c r="BV62" s="1804"/>
      <c r="BW62" s="1804"/>
      <c r="BX62" s="1804"/>
      <c r="BY62" s="1804"/>
      <c r="BZ62" s="1804"/>
      <c r="CA62" s="1804"/>
      <c r="CB62" s="1804"/>
      <c r="CC62" s="1804"/>
      <c r="CD62" s="1804"/>
      <c r="CE62" s="1804"/>
      <c r="CF62" s="1804"/>
      <c r="CG62" s="1804"/>
      <c r="CH62" s="1804"/>
      <c r="CI62" s="1804"/>
      <c r="CJ62" s="1804"/>
      <c r="CK62" s="1804"/>
      <c r="CL62" s="1804"/>
      <c r="CM62" s="1804"/>
      <c r="CN62" s="1804"/>
      <c r="CO62" s="1804"/>
      <c r="CP62" s="1804"/>
      <c r="CQ62" s="1804"/>
      <c r="CR62" s="1804"/>
      <c r="CS62" s="1804"/>
      <c r="CT62" s="1804"/>
      <c r="CU62" s="1804"/>
      <c r="CV62" s="1804"/>
      <c r="CW62" s="1804"/>
      <c r="CX62" s="1804"/>
      <c r="CY62" s="1804"/>
      <c r="CZ62" s="1804"/>
      <c r="DA62" s="1804"/>
      <c r="DB62" s="1804"/>
      <c r="DC62" s="1804"/>
      <c r="DD62" s="1804"/>
      <c r="DE62" s="1804"/>
      <c r="DF62" s="1804"/>
      <c r="DG62" s="1804"/>
      <c r="DH62" s="1804"/>
      <c r="DI62" s="1804"/>
      <c r="DJ62" s="1804"/>
      <c r="DK62" s="1804"/>
      <c r="DL62" s="1804"/>
      <c r="DM62" s="1804"/>
      <c r="DN62" s="1804"/>
      <c r="DO62" s="1804"/>
      <c r="DP62" s="1804"/>
      <c r="DQ62" s="1671"/>
      <c r="DR62" s="1671"/>
      <c r="DS62" s="1671"/>
      <c r="DT62" s="1671"/>
      <c r="DU62" s="1671"/>
      <c r="DV62" s="1671"/>
      <c r="DW62" s="1671"/>
      <c r="DX62" s="1671"/>
      <c r="DY62" s="1671"/>
      <c r="DZ62" s="1671"/>
      <c r="EA62" s="1740"/>
      <c r="EB62" s="1740"/>
      <c r="EC62" s="1740"/>
      <c r="ED62" s="1740"/>
      <c r="EE62" s="1740"/>
      <c r="EF62" s="1740"/>
      <c r="EG62" s="1740"/>
      <c r="EH62" s="1740"/>
      <c r="EI62" s="1740"/>
      <c r="EJ62" s="1740"/>
      <c r="EK62" s="1740"/>
      <c r="EL62" s="1740"/>
      <c r="EM62" s="1740"/>
      <c r="EN62" s="1740"/>
      <c r="EO62" s="1740"/>
      <c r="EP62" s="1740"/>
      <c r="EQ62" s="1740"/>
      <c r="ER62" s="1740"/>
      <c r="ES62" s="1740"/>
      <c r="ET62" s="1740"/>
      <c r="EU62" s="1740"/>
      <c r="EV62" s="1740"/>
      <c r="EW62" s="1740"/>
      <c r="EX62" s="1740"/>
      <c r="EY62" s="1740"/>
      <c r="EZ62" s="1740"/>
      <c r="FA62" s="1740"/>
      <c r="FB62" s="1740"/>
      <c r="FC62" s="1740"/>
      <c r="FD62" s="1740"/>
      <c r="FE62" s="1740"/>
      <c r="FF62" s="1740"/>
      <c r="FG62" s="1740"/>
      <c r="FH62" s="1740"/>
      <c r="FI62" s="1740"/>
      <c r="FJ62" s="1740"/>
      <c r="FK62" s="1740"/>
      <c r="FL62" s="1740"/>
      <c r="FM62" s="1740"/>
      <c r="FN62" s="1740"/>
      <c r="FO62" s="1740"/>
      <c r="FP62" s="1740"/>
      <c r="FQ62" s="1740"/>
      <c r="FR62" s="1740"/>
      <c r="FS62" s="1740"/>
      <c r="FT62" s="1740"/>
      <c r="FU62" s="1740"/>
      <c r="FV62" s="1740"/>
      <c r="FW62" s="1740"/>
      <c r="FX62" s="1740"/>
      <c r="FY62" s="1740"/>
      <c r="FZ62" s="1740"/>
      <c r="GA62" s="1740"/>
      <c r="GB62" s="1740"/>
      <c r="GC62" s="1740"/>
      <c r="GD62" s="1740"/>
      <c r="GE62" s="1740"/>
      <c r="GF62" s="1740"/>
    </row>
    <row r="63" spans="1:188" s="20" customFormat="1">
      <c r="A63" s="333">
        <f t="shared" si="0"/>
        <v>1975</v>
      </c>
      <c r="B63" s="333">
        <f t="shared" si="1"/>
        <v>3</v>
      </c>
      <c r="C63" s="1174">
        <v>27576</v>
      </c>
      <c r="D63" s="1158"/>
      <c r="E63" s="1159">
        <v>165.17065217390001</v>
      </c>
      <c r="F63" s="1159">
        <v>127.27951354129431</v>
      </c>
      <c r="G63" s="1160"/>
      <c r="H63" s="1161"/>
      <c r="I63" s="1160"/>
      <c r="J63" s="1160"/>
      <c r="K63" s="1677"/>
      <c r="L63" s="1677"/>
      <c r="M63" s="1681"/>
      <c r="N63" s="1162"/>
      <c r="O63" s="1162"/>
      <c r="P63" s="1162"/>
      <c r="Q63" s="1163"/>
      <c r="R63" s="1164"/>
      <c r="S63" s="1164"/>
      <c r="T63" s="1164"/>
      <c r="U63" s="1165"/>
      <c r="V63" s="1166"/>
      <c r="W63" s="1166"/>
      <c r="X63" s="630"/>
      <c r="AA63" s="1915"/>
      <c r="AB63" s="1915"/>
      <c r="AC63" s="1804"/>
      <c r="AD63" s="1804"/>
      <c r="AE63" s="1804"/>
      <c r="AF63" s="1804"/>
      <c r="AG63" s="1804"/>
      <c r="AH63" s="1804"/>
      <c r="AI63" s="1781" t="s">
        <v>0</v>
      </c>
      <c r="AJ63" s="1827">
        <v>2011</v>
      </c>
      <c r="AK63" s="1822" t="s">
        <v>758</v>
      </c>
      <c r="AL63" s="1822">
        <v>7</v>
      </c>
      <c r="AM63" s="1823">
        <v>185587657.65000001</v>
      </c>
      <c r="AN63" s="1824">
        <v>5.3271594692543348E-2</v>
      </c>
      <c r="AO63" s="1781"/>
      <c r="AP63" s="1781" t="s">
        <v>0</v>
      </c>
      <c r="AQ63" s="1781" t="s">
        <v>501</v>
      </c>
      <c r="AR63" s="1822" t="s">
        <v>29</v>
      </c>
      <c r="AS63" s="1822">
        <v>7</v>
      </c>
      <c r="AT63" s="1823">
        <v>160754823.71999997</v>
      </c>
      <c r="AU63" s="1825">
        <v>4.377262821722027E-2</v>
      </c>
      <c r="AV63" s="1781">
        <v>2011</v>
      </c>
      <c r="AW63" s="1671"/>
      <c r="AX63" s="1671"/>
      <c r="AY63" s="1804"/>
      <c r="AZ63" s="1804"/>
      <c r="BA63" s="1804"/>
      <c r="BB63" s="1804"/>
      <c r="BC63" s="1804"/>
      <c r="BD63" s="1804"/>
      <c r="BE63" s="1804"/>
      <c r="BF63" s="1804"/>
      <c r="BG63" s="1804"/>
      <c r="BH63" s="1804"/>
      <c r="BI63" s="1804"/>
      <c r="BJ63" s="1804"/>
      <c r="BK63" s="1804"/>
      <c r="BL63" s="1804"/>
      <c r="BM63" s="1804"/>
      <c r="BN63" s="1804"/>
      <c r="BO63" s="1804"/>
      <c r="BP63" s="1804"/>
      <c r="BQ63" s="1804"/>
      <c r="BR63" s="1804"/>
      <c r="BS63" s="1804"/>
      <c r="BT63" s="1804"/>
      <c r="BU63" s="1804"/>
      <c r="BV63" s="1804"/>
      <c r="BW63" s="1804"/>
      <c r="BX63" s="1804"/>
      <c r="BY63" s="1804"/>
      <c r="BZ63" s="1804"/>
      <c r="CA63" s="1804"/>
      <c r="CB63" s="1804"/>
      <c r="CC63" s="1804"/>
      <c r="CD63" s="1804"/>
      <c r="CE63" s="1804"/>
      <c r="CF63" s="1804"/>
      <c r="CG63" s="1804"/>
      <c r="CH63" s="1804"/>
      <c r="CI63" s="1804"/>
      <c r="CJ63" s="1804"/>
      <c r="CK63" s="1804"/>
      <c r="CL63" s="1804"/>
      <c r="CM63" s="1804"/>
      <c r="CN63" s="1804"/>
      <c r="CO63" s="1804"/>
      <c r="CP63" s="1804"/>
      <c r="CQ63" s="1804"/>
      <c r="CR63" s="1804"/>
      <c r="CS63" s="1804"/>
      <c r="CT63" s="1804"/>
      <c r="CU63" s="1804"/>
      <c r="CV63" s="1804"/>
      <c r="CW63" s="1804"/>
      <c r="CX63" s="1804"/>
      <c r="CY63" s="1804"/>
      <c r="CZ63" s="1804"/>
      <c r="DA63" s="1804"/>
      <c r="DB63" s="1804"/>
      <c r="DC63" s="1804"/>
      <c r="DD63" s="1804"/>
      <c r="DE63" s="1804"/>
      <c r="DF63" s="1804"/>
      <c r="DG63" s="1804"/>
      <c r="DH63" s="1804"/>
      <c r="DI63" s="1804"/>
      <c r="DJ63" s="1804"/>
      <c r="DK63" s="1804"/>
      <c r="DL63" s="1804"/>
      <c r="DM63" s="1804"/>
      <c r="DN63" s="1804"/>
      <c r="DO63" s="1804"/>
      <c r="DP63" s="1804"/>
      <c r="DQ63" s="1671"/>
      <c r="DR63" s="1671"/>
      <c r="DS63" s="1671"/>
      <c r="DT63" s="1671"/>
      <c r="DU63" s="1671"/>
      <c r="DV63" s="1671"/>
      <c r="DW63" s="1671"/>
      <c r="DX63" s="1671"/>
      <c r="DY63" s="1671"/>
      <c r="DZ63" s="1671"/>
      <c r="EA63" s="1740"/>
      <c r="EB63" s="1740"/>
      <c r="EC63" s="1740"/>
      <c r="ED63" s="1740"/>
      <c r="EE63" s="1740"/>
      <c r="EF63" s="1740"/>
      <c r="EG63" s="1740"/>
      <c r="EH63" s="1740"/>
      <c r="EI63" s="1740"/>
      <c r="EJ63" s="1740"/>
      <c r="EK63" s="1740"/>
      <c r="EL63" s="1740"/>
      <c r="EM63" s="1740"/>
      <c r="EN63" s="1740"/>
      <c r="EO63" s="1740"/>
      <c r="EP63" s="1740"/>
      <c r="EQ63" s="1740"/>
      <c r="ER63" s="1740"/>
      <c r="ES63" s="1740"/>
      <c r="ET63" s="1740"/>
      <c r="EU63" s="1740"/>
      <c r="EV63" s="1740"/>
      <c r="EW63" s="1740"/>
      <c r="EX63" s="1740"/>
      <c r="EY63" s="1740"/>
      <c r="EZ63" s="1740"/>
      <c r="FA63" s="1740"/>
      <c r="FB63" s="1740"/>
      <c r="FC63" s="1740"/>
      <c r="FD63" s="1740"/>
      <c r="FE63" s="1740"/>
      <c r="FF63" s="1740"/>
      <c r="FG63" s="1740"/>
      <c r="FH63" s="1740"/>
      <c r="FI63" s="1740"/>
      <c r="FJ63" s="1740"/>
      <c r="FK63" s="1740"/>
      <c r="FL63" s="1740"/>
      <c r="FM63" s="1740"/>
      <c r="FN63" s="1740"/>
      <c r="FO63" s="1740"/>
      <c r="FP63" s="1740"/>
      <c r="FQ63" s="1740"/>
      <c r="FR63" s="1740"/>
      <c r="FS63" s="1740"/>
      <c r="FT63" s="1740"/>
      <c r="FU63" s="1740"/>
      <c r="FV63" s="1740"/>
      <c r="FW63" s="1740"/>
      <c r="FX63" s="1740"/>
      <c r="FY63" s="1740"/>
      <c r="FZ63" s="1740"/>
      <c r="GA63" s="1740"/>
      <c r="GB63" s="1740"/>
      <c r="GC63" s="1740"/>
      <c r="GD63" s="1740"/>
      <c r="GE63" s="1740"/>
      <c r="GF63" s="1740"/>
    </row>
    <row r="64" spans="1:188" s="20" customFormat="1">
      <c r="A64" s="333">
        <f t="shared" si="0"/>
        <v>1975</v>
      </c>
      <c r="B64" s="333">
        <f t="shared" si="1"/>
        <v>3</v>
      </c>
      <c r="C64" s="1174">
        <v>27607</v>
      </c>
      <c r="D64" s="1167"/>
      <c r="E64" s="1168">
        <v>162.70375000000001</v>
      </c>
      <c r="F64" s="1168">
        <v>127.17185426</v>
      </c>
      <c r="G64" s="1168"/>
      <c r="H64" s="1167"/>
      <c r="I64" s="1168"/>
      <c r="J64" s="1168"/>
      <c r="K64" s="1678"/>
      <c r="L64" s="1678"/>
      <c r="M64" s="1682"/>
      <c r="N64" s="1169"/>
      <c r="O64" s="1169"/>
      <c r="P64" s="1169"/>
      <c r="Q64" s="1167"/>
      <c r="R64" s="1167"/>
      <c r="S64" s="1167"/>
      <c r="T64" s="1167"/>
      <c r="U64" s="1167"/>
      <c r="V64" s="1167"/>
      <c r="W64" s="1167"/>
      <c r="X64" s="630"/>
      <c r="AA64" s="1915"/>
      <c r="AB64" s="1915"/>
      <c r="AC64" s="1804"/>
      <c r="AD64" s="1804"/>
      <c r="AE64" s="1804"/>
      <c r="AF64" s="1804"/>
      <c r="AG64" s="1804"/>
      <c r="AH64" s="1804"/>
      <c r="AI64" s="1781" t="s">
        <v>0</v>
      </c>
      <c r="AJ64" s="1827">
        <v>2011</v>
      </c>
      <c r="AK64" s="1822" t="s">
        <v>28</v>
      </c>
      <c r="AL64" s="1822">
        <v>8</v>
      </c>
      <c r="AM64" s="1823">
        <v>165338350.38999999</v>
      </c>
      <c r="AN64" s="1824">
        <v>4.7459177515567913E-2</v>
      </c>
      <c r="AO64" s="1781"/>
      <c r="AP64" s="1781" t="s">
        <v>0</v>
      </c>
      <c r="AQ64" s="1781" t="s">
        <v>501</v>
      </c>
      <c r="AR64" s="1822" t="s">
        <v>28</v>
      </c>
      <c r="AS64" s="1822">
        <v>8</v>
      </c>
      <c r="AT64" s="1823">
        <v>136306131.96000001</v>
      </c>
      <c r="AU64" s="1825">
        <v>3.7115387892837082E-2</v>
      </c>
      <c r="AV64" s="1781">
        <v>2011</v>
      </c>
      <c r="AW64" s="1671"/>
      <c r="AX64" s="1671"/>
      <c r="AY64" s="1804"/>
      <c r="AZ64" s="1804"/>
      <c r="BA64" s="1804"/>
      <c r="BB64" s="1804"/>
      <c r="BC64" s="1804"/>
      <c r="BD64" s="1804"/>
      <c r="BE64" s="1804"/>
      <c r="BF64" s="1804"/>
      <c r="BG64" s="1804"/>
      <c r="BH64" s="1804"/>
      <c r="BI64" s="1804"/>
      <c r="BJ64" s="1804"/>
      <c r="BK64" s="1804"/>
      <c r="BL64" s="1804"/>
      <c r="BM64" s="1804"/>
      <c r="BN64" s="1804"/>
      <c r="BO64" s="1804"/>
      <c r="BP64" s="1804"/>
      <c r="BQ64" s="1804"/>
      <c r="BR64" s="1804"/>
      <c r="BS64" s="1804"/>
      <c r="BT64" s="1804"/>
      <c r="BU64" s="1804"/>
      <c r="BV64" s="1804"/>
      <c r="BW64" s="1804"/>
      <c r="BX64" s="1804"/>
      <c r="BY64" s="1804"/>
      <c r="BZ64" s="1804"/>
      <c r="CA64" s="1804"/>
      <c r="CB64" s="1804"/>
      <c r="CC64" s="1804"/>
      <c r="CD64" s="1804"/>
      <c r="CE64" s="1804"/>
      <c r="CF64" s="1804"/>
      <c r="CG64" s="1804"/>
      <c r="CH64" s="1804"/>
      <c r="CI64" s="1804"/>
      <c r="CJ64" s="1804"/>
      <c r="CK64" s="1804"/>
      <c r="CL64" s="1804"/>
      <c r="CM64" s="1804"/>
      <c r="CN64" s="1804"/>
      <c r="CO64" s="1804"/>
      <c r="CP64" s="1804"/>
      <c r="CQ64" s="1804"/>
      <c r="CR64" s="1804"/>
      <c r="CS64" s="1804"/>
      <c r="CT64" s="1804"/>
      <c r="CU64" s="1804"/>
      <c r="CV64" s="1804"/>
      <c r="CW64" s="1804"/>
      <c r="CX64" s="1804"/>
      <c r="CY64" s="1804"/>
      <c r="CZ64" s="1804"/>
      <c r="DA64" s="1804"/>
      <c r="DB64" s="1804"/>
      <c r="DC64" s="1804"/>
      <c r="DD64" s="1804"/>
      <c r="DE64" s="1804"/>
      <c r="DF64" s="1804"/>
      <c r="DG64" s="1804"/>
      <c r="DH64" s="1804"/>
      <c r="DI64" s="1804"/>
      <c r="DJ64" s="1804"/>
      <c r="DK64" s="1804"/>
      <c r="DL64" s="1804"/>
      <c r="DM64" s="1804"/>
      <c r="DN64" s="1804"/>
      <c r="DO64" s="1804"/>
      <c r="DP64" s="1804"/>
      <c r="DQ64" s="1671"/>
      <c r="DR64" s="1671"/>
      <c r="DS64" s="1671"/>
      <c r="DT64" s="1671"/>
      <c r="DU64" s="1671"/>
      <c r="DV64" s="1671"/>
      <c r="DW64" s="1671"/>
      <c r="DX64" s="1671"/>
      <c r="DY64" s="1671"/>
      <c r="DZ64" s="1671"/>
      <c r="EA64" s="1740"/>
      <c r="EB64" s="1740"/>
      <c r="EC64" s="1740"/>
      <c r="ED64" s="1740"/>
      <c r="EE64" s="1740"/>
      <c r="EF64" s="1740"/>
      <c r="EG64" s="1740"/>
      <c r="EH64" s="1740"/>
      <c r="EI64" s="1740"/>
      <c r="EJ64" s="1740"/>
      <c r="EK64" s="1740"/>
      <c r="EL64" s="1740"/>
      <c r="EM64" s="1740"/>
      <c r="EN64" s="1740"/>
      <c r="EO64" s="1740"/>
      <c r="EP64" s="1740"/>
      <c r="EQ64" s="1740"/>
      <c r="ER64" s="1740"/>
      <c r="ES64" s="1740"/>
      <c r="ET64" s="1740"/>
      <c r="EU64" s="1740"/>
      <c r="EV64" s="1740"/>
      <c r="EW64" s="1740"/>
      <c r="EX64" s="1740"/>
      <c r="EY64" s="1740"/>
      <c r="EZ64" s="1740"/>
      <c r="FA64" s="1740"/>
      <c r="FB64" s="1740"/>
      <c r="FC64" s="1740"/>
      <c r="FD64" s="1740"/>
      <c r="FE64" s="1740"/>
      <c r="FF64" s="1740"/>
      <c r="FG64" s="1740"/>
      <c r="FH64" s="1740"/>
      <c r="FI64" s="1740"/>
      <c r="FJ64" s="1740"/>
      <c r="FK64" s="1740"/>
      <c r="FL64" s="1740"/>
      <c r="FM64" s="1740"/>
      <c r="FN64" s="1740"/>
      <c r="FO64" s="1740"/>
      <c r="FP64" s="1740"/>
      <c r="FQ64" s="1740"/>
      <c r="FR64" s="1740"/>
      <c r="FS64" s="1740"/>
      <c r="FT64" s="1740"/>
      <c r="FU64" s="1740"/>
      <c r="FV64" s="1740"/>
      <c r="FW64" s="1740"/>
      <c r="FX64" s="1740"/>
      <c r="FY64" s="1740"/>
      <c r="FZ64" s="1740"/>
      <c r="GA64" s="1740"/>
      <c r="GB64" s="1740"/>
      <c r="GC64" s="1740"/>
      <c r="GD64" s="1740"/>
      <c r="GE64" s="1740"/>
      <c r="GF64" s="1740"/>
    </row>
    <row r="65" spans="1:188" s="20" customFormat="1">
      <c r="A65" s="333">
        <f t="shared" si="0"/>
        <v>1975</v>
      </c>
      <c r="B65" s="333">
        <f t="shared" si="1"/>
        <v>3</v>
      </c>
      <c r="C65" s="1174">
        <v>27638</v>
      </c>
      <c r="D65" s="1158"/>
      <c r="E65" s="1159">
        <v>143.8318181818</v>
      </c>
      <c r="F65" s="1159">
        <v>114.51572933634917</v>
      </c>
      <c r="G65" s="1160"/>
      <c r="H65" s="1161"/>
      <c r="I65" s="1160"/>
      <c r="J65" s="1160"/>
      <c r="K65" s="1677"/>
      <c r="L65" s="1677"/>
      <c r="M65" s="1681"/>
      <c r="N65" s="1162"/>
      <c r="O65" s="1162"/>
      <c r="P65" s="1162"/>
      <c r="Q65" s="1163"/>
      <c r="R65" s="1164"/>
      <c r="S65" s="1164"/>
      <c r="T65" s="1164"/>
      <c r="U65" s="1165"/>
      <c r="V65" s="1166"/>
      <c r="W65" s="1166"/>
      <c r="X65" s="630"/>
      <c r="AA65" s="1915"/>
      <c r="AB65" s="1915"/>
      <c r="AC65" s="1804"/>
      <c r="AD65" s="1804"/>
      <c r="AE65" s="1804"/>
      <c r="AF65" s="1804"/>
      <c r="AG65" s="1804"/>
      <c r="AH65" s="1804"/>
      <c r="AI65" s="1781" t="s">
        <v>0</v>
      </c>
      <c r="AJ65" s="1827">
        <v>2011</v>
      </c>
      <c r="AK65" s="1822" t="s">
        <v>21</v>
      </c>
      <c r="AL65" s="1822">
        <v>9</v>
      </c>
      <c r="AM65" s="1823">
        <v>147998181.80999997</v>
      </c>
      <c r="AN65" s="1824">
        <v>4.2481807553626724E-2</v>
      </c>
      <c r="AO65" s="1781"/>
      <c r="AP65" s="1781" t="s">
        <v>0</v>
      </c>
      <c r="AQ65" s="1781" t="s">
        <v>501</v>
      </c>
      <c r="AR65" s="1822" t="s">
        <v>22</v>
      </c>
      <c r="AS65" s="1822">
        <v>9</v>
      </c>
      <c r="AT65" s="1823">
        <v>130671743.03999999</v>
      </c>
      <c r="AU65" s="1825">
        <v>3.5581175694912835E-2</v>
      </c>
      <c r="AV65" s="1781">
        <v>2011</v>
      </c>
      <c r="AW65" s="1671"/>
      <c r="AX65" s="1925">
        <f>'Alumina - Prices'!A64</f>
        <v>44256</v>
      </c>
      <c r="AY65" s="1804"/>
      <c r="AZ65" s="1804"/>
      <c r="BA65" s="1804"/>
      <c r="BB65" s="1804"/>
      <c r="BC65" s="1804"/>
      <c r="BD65" s="1804"/>
      <c r="BE65" s="1804"/>
      <c r="BF65" s="1804"/>
      <c r="BG65" s="1804"/>
      <c r="BH65" s="1804"/>
      <c r="BI65" s="1804"/>
      <c r="BJ65" s="1804"/>
      <c r="BK65" s="1804"/>
      <c r="BL65" s="1804"/>
      <c r="BM65" s="1804"/>
      <c r="BN65" s="1804"/>
      <c r="BO65" s="1804"/>
      <c r="BP65" s="1804"/>
      <c r="BQ65" s="1804"/>
      <c r="BR65" s="1804"/>
      <c r="BS65" s="1804"/>
      <c r="BT65" s="1804"/>
      <c r="BU65" s="1804"/>
      <c r="BV65" s="1804"/>
      <c r="BW65" s="1804"/>
      <c r="BX65" s="1804"/>
      <c r="BY65" s="1804"/>
      <c r="BZ65" s="1804"/>
      <c r="CA65" s="1804"/>
      <c r="CB65" s="1804"/>
      <c r="CC65" s="1804"/>
      <c r="CD65" s="1804"/>
      <c r="CE65" s="1804"/>
      <c r="CF65" s="1804"/>
      <c r="CG65" s="1804"/>
      <c r="CH65" s="1804"/>
      <c r="CI65" s="1804"/>
      <c r="CJ65" s="1804"/>
      <c r="CK65" s="1804"/>
      <c r="CL65" s="1804"/>
      <c r="CM65" s="1804"/>
      <c r="CN65" s="1804"/>
      <c r="CO65" s="1804"/>
      <c r="CP65" s="1804"/>
      <c r="CQ65" s="1804"/>
      <c r="CR65" s="1804"/>
      <c r="CS65" s="1804"/>
      <c r="CT65" s="1804"/>
      <c r="CU65" s="1804"/>
      <c r="CV65" s="1804"/>
      <c r="CW65" s="1804"/>
      <c r="CX65" s="1804"/>
      <c r="CY65" s="1804"/>
      <c r="CZ65" s="1804"/>
      <c r="DA65" s="1804"/>
      <c r="DB65" s="1804"/>
      <c r="DC65" s="1804"/>
      <c r="DD65" s="1804"/>
      <c r="DE65" s="1804"/>
      <c r="DF65" s="1804"/>
      <c r="DG65" s="1804"/>
      <c r="DH65" s="1804"/>
      <c r="DI65" s="1804"/>
      <c r="DJ65" s="1804"/>
      <c r="DK65" s="1804"/>
      <c r="DL65" s="1804"/>
      <c r="DM65" s="1804"/>
      <c r="DN65" s="1804"/>
      <c r="DO65" s="1804"/>
      <c r="DP65" s="1804"/>
      <c r="DQ65" s="1671"/>
      <c r="DR65" s="1671"/>
      <c r="DS65" s="1671"/>
      <c r="DT65" s="1671"/>
      <c r="DU65" s="1671"/>
      <c r="DV65" s="1671"/>
      <c r="DW65" s="1671"/>
      <c r="DX65" s="1671"/>
      <c r="DY65" s="1671"/>
      <c r="DZ65" s="1671"/>
      <c r="EA65" s="1740"/>
      <c r="EB65" s="1740"/>
      <c r="EC65" s="1740"/>
      <c r="ED65" s="1740"/>
      <c r="EE65" s="1740"/>
      <c r="EF65" s="1740"/>
      <c r="EG65" s="1740"/>
      <c r="EH65" s="1740"/>
      <c r="EI65" s="1740"/>
      <c r="EJ65" s="1740"/>
      <c r="EK65" s="1740"/>
      <c r="EL65" s="1740"/>
      <c r="EM65" s="1740"/>
      <c r="EN65" s="1740"/>
      <c r="EO65" s="1740"/>
      <c r="EP65" s="1740"/>
      <c r="EQ65" s="1740"/>
      <c r="ER65" s="1740"/>
      <c r="ES65" s="1740"/>
      <c r="ET65" s="1740"/>
      <c r="EU65" s="1740"/>
      <c r="EV65" s="1740"/>
      <c r="EW65" s="1740"/>
      <c r="EX65" s="1740"/>
      <c r="EY65" s="1740"/>
      <c r="EZ65" s="1740"/>
      <c r="FA65" s="1740"/>
      <c r="FB65" s="1740"/>
      <c r="FC65" s="1740"/>
      <c r="FD65" s="1740"/>
      <c r="FE65" s="1740"/>
      <c r="FF65" s="1740"/>
      <c r="FG65" s="1740"/>
      <c r="FH65" s="1740"/>
      <c r="FI65" s="1740"/>
      <c r="FJ65" s="1740"/>
      <c r="FK65" s="1740"/>
      <c r="FL65" s="1740"/>
      <c r="FM65" s="1740"/>
      <c r="FN65" s="1740"/>
      <c r="FO65" s="1740"/>
      <c r="FP65" s="1740"/>
      <c r="FQ65" s="1740"/>
      <c r="FR65" s="1740"/>
      <c r="FS65" s="1740"/>
      <c r="FT65" s="1740"/>
      <c r="FU65" s="1740"/>
      <c r="FV65" s="1740"/>
      <c r="FW65" s="1740"/>
      <c r="FX65" s="1740"/>
      <c r="FY65" s="1740"/>
      <c r="FZ65" s="1740"/>
      <c r="GA65" s="1740"/>
      <c r="GB65" s="1740"/>
      <c r="GC65" s="1740"/>
      <c r="GD65" s="1740"/>
      <c r="GE65" s="1740"/>
      <c r="GF65" s="1740"/>
    </row>
    <row r="66" spans="1:188" s="20" customFormat="1">
      <c r="A66" s="333">
        <f t="shared" si="0"/>
        <v>1975</v>
      </c>
      <c r="B66" s="333">
        <f t="shared" si="1"/>
        <v>4</v>
      </c>
      <c r="C66" s="1174">
        <v>27668</v>
      </c>
      <c r="D66" s="1167"/>
      <c r="E66" s="1168">
        <v>142.75108695649999</v>
      </c>
      <c r="F66" s="1168">
        <v>112.31398569780897</v>
      </c>
      <c r="G66" s="1168"/>
      <c r="H66" s="1167"/>
      <c r="I66" s="1168"/>
      <c r="J66" s="1168"/>
      <c r="K66" s="1678"/>
      <c r="L66" s="1678"/>
      <c r="M66" s="1682"/>
      <c r="N66" s="1169"/>
      <c r="O66" s="1169"/>
      <c r="P66" s="1169"/>
      <c r="Q66" s="1167"/>
      <c r="R66" s="1167"/>
      <c r="S66" s="1167"/>
      <c r="T66" s="1167"/>
      <c r="U66" s="1167"/>
      <c r="V66" s="1167"/>
      <c r="W66" s="1167"/>
      <c r="X66" s="630"/>
      <c r="AA66" s="1915"/>
      <c r="AB66" s="1915"/>
      <c r="AC66" s="1804"/>
      <c r="AD66" s="1804"/>
      <c r="AE66" s="1804"/>
      <c r="AF66" s="1804"/>
      <c r="AG66" s="1804"/>
      <c r="AH66" s="1804"/>
      <c r="AI66" s="1781" t="s">
        <v>0</v>
      </c>
      <c r="AJ66" s="1827">
        <v>2011</v>
      </c>
      <c r="AK66" s="1822" t="s">
        <v>30</v>
      </c>
      <c r="AL66" s="1822">
        <v>10</v>
      </c>
      <c r="AM66" s="1823">
        <v>108413295.86</v>
      </c>
      <c r="AN66" s="1824">
        <v>3.111925237629997E-2</v>
      </c>
      <c r="AO66" s="1781"/>
      <c r="AP66" s="1781" t="s">
        <v>0</v>
      </c>
      <c r="AQ66" s="1781" t="s">
        <v>501</v>
      </c>
      <c r="AR66" s="1822" t="s">
        <v>21</v>
      </c>
      <c r="AS66" s="1822">
        <v>10</v>
      </c>
      <c r="AT66" s="1823">
        <v>120936724.94</v>
      </c>
      <c r="AU66" s="1825">
        <v>3.2930385391279821E-2</v>
      </c>
      <c r="AV66" s="1781">
        <v>2011</v>
      </c>
      <c r="AW66" s="1671"/>
      <c r="AX66" s="1671"/>
      <c r="AY66" s="1804"/>
      <c r="AZ66" s="1804"/>
      <c r="BA66" s="1804"/>
      <c r="BB66" s="1804"/>
      <c r="BC66" s="1804"/>
      <c r="BD66" s="1804"/>
      <c r="BE66" s="1804"/>
      <c r="BF66" s="1804"/>
      <c r="BG66" s="1804"/>
      <c r="BH66" s="1804"/>
      <c r="BI66" s="1804"/>
      <c r="BJ66" s="1804"/>
      <c r="BK66" s="1804"/>
      <c r="BL66" s="1804"/>
      <c r="BM66" s="1804"/>
      <c r="BN66" s="1804"/>
      <c r="BO66" s="1804"/>
      <c r="BP66" s="1804"/>
      <c r="BQ66" s="1804"/>
      <c r="BR66" s="1804"/>
      <c r="BS66" s="1804"/>
      <c r="BT66" s="1804"/>
      <c r="BU66" s="1804"/>
      <c r="BV66" s="1804"/>
      <c r="BW66" s="1804"/>
      <c r="BX66" s="1804"/>
      <c r="BY66" s="1804"/>
      <c r="BZ66" s="1804"/>
      <c r="CA66" s="1804"/>
      <c r="CB66" s="1804"/>
      <c r="CC66" s="1804"/>
      <c r="CD66" s="1804"/>
      <c r="CE66" s="1804"/>
      <c r="CF66" s="1804"/>
      <c r="CG66" s="1804"/>
      <c r="CH66" s="1804"/>
      <c r="CI66" s="1804"/>
      <c r="CJ66" s="1804"/>
      <c r="CK66" s="1804"/>
      <c r="CL66" s="1804"/>
      <c r="CM66" s="1804"/>
      <c r="CN66" s="1804"/>
      <c r="CO66" s="1804"/>
      <c r="CP66" s="1804"/>
      <c r="CQ66" s="1804"/>
      <c r="CR66" s="1804"/>
      <c r="CS66" s="1804"/>
      <c r="CT66" s="1804"/>
      <c r="CU66" s="1804"/>
      <c r="CV66" s="1804"/>
      <c r="CW66" s="1804"/>
      <c r="CX66" s="1804"/>
      <c r="CY66" s="1804"/>
      <c r="CZ66" s="1804"/>
      <c r="DA66" s="1804"/>
      <c r="DB66" s="1804"/>
      <c r="DC66" s="1804"/>
      <c r="DD66" s="1804"/>
      <c r="DE66" s="1804"/>
      <c r="DF66" s="1804"/>
      <c r="DG66" s="1804"/>
      <c r="DH66" s="1804"/>
      <c r="DI66" s="1804"/>
      <c r="DJ66" s="1804"/>
      <c r="DK66" s="1804"/>
      <c r="DL66" s="1804"/>
      <c r="DM66" s="1804"/>
      <c r="DN66" s="1804"/>
      <c r="DO66" s="1804"/>
      <c r="DP66" s="1804"/>
      <c r="DQ66" s="1671"/>
      <c r="DR66" s="1671"/>
      <c r="DS66" s="1671"/>
      <c r="DT66" s="1671"/>
      <c r="DU66" s="1671"/>
      <c r="DV66" s="1671"/>
      <c r="DW66" s="1671"/>
      <c r="DX66" s="1671"/>
      <c r="DY66" s="1671"/>
      <c r="DZ66" s="1671"/>
      <c r="EA66" s="1740"/>
      <c r="EB66" s="1740"/>
      <c r="EC66" s="1740"/>
      <c r="ED66" s="1740"/>
      <c r="EE66" s="1740"/>
      <c r="EF66" s="1740"/>
      <c r="EG66" s="1740"/>
      <c r="EH66" s="1740"/>
      <c r="EI66" s="1740"/>
      <c r="EJ66" s="1740"/>
      <c r="EK66" s="1740"/>
      <c r="EL66" s="1740"/>
      <c r="EM66" s="1740"/>
      <c r="EN66" s="1740"/>
      <c r="EO66" s="1740"/>
      <c r="EP66" s="1740"/>
      <c r="EQ66" s="1740"/>
      <c r="ER66" s="1740"/>
      <c r="ES66" s="1740"/>
      <c r="ET66" s="1740"/>
      <c r="EU66" s="1740"/>
      <c r="EV66" s="1740"/>
      <c r="EW66" s="1740"/>
      <c r="EX66" s="1740"/>
      <c r="EY66" s="1740"/>
      <c r="EZ66" s="1740"/>
      <c r="FA66" s="1740"/>
      <c r="FB66" s="1740"/>
      <c r="FC66" s="1740"/>
      <c r="FD66" s="1740"/>
      <c r="FE66" s="1740"/>
      <c r="FF66" s="1740"/>
      <c r="FG66" s="1740"/>
      <c r="FH66" s="1740"/>
      <c r="FI66" s="1740"/>
      <c r="FJ66" s="1740"/>
      <c r="FK66" s="1740"/>
      <c r="FL66" s="1740"/>
      <c r="FM66" s="1740"/>
      <c r="FN66" s="1740"/>
      <c r="FO66" s="1740"/>
      <c r="FP66" s="1740"/>
      <c r="FQ66" s="1740"/>
      <c r="FR66" s="1740"/>
      <c r="FS66" s="1740"/>
      <c r="FT66" s="1740"/>
      <c r="FU66" s="1740"/>
      <c r="FV66" s="1740"/>
      <c r="FW66" s="1740"/>
      <c r="FX66" s="1740"/>
      <c r="FY66" s="1740"/>
      <c r="FZ66" s="1740"/>
      <c r="GA66" s="1740"/>
      <c r="GB66" s="1740"/>
      <c r="GC66" s="1740"/>
      <c r="GD66" s="1740"/>
      <c r="GE66" s="1740"/>
      <c r="GF66" s="1740"/>
    </row>
    <row r="67" spans="1:188" s="20" customFormat="1">
      <c r="A67" s="333">
        <f t="shared" si="0"/>
        <v>1975</v>
      </c>
      <c r="B67" s="333">
        <f t="shared" si="1"/>
        <v>4</v>
      </c>
      <c r="C67" s="1174">
        <v>27701</v>
      </c>
      <c r="D67" s="1158"/>
      <c r="E67" s="1159">
        <v>142.28125</v>
      </c>
      <c r="F67" s="1159">
        <v>112.97543865624999</v>
      </c>
      <c r="G67" s="1160"/>
      <c r="H67" s="1161"/>
      <c r="I67" s="1160"/>
      <c r="J67" s="1160"/>
      <c r="K67" s="1677"/>
      <c r="L67" s="1677"/>
      <c r="M67" s="1681"/>
      <c r="N67" s="1162"/>
      <c r="O67" s="1162"/>
      <c r="P67" s="1162"/>
      <c r="Q67" s="1163"/>
      <c r="R67" s="1164"/>
      <c r="S67" s="1164"/>
      <c r="T67" s="1164"/>
      <c r="U67" s="1165"/>
      <c r="V67" s="1166"/>
      <c r="W67" s="1166"/>
      <c r="X67" s="630"/>
      <c r="AA67" s="1915"/>
      <c r="AB67" s="1915"/>
      <c r="AC67" s="1804"/>
      <c r="AD67" s="1804"/>
      <c r="AE67" s="1804"/>
      <c r="AF67" s="1804"/>
      <c r="AG67" s="1804"/>
      <c r="AH67" s="1804"/>
      <c r="AI67" s="1781" t="s">
        <v>0</v>
      </c>
      <c r="AJ67" s="1827">
        <v>2011</v>
      </c>
      <c r="AK67" s="1822" t="s">
        <v>39</v>
      </c>
      <c r="AL67" s="1822"/>
      <c r="AM67" s="1823">
        <v>356768072.94999981</v>
      </c>
      <c r="AN67" s="1824">
        <v>0.10240769468234155</v>
      </c>
      <c r="AO67" s="1781"/>
      <c r="AP67" s="1781" t="s">
        <v>0</v>
      </c>
      <c r="AQ67" s="1781" t="s">
        <v>501</v>
      </c>
      <c r="AR67" s="1822" t="s">
        <v>16</v>
      </c>
      <c r="AS67" s="1822">
        <v>11</v>
      </c>
      <c r="AT67" s="1823">
        <v>106252945.60999998</v>
      </c>
      <c r="AU67" s="1825">
        <v>2.8932075427310584E-2</v>
      </c>
      <c r="AV67" s="1781">
        <v>2011</v>
      </c>
      <c r="AW67" s="1671"/>
      <c r="AX67" s="1671"/>
      <c r="AY67" s="1804"/>
      <c r="AZ67" s="1804"/>
      <c r="BA67" s="1804"/>
      <c r="BB67" s="1804"/>
      <c r="BC67" s="1804"/>
      <c r="BD67" s="1804"/>
      <c r="BE67" s="1804"/>
      <c r="BF67" s="1804"/>
      <c r="BG67" s="1804"/>
      <c r="BH67" s="1804"/>
      <c r="BI67" s="1804"/>
      <c r="BJ67" s="1804"/>
      <c r="BK67" s="1804"/>
      <c r="BL67" s="1804"/>
      <c r="BM67" s="1804"/>
      <c r="BN67" s="1804"/>
      <c r="BO67" s="1804"/>
      <c r="BP67" s="1804"/>
      <c r="BQ67" s="1804"/>
      <c r="BR67" s="1804"/>
      <c r="BS67" s="1804"/>
      <c r="BT67" s="1804"/>
      <c r="BU67" s="1804"/>
      <c r="BV67" s="1804"/>
      <c r="BW67" s="1804"/>
      <c r="BX67" s="1804"/>
      <c r="BY67" s="1804"/>
      <c r="BZ67" s="1804"/>
      <c r="CA67" s="1804"/>
      <c r="CB67" s="1804"/>
      <c r="CC67" s="1804"/>
      <c r="CD67" s="1804"/>
      <c r="CE67" s="1804"/>
      <c r="CF67" s="1804"/>
      <c r="CG67" s="1804"/>
      <c r="CH67" s="1804"/>
      <c r="CI67" s="1804"/>
      <c r="CJ67" s="1804"/>
      <c r="CK67" s="1804"/>
      <c r="CL67" s="1804"/>
      <c r="CM67" s="1804"/>
      <c r="CN67" s="1804"/>
      <c r="CO67" s="1804"/>
      <c r="CP67" s="1804"/>
      <c r="CQ67" s="1804"/>
      <c r="CR67" s="1804"/>
      <c r="CS67" s="1804"/>
      <c r="CT67" s="1804"/>
      <c r="CU67" s="1804"/>
      <c r="CV67" s="1804"/>
      <c r="CW67" s="1804"/>
      <c r="CX67" s="1804"/>
      <c r="CY67" s="1804"/>
      <c r="CZ67" s="1804"/>
      <c r="DA67" s="1804"/>
      <c r="DB67" s="1804"/>
      <c r="DC67" s="1804"/>
      <c r="DD67" s="1804"/>
      <c r="DE67" s="1804"/>
      <c r="DF67" s="1804"/>
      <c r="DG67" s="1804"/>
      <c r="DH67" s="1804"/>
      <c r="DI67" s="1804"/>
      <c r="DJ67" s="1804"/>
      <c r="DK67" s="1804"/>
      <c r="DL67" s="1804"/>
      <c r="DM67" s="1804"/>
      <c r="DN67" s="1804"/>
      <c r="DO67" s="1804"/>
      <c r="DP67" s="1804"/>
      <c r="DQ67" s="1671"/>
      <c r="DR67" s="1671"/>
      <c r="DS67" s="1671"/>
      <c r="DT67" s="1671"/>
      <c r="DU67" s="1671"/>
      <c r="DV67" s="1671"/>
      <c r="DW67" s="1671"/>
      <c r="DX67" s="1671"/>
      <c r="DY67" s="1671"/>
      <c r="DZ67" s="1671"/>
      <c r="EA67" s="1740"/>
      <c r="EB67" s="1740"/>
      <c r="EC67" s="1740"/>
      <c r="ED67" s="1740"/>
      <c r="EE67" s="1740"/>
      <c r="EF67" s="1740"/>
      <c r="EG67" s="1740"/>
      <c r="EH67" s="1740"/>
      <c r="EI67" s="1740"/>
      <c r="EJ67" s="1740"/>
      <c r="EK67" s="1740"/>
      <c r="EL67" s="1740"/>
      <c r="EM67" s="1740"/>
      <c r="EN67" s="1740"/>
      <c r="EO67" s="1740"/>
      <c r="EP67" s="1740"/>
      <c r="EQ67" s="1740"/>
      <c r="ER67" s="1740"/>
      <c r="ES67" s="1740"/>
      <c r="ET67" s="1740"/>
      <c r="EU67" s="1740"/>
      <c r="EV67" s="1740"/>
      <c r="EW67" s="1740"/>
      <c r="EX67" s="1740"/>
      <c r="EY67" s="1740"/>
      <c r="EZ67" s="1740"/>
      <c r="FA67" s="1740"/>
      <c r="FB67" s="1740"/>
      <c r="FC67" s="1740"/>
      <c r="FD67" s="1740"/>
      <c r="FE67" s="1740"/>
      <c r="FF67" s="1740"/>
      <c r="FG67" s="1740"/>
      <c r="FH67" s="1740"/>
      <c r="FI67" s="1740"/>
      <c r="FJ67" s="1740"/>
      <c r="FK67" s="1740"/>
      <c r="FL67" s="1740"/>
      <c r="FM67" s="1740"/>
      <c r="FN67" s="1740"/>
      <c r="FO67" s="1740"/>
      <c r="FP67" s="1740"/>
      <c r="FQ67" s="1740"/>
      <c r="FR67" s="1740"/>
      <c r="FS67" s="1740"/>
      <c r="FT67" s="1740"/>
      <c r="FU67" s="1740"/>
      <c r="FV67" s="1740"/>
      <c r="FW67" s="1740"/>
      <c r="FX67" s="1740"/>
      <c r="FY67" s="1740"/>
      <c r="FZ67" s="1740"/>
      <c r="GA67" s="1740"/>
      <c r="GB67" s="1740"/>
      <c r="GC67" s="1740"/>
      <c r="GD67" s="1740"/>
      <c r="GE67" s="1740"/>
      <c r="GF67" s="1740"/>
    </row>
    <row r="68" spans="1:188" s="20" customFormat="1">
      <c r="A68" s="333">
        <f t="shared" si="0"/>
        <v>1975</v>
      </c>
      <c r="B68" s="333">
        <f t="shared" si="1"/>
        <v>4</v>
      </c>
      <c r="C68" s="1174">
        <v>27729</v>
      </c>
      <c r="D68" s="1167"/>
      <c r="E68" s="1168">
        <v>139.31447368420001</v>
      </c>
      <c r="F68" s="1168">
        <v>110.8221561552548</v>
      </c>
      <c r="G68" s="1168"/>
      <c r="H68" s="1167"/>
      <c r="I68" s="1168"/>
      <c r="J68" s="1168"/>
      <c r="K68" s="1678"/>
      <c r="L68" s="1678"/>
      <c r="M68" s="1682"/>
      <c r="N68" s="1169"/>
      <c r="O68" s="1169"/>
      <c r="P68" s="1169"/>
      <c r="Q68" s="1167"/>
      <c r="R68" s="1167"/>
      <c r="S68" s="1167"/>
      <c r="T68" s="1167"/>
      <c r="U68" s="1167"/>
      <c r="V68" s="1167"/>
      <c r="W68" s="1167"/>
      <c r="X68" s="630"/>
      <c r="AA68" s="1915"/>
      <c r="AB68" s="1915"/>
      <c r="AC68" s="1804"/>
      <c r="AD68" s="1804"/>
      <c r="AE68" s="1804"/>
      <c r="AF68" s="1804"/>
      <c r="AG68" s="1804"/>
      <c r="AH68" s="1804"/>
      <c r="AI68" s="1781" t="s">
        <v>0</v>
      </c>
      <c r="AJ68" s="1827">
        <v>2011</v>
      </c>
      <c r="AK68" s="1822" t="s">
        <v>386</v>
      </c>
      <c r="AL68" s="1822"/>
      <c r="AM68" s="1823">
        <v>3483801427.7800002</v>
      </c>
      <c r="AN68" s="1824">
        <v>2.6015975686936341E-2</v>
      </c>
      <c r="AO68" s="1781"/>
      <c r="AP68" s="1781" t="s">
        <v>0</v>
      </c>
      <c r="AQ68" s="1781" t="s">
        <v>501</v>
      </c>
      <c r="AR68" s="1822" t="s">
        <v>30</v>
      </c>
      <c r="AS68" s="1822">
        <v>12</v>
      </c>
      <c r="AT68" s="1823">
        <v>76958175.060000002</v>
      </c>
      <c r="AU68" s="1825">
        <v>2.0955275289559028E-2</v>
      </c>
      <c r="AV68" s="1781">
        <v>2011</v>
      </c>
      <c r="AW68" s="1671"/>
      <c r="AX68" s="1925">
        <f>'Alumina - Prices'!A67</f>
        <v>44348</v>
      </c>
      <c r="AY68" s="1804"/>
      <c r="AZ68" s="1804"/>
      <c r="BA68" s="1804"/>
      <c r="BB68" s="1804"/>
      <c r="BC68" s="1804"/>
      <c r="BD68" s="1804"/>
      <c r="BE68" s="1804"/>
      <c r="BF68" s="1804"/>
      <c r="BG68" s="1804"/>
      <c r="BH68" s="1804"/>
      <c r="BI68" s="1804"/>
      <c r="BJ68" s="1804"/>
      <c r="BK68" s="1804"/>
      <c r="BL68" s="1804"/>
      <c r="BM68" s="1804"/>
      <c r="BN68" s="1804"/>
      <c r="BO68" s="1804"/>
      <c r="BP68" s="1804"/>
      <c r="BQ68" s="1804"/>
      <c r="BR68" s="1804"/>
      <c r="BS68" s="1804"/>
      <c r="BT68" s="1804"/>
      <c r="BU68" s="1804"/>
      <c r="BV68" s="1804"/>
      <c r="BW68" s="1804"/>
      <c r="BX68" s="1804"/>
      <c r="BY68" s="1804"/>
      <c r="BZ68" s="1804"/>
      <c r="CA68" s="1804"/>
      <c r="CB68" s="1804"/>
      <c r="CC68" s="1804"/>
      <c r="CD68" s="1804"/>
      <c r="CE68" s="1804"/>
      <c r="CF68" s="1804"/>
      <c r="CG68" s="1804"/>
      <c r="CH68" s="1804"/>
      <c r="CI68" s="1804"/>
      <c r="CJ68" s="1804"/>
      <c r="CK68" s="1804"/>
      <c r="CL68" s="1804"/>
      <c r="CM68" s="1804"/>
      <c r="CN68" s="1804"/>
      <c r="CO68" s="1804"/>
      <c r="CP68" s="1804"/>
      <c r="CQ68" s="1804"/>
      <c r="CR68" s="1804"/>
      <c r="CS68" s="1804"/>
      <c r="CT68" s="1804"/>
      <c r="CU68" s="1804"/>
      <c r="CV68" s="1804"/>
      <c r="CW68" s="1804"/>
      <c r="CX68" s="1804"/>
      <c r="CY68" s="1804"/>
      <c r="CZ68" s="1804"/>
      <c r="DA68" s="1804"/>
      <c r="DB68" s="1804"/>
      <c r="DC68" s="1804"/>
      <c r="DD68" s="1804"/>
      <c r="DE68" s="1804"/>
      <c r="DF68" s="1804"/>
      <c r="DG68" s="1804"/>
      <c r="DH68" s="1804"/>
      <c r="DI68" s="1804"/>
      <c r="DJ68" s="1804"/>
      <c r="DK68" s="1804"/>
      <c r="DL68" s="1804"/>
      <c r="DM68" s="1804"/>
      <c r="DN68" s="1804"/>
      <c r="DO68" s="1804"/>
      <c r="DP68" s="1804"/>
      <c r="DQ68" s="1671"/>
      <c r="DR68" s="1671"/>
      <c r="DS68" s="1671"/>
      <c r="DT68" s="1671"/>
      <c r="DU68" s="1671"/>
      <c r="DV68" s="1671"/>
      <c r="DW68" s="1671"/>
      <c r="DX68" s="1671"/>
      <c r="DY68" s="1671"/>
      <c r="DZ68" s="1671"/>
      <c r="EA68" s="1740"/>
      <c r="EB68" s="1740"/>
      <c r="EC68" s="1740"/>
      <c r="ED68" s="1740"/>
      <c r="EE68" s="1740"/>
      <c r="EF68" s="1740"/>
      <c r="EG68" s="1740"/>
      <c r="EH68" s="1740"/>
      <c r="EI68" s="1740"/>
      <c r="EJ68" s="1740"/>
      <c r="EK68" s="1740"/>
      <c r="EL68" s="1740"/>
      <c r="EM68" s="1740"/>
      <c r="EN68" s="1740"/>
      <c r="EO68" s="1740"/>
      <c r="EP68" s="1740"/>
      <c r="EQ68" s="1740"/>
      <c r="ER68" s="1740"/>
      <c r="ES68" s="1740"/>
      <c r="ET68" s="1740"/>
      <c r="EU68" s="1740"/>
      <c r="EV68" s="1740"/>
      <c r="EW68" s="1740"/>
      <c r="EX68" s="1740"/>
      <c r="EY68" s="1740"/>
      <c r="EZ68" s="1740"/>
      <c r="FA68" s="1740"/>
      <c r="FB68" s="1740"/>
      <c r="FC68" s="1740"/>
      <c r="FD68" s="1740"/>
      <c r="FE68" s="1740"/>
      <c r="FF68" s="1740"/>
      <c r="FG68" s="1740"/>
      <c r="FH68" s="1740"/>
      <c r="FI68" s="1740"/>
      <c r="FJ68" s="1740"/>
      <c r="FK68" s="1740"/>
      <c r="FL68" s="1740"/>
      <c r="FM68" s="1740"/>
      <c r="FN68" s="1740"/>
      <c r="FO68" s="1740"/>
      <c r="FP68" s="1740"/>
      <c r="FQ68" s="1740"/>
      <c r="FR68" s="1740"/>
      <c r="FS68" s="1740"/>
      <c r="FT68" s="1740"/>
      <c r="FU68" s="1740"/>
      <c r="FV68" s="1740"/>
      <c r="FW68" s="1740"/>
      <c r="FX68" s="1740"/>
      <c r="FY68" s="1740"/>
      <c r="FZ68" s="1740"/>
      <c r="GA68" s="1740"/>
      <c r="GB68" s="1740"/>
      <c r="GC68" s="1740"/>
      <c r="GD68" s="1740"/>
      <c r="GE68" s="1740"/>
      <c r="GF68" s="1740"/>
    </row>
    <row r="69" spans="1:188" s="20" customFormat="1">
      <c r="A69" s="333">
        <f t="shared" si="0"/>
        <v>1976</v>
      </c>
      <c r="B69" s="333">
        <f t="shared" si="1"/>
        <v>1</v>
      </c>
      <c r="C69" s="1174">
        <v>27760</v>
      </c>
      <c r="D69" s="1158"/>
      <c r="E69" s="1159">
        <v>131.25119047620001</v>
      </c>
      <c r="F69" s="1159">
        <v>104.26686447262662</v>
      </c>
      <c r="G69" s="1160"/>
      <c r="H69" s="1161"/>
      <c r="I69" s="1160"/>
      <c r="J69" s="1160"/>
      <c r="K69" s="1677"/>
      <c r="L69" s="1677"/>
      <c r="M69" s="1681"/>
      <c r="N69" s="1162"/>
      <c r="O69" s="1162"/>
      <c r="P69" s="1162"/>
      <c r="Q69" s="1163"/>
      <c r="R69" s="1164"/>
      <c r="S69" s="1164"/>
      <c r="T69" s="1164"/>
      <c r="U69" s="1165"/>
      <c r="V69" s="1166"/>
      <c r="W69" s="1166"/>
      <c r="X69" s="630"/>
      <c r="AA69" s="1915"/>
      <c r="AB69" s="1915"/>
      <c r="AC69" s="1804"/>
      <c r="AD69" s="1804"/>
      <c r="AE69" s="1804"/>
      <c r="AF69" s="1804"/>
      <c r="AG69" s="1804"/>
      <c r="AH69" s="1804"/>
      <c r="AI69" s="1781" t="s">
        <v>0</v>
      </c>
      <c r="AJ69" s="1826">
        <v>2010</v>
      </c>
      <c r="AK69" s="1822" t="s">
        <v>18</v>
      </c>
      <c r="AL69" s="1822">
        <v>1</v>
      </c>
      <c r="AM69" s="1823">
        <v>891000156.54999971</v>
      </c>
      <c r="AN69" s="1824">
        <v>0.23477197423957175</v>
      </c>
      <c r="AO69" s="1781"/>
      <c r="AP69" s="1781" t="s">
        <v>0</v>
      </c>
      <c r="AQ69" s="1781" t="s">
        <v>501</v>
      </c>
      <c r="AR69" s="1822" t="s">
        <v>39</v>
      </c>
      <c r="AS69" s="1822"/>
      <c r="AT69" s="1823">
        <v>132359904.86000109</v>
      </c>
      <c r="AU69" s="1825">
        <v>3.6040852599203574E-2</v>
      </c>
      <c r="AV69" s="1781">
        <v>2011</v>
      </c>
      <c r="AW69" s="1671"/>
      <c r="AX69" s="1671"/>
      <c r="AY69" s="1804"/>
      <c r="AZ69" s="1804"/>
      <c r="BA69" s="1804"/>
      <c r="BB69" s="1804"/>
      <c r="BC69" s="1804"/>
      <c r="BD69" s="1804"/>
      <c r="BE69" s="1804"/>
      <c r="BF69" s="1804"/>
      <c r="BG69" s="1804"/>
      <c r="BH69" s="1804"/>
      <c r="BI69" s="1804"/>
      <c r="BJ69" s="1804"/>
      <c r="BK69" s="1804"/>
      <c r="BL69" s="1804"/>
      <c r="BM69" s="1804"/>
      <c r="BN69" s="1804"/>
      <c r="BO69" s="1804"/>
      <c r="BP69" s="1804"/>
      <c r="BQ69" s="1804"/>
      <c r="BR69" s="1804"/>
      <c r="BS69" s="1804"/>
      <c r="BT69" s="1804"/>
      <c r="BU69" s="1804"/>
      <c r="BV69" s="1804"/>
      <c r="BW69" s="1804"/>
      <c r="BX69" s="1804"/>
      <c r="BY69" s="1804"/>
      <c r="BZ69" s="1804"/>
      <c r="CA69" s="1804"/>
      <c r="CB69" s="1804"/>
      <c r="CC69" s="1804"/>
      <c r="CD69" s="1804"/>
      <c r="CE69" s="1804"/>
      <c r="CF69" s="1804"/>
      <c r="CG69" s="1804"/>
      <c r="CH69" s="1804"/>
      <c r="CI69" s="1804"/>
      <c r="CJ69" s="1804"/>
      <c r="CK69" s="1804"/>
      <c r="CL69" s="1804"/>
      <c r="CM69" s="1804"/>
      <c r="CN69" s="1804"/>
      <c r="CO69" s="1804"/>
      <c r="CP69" s="1804"/>
      <c r="CQ69" s="1804"/>
      <c r="CR69" s="1804"/>
      <c r="CS69" s="1804"/>
      <c r="CT69" s="1804"/>
      <c r="CU69" s="1804"/>
      <c r="CV69" s="1804"/>
      <c r="CW69" s="1804"/>
      <c r="CX69" s="1804"/>
      <c r="CY69" s="1804"/>
      <c r="CZ69" s="1804"/>
      <c r="DA69" s="1804"/>
      <c r="DB69" s="1804"/>
      <c r="DC69" s="1804"/>
      <c r="DD69" s="1804"/>
      <c r="DE69" s="1804"/>
      <c r="DF69" s="1804"/>
      <c r="DG69" s="1804"/>
      <c r="DH69" s="1804"/>
      <c r="DI69" s="1804"/>
      <c r="DJ69" s="1804"/>
      <c r="DK69" s="1804"/>
      <c r="DL69" s="1804"/>
      <c r="DM69" s="1804"/>
      <c r="DN69" s="1804"/>
      <c r="DO69" s="1804"/>
      <c r="DP69" s="1804"/>
      <c r="DQ69" s="1671"/>
      <c r="DR69" s="1671"/>
      <c r="DS69" s="1671"/>
      <c r="DT69" s="1671"/>
      <c r="DU69" s="1671"/>
      <c r="DV69" s="1671"/>
      <c r="DW69" s="1671"/>
      <c r="DX69" s="1671"/>
      <c r="DY69" s="1671"/>
      <c r="DZ69" s="1671"/>
      <c r="EA69" s="1740"/>
      <c r="EB69" s="1740"/>
      <c r="EC69" s="1740"/>
      <c r="ED69" s="1740"/>
      <c r="EE69" s="1740"/>
      <c r="EF69" s="1740"/>
      <c r="EG69" s="1740"/>
      <c r="EH69" s="1740"/>
      <c r="EI69" s="1740"/>
      <c r="EJ69" s="1740"/>
      <c r="EK69" s="1740"/>
      <c r="EL69" s="1740"/>
      <c r="EM69" s="1740"/>
      <c r="EN69" s="1740"/>
      <c r="EO69" s="1740"/>
      <c r="EP69" s="1740"/>
      <c r="EQ69" s="1740"/>
      <c r="ER69" s="1740"/>
      <c r="ES69" s="1740"/>
      <c r="ET69" s="1740"/>
      <c r="EU69" s="1740"/>
      <c r="EV69" s="1740"/>
      <c r="EW69" s="1740"/>
      <c r="EX69" s="1740"/>
      <c r="EY69" s="1740"/>
      <c r="EZ69" s="1740"/>
      <c r="FA69" s="1740"/>
      <c r="FB69" s="1740"/>
      <c r="FC69" s="1740"/>
      <c r="FD69" s="1740"/>
      <c r="FE69" s="1740"/>
      <c r="FF69" s="1740"/>
      <c r="FG69" s="1740"/>
      <c r="FH69" s="1740"/>
      <c r="FI69" s="1740"/>
      <c r="FJ69" s="1740"/>
      <c r="FK69" s="1740"/>
      <c r="FL69" s="1740"/>
      <c r="FM69" s="1740"/>
      <c r="FN69" s="1740"/>
      <c r="FO69" s="1740"/>
      <c r="FP69" s="1740"/>
      <c r="FQ69" s="1740"/>
      <c r="FR69" s="1740"/>
      <c r="FS69" s="1740"/>
      <c r="FT69" s="1740"/>
      <c r="FU69" s="1740"/>
      <c r="FV69" s="1740"/>
      <c r="FW69" s="1740"/>
      <c r="FX69" s="1740"/>
      <c r="FY69" s="1740"/>
      <c r="FZ69" s="1740"/>
      <c r="GA69" s="1740"/>
      <c r="GB69" s="1740"/>
      <c r="GC69" s="1740"/>
      <c r="GD69" s="1740"/>
      <c r="GE69" s="1740"/>
      <c r="GF69" s="1740"/>
    </row>
    <row r="70" spans="1:188" s="20" customFormat="1">
      <c r="A70" s="333">
        <f t="shared" si="0"/>
        <v>1976</v>
      </c>
      <c r="B70" s="333">
        <f t="shared" si="1"/>
        <v>1</v>
      </c>
      <c r="C70" s="1174">
        <v>27792</v>
      </c>
      <c r="D70" s="1167"/>
      <c r="E70" s="1168">
        <v>131.14250000000001</v>
      </c>
      <c r="F70" s="1168">
        <v>104.023542425</v>
      </c>
      <c r="G70" s="1168"/>
      <c r="H70" s="1167"/>
      <c r="I70" s="1168"/>
      <c r="J70" s="1168"/>
      <c r="K70" s="1678"/>
      <c r="L70" s="1678"/>
      <c r="M70" s="1682"/>
      <c r="N70" s="1169"/>
      <c r="O70" s="1169"/>
      <c r="P70" s="1169"/>
      <c r="Q70" s="1167"/>
      <c r="R70" s="1167"/>
      <c r="S70" s="1167"/>
      <c r="T70" s="1167"/>
      <c r="U70" s="1167"/>
      <c r="V70" s="1167"/>
      <c r="W70" s="1167"/>
      <c r="X70" s="630"/>
      <c r="AA70" s="1915"/>
      <c r="AB70" s="1915"/>
      <c r="AC70" s="1804"/>
      <c r="AD70" s="1804"/>
      <c r="AE70" s="1804"/>
      <c r="AF70" s="1804"/>
      <c r="AG70" s="1804"/>
      <c r="AH70" s="1804"/>
      <c r="AI70" s="1781" t="s">
        <v>0</v>
      </c>
      <c r="AJ70" s="1826">
        <v>2010</v>
      </c>
      <c r="AK70" s="1822" t="s">
        <v>34</v>
      </c>
      <c r="AL70" s="1822">
        <v>2</v>
      </c>
      <c r="AM70" s="1823">
        <v>847227430.13000011</v>
      </c>
      <c r="AN70" s="1824">
        <v>0.22323818344960875</v>
      </c>
      <c r="AO70" s="1781"/>
      <c r="AP70" s="1781" t="s">
        <v>0</v>
      </c>
      <c r="AQ70" s="1781" t="s">
        <v>501</v>
      </c>
      <c r="AR70" s="1822" t="s">
        <v>386</v>
      </c>
      <c r="AS70" s="1822"/>
      <c r="AT70" s="1823">
        <v>3672496495.3500004</v>
      </c>
      <c r="AU70" s="1825"/>
      <c r="AV70" s="1781">
        <v>2011</v>
      </c>
      <c r="AW70" s="1671"/>
      <c r="AX70" s="1671"/>
      <c r="AY70" s="1804"/>
      <c r="AZ70" s="1804"/>
      <c r="BA70" s="1804"/>
      <c r="BB70" s="1804"/>
      <c r="BC70" s="1804"/>
      <c r="BD70" s="1804"/>
      <c r="BE70" s="1804"/>
      <c r="BF70" s="1804"/>
      <c r="BG70" s="1804"/>
      <c r="BH70" s="1804"/>
      <c r="BI70" s="1804"/>
      <c r="BJ70" s="1804"/>
      <c r="BK70" s="1804"/>
      <c r="BL70" s="1804"/>
      <c r="BM70" s="1804"/>
      <c r="BN70" s="1804"/>
      <c r="BO70" s="1804"/>
      <c r="BP70" s="1804"/>
      <c r="BQ70" s="1804"/>
      <c r="BR70" s="1804"/>
      <c r="BS70" s="1804"/>
      <c r="BT70" s="1804"/>
      <c r="BU70" s="1804"/>
      <c r="BV70" s="1804"/>
      <c r="BW70" s="1804"/>
      <c r="BX70" s="1804"/>
      <c r="BY70" s="1804"/>
      <c r="BZ70" s="1804"/>
      <c r="CA70" s="1804"/>
      <c r="CB70" s="1804"/>
      <c r="CC70" s="1804"/>
      <c r="CD70" s="1804"/>
      <c r="CE70" s="1804"/>
      <c r="CF70" s="1804"/>
      <c r="CG70" s="1804"/>
      <c r="CH70" s="1804"/>
      <c r="CI70" s="1804"/>
      <c r="CJ70" s="1804"/>
      <c r="CK70" s="1804"/>
      <c r="CL70" s="1804"/>
      <c r="CM70" s="1804"/>
      <c r="CN70" s="1804"/>
      <c r="CO70" s="1804"/>
      <c r="CP70" s="1804"/>
      <c r="CQ70" s="1804"/>
      <c r="CR70" s="1804"/>
      <c r="CS70" s="1804"/>
      <c r="CT70" s="1804"/>
      <c r="CU70" s="1804"/>
      <c r="CV70" s="1804"/>
      <c r="CW70" s="1804"/>
      <c r="CX70" s="1804"/>
      <c r="CY70" s="1804"/>
      <c r="CZ70" s="1804"/>
      <c r="DA70" s="1804"/>
      <c r="DB70" s="1804"/>
      <c r="DC70" s="1804"/>
      <c r="DD70" s="1804"/>
      <c r="DE70" s="1804"/>
      <c r="DF70" s="1804"/>
      <c r="DG70" s="1804"/>
      <c r="DH70" s="1804"/>
      <c r="DI70" s="1804"/>
      <c r="DJ70" s="1804"/>
      <c r="DK70" s="1804"/>
      <c r="DL70" s="1804"/>
      <c r="DM70" s="1804"/>
      <c r="DN70" s="1804"/>
      <c r="DO70" s="1804"/>
      <c r="DP70" s="1804"/>
      <c r="DQ70" s="1671"/>
      <c r="DR70" s="1671"/>
      <c r="DS70" s="1671"/>
      <c r="DT70" s="1671"/>
      <c r="DU70" s="1671"/>
      <c r="DV70" s="1671"/>
      <c r="DW70" s="1671"/>
      <c r="DX70" s="1671"/>
      <c r="DY70" s="1671"/>
      <c r="DZ70" s="1671"/>
      <c r="EA70" s="1740"/>
      <c r="EB70" s="1740"/>
      <c r="EC70" s="1740"/>
      <c r="ED70" s="1740"/>
      <c r="EE70" s="1740"/>
      <c r="EF70" s="1740"/>
      <c r="EG70" s="1740"/>
      <c r="EH70" s="1740"/>
      <c r="EI70" s="1740"/>
      <c r="EJ70" s="1740"/>
      <c r="EK70" s="1740"/>
      <c r="EL70" s="1740"/>
      <c r="EM70" s="1740"/>
      <c r="EN70" s="1740"/>
      <c r="EO70" s="1740"/>
      <c r="EP70" s="1740"/>
      <c r="EQ70" s="1740"/>
      <c r="ER70" s="1740"/>
      <c r="ES70" s="1740"/>
      <c r="ET70" s="1740"/>
      <c r="EU70" s="1740"/>
      <c r="EV70" s="1740"/>
      <c r="EW70" s="1740"/>
      <c r="EX70" s="1740"/>
      <c r="EY70" s="1740"/>
      <c r="EZ70" s="1740"/>
      <c r="FA70" s="1740"/>
      <c r="FB70" s="1740"/>
      <c r="FC70" s="1740"/>
      <c r="FD70" s="1740"/>
      <c r="FE70" s="1740"/>
      <c r="FF70" s="1740"/>
      <c r="FG70" s="1740"/>
      <c r="FH70" s="1740"/>
      <c r="FI70" s="1740"/>
      <c r="FJ70" s="1740"/>
      <c r="FK70" s="1740"/>
      <c r="FL70" s="1740"/>
      <c r="FM70" s="1740"/>
      <c r="FN70" s="1740"/>
      <c r="FO70" s="1740"/>
      <c r="FP70" s="1740"/>
      <c r="FQ70" s="1740"/>
      <c r="FR70" s="1740"/>
      <c r="FS70" s="1740"/>
      <c r="FT70" s="1740"/>
      <c r="FU70" s="1740"/>
      <c r="FV70" s="1740"/>
      <c r="FW70" s="1740"/>
      <c r="FX70" s="1740"/>
      <c r="FY70" s="1740"/>
      <c r="FZ70" s="1740"/>
      <c r="GA70" s="1740"/>
      <c r="GB70" s="1740"/>
      <c r="GC70" s="1740"/>
      <c r="GD70" s="1740"/>
      <c r="GE70" s="1740"/>
      <c r="GF70" s="1740"/>
    </row>
    <row r="71" spans="1:188" s="20" customFormat="1">
      <c r="A71" s="333">
        <f t="shared" si="0"/>
        <v>1976</v>
      </c>
      <c r="B71" s="333">
        <f t="shared" si="1"/>
        <v>1</v>
      </c>
      <c r="C71" s="1174">
        <v>27820</v>
      </c>
      <c r="D71" s="1158"/>
      <c r="E71" s="1159">
        <v>132.51086956520001</v>
      </c>
      <c r="F71" s="1159">
        <v>106.12755790215999</v>
      </c>
      <c r="G71" s="1160"/>
      <c r="H71" s="1161"/>
      <c r="I71" s="1160"/>
      <c r="J71" s="1160"/>
      <c r="K71" s="1677"/>
      <c r="L71" s="1677"/>
      <c r="M71" s="1681"/>
      <c r="N71" s="1162"/>
      <c r="O71" s="1162"/>
      <c r="P71" s="1162"/>
      <c r="Q71" s="1163"/>
      <c r="R71" s="1164"/>
      <c r="S71" s="1164"/>
      <c r="T71" s="1164"/>
      <c r="U71" s="1165"/>
      <c r="V71" s="1166"/>
      <c r="W71" s="1166"/>
      <c r="X71" s="630"/>
      <c r="AA71" s="1915"/>
      <c r="AB71" s="1915"/>
      <c r="AC71" s="1804"/>
      <c r="AD71" s="1804"/>
      <c r="AE71" s="1804"/>
      <c r="AF71" s="1804"/>
      <c r="AG71" s="1804"/>
      <c r="AH71" s="1804"/>
      <c r="AI71" s="1781" t="s">
        <v>0</v>
      </c>
      <c r="AJ71" s="1826">
        <v>2010</v>
      </c>
      <c r="AK71" s="1822" t="s">
        <v>32</v>
      </c>
      <c r="AL71" s="1822">
        <v>3</v>
      </c>
      <c r="AM71" s="1823">
        <v>471992378</v>
      </c>
      <c r="AN71" s="1824">
        <v>0.12436651283895921</v>
      </c>
      <c r="AO71" s="1781"/>
      <c r="AP71" s="1781" t="s">
        <v>0</v>
      </c>
      <c r="AQ71" s="1781" t="s">
        <v>500</v>
      </c>
      <c r="AR71" s="1822" t="s">
        <v>135</v>
      </c>
      <c r="AS71" s="1822">
        <v>1</v>
      </c>
      <c r="AT71" s="1823">
        <v>801978851.91000009</v>
      </c>
      <c r="AU71" s="1825">
        <v>0.22661853877908558</v>
      </c>
      <c r="AV71" s="1781">
        <v>2010</v>
      </c>
      <c r="AW71" s="1671"/>
      <c r="AX71" s="1925"/>
      <c r="AY71" s="1804"/>
      <c r="AZ71" s="1804"/>
      <c r="BA71" s="1804"/>
      <c r="BB71" s="1804"/>
      <c r="BC71" s="1804"/>
      <c r="BD71" s="1804"/>
      <c r="BE71" s="1804"/>
      <c r="BF71" s="1804"/>
      <c r="BG71" s="1804"/>
      <c r="BH71" s="1804"/>
      <c r="BI71" s="1804"/>
      <c r="BJ71" s="1804"/>
      <c r="BK71" s="1804"/>
      <c r="BL71" s="1804"/>
      <c r="BM71" s="1804"/>
      <c r="BN71" s="1804"/>
      <c r="BO71" s="1804"/>
      <c r="BP71" s="1804"/>
      <c r="BQ71" s="1804"/>
      <c r="BR71" s="1804"/>
      <c r="BS71" s="1804"/>
      <c r="BT71" s="1804"/>
      <c r="BU71" s="1804"/>
      <c r="BV71" s="1804"/>
      <c r="BW71" s="1804"/>
      <c r="BX71" s="1804"/>
      <c r="BY71" s="1804"/>
      <c r="BZ71" s="1804"/>
      <c r="CA71" s="1804"/>
      <c r="CB71" s="1804"/>
      <c r="CC71" s="1804"/>
      <c r="CD71" s="1804"/>
      <c r="CE71" s="1804"/>
      <c r="CF71" s="1804"/>
      <c r="CG71" s="1804"/>
      <c r="CH71" s="1804"/>
      <c r="CI71" s="1804"/>
      <c r="CJ71" s="1804"/>
      <c r="CK71" s="1804"/>
      <c r="CL71" s="1804"/>
      <c r="CM71" s="1804"/>
      <c r="CN71" s="1804"/>
      <c r="CO71" s="1804"/>
      <c r="CP71" s="1804"/>
      <c r="CQ71" s="1804"/>
      <c r="CR71" s="1804"/>
      <c r="CS71" s="1804"/>
      <c r="CT71" s="1804"/>
      <c r="CU71" s="1804"/>
      <c r="CV71" s="1804"/>
      <c r="CW71" s="1804"/>
      <c r="CX71" s="1804"/>
      <c r="CY71" s="1804"/>
      <c r="CZ71" s="1804"/>
      <c r="DA71" s="1804"/>
      <c r="DB71" s="1804"/>
      <c r="DC71" s="1804"/>
      <c r="DD71" s="1804"/>
      <c r="DE71" s="1804"/>
      <c r="DF71" s="1804"/>
      <c r="DG71" s="1804"/>
      <c r="DH71" s="1804"/>
      <c r="DI71" s="1804"/>
      <c r="DJ71" s="1804"/>
      <c r="DK71" s="1804"/>
      <c r="DL71" s="1804"/>
      <c r="DM71" s="1804"/>
      <c r="DN71" s="1804"/>
      <c r="DO71" s="1804"/>
      <c r="DP71" s="1804"/>
      <c r="DQ71" s="1671"/>
      <c r="DR71" s="1671"/>
      <c r="DS71" s="1671"/>
      <c r="DT71" s="1671"/>
      <c r="DU71" s="1671"/>
      <c r="DV71" s="1671"/>
      <c r="DW71" s="1671"/>
      <c r="DX71" s="1671"/>
      <c r="DY71" s="1671"/>
      <c r="DZ71" s="1671"/>
      <c r="EA71" s="1740"/>
      <c r="EB71" s="1740"/>
      <c r="EC71" s="1740"/>
      <c r="ED71" s="1740"/>
      <c r="EE71" s="1740"/>
      <c r="EF71" s="1740"/>
      <c r="EG71" s="1740"/>
      <c r="EH71" s="1740"/>
      <c r="EI71" s="1740"/>
      <c r="EJ71" s="1740"/>
      <c r="EK71" s="1740"/>
      <c r="EL71" s="1740"/>
      <c r="EM71" s="1740"/>
      <c r="EN71" s="1740"/>
      <c r="EO71" s="1740"/>
      <c r="EP71" s="1740"/>
      <c r="EQ71" s="1740"/>
      <c r="ER71" s="1740"/>
      <c r="ES71" s="1740"/>
      <c r="ET71" s="1740"/>
      <c r="EU71" s="1740"/>
      <c r="EV71" s="1740"/>
      <c r="EW71" s="1740"/>
      <c r="EX71" s="1740"/>
      <c r="EY71" s="1740"/>
      <c r="EZ71" s="1740"/>
      <c r="FA71" s="1740"/>
      <c r="FB71" s="1740"/>
      <c r="FC71" s="1740"/>
      <c r="FD71" s="1740"/>
      <c r="FE71" s="1740"/>
      <c r="FF71" s="1740"/>
      <c r="FG71" s="1740"/>
      <c r="FH71" s="1740"/>
      <c r="FI71" s="1740"/>
      <c r="FJ71" s="1740"/>
      <c r="FK71" s="1740"/>
      <c r="FL71" s="1740"/>
      <c r="FM71" s="1740"/>
      <c r="FN71" s="1740"/>
      <c r="FO71" s="1740"/>
      <c r="FP71" s="1740"/>
      <c r="FQ71" s="1740"/>
      <c r="FR71" s="1740"/>
      <c r="FS71" s="1740"/>
      <c r="FT71" s="1740"/>
      <c r="FU71" s="1740"/>
      <c r="FV71" s="1740"/>
      <c r="FW71" s="1740"/>
      <c r="FX71" s="1740"/>
      <c r="FY71" s="1740"/>
      <c r="FZ71" s="1740"/>
      <c r="GA71" s="1740"/>
      <c r="GB71" s="1740"/>
      <c r="GC71" s="1740"/>
      <c r="GD71" s="1740"/>
      <c r="GE71" s="1740"/>
      <c r="GF71" s="1740"/>
    </row>
    <row r="72" spans="1:188" s="20" customFormat="1">
      <c r="A72" s="333">
        <f t="shared" si="0"/>
        <v>1976</v>
      </c>
      <c r="B72" s="333">
        <f t="shared" si="1"/>
        <v>2</v>
      </c>
      <c r="C72" s="1174">
        <v>27851</v>
      </c>
      <c r="D72" s="1167"/>
      <c r="E72" s="1168">
        <v>127.91875</v>
      </c>
      <c r="F72" s="1168">
        <v>103.24360688125</v>
      </c>
      <c r="G72" s="1168"/>
      <c r="H72" s="1167"/>
      <c r="I72" s="1168"/>
      <c r="J72" s="1168"/>
      <c r="K72" s="1678"/>
      <c r="L72" s="1678"/>
      <c r="M72" s="1682"/>
      <c r="N72" s="1169"/>
      <c r="O72" s="1169"/>
      <c r="P72" s="1169"/>
      <c r="Q72" s="1167"/>
      <c r="R72" s="1167"/>
      <c r="S72" s="1167"/>
      <c r="T72" s="1167"/>
      <c r="U72" s="1167"/>
      <c r="V72" s="1167"/>
      <c r="W72" s="1167"/>
      <c r="X72" s="630"/>
      <c r="AA72" s="1915"/>
      <c r="AB72" s="1915"/>
      <c r="AC72" s="1804"/>
      <c r="AD72" s="1804"/>
      <c r="AE72" s="1804"/>
      <c r="AF72" s="1804"/>
      <c r="AG72" s="1804"/>
      <c r="AH72" s="1804"/>
      <c r="AI72" s="1781" t="s">
        <v>0</v>
      </c>
      <c r="AJ72" s="1826">
        <v>2010</v>
      </c>
      <c r="AK72" s="1822" t="s">
        <v>26</v>
      </c>
      <c r="AL72" s="1822">
        <v>4</v>
      </c>
      <c r="AM72" s="1823">
        <v>325177880.49999994</v>
      </c>
      <c r="AN72" s="1824">
        <v>8.5681974826612106E-2</v>
      </c>
      <c r="AO72" s="1781"/>
      <c r="AP72" s="1781" t="s">
        <v>0</v>
      </c>
      <c r="AQ72" s="1781" t="s">
        <v>500</v>
      </c>
      <c r="AR72" s="1822" t="s">
        <v>18</v>
      </c>
      <c r="AS72" s="1822">
        <v>2</v>
      </c>
      <c r="AT72" s="1823">
        <v>667819273.07999992</v>
      </c>
      <c r="AU72" s="1825">
        <v>0.18870850206768852</v>
      </c>
      <c r="AV72" s="1781">
        <v>2010</v>
      </c>
      <c r="AW72" s="1671"/>
      <c r="AX72" s="1671"/>
      <c r="AY72" s="1804"/>
      <c r="AZ72" s="1804"/>
      <c r="BA72" s="1804"/>
      <c r="BB72" s="1804"/>
      <c r="BC72" s="1804"/>
      <c r="BD72" s="1804"/>
      <c r="BE72" s="1804"/>
      <c r="BF72" s="1804"/>
      <c r="BG72" s="1804"/>
      <c r="BH72" s="1804"/>
      <c r="BI72" s="1804"/>
      <c r="BJ72" s="1804"/>
      <c r="BK72" s="1804"/>
      <c r="BL72" s="1804"/>
      <c r="BM72" s="1804"/>
      <c r="BN72" s="1804"/>
      <c r="BO72" s="1804"/>
      <c r="BP72" s="1804"/>
      <c r="BQ72" s="1804"/>
      <c r="BR72" s="1804"/>
      <c r="BS72" s="1804"/>
      <c r="BT72" s="1804"/>
      <c r="BU72" s="1804"/>
      <c r="BV72" s="1804"/>
      <c r="BW72" s="1804"/>
      <c r="BX72" s="1804"/>
      <c r="BY72" s="1804"/>
      <c r="BZ72" s="1804"/>
      <c r="CA72" s="1804"/>
      <c r="CB72" s="1804"/>
      <c r="CC72" s="1804"/>
      <c r="CD72" s="1804"/>
      <c r="CE72" s="1804"/>
      <c r="CF72" s="1804"/>
      <c r="CG72" s="1804"/>
      <c r="CH72" s="1804"/>
      <c r="CI72" s="1804"/>
      <c r="CJ72" s="1804"/>
      <c r="CK72" s="1804"/>
      <c r="CL72" s="1804"/>
      <c r="CM72" s="1804"/>
      <c r="CN72" s="1804"/>
      <c r="CO72" s="1804"/>
      <c r="CP72" s="1804"/>
      <c r="CQ72" s="1804"/>
      <c r="CR72" s="1804"/>
      <c r="CS72" s="1804"/>
      <c r="CT72" s="1804"/>
      <c r="CU72" s="1804"/>
      <c r="CV72" s="1804"/>
      <c r="CW72" s="1804"/>
      <c r="CX72" s="1804"/>
      <c r="CY72" s="1804"/>
      <c r="CZ72" s="1804"/>
      <c r="DA72" s="1804"/>
      <c r="DB72" s="1804"/>
      <c r="DC72" s="1804"/>
      <c r="DD72" s="1804"/>
      <c r="DE72" s="1804"/>
      <c r="DF72" s="1804"/>
      <c r="DG72" s="1804"/>
      <c r="DH72" s="1804"/>
      <c r="DI72" s="1804"/>
      <c r="DJ72" s="1804"/>
      <c r="DK72" s="1804"/>
      <c r="DL72" s="1804"/>
      <c r="DM72" s="1804"/>
      <c r="DN72" s="1804"/>
      <c r="DO72" s="1804"/>
      <c r="DP72" s="1804"/>
      <c r="DQ72" s="1671"/>
      <c r="DR72" s="1671"/>
      <c r="DS72" s="1671"/>
      <c r="DT72" s="1671"/>
      <c r="DU72" s="1671"/>
      <c r="DV72" s="1671"/>
      <c r="DW72" s="1671"/>
      <c r="DX72" s="1671"/>
      <c r="DY72" s="1671"/>
      <c r="DZ72" s="1671"/>
      <c r="EA72" s="1740"/>
      <c r="EB72" s="1740"/>
      <c r="EC72" s="1740"/>
      <c r="ED72" s="1740"/>
      <c r="EE72" s="1740"/>
      <c r="EF72" s="1740"/>
      <c r="EG72" s="1740"/>
      <c r="EH72" s="1740"/>
      <c r="EI72" s="1740"/>
      <c r="EJ72" s="1740"/>
      <c r="EK72" s="1740"/>
      <c r="EL72" s="1740"/>
      <c r="EM72" s="1740"/>
      <c r="EN72" s="1740"/>
      <c r="EO72" s="1740"/>
      <c r="EP72" s="1740"/>
      <c r="EQ72" s="1740"/>
      <c r="ER72" s="1740"/>
      <c r="ES72" s="1740"/>
      <c r="ET72" s="1740"/>
      <c r="EU72" s="1740"/>
      <c r="EV72" s="1740"/>
      <c r="EW72" s="1740"/>
      <c r="EX72" s="1740"/>
      <c r="EY72" s="1740"/>
      <c r="EZ72" s="1740"/>
      <c r="FA72" s="1740"/>
      <c r="FB72" s="1740"/>
      <c r="FC72" s="1740"/>
      <c r="FD72" s="1740"/>
      <c r="FE72" s="1740"/>
      <c r="FF72" s="1740"/>
      <c r="FG72" s="1740"/>
      <c r="FH72" s="1740"/>
      <c r="FI72" s="1740"/>
      <c r="FJ72" s="1740"/>
      <c r="FK72" s="1740"/>
      <c r="FL72" s="1740"/>
      <c r="FM72" s="1740"/>
      <c r="FN72" s="1740"/>
      <c r="FO72" s="1740"/>
      <c r="FP72" s="1740"/>
      <c r="FQ72" s="1740"/>
      <c r="FR72" s="1740"/>
      <c r="FS72" s="1740"/>
      <c r="FT72" s="1740"/>
      <c r="FU72" s="1740"/>
      <c r="FV72" s="1740"/>
      <c r="FW72" s="1740"/>
      <c r="FX72" s="1740"/>
      <c r="FY72" s="1740"/>
      <c r="FZ72" s="1740"/>
      <c r="GA72" s="1740"/>
      <c r="GB72" s="1740"/>
      <c r="GC72" s="1740"/>
      <c r="GD72" s="1740"/>
      <c r="GE72" s="1740"/>
      <c r="GF72" s="1740"/>
    </row>
    <row r="73" spans="1:188" s="20" customFormat="1">
      <c r="A73" s="333">
        <f t="shared" ref="A73:A136" si="2">YEAR(C73)</f>
        <v>1976</v>
      </c>
      <c r="B73" s="333">
        <f t="shared" ref="B73:B136" si="3">IF(OR(MONTH(C73)=1,MONTH(C73)=2,MONTH(C73)=3),1,IF(OR(MONTH(C73)=4,MONTH(C73)=5,MONTH(C73)=6),2,IF(OR(MONTH(C73)=7,MONTH(C73)=8,MONTH(C73)=9),3,4)))</f>
        <v>2</v>
      </c>
      <c r="C73" s="1174">
        <v>27883</v>
      </c>
      <c r="D73" s="1158"/>
      <c r="E73" s="1159">
        <v>126.8925</v>
      </c>
      <c r="F73" s="1159">
        <v>103.40850502500001</v>
      </c>
      <c r="G73" s="1160"/>
      <c r="H73" s="1161"/>
      <c r="I73" s="1160"/>
      <c r="J73" s="1160"/>
      <c r="K73" s="1677"/>
      <c r="L73" s="1677"/>
      <c r="M73" s="1681"/>
      <c r="N73" s="1162"/>
      <c r="O73" s="1162"/>
      <c r="P73" s="1162"/>
      <c r="Q73" s="1163"/>
      <c r="R73" s="1164"/>
      <c r="S73" s="1164"/>
      <c r="T73" s="1164"/>
      <c r="U73" s="1165"/>
      <c r="V73" s="1166"/>
      <c r="W73" s="1166"/>
      <c r="X73" s="630"/>
      <c r="AA73" s="1915"/>
      <c r="AB73" s="1915"/>
      <c r="AC73" s="1804"/>
      <c r="AD73" s="1804"/>
      <c r="AE73" s="1804"/>
      <c r="AF73" s="1804"/>
      <c r="AG73" s="1804"/>
      <c r="AH73" s="1804"/>
      <c r="AI73" s="1781" t="s">
        <v>0</v>
      </c>
      <c r="AJ73" s="1826">
        <v>2010</v>
      </c>
      <c r="AK73" s="1822" t="s">
        <v>17</v>
      </c>
      <c r="AL73" s="1822">
        <v>5</v>
      </c>
      <c r="AM73" s="1823">
        <v>197652703.62</v>
      </c>
      <c r="AN73" s="1824">
        <v>5.2080030627977066E-2</v>
      </c>
      <c r="AO73" s="1781"/>
      <c r="AP73" s="1781" t="s">
        <v>0</v>
      </c>
      <c r="AQ73" s="1781" t="s">
        <v>500</v>
      </c>
      <c r="AR73" s="1822" t="s">
        <v>32</v>
      </c>
      <c r="AS73" s="1822">
        <v>3</v>
      </c>
      <c r="AT73" s="1823">
        <v>422475772.86999989</v>
      </c>
      <c r="AU73" s="1825">
        <v>0.11938075684832208</v>
      </c>
      <c r="AV73" s="1781">
        <v>2010</v>
      </c>
      <c r="AW73" s="1671"/>
      <c r="AX73" s="1671"/>
      <c r="AY73" s="1804"/>
      <c r="AZ73" s="1804"/>
      <c r="BA73" s="1804"/>
      <c r="BB73" s="1804"/>
      <c r="BC73" s="1804"/>
      <c r="BD73" s="1804"/>
      <c r="BE73" s="1804"/>
      <c r="BF73" s="1804"/>
      <c r="BG73" s="1804"/>
      <c r="BH73" s="1804"/>
      <c r="BI73" s="1804"/>
      <c r="BJ73" s="1804"/>
      <c r="BK73" s="1804"/>
      <c r="BL73" s="1804"/>
      <c r="BM73" s="1804"/>
      <c r="BN73" s="1804"/>
      <c r="BO73" s="1804"/>
      <c r="BP73" s="1804"/>
      <c r="BQ73" s="1804"/>
      <c r="BR73" s="1804"/>
      <c r="BS73" s="1804"/>
      <c r="BT73" s="1804"/>
      <c r="BU73" s="1804"/>
      <c r="BV73" s="1804"/>
      <c r="BW73" s="1804"/>
      <c r="BX73" s="1804"/>
      <c r="BY73" s="1804"/>
      <c r="BZ73" s="1804"/>
      <c r="CA73" s="1804"/>
      <c r="CB73" s="1804"/>
      <c r="CC73" s="1804"/>
      <c r="CD73" s="1804"/>
      <c r="CE73" s="1804"/>
      <c r="CF73" s="1804"/>
      <c r="CG73" s="1804"/>
      <c r="CH73" s="1804"/>
      <c r="CI73" s="1804"/>
      <c r="CJ73" s="1804"/>
      <c r="CK73" s="1804"/>
      <c r="CL73" s="1804"/>
      <c r="CM73" s="1804"/>
      <c r="CN73" s="1804"/>
      <c r="CO73" s="1804"/>
      <c r="CP73" s="1804"/>
      <c r="CQ73" s="1804"/>
      <c r="CR73" s="1804"/>
      <c r="CS73" s="1804"/>
      <c r="CT73" s="1804"/>
      <c r="CU73" s="1804"/>
      <c r="CV73" s="1804"/>
      <c r="CW73" s="1804"/>
      <c r="CX73" s="1804"/>
      <c r="CY73" s="1804"/>
      <c r="CZ73" s="1804"/>
      <c r="DA73" s="1804"/>
      <c r="DB73" s="1804"/>
      <c r="DC73" s="1804"/>
      <c r="DD73" s="1804"/>
      <c r="DE73" s="1804"/>
      <c r="DF73" s="1804"/>
      <c r="DG73" s="1804"/>
      <c r="DH73" s="1804"/>
      <c r="DI73" s="1804"/>
      <c r="DJ73" s="1804"/>
      <c r="DK73" s="1804"/>
      <c r="DL73" s="1804"/>
      <c r="DM73" s="1804"/>
      <c r="DN73" s="1804"/>
      <c r="DO73" s="1804"/>
      <c r="DP73" s="1804"/>
      <c r="DQ73" s="1671"/>
      <c r="DR73" s="1671"/>
      <c r="DS73" s="1671"/>
      <c r="DT73" s="1671"/>
      <c r="DU73" s="1671"/>
      <c r="DV73" s="1671"/>
      <c r="DW73" s="1671"/>
      <c r="DX73" s="1671"/>
      <c r="DY73" s="1671"/>
      <c r="DZ73" s="1671"/>
      <c r="EA73" s="1740"/>
      <c r="EB73" s="1740"/>
      <c r="EC73" s="1740"/>
      <c r="ED73" s="1740"/>
      <c r="EE73" s="1740"/>
      <c r="EF73" s="1740"/>
      <c r="EG73" s="1740"/>
      <c r="EH73" s="1740"/>
      <c r="EI73" s="1740"/>
      <c r="EJ73" s="1740"/>
      <c r="EK73" s="1740"/>
      <c r="EL73" s="1740"/>
      <c r="EM73" s="1740"/>
      <c r="EN73" s="1740"/>
      <c r="EO73" s="1740"/>
      <c r="EP73" s="1740"/>
      <c r="EQ73" s="1740"/>
      <c r="ER73" s="1740"/>
      <c r="ES73" s="1740"/>
      <c r="ET73" s="1740"/>
      <c r="EU73" s="1740"/>
      <c r="EV73" s="1740"/>
      <c r="EW73" s="1740"/>
      <c r="EX73" s="1740"/>
      <c r="EY73" s="1740"/>
      <c r="EZ73" s="1740"/>
      <c r="FA73" s="1740"/>
      <c r="FB73" s="1740"/>
      <c r="FC73" s="1740"/>
      <c r="FD73" s="1740"/>
      <c r="FE73" s="1740"/>
      <c r="FF73" s="1740"/>
      <c r="FG73" s="1740"/>
      <c r="FH73" s="1740"/>
      <c r="FI73" s="1740"/>
      <c r="FJ73" s="1740"/>
      <c r="FK73" s="1740"/>
      <c r="FL73" s="1740"/>
      <c r="FM73" s="1740"/>
      <c r="FN73" s="1740"/>
      <c r="FO73" s="1740"/>
      <c r="FP73" s="1740"/>
      <c r="FQ73" s="1740"/>
      <c r="FR73" s="1740"/>
      <c r="FS73" s="1740"/>
      <c r="FT73" s="1740"/>
      <c r="FU73" s="1740"/>
      <c r="FV73" s="1740"/>
      <c r="FW73" s="1740"/>
      <c r="FX73" s="1740"/>
      <c r="FY73" s="1740"/>
      <c r="FZ73" s="1740"/>
      <c r="GA73" s="1740"/>
      <c r="GB73" s="1740"/>
      <c r="GC73" s="1740"/>
      <c r="GD73" s="1740"/>
      <c r="GE73" s="1740"/>
      <c r="GF73" s="1740"/>
    </row>
    <row r="74" spans="1:188" s="20" customFormat="1">
      <c r="A74" s="333">
        <f t="shared" si="2"/>
        <v>1976</v>
      </c>
      <c r="B74" s="333">
        <f t="shared" si="3"/>
        <v>2</v>
      </c>
      <c r="C74" s="1174">
        <v>27912</v>
      </c>
      <c r="D74" s="1167"/>
      <c r="E74" s="1168">
        <v>125.6238636364</v>
      </c>
      <c r="F74" s="1168">
        <v>101.67028218980217</v>
      </c>
      <c r="G74" s="1168"/>
      <c r="H74" s="1167"/>
      <c r="I74" s="1168"/>
      <c r="J74" s="1168"/>
      <c r="K74" s="1678"/>
      <c r="L74" s="1678"/>
      <c r="M74" s="1682"/>
      <c r="N74" s="1169"/>
      <c r="O74" s="1169"/>
      <c r="P74" s="1169"/>
      <c r="Q74" s="1167"/>
      <c r="R74" s="1167"/>
      <c r="S74" s="1167"/>
      <c r="T74" s="1167"/>
      <c r="U74" s="1167"/>
      <c r="V74" s="1167"/>
      <c r="W74" s="1167"/>
      <c r="X74" s="630"/>
      <c r="AA74" s="1915"/>
      <c r="AB74" s="1915"/>
      <c r="AC74" s="1804"/>
      <c r="AD74" s="1804"/>
      <c r="AE74" s="1804"/>
      <c r="AF74" s="1804"/>
      <c r="AG74" s="1804"/>
      <c r="AH74" s="1804"/>
      <c r="AI74" s="1781" t="s">
        <v>0</v>
      </c>
      <c r="AJ74" s="1826">
        <v>2010</v>
      </c>
      <c r="AK74" s="1822" t="s">
        <v>758</v>
      </c>
      <c r="AL74" s="1822">
        <v>6</v>
      </c>
      <c r="AM74" s="1823">
        <v>178812407.03</v>
      </c>
      <c r="AN74" s="1824">
        <v>4.7115751336691492E-2</v>
      </c>
      <c r="AO74" s="1781"/>
      <c r="AP74" s="1781" t="s">
        <v>0</v>
      </c>
      <c r="AQ74" s="1781" t="s">
        <v>500</v>
      </c>
      <c r="AR74" s="1822" t="s">
        <v>26</v>
      </c>
      <c r="AS74" s="1822">
        <v>4</v>
      </c>
      <c r="AT74" s="1823">
        <v>293433624.23000002</v>
      </c>
      <c r="AU74" s="1825">
        <v>8.2916773919016501E-2</v>
      </c>
      <c r="AV74" s="1781">
        <v>2010</v>
      </c>
      <c r="AW74" s="1671"/>
      <c r="AX74" s="1925"/>
      <c r="AY74" s="1804"/>
      <c r="AZ74" s="1804"/>
      <c r="BA74" s="1804"/>
      <c r="BB74" s="1804"/>
      <c r="BC74" s="1804"/>
      <c r="BD74" s="1804"/>
      <c r="BE74" s="1804"/>
      <c r="BF74" s="1804"/>
      <c r="BG74" s="1804"/>
      <c r="BH74" s="1804"/>
      <c r="BI74" s="1804"/>
      <c r="BJ74" s="1804"/>
      <c r="BK74" s="1804"/>
      <c r="BL74" s="1804"/>
      <c r="BM74" s="1804"/>
      <c r="BN74" s="1804"/>
      <c r="BO74" s="1804"/>
      <c r="BP74" s="1804"/>
      <c r="BQ74" s="1804"/>
      <c r="BR74" s="1804"/>
      <c r="BS74" s="1804"/>
      <c r="BT74" s="1804"/>
      <c r="BU74" s="1804"/>
      <c r="BV74" s="1804"/>
      <c r="BW74" s="1804"/>
      <c r="BX74" s="1804"/>
      <c r="BY74" s="1804"/>
      <c r="BZ74" s="1804"/>
      <c r="CA74" s="1804"/>
      <c r="CB74" s="1804"/>
      <c r="CC74" s="1804"/>
      <c r="CD74" s="1804"/>
      <c r="CE74" s="1804"/>
      <c r="CF74" s="1804"/>
      <c r="CG74" s="1804"/>
      <c r="CH74" s="1804"/>
      <c r="CI74" s="1804"/>
      <c r="CJ74" s="1804"/>
      <c r="CK74" s="1804"/>
      <c r="CL74" s="1804"/>
      <c r="CM74" s="1804"/>
      <c r="CN74" s="1804"/>
      <c r="CO74" s="1804"/>
      <c r="CP74" s="1804"/>
      <c r="CQ74" s="1804"/>
      <c r="CR74" s="1804"/>
      <c r="CS74" s="1804"/>
      <c r="CT74" s="1804"/>
      <c r="CU74" s="1804"/>
      <c r="CV74" s="1804"/>
      <c r="CW74" s="1804"/>
      <c r="CX74" s="1804"/>
      <c r="CY74" s="1804"/>
      <c r="CZ74" s="1804"/>
      <c r="DA74" s="1804"/>
      <c r="DB74" s="1804"/>
      <c r="DC74" s="1804"/>
      <c r="DD74" s="1804"/>
      <c r="DE74" s="1804"/>
      <c r="DF74" s="1804"/>
      <c r="DG74" s="1804"/>
      <c r="DH74" s="1804"/>
      <c r="DI74" s="1804"/>
      <c r="DJ74" s="1804"/>
      <c r="DK74" s="1804"/>
      <c r="DL74" s="1804"/>
      <c r="DM74" s="1804"/>
      <c r="DN74" s="1804"/>
      <c r="DO74" s="1804"/>
      <c r="DP74" s="1804"/>
      <c r="DQ74" s="1671"/>
      <c r="DR74" s="1671"/>
      <c r="DS74" s="1671"/>
      <c r="DT74" s="1671"/>
      <c r="DU74" s="1671"/>
      <c r="DV74" s="1671"/>
      <c r="DW74" s="1671"/>
      <c r="DX74" s="1671"/>
      <c r="DY74" s="1671"/>
      <c r="DZ74" s="1671"/>
      <c r="EA74" s="1740"/>
      <c r="EB74" s="1740"/>
      <c r="EC74" s="1740"/>
      <c r="ED74" s="1740"/>
      <c r="EE74" s="1740"/>
      <c r="EF74" s="1740"/>
      <c r="EG74" s="1740"/>
      <c r="EH74" s="1740"/>
      <c r="EI74" s="1740"/>
      <c r="EJ74" s="1740"/>
      <c r="EK74" s="1740"/>
      <c r="EL74" s="1740"/>
      <c r="EM74" s="1740"/>
      <c r="EN74" s="1740"/>
      <c r="EO74" s="1740"/>
      <c r="EP74" s="1740"/>
      <c r="EQ74" s="1740"/>
      <c r="ER74" s="1740"/>
      <c r="ES74" s="1740"/>
      <c r="ET74" s="1740"/>
      <c r="EU74" s="1740"/>
      <c r="EV74" s="1740"/>
      <c r="EW74" s="1740"/>
      <c r="EX74" s="1740"/>
      <c r="EY74" s="1740"/>
      <c r="EZ74" s="1740"/>
      <c r="FA74" s="1740"/>
      <c r="FB74" s="1740"/>
      <c r="FC74" s="1740"/>
      <c r="FD74" s="1740"/>
      <c r="FE74" s="1740"/>
      <c r="FF74" s="1740"/>
      <c r="FG74" s="1740"/>
      <c r="FH74" s="1740"/>
      <c r="FI74" s="1740"/>
      <c r="FJ74" s="1740"/>
      <c r="FK74" s="1740"/>
      <c r="FL74" s="1740"/>
      <c r="FM74" s="1740"/>
      <c r="FN74" s="1740"/>
      <c r="FO74" s="1740"/>
      <c r="FP74" s="1740"/>
      <c r="FQ74" s="1740"/>
      <c r="FR74" s="1740"/>
      <c r="FS74" s="1740"/>
      <c r="FT74" s="1740"/>
      <c r="FU74" s="1740"/>
      <c r="FV74" s="1740"/>
      <c r="FW74" s="1740"/>
      <c r="FX74" s="1740"/>
      <c r="FY74" s="1740"/>
      <c r="FZ74" s="1740"/>
      <c r="GA74" s="1740"/>
      <c r="GB74" s="1740"/>
      <c r="GC74" s="1740"/>
      <c r="GD74" s="1740"/>
      <c r="GE74" s="1740"/>
      <c r="GF74" s="1740"/>
    </row>
    <row r="75" spans="1:188" s="20" customFormat="1">
      <c r="A75" s="333">
        <f t="shared" si="2"/>
        <v>1976</v>
      </c>
      <c r="B75" s="333">
        <f t="shared" si="3"/>
        <v>3</v>
      </c>
      <c r="C75" s="1174">
        <v>27942</v>
      </c>
      <c r="D75" s="1158"/>
      <c r="E75" s="1159">
        <v>117.5090909091</v>
      </c>
      <c r="F75" s="1159">
        <v>94.711974745461859</v>
      </c>
      <c r="G75" s="1160"/>
      <c r="H75" s="1161"/>
      <c r="I75" s="1160"/>
      <c r="J75" s="1160"/>
      <c r="K75" s="1677"/>
      <c r="L75" s="1677"/>
      <c r="M75" s="1681"/>
      <c r="N75" s="1162"/>
      <c r="O75" s="1162"/>
      <c r="P75" s="1162"/>
      <c r="Q75" s="1163"/>
      <c r="R75" s="1164"/>
      <c r="S75" s="1164"/>
      <c r="T75" s="1164"/>
      <c r="U75" s="1165"/>
      <c r="V75" s="1166"/>
      <c r="W75" s="1166"/>
      <c r="X75" s="630"/>
      <c r="AA75" s="1915"/>
      <c r="AB75" s="1915"/>
      <c r="AC75" s="1804"/>
      <c r="AD75" s="1804"/>
      <c r="AE75" s="1804"/>
      <c r="AF75" s="1804"/>
      <c r="AG75" s="1804"/>
      <c r="AH75" s="1804"/>
      <c r="AI75" s="1781" t="s">
        <v>0</v>
      </c>
      <c r="AJ75" s="1826">
        <v>2010</v>
      </c>
      <c r="AK75" s="1822" t="s">
        <v>21</v>
      </c>
      <c r="AL75" s="1822">
        <v>7</v>
      </c>
      <c r="AM75" s="1823">
        <v>136866649.75</v>
      </c>
      <c r="AN75" s="1824">
        <v>3.6063353449658268E-2</v>
      </c>
      <c r="AO75" s="1781"/>
      <c r="AP75" s="1781" t="s">
        <v>0</v>
      </c>
      <c r="AQ75" s="1781" t="s">
        <v>500</v>
      </c>
      <c r="AR75" s="1822" t="s">
        <v>17</v>
      </c>
      <c r="AS75" s="1822">
        <v>5</v>
      </c>
      <c r="AT75" s="1823">
        <v>208556648.89000002</v>
      </c>
      <c r="AU75" s="1825">
        <v>5.8932729848864579E-2</v>
      </c>
      <c r="AV75" s="1781">
        <v>2010</v>
      </c>
      <c r="AW75" s="1671"/>
      <c r="AX75" s="1671"/>
      <c r="AY75" s="1804"/>
      <c r="AZ75" s="1804"/>
      <c r="BA75" s="1804"/>
      <c r="BB75" s="1804"/>
      <c r="BC75" s="1804"/>
      <c r="BD75" s="1804"/>
      <c r="BE75" s="1804"/>
      <c r="BF75" s="1804"/>
      <c r="BG75" s="1804"/>
      <c r="BH75" s="1804"/>
      <c r="BI75" s="1804"/>
      <c r="BJ75" s="1804"/>
      <c r="BK75" s="1804"/>
      <c r="BL75" s="1804"/>
      <c r="BM75" s="1804"/>
      <c r="BN75" s="1804"/>
      <c r="BO75" s="1804"/>
      <c r="BP75" s="1804"/>
      <c r="BQ75" s="1804"/>
      <c r="BR75" s="1804"/>
      <c r="BS75" s="1804"/>
      <c r="BT75" s="1804"/>
      <c r="BU75" s="1804"/>
      <c r="BV75" s="1804"/>
      <c r="BW75" s="1804"/>
      <c r="BX75" s="1804"/>
      <c r="BY75" s="1804"/>
      <c r="BZ75" s="1804"/>
      <c r="CA75" s="1804"/>
      <c r="CB75" s="1804"/>
      <c r="CC75" s="1804"/>
      <c r="CD75" s="1804"/>
      <c r="CE75" s="1804"/>
      <c r="CF75" s="1804"/>
      <c r="CG75" s="1804"/>
      <c r="CH75" s="1804"/>
      <c r="CI75" s="1804"/>
      <c r="CJ75" s="1804"/>
      <c r="CK75" s="1804"/>
      <c r="CL75" s="1804"/>
      <c r="CM75" s="1804"/>
      <c r="CN75" s="1804"/>
      <c r="CO75" s="1804"/>
      <c r="CP75" s="1804"/>
      <c r="CQ75" s="1804"/>
      <c r="CR75" s="1804"/>
      <c r="CS75" s="1804"/>
      <c r="CT75" s="1804"/>
      <c r="CU75" s="1804"/>
      <c r="CV75" s="1804"/>
      <c r="CW75" s="1804"/>
      <c r="CX75" s="1804"/>
      <c r="CY75" s="1804"/>
      <c r="CZ75" s="1804"/>
      <c r="DA75" s="1804"/>
      <c r="DB75" s="1804"/>
      <c r="DC75" s="1804"/>
      <c r="DD75" s="1804"/>
      <c r="DE75" s="1804"/>
      <c r="DF75" s="1804"/>
      <c r="DG75" s="1804"/>
      <c r="DH75" s="1804"/>
      <c r="DI75" s="1804"/>
      <c r="DJ75" s="1804"/>
      <c r="DK75" s="1804"/>
      <c r="DL75" s="1804"/>
      <c r="DM75" s="1804"/>
      <c r="DN75" s="1804"/>
      <c r="DO75" s="1804"/>
      <c r="DP75" s="1804"/>
      <c r="DQ75" s="1671"/>
      <c r="DR75" s="1671"/>
      <c r="DS75" s="1671"/>
      <c r="DT75" s="1671"/>
      <c r="DU75" s="1671"/>
      <c r="DV75" s="1671"/>
      <c r="DW75" s="1671"/>
      <c r="DX75" s="1671"/>
      <c r="DY75" s="1671"/>
      <c r="DZ75" s="1671"/>
      <c r="EA75" s="1740"/>
      <c r="EB75" s="1740"/>
      <c r="EC75" s="1740"/>
      <c r="ED75" s="1740"/>
      <c r="EE75" s="1740"/>
      <c r="EF75" s="1740"/>
      <c r="EG75" s="1740"/>
      <c r="EH75" s="1740"/>
      <c r="EI75" s="1740"/>
      <c r="EJ75" s="1740"/>
      <c r="EK75" s="1740"/>
      <c r="EL75" s="1740"/>
      <c r="EM75" s="1740"/>
      <c r="EN75" s="1740"/>
      <c r="EO75" s="1740"/>
      <c r="EP75" s="1740"/>
      <c r="EQ75" s="1740"/>
      <c r="ER75" s="1740"/>
      <c r="ES75" s="1740"/>
      <c r="ET75" s="1740"/>
      <c r="EU75" s="1740"/>
      <c r="EV75" s="1740"/>
      <c r="EW75" s="1740"/>
      <c r="EX75" s="1740"/>
      <c r="EY75" s="1740"/>
      <c r="EZ75" s="1740"/>
      <c r="FA75" s="1740"/>
      <c r="FB75" s="1740"/>
      <c r="FC75" s="1740"/>
      <c r="FD75" s="1740"/>
      <c r="FE75" s="1740"/>
      <c r="FF75" s="1740"/>
      <c r="FG75" s="1740"/>
      <c r="FH75" s="1740"/>
      <c r="FI75" s="1740"/>
      <c r="FJ75" s="1740"/>
      <c r="FK75" s="1740"/>
      <c r="FL75" s="1740"/>
      <c r="FM75" s="1740"/>
      <c r="FN75" s="1740"/>
      <c r="FO75" s="1740"/>
      <c r="FP75" s="1740"/>
      <c r="FQ75" s="1740"/>
      <c r="FR75" s="1740"/>
      <c r="FS75" s="1740"/>
      <c r="FT75" s="1740"/>
      <c r="FU75" s="1740"/>
      <c r="FV75" s="1740"/>
      <c r="FW75" s="1740"/>
      <c r="FX75" s="1740"/>
      <c r="FY75" s="1740"/>
      <c r="FZ75" s="1740"/>
      <c r="GA75" s="1740"/>
      <c r="GB75" s="1740"/>
      <c r="GC75" s="1740"/>
      <c r="GD75" s="1740"/>
      <c r="GE75" s="1740"/>
      <c r="GF75" s="1740"/>
    </row>
    <row r="76" spans="1:188" s="20" customFormat="1">
      <c r="A76" s="333">
        <f t="shared" si="2"/>
        <v>1976</v>
      </c>
      <c r="B76" s="333">
        <f t="shared" si="3"/>
        <v>3</v>
      </c>
      <c r="C76" s="1174">
        <v>27974</v>
      </c>
      <c r="D76" s="1167"/>
      <c r="E76" s="1168">
        <v>109.78095238100001</v>
      </c>
      <c r="F76" s="1168">
        <v>88.09251764765726</v>
      </c>
      <c r="G76" s="1168"/>
      <c r="H76" s="1167"/>
      <c r="I76" s="1168"/>
      <c r="J76" s="1168"/>
      <c r="K76" s="1678"/>
      <c r="L76" s="1678"/>
      <c r="M76" s="1682"/>
      <c r="N76" s="1169"/>
      <c r="O76" s="1169"/>
      <c r="P76" s="1169"/>
      <c r="Q76" s="1167"/>
      <c r="R76" s="1167"/>
      <c r="S76" s="1167"/>
      <c r="T76" s="1167"/>
      <c r="U76" s="1167"/>
      <c r="V76" s="1167"/>
      <c r="W76" s="1167"/>
      <c r="X76" s="630"/>
      <c r="AA76" s="1915"/>
      <c r="AB76" s="1915"/>
      <c r="AC76" s="1804"/>
      <c r="AD76" s="1804"/>
      <c r="AE76" s="1804"/>
      <c r="AF76" s="1804"/>
      <c r="AG76" s="1804"/>
      <c r="AH76" s="1804"/>
      <c r="AI76" s="1781" t="s">
        <v>0</v>
      </c>
      <c r="AJ76" s="1826">
        <v>2010</v>
      </c>
      <c r="AK76" s="1822" t="s">
        <v>16</v>
      </c>
      <c r="AL76" s="1822">
        <v>8</v>
      </c>
      <c r="AM76" s="1823">
        <v>109489732.09</v>
      </c>
      <c r="AN76" s="1824">
        <v>2.8849737424584406E-2</v>
      </c>
      <c r="AO76" s="1781"/>
      <c r="AP76" s="1781" t="s">
        <v>0</v>
      </c>
      <c r="AQ76" s="1781" t="s">
        <v>500</v>
      </c>
      <c r="AR76" s="1822" t="s">
        <v>21</v>
      </c>
      <c r="AS76" s="1822">
        <v>6</v>
      </c>
      <c r="AT76" s="1823">
        <v>203882858.15999997</v>
      </c>
      <c r="AU76" s="1825">
        <v>5.7612037135747113E-2</v>
      </c>
      <c r="AV76" s="1781">
        <v>2010</v>
      </c>
      <c r="AW76" s="1671"/>
      <c r="AX76" s="1671"/>
      <c r="AY76" s="1804"/>
      <c r="AZ76" s="1804"/>
      <c r="BA76" s="1804"/>
      <c r="BB76" s="1804"/>
      <c r="BC76" s="1804"/>
      <c r="BD76" s="1804"/>
      <c r="BE76" s="1804"/>
      <c r="BF76" s="1804"/>
      <c r="BG76" s="1804"/>
      <c r="BH76" s="1804"/>
      <c r="BI76" s="1804"/>
      <c r="BJ76" s="1804"/>
      <c r="BK76" s="1804"/>
      <c r="BL76" s="1804"/>
      <c r="BM76" s="1804"/>
      <c r="BN76" s="1804"/>
      <c r="BO76" s="1804"/>
      <c r="BP76" s="1804"/>
      <c r="BQ76" s="1804"/>
      <c r="BR76" s="1804"/>
      <c r="BS76" s="1804"/>
      <c r="BT76" s="1804"/>
      <c r="BU76" s="1804"/>
      <c r="BV76" s="1804"/>
      <c r="BW76" s="1804"/>
      <c r="BX76" s="1804"/>
      <c r="BY76" s="1804"/>
      <c r="BZ76" s="1804"/>
      <c r="CA76" s="1804"/>
      <c r="CB76" s="1804"/>
      <c r="CC76" s="1804"/>
      <c r="CD76" s="1804"/>
      <c r="CE76" s="1804"/>
      <c r="CF76" s="1804"/>
      <c r="CG76" s="1804"/>
      <c r="CH76" s="1804"/>
      <c r="CI76" s="1804"/>
      <c r="CJ76" s="1804"/>
      <c r="CK76" s="1804"/>
      <c r="CL76" s="1804"/>
      <c r="CM76" s="1804"/>
      <c r="CN76" s="1804"/>
      <c r="CO76" s="1804"/>
      <c r="CP76" s="1804"/>
      <c r="CQ76" s="1804"/>
      <c r="CR76" s="1804"/>
      <c r="CS76" s="1804"/>
      <c r="CT76" s="1804"/>
      <c r="CU76" s="1804"/>
      <c r="CV76" s="1804"/>
      <c r="CW76" s="1804"/>
      <c r="CX76" s="1804"/>
      <c r="CY76" s="1804"/>
      <c r="CZ76" s="1804"/>
      <c r="DA76" s="1804"/>
      <c r="DB76" s="1804"/>
      <c r="DC76" s="1804"/>
      <c r="DD76" s="1804"/>
      <c r="DE76" s="1804"/>
      <c r="DF76" s="1804"/>
      <c r="DG76" s="1804"/>
      <c r="DH76" s="1804"/>
      <c r="DI76" s="1804"/>
      <c r="DJ76" s="1804"/>
      <c r="DK76" s="1804"/>
      <c r="DL76" s="1804"/>
      <c r="DM76" s="1804"/>
      <c r="DN76" s="1804"/>
      <c r="DO76" s="1804"/>
      <c r="DP76" s="1804"/>
      <c r="DQ76" s="1671"/>
      <c r="DR76" s="1671"/>
      <c r="DS76" s="1671"/>
      <c r="DT76" s="1671"/>
      <c r="DU76" s="1671"/>
      <c r="DV76" s="1671"/>
      <c r="DW76" s="1671"/>
      <c r="DX76" s="1671"/>
      <c r="DY76" s="1671"/>
      <c r="DZ76" s="1671"/>
      <c r="EA76" s="1740"/>
      <c r="EB76" s="1740"/>
      <c r="EC76" s="1740"/>
      <c r="ED76" s="1740"/>
      <c r="EE76" s="1740"/>
      <c r="EF76" s="1740"/>
      <c r="EG76" s="1740"/>
      <c r="EH76" s="1740"/>
      <c r="EI76" s="1740"/>
      <c r="EJ76" s="1740"/>
      <c r="EK76" s="1740"/>
      <c r="EL76" s="1740"/>
      <c r="EM76" s="1740"/>
      <c r="EN76" s="1740"/>
      <c r="EO76" s="1740"/>
      <c r="EP76" s="1740"/>
      <c r="EQ76" s="1740"/>
      <c r="ER76" s="1740"/>
      <c r="ES76" s="1740"/>
      <c r="ET76" s="1740"/>
      <c r="EU76" s="1740"/>
      <c r="EV76" s="1740"/>
      <c r="EW76" s="1740"/>
      <c r="EX76" s="1740"/>
      <c r="EY76" s="1740"/>
      <c r="EZ76" s="1740"/>
      <c r="FA76" s="1740"/>
      <c r="FB76" s="1740"/>
      <c r="FC76" s="1740"/>
      <c r="FD76" s="1740"/>
      <c r="FE76" s="1740"/>
      <c r="FF76" s="1740"/>
      <c r="FG76" s="1740"/>
      <c r="FH76" s="1740"/>
      <c r="FI76" s="1740"/>
      <c r="FJ76" s="1740"/>
      <c r="FK76" s="1740"/>
      <c r="FL76" s="1740"/>
      <c r="FM76" s="1740"/>
      <c r="FN76" s="1740"/>
      <c r="FO76" s="1740"/>
      <c r="FP76" s="1740"/>
      <c r="FQ76" s="1740"/>
      <c r="FR76" s="1740"/>
      <c r="FS76" s="1740"/>
      <c r="FT76" s="1740"/>
      <c r="FU76" s="1740"/>
      <c r="FV76" s="1740"/>
      <c r="FW76" s="1740"/>
      <c r="FX76" s="1740"/>
      <c r="FY76" s="1740"/>
      <c r="FZ76" s="1740"/>
      <c r="GA76" s="1740"/>
      <c r="GB76" s="1740"/>
      <c r="GC76" s="1740"/>
      <c r="GD76" s="1740"/>
      <c r="GE76" s="1740"/>
      <c r="GF76" s="1740"/>
    </row>
    <row r="77" spans="1:188" s="20" customFormat="1">
      <c r="A77" s="333">
        <f t="shared" si="2"/>
        <v>1976</v>
      </c>
      <c r="B77" s="333">
        <f t="shared" si="3"/>
        <v>3</v>
      </c>
      <c r="C77" s="1174">
        <v>28004</v>
      </c>
      <c r="D77" s="1158"/>
      <c r="E77" s="1159">
        <v>114.3795454545</v>
      </c>
      <c r="F77" s="1159">
        <v>92.442806811326903</v>
      </c>
      <c r="G77" s="1160"/>
      <c r="H77" s="1161"/>
      <c r="I77" s="1160"/>
      <c r="J77" s="1160"/>
      <c r="K77" s="1677"/>
      <c r="L77" s="1677"/>
      <c r="M77" s="1681"/>
      <c r="N77" s="1162"/>
      <c r="O77" s="1162"/>
      <c r="P77" s="1162"/>
      <c r="Q77" s="1163"/>
      <c r="R77" s="1164"/>
      <c r="S77" s="1164"/>
      <c r="T77" s="1164"/>
      <c r="U77" s="1165"/>
      <c r="V77" s="1166"/>
      <c r="W77" s="1166"/>
      <c r="X77" s="630"/>
      <c r="AA77" s="1915"/>
      <c r="AB77" s="1915"/>
      <c r="AC77" s="1804"/>
      <c r="AD77" s="1804"/>
      <c r="AE77" s="1804"/>
      <c r="AF77" s="1804"/>
      <c r="AG77" s="1804"/>
      <c r="AH77" s="1804"/>
      <c r="AI77" s="1781" t="s">
        <v>0</v>
      </c>
      <c r="AJ77" s="1826">
        <v>2010</v>
      </c>
      <c r="AK77" s="1822" t="s">
        <v>28</v>
      </c>
      <c r="AL77" s="1822">
        <v>9</v>
      </c>
      <c r="AM77" s="1823">
        <v>103096619.3</v>
      </c>
      <c r="AN77" s="1824">
        <v>2.716519932410167E-2</v>
      </c>
      <c r="AO77" s="1781"/>
      <c r="AP77" s="1781" t="s">
        <v>0</v>
      </c>
      <c r="AQ77" s="1781" t="s">
        <v>500</v>
      </c>
      <c r="AR77" s="1822" t="s">
        <v>28</v>
      </c>
      <c r="AS77" s="1822">
        <v>7</v>
      </c>
      <c r="AT77" s="1823">
        <v>157400710.97</v>
      </c>
      <c r="AU77" s="1825">
        <v>4.4477381215051723E-2</v>
      </c>
      <c r="AV77" s="1781">
        <v>2010</v>
      </c>
      <c r="AW77" s="1671"/>
      <c r="AX77" s="1925"/>
      <c r="AY77" s="1804"/>
      <c r="AZ77" s="1804"/>
      <c r="BA77" s="1804"/>
      <c r="BB77" s="1804"/>
      <c r="BC77" s="1804"/>
      <c r="BD77" s="1804"/>
      <c r="BE77" s="1804"/>
      <c r="BF77" s="1804"/>
      <c r="BG77" s="1804"/>
      <c r="BH77" s="1804"/>
      <c r="BI77" s="1804"/>
      <c r="BJ77" s="1804"/>
      <c r="BK77" s="1804"/>
      <c r="BL77" s="1804"/>
      <c r="BM77" s="1804"/>
      <c r="BN77" s="1804"/>
      <c r="BO77" s="1804"/>
      <c r="BP77" s="1804"/>
      <c r="BQ77" s="1804"/>
      <c r="BR77" s="1804"/>
      <c r="BS77" s="1804"/>
      <c r="BT77" s="1804"/>
      <c r="BU77" s="1804"/>
      <c r="BV77" s="1804"/>
      <c r="BW77" s="1804"/>
      <c r="BX77" s="1804"/>
      <c r="BY77" s="1804"/>
      <c r="BZ77" s="1804"/>
      <c r="CA77" s="1804"/>
      <c r="CB77" s="1804"/>
      <c r="CC77" s="1804"/>
      <c r="CD77" s="1804"/>
      <c r="CE77" s="1804"/>
      <c r="CF77" s="1804"/>
      <c r="CG77" s="1804"/>
      <c r="CH77" s="1804"/>
      <c r="CI77" s="1804"/>
      <c r="CJ77" s="1804"/>
      <c r="CK77" s="1804"/>
      <c r="CL77" s="1804"/>
      <c r="CM77" s="1804"/>
      <c r="CN77" s="1804"/>
      <c r="CO77" s="1804"/>
      <c r="CP77" s="1804"/>
      <c r="CQ77" s="1804"/>
      <c r="CR77" s="1804"/>
      <c r="CS77" s="1804"/>
      <c r="CT77" s="1804"/>
      <c r="CU77" s="1804"/>
      <c r="CV77" s="1804"/>
      <c r="CW77" s="1804"/>
      <c r="CX77" s="1804"/>
      <c r="CY77" s="1804"/>
      <c r="CZ77" s="1804"/>
      <c r="DA77" s="1804"/>
      <c r="DB77" s="1804"/>
      <c r="DC77" s="1804"/>
      <c r="DD77" s="1804"/>
      <c r="DE77" s="1804"/>
      <c r="DF77" s="1804"/>
      <c r="DG77" s="1804"/>
      <c r="DH77" s="1804"/>
      <c r="DI77" s="1804"/>
      <c r="DJ77" s="1804"/>
      <c r="DK77" s="1804"/>
      <c r="DL77" s="1804"/>
      <c r="DM77" s="1804"/>
      <c r="DN77" s="1804"/>
      <c r="DO77" s="1804"/>
      <c r="DP77" s="1804"/>
      <c r="DQ77" s="1671"/>
      <c r="DR77" s="1671"/>
      <c r="DS77" s="1671"/>
      <c r="DT77" s="1671"/>
      <c r="DU77" s="1671"/>
      <c r="DV77" s="1671"/>
      <c r="DW77" s="1671"/>
      <c r="DX77" s="1671"/>
      <c r="DY77" s="1671"/>
      <c r="DZ77" s="1671"/>
      <c r="EA77" s="1740"/>
      <c r="EB77" s="1740"/>
      <c r="EC77" s="1740"/>
      <c r="ED77" s="1740"/>
      <c r="EE77" s="1740"/>
      <c r="EF77" s="1740"/>
      <c r="EG77" s="1740"/>
      <c r="EH77" s="1740"/>
      <c r="EI77" s="1740"/>
      <c r="EJ77" s="1740"/>
      <c r="EK77" s="1740"/>
      <c r="EL77" s="1740"/>
      <c r="EM77" s="1740"/>
      <c r="EN77" s="1740"/>
      <c r="EO77" s="1740"/>
      <c r="EP77" s="1740"/>
      <c r="EQ77" s="1740"/>
      <c r="ER77" s="1740"/>
      <c r="ES77" s="1740"/>
      <c r="ET77" s="1740"/>
      <c r="EU77" s="1740"/>
      <c r="EV77" s="1740"/>
      <c r="EW77" s="1740"/>
      <c r="EX77" s="1740"/>
      <c r="EY77" s="1740"/>
      <c r="EZ77" s="1740"/>
      <c r="FA77" s="1740"/>
      <c r="FB77" s="1740"/>
      <c r="FC77" s="1740"/>
      <c r="FD77" s="1740"/>
      <c r="FE77" s="1740"/>
      <c r="FF77" s="1740"/>
      <c r="FG77" s="1740"/>
      <c r="FH77" s="1740"/>
      <c r="FI77" s="1740"/>
      <c r="FJ77" s="1740"/>
      <c r="FK77" s="1740"/>
      <c r="FL77" s="1740"/>
      <c r="FM77" s="1740"/>
      <c r="FN77" s="1740"/>
      <c r="FO77" s="1740"/>
      <c r="FP77" s="1740"/>
      <c r="FQ77" s="1740"/>
      <c r="FR77" s="1740"/>
      <c r="FS77" s="1740"/>
      <c r="FT77" s="1740"/>
      <c r="FU77" s="1740"/>
      <c r="FV77" s="1740"/>
      <c r="FW77" s="1740"/>
      <c r="FX77" s="1740"/>
      <c r="FY77" s="1740"/>
      <c r="FZ77" s="1740"/>
      <c r="GA77" s="1740"/>
      <c r="GB77" s="1740"/>
      <c r="GC77" s="1740"/>
      <c r="GD77" s="1740"/>
      <c r="GE77" s="1740"/>
      <c r="GF77" s="1740"/>
    </row>
    <row r="78" spans="1:188" s="20" customFormat="1">
      <c r="A78" s="333">
        <f t="shared" si="2"/>
        <v>1976</v>
      </c>
      <c r="B78" s="333">
        <f t="shared" si="3"/>
        <v>4</v>
      </c>
      <c r="C78" s="1174">
        <v>28034</v>
      </c>
      <c r="D78" s="1167"/>
      <c r="E78" s="1168">
        <v>116.1571428571</v>
      </c>
      <c r="F78" s="1168">
        <v>94.737068771393623</v>
      </c>
      <c r="G78" s="1168"/>
      <c r="H78" s="1167"/>
      <c r="I78" s="1168"/>
      <c r="J78" s="1168"/>
      <c r="K78" s="1678"/>
      <c r="L78" s="1678"/>
      <c r="M78" s="1682"/>
      <c r="N78" s="1169"/>
      <c r="O78" s="1169"/>
      <c r="P78" s="1169"/>
      <c r="Q78" s="1167"/>
      <c r="R78" s="1167"/>
      <c r="S78" s="1167"/>
      <c r="T78" s="1167"/>
      <c r="U78" s="1167"/>
      <c r="V78" s="1167"/>
      <c r="W78" s="1167"/>
      <c r="X78" s="630"/>
      <c r="AA78" s="1915"/>
      <c r="AB78" s="1915"/>
      <c r="AC78" s="1804"/>
      <c r="AD78" s="1804"/>
      <c r="AE78" s="1804"/>
      <c r="AF78" s="1804"/>
      <c r="AG78" s="1804"/>
      <c r="AH78" s="1804"/>
      <c r="AI78" s="1781" t="s">
        <v>0</v>
      </c>
      <c r="AJ78" s="1826">
        <v>2010</v>
      </c>
      <c r="AK78" s="1822" t="s">
        <v>30</v>
      </c>
      <c r="AL78" s="1822">
        <v>10</v>
      </c>
      <c r="AM78" s="1823">
        <v>97929592.149999976</v>
      </c>
      <c r="AN78" s="1824">
        <v>2.580372575303962E-2</v>
      </c>
      <c r="AO78" s="1781"/>
      <c r="AP78" s="1781" t="s">
        <v>0</v>
      </c>
      <c r="AQ78" s="1781" t="s">
        <v>500</v>
      </c>
      <c r="AR78" s="1822" t="s">
        <v>138</v>
      </c>
      <c r="AS78" s="1822">
        <v>8</v>
      </c>
      <c r="AT78" s="1823">
        <v>151490410.84</v>
      </c>
      <c r="AU78" s="1825">
        <v>4.2807282837748449E-2</v>
      </c>
      <c r="AV78" s="1781">
        <v>2010</v>
      </c>
      <c r="AW78" s="1671"/>
      <c r="AX78" s="1671"/>
      <c r="AY78" s="1804"/>
      <c r="AZ78" s="1804"/>
      <c r="BA78" s="1804"/>
      <c r="BB78" s="1804"/>
      <c r="BC78" s="1804"/>
      <c r="BD78" s="1804"/>
      <c r="BE78" s="1804"/>
      <c r="BF78" s="1804"/>
      <c r="BG78" s="1804"/>
      <c r="BH78" s="1804"/>
      <c r="BI78" s="1804"/>
      <c r="BJ78" s="1804"/>
      <c r="BK78" s="1804"/>
      <c r="BL78" s="1804"/>
      <c r="BM78" s="1804"/>
      <c r="BN78" s="1804"/>
      <c r="BO78" s="1804"/>
      <c r="BP78" s="1804"/>
      <c r="BQ78" s="1804"/>
      <c r="BR78" s="1804"/>
      <c r="BS78" s="1804"/>
      <c r="BT78" s="1804"/>
      <c r="BU78" s="1804"/>
      <c r="BV78" s="1804"/>
      <c r="BW78" s="1804"/>
      <c r="BX78" s="1804"/>
      <c r="BY78" s="1804"/>
      <c r="BZ78" s="1804"/>
      <c r="CA78" s="1804"/>
      <c r="CB78" s="1804"/>
      <c r="CC78" s="1804"/>
      <c r="CD78" s="1804"/>
      <c r="CE78" s="1804"/>
      <c r="CF78" s="1804"/>
      <c r="CG78" s="1804"/>
      <c r="CH78" s="1804"/>
      <c r="CI78" s="1804"/>
      <c r="CJ78" s="1804"/>
      <c r="CK78" s="1804"/>
      <c r="CL78" s="1804"/>
      <c r="CM78" s="1804"/>
      <c r="CN78" s="1804"/>
      <c r="CO78" s="1804"/>
      <c r="CP78" s="1804"/>
      <c r="CQ78" s="1804"/>
      <c r="CR78" s="1804"/>
      <c r="CS78" s="1804"/>
      <c r="CT78" s="1804"/>
      <c r="CU78" s="1804"/>
      <c r="CV78" s="1804"/>
      <c r="CW78" s="1804"/>
      <c r="CX78" s="1804"/>
      <c r="CY78" s="1804"/>
      <c r="CZ78" s="1804"/>
      <c r="DA78" s="1804"/>
      <c r="DB78" s="1804"/>
      <c r="DC78" s="1804"/>
      <c r="DD78" s="1804"/>
      <c r="DE78" s="1804"/>
      <c r="DF78" s="1804"/>
      <c r="DG78" s="1804"/>
      <c r="DH78" s="1804"/>
      <c r="DI78" s="1804"/>
      <c r="DJ78" s="1804"/>
      <c r="DK78" s="1804"/>
      <c r="DL78" s="1804"/>
      <c r="DM78" s="1804"/>
      <c r="DN78" s="1804"/>
      <c r="DO78" s="1804"/>
      <c r="DP78" s="1804"/>
      <c r="DQ78" s="1671"/>
      <c r="DR78" s="1671"/>
      <c r="DS78" s="1671"/>
      <c r="DT78" s="1671"/>
      <c r="DU78" s="1671"/>
      <c r="DV78" s="1671"/>
      <c r="DW78" s="1671"/>
      <c r="DX78" s="1671"/>
      <c r="DY78" s="1671"/>
      <c r="DZ78" s="1671"/>
      <c r="EA78" s="1740"/>
      <c r="EB78" s="1740"/>
      <c r="EC78" s="1740"/>
      <c r="ED78" s="1740"/>
      <c r="EE78" s="1740"/>
      <c r="EF78" s="1740"/>
      <c r="EG78" s="1740"/>
      <c r="EH78" s="1740"/>
      <c r="EI78" s="1740"/>
      <c r="EJ78" s="1740"/>
      <c r="EK78" s="1740"/>
      <c r="EL78" s="1740"/>
      <c r="EM78" s="1740"/>
      <c r="EN78" s="1740"/>
      <c r="EO78" s="1740"/>
      <c r="EP78" s="1740"/>
      <c r="EQ78" s="1740"/>
      <c r="ER78" s="1740"/>
      <c r="ES78" s="1740"/>
      <c r="ET78" s="1740"/>
      <c r="EU78" s="1740"/>
      <c r="EV78" s="1740"/>
      <c r="EW78" s="1740"/>
      <c r="EX78" s="1740"/>
      <c r="EY78" s="1740"/>
      <c r="EZ78" s="1740"/>
      <c r="FA78" s="1740"/>
      <c r="FB78" s="1740"/>
      <c r="FC78" s="1740"/>
      <c r="FD78" s="1740"/>
      <c r="FE78" s="1740"/>
      <c r="FF78" s="1740"/>
      <c r="FG78" s="1740"/>
      <c r="FH78" s="1740"/>
      <c r="FI78" s="1740"/>
      <c r="FJ78" s="1740"/>
      <c r="FK78" s="1740"/>
      <c r="FL78" s="1740"/>
      <c r="FM78" s="1740"/>
      <c r="FN78" s="1740"/>
      <c r="FO78" s="1740"/>
      <c r="FP78" s="1740"/>
      <c r="FQ78" s="1740"/>
      <c r="FR78" s="1740"/>
      <c r="FS78" s="1740"/>
      <c r="FT78" s="1740"/>
      <c r="FU78" s="1740"/>
      <c r="FV78" s="1740"/>
      <c r="FW78" s="1740"/>
      <c r="FX78" s="1740"/>
      <c r="FY78" s="1740"/>
      <c r="FZ78" s="1740"/>
      <c r="GA78" s="1740"/>
      <c r="GB78" s="1740"/>
      <c r="GC78" s="1740"/>
      <c r="GD78" s="1740"/>
      <c r="GE78" s="1740"/>
      <c r="GF78" s="1740"/>
    </row>
    <row r="79" spans="1:188" s="20" customFormat="1">
      <c r="A79" s="333">
        <f t="shared" si="2"/>
        <v>1976</v>
      </c>
      <c r="B79" s="333">
        <f t="shared" si="3"/>
        <v>4</v>
      </c>
      <c r="C79" s="1174">
        <v>28065</v>
      </c>
      <c r="D79" s="1158"/>
      <c r="E79" s="1159">
        <v>130.64318181819999</v>
      </c>
      <c r="F79" s="1159">
        <v>129.05573651592704</v>
      </c>
      <c r="G79" s="1160"/>
      <c r="H79" s="1161"/>
      <c r="I79" s="1160"/>
      <c r="J79" s="1160"/>
      <c r="K79" s="1677"/>
      <c r="L79" s="1677"/>
      <c r="M79" s="1681"/>
      <c r="N79" s="1162"/>
      <c r="O79" s="1162"/>
      <c r="P79" s="1162"/>
      <c r="Q79" s="1163"/>
      <c r="R79" s="1164"/>
      <c r="S79" s="1164"/>
      <c r="T79" s="1164"/>
      <c r="U79" s="1165"/>
      <c r="V79" s="1166"/>
      <c r="W79" s="1166"/>
      <c r="X79" s="630"/>
      <c r="AA79" s="1915"/>
      <c r="AB79" s="1915"/>
      <c r="AC79" s="1804"/>
      <c r="AD79" s="1804"/>
      <c r="AE79" s="1804"/>
      <c r="AF79" s="1804"/>
      <c r="AG79" s="1804"/>
      <c r="AH79" s="1804"/>
      <c r="AI79" s="1781" t="s">
        <v>0</v>
      </c>
      <c r="AJ79" s="1826">
        <v>2010</v>
      </c>
      <c r="AK79" s="1822" t="s">
        <v>39</v>
      </c>
      <c r="AL79" s="1822"/>
      <c r="AM79" s="1823">
        <v>435927019.64999962</v>
      </c>
      <c r="AN79" s="1824">
        <v>0.11486355672919553</v>
      </c>
      <c r="AO79" s="1781"/>
      <c r="AP79" s="1781" t="s">
        <v>0</v>
      </c>
      <c r="AQ79" s="1781" t="s">
        <v>500</v>
      </c>
      <c r="AR79" s="1822" t="s">
        <v>30</v>
      </c>
      <c r="AS79" s="1822">
        <v>9</v>
      </c>
      <c r="AT79" s="1823">
        <v>127624675.78999999</v>
      </c>
      <c r="AU79" s="1825">
        <v>3.606344166158891E-2</v>
      </c>
      <c r="AV79" s="1781">
        <v>2010</v>
      </c>
      <c r="AW79" s="1671"/>
      <c r="AX79" s="1671"/>
      <c r="AY79" s="1804"/>
      <c r="AZ79" s="1804"/>
      <c r="BA79" s="1804"/>
      <c r="BB79" s="1804"/>
      <c r="BC79" s="1804"/>
      <c r="BD79" s="1804"/>
      <c r="BE79" s="1804"/>
      <c r="BF79" s="1804"/>
      <c r="BG79" s="1804"/>
      <c r="BH79" s="1804"/>
      <c r="BI79" s="1804"/>
      <c r="BJ79" s="1804"/>
      <c r="BK79" s="1804"/>
      <c r="BL79" s="1804"/>
      <c r="BM79" s="1804"/>
      <c r="BN79" s="1804"/>
      <c r="BO79" s="1804"/>
      <c r="BP79" s="1804"/>
      <c r="BQ79" s="1804"/>
      <c r="BR79" s="1804"/>
      <c r="BS79" s="1804"/>
      <c r="BT79" s="1804"/>
      <c r="BU79" s="1804"/>
      <c r="BV79" s="1804"/>
      <c r="BW79" s="1804"/>
      <c r="BX79" s="1804"/>
      <c r="BY79" s="1804"/>
      <c r="BZ79" s="1804"/>
      <c r="CA79" s="1804"/>
      <c r="CB79" s="1804"/>
      <c r="CC79" s="1804"/>
      <c r="CD79" s="1804"/>
      <c r="CE79" s="1804"/>
      <c r="CF79" s="1804"/>
      <c r="CG79" s="1804"/>
      <c r="CH79" s="1804"/>
      <c r="CI79" s="1804"/>
      <c r="CJ79" s="1804"/>
      <c r="CK79" s="1804"/>
      <c r="CL79" s="1804"/>
      <c r="CM79" s="1804"/>
      <c r="CN79" s="1804"/>
      <c r="CO79" s="1804"/>
      <c r="CP79" s="1804"/>
      <c r="CQ79" s="1804"/>
      <c r="CR79" s="1804"/>
      <c r="CS79" s="1804"/>
      <c r="CT79" s="1804"/>
      <c r="CU79" s="1804"/>
      <c r="CV79" s="1804"/>
      <c r="CW79" s="1804"/>
      <c r="CX79" s="1804"/>
      <c r="CY79" s="1804"/>
      <c r="CZ79" s="1804"/>
      <c r="DA79" s="1804"/>
      <c r="DB79" s="1804"/>
      <c r="DC79" s="1804"/>
      <c r="DD79" s="1804"/>
      <c r="DE79" s="1804"/>
      <c r="DF79" s="1804"/>
      <c r="DG79" s="1804"/>
      <c r="DH79" s="1804"/>
      <c r="DI79" s="1804"/>
      <c r="DJ79" s="1804"/>
      <c r="DK79" s="1804"/>
      <c r="DL79" s="1804"/>
      <c r="DM79" s="1804"/>
      <c r="DN79" s="1804"/>
      <c r="DO79" s="1804"/>
      <c r="DP79" s="1804"/>
      <c r="DQ79" s="1671"/>
      <c r="DR79" s="1671"/>
      <c r="DS79" s="1671"/>
      <c r="DT79" s="1671"/>
      <c r="DU79" s="1671"/>
      <c r="DV79" s="1671"/>
      <c r="DW79" s="1671"/>
      <c r="DX79" s="1671"/>
      <c r="DY79" s="1671"/>
      <c r="DZ79" s="1671"/>
      <c r="EA79" s="1740"/>
      <c r="EB79" s="1740"/>
      <c r="EC79" s="1740"/>
      <c r="ED79" s="1740"/>
      <c r="EE79" s="1740"/>
      <c r="EF79" s="1740"/>
      <c r="EG79" s="1740"/>
      <c r="EH79" s="1740"/>
      <c r="EI79" s="1740"/>
      <c r="EJ79" s="1740"/>
      <c r="EK79" s="1740"/>
      <c r="EL79" s="1740"/>
      <c r="EM79" s="1740"/>
      <c r="EN79" s="1740"/>
      <c r="EO79" s="1740"/>
      <c r="EP79" s="1740"/>
      <c r="EQ79" s="1740"/>
      <c r="ER79" s="1740"/>
      <c r="ES79" s="1740"/>
      <c r="ET79" s="1740"/>
      <c r="EU79" s="1740"/>
      <c r="EV79" s="1740"/>
      <c r="EW79" s="1740"/>
      <c r="EX79" s="1740"/>
      <c r="EY79" s="1740"/>
      <c r="EZ79" s="1740"/>
      <c r="FA79" s="1740"/>
      <c r="FB79" s="1740"/>
      <c r="FC79" s="1740"/>
      <c r="FD79" s="1740"/>
      <c r="FE79" s="1740"/>
      <c r="FF79" s="1740"/>
      <c r="FG79" s="1740"/>
      <c r="FH79" s="1740"/>
      <c r="FI79" s="1740"/>
      <c r="FJ79" s="1740"/>
      <c r="FK79" s="1740"/>
      <c r="FL79" s="1740"/>
      <c r="FM79" s="1740"/>
      <c r="FN79" s="1740"/>
      <c r="FO79" s="1740"/>
      <c r="FP79" s="1740"/>
      <c r="FQ79" s="1740"/>
      <c r="FR79" s="1740"/>
      <c r="FS79" s="1740"/>
      <c r="FT79" s="1740"/>
      <c r="FU79" s="1740"/>
      <c r="FV79" s="1740"/>
      <c r="FW79" s="1740"/>
      <c r="FX79" s="1740"/>
      <c r="FY79" s="1740"/>
      <c r="FZ79" s="1740"/>
      <c r="GA79" s="1740"/>
      <c r="GB79" s="1740"/>
      <c r="GC79" s="1740"/>
      <c r="GD79" s="1740"/>
      <c r="GE79" s="1740"/>
      <c r="GF79" s="1740"/>
    </row>
    <row r="80" spans="1:188" s="20" customFormat="1">
      <c r="A80" s="333">
        <f t="shared" si="2"/>
        <v>1976</v>
      </c>
      <c r="B80" s="333">
        <f t="shared" si="3"/>
        <v>4</v>
      </c>
      <c r="C80" s="1174">
        <v>28095</v>
      </c>
      <c r="D80" s="1167"/>
      <c r="E80" s="1168">
        <v>133.94999999999999</v>
      </c>
      <c r="F80" s="1168">
        <v>123.29709045</v>
      </c>
      <c r="G80" s="1168"/>
      <c r="H80" s="1167"/>
      <c r="I80" s="1168"/>
      <c r="J80" s="1168"/>
      <c r="K80" s="1678"/>
      <c r="L80" s="1678"/>
      <c r="M80" s="1682"/>
      <c r="N80" s="1169"/>
      <c r="O80" s="1169"/>
      <c r="P80" s="1169"/>
      <c r="Q80" s="1167"/>
      <c r="R80" s="1167"/>
      <c r="S80" s="1167"/>
      <c r="T80" s="1167"/>
      <c r="U80" s="1167"/>
      <c r="V80" s="1167"/>
      <c r="W80" s="1167"/>
      <c r="X80" s="630"/>
      <c r="AA80" s="1915"/>
      <c r="AB80" s="1915"/>
      <c r="AC80" s="1804"/>
      <c r="AD80" s="1804"/>
      <c r="AE80" s="1804"/>
      <c r="AF80" s="1804"/>
      <c r="AG80" s="1804"/>
      <c r="AH80" s="1804"/>
      <c r="AI80" s="1781" t="s">
        <v>0</v>
      </c>
      <c r="AJ80" s="1826">
        <v>2010</v>
      </c>
      <c r="AK80" s="1822" t="s">
        <v>386</v>
      </c>
      <c r="AL80" s="1822"/>
      <c r="AM80" s="1823">
        <v>3795172568.77</v>
      </c>
      <c r="AN80" s="1824"/>
      <c r="AO80" s="1781"/>
      <c r="AP80" s="1781" t="s">
        <v>0</v>
      </c>
      <c r="AQ80" s="1781" t="s">
        <v>500</v>
      </c>
      <c r="AR80" s="1822" t="s">
        <v>16</v>
      </c>
      <c r="AS80" s="1822">
        <v>10</v>
      </c>
      <c r="AT80" s="1823">
        <v>96854634.329999998</v>
      </c>
      <c r="AU80" s="1825">
        <v>2.7368621570971838E-2</v>
      </c>
      <c r="AV80" s="1781">
        <v>2010</v>
      </c>
      <c r="AW80" s="1671"/>
      <c r="AX80" s="1925"/>
      <c r="AY80" s="1804"/>
      <c r="AZ80" s="1804"/>
      <c r="BA80" s="1804"/>
      <c r="BB80" s="1804"/>
      <c r="BC80" s="1804"/>
      <c r="BD80" s="1804"/>
      <c r="BE80" s="1804"/>
      <c r="BF80" s="1804"/>
      <c r="BG80" s="1804"/>
      <c r="BH80" s="1804"/>
      <c r="BI80" s="1804"/>
      <c r="BJ80" s="1804"/>
      <c r="BK80" s="1804"/>
      <c r="BL80" s="1804"/>
      <c r="BM80" s="1804"/>
      <c r="BN80" s="1804"/>
      <c r="BO80" s="1804"/>
      <c r="BP80" s="1804"/>
      <c r="BQ80" s="1804"/>
      <c r="BR80" s="1804"/>
      <c r="BS80" s="1804"/>
      <c r="BT80" s="1804"/>
      <c r="BU80" s="1804"/>
      <c r="BV80" s="1804"/>
      <c r="BW80" s="1804"/>
      <c r="BX80" s="1804"/>
      <c r="BY80" s="1804"/>
      <c r="BZ80" s="1804"/>
      <c r="CA80" s="1804"/>
      <c r="CB80" s="1804"/>
      <c r="CC80" s="1804"/>
      <c r="CD80" s="1804"/>
      <c r="CE80" s="1804"/>
      <c r="CF80" s="1804"/>
      <c r="CG80" s="1804"/>
      <c r="CH80" s="1804"/>
      <c r="CI80" s="1804"/>
      <c r="CJ80" s="1804"/>
      <c r="CK80" s="1804"/>
      <c r="CL80" s="1804"/>
      <c r="CM80" s="1804"/>
      <c r="CN80" s="1804"/>
      <c r="CO80" s="1804"/>
      <c r="CP80" s="1804"/>
      <c r="CQ80" s="1804"/>
      <c r="CR80" s="1804"/>
      <c r="CS80" s="1804"/>
      <c r="CT80" s="1804"/>
      <c r="CU80" s="1804"/>
      <c r="CV80" s="1804"/>
      <c r="CW80" s="1804"/>
      <c r="CX80" s="1804"/>
      <c r="CY80" s="1804"/>
      <c r="CZ80" s="1804"/>
      <c r="DA80" s="1804"/>
      <c r="DB80" s="1804"/>
      <c r="DC80" s="1804"/>
      <c r="DD80" s="1804"/>
      <c r="DE80" s="1804"/>
      <c r="DF80" s="1804"/>
      <c r="DG80" s="1804"/>
      <c r="DH80" s="1804"/>
      <c r="DI80" s="1804"/>
      <c r="DJ80" s="1804"/>
      <c r="DK80" s="1804"/>
      <c r="DL80" s="1804"/>
      <c r="DM80" s="1804"/>
      <c r="DN80" s="1804"/>
      <c r="DO80" s="1804"/>
      <c r="DP80" s="1804"/>
      <c r="DQ80" s="1671"/>
      <c r="DR80" s="1671"/>
      <c r="DS80" s="1671"/>
      <c r="DT80" s="1671"/>
      <c r="DU80" s="1671"/>
      <c r="DV80" s="1671"/>
      <c r="DW80" s="1671"/>
      <c r="DX80" s="1671"/>
      <c r="DY80" s="1671"/>
      <c r="DZ80" s="1671"/>
      <c r="EA80" s="1740"/>
      <c r="EB80" s="1740"/>
      <c r="EC80" s="1740"/>
      <c r="ED80" s="1740"/>
      <c r="EE80" s="1740"/>
      <c r="EF80" s="1740"/>
      <c r="EG80" s="1740"/>
      <c r="EH80" s="1740"/>
      <c r="EI80" s="1740"/>
      <c r="EJ80" s="1740"/>
      <c r="EK80" s="1740"/>
      <c r="EL80" s="1740"/>
      <c r="EM80" s="1740"/>
      <c r="EN80" s="1740"/>
      <c r="EO80" s="1740"/>
      <c r="EP80" s="1740"/>
      <c r="EQ80" s="1740"/>
      <c r="ER80" s="1740"/>
      <c r="ES80" s="1740"/>
      <c r="ET80" s="1740"/>
      <c r="EU80" s="1740"/>
      <c r="EV80" s="1740"/>
      <c r="EW80" s="1740"/>
      <c r="EX80" s="1740"/>
      <c r="EY80" s="1740"/>
      <c r="EZ80" s="1740"/>
      <c r="FA80" s="1740"/>
      <c r="FB80" s="1740"/>
      <c r="FC80" s="1740"/>
      <c r="FD80" s="1740"/>
      <c r="FE80" s="1740"/>
      <c r="FF80" s="1740"/>
      <c r="FG80" s="1740"/>
      <c r="FH80" s="1740"/>
      <c r="FI80" s="1740"/>
      <c r="FJ80" s="1740"/>
      <c r="FK80" s="1740"/>
      <c r="FL80" s="1740"/>
      <c r="FM80" s="1740"/>
      <c r="FN80" s="1740"/>
      <c r="FO80" s="1740"/>
      <c r="FP80" s="1740"/>
      <c r="FQ80" s="1740"/>
      <c r="FR80" s="1740"/>
      <c r="FS80" s="1740"/>
      <c r="FT80" s="1740"/>
      <c r="FU80" s="1740"/>
      <c r="FV80" s="1740"/>
      <c r="FW80" s="1740"/>
      <c r="FX80" s="1740"/>
      <c r="FY80" s="1740"/>
      <c r="FZ80" s="1740"/>
      <c r="GA80" s="1740"/>
      <c r="GB80" s="1740"/>
      <c r="GC80" s="1740"/>
      <c r="GD80" s="1740"/>
      <c r="GE80" s="1740"/>
      <c r="GF80" s="1740"/>
    </row>
    <row r="81" spans="1:188" s="20" customFormat="1">
      <c r="A81" s="333">
        <f t="shared" si="2"/>
        <v>1977</v>
      </c>
      <c r="B81" s="333">
        <f t="shared" si="3"/>
        <v>1</v>
      </c>
      <c r="C81" s="1174">
        <v>28128</v>
      </c>
      <c r="D81" s="1158"/>
      <c r="E81" s="1159">
        <v>132.19499999999999</v>
      </c>
      <c r="F81" s="1159">
        <v>121.61450878499998</v>
      </c>
      <c r="G81" s="1160"/>
      <c r="H81" s="1161"/>
      <c r="I81" s="1160"/>
      <c r="J81" s="1160"/>
      <c r="K81" s="1677"/>
      <c r="L81" s="1677"/>
      <c r="M81" s="1681"/>
      <c r="N81" s="1162"/>
      <c r="O81" s="1162"/>
      <c r="P81" s="1162"/>
      <c r="Q81" s="1163"/>
      <c r="R81" s="1164"/>
      <c r="S81" s="1164"/>
      <c r="T81" s="1164"/>
      <c r="U81" s="1165"/>
      <c r="V81" s="1166"/>
      <c r="W81" s="1166"/>
      <c r="X81" s="630"/>
      <c r="AA81" s="1915"/>
      <c r="AB81" s="1915"/>
      <c r="AC81" s="1804"/>
      <c r="AD81" s="1804"/>
      <c r="AE81" s="1804"/>
      <c r="AF81" s="1804"/>
      <c r="AG81" s="1804"/>
      <c r="AH81" s="1804"/>
      <c r="AI81" s="1781" t="s">
        <v>0</v>
      </c>
      <c r="AJ81" s="1827">
        <v>2009</v>
      </c>
      <c r="AK81" s="1822" t="s">
        <v>18</v>
      </c>
      <c r="AL81" s="1822">
        <v>1</v>
      </c>
      <c r="AM81" s="1823">
        <v>896632304.86999989</v>
      </c>
      <c r="AN81" s="1824">
        <v>0.27171352222257095</v>
      </c>
      <c r="AO81" s="1781"/>
      <c r="AP81" s="1781" t="s">
        <v>0</v>
      </c>
      <c r="AQ81" s="1781" t="s">
        <v>500</v>
      </c>
      <c r="AR81" s="1822" t="s">
        <v>39</v>
      </c>
      <c r="AS81" s="1822"/>
      <c r="AT81" s="1823">
        <v>407375942.05000067</v>
      </c>
      <c r="AU81" s="1825">
        <v>0.11511393411591463</v>
      </c>
      <c r="AV81" s="1781">
        <v>2010</v>
      </c>
      <c r="AW81" s="1671"/>
      <c r="AX81" s="1671"/>
      <c r="AY81" s="1804"/>
      <c r="AZ81" s="1804"/>
      <c r="BA81" s="1804"/>
      <c r="BB81" s="1804"/>
      <c r="BC81" s="1804"/>
      <c r="BD81" s="1804"/>
      <c r="BE81" s="1804"/>
      <c r="BF81" s="1804"/>
      <c r="BG81" s="1804"/>
      <c r="BH81" s="1804"/>
      <c r="BI81" s="1804"/>
      <c r="BJ81" s="1804"/>
      <c r="BK81" s="1804"/>
      <c r="BL81" s="1804"/>
      <c r="BM81" s="1804"/>
      <c r="BN81" s="1804"/>
      <c r="BO81" s="1804"/>
      <c r="BP81" s="1804"/>
      <c r="BQ81" s="1804"/>
      <c r="BR81" s="1804"/>
      <c r="BS81" s="1804"/>
      <c r="BT81" s="1804"/>
      <c r="BU81" s="1804"/>
      <c r="BV81" s="1804"/>
      <c r="BW81" s="1804"/>
      <c r="BX81" s="1804"/>
      <c r="BY81" s="1804"/>
      <c r="BZ81" s="1804"/>
      <c r="CA81" s="1804"/>
      <c r="CB81" s="1804"/>
      <c r="CC81" s="1804"/>
      <c r="CD81" s="1804"/>
      <c r="CE81" s="1804"/>
      <c r="CF81" s="1804"/>
      <c r="CG81" s="1804"/>
      <c r="CH81" s="1804"/>
      <c r="CI81" s="1804"/>
      <c r="CJ81" s="1804"/>
      <c r="CK81" s="1804"/>
      <c r="CL81" s="1804"/>
      <c r="CM81" s="1804"/>
      <c r="CN81" s="1804"/>
      <c r="CO81" s="1804"/>
      <c r="CP81" s="1804"/>
      <c r="CQ81" s="1804"/>
      <c r="CR81" s="1804"/>
      <c r="CS81" s="1804"/>
      <c r="CT81" s="1804"/>
      <c r="CU81" s="1804"/>
      <c r="CV81" s="1804"/>
      <c r="CW81" s="1804"/>
      <c r="CX81" s="1804"/>
      <c r="CY81" s="1804"/>
      <c r="CZ81" s="1804"/>
      <c r="DA81" s="1804"/>
      <c r="DB81" s="1804"/>
      <c r="DC81" s="1804"/>
      <c r="DD81" s="1804"/>
      <c r="DE81" s="1804"/>
      <c r="DF81" s="1804"/>
      <c r="DG81" s="1804"/>
      <c r="DH81" s="1804"/>
      <c r="DI81" s="1804"/>
      <c r="DJ81" s="1804"/>
      <c r="DK81" s="1804"/>
      <c r="DL81" s="1804"/>
      <c r="DM81" s="1804"/>
      <c r="DN81" s="1804"/>
      <c r="DO81" s="1804"/>
      <c r="DP81" s="1804"/>
      <c r="DQ81" s="1671"/>
      <c r="DR81" s="1671"/>
      <c r="DS81" s="1671"/>
      <c r="DT81" s="1671"/>
      <c r="DU81" s="1671"/>
      <c r="DV81" s="1671"/>
      <c r="DW81" s="1671"/>
      <c r="DX81" s="1671"/>
      <c r="DY81" s="1671"/>
      <c r="DZ81" s="1671"/>
      <c r="EA81" s="1740"/>
      <c r="EB81" s="1740"/>
      <c r="EC81" s="1740"/>
      <c r="ED81" s="1740"/>
      <c r="EE81" s="1740"/>
      <c r="EF81" s="1740"/>
      <c r="EG81" s="1740"/>
      <c r="EH81" s="1740"/>
      <c r="EI81" s="1740"/>
      <c r="EJ81" s="1740"/>
      <c r="EK81" s="1740"/>
      <c r="EL81" s="1740"/>
      <c r="EM81" s="1740"/>
      <c r="EN81" s="1740"/>
      <c r="EO81" s="1740"/>
      <c r="EP81" s="1740"/>
      <c r="EQ81" s="1740"/>
      <c r="ER81" s="1740"/>
      <c r="ES81" s="1740"/>
      <c r="ET81" s="1740"/>
      <c r="EU81" s="1740"/>
      <c r="EV81" s="1740"/>
      <c r="EW81" s="1740"/>
      <c r="EX81" s="1740"/>
      <c r="EY81" s="1740"/>
      <c r="EZ81" s="1740"/>
      <c r="FA81" s="1740"/>
      <c r="FB81" s="1740"/>
      <c r="FC81" s="1740"/>
      <c r="FD81" s="1740"/>
      <c r="FE81" s="1740"/>
      <c r="FF81" s="1740"/>
      <c r="FG81" s="1740"/>
      <c r="FH81" s="1740"/>
      <c r="FI81" s="1740"/>
      <c r="FJ81" s="1740"/>
      <c r="FK81" s="1740"/>
      <c r="FL81" s="1740"/>
      <c r="FM81" s="1740"/>
      <c r="FN81" s="1740"/>
      <c r="FO81" s="1740"/>
      <c r="FP81" s="1740"/>
      <c r="FQ81" s="1740"/>
      <c r="FR81" s="1740"/>
      <c r="FS81" s="1740"/>
      <c r="FT81" s="1740"/>
      <c r="FU81" s="1740"/>
      <c r="FV81" s="1740"/>
      <c r="FW81" s="1740"/>
      <c r="FX81" s="1740"/>
      <c r="FY81" s="1740"/>
      <c r="FZ81" s="1740"/>
      <c r="GA81" s="1740"/>
      <c r="GB81" s="1740"/>
      <c r="GC81" s="1740"/>
      <c r="GD81" s="1740"/>
      <c r="GE81" s="1740"/>
      <c r="GF81" s="1740"/>
    </row>
    <row r="82" spans="1:188" s="20" customFormat="1">
      <c r="A82" s="333">
        <f t="shared" si="2"/>
        <v>1977</v>
      </c>
      <c r="B82" s="333">
        <f t="shared" si="3"/>
        <v>1</v>
      </c>
      <c r="C82" s="1174">
        <v>28157</v>
      </c>
      <c r="D82" s="1167"/>
      <c r="E82" s="1168">
        <v>136.52000000000001</v>
      </c>
      <c r="F82" s="1168">
        <v>124.48248552000001</v>
      </c>
      <c r="G82" s="1168"/>
      <c r="H82" s="1167"/>
      <c r="I82" s="1168"/>
      <c r="J82" s="1168"/>
      <c r="K82" s="1678"/>
      <c r="L82" s="1678"/>
      <c r="M82" s="1682"/>
      <c r="N82" s="1169"/>
      <c r="O82" s="1169"/>
      <c r="P82" s="1169"/>
      <c r="Q82" s="1167"/>
      <c r="R82" s="1167"/>
      <c r="S82" s="1167"/>
      <c r="T82" s="1167"/>
      <c r="U82" s="1167"/>
      <c r="V82" s="1167"/>
      <c r="W82" s="1167"/>
      <c r="X82" s="630"/>
      <c r="AA82" s="1915"/>
      <c r="AB82" s="1915"/>
      <c r="AC82" s="1804"/>
      <c r="AD82" s="1804"/>
      <c r="AE82" s="1804"/>
      <c r="AF82" s="1804"/>
      <c r="AG82" s="1804"/>
      <c r="AH82" s="1804"/>
      <c r="AI82" s="1781" t="s">
        <v>0</v>
      </c>
      <c r="AJ82" s="1827">
        <v>2009</v>
      </c>
      <c r="AK82" s="1822" t="s">
        <v>32</v>
      </c>
      <c r="AL82" s="1822">
        <v>2</v>
      </c>
      <c r="AM82" s="1823">
        <v>469136791.20999974</v>
      </c>
      <c r="AN82" s="1824">
        <v>0.14216620263570084</v>
      </c>
      <c r="AO82" s="1781"/>
      <c r="AP82" s="1781" t="s">
        <v>0</v>
      </c>
      <c r="AQ82" s="1781" t="s">
        <v>500</v>
      </c>
      <c r="AR82" s="1822" t="s">
        <v>386</v>
      </c>
      <c r="AS82" s="1822"/>
      <c r="AT82" s="1823">
        <v>3538893403.1200008</v>
      </c>
      <c r="AU82" s="1825"/>
      <c r="AV82" s="1781">
        <v>2010</v>
      </c>
      <c r="AW82" s="1671"/>
      <c r="AX82" s="1671"/>
      <c r="AY82" s="1804"/>
      <c r="AZ82" s="1804"/>
      <c r="BA82" s="1804"/>
      <c r="BB82" s="1804"/>
      <c r="BC82" s="1804"/>
      <c r="BD82" s="1804"/>
      <c r="BE82" s="1804"/>
      <c r="BF82" s="1804"/>
      <c r="BG82" s="1804"/>
      <c r="BH82" s="1804"/>
      <c r="BI82" s="1804"/>
      <c r="BJ82" s="1804"/>
      <c r="BK82" s="1804"/>
      <c r="BL82" s="1804"/>
      <c r="BM82" s="1804"/>
      <c r="BN82" s="1804"/>
      <c r="BO82" s="1804"/>
      <c r="BP82" s="1804"/>
      <c r="BQ82" s="1804"/>
      <c r="BR82" s="1804"/>
      <c r="BS82" s="1804"/>
      <c r="BT82" s="1804"/>
      <c r="BU82" s="1804"/>
      <c r="BV82" s="1804"/>
      <c r="BW82" s="1804"/>
      <c r="BX82" s="1804"/>
      <c r="BY82" s="1804"/>
      <c r="BZ82" s="1804"/>
      <c r="CA82" s="1804"/>
      <c r="CB82" s="1804"/>
      <c r="CC82" s="1804"/>
      <c r="CD82" s="1804"/>
      <c r="CE82" s="1804"/>
      <c r="CF82" s="1804"/>
      <c r="CG82" s="1804"/>
      <c r="CH82" s="1804"/>
      <c r="CI82" s="1804"/>
      <c r="CJ82" s="1804"/>
      <c r="CK82" s="1804"/>
      <c r="CL82" s="1804"/>
      <c r="CM82" s="1804"/>
      <c r="CN82" s="1804"/>
      <c r="CO82" s="1804"/>
      <c r="CP82" s="1804"/>
      <c r="CQ82" s="1804"/>
      <c r="CR82" s="1804"/>
      <c r="CS82" s="1804"/>
      <c r="CT82" s="1804"/>
      <c r="CU82" s="1804"/>
      <c r="CV82" s="1804"/>
      <c r="CW82" s="1804"/>
      <c r="CX82" s="1804"/>
      <c r="CY82" s="1804"/>
      <c r="CZ82" s="1804"/>
      <c r="DA82" s="1804"/>
      <c r="DB82" s="1804"/>
      <c r="DC82" s="1804"/>
      <c r="DD82" s="1804"/>
      <c r="DE82" s="1804"/>
      <c r="DF82" s="1804"/>
      <c r="DG82" s="1804"/>
      <c r="DH82" s="1804"/>
      <c r="DI82" s="1804"/>
      <c r="DJ82" s="1804"/>
      <c r="DK82" s="1804"/>
      <c r="DL82" s="1804"/>
      <c r="DM82" s="1804"/>
      <c r="DN82" s="1804"/>
      <c r="DO82" s="1804"/>
      <c r="DP82" s="1804"/>
      <c r="DQ82" s="1671"/>
      <c r="DR82" s="1671"/>
      <c r="DS82" s="1671"/>
      <c r="DT82" s="1671"/>
      <c r="DU82" s="1671"/>
      <c r="DV82" s="1671"/>
      <c r="DW82" s="1671"/>
      <c r="DX82" s="1671"/>
      <c r="DY82" s="1671"/>
      <c r="DZ82" s="1671"/>
      <c r="EA82" s="1740"/>
      <c r="EB82" s="1740"/>
      <c r="EC82" s="1740"/>
      <c r="ED82" s="1740"/>
      <c r="EE82" s="1740"/>
      <c r="EF82" s="1740"/>
      <c r="EG82" s="1740"/>
      <c r="EH82" s="1740"/>
      <c r="EI82" s="1740"/>
      <c r="EJ82" s="1740"/>
      <c r="EK82" s="1740"/>
      <c r="EL82" s="1740"/>
      <c r="EM82" s="1740"/>
      <c r="EN82" s="1740"/>
      <c r="EO82" s="1740"/>
      <c r="EP82" s="1740"/>
      <c r="EQ82" s="1740"/>
      <c r="ER82" s="1740"/>
      <c r="ES82" s="1740"/>
      <c r="ET82" s="1740"/>
      <c r="EU82" s="1740"/>
      <c r="EV82" s="1740"/>
      <c r="EW82" s="1740"/>
      <c r="EX82" s="1740"/>
      <c r="EY82" s="1740"/>
      <c r="EZ82" s="1740"/>
      <c r="FA82" s="1740"/>
      <c r="FB82" s="1740"/>
      <c r="FC82" s="1740"/>
      <c r="FD82" s="1740"/>
      <c r="FE82" s="1740"/>
      <c r="FF82" s="1740"/>
      <c r="FG82" s="1740"/>
      <c r="FH82" s="1740"/>
      <c r="FI82" s="1740"/>
      <c r="FJ82" s="1740"/>
      <c r="FK82" s="1740"/>
      <c r="FL82" s="1740"/>
      <c r="FM82" s="1740"/>
      <c r="FN82" s="1740"/>
      <c r="FO82" s="1740"/>
      <c r="FP82" s="1740"/>
      <c r="FQ82" s="1740"/>
      <c r="FR82" s="1740"/>
      <c r="FS82" s="1740"/>
      <c r="FT82" s="1740"/>
      <c r="FU82" s="1740"/>
      <c r="FV82" s="1740"/>
      <c r="FW82" s="1740"/>
      <c r="FX82" s="1740"/>
      <c r="FY82" s="1740"/>
      <c r="FZ82" s="1740"/>
      <c r="GA82" s="1740"/>
      <c r="GB82" s="1740"/>
      <c r="GC82" s="1740"/>
      <c r="GD82" s="1740"/>
      <c r="GE82" s="1740"/>
      <c r="GF82" s="1740"/>
    </row>
    <row r="83" spans="1:188" s="20" customFormat="1">
      <c r="A83" s="333">
        <f t="shared" si="2"/>
        <v>1977</v>
      </c>
      <c r="B83" s="333">
        <f t="shared" si="3"/>
        <v>1</v>
      </c>
      <c r="C83" s="1174">
        <v>28185</v>
      </c>
      <c r="D83" s="1158"/>
      <c r="E83" s="1159">
        <v>148.37826086960001</v>
      </c>
      <c r="F83" s="1159">
        <v>134.51023509568373</v>
      </c>
      <c r="G83" s="1160"/>
      <c r="H83" s="1161"/>
      <c r="I83" s="1160"/>
      <c r="J83" s="1160"/>
      <c r="K83" s="1677"/>
      <c r="L83" s="1677"/>
      <c r="M83" s="1681"/>
      <c r="N83" s="1162"/>
      <c r="O83" s="1162"/>
      <c r="P83" s="1162"/>
      <c r="Q83" s="1163"/>
      <c r="R83" s="1164"/>
      <c r="S83" s="1164"/>
      <c r="T83" s="1164"/>
      <c r="U83" s="1165"/>
      <c r="V83" s="1166"/>
      <c r="W83" s="1166"/>
      <c r="X83" s="630"/>
      <c r="AA83" s="1915"/>
      <c r="AB83" s="1915"/>
      <c r="AC83" s="1804"/>
      <c r="AD83" s="1804"/>
      <c r="AE83" s="1804"/>
      <c r="AF83" s="1804"/>
      <c r="AG83" s="1804"/>
      <c r="AH83" s="1804"/>
      <c r="AI83" s="1781" t="s">
        <v>0</v>
      </c>
      <c r="AJ83" s="1827">
        <v>2009</v>
      </c>
      <c r="AK83" s="1822" t="s">
        <v>34</v>
      </c>
      <c r="AL83" s="1822">
        <v>3</v>
      </c>
      <c r="AM83" s="1823">
        <v>426591188.01999998</v>
      </c>
      <c r="AN83" s="1824">
        <v>0.129273274692942</v>
      </c>
      <c r="AO83" s="1781"/>
      <c r="AP83" s="1781" t="s">
        <v>0</v>
      </c>
      <c r="AQ83" s="1781" t="s">
        <v>499</v>
      </c>
      <c r="AR83" s="1822" t="s">
        <v>18</v>
      </c>
      <c r="AS83" s="1822">
        <v>1</v>
      </c>
      <c r="AT83" s="1823">
        <v>991854734.85736406</v>
      </c>
      <c r="AU83" s="1825">
        <v>0.27091550533034003</v>
      </c>
      <c r="AV83" s="1781">
        <v>2009</v>
      </c>
      <c r="AW83" s="1671"/>
      <c r="AX83" s="1925"/>
      <c r="AY83" s="1804"/>
      <c r="AZ83" s="1804"/>
      <c r="BA83" s="1804"/>
      <c r="BB83" s="1804"/>
      <c r="BC83" s="1804"/>
      <c r="BD83" s="1804"/>
      <c r="BE83" s="1804"/>
      <c r="BF83" s="1804"/>
      <c r="BG83" s="1804"/>
      <c r="BH83" s="1804"/>
      <c r="BI83" s="1804"/>
      <c r="BJ83" s="1804"/>
      <c r="BK83" s="1804"/>
      <c r="BL83" s="1804"/>
      <c r="BM83" s="1804"/>
      <c r="BN83" s="1804"/>
      <c r="BO83" s="1804"/>
      <c r="BP83" s="1804"/>
      <c r="BQ83" s="1804"/>
      <c r="BR83" s="1804"/>
      <c r="BS83" s="1804"/>
      <c r="BT83" s="1804"/>
      <c r="BU83" s="1804"/>
      <c r="BV83" s="1804"/>
      <c r="BW83" s="1804"/>
      <c r="BX83" s="1804"/>
      <c r="BY83" s="1804"/>
      <c r="BZ83" s="1804"/>
      <c r="CA83" s="1804"/>
      <c r="CB83" s="1804"/>
      <c r="CC83" s="1804"/>
      <c r="CD83" s="1804"/>
      <c r="CE83" s="1804"/>
      <c r="CF83" s="1804"/>
      <c r="CG83" s="1804"/>
      <c r="CH83" s="1804"/>
      <c r="CI83" s="1804"/>
      <c r="CJ83" s="1804"/>
      <c r="CK83" s="1804"/>
      <c r="CL83" s="1804"/>
      <c r="CM83" s="1804"/>
      <c r="CN83" s="1804"/>
      <c r="CO83" s="1804"/>
      <c r="CP83" s="1804"/>
      <c r="CQ83" s="1804"/>
      <c r="CR83" s="1804"/>
      <c r="CS83" s="1804"/>
      <c r="CT83" s="1804"/>
      <c r="CU83" s="1804"/>
      <c r="CV83" s="1804"/>
      <c r="CW83" s="1804"/>
      <c r="CX83" s="1804"/>
      <c r="CY83" s="1804"/>
      <c r="CZ83" s="1804"/>
      <c r="DA83" s="1804"/>
      <c r="DB83" s="1804"/>
      <c r="DC83" s="1804"/>
      <c r="DD83" s="1804"/>
      <c r="DE83" s="1804"/>
      <c r="DF83" s="1804"/>
      <c r="DG83" s="1804"/>
      <c r="DH83" s="1804"/>
      <c r="DI83" s="1804"/>
      <c r="DJ83" s="1804"/>
      <c r="DK83" s="1804"/>
      <c r="DL83" s="1804"/>
      <c r="DM83" s="1804"/>
      <c r="DN83" s="1804"/>
      <c r="DO83" s="1804"/>
      <c r="DP83" s="1804"/>
      <c r="DQ83" s="1671"/>
      <c r="DR83" s="1671"/>
      <c r="DS83" s="1671"/>
      <c r="DT83" s="1671"/>
      <c r="DU83" s="1671"/>
      <c r="DV83" s="1671"/>
      <c r="DW83" s="1671"/>
      <c r="DX83" s="1671"/>
      <c r="DY83" s="1671"/>
      <c r="DZ83" s="1671"/>
      <c r="EA83" s="1740"/>
      <c r="EB83" s="1740"/>
      <c r="EC83" s="1740"/>
      <c r="ED83" s="1740"/>
      <c r="EE83" s="1740"/>
      <c r="EF83" s="1740"/>
      <c r="EG83" s="1740"/>
      <c r="EH83" s="1740"/>
      <c r="EI83" s="1740"/>
      <c r="EJ83" s="1740"/>
      <c r="EK83" s="1740"/>
      <c r="EL83" s="1740"/>
      <c r="EM83" s="1740"/>
      <c r="EN83" s="1740"/>
      <c r="EO83" s="1740"/>
      <c r="EP83" s="1740"/>
      <c r="EQ83" s="1740"/>
      <c r="ER83" s="1740"/>
      <c r="ES83" s="1740"/>
      <c r="ET83" s="1740"/>
      <c r="EU83" s="1740"/>
      <c r="EV83" s="1740"/>
      <c r="EW83" s="1740"/>
      <c r="EX83" s="1740"/>
      <c r="EY83" s="1740"/>
      <c r="EZ83" s="1740"/>
      <c r="FA83" s="1740"/>
      <c r="FB83" s="1740"/>
      <c r="FC83" s="1740"/>
      <c r="FD83" s="1740"/>
      <c r="FE83" s="1740"/>
      <c r="FF83" s="1740"/>
      <c r="FG83" s="1740"/>
      <c r="FH83" s="1740"/>
      <c r="FI83" s="1740"/>
      <c r="FJ83" s="1740"/>
      <c r="FK83" s="1740"/>
      <c r="FL83" s="1740"/>
      <c r="FM83" s="1740"/>
      <c r="FN83" s="1740"/>
      <c r="FO83" s="1740"/>
      <c r="FP83" s="1740"/>
      <c r="FQ83" s="1740"/>
      <c r="FR83" s="1740"/>
      <c r="FS83" s="1740"/>
      <c r="FT83" s="1740"/>
      <c r="FU83" s="1740"/>
      <c r="FV83" s="1740"/>
      <c r="FW83" s="1740"/>
      <c r="FX83" s="1740"/>
      <c r="FY83" s="1740"/>
      <c r="FZ83" s="1740"/>
      <c r="GA83" s="1740"/>
      <c r="GB83" s="1740"/>
      <c r="GC83" s="1740"/>
      <c r="GD83" s="1740"/>
      <c r="GE83" s="1740"/>
      <c r="GF83" s="1740"/>
    </row>
    <row r="84" spans="1:188" s="20" customFormat="1">
      <c r="A84" s="333">
        <f t="shared" si="2"/>
        <v>1977</v>
      </c>
      <c r="B84" s="333">
        <f t="shared" si="3"/>
        <v>2</v>
      </c>
      <c r="C84" s="1174">
        <v>28216</v>
      </c>
      <c r="D84" s="1167"/>
      <c r="E84" s="1168">
        <v>149.1671052632</v>
      </c>
      <c r="F84" s="1168">
        <v>135.05395793293286</v>
      </c>
      <c r="G84" s="1168"/>
      <c r="H84" s="1167"/>
      <c r="I84" s="1168"/>
      <c r="J84" s="1168"/>
      <c r="K84" s="1678"/>
      <c r="L84" s="1678"/>
      <c r="M84" s="1682"/>
      <c r="N84" s="1169"/>
      <c r="O84" s="1169"/>
      <c r="P84" s="1169"/>
      <c r="Q84" s="1167"/>
      <c r="R84" s="1167"/>
      <c r="S84" s="1167"/>
      <c r="T84" s="1167"/>
      <c r="U84" s="1167"/>
      <c r="V84" s="1167"/>
      <c r="W84" s="1167"/>
      <c r="X84" s="630"/>
      <c r="AA84" s="1915"/>
      <c r="AB84" s="1915"/>
      <c r="AC84" s="1804"/>
      <c r="AD84" s="1804"/>
      <c r="AE84" s="1804"/>
      <c r="AF84" s="1804"/>
      <c r="AG84" s="1804"/>
      <c r="AH84" s="1804"/>
      <c r="AI84" s="1781" t="s">
        <v>0</v>
      </c>
      <c r="AJ84" s="1827">
        <v>2009</v>
      </c>
      <c r="AK84" s="1822" t="s">
        <v>17</v>
      </c>
      <c r="AL84" s="1822">
        <v>4</v>
      </c>
      <c r="AM84" s="1823">
        <v>396678485.30999988</v>
      </c>
      <c r="AN84" s="1824">
        <v>0.12020859369897628</v>
      </c>
      <c r="AO84" s="1781"/>
      <c r="AP84" s="1781" t="s">
        <v>0</v>
      </c>
      <c r="AQ84" s="1781" t="s">
        <v>499</v>
      </c>
      <c r="AR84" s="1822" t="s">
        <v>32</v>
      </c>
      <c r="AS84" s="1822">
        <v>2</v>
      </c>
      <c r="AT84" s="1823">
        <v>520151374.25836855</v>
      </c>
      <c r="AU84" s="1825">
        <v>0.14207430529203618</v>
      </c>
      <c r="AV84" s="1781">
        <v>2009</v>
      </c>
      <c r="AW84" s="1671"/>
      <c r="AX84" s="1671"/>
      <c r="AY84" s="1804"/>
      <c r="AZ84" s="1804"/>
      <c r="BA84" s="1804"/>
      <c r="BB84" s="1804"/>
      <c r="BC84" s="1804"/>
      <c r="BD84" s="1804"/>
      <c r="BE84" s="1804"/>
      <c r="BF84" s="1804"/>
      <c r="BG84" s="1804"/>
      <c r="BH84" s="1804"/>
      <c r="BI84" s="1804"/>
      <c r="BJ84" s="1804"/>
      <c r="BK84" s="1804"/>
      <c r="BL84" s="1804"/>
      <c r="BM84" s="1804"/>
      <c r="BN84" s="1804"/>
      <c r="BO84" s="1804"/>
      <c r="BP84" s="1804"/>
      <c r="BQ84" s="1804"/>
      <c r="BR84" s="1804"/>
      <c r="BS84" s="1804"/>
      <c r="BT84" s="1804"/>
      <c r="BU84" s="1804"/>
      <c r="BV84" s="1804"/>
      <c r="BW84" s="1804"/>
      <c r="BX84" s="1804"/>
      <c r="BY84" s="1804"/>
      <c r="BZ84" s="1804"/>
      <c r="CA84" s="1804"/>
      <c r="CB84" s="1804"/>
      <c r="CC84" s="1804"/>
      <c r="CD84" s="1804"/>
      <c r="CE84" s="1804"/>
      <c r="CF84" s="1804"/>
      <c r="CG84" s="1804"/>
      <c r="CH84" s="1804"/>
      <c r="CI84" s="1804"/>
      <c r="CJ84" s="1804"/>
      <c r="CK84" s="1804"/>
      <c r="CL84" s="1804"/>
      <c r="CM84" s="1804"/>
      <c r="CN84" s="1804"/>
      <c r="CO84" s="1804"/>
      <c r="CP84" s="1804"/>
      <c r="CQ84" s="1804"/>
      <c r="CR84" s="1804"/>
      <c r="CS84" s="1804"/>
      <c r="CT84" s="1804"/>
      <c r="CU84" s="1804"/>
      <c r="CV84" s="1804"/>
      <c r="CW84" s="1804"/>
      <c r="CX84" s="1804"/>
      <c r="CY84" s="1804"/>
      <c r="CZ84" s="1804"/>
      <c r="DA84" s="1804"/>
      <c r="DB84" s="1804"/>
      <c r="DC84" s="1804"/>
      <c r="DD84" s="1804"/>
      <c r="DE84" s="1804"/>
      <c r="DF84" s="1804"/>
      <c r="DG84" s="1804"/>
      <c r="DH84" s="1804"/>
      <c r="DI84" s="1804"/>
      <c r="DJ84" s="1804"/>
      <c r="DK84" s="1804"/>
      <c r="DL84" s="1804"/>
      <c r="DM84" s="1804"/>
      <c r="DN84" s="1804"/>
      <c r="DO84" s="1804"/>
      <c r="DP84" s="1804"/>
      <c r="DQ84" s="1671"/>
      <c r="DR84" s="1671"/>
      <c r="DS84" s="1671"/>
      <c r="DT84" s="1671"/>
      <c r="DU84" s="1671"/>
      <c r="DV84" s="1671"/>
      <c r="DW84" s="1671"/>
      <c r="DX84" s="1671"/>
      <c r="DY84" s="1671"/>
      <c r="DZ84" s="1671"/>
      <c r="EA84" s="1740"/>
      <c r="EB84" s="1740"/>
      <c r="EC84" s="1740"/>
      <c r="ED84" s="1740"/>
      <c r="EE84" s="1740"/>
      <c r="EF84" s="1740"/>
      <c r="EG84" s="1740"/>
      <c r="EH84" s="1740"/>
      <c r="EI84" s="1740"/>
      <c r="EJ84" s="1740"/>
      <c r="EK84" s="1740"/>
      <c r="EL84" s="1740"/>
      <c r="EM84" s="1740"/>
      <c r="EN84" s="1740"/>
      <c r="EO84" s="1740"/>
      <c r="EP84" s="1740"/>
      <c r="EQ84" s="1740"/>
      <c r="ER84" s="1740"/>
      <c r="ES84" s="1740"/>
      <c r="ET84" s="1740"/>
      <c r="EU84" s="1740"/>
      <c r="EV84" s="1740"/>
      <c r="EW84" s="1740"/>
      <c r="EX84" s="1740"/>
      <c r="EY84" s="1740"/>
      <c r="EZ84" s="1740"/>
      <c r="FA84" s="1740"/>
      <c r="FB84" s="1740"/>
      <c r="FC84" s="1740"/>
      <c r="FD84" s="1740"/>
      <c r="FE84" s="1740"/>
      <c r="FF84" s="1740"/>
      <c r="FG84" s="1740"/>
      <c r="FH84" s="1740"/>
      <c r="FI84" s="1740"/>
      <c r="FJ84" s="1740"/>
      <c r="FK84" s="1740"/>
      <c r="FL84" s="1740"/>
      <c r="FM84" s="1740"/>
      <c r="FN84" s="1740"/>
      <c r="FO84" s="1740"/>
      <c r="FP84" s="1740"/>
      <c r="FQ84" s="1740"/>
      <c r="FR84" s="1740"/>
      <c r="FS84" s="1740"/>
      <c r="FT84" s="1740"/>
      <c r="FU84" s="1740"/>
      <c r="FV84" s="1740"/>
      <c r="FW84" s="1740"/>
      <c r="FX84" s="1740"/>
      <c r="FY84" s="1740"/>
      <c r="FZ84" s="1740"/>
      <c r="GA84" s="1740"/>
      <c r="GB84" s="1740"/>
      <c r="GC84" s="1740"/>
      <c r="GD84" s="1740"/>
      <c r="GE84" s="1740"/>
      <c r="GF84" s="1740"/>
    </row>
    <row r="85" spans="1:188" s="20" customFormat="1">
      <c r="A85" s="333">
        <f t="shared" si="2"/>
        <v>1977</v>
      </c>
      <c r="B85" s="333">
        <f t="shared" si="3"/>
        <v>2</v>
      </c>
      <c r="C85" s="1174">
        <v>28247</v>
      </c>
      <c r="D85" s="1158"/>
      <c r="E85" s="1159">
        <v>146.50227272730001</v>
      </c>
      <c r="F85" s="1159">
        <v>132.7133323159338</v>
      </c>
      <c r="G85" s="1160"/>
      <c r="H85" s="1161"/>
      <c r="I85" s="1160"/>
      <c r="J85" s="1160"/>
      <c r="K85" s="1677"/>
      <c r="L85" s="1677"/>
      <c r="M85" s="1681"/>
      <c r="N85" s="1162"/>
      <c r="O85" s="1162"/>
      <c r="P85" s="1162"/>
      <c r="Q85" s="1163"/>
      <c r="R85" s="1164"/>
      <c r="S85" s="1164"/>
      <c r="T85" s="1164"/>
      <c r="U85" s="1165"/>
      <c r="V85" s="1166"/>
      <c r="W85" s="1166"/>
      <c r="X85" s="630"/>
      <c r="AA85" s="1915"/>
      <c r="AB85" s="1915"/>
      <c r="AC85" s="1804"/>
      <c r="AD85" s="1804"/>
      <c r="AE85" s="1804"/>
      <c r="AF85" s="1804"/>
      <c r="AG85" s="1804"/>
      <c r="AH85" s="1804"/>
      <c r="AI85" s="1781" t="s">
        <v>0</v>
      </c>
      <c r="AJ85" s="1827">
        <v>2009</v>
      </c>
      <c r="AK85" s="1822" t="s">
        <v>26</v>
      </c>
      <c r="AL85" s="1822">
        <v>5</v>
      </c>
      <c r="AM85" s="1823">
        <v>301851633.33000004</v>
      </c>
      <c r="AN85" s="1824">
        <v>9.1472468742492763E-2</v>
      </c>
      <c r="AO85" s="1781"/>
      <c r="AP85" s="1781" t="s">
        <v>0</v>
      </c>
      <c r="AQ85" s="1781" t="s">
        <v>499</v>
      </c>
      <c r="AR85" s="1822" t="s">
        <v>135</v>
      </c>
      <c r="AS85" s="1822">
        <v>3</v>
      </c>
      <c r="AT85" s="1823">
        <v>471967056.88397598</v>
      </c>
      <c r="AU85" s="1825">
        <v>0.12891322612215322</v>
      </c>
      <c r="AV85" s="1781">
        <v>2009</v>
      </c>
      <c r="AW85" s="1671"/>
      <c r="AX85" s="1671"/>
      <c r="AY85" s="1804"/>
      <c r="AZ85" s="1804"/>
      <c r="BA85" s="1804"/>
      <c r="BB85" s="1804"/>
      <c r="BC85" s="1804"/>
      <c r="BD85" s="1804"/>
      <c r="BE85" s="1804"/>
      <c r="BF85" s="1804"/>
      <c r="BG85" s="1804"/>
      <c r="BH85" s="1804"/>
      <c r="BI85" s="1804"/>
      <c r="BJ85" s="1804"/>
      <c r="BK85" s="1804"/>
      <c r="BL85" s="1804"/>
      <c r="BM85" s="1804"/>
      <c r="BN85" s="1804"/>
      <c r="BO85" s="1804"/>
      <c r="BP85" s="1804"/>
      <c r="BQ85" s="1804"/>
      <c r="BR85" s="1804"/>
      <c r="BS85" s="1804"/>
      <c r="BT85" s="1804"/>
      <c r="BU85" s="1804"/>
      <c r="BV85" s="1804"/>
      <c r="BW85" s="1804"/>
      <c r="BX85" s="1804"/>
      <c r="BY85" s="1804"/>
      <c r="BZ85" s="1804"/>
      <c r="CA85" s="1804"/>
      <c r="CB85" s="1804"/>
      <c r="CC85" s="1804"/>
      <c r="CD85" s="1804"/>
      <c r="CE85" s="1804"/>
      <c r="CF85" s="1804"/>
      <c r="CG85" s="1804"/>
      <c r="CH85" s="1804"/>
      <c r="CI85" s="1804"/>
      <c r="CJ85" s="1804"/>
      <c r="CK85" s="1804"/>
      <c r="CL85" s="1804"/>
      <c r="CM85" s="1804"/>
      <c r="CN85" s="1804"/>
      <c r="CO85" s="1804"/>
      <c r="CP85" s="1804"/>
      <c r="CQ85" s="1804"/>
      <c r="CR85" s="1804"/>
      <c r="CS85" s="1804"/>
      <c r="CT85" s="1804"/>
      <c r="CU85" s="1804"/>
      <c r="CV85" s="1804"/>
      <c r="CW85" s="1804"/>
      <c r="CX85" s="1804"/>
      <c r="CY85" s="1804"/>
      <c r="CZ85" s="1804"/>
      <c r="DA85" s="1804"/>
      <c r="DB85" s="1804"/>
      <c r="DC85" s="1804"/>
      <c r="DD85" s="1804"/>
      <c r="DE85" s="1804"/>
      <c r="DF85" s="1804"/>
      <c r="DG85" s="1804"/>
      <c r="DH85" s="1804"/>
      <c r="DI85" s="1804"/>
      <c r="DJ85" s="1804"/>
      <c r="DK85" s="1804"/>
      <c r="DL85" s="1804"/>
      <c r="DM85" s="1804"/>
      <c r="DN85" s="1804"/>
      <c r="DO85" s="1804"/>
      <c r="DP85" s="1804"/>
      <c r="DQ85" s="1671"/>
      <c r="DR85" s="1671"/>
      <c r="DS85" s="1671"/>
      <c r="DT85" s="1671"/>
      <c r="DU85" s="1671"/>
      <c r="DV85" s="1671"/>
      <c r="DW85" s="1671"/>
      <c r="DX85" s="1671"/>
      <c r="DY85" s="1671"/>
      <c r="DZ85" s="1671"/>
      <c r="EA85" s="1740"/>
      <c r="EB85" s="1740"/>
      <c r="EC85" s="1740"/>
      <c r="ED85" s="1740"/>
      <c r="EE85" s="1740"/>
      <c r="EF85" s="1740"/>
      <c r="EG85" s="1740"/>
      <c r="EH85" s="1740"/>
      <c r="EI85" s="1740"/>
      <c r="EJ85" s="1740"/>
      <c r="EK85" s="1740"/>
      <c r="EL85" s="1740"/>
      <c r="EM85" s="1740"/>
      <c r="EN85" s="1740"/>
      <c r="EO85" s="1740"/>
      <c r="EP85" s="1740"/>
      <c r="EQ85" s="1740"/>
      <c r="ER85" s="1740"/>
      <c r="ES85" s="1740"/>
      <c r="ET85" s="1740"/>
      <c r="EU85" s="1740"/>
      <c r="EV85" s="1740"/>
      <c r="EW85" s="1740"/>
      <c r="EX85" s="1740"/>
      <c r="EY85" s="1740"/>
      <c r="EZ85" s="1740"/>
      <c r="FA85" s="1740"/>
      <c r="FB85" s="1740"/>
      <c r="FC85" s="1740"/>
      <c r="FD85" s="1740"/>
      <c r="FE85" s="1740"/>
      <c r="FF85" s="1740"/>
      <c r="FG85" s="1740"/>
      <c r="FH85" s="1740"/>
      <c r="FI85" s="1740"/>
      <c r="FJ85" s="1740"/>
      <c r="FK85" s="1740"/>
      <c r="FL85" s="1740"/>
      <c r="FM85" s="1740"/>
      <c r="FN85" s="1740"/>
      <c r="FO85" s="1740"/>
      <c r="FP85" s="1740"/>
      <c r="FQ85" s="1740"/>
      <c r="FR85" s="1740"/>
      <c r="FS85" s="1740"/>
      <c r="FT85" s="1740"/>
      <c r="FU85" s="1740"/>
      <c r="FV85" s="1740"/>
      <c r="FW85" s="1740"/>
      <c r="FX85" s="1740"/>
      <c r="FY85" s="1740"/>
      <c r="FZ85" s="1740"/>
      <c r="GA85" s="1740"/>
      <c r="GB85" s="1740"/>
      <c r="GC85" s="1740"/>
      <c r="GD85" s="1740"/>
      <c r="GE85" s="1740"/>
      <c r="GF85" s="1740"/>
    </row>
    <row r="86" spans="1:188" s="20" customFormat="1">
      <c r="A86" s="333">
        <f t="shared" si="2"/>
        <v>1977</v>
      </c>
      <c r="B86" s="333">
        <f t="shared" si="3"/>
        <v>2</v>
      </c>
      <c r="C86" s="1174">
        <v>28277</v>
      </c>
      <c r="D86" s="1167"/>
      <c r="E86" s="1168">
        <v>140.745</v>
      </c>
      <c r="F86" s="1168">
        <v>126.17212195500001</v>
      </c>
      <c r="G86" s="1168"/>
      <c r="H86" s="1167"/>
      <c r="I86" s="1168"/>
      <c r="J86" s="1168"/>
      <c r="K86" s="1678"/>
      <c r="L86" s="1678"/>
      <c r="M86" s="1682"/>
      <c r="N86" s="1169"/>
      <c r="O86" s="1169"/>
      <c r="P86" s="1169"/>
      <c r="Q86" s="1167"/>
      <c r="R86" s="1167"/>
      <c r="S86" s="1167"/>
      <c r="T86" s="1167"/>
      <c r="U86" s="1167"/>
      <c r="V86" s="1167"/>
      <c r="W86" s="1167"/>
      <c r="X86" s="630"/>
      <c r="AA86" s="1915"/>
      <c r="AB86" s="1915"/>
      <c r="AC86" s="1804"/>
      <c r="AD86" s="1804"/>
      <c r="AE86" s="1804"/>
      <c r="AF86" s="1804"/>
      <c r="AG86" s="1804"/>
      <c r="AH86" s="1804"/>
      <c r="AI86" s="1781" t="s">
        <v>0</v>
      </c>
      <c r="AJ86" s="1827">
        <v>2009</v>
      </c>
      <c r="AK86" s="1822" t="s">
        <v>758</v>
      </c>
      <c r="AL86" s="1822">
        <v>6</v>
      </c>
      <c r="AM86" s="1823">
        <v>203790049.66000006</v>
      </c>
      <c r="AN86" s="1824">
        <v>6.1756097662641729E-2</v>
      </c>
      <c r="AO86" s="1781"/>
      <c r="AP86" s="1781" t="s">
        <v>0</v>
      </c>
      <c r="AQ86" s="1781" t="s">
        <v>499</v>
      </c>
      <c r="AR86" s="1822" t="s">
        <v>17</v>
      </c>
      <c r="AS86" s="1822">
        <v>4</v>
      </c>
      <c r="AT86" s="1823">
        <v>438872584.56960142</v>
      </c>
      <c r="AU86" s="1825">
        <v>0.11987379184251641</v>
      </c>
      <c r="AV86" s="1781">
        <v>2009</v>
      </c>
      <c r="AW86" s="1671"/>
      <c r="AX86" s="1925"/>
      <c r="AY86" s="1804"/>
      <c r="AZ86" s="1804"/>
      <c r="BA86" s="1804"/>
      <c r="BB86" s="1804"/>
      <c r="BC86" s="1804"/>
      <c r="BD86" s="1804"/>
      <c r="BE86" s="1804"/>
      <c r="BF86" s="1804"/>
      <c r="BG86" s="1804"/>
      <c r="BH86" s="1804"/>
      <c r="BI86" s="1804"/>
      <c r="BJ86" s="1804"/>
      <c r="BK86" s="1804"/>
      <c r="BL86" s="1804"/>
      <c r="BM86" s="1804"/>
      <c r="BN86" s="1804"/>
      <c r="BO86" s="1804"/>
      <c r="BP86" s="1804"/>
      <c r="BQ86" s="1804"/>
      <c r="BR86" s="1804"/>
      <c r="BS86" s="1804"/>
      <c r="BT86" s="1804"/>
      <c r="BU86" s="1804"/>
      <c r="BV86" s="1804"/>
      <c r="BW86" s="1804"/>
      <c r="BX86" s="1804"/>
      <c r="BY86" s="1804"/>
      <c r="BZ86" s="1804"/>
      <c r="CA86" s="1804"/>
      <c r="CB86" s="1804"/>
      <c r="CC86" s="1804"/>
      <c r="CD86" s="1804"/>
      <c r="CE86" s="1804"/>
      <c r="CF86" s="1804"/>
      <c r="CG86" s="1804"/>
      <c r="CH86" s="1804"/>
      <c r="CI86" s="1804"/>
      <c r="CJ86" s="1804"/>
      <c r="CK86" s="1804"/>
      <c r="CL86" s="1804"/>
      <c r="CM86" s="1804"/>
      <c r="CN86" s="1804"/>
      <c r="CO86" s="1804"/>
      <c r="CP86" s="1804"/>
      <c r="CQ86" s="1804"/>
      <c r="CR86" s="1804"/>
      <c r="CS86" s="1804"/>
      <c r="CT86" s="1804"/>
      <c r="CU86" s="1804"/>
      <c r="CV86" s="1804"/>
      <c r="CW86" s="1804"/>
      <c r="CX86" s="1804"/>
      <c r="CY86" s="1804"/>
      <c r="CZ86" s="1804"/>
      <c r="DA86" s="1804"/>
      <c r="DB86" s="1804"/>
      <c r="DC86" s="1804"/>
      <c r="DD86" s="1804"/>
      <c r="DE86" s="1804"/>
      <c r="DF86" s="1804"/>
      <c r="DG86" s="1804"/>
      <c r="DH86" s="1804"/>
      <c r="DI86" s="1804"/>
      <c r="DJ86" s="1804"/>
      <c r="DK86" s="1804"/>
      <c r="DL86" s="1804"/>
      <c r="DM86" s="1804"/>
      <c r="DN86" s="1804"/>
      <c r="DO86" s="1804"/>
      <c r="DP86" s="1804"/>
      <c r="DQ86" s="1671"/>
      <c r="DR86" s="1671"/>
      <c r="DS86" s="1671"/>
      <c r="DT86" s="1671"/>
      <c r="DU86" s="1671"/>
      <c r="DV86" s="1671"/>
      <c r="DW86" s="1671"/>
      <c r="DX86" s="1671"/>
      <c r="DY86" s="1671"/>
      <c r="DZ86" s="1671"/>
      <c r="EA86" s="1740"/>
      <c r="EB86" s="1740"/>
      <c r="EC86" s="1740"/>
      <c r="ED86" s="1740"/>
      <c r="EE86" s="1740"/>
      <c r="EF86" s="1740"/>
      <c r="EG86" s="1740"/>
      <c r="EH86" s="1740"/>
      <c r="EI86" s="1740"/>
      <c r="EJ86" s="1740"/>
      <c r="EK86" s="1740"/>
      <c r="EL86" s="1740"/>
      <c r="EM86" s="1740"/>
      <c r="EN86" s="1740"/>
      <c r="EO86" s="1740"/>
      <c r="EP86" s="1740"/>
      <c r="EQ86" s="1740"/>
      <c r="ER86" s="1740"/>
      <c r="ES86" s="1740"/>
      <c r="ET86" s="1740"/>
      <c r="EU86" s="1740"/>
      <c r="EV86" s="1740"/>
      <c r="EW86" s="1740"/>
      <c r="EX86" s="1740"/>
      <c r="EY86" s="1740"/>
      <c r="EZ86" s="1740"/>
      <c r="FA86" s="1740"/>
      <c r="FB86" s="1740"/>
      <c r="FC86" s="1740"/>
      <c r="FD86" s="1740"/>
      <c r="FE86" s="1740"/>
      <c r="FF86" s="1740"/>
      <c r="FG86" s="1740"/>
      <c r="FH86" s="1740"/>
      <c r="FI86" s="1740"/>
      <c r="FJ86" s="1740"/>
      <c r="FK86" s="1740"/>
      <c r="FL86" s="1740"/>
      <c r="FM86" s="1740"/>
      <c r="FN86" s="1740"/>
      <c r="FO86" s="1740"/>
      <c r="FP86" s="1740"/>
      <c r="FQ86" s="1740"/>
      <c r="FR86" s="1740"/>
      <c r="FS86" s="1740"/>
      <c r="FT86" s="1740"/>
      <c r="FU86" s="1740"/>
      <c r="FV86" s="1740"/>
      <c r="FW86" s="1740"/>
      <c r="FX86" s="1740"/>
      <c r="FY86" s="1740"/>
      <c r="FZ86" s="1740"/>
      <c r="GA86" s="1740"/>
      <c r="GB86" s="1740"/>
      <c r="GC86" s="1740"/>
      <c r="GD86" s="1740"/>
      <c r="GE86" s="1740"/>
      <c r="GF86" s="1740"/>
    </row>
    <row r="87" spans="1:188" s="20" customFormat="1">
      <c r="A87" s="333">
        <f t="shared" si="2"/>
        <v>1977</v>
      </c>
      <c r="B87" s="333">
        <f t="shared" si="3"/>
        <v>3</v>
      </c>
      <c r="C87" s="1174">
        <v>28307</v>
      </c>
      <c r="D87" s="1158"/>
      <c r="E87" s="1159">
        <v>143.43214285709999</v>
      </c>
      <c r="F87" s="1159">
        <v>127.77924967496182</v>
      </c>
      <c r="G87" s="1160"/>
      <c r="H87" s="1161"/>
      <c r="I87" s="1160"/>
      <c r="J87" s="1160"/>
      <c r="K87" s="1677"/>
      <c r="L87" s="1677"/>
      <c r="M87" s="1681"/>
      <c r="N87" s="1162"/>
      <c r="O87" s="1162"/>
      <c r="P87" s="1162"/>
      <c r="Q87" s="1163"/>
      <c r="R87" s="1164"/>
      <c r="S87" s="1164"/>
      <c r="T87" s="1164"/>
      <c r="U87" s="1165"/>
      <c r="V87" s="1166"/>
      <c r="W87" s="1166"/>
      <c r="X87" s="630"/>
      <c r="AA87" s="1915"/>
      <c r="AB87" s="1915"/>
      <c r="AC87" s="1804"/>
      <c r="AD87" s="1804"/>
      <c r="AE87" s="1804"/>
      <c r="AF87" s="1804"/>
      <c r="AG87" s="1804"/>
      <c r="AH87" s="1804"/>
      <c r="AI87" s="1781" t="s">
        <v>0</v>
      </c>
      <c r="AJ87" s="1827">
        <v>2009</v>
      </c>
      <c r="AK87" s="1822" t="s">
        <v>16</v>
      </c>
      <c r="AL87" s="1822">
        <v>7</v>
      </c>
      <c r="AM87" s="1823">
        <v>96084067.070000008</v>
      </c>
      <c r="AN87" s="1824">
        <v>2.9117108709176696E-2</v>
      </c>
      <c r="AO87" s="1781"/>
      <c r="AP87" s="1781" t="s">
        <v>0</v>
      </c>
      <c r="AQ87" s="1781" t="s">
        <v>499</v>
      </c>
      <c r="AR87" s="1822" t="s">
        <v>26</v>
      </c>
      <c r="AS87" s="1822">
        <v>5</v>
      </c>
      <c r="AT87" s="1823">
        <v>333959141.67758656</v>
      </c>
      <c r="AU87" s="1825">
        <v>9.1217701995727138E-2</v>
      </c>
      <c r="AV87" s="1781">
        <v>2009</v>
      </c>
      <c r="AW87" s="1671"/>
      <c r="AX87" s="1671"/>
      <c r="AY87" s="1804"/>
      <c r="AZ87" s="1804"/>
      <c r="BA87" s="1804"/>
      <c r="BB87" s="1804"/>
      <c r="BC87" s="1804"/>
      <c r="BD87" s="1804"/>
      <c r="BE87" s="1804"/>
      <c r="BF87" s="1804"/>
      <c r="BG87" s="1804"/>
      <c r="BH87" s="1804"/>
      <c r="BI87" s="1804"/>
      <c r="BJ87" s="1804"/>
      <c r="BK87" s="1804"/>
      <c r="BL87" s="1804"/>
      <c r="BM87" s="1804"/>
      <c r="BN87" s="1804"/>
      <c r="BO87" s="1804"/>
      <c r="BP87" s="1804"/>
      <c r="BQ87" s="1804"/>
      <c r="BR87" s="1804"/>
      <c r="BS87" s="1804"/>
      <c r="BT87" s="1804"/>
      <c r="BU87" s="1804"/>
      <c r="BV87" s="1804"/>
      <c r="BW87" s="1804"/>
      <c r="BX87" s="1804"/>
      <c r="BY87" s="1804"/>
      <c r="BZ87" s="1804"/>
      <c r="CA87" s="1804"/>
      <c r="CB87" s="1804"/>
      <c r="CC87" s="1804"/>
      <c r="CD87" s="1804"/>
      <c r="CE87" s="1804"/>
      <c r="CF87" s="1804"/>
      <c r="CG87" s="1804"/>
      <c r="CH87" s="1804"/>
      <c r="CI87" s="1804"/>
      <c r="CJ87" s="1804"/>
      <c r="CK87" s="1804"/>
      <c r="CL87" s="1804"/>
      <c r="CM87" s="1804"/>
      <c r="CN87" s="1804"/>
      <c r="CO87" s="1804"/>
      <c r="CP87" s="1804"/>
      <c r="CQ87" s="1804"/>
      <c r="CR87" s="1804"/>
      <c r="CS87" s="1804"/>
      <c r="CT87" s="1804"/>
      <c r="CU87" s="1804"/>
      <c r="CV87" s="1804"/>
      <c r="CW87" s="1804"/>
      <c r="CX87" s="1804"/>
      <c r="CY87" s="1804"/>
      <c r="CZ87" s="1804"/>
      <c r="DA87" s="1804"/>
      <c r="DB87" s="1804"/>
      <c r="DC87" s="1804"/>
      <c r="DD87" s="1804"/>
      <c r="DE87" s="1804"/>
      <c r="DF87" s="1804"/>
      <c r="DG87" s="1804"/>
      <c r="DH87" s="1804"/>
      <c r="DI87" s="1804"/>
      <c r="DJ87" s="1804"/>
      <c r="DK87" s="1804"/>
      <c r="DL87" s="1804"/>
      <c r="DM87" s="1804"/>
      <c r="DN87" s="1804"/>
      <c r="DO87" s="1804"/>
      <c r="DP87" s="1804"/>
      <c r="DQ87" s="1671"/>
      <c r="DR87" s="1671"/>
      <c r="DS87" s="1671"/>
      <c r="DT87" s="1671"/>
      <c r="DU87" s="1671"/>
      <c r="DV87" s="1671"/>
      <c r="DW87" s="1671"/>
      <c r="DX87" s="1671"/>
      <c r="DY87" s="1671"/>
      <c r="DZ87" s="1671"/>
      <c r="EA87" s="1740"/>
      <c r="EB87" s="1740"/>
      <c r="EC87" s="1740"/>
      <c r="ED87" s="1740"/>
      <c r="EE87" s="1740"/>
      <c r="EF87" s="1740"/>
      <c r="EG87" s="1740"/>
      <c r="EH87" s="1740"/>
      <c r="EI87" s="1740"/>
      <c r="EJ87" s="1740"/>
      <c r="EK87" s="1740"/>
      <c r="EL87" s="1740"/>
      <c r="EM87" s="1740"/>
      <c r="EN87" s="1740"/>
      <c r="EO87" s="1740"/>
      <c r="EP87" s="1740"/>
      <c r="EQ87" s="1740"/>
      <c r="ER87" s="1740"/>
      <c r="ES87" s="1740"/>
      <c r="ET87" s="1740"/>
      <c r="EU87" s="1740"/>
      <c r="EV87" s="1740"/>
      <c r="EW87" s="1740"/>
      <c r="EX87" s="1740"/>
      <c r="EY87" s="1740"/>
      <c r="EZ87" s="1740"/>
      <c r="FA87" s="1740"/>
      <c r="FB87" s="1740"/>
      <c r="FC87" s="1740"/>
      <c r="FD87" s="1740"/>
      <c r="FE87" s="1740"/>
      <c r="FF87" s="1740"/>
      <c r="FG87" s="1740"/>
      <c r="FH87" s="1740"/>
      <c r="FI87" s="1740"/>
      <c r="FJ87" s="1740"/>
      <c r="FK87" s="1740"/>
      <c r="FL87" s="1740"/>
      <c r="FM87" s="1740"/>
      <c r="FN87" s="1740"/>
      <c r="FO87" s="1740"/>
      <c r="FP87" s="1740"/>
      <c r="FQ87" s="1740"/>
      <c r="FR87" s="1740"/>
      <c r="FS87" s="1740"/>
      <c r="FT87" s="1740"/>
      <c r="FU87" s="1740"/>
      <c r="FV87" s="1740"/>
      <c r="FW87" s="1740"/>
      <c r="FX87" s="1740"/>
      <c r="FY87" s="1740"/>
      <c r="FZ87" s="1740"/>
      <c r="GA87" s="1740"/>
      <c r="GB87" s="1740"/>
      <c r="GC87" s="1740"/>
      <c r="GD87" s="1740"/>
      <c r="GE87" s="1740"/>
      <c r="GF87" s="1740"/>
    </row>
    <row r="88" spans="1:188" s="20" customFormat="1">
      <c r="A88" s="333">
        <f t="shared" si="2"/>
        <v>1977</v>
      </c>
      <c r="B88" s="333">
        <f t="shared" si="3"/>
        <v>3</v>
      </c>
      <c r="C88" s="1174">
        <v>28338</v>
      </c>
      <c r="D88" s="1167"/>
      <c r="E88" s="1168">
        <v>144.97840909089999</v>
      </c>
      <c r="F88" s="1168">
        <v>131.19023749430994</v>
      </c>
      <c r="G88" s="1168"/>
      <c r="H88" s="1167"/>
      <c r="I88" s="1168"/>
      <c r="J88" s="1168"/>
      <c r="K88" s="1678"/>
      <c r="L88" s="1678"/>
      <c r="M88" s="1682"/>
      <c r="N88" s="1169"/>
      <c r="O88" s="1169"/>
      <c r="P88" s="1169"/>
      <c r="Q88" s="1167"/>
      <c r="R88" s="1167"/>
      <c r="S88" s="1167"/>
      <c r="T88" s="1167"/>
      <c r="U88" s="1167"/>
      <c r="V88" s="1167"/>
      <c r="W88" s="1167"/>
      <c r="X88" s="630"/>
      <c r="AA88" s="1915"/>
      <c r="AB88" s="1915"/>
      <c r="AC88" s="1804"/>
      <c r="AD88" s="1804"/>
      <c r="AE88" s="1804"/>
      <c r="AF88" s="1804"/>
      <c r="AG88" s="1804"/>
      <c r="AH88" s="1804"/>
      <c r="AI88" s="1781" t="s">
        <v>0</v>
      </c>
      <c r="AJ88" s="1827">
        <v>2009</v>
      </c>
      <c r="AK88" s="1822" t="s">
        <v>22</v>
      </c>
      <c r="AL88" s="1822">
        <v>8</v>
      </c>
      <c r="AM88" s="1823">
        <v>90246627.790000007</v>
      </c>
      <c r="AN88" s="1824">
        <v>2.7348143684255855E-2</v>
      </c>
      <c r="AO88" s="1781"/>
      <c r="AP88" s="1781" t="s">
        <v>0</v>
      </c>
      <c r="AQ88" s="1781" t="s">
        <v>499</v>
      </c>
      <c r="AR88" s="1822" t="s">
        <v>138</v>
      </c>
      <c r="AS88" s="1822">
        <v>6</v>
      </c>
      <c r="AT88" s="1823">
        <v>225466893.50685829</v>
      </c>
      <c r="AU88" s="1825">
        <v>6.158409618164154E-2</v>
      </c>
      <c r="AV88" s="1781">
        <v>2009</v>
      </c>
      <c r="AW88" s="1671"/>
      <c r="AX88" s="1671"/>
      <c r="AY88" s="1804"/>
      <c r="AZ88" s="1804"/>
      <c r="BA88" s="1804"/>
      <c r="BB88" s="1804"/>
      <c r="BC88" s="1804"/>
      <c r="BD88" s="1804"/>
      <c r="BE88" s="1804"/>
      <c r="BF88" s="1804"/>
      <c r="BG88" s="1804"/>
      <c r="BH88" s="1804"/>
      <c r="BI88" s="1804"/>
      <c r="BJ88" s="1804"/>
      <c r="BK88" s="1804"/>
      <c r="BL88" s="1804"/>
      <c r="BM88" s="1804"/>
      <c r="BN88" s="1804"/>
      <c r="BO88" s="1804"/>
      <c r="BP88" s="1804"/>
      <c r="BQ88" s="1804"/>
      <c r="BR88" s="1804"/>
      <c r="BS88" s="1804"/>
      <c r="BT88" s="1804"/>
      <c r="BU88" s="1804"/>
      <c r="BV88" s="1804"/>
      <c r="BW88" s="1804"/>
      <c r="BX88" s="1804"/>
      <c r="BY88" s="1804"/>
      <c r="BZ88" s="1804"/>
      <c r="CA88" s="1804"/>
      <c r="CB88" s="1804"/>
      <c r="CC88" s="1804"/>
      <c r="CD88" s="1804"/>
      <c r="CE88" s="1804"/>
      <c r="CF88" s="1804"/>
      <c r="CG88" s="1804"/>
      <c r="CH88" s="1804"/>
      <c r="CI88" s="1804"/>
      <c r="CJ88" s="1804"/>
      <c r="CK88" s="1804"/>
      <c r="CL88" s="1804"/>
      <c r="CM88" s="1804"/>
      <c r="CN88" s="1804"/>
      <c r="CO88" s="1804"/>
      <c r="CP88" s="1804"/>
      <c r="CQ88" s="1804"/>
      <c r="CR88" s="1804"/>
      <c r="CS88" s="1804"/>
      <c r="CT88" s="1804"/>
      <c r="CU88" s="1804"/>
      <c r="CV88" s="1804"/>
      <c r="CW88" s="1804"/>
      <c r="CX88" s="1804"/>
      <c r="CY88" s="1804"/>
      <c r="CZ88" s="1804"/>
      <c r="DA88" s="1804"/>
      <c r="DB88" s="1804"/>
      <c r="DC88" s="1804"/>
      <c r="DD88" s="1804"/>
      <c r="DE88" s="1804"/>
      <c r="DF88" s="1804"/>
      <c r="DG88" s="1804"/>
      <c r="DH88" s="1804"/>
      <c r="DI88" s="1804"/>
      <c r="DJ88" s="1804"/>
      <c r="DK88" s="1804"/>
      <c r="DL88" s="1804"/>
      <c r="DM88" s="1804"/>
      <c r="DN88" s="1804"/>
      <c r="DO88" s="1804"/>
      <c r="DP88" s="1804"/>
      <c r="DQ88" s="1671"/>
      <c r="DR88" s="1671"/>
      <c r="DS88" s="1671"/>
      <c r="DT88" s="1671"/>
      <c r="DU88" s="1671"/>
      <c r="DV88" s="1671"/>
      <c r="DW88" s="1671"/>
      <c r="DX88" s="1671"/>
      <c r="DY88" s="1671"/>
      <c r="DZ88" s="1671"/>
      <c r="EA88" s="1740"/>
      <c r="EB88" s="1740"/>
      <c r="EC88" s="1740"/>
      <c r="ED88" s="1740"/>
      <c r="EE88" s="1740"/>
      <c r="EF88" s="1740"/>
      <c r="EG88" s="1740"/>
      <c r="EH88" s="1740"/>
      <c r="EI88" s="1740"/>
      <c r="EJ88" s="1740"/>
      <c r="EK88" s="1740"/>
      <c r="EL88" s="1740"/>
      <c r="EM88" s="1740"/>
      <c r="EN88" s="1740"/>
      <c r="EO88" s="1740"/>
      <c r="EP88" s="1740"/>
      <c r="EQ88" s="1740"/>
      <c r="ER88" s="1740"/>
      <c r="ES88" s="1740"/>
      <c r="ET88" s="1740"/>
      <c r="EU88" s="1740"/>
      <c r="EV88" s="1740"/>
      <c r="EW88" s="1740"/>
      <c r="EX88" s="1740"/>
      <c r="EY88" s="1740"/>
      <c r="EZ88" s="1740"/>
      <c r="FA88" s="1740"/>
      <c r="FB88" s="1740"/>
      <c r="FC88" s="1740"/>
      <c r="FD88" s="1740"/>
      <c r="FE88" s="1740"/>
      <c r="FF88" s="1740"/>
      <c r="FG88" s="1740"/>
      <c r="FH88" s="1740"/>
      <c r="FI88" s="1740"/>
      <c r="FJ88" s="1740"/>
      <c r="FK88" s="1740"/>
      <c r="FL88" s="1740"/>
      <c r="FM88" s="1740"/>
      <c r="FN88" s="1740"/>
      <c r="FO88" s="1740"/>
      <c r="FP88" s="1740"/>
      <c r="FQ88" s="1740"/>
      <c r="FR88" s="1740"/>
      <c r="FS88" s="1740"/>
      <c r="FT88" s="1740"/>
      <c r="FU88" s="1740"/>
      <c r="FV88" s="1740"/>
      <c r="FW88" s="1740"/>
      <c r="FX88" s="1740"/>
      <c r="FY88" s="1740"/>
      <c r="FZ88" s="1740"/>
      <c r="GA88" s="1740"/>
      <c r="GB88" s="1740"/>
      <c r="GC88" s="1740"/>
      <c r="GD88" s="1740"/>
      <c r="GE88" s="1740"/>
      <c r="GF88" s="1740"/>
    </row>
    <row r="89" spans="1:188" s="20" customFormat="1">
      <c r="A89" s="333">
        <f t="shared" si="2"/>
        <v>1977</v>
      </c>
      <c r="B89" s="333">
        <f t="shared" si="3"/>
        <v>3</v>
      </c>
      <c r="C89" s="1174">
        <v>28369</v>
      </c>
      <c r="D89" s="1158"/>
      <c r="E89" s="1159">
        <v>149.75227272730001</v>
      </c>
      <c r="F89" s="1159">
        <v>135.20428868866099</v>
      </c>
      <c r="G89" s="1160"/>
      <c r="H89" s="1161"/>
      <c r="I89" s="1160"/>
      <c r="J89" s="1160"/>
      <c r="K89" s="1677"/>
      <c r="L89" s="1677"/>
      <c r="M89" s="1681"/>
      <c r="N89" s="1162"/>
      <c r="O89" s="1162"/>
      <c r="P89" s="1162"/>
      <c r="Q89" s="1163"/>
      <c r="R89" s="1164"/>
      <c r="S89" s="1164"/>
      <c r="T89" s="1164"/>
      <c r="U89" s="1165"/>
      <c r="V89" s="1166"/>
      <c r="W89" s="1166"/>
      <c r="X89" s="630"/>
      <c r="AA89" s="1915"/>
      <c r="AB89" s="1915"/>
      <c r="AC89" s="1804"/>
      <c r="AD89" s="1804"/>
      <c r="AE89" s="1804"/>
      <c r="AF89" s="1804"/>
      <c r="AG89" s="1804"/>
      <c r="AH89" s="1804"/>
      <c r="AI89" s="1781" t="s">
        <v>0</v>
      </c>
      <c r="AJ89" s="1827">
        <v>2009</v>
      </c>
      <c r="AK89" s="1822" t="s">
        <v>30</v>
      </c>
      <c r="AL89" s="1822">
        <v>9</v>
      </c>
      <c r="AM89" s="1823">
        <v>78358898.810000002</v>
      </c>
      <c r="AN89" s="1824">
        <v>2.374571190164074E-2</v>
      </c>
      <c r="AO89" s="1781"/>
      <c r="AP89" s="1781" t="s">
        <v>0</v>
      </c>
      <c r="AQ89" s="1781" t="s">
        <v>499</v>
      </c>
      <c r="AR89" s="1822" t="s">
        <v>16</v>
      </c>
      <c r="AS89" s="1822">
        <v>7</v>
      </c>
      <c r="AT89" s="1823">
        <v>106304386.07734288</v>
      </c>
      <c r="AU89" s="1825">
        <v>2.9036012493418698E-2</v>
      </c>
      <c r="AV89" s="1781">
        <v>2009</v>
      </c>
      <c r="AW89" s="1671"/>
      <c r="AX89" s="1925"/>
      <c r="AY89" s="1804"/>
      <c r="AZ89" s="1804"/>
      <c r="BA89" s="1804"/>
      <c r="BB89" s="1804"/>
      <c r="BC89" s="1804"/>
      <c r="BD89" s="1804"/>
      <c r="BE89" s="1804"/>
      <c r="BF89" s="1804"/>
      <c r="BG89" s="1804"/>
      <c r="BH89" s="1804"/>
      <c r="BI89" s="1804"/>
      <c r="BJ89" s="1804"/>
      <c r="BK89" s="1804"/>
      <c r="BL89" s="1804"/>
      <c r="BM89" s="1804"/>
      <c r="BN89" s="1804"/>
      <c r="BO89" s="1804"/>
      <c r="BP89" s="1804"/>
      <c r="BQ89" s="1804"/>
      <c r="BR89" s="1804"/>
      <c r="BS89" s="1804"/>
      <c r="BT89" s="1804"/>
      <c r="BU89" s="1804"/>
      <c r="BV89" s="1804"/>
      <c r="BW89" s="1804"/>
      <c r="BX89" s="1804"/>
      <c r="BY89" s="1804"/>
      <c r="BZ89" s="1804"/>
      <c r="CA89" s="1804"/>
      <c r="CB89" s="1804"/>
      <c r="CC89" s="1804"/>
      <c r="CD89" s="1804"/>
      <c r="CE89" s="1804"/>
      <c r="CF89" s="1804"/>
      <c r="CG89" s="1804"/>
      <c r="CH89" s="1804"/>
      <c r="CI89" s="1804"/>
      <c r="CJ89" s="1804"/>
      <c r="CK89" s="1804"/>
      <c r="CL89" s="1804"/>
      <c r="CM89" s="1804"/>
      <c r="CN89" s="1804"/>
      <c r="CO89" s="1804"/>
      <c r="CP89" s="1804"/>
      <c r="CQ89" s="1804"/>
      <c r="CR89" s="1804"/>
      <c r="CS89" s="1804"/>
      <c r="CT89" s="1804"/>
      <c r="CU89" s="1804"/>
      <c r="CV89" s="1804"/>
      <c r="CW89" s="1804"/>
      <c r="CX89" s="1804"/>
      <c r="CY89" s="1804"/>
      <c r="CZ89" s="1804"/>
      <c r="DA89" s="1804"/>
      <c r="DB89" s="1804"/>
      <c r="DC89" s="1804"/>
      <c r="DD89" s="1804"/>
      <c r="DE89" s="1804"/>
      <c r="DF89" s="1804"/>
      <c r="DG89" s="1804"/>
      <c r="DH89" s="1804"/>
      <c r="DI89" s="1804"/>
      <c r="DJ89" s="1804"/>
      <c r="DK89" s="1804"/>
      <c r="DL89" s="1804"/>
      <c r="DM89" s="1804"/>
      <c r="DN89" s="1804"/>
      <c r="DO89" s="1804"/>
      <c r="DP89" s="1804"/>
      <c r="DQ89" s="1671"/>
      <c r="DR89" s="1671"/>
      <c r="DS89" s="1671"/>
      <c r="DT89" s="1671"/>
      <c r="DU89" s="1671"/>
      <c r="DV89" s="1671"/>
      <c r="DW89" s="1671"/>
      <c r="DX89" s="1671"/>
      <c r="DY89" s="1671"/>
      <c r="DZ89" s="1671"/>
      <c r="EA89" s="1740"/>
      <c r="EB89" s="1740"/>
      <c r="EC89" s="1740"/>
      <c r="ED89" s="1740"/>
      <c r="EE89" s="1740"/>
      <c r="EF89" s="1740"/>
      <c r="EG89" s="1740"/>
      <c r="EH89" s="1740"/>
      <c r="EI89" s="1740"/>
      <c r="EJ89" s="1740"/>
      <c r="EK89" s="1740"/>
      <c r="EL89" s="1740"/>
      <c r="EM89" s="1740"/>
      <c r="EN89" s="1740"/>
      <c r="EO89" s="1740"/>
      <c r="EP89" s="1740"/>
      <c r="EQ89" s="1740"/>
      <c r="ER89" s="1740"/>
      <c r="ES89" s="1740"/>
      <c r="ET89" s="1740"/>
      <c r="EU89" s="1740"/>
      <c r="EV89" s="1740"/>
      <c r="EW89" s="1740"/>
      <c r="EX89" s="1740"/>
      <c r="EY89" s="1740"/>
      <c r="EZ89" s="1740"/>
      <c r="FA89" s="1740"/>
      <c r="FB89" s="1740"/>
      <c r="FC89" s="1740"/>
      <c r="FD89" s="1740"/>
      <c r="FE89" s="1740"/>
      <c r="FF89" s="1740"/>
      <c r="FG89" s="1740"/>
      <c r="FH89" s="1740"/>
      <c r="FI89" s="1740"/>
      <c r="FJ89" s="1740"/>
      <c r="FK89" s="1740"/>
      <c r="FL89" s="1740"/>
      <c r="FM89" s="1740"/>
      <c r="FN89" s="1740"/>
      <c r="FO89" s="1740"/>
      <c r="FP89" s="1740"/>
      <c r="FQ89" s="1740"/>
      <c r="FR89" s="1740"/>
      <c r="FS89" s="1740"/>
      <c r="FT89" s="1740"/>
      <c r="FU89" s="1740"/>
      <c r="FV89" s="1740"/>
      <c r="FW89" s="1740"/>
      <c r="FX89" s="1740"/>
      <c r="FY89" s="1740"/>
      <c r="FZ89" s="1740"/>
      <c r="GA89" s="1740"/>
      <c r="GB89" s="1740"/>
      <c r="GC89" s="1740"/>
      <c r="GD89" s="1740"/>
      <c r="GE89" s="1740"/>
      <c r="GF89" s="1740"/>
    </row>
    <row r="90" spans="1:188" s="20" customFormat="1">
      <c r="A90" s="333">
        <f t="shared" si="2"/>
        <v>1977</v>
      </c>
      <c r="B90" s="333">
        <f t="shared" si="3"/>
        <v>4</v>
      </c>
      <c r="C90" s="1174">
        <v>28401</v>
      </c>
      <c r="D90" s="1167"/>
      <c r="E90" s="1168">
        <v>159.02738095239999</v>
      </c>
      <c r="F90" s="1168">
        <v>141.53373293811219</v>
      </c>
      <c r="G90" s="1168"/>
      <c r="H90" s="1167"/>
      <c r="I90" s="1168"/>
      <c r="J90" s="1168"/>
      <c r="K90" s="1678"/>
      <c r="L90" s="1678"/>
      <c r="M90" s="1682"/>
      <c r="N90" s="1169"/>
      <c r="O90" s="1169"/>
      <c r="P90" s="1169"/>
      <c r="Q90" s="1167"/>
      <c r="R90" s="1167"/>
      <c r="S90" s="1167"/>
      <c r="T90" s="1167"/>
      <c r="U90" s="1167"/>
      <c r="V90" s="1167"/>
      <c r="W90" s="1167"/>
      <c r="X90" s="630"/>
      <c r="AA90" s="1915"/>
      <c r="AB90" s="1915"/>
      <c r="AC90" s="1804"/>
      <c r="AD90" s="1804"/>
      <c r="AE90" s="1804"/>
      <c r="AF90" s="1804"/>
      <c r="AG90" s="1804"/>
      <c r="AH90" s="1804"/>
      <c r="AI90" s="1781" t="s">
        <v>0</v>
      </c>
      <c r="AJ90" s="1827">
        <v>2009</v>
      </c>
      <c r="AK90" s="1822" t="s">
        <v>21</v>
      </c>
      <c r="AL90" s="1822">
        <v>10</v>
      </c>
      <c r="AM90" s="1823">
        <v>77942931.959999993</v>
      </c>
      <c r="AN90" s="1824">
        <v>2.3619658203455376E-2</v>
      </c>
      <c r="AO90" s="1781"/>
      <c r="AP90" s="1781" t="s">
        <v>0</v>
      </c>
      <c r="AQ90" s="1781" t="s">
        <v>499</v>
      </c>
      <c r="AR90" s="1822" t="s">
        <v>22</v>
      </c>
      <c r="AS90" s="1822">
        <v>8</v>
      </c>
      <c r="AT90" s="1823">
        <v>99947909.459657371</v>
      </c>
      <c r="AU90" s="1825">
        <v>2.7299802527905544E-2</v>
      </c>
      <c r="AV90" s="1781">
        <v>2009</v>
      </c>
      <c r="AW90" s="1671"/>
      <c r="AX90" s="1671"/>
      <c r="AY90" s="1804"/>
      <c r="AZ90" s="1804"/>
      <c r="BA90" s="1804"/>
      <c r="BB90" s="1804"/>
      <c r="BC90" s="1804"/>
      <c r="BD90" s="1804"/>
      <c r="BE90" s="1804"/>
      <c r="BF90" s="1804"/>
      <c r="BG90" s="1804"/>
      <c r="BH90" s="1804"/>
      <c r="BI90" s="1804"/>
      <c r="BJ90" s="1804"/>
      <c r="BK90" s="1804"/>
      <c r="BL90" s="1804"/>
      <c r="BM90" s="1804"/>
      <c r="BN90" s="1804"/>
      <c r="BO90" s="1804"/>
      <c r="BP90" s="1804"/>
      <c r="BQ90" s="1804"/>
      <c r="BR90" s="1804"/>
      <c r="BS90" s="1804"/>
      <c r="BT90" s="1804"/>
      <c r="BU90" s="1804"/>
      <c r="BV90" s="1804"/>
      <c r="BW90" s="1804"/>
      <c r="BX90" s="1804"/>
      <c r="BY90" s="1804"/>
      <c r="BZ90" s="1804"/>
      <c r="CA90" s="1804"/>
      <c r="CB90" s="1804"/>
      <c r="CC90" s="1804"/>
      <c r="CD90" s="1804"/>
      <c r="CE90" s="1804"/>
      <c r="CF90" s="1804"/>
      <c r="CG90" s="1804"/>
      <c r="CH90" s="1804"/>
      <c r="CI90" s="1804"/>
      <c r="CJ90" s="1804"/>
      <c r="CK90" s="1804"/>
      <c r="CL90" s="1804"/>
      <c r="CM90" s="1804"/>
      <c r="CN90" s="1804"/>
      <c r="CO90" s="1804"/>
      <c r="CP90" s="1804"/>
      <c r="CQ90" s="1804"/>
      <c r="CR90" s="1804"/>
      <c r="CS90" s="1804"/>
      <c r="CT90" s="1804"/>
      <c r="CU90" s="1804"/>
      <c r="CV90" s="1804"/>
      <c r="CW90" s="1804"/>
      <c r="CX90" s="1804"/>
      <c r="CY90" s="1804"/>
      <c r="CZ90" s="1804"/>
      <c r="DA90" s="1804"/>
      <c r="DB90" s="1804"/>
      <c r="DC90" s="1804"/>
      <c r="DD90" s="1804"/>
      <c r="DE90" s="1804"/>
      <c r="DF90" s="1804"/>
      <c r="DG90" s="1804"/>
      <c r="DH90" s="1804"/>
      <c r="DI90" s="1804"/>
      <c r="DJ90" s="1804"/>
      <c r="DK90" s="1804"/>
      <c r="DL90" s="1804"/>
      <c r="DM90" s="1804"/>
      <c r="DN90" s="1804"/>
      <c r="DO90" s="1804"/>
      <c r="DP90" s="1804"/>
      <c r="DQ90" s="1671"/>
      <c r="DR90" s="1671"/>
      <c r="DS90" s="1671"/>
      <c r="DT90" s="1671"/>
      <c r="DU90" s="1671"/>
      <c r="DV90" s="1671"/>
      <c r="DW90" s="1671"/>
      <c r="DX90" s="1671"/>
      <c r="DY90" s="1671"/>
      <c r="DZ90" s="1671"/>
      <c r="EA90" s="1740"/>
      <c r="EB90" s="1740"/>
      <c r="EC90" s="1740"/>
      <c r="ED90" s="1740"/>
      <c r="EE90" s="1740"/>
      <c r="EF90" s="1740"/>
      <c r="EG90" s="1740"/>
      <c r="EH90" s="1740"/>
      <c r="EI90" s="1740"/>
      <c r="EJ90" s="1740"/>
      <c r="EK90" s="1740"/>
      <c r="EL90" s="1740"/>
      <c r="EM90" s="1740"/>
      <c r="EN90" s="1740"/>
      <c r="EO90" s="1740"/>
      <c r="EP90" s="1740"/>
      <c r="EQ90" s="1740"/>
      <c r="ER90" s="1740"/>
      <c r="ES90" s="1740"/>
      <c r="ET90" s="1740"/>
      <c r="EU90" s="1740"/>
      <c r="EV90" s="1740"/>
      <c r="EW90" s="1740"/>
      <c r="EX90" s="1740"/>
      <c r="EY90" s="1740"/>
      <c r="EZ90" s="1740"/>
      <c r="FA90" s="1740"/>
      <c r="FB90" s="1740"/>
      <c r="FC90" s="1740"/>
      <c r="FD90" s="1740"/>
      <c r="FE90" s="1740"/>
      <c r="FF90" s="1740"/>
      <c r="FG90" s="1740"/>
      <c r="FH90" s="1740"/>
      <c r="FI90" s="1740"/>
      <c r="FJ90" s="1740"/>
      <c r="FK90" s="1740"/>
      <c r="FL90" s="1740"/>
      <c r="FM90" s="1740"/>
      <c r="FN90" s="1740"/>
      <c r="FO90" s="1740"/>
      <c r="FP90" s="1740"/>
      <c r="FQ90" s="1740"/>
      <c r="FR90" s="1740"/>
      <c r="FS90" s="1740"/>
      <c r="FT90" s="1740"/>
      <c r="FU90" s="1740"/>
      <c r="FV90" s="1740"/>
      <c r="FW90" s="1740"/>
      <c r="FX90" s="1740"/>
      <c r="FY90" s="1740"/>
      <c r="FZ90" s="1740"/>
      <c r="GA90" s="1740"/>
      <c r="GB90" s="1740"/>
      <c r="GC90" s="1740"/>
      <c r="GD90" s="1740"/>
      <c r="GE90" s="1740"/>
      <c r="GF90" s="1740"/>
    </row>
    <row r="91" spans="1:188" s="20" customFormat="1">
      <c r="A91" s="333">
        <f t="shared" si="2"/>
        <v>1977</v>
      </c>
      <c r="B91" s="333">
        <f t="shared" si="3"/>
        <v>4</v>
      </c>
      <c r="C91" s="1174">
        <v>28430</v>
      </c>
      <c r="D91" s="1158"/>
      <c r="E91" s="1159">
        <v>162.05000000000001</v>
      </c>
      <c r="F91" s="1159">
        <v>143.73786385000002</v>
      </c>
      <c r="G91" s="1160"/>
      <c r="H91" s="1161"/>
      <c r="I91" s="1160"/>
      <c r="J91" s="1160"/>
      <c r="K91" s="1677"/>
      <c r="L91" s="1677"/>
      <c r="M91" s="1681"/>
      <c r="N91" s="1162"/>
      <c r="O91" s="1162"/>
      <c r="P91" s="1162"/>
      <c r="Q91" s="1163"/>
      <c r="R91" s="1164"/>
      <c r="S91" s="1164"/>
      <c r="T91" s="1164"/>
      <c r="U91" s="1165"/>
      <c r="V91" s="1166"/>
      <c r="W91" s="1166"/>
      <c r="X91" s="630"/>
      <c r="AA91" s="1915"/>
      <c r="AB91" s="1915"/>
      <c r="AC91" s="1804"/>
      <c r="AD91" s="1804"/>
      <c r="AE91" s="1804"/>
      <c r="AF91" s="1804"/>
      <c r="AG91" s="1804"/>
      <c r="AH91" s="1804"/>
      <c r="AI91" s="1781" t="s">
        <v>0</v>
      </c>
      <c r="AJ91" s="1827">
        <v>2009</v>
      </c>
      <c r="AK91" s="1822" t="s">
        <v>39</v>
      </c>
      <c r="AL91" s="1822"/>
      <c r="AM91" s="1823">
        <v>262604882.28000021</v>
      </c>
      <c r="AN91" s="1824">
        <v>7.9579217846146841E-2</v>
      </c>
      <c r="AO91" s="1781"/>
      <c r="AP91" s="1781" t="s">
        <v>0</v>
      </c>
      <c r="AQ91" s="1781" t="s">
        <v>499</v>
      </c>
      <c r="AR91" s="1822" t="s">
        <v>30</v>
      </c>
      <c r="AS91" s="1822">
        <v>9</v>
      </c>
      <c r="AT91" s="1823">
        <v>86693818.087707683</v>
      </c>
      <c r="AU91" s="1825">
        <v>2.3679575960914741E-2</v>
      </c>
      <c r="AV91" s="1781">
        <v>2009</v>
      </c>
      <c r="AW91" s="1671"/>
      <c r="AX91" s="1671"/>
      <c r="AY91" s="1804"/>
      <c r="AZ91" s="1804"/>
      <c r="BA91" s="1804"/>
      <c r="BB91" s="1804"/>
      <c r="BC91" s="1804"/>
      <c r="BD91" s="1804"/>
      <c r="BE91" s="1804"/>
      <c r="BF91" s="1804"/>
      <c r="BG91" s="1804"/>
      <c r="BH91" s="1804"/>
      <c r="BI91" s="1804"/>
      <c r="BJ91" s="1804"/>
      <c r="BK91" s="1804"/>
      <c r="BL91" s="1804"/>
      <c r="BM91" s="1804"/>
      <c r="BN91" s="1804"/>
      <c r="BO91" s="1804"/>
      <c r="BP91" s="1804"/>
      <c r="BQ91" s="1804"/>
      <c r="BR91" s="1804"/>
      <c r="BS91" s="1804"/>
      <c r="BT91" s="1804"/>
      <c r="BU91" s="1804"/>
      <c r="BV91" s="1804"/>
      <c r="BW91" s="1804"/>
      <c r="BX91" s="1804"/>
      <c r="BY91" s="1804"/>
      <c r="BZ91" s="1804"/>
      <c r="CA91" s="1804"/>
      <c r="CB91" s="1804"/>
      <c r="CC91" s="1804"/>
      <c r="CD91" s="1804"/>
      <c r="CE91" s="1804"/>
      <c r="CF91" s="1804"/>
      <c r="CG91" s="1804"/>
      <c r="CH91" s="1804"/>
      <c r="CI91" s="1804"/>
      <c r="CJ91" s="1804"/>
      <c r="CK91" s="1804"/>
      <c r="CL91" s="1804"/>
      <c r="CM91" s="1804"/>
      <c r="CN91" s="1804"/>
      <c r="CO91" s="1804"/>
      <c r="CP91" s="1804"/>
      <c r="CQ91" s="1804"/>
      <c r="CR91" s="1804"/>
      <c r="CS91" s="1804"/>
      <c r="CT91" s="1804"/>
      <c r="CU91" s="1804"/>
      <c r="CV91" s="1804"/>
      <c r="CW91" s="1804"/>
      <c r="CX91" s="1804"/>
      <c r="CY91" s="1804"/>
      <c r="CZ91" s="1804"/>
      <c r="DA91" s="1804"/>
      <c r="DB91" s="1804"/>
      <c r="DC91" s="1804"/>
      <c r="DD91" s="1804"/>
      <c r="DE91" s="1804"/>
      <c r="DF91" s="1804"/>
      <c r="DG91" s="1804"/>
      <c r="DH91" s="1804"/>
      <c r="DI91" s="1804"/>
      <c r="DJ91" s="1804"/>
      <c r="DK91" s="1804"/>
      <c r="DL91" s="1804"/>
      <c r="DM91" s="1804"/>
      <c r="DN91" s="1804"/>
      <c r="DO91" s="1804"/>
      <c r="DP91" s="1804"/>
      <c r="DQ91" s="1671"/>
      <c r="DR91" s="1671"/>
      <c r="DS91" s="1671"/>
      <c r="DT91" s="1671"/>
      <c r="DU91" s="1671"/>
      <c r="DV91" s="1671"/>
      <c r="DW91" s="1671"/>
      <c r="DX91" s="1671"/>
      <c r="DY91" s="1671"/>
      <c r="DZ91" s="1671"/>
      <c r="EA91" s="1740"/>
      <c r="EB91" s="1740"/>
      <c r="EC91" s="1740"/>
      <c r="ED91" s="1740"/>
      <c r="EE91" s="1740"/>
      <c r="EF91" s="1740"/>
      <c r="EG91" s="1740"/>
      <c r="EH91" s="1740"/>
      <c r="EI91" s="1740"/>
      <c r="EJ91" s="1740"/>
      <c r="EK91" s="1740"/>
      <c r="EL91" s="1740"/>
      <c r="EM91" s="1740"/>
      <c r="EN91" s="1740"/>
      <c r="EO91" s="1740"/>
      <c r="EP91" s="1740"/>
      <c r="EQ91" s="1740"/>
      <c r="ER91" s="1740"/>
      <c r="ES91" s="1740"/>
      <c r="ET91" s="1740"/>
      <c r="EU91" s="1740"/>
      <c r="EV91" s="1740"/>
      <c r="EW91" s="1740"/>
      <c r="EX91" s="1740"/>
      <c r="EY91" s="1740"/>
      <c r="EZ91" s="1740"/>
      <c r="FA91" s="1740"/>
      <c r="FB91" s="1740"/>
      <c r="FC91" s="1740"/>
      <c r="FD91" s="1740"/>
      <c r="FE91" s="1740"/>
      <c r="FF91" s="1740"/>
      <c r="FG91" s="1740"/>
      <c r="FH91" s="1740"/>
      <c r="FI91" s="1740"/>
      <c r="FJ91" s="1740"/>
      <c r="FK91" s="1740"/>
      <c r="FL91" s="1740"/>
      <c r="FM91" s="1740"/>
      <c r="FN91" s="1740"/>
      <c r="FO91" s="1740"/>
      <c r="FP91" s="1740"/>
      <c r="FQ91" s="1740"/>
      <c r="FR91" s="1740"/>
      <c r="FS91" s="1740"/>
      <c r="FT91" s="1740"/>
      <c r="FU91" s="1740"/>
      <c r="FV91" s="1740"/>
      <c r="FW91" s="1740"/>
      <c r="FX91" s="1740"/>
      <c r="FY91" s="1740"/>
      <c r="FZ91" s="1740"/>
      <c r="GA91" s="1740"/>
      <c r="GB91" s="1740"/>
      <c r="GC91" s="1740"/>
      <c r="GD91" s="1740"/>
      <c r="GE91" s="1740"/>
      <c r="GF91" s="1740"/>
    </row>
    <row r="92" spans="1:188" s="20" customFormat="1">
      <c r="A92" s="333">
        <f t="shared" si="2"/>
        <v>1977</v>
      </c>
      <c r="B92" s="333">
        <f t="shared" si="3"/>
        <v>4</v>
      </c>
      <c r="C92" s="1174">
        <v>28460</v>
      </c>
      <c r="D92" s="1167"/>
      <c r="E92" s="1168">
        <v>160.32916666669999</v>
      </c>
      <c r="F92" s="1168">
        <v>140.46710851252919</v>
      </c>
      <c r="G92" s="1168"/>
      <c r="H92" s="1167"/>
      <c r="I92" s="1168"/>
      <c r="J92" s="1168"/>
      <c r="K92" s="1678"/>
      <c r="L92" s="1678"/>
      <c r="M92" s="1682"/>
      <c r="N92" s="1169"/>
      <c r="O92" s="1169"/>
      <c r="P92" s="1169"/>
      <c r="Q92" s="1167"/>
      <c r="R92" s="1167"/>
      <c r="S92" s="1167"/>
      <c r="T92" s="1167"/>
      <c r="U92" s="1167"/>
      <c r="V92" s="1167"/>
      <c r="W92" s="1167"/>
      <c r="X92" s="630"/>
      <c r="AA92" s="1915"/>
      <c r="AB92" s="1915"/>
      <c r="AC92" s="1804"/>
      <c r="AD92" s="1804"/>
      <c r="AE92" s="1804"/>
      <c r="AF92" s="1804"/>
      <c r="AG92" s="1804"/>
      <c r="AH92" s="1804"/>
      <c r="AI92" s="1781" t="s">
        <v>0</v>
      </c>
      <c r="AJ92" s="1827">
        <v>2009</v>
      </c>
      <c r="AK92" s="1822" t="s">
        <v>386</v>
      </c>
      <c r="AL92" s="1822"/>
      <c r="AM92" s="1823">
        <v>3299917860.3099995</v>
      </c>
      <c r="AN92" s="1824"/>
      <c r="AO92" s="1781"/>
      <c r="AP92" s="1781" t="s">
        <v>0</v>
      </c>
      <c r="AQ92" s="1781" t="s">
        <v>499</v>
      </c>
      <c r="AR92" s="1822" t="s">
        <v>21</v>
      </c>
      <c r="AS92" s="1822">
        <v>10</v>
      </c>
      <c r="AT92" s="1823">
        <v>86447250.976157621</v>
      </c>
      <c r="AU92" s="1825">
        <v>2.3612228544729816E-2</v>
      </c>
      <c r="AV92" s="1781">
        <v>2009</v>
      </c>
      <c r="AW92" s="1671"/>
      <c r="AX92" s="1925"/>
      <c r="AY92" s="1804"/>
      <c r="AZ92" s="1804"/>
      <c r="BA92" s="1804"/>
      <c r="BB92" s="1804"/>
      <c r="BC92" s="1804"/>
      <c r="BD92" s="1804"/>
      <c r="BE92" s="1804"/>
      <c r="BF92" s="1804"/>
      <c r="BG92" s="1804"/>
      <c r="BH92" s="1804"/>
      <c r="BI92" s="1804"/>
      <c r="BJ92" s="1804"/>
      <c r="BK92" s="1804"/>
      <c r="BL92" s="1804"/>
      <c r="BM92" s="1804"/>
      <c r="BN92" s="1804"/>
      <c r="BO92" s="1804"/>
      <c r="BP92" s="1804"/>
      <c r="BQ92" s="1804"/>
      <c r="BR92" s="1804"/>
      <c r="BS92" s="1804"/>
      <c r="BT92" s="1804"/>
      <c r="BU92" s="1804"/>
      <c r="BV92" s="1804"/>
      <c r="BW92" s="1804"/>
      <c r="BX92" s="1804"/>
      <c r="BY92" s="1804"/>
      <c r="BZ92" s="1804"/>
      <c r="CA92" s="1804"/>
      <c r="CB92" s="1804"/>
      <c r="CC92" s="1804"/>
      <c r="CD92" s="1804"/>
      <c r="CE92" s="1804"/>
      <c r="CF92" s="1804"/>
      <c r="CG92" s="1804"/>
      <c r="CH92" s="1804"/>
      <c r="CI92" s="1804"/>
      <c r="CJ92" s="1804"/>
      <c r="CK92" s="1804"/>
      <c r="CL92" s="1804"/>
      <c r="CM92" s="1804"/>
      <c r="CN92" s="1804"/>
      <c r="CO92" s="1804"/>
      <c r="CP92" s="1804"/>
      <c r="CQ92" s="1804"/>
      <c r="CR92" s="1804"/>
      <c r="CS92" s="1804"/>
      <c r="CT92" s="1804"/>
      <c r="CU92" s="1804"/>
      <c r="CV92" s="1804"/>
      <c r="CW92" s="1804"/>
      <c r="CX92" s="1804"/>
      <c r="CY92" s="1804"/>
      <c r="CZ92" s="1804"/>
      <c r="DA92" s="1804"/>
      <c r="DB92" s="1804"/>
      <c r="DC92" s="1804"/>
      <c r="DD92" s="1804"/>
      <c r="DE92" s="1804"/>
      <c r="DF92" s="1804"/>
      <c r="DG92" s="1804"/>
      <c r="DH92" s="1804"/>
      <c r="DI92" s="1804"/>
      <c r="DJ92" s="1804"/>
      <c r="DK92" s="1804"/>
      <c r="DL92" s="1804"/>
      <c r="DM92" s="1804"/>
      <c r="DN92" s="1804"/>
      <c r="DO92" s="1804"/>
      <c r="DP92" s="1804"/>
      <c r="DQ92" s="1671"/>
      <c r="DR92" s="1671"/>
      <c r="DS92" s="1671"/>
      <c r="DT92" s="1671"/>
      <c r="DU92" s="1671"/>
      <c r="DV92" s="1671"/>
      <c r="DW92" s="1671"/>
      <c r="DX92" s="1671"/>
      <c r="DY92" s="1671"/>
      <c r="DZ92" s="1671"/>
      <c r="EA92" s="1740"/>
      <c r="EB92" s="1740"/>
      <c r="EC92" s="1740"/>
      <c r="ED92" s="1740"/>
      <c r="EE92" s="1740"/>
      <c r="EF92" s="1740"/>
      <c r="EG92" s="1740"/>
      <c r="EH92" s="1740"/>
      <c r="EI92" s="1740"/>
      <c r="EJ92" s="1740"/>
      <c r="EK92" s="1740"/>
      <c r="EL92" s="1740"/>
      <c r="EM92" s="1740"/>
      <c r="EN92" s="1740"/>
      <c r="EO92" s="1740"/>
      <c r="EP92" s="1740"/>
      <c r="EQ92" s="1740"/>
      <c r="ER92" s="1740"/>
      <c r="ES92" s="1740"/>
      <c r="ET92" s="1740"/>
      <c r="EU92" s="1740"/>
      <c r="EV92" s="1740"/>
      <c r="EW92" s="1740"/>
      <c r="EX92" s="1740"/>
      <c r="EY92" s="1740"/>
      <c r="EZ92" s="1740"/>
      <c r="FA92" s="1740"/>
      <c r="FB92" s="1740"/>
      <c r="FC92" s="1740"/>
      <c r="FD92" s="1740"/>
      <c r="FE92" s="1740"/>
      <c r="FF92" s="1740"/>
      <c r="FG92" s="1740"/>
      <c r="FH92" s="1740"/>
      <c r="FI92" s="1740"/>
      <c r="FJ92" s="1740"/>
      <c r="FK92" s="1740"/>
      <c r="FL92" s="1740"/>
      <c r="FM92" s="1740"/>
      <c r="FN92" s="1740"/>
      <c r="FO92" s="1740"/>
      <c r="FP92" s="1740"/>
      <c r="FQ92" s="1740"/>
      <c r="FR92" s="1740"/>
      <c r="FS92" s="1740"/>
      <c r="FT92" s="1740"/>
      <c r="FU92" s="1740"/>
      <c r="FV92" s="1740"/>
      <c r="FW92" s="1740"/>
      <c r="FX92" s="1740"/>
      <c r="FY92" s="1740"/>
      <c r="FZ92" s="1740"/>
      <c r="GA92" s="1740"/>
      <c r="GB92" s="1740"/>
      <c r="GC92" s="1740"/>
      <c r="GD92" s="1740"/>
      <c r="GE92" s="1740"/>
      <c r="GF92" s="1740"/>
    </row>
    <row r="93" spans="1:188" s="20" customFormat="1">
      <c r="A93" s="333">
        <f t="shared" si="2"/>
        <v>1978</v>
      </c>
      <c r="B93" s="333">
        <f t="shared" si="3"/>
        <v>1</v>
      </c>
      <c r="C93" s="1174">
        <v>28492</v>
      </c>
      <c r="D93" s="1158"/>
      <c r="E93" s="1159">
        <v>173.35</v>
      </c>
      <c r="F93" s="1159">
        <v>152.30184299999999</v>
      </c>
      <c r="G93" s="1160"/>
      <c r="H93" s="1161"/>
      <c r="I93" s="1160"/>
      <c r="J93" s="1160"/>
      <c r="K93" s="1677"/>
      <c r="L93" s="1677"/>
      <c r="M93" s="1681"/>
      <c r="N93" s="1162"/>
      <c r="O93" s="1162"/>
      <c r="P93" s="1162"/>
      <c r="Q93" s="1163"/>
      <c r="R93" s="1164"/>
      <c r="S93" s="1164"/>
      <c r="T93" s="1164"/>
      <c r="U93" s="1165"/>
      <c r="V93" s="1166"/>
      <c r="W93" s="1166"/>
      <c r="X93" s="630"/>
      <c r="AA93" s="1915"/>
      <c r="AB93" s="1915"/>
      <c r="AC93" s="1804"/>
      <c r="AD93" s="1804"/>
      <c r="AE93" s="1804"/>
      <c r="AF93" s="1804"/>
      <c r="AG93" s="1804"/>
      <c r="AH93" s="1804"/>
      <c r="AI93" s="1781" t="s">
        <v>0</v>
      </c>
      <c r="AJ93" s="1827">
        <v>2008</v>
      </c>
      <c r="AK93" s="1822" t="s">
        <v>17</v>
      </c>
      <c r="AL93" s="1822">
        <v>1</v>
      </c>
      <c r="AM93" s="1823">
        <v>708997178.98999989</v>
      </c>
      <c r="AN93" s="1824">
        <v>0.16327158528672142</v>
      </c>
      <c r="AO93" s="1781"/>
      <c r="AP93" s="1781" t="s">
        <v>0</v>
      </c>
      <c r="AQ93" s="1781" t="s">
        <v>499</v>
      </c>
      <c r="AR93" s="1822" t="s">
        <v>39</v>
      </c>
      <c r="AS93" s="1822"/>
      <c r="AT93" s="1823">
        <v>299456916.64537954</v>
      </c>
      <c r="AU93" s="1825">
        <v>8.1793753708616662E-2</v>
      </c>
      <c r="AV93" s="1781">
        <v>2009</v>
      </c>
      <c r="AW93" s="1671"/>
      <c r="AX93" s="1671"/>
      <c r="AY93" s="1804"/>
      <c r="AZ93" s="1804"/>
      <c r="BA93" s="1804"/>
      <c r="BB93" s="1804"/>
      <c r="BC93" s="1804"/>
      <c r="BD93" s="1804"/>
      <c r="BE93" s="1804"/>
      <c r="BF93" s="1804"/>
      <c r="BG93" s="1804"/>
      <c r="BH93" s="1804"/>
      <c r="BI93" s="1804"/>
      <c r="BJ93" s="1804"/>
      <c r="BK93" s="1804"/>
      <c r="BL93" s="1804"/>
      <c r="BM93" s="1804"/>
      <c r="BN93" s="1804"/>
      <c r="BO93" s="1804"/>
      <c r="BP93" s="1804"/>
      <c r="BQ93" s="1804"/>
      <c r="BR93" s="1804"/>
      <c r="BS93" s="1804"/>
      <c r="BT93" s="1804"/>
      <c r="BU93" s="1804"/>
      <c r="BV93" s="1804"/>
      <c r="BW93" s="1804"/>
      <c r="BX93" s="1804"/>
      <c r="BY93" s="1804"/>
      <c r="BZ93" s="1804"/>
      <c r="CA93" s="1804"/>
      <c r="CB93" s="1804"/>
      <c r="CC93" s="1804"/>
      <c r="CD93" s="1804"/>
      <c r="CE93" s="1804"/>
      <c r="CF93" s="1804"/>
      <c r="CG93" s="1804"/>
      <c r="CH93" s="1804"/>
      <c r="CI93" s="1804"/>
      <c r="CJ93" s="1804"/>
      <c r="CK93" s="1804"/>
      <c r="CL93" s="1804"/>
      <c r="CM93" s="1804"/>
      <c r="CN93" s="1804"/>
      <c r="CO93" s="1804"/>
      <c r="CP93" s="1804"/>
      <c r="CQ93" s="1804"/>
      <c r="CR93" s="1804"/>
      <c r="CS93" s="1804"/>
      <c r="CT93" s="1804"/>
      <c r="CU93" s="1804"/>
      <c r="CV93" s="1804"/>
      <c r="CW93" s="1804"/>
      <c r="CX93" s="1804"/>
      <c r="CY93" s="1804"/>
      <c r="CZ93" s="1804"/>
      <c r="DA93" s="1804"/>
      <c r="DB93" s="1804"/>
      <c r="DC93" s="1804"/>
      <c r="DD93" s="1804"/>
      <c r="DE93" s="1804"/>
      <c r="DF93" s="1804"/>
      <c r="DG93" s="1804"/>
      <c r="DH93" s="1804"/>
      <c r="DI93" s="1804"/>
      <c r="DJ93" s="1804"/>
      <c r="DK93" s="1804"/>
      <c r="DL93" s="1804"/>
      <c r="DM93" s="1804"/>
      <c r="DN93" s="1804"/>
      <c r="DO93" s="1804"/>
      <c r="DP93" s="1804"/>
      <c r="DQ93" s="1671"/>
      <c r="DR93" s="1671"/>
      <c r="DS93" s="1671"/>
      <c r="DT93" s="1671"/>
      <c r="DU93" s="1671"/>
      <c r="DV93" s="1671"/>
      <c r="DW93" s="1671"/>
      <c r="DX93" s="1671"/>
      <c r="DY93" s="1671"/>
      <c r="DZ93" s="1671"/>
      <c r="EA93" s="1740"/>
      <c r="EB93" s="1740"/>
      <c r="EC93" s="1740"/>
      <c r="ED93" s="1740"/>
      <c r="EE93" s="1740"/>
      <c r="EF93" s="1740"/>
      <c r="EG93" s="1740"/>
      <c r="EH93" s="1740"/>
      <c r="EI93" s="1740"/>
      <c r="EJ93" s="1740"/>
      <c r="EK93" s="1740"/>
      <c r="EL93" s="1740"/>
      <c r="EM93" s="1740"/>
      <c r="EN93" s="1740"/>
      <c r="EO93" s="1740"/>
      <c r="EP93" s="1740"/>
      <c r="EQ93" s="1740"/>
      <c r="ER93" s="1740"/>
      <c r="ES93" s="1740"/>
      <c r="ET93" s="1740"/>
      <c r="EU93" s="1740"/>
      <c r="EV93" s="1740"/>
      <c r="EW93" s="1740"/>
      <c r="EX93" s="1740"/>
      <c r="EY93" s="1740"/>
      <c r="EZ93" s="1740"/>
      <c r="FA93" s="1740"/>
      <c r="FB93" s="1740"/>
      <c r="FC93" s="1740"/>
      <c r="FD93" s="1740"/>
      <c r="FE93" s="1740"/>
      <c r="FF93" s="1740"/>
      <c r="FG93" s="1740"/>
      <c r="FH93" s="1740"/>
      <c r="FI93" s="1740"/>
      <c r="FJ93" s="1740"/>
      <c r="FK93" s="1740"/>
      <c r="FL93" s="1740"/>
      <c r="FM93" s="1740"/>
      <c r="FN93" s="1740"/>
      <c r="FO93" s="1740"/>
      <c r="FP93" s="1740"/>
      <c r="FQ93" s="1740"/>
      <c r="FR93" s="1740"/>
      <c r="FS93" s="1740"/>
      <c r="FT93" s="1740"/>
      <c r="FU93" s="1740"/>
      <c r="FV93" s="1740"/>
      <c r="FW93" s="1740"/>
      <c r="FX93" s="1740"/>
      <c r="FY93" s="1740"/>
      <c r="FZ93" s="1740"/>
      <c r="GA93" s="1740"/>
      <c r="GB93" s="1740"/>
      <c r="GC93" s="1740"/>
      <c r="GD93" s="1740"/>
      <c r="GE93" s="1740"/>
      <c r="GF93" s="1740"/>
    </row>
    <row r="94" spans="1:188" s="20" customFormat="1">
      <c r="A94" s="333">
        <f t="shared" si="2"/>
        <v>1978</v>
      </c>
      <c r="B94" s="333">
        <f t="shared" si="3"/>
        <v>1</v>
      </c>
      <c r="C94" s="1174">
        <v>28522</v>
      </c>
      <c r="D94" s="1167"/>
      <c r="E94" s="1168">
        <v>178.3075</v>
      </c>
      <c r="F94" s="1168">
        <v>156.891699405</v>
      </c>
      <c r="G94" s="1168"/>
      <c r="H94" s="1167"/>
      <c r="I94" s="1168"/>
      <c r="J94" s="1168"/>
      <c r="K94" s="1678"/>
      <c r="L94" s="1678"/>
      <c r="M94" s="1682"/>
      <c r="N94" s="1169"/>
      <c r="O94" s="1169"/>
      <c r="P94" s="1169"/>
      <c r="Q94" s="1167"/>
      <c r="R94" s="1167"/>
      <c r="S94" s="1167"/>
      <c r="T94" s="1167"/>
      <c r="U94" s="1167"/>
      <c r="V94" s="1167"/>
      <c r="W94" s="1167"/>
      <c r="X94" s="630"/>
      <c r="AA94" s="1915"/>
      <c r="AB94" s="1915"/>
      <c r="AC94" s="1804"/>
      <c r="AD94" s="1804"/>
      <c r="AE94" s="1804"/>
      <c r="AF94" s="1804"/>
      <c r="AG94" s="1804"/>
      <c r="AH94" s="1804"/>
      <c r="AI94" s="1781" t="s">
        <v>0</v>
      </c>
      <c r="AJ94" s="1827">
        <v>2008</v>
      </c>
      <c r="AK94" s="1822" t="s">
        <v>34</v>
      </c>
      <c r="AL94" s="1822">
        <v>2</v>
      </c>
      <c r="AM94" s="1823">
        <v>672143508.62</v>
      </c>
      <c r="AN94" s="1824">
        <v>0.15478472897296869</v>
      </c>
      <c r="AO94" s="1781"/>
      <c r="AP94" s="1781" t="s">
        <v>0</v>
      </c>
      <c r="AQ94" s="1781" t="s">
        <v>499</v>
      </c>
      <c r="AR94" s="1822" t="s">
        <v>386</v>
      </c>
      <c r="AS94" s="1822"/>
      <c r="AT94" s="1823">
        <v>3661122067</v>
      </c>
      <c r="AU94" s="1825"/>
      <c r="AV94" s="1781">
        <v>2009</v>
      </c>
      <c r="AW94" s="1671"/>
      <c r="AX94" s="1671"/>
      <c r="AY94" s="1804"/>
      <c r="AZ94" s="1804"/>
      <c r="BA94" s="1804"/>
      <c r="BB94" s="1804"/>
      <c r="BC94" s="1804"/>
      <c r="BD94" s="1804"/>
      <c r="BE94" s="1804"/>
      <c r="BF94" s="1804"/>
      <c r="BG94" s="1804"/>
      <c r="BH94" s="1804"/>
      <c r="BI94" s="1804"/>
      <c r="BJ94" s="1804"/>
      <c r="BK94" s="1804"/>
      <c r="BL94" s="1804"/>
      <c r="BM94" s="1804"/>
      <c r="BN94" s="1804"/>
      <c r="BO94" s="1804"/>
      <c r="BP94" s="1804"/>
      <c r="BQ94" s="1804"/>
      <c r="BR94" s="1804"/>
      <c r="BS94" s="1804"/>
      <c r="BT94" s="1804"/>
      <c r="BU94" s="1804"/>
      <c r="BV94" s="1804"/>
      <c r="BW94" s="1804"/>
      <c r="BX94" s="1804"/>
      <c r="BY94" s="1804"/>
      <c r="BZ94" s="1804"/>
      <c r="CA94" s="1804"/>
      <c r="CB94" s="1804"/>
      <c r="CC94" s="1804"/>
      <c r="CD94" s="1804"/>
      <c r="CE94" s="1804"/>
      <c r="CF94" s="1804"/>
      <c r="CG94" s="1804"/>
      <c r="CH94" s="1804"/>
      <c r="CI94" s="1804"/>
      <c r="CJ94" s="1804"/>
      <c r="CK94" s="1804"/>
      <c r="CL94" s="1804"/>
      <c r="CM94" s="1804"/>
      <c r="CN94" s="1804"/>
      <c r="CO94" s="1804"/>
      <c r="CP94" s="1804"/>
      <c r="CQ94" s="1804"/>
      <c r="CR94" s="1804"/>
      <c r="CS94" s="1804"/>
      <c r="CT94" s="1804"/>
      <c r="CU94" s="1804"/>
      <c r="CV94" s="1804"/>
      <c r="CW94" s="1804"/>
      <c r="CX94" s="1804"/>
      <c r="CY94" s="1804"/>
      <c r="CZ94" s="1804"/>
      <c r="DA94" s="1804"/>
      <c r="DB94" s="1804"/>
      <c r="DC94" s="1804"/>
      <c r="DD94" s="1804"/>
      <c r="DE94" s="1804"/>
      <c r="DF94" s="1804"/>
      <c r="DG94" s="1804"/>
      <c r="DH94" s="1804"/>
      <c r="DI94" s="1804"/>
      <c r="DJ94" s="1804"/>
      <c r="DK94" s="1804"/>
      <c r="DL94" s="1804"/>
      <c r="DM94" s="1804"/>
      <c r="DN94" s="1804"/>
      <c r="DO94" s="1804"/>
      <c r="DP94" s="1804"/>
      <c r="DQ94" s="1671"/>
      <c r="DR94" s="1671"/>
      <c r="DS94" s="1671"/>
      <c r="DT94" s="1671"/>
      <c r="DU94" s="1671"/>
      <c r="DV94" s="1671"/>
      <c r="DW94" s="1671"/>
      <c r="DX94" s="1671"/>
      <c r="DY94" s="1671"/>
      <c r="DZ94" s="1671"/>
      <c r="EA94" s="1740"/>
      <c r="EB94" s="1740"/>
      <c r="EC94" s="1740"/>
      <c r="ED94" s="1740"/>
      <c r="EE94" s="1740"/>
      <c r="EF94" s="1740"/>
      <c r="EG94" s="1740"/>
      <c r="EH94" s="1740"/>
      <c r="EI94" s="1740"/>
      <c r="EJ94" s="1740"/>
      <c r="EK94" s="1740"/>
      <c r="EL94" s="1740"/>
      <c r="EM94" s="1740"/>
      <c r="EN94" s="1740"/>
      <c r="EO94" s="1740"/>
      <c r="EP94" s="1740"/>
      <c r="EQ94" s="1740"/>
      <c r="ER94" s="1740"/>
      <c r="ES94" s="1740"/>
      <c r="ET94" s="1740"/>
      <c r="EU94" s="1740"/>
      <c r="EV94" s="1740"/>
      <c r="EW94" s="1740"/>
      <c r="EX94" s="1740"/>
      <c r="EY94" s="1740"/>
      <c r="EZ94" s="1740"/>
      <c r="FA94" s="1740"/>
      <c r="FB94" s="1740"/>
      <c r="FC94" s="1740"/>
      <c r="FD94" s="1740"/>
      <c r="FE94" s="1740"/>
      <c r="FF94" s="1740"/>
      <c r="FG94" s="1740"/>
      <c r="FH94" s="1740"/>
      <c r="FI94" s="1740"/>
      <c r="FJ94" s="1740"/>
      <c r="FK94" s="1740"/>
      <c r="FL94" s="1740"/>
      <c r="FM94" s="1740"/>
      <c r="FN94" s="1740"/>
      <c r="FO94" s="1740"/>
      <c r="FP94" s="1740"/>
      <c r="FQ94" s="1740"/>
      <c r="FR94" s="1740"/>
      <c r="FS94" s="1740"/>
      <c r="FT94" s="1740"/>
      <c r="FU94" s="1740"/>
      <c r="FV94" s="1740"/>
      <c r="FW94" s="1740"/>
      <c r="FX94" s="1740"/>
      <c r="FY94" s="1740"/>
      <c r="FZ94" s="1740"/>
      <c r="GA94" s="1740"/>
      <c r="GB94" s="1740"/>
      <c r="GC94" s="1740"/>
      <c r="GD94" s="1740"/>
      <c r="GE94" s="1740"/>
      <c r="GF94" s="1740"/>
    </row>
    <row r="95" spans="1:188" s="20" customFormat="1">
      <c r="A95" s="333">
        <f t="shared" si="2"/>
        <v>1978</v>
      </c>
      <c r="B95" s="333">
        <f t="shared" si="3"/>
        <v>1</v>
      </c>
      <c r="C95" s="1174">
        <v>28550</v>
      </c>
      <c r="D95" s="1158"/>
      <c r="E95" s="1159">
        <v>183.6833333333</v>
      </c>
      <c r="F95" s="1159">
        <v>160.68875156663751</v>
      </c>
      <c r="G95" s="1160"/>
      <c r="H95" s="1161"/>
      <c r="I95" s="1160"/>
      <c r="J95" s="1160"/>
      <c r="K95" s="1677"/>
      <c r="L95" s="1677"/>
      <c r="M95" s="1681"/>
      <c r="N95" s="1162"/>
      <c r="O95" s="1162"/>
      <c r="P95" s="1162"/>
      <c r="Q95" s="1163"/>
      <c r="R95" s="1164"/>
      <c r="S95" s="1164"/>
      <c r="T95" s="1164"/>
      <c r="U95" s="1165"/>
      <c r="V95" s="1166"/>
      <c r="W95" s="1166"/>
      <c r="X95" s="630"/>
      <c r="AA95" s="1915"/>
      <c r="AB95" s="1915"/>
      <c r="AC95" s="1804"/>
      <c r="AD95" s="1804"/>
      <c r="AE95" s="1804"/>
      <c r="AF95" s="1804"/>
      <c r="AG95" s="1804"/>
      <c r="AH95" s="1804"/>
      <c r="AI95" s="1781" t="s">
        <v>0</v>
      </c>
      <c r="AJ95" s="1827">
        <v>2008</v>
      </c>
      <c r="AK95" s="1822" t="s">
        <v>18</v>
      </c>
      <c r="AL95" s="1822">
        <v>3</v>
      </c>
      <c r="AM95" s="1823">
        <v>660985564.25000024</v>
      </c>
      <c r="AN95" s="1824">
        <v>0.15221521907953567</v>
      </c>
      <c r="AO95" s="1781"/>
      <c r="AP95" s="1781" t="s">
        <v>0</v>
      </c>
      <c r="AQ95" s="1781" t="s">
        <v>498</v>
      </c>
      <c r="AR95" s="1822" t="s">
        <v>18</v>
      </c>
      <c r="AS95" s="1822">
        <v>1</v>
      </c>
      <c r="AT95" s="1823">
        <v>833260879.08000016</v>
      </c>
      <c r="AU95" s="1825">
        <v>0.20322622756671099</v>
      </c>
      <c r="AV95" s="1781">
        <v>2008</v>
      </c>
      <c r="AW95" s="1671"/>
      <c r="AX95" s="1925"/>
      <c r="AY95" s="1804"/>
      <c r="AZ95" s="1804"/>
      <c r="BA95" s="1804"/>
      <c r="BB95" s="1804"/>
      <c r="BC95" s="1804"/>
      <c r="BD95" s="1804"/>
      <c r="BE95" s="1804"/>
      <c r="BF95" s="1804"/>
      <c r="BG95" s="1804"/>
      <c r="BH95" s="1804"/>
      <c r="BI95" s="1804"/>
      <c r="BJ95" s="1804"/>
      <c r="BK95" s="1804"/>
      <c r="BL95" s="1804"/>
      <c r="BM95" s="1804"/>
      <c r="BN95" s="1804"/>
      <c r="BO95" s="1804"/>
      <c r="BP95" s="1804"/>
      <c r="BQ95" s="1804"/>
      <c r="BR95" s="1804"/>
      <c r="BS95" s="1804"/>
      <c r="BT95" s="1804"/>
      <c r="BU95" s="1804"/>
      <c r="BV95" s="1804"/>
      <c r="BW95" s="1804"/>
      <c r="BX95" s="1804"/>
      <c r="BY95" s="1804"/>
      <c r="BZ95" s="1804"/>
      <c r="CA95" s="1804"/>
      <c r="CB95" s="1804"/>
      <c r="CC95" s="1804"/>
      <c r="CD95" s="1804"/>
      <c r="CE95" s="1804"/>
      <c r="CF95" s="1804"/>
      <c r="CG95" s="1804"/>
      <c r="CH95" s="1804"/>
      <c r="CI95" s="1804"/>
      <c r="CJ95" s="1804"/>
      <c r="CK95" s="1804"/>
      <c r="CL95" s="1804"/>
      <c r="CM95" s="1804"/>
      <c r="CN95" s="1804"/>
      <c r="CO95" s="1804"/>
      <c r="CP95" s="1804"/>
      <c r="CQ95" s="1804"/>
      <c r="CR95" s="1804"/>
      <c r="CS95" s="1804"/>
      <c r="CT95" s="1804"/>
      <c r="CU95" s="1804"/>
      <c r="CV95" s="1804"/>
      <c r="CW95" s="1804"/>
      <c r="CX95" s="1804"/>
      <c r="CY95" s="1804"/>
      <c r="CZ95" s="1804"/>
      <c r="DA95" s="1804"/>
      <c r="DB95" s="1804"/>
      <c r="DC95" s="1804"/>
      <c r="DD95" s="1804"/>
      <c r="DE95" s="1804"/>
      <c r="DF95" s="1804"/>
      <c r="DG95" s="1804"/>
      <c r="DH95" s="1804"/>
      <c r="DI95" s="1804"/>
      <c r="DJ95" s="1804"/>
      <c r="DK95" s="1804"/>
      <c r="DL95" s="1804"/>
      <c r="DM95" s="1804"/>
      <c r="DN95" s="1804"/>
      <c r="DO95" s="1804"/>
      <c r="DP95" s="1804"/>
      <c r="DQ95" s="1671"/>
      <c r="DR95" s="1671"/>
      <c r="DS95" s="1671"/>
      <c r="DT95" s="1671"/>
      <c r="DU95" s="1671"/>
      <c r="DV95" s="1671"/>
      <c r="DW95" s="1671"/>
      <c r="DX95" s="1671"/>
      <c r="DY95" s="1671"/>
      <c r="DZ95" s="1671"/>
      <c r="EA95" s="1740"/>
      <c r="EB95" s="1740"/>
      <c r="EC95" s="1740"/>
      <c r="ED95" s="1740"/>
      <c r="EE95" s="1740"/>
      <c r="EF95" s="1740"/>
      <c r="EG95" s="1740"/>
      <c r="EH95" s="1740"/>
      <c r="EI95" s="1740"/>
      <c r="EJ95" s="1740"/>
      <c r="EK95" s="1740"/>
      <c r="EL95" s="1740"/>
      <c r="EM95" s="1740"/>
      <c r="EN95" s="1740"/>
      <c r="EO95" s="1740"/>
      <c r="EP95" s="1740"/>
      <c r="EQ95" s="1740"/>
      <c r="ER95" s="1740"/>
      <c r="ES95" s="1740"/>
      <c r="ET95" s="1740"/>
      <c r="EU95" s="1740"/>
      <c r="EV95" s="1740"/>
      <c r="EW95" s="1740"/>
      <c r="EX95" s="1740"/>
      <c r="EY95" s="1740"/>
      <c r="EZ95" s="1740"/>
      <c r="FA95" s="1740"/>
      <c r="FB95" s="1740"/>
      <c r="FC95" s="1740"/>
      <c r="FD95" s="1740"/>
      <c r="FE95" s="1740"/>
      <c r="FF95" s="1740"/>
      <c r="FG95" s="1740"/>
      <c r="FH95" s="1740"/>
      <c r="FI95" s="1740"/>
      <c r="FJ95" s="1740"/>
      <c r="FK95" s="1740"/>
      <c r="FL95" s="1740"/>
      <c r="FM95" s="1740"/>
      <c r="FN95" s="1740"/>
      <c r="FO95" s="1740"/>
      <c r="FP95" s="1740"/>
      <c r="FQ95" s="1740"/>
      <c r="FR95" s="1740"/>
      <c r="FS95" s="1740"/>
      <c r="FT95" s="1740"/>
      <c r="FU95" s="1740"/>
      <c r="FV95" s="1740"/>
      <c r="FW95" s="1740"/>
      <c r="FX95" s="1740"/>
      <c r="FY95" s="1740"/>
      <c r="FZ95" s="1740"/>
      <c r="GA95" s="1740"/>
      <c r="GB95" s="1740"/>
      <c r="GC95" s="1740"/>
      <c r="GD95" s="1740"/>
      <c r="GE95" s="1740"/>
      <c r="GF95" s="1740"/>
    </row>
    <row r="96" spans="1:188" s="20" customFormat="1">
      <c r="A96" s="333">
        <f t="shared" si="2"/>
        <v>1978</v>
      </c>
      <c r="B96" s="333">
        <f t="shared" si="3"/>
        <v>2</v>
      </c>
      <c r="C96" s="1174">
        <v>28583</v>
      </c>
      <c r="D96" s="1167"/>
      <c r="E96" s="1168">
        <v>174.70394736840001</v>
      </c>
      <c r="F96" s="1168">
        <v>153.7616610855078</v>
      </c>
      <c r="G96" s="1168"/>
      <c r="H96" s="1167"/>
      <c r="I96" s="1168"/>
      <c r="J96" s="1168"/>
      <c r="K96" s="1678"/>
      <c r="L96" s="1678"/>
      <c r="M96" s="1682"/>
      <c r="N96" s="1169"/>
      <c r="O96" s="1169"/>
      <c r="P96" s="1169"/>
      <c r="Q96" s="1167"/>
      <c r="R96" s="1167"/>
      <c r="S96" s="1167"/>
      <c r="T96" s="1167"/>
      <c r="U96" s="1167"/>
      <c r="V96" s="1167"/>
      <c r="W96" s="1167"/>
      <c r="X96" s="630"/>
      <c r="AA96" s="1915"/>
      <c r="AB96" s="1915"/>
      <c r="AC96" s="1804"/>
      <c r="AD96" s="1804"/>
      <c r="AE96" s="1804"/>
      <c r="AF96" s="1804"/>
      <c r="AG96" s="1804"/>
      <c r="AH96" s="1804"/>
      <c r="AI96" s="1781" t="s">
        <v>0</v>
      </c>
      <c r="AJ96" s="1827">
        <v>2008</v>
      </c>
      <c r="AK96" s="1822" t="s">
        <v>32</v>
      </c>
      <c r="AL96" s="1822">
        <v>4</v>
      </c>
      <c r="AM96" s="1823">
        <v>568341943.97000003</v>
      </c>
      <c r="AN96" s="1824">
        <v>0.13088076077976571</v>
      </c>
      <c r="AO96" s="1781"/>
      <c r="AP96" s="1781" t="s">
        <v>0</v>
      </c>
      <c r="AQ96" s="1781" t="s">
        <v>498</v>
      </c>
      <c r="AR96" s="1822" t="s">
        <v>17</v>
      </c>
      <c r="AS96" s="1822">
        <v>2</v>
      </c>
      <c r="AT96" s="1823">
        <v>594276406.40999997</v>
      </c>
      <c r="AU96" s="1825">
        <v>0.14493966444212567</v>
      </c>
      <c r="AV96" s="1781">
        <v>2008</v>
      </c>
      <c r="AW96" s="1671"/>
      <c r="AX96" s="1671"/>
      <c r="AY96" s="1804"/>
      <c r="AZ96" s="1804"/>
      <c r="BA96" s="1804"/>
      <c r="BB96" s="1804"/>
      <c r="BC96" s="1804"/>
      <c r="BD96" s="1804"/>
      <c r="BE96" s="1804"/>
      <c r="BF96" s="1804"/>
      <c r="BG96" s="1804"/>
      <c r="BH96" s="1804"/>
      <c r="BI96" s="1804"/>
      <c r="BJ96" s="1804"/>
      <c r="BK96" s="1804"/>
      <c r="BL96" s="1804"/>
      <c r="BM96" s="1804"/>
      <c r="BN96" s="1804"/>
      <c r="BO96" s="1804"/>
      <c r="BP96" s="1804"/>
      <c r="BQ96" s="1804"/>
      <c r="BR96" s="1804"/>
      <c r="BS96" s="1804"/>
      <c r="BT96" s="1804"/>
      <c r="BU96" s="1804"/>
      <c r="BV96" s="1804"/>
      <c r="BW96" s="1804"/>
      <c r="BX96" s="1804"/>
      <c r="BY96" s="1804"/>
      <c r="BZ96" s="1804"/>
      <c r="CA96" s="1804"/>
      <c r="CB96" s="1804"/>
      <c r="CC96" s="1804"/>
      <c r="CD96" s="1804"/>
      <c r="CE96" s="1804"/>
      <c r="CF96" s="1804"/>
      <c r="CG96" s="1804"/>
      <c r="CH96" s="1804"/>
      <c r="CI96" s="1804"/>
      <c r="CJ96" s="1804"/>
      <c r="CK96" s="1804"/>
      <c r="CL96" s="1804"/>
      <c r="CM96" s="1804"/>
      <c r="CN96" s="1804"/>
      <c r="CO96" s="1804"/>
      <c r="CP96" s="1804"/>
      <c r="CQ96" s="1804"/>
      <c r="CR96" s="1804"/>
      <c r="CS96" s="1804"/>
      <c r="CT96" s="1804"/>
      <c r="CU96" s="1804"/>
      <c r="CV96" s="1804"/>
      <c r="CW96" s="1804"/>
      <c r="CX96" s="1804"/>
      <c r="CY96" s="1804"/>
      <c r="CZ96" s="1804"/>
      <c r="DA96" s="1804"/>
      <c r="DB96" s="1804"/>
      <c r="DC96" s="1804"/>
      <c r="DD96" s="1804"/>
      <c r="DE96" s="1804"/>
      <c r="DF96" s="1804"/>
      <c r="DG96" s="1804"/>
      <c r="DH96" s="1804"/>
      <c r="DI96" s="1804"/>
      <c r="DJ96" s="1804"/>
      <c r="DK96" s="1804"/>
      <c r="DL96" s="1804"/>
      <c r="DM96" s="1804"/>
      <c r="DN96" s="1804"/>
      <c r="DO96" s="1804"/>
      <c r="DP96" s="1804"/>
      <c r="DQ96" s="1671"/>
      <c r="DR96" s="1671"/>
      <c r="DS96" s="1671"/>
      <c r="DT96" s="1671"/>
      <c r="DU96" s="1671"/>
      <c r="DV96" s="1671"/>
      <c r="DW96" s="1671"/>
      <c r="DX96" s="1671"/>
      <c r="DY96" s="1671"/>
      <c r="DZ96" s="1671"/>
      <c r="EA96" s="1740"/>
      <c r="EB96" s="1740"/>
      <c r="EC96" s="1740"/>
      <c r="ED96" s="1740"/>
      <c r="EE96" s="1740"/>
      <c r="EF96" s="1740"/>
      <c r="EG96" s="1740"/>
      <c r="EH96" s="1740"/>
      <c r="EI96" s="1740"/>
      <c r="EJ96" s="1740"/>
      <c r="EK96" s="1740"/>
      <c r="EL96" s="1740"/>
      <c r="EM96" s="1740"/>
      <c r="EN96" s="1740"/>
      <c r="EO96" s="1740"/>
      <c r="EP96" s="1740"/>
      <c r="EQ96" s="1740"/>
      <c r="ER96" s="1740"/>
      <c r="ES96" s="1740"/>
      <c r="ET96" s="1740"/>
      <c r="EU96" s="1740"/>
      <c r="EV96" s="1740"/>
      <c r="EW96" s="1740"/>
      <c r="EX96" s="1740"/>
      <c r="EY96" s="1740"/>
      <c r="EZ96" s="1740"/>
      <c r="FA96" s="1740"/>
      <c r="FB96" s="1740"/>
      <c r="FC96" s="1740"/>
      <c r="FD96" s="1740"/>
      <c r="FE96" s="1740"/>
      <c r="FF96" s="1740"/>
      <c r="FG96" s="1740"/>
      <c r="FH96" s="1740"/>
      <c r="FI96" s="1740"/>
      <c r="FJ96" s="1740"/>
      <c r="FK96" s="1740"/>
      <c r="FL96" s="1740"/>
      <c r="FM96" s="1740"/>
      <c r="FN96" s="1740"/>
      <c r="FO96" s="1740"/>
      <c r="FP96" s="1740"/>
      <c r="FQ96" s="1740"/>
      <c r="FR96" s="1740"/>
      <c r="FS96" s="1740"/>
      <c r="FT96" s="1740"/>
      <c r="FU96" s="1740"/>
      <c r="FV96" s="1740"/>
      <c r="FW96" s="1740"/>
      <c r="FX96" s="1740"/>
      <c r="FY96" s="1740"/>
      <c r="FZ96" s="1740"/>
      <c r="GA96" s="1740"/>
      <c r="GB96" s="1740"/>
      <c r="GC96" s="1740"/>
      <c r="GD96" s="1740"/>
      <c r="GE96" s="1740"/>
      <c r="GF96" s="1740"/>
    </row>
    <row r="97" spans="1:188" s="20" customFormat="1">
      <c r="A97" s="333">
        <f t="shared" si="2"/>
        <v>1978</v>
      </c>
      <c r="B97" s="333">
        <f t="shared" si="3"/>
        <v>2</v>
      </c>
      <c r="C97" s="1174">
        <v>28611</v>
      </c>
      <c r="D97" s="1158"/>
      <c r="E97" s="1159">
        <v>176.6428571429</v>
      </c>
      <c r="F97" s="1159">
        <v>156.29342335718079</v>
      </c>
      <c r="G97" s="1160"/>
      <c r="H97" s="1161"/>
      <c r="I97" s="1160"/>
      <c r="J97" s="1160"/>
      <c r="K97" s="1677"/>
      <c r="L97" s="1677"/>
      <c r="M97" s="1681"/>
      <c r="N97" s="1162"/>
      <c r="O97" s="1162"/>
      <c r="P97" s="1162"/>
      <c r="Q97" s="1163"/>
      <c r="R97" s="1164"/>
      <c r="S97" s="1164"/>
      <c r="T97" s="1164"/>
      <c r="U97" s="1165"/>
      <c r="V97" s="1166"/>
      <c r="W97" s="1166"/>
      <c r="X97" s="630"/>
      <c r="AA97" s="1915"/>
      <c r="AB97" s="1915"/>
      <c r="AC97" s="1804"/>
      <c r="AD97" s="1804"/>
      <c r="AE97" s="1804"/>
      <c r="AF97" s="1804"/>
      <c r="AG97" s="1804"/>
      <c r="AH97" s="1804"/>
      <c r="AI97" s="1781" t="s">
        <v>0</v>
      </c>
      <c r="AJ97" s="1827">
        <v>2008</v>
      </c>
      <c r="AK97" s="1822" t="s">
        <v>26</v>
      </c>
      <c r="AL97" s="1822">
        <v>5</v>
      </c>
      <c r="AM97" s="1823">
        <v>420151567.44999993</v>
      </c>
      <c r="AN97" s="1824">
        <v>9.6754704406560005E-2</v>
      </c>
      <c r="AO97" s="1781"/>
      <c r="AP97" s="1781" t="s">
        <v>0</v>
      </c>
      <c r="AQ97" s="1781" t="s">
        <v>498</v>
      </c>
      <c r="AR97" s="1822" t="s">
        <v>135</v>
      </c>
      <c r="AS97" s="1822">
        <v>3</v>
      </c>
      <c r="AT97" s="1823">
        <v>575396501.14999998</v>
      </c>
      <c r="AU97" s="1825">
        <v>0.14033499378118813</v>
      </c>
      <c r="AV97" s="1781">
        <v>2008</v>
      </c>
      <c r="AW97" s="1671"/>
      <c r="AX97" s="1671"/>
      <c r="AY97" s="1804"/>
      <c r="AZ97" s="1804"/>
      <c r="BA97" s="1804"/>
      <c r="BB97" s="1804"/>
      <c r="BC97" s="1804"/>
      <c r="BD97" s="1804"/>
      <c r="BE97" s="1804"/>
      <c r="BF97" s="1804"/>
      <c r="BG97" s="1804"/>
      <c r="BH97" s="1804"/>
      <c r="BI97" s="1804"/>
      <c r="BJ97" s="1804"/>
      <c r="BK97" s="1804"/>
      <c r="BL97" s="1804"/>
      <c r="BM97" s="1804"/>
      <c r="BN97" s="1804"/>
      <c r="BO97" s="1804"/>
      <c r="BP97" s="1804"/>
      <c r="BQ97" s="1804"/>
      <c r="BR97" s="1804"/>
      <c r="BS97" s="1804"/>
      <c r="BT97" s="1804"/>
      <c r="BU97" s="1804"/>
      <c r="BV97" s="1804"/>
      <c r="BW97" s="1804"/>
      <c r="BX97" s="1804"/>
      <c r="BY97" s="1804"/>
      <c r="BZ97" s="1804"/>
      <c r="CA97" s="1804"/>
      <c r="CB97" s="1804"/>
      <c r="CC97" s="1804"/>
      <c r="CD97" s="1804"/>
      <c r="CE97" s="1804"/>
      <c r="CF97" s="1804"/>
      <c r="CG97" s="1804"/>
      <c r="CH97" s="1804"/>
      <c r="CI97" s="1804"/>
      <c r="CJ97" s="1804"/>
      <c r="CK97" s="1804"/>
      <c r="CL97" s="1804"/>
      <c r="CM97" s="1804"/>
      <c r="CN97" s="1804"/>
      <c r="CO97" s="1804"/>
      <c r="CP97" s="1804"/>
      <c r="CQ97" s="1804"/>
      <c r="CR97" s="1804"/>
      <c r="CS97" s="1804"/>
      <c r="CT97" s="1804"/>
      <c r="CU97" s="1804"/>
      <c r="CV97" s="1804"/>
      <c r="CW97" s="1804"/>
      <c r="CX97" s="1804"/>
      <c r="CY97" s="1804"/>
      <c r="CZ97" s="1804"/>
      <c r="DA97" s="1804"/>
      <c r="DB97" s="1804"/>
      <c r="DC97" s="1804"/>
      <c r="DD97" s="1804"/>
      <c r="DE97" s="1804"/>
      <c r="DF97" s="1804"/>
      <c r="DG97" s="1804"/>
      <c r="DH97" s="1804"/>
      <c r="DI97" s="1804"/>
      <c r="DJ97" s="1804"/>
      <c r="DK97" s="1804"/>
      <c r="DL97" s="1804"/>
      <c r="DM97" s="1804"/>
      <c r="DN97" s="1804"/>
      <c r="DO97" s="1804"/>
      <c r="DP97" s="1804"/>
      <c r="DQ97" s="1671"/>
      <c r="DR97" s="1671"/>
      <c r="DS97" s="1671"/>
      <c r="DT97" s="1671"/>
      <c r="DU97" s="1671"/>
      <c r="DV97" s="1671"/>
      <c r="DW97" s="1671"/>
      <c r="DX97" s="1671"/>
      <c r="DY97" s="1671"/>
      <c r="DZ97" s="1671"/>
      <c r="EA97" s="1740"/>
      <c r="EB97" s="1740"/>
      <c r="EC97" s="1740"/>
      <c r="ED97" s="1740"/>
      <c r="EE97" s="1740"/>
      <c r="EF97" s="1740"/>
      <c r="EG97" s="1740"/>
      <c r="EH97" s="1740"/>
      <c r="EI97" s="1740"/>
      <c r="EJ97" s="1740"/>
      <c r="EK97" s="1740"/>
      <c r="EL97" s="1740"/>
      <c r="EM97" s="1740"/>
      <c r="EN97" s="1740"/>
      <c r="EO97" s="1740"/>
      <c r="EP97" s="1740"/>
      <c r="EQ97" s="1740"/>
      <c r="ER97" s="1740"/>
      <c r="ES97" s="1740"/>
      <c r="ET97" s="1740"/>
      <c r="EU97" s="1740"/>
      <c r="EV97" s="1740"/>
      <c r="EW97" s="1740"/>
      <c r="EX97" s="1740"/>
      <c r="EY97" s="1740"/>
      <c r="EZ97" s="1740"/>
      <c r="FA97" s="1740"/>
      <c r="FB97" s="1740"/>
      <c r="FC97" s="1740"/>
      <c r="FD97" s="1740"/>
      <c r="FE97" s="1740"/>
      <c r="FF97" s="1740"/>
      <c r="FG97" s="1740"/>
      <c r="FH97" s="1740"/>
      <c r="FI97" s="1740"/>
      <c r="FJ97" s="1740"/>
      <c r="FK97" s="1740"/>
      <c r="FL97" s="1740"/>
      <c r="FM97" s="1740"/>
      <c r="FN97" s="1740"/>
      <c r="FO97" s="1740"/>
      <c r="FP97" s="1740"/>
      <c r="FQ97" s="1740"/>
      <c r="FR97" s="1740"/>
      <c r="FS97" s="1740"/>
      <c r="FT97" s="1740"/>
      <c r="FU97" s="1740"/>
      <c r="FV97" s="1740"/>
      <c r="FW97" s="1740"/>
      <c r="FX97" s="1740"/>
      <c r="FY97" s="1740"/>
      <c r="FZ97" s="1740"/>
      <c r="GA97" s="1740"/>
      <c r="GB97" s="1740"/>
      <c r="GC97" s="1740"/>
      <c r="GD97" s="1740"/>
      <c r="GE97" s="1740"/>
      <c r="GF97" s="1740"/>
    </row>
    <row r="98" spans="1:188" s="20" customFormat="1">
      <c r="A98" s="333">
        <f t="shared" si="2"/>
        <v>1978</v>
      </c>
      <c r="B98" s="333">
        <f t="shared" si="3"/>
        <v>2</v>
      </c>
      <c r="C98" s="1174">
        <v>28642</v>
      </c>
      <c r="D98" s="1167"/>
      <c r="E98" s="1168">
        <v>183.7556818182</v>
      </c>
      <c r="F98" s="1168">
        <v>160.13572647728859</v>
      </c>
      <c r="G98" s="1168"/>
      <c r="H98" s="1167"/>
      <c r="I98" s="1168"/>
      <c r="J98" s="1168"/>
      <c r="K98" s="1678"/>
      <c r="L98" s="1678"/>
      <c r="M98" s="1682"/>
      <c r="N98" s="1169"/>
      <c r="O98" s="1169"/>
      <c r="P98" s="1169"/>
      <c r="Q98" s="1167"/>
      <c r="R98" s="1167"/>
      <c r="S98" s="1167"/>
      <c r="T98" s="1167"/>
      <c r="U98" s="1167"/>
      <c r="V98" s="1167"/>
      <c r="W98" s="1167"/>
      <c r="X98" s="630"/>
      <c r="AA98" s="1915"/>
      <c r="AB98" s="1915"/>
      <c r="AC98" s="1804"/>
      <c r="AD98" s="1804"/>
      <c r="AE98" s="1804"/>
      <c r="AF98" s="1804"/>
      <c r="AG98" s="1804"/>
      <c r="AH98" s="1804"/>
      <c r="AI98" s="1781" t="s">
        <v>0</v>
      </c>
      <c r="AJ98" s="1827">
        <v>2008</v>
      </c>
      <c r="AK98" s="1822" t="s">
        <v>387</v>
      </c>
      <c r="AL98" s="1822">
        <v>6</v>
      </c>
      <c r="AM98" s="1823">
        <v>263355594.13</v>
      </c>
      <c r="AN98" s="1824">
        <v>6.0646906111791403E-2</v>
      </c>
      <c r="AO98" s="1781"/>
      <c r="AP98" s="1781" t="s">
        <v>0</v>
      </c>
      <c r="AQ98" s="1781" t="s">
        <v>498</v>
      </c>
      <c r="AR98" s="1822" t="s">
        <v>32</v>
      </c>
      <c r="AS98" s="1822">
        <v>4</v>
      </c>
      <c r="AT98" s="1823">
        <v>556446679.08000004</v>
      </c>
      <c r="AU98" s="1825">
        <v>0.1357132709221977</v>
      </c>
      <c r="AV98" s="1781">
        <v>2008</v>
      </c>
      <c r="AW98" s="1671"/>
      <c r="AX98" s="1925"/>
      <c r="AY98" s="1804"/>
      <c r="AZ98" s="1804"/>
      <c r="BA98" s="1804"/>
      <c r="BB98" s="1804"/>
      <c r="BC98" s="1804"/>
      <c r="BD98" s="1804"/>
      <c r="BE98" s="1804"/>
      <c r="BF98" s="1804"/>
      <c r="BG98" s="1804"/>
      <c r="BH98" s="1804"/>
      <c r="BI98" s="1804"/>
      <c r="BJ98" s="1804"/>
      <c r="BK98" s="1804"/>
      <c r="BL98" s="1804"/>
      <c r="BM98" s="1804"/>
      <c r="BN98" s="1804"/>
      <c r="BO98" s="1804"/>
      <c r="BP98" s="1804"/>
      <c r="BQ98" s="1804"/>
      <c r="BR98" s="1804"/>
      <c r="BS98" s="1804"/>
      <c r="BT98" s="1804"/>
      <c r="BU98" s="1804"/>
      <c r="BV98" s="1804"/>
      <c r="BW98" s="1804"/>
      <c r="BX98" s="1804"/>
      <c r="BY98" s="1804"/>
      <c r="BZ98" s="1804"/>
      <c r="CA98" s="1804"/>
      <c r="CB98" s="1804"/>
      <c r="CC98" s="1804"/>
      <c r="CD98" s="1804"/>
      <c r="CE98" s="1804"/>
      <c r="CF98" s="1804"/>
      <c r="CG98" s="1804"/>
      <c r="CH98" s="1804"/>
      <c r="CI98" s="1804"/>
      <c r="CJ98" s="1804"/>
      <c r="CK98" s="1804"/>
      <c r="CL98" s="1804"/>
      <c r="CM98" s="1804"/>
      <c r="CN98" s="1804"/>
      <c r="CO98" s="1804"/>
      <c r="CP98" s="1804"/>
      <c r="CQ98" s="1804"/>
      <c r="CR98" s="1804"/>
      <c r="CS98" s="1804"/>
      <c r="CT98" s="1804"/>
      <c r="CU98" s="1804"/>
      <c r="CV98" s="1804"/>
      <c r="CW98" s="1804"/>
      <c r="CX98" s="1804"/>
      <c r="CY98" s="1804"/>
      <c r="CZ98" s="1804"/>
      <c r="DA98" s="1804"/>
      <c r="DB98" s="1804"/>
      <c r="DC98" s="1804"/>
      <c r="DD98" s="1804"/>
      <c r="DE98" s="1804"/>
      <c r="DF98" s="1804"/>
      <c r="DG98" s="1804"/>
      <c r="DH98" s="1804"/>
      <c r="DI98" s="1804"/>
      <c r="DJ98" s="1804"/>
      <c r="DK98" s="1804"/>
      <c r="DL98" s="1804"/>
      <c r="DM98" s="1804"/>
      <c r="DN98" s="1804"/>
      <c r="DO98" s="1804"/>
      <c r="DP98" s="1804"/>
      <c r="DQ98" s="1671"/>
      <c r="DR98" s="1671"/>
      <c r="DS98" s="1671"/>
      <c r="DT98" s="1671"/>
      <c r="DU98" s="1671"/>
      <c r="DV98" s="1671"/>
      <c r="DW98" s="1671"/>
      <c r="DX98" s="1671"/>
      <c r="DY98" s="1671"/>
      <c r="DZ98" s="1671"/>
      <c r="EA98" s="1740"/>
      <c r="EB98" s="1740"/>
      <c r="EC98" s="1740"/>
      <c r="ED98" s="1740"/>
      <c r="EE98" s="1740"/>
      <c r="EF98" s="1740"/>
      <c r="EG98" s="1740"/>
      <c r="EH98" s="1740"/>
      <c r="EI98" s="1740"/>
      <c r="EJ98" s="1740"/>
      <c r="EK98" s="1740"/>
      <c r="EL98" s="1740"/>
      <c r="EM98" s="1740"/>
      <c r="EN98" s="1740"/>
      <c r="EO98" s="1740"/>
      <c r="EP98" s="1740"/>
      <c r="EQ98" s="1740"/>
      <c r="ER98" s="1740"/>
      <c r="ES98" s="1740"/>
      <c r="ET98" s="1740"/>
      <c r="EU98" s="1740"/>
      <c r="EV98" s="1740"/>
      <c r="EW98" s="1740"/>
      <c r="EX98" s="1740"/>
      <c r="EY98" s="1740"/>
      <c r="EZ98" s="1740"/>
      <c r="FA98" s="1740"/>
      <c r="FB98" s="1740"/>
      <c r="FC98" s="1740"/>
      <c r="FD98" s="1740"/>
      <c r="FE98" s="1740"/>
      <c r="FF98" s="1740"/>
      <c r="FG98" s="1740"/>
      <c r="FH98" s="1740"/>
      <c r="FI98" s="1740"/>
      <c r="FJ98" s="1740"/>
      <c r="FK98" s="1740"/>
      <c r="FL98" s="1740"/>
      <c r="FM98" s="1740"/>
      <c r="FN98" s="1740"/>
      <c r="FO98" s="1740"/>
      <c r="FP98" s="1740"/>
      <c r="FQ98" s="1740"/>
      <c r="FR98" s="1740"/>
      <c r="FS98" s="1740"/>
      <c r="FT98" s="1740"/>
      <c r="FU98" s="1740"/>
      <c r="FV98" s="1740"/>
      <c r="FW98" s="1740"/>
      <c r="FX98" s="1740"/>
      <c r="FY98" s="1740"/>
      <c r="FZ98" s="1740"/>
      <c r="GA98" s="1740"/>
      <c r="GB98" s="1740"/>
      <c r="GC98" s="1740"/>
      <c r="GD98" s="1740"/>
      <c r="GE98" s="1740"/>
      <c r="GF98" s="1740"/>
    </row>
    <row r="99" spans="1:188" s="20" customFormat="1">
      <c r="A99" s="333">
        <f t="shared" si="2"/>
        <v>1978</v>
      </c>
      <c r="B99" s="333">
        <f t="shared" si="3"/>
        <v>3</v>
      </c>
      <c r="C99" s="1174">
        <v>28674</v>
      </c>
      <c r="D99" s="1158"/>
      <c r="E99" s="1159">
        <v>189.2464285714</v>
      </c>
      <c r="F99" s="1159">
        <v>163.83555362140385</v>
      </c>
      <c r="G99" s="1160"/>
      <c r="H99" s="1161"/>
      <c r="I99" s="1160"/>
      <c r="J99" s="1160"/>
      <c r="K99" s="1677"/>
      <c r="L99" s="1677"/>
      <c r="M99" s="1681"/>
      <c r="N99" s="1162"/>
      <c r="O99" s="1162"/>
      <c r="P99" s="1162"/>
      <c r="Q99" s="1163"/>
      <c r="R99" s="1164"/>
      <c r="S99" s="1164"/>
      <c r="T99" s="1164"/>
      <c r="U99" s="1165"/>
      <c r="V99" s="1166"/>
      <c r="W99" s="1166"/>
      <c r="X99" s="630"/>
      <c r="AA99" s="1915"/>
      <c r="AB99" s="1915"/>
      <c r="AC99" s="1804"/>
      <c r="AD99" s="1804"/>
      <c r="AE99" s="1804"/>
      <c r="AF99" s="1804"/>
      <c r="AG99" s="1804"/>
      <c r="AH99" s="1804"/>
      <c r="AI99" s="1781" t="s">
        <v>0</v>
      </c>
      <c r="AJ99" s="1827">
        <v>2008</v>
      </c>
      <c r="AK99" s="1822" t="s">
        <v>56</v>
      </c>
      <c r="AL99" s="1822">
        <v>7</v>
      </c>
      <c r="AM99" s="1823">
        <v>242568462.67999998</v>
      </c>
      <c r="AN99" s="1824">
        <v>5.5859936563845095E-2</v>
      </c>
      <c r="AO99" s="1781"/>
      <c r="AP99" s="1781" t="s">
        <v>0</v>
      </c>
      <c r="AQ99" s="1781" t="s">
        <v>498</v>
      </c>
      <c r="AR99" s="1822" t="s">
        <v>26</v>
      </c>
      <c r="AS99" s="1822">
        <v>5</v>
      </c>
      <c r="AT99" s="1823">
        <v>418766474.67999995</v>
      </c>
      <c r="AU99" s="1825">
        <v>0.10213407711470905</v>
      </c>
      <c r="AV99" s="1781">
        <v>2008</v>
      </c>
      <c r="AW99" s="1671"/>
      <c r="AX99" s="1671"/>
      <c r="AY99" s="1804"/>
      <c r="AZ99" s="1804"/>
      <c r="BA99" s="1804"/>
      <c r="BB99" s="1804"/>
      <c r="BC99" s="1804"/>
      <c r="BD99" s="1804"/>
      <c r="BE99" s="1804"/>
      <c r="BF99" s="1804"/>
      <c r="BG99" s="1804"/>
      <c r="BH99" s="1804"/>
      <c r="BI99" s="1804"/>
      <c r="BJ99" s="1804"/>
      <c r="BK99" s="1804"/>
      <c r="BL99" s="1804"/>
      <c r="BM99" s="1804"/>
      <c r="BN99" s="1804"/>
      <c r="BO99" s="1804"/>
      <c r="BP99" s="1804"/>
      <c r="BQ99" s="1804"/>
      <c r="BR99" s="1804"/>
      <c r="BS99" s="1804"/>
      <c r="BT99" s="1804"/>
      <c r="BU99" s="1804"/>
      <c r="BV99" s="1804"/>
      <c r="BW99" s="1804"/>
      <c r="BX99" s="1804"/>
      <c r="BY99" s="1804"/>
      <c r="BZ99" s="1804"/>
      <c r="CA99" s="1804"/>
      <c r="CB99" s="1804"/>
      <c r="CC99" s="1804"/>
      <c r="CD99" s="1804"/>
      <c r="CE99" s="1804"/>
      <c r="CF99" s="1804"/>
      <c r="CG99" s="1804"/>
      <c r="CH99" s="1804"/>
      <c r="CI99" s="1804"/>
      <c r="CJ99" s="1804"/>
      <c r="CK99" s="1804"/>
      <c r="CL99" s="1804"/>
      <c r="CM99" s="1804"/>
      <c r="CN99" s="1804"/>
      <c r="CO99" s="1804"/>
      <c r="CP99" s="1804"/>
      <c r="CQ99" s="1804"/>
      <c r="CR99" s="1804"/>
      <c r="CS99" s="1804"/>
      <c r="CT99" s="1804"/>
      <c r="CU99" s="1804"/>
      <c r="CV99" s="1804"/>
      <c r="CW99" s="1804"/>
      <c r="CX99" s="1804"/>
      <c r="CY99" s="1804"/>
      <c r="CZ99" s="1804"/>
      <c r="DA99" s="1804"/>
      <c r="DB99" s="1804"/>
      <c r="DC99" s="1804"/>
      <c r="DD99" s="1804"/>
      <c r="DE99" s="1804"/>
      <c r="DF99" s="1804"/>
      <c r="DG99" s="1804"/>
      <c r="DH99" s="1804"/>
      <c r="DI99" s="1804"/>
      <c r="DJ99" s="1804"/>
      <c r="DK99" s="1804"/>
      <c r="DL99" s="1804"/>
      <c r="DM99" s="1804"/>
      <c r="DN99" s="1804"/>
      <c r="DO99" s="1804"/>
      <c r="DP99" s="1804"/>
      <c r="DQ99" s="1671"/>
      <c r="DR99" s="1671"/>
      <c r="DS99" s="1671"/>
      <c r="DT99" s="1671"/>
      <c r="DU99" s="1671"/>
      <c r="DV99" s="1671"/>
      <c r="DW99" s="1671"/>
      <c r="DX99" s="1671"/>
      <c r="DY99" s="1671"/>
      <c r="DZ99" s="1671"/>
      <c r="EA99" s="1740"/>
      <c r="EB99" s="1740"/>
      <c r="EC99" s="1740"/>
      <c r="ED99" s="1740"/>
      <c r="EE99" s="1740"/>
      <c r="EF99" s="1740"/>
      <c r="EG99" s="1740"/>
      <c r="EH99" s="1740"/>
      <c r="EI99" s="1740"/>
      <c r="EJ99" s="1740"/>
      <c r="EK99" s="1740"/>
      <c r="EL99" s="1740"/>
      <c r="EM99" s="1740"/>
      <c r="EN99" s="1740"/>
      <c r="EO99" s="1740"/>
      <c r="EP99" s="1740"/>
      <c r="EQ99" s="1740"/>
      <c r="ER99" s="1740"/>
      <c r="ES99" s="1740"/>
      <c r="ET99" s="1740"/>
      <c r="EU99" s="1740"/>
      <c r="EV99" s="1740"/>
      <c r="EW99" s="1740"/>
      <c r="EX99" s="1740"/>
      <c r="EY99" s="1740"/>
      <c r="EZ99" s="1740"/>
      <c r="FA99" s="1740"/>
      <c r="FB99" s="1740"/>
      <c r="FC99" s="1740"/>
      <c r="FD99" s="1740"/>
      <c r="FE99" s="1740"/>
      <c r="FF99" s="1740"/>
      <c r="FG99" s="1740"/>
      <c r="FH99" s="1740"/>
      <c r="FI99" s="1740"/>
      <c r="FJ99" s="1740"/>
      <c r="FK99" s="1740"/>
      <c r="FL99" s="1740"/>
      <c r="FM99" s="1740"/>
      <c r="FN99" s="1740"/>
      <c r="FO99" s="1740"/>
      <c r="FP99" s="1740"/>
      <c r="FQ99" s="1740"/>
      <c r="FR99" s="1740"/>
      <c r="FS99" s="1740"/>
      <c r="FT99" s="1740"/>
      <c r="FU99" s="1740"/>
      <c r="FV99" s="1740"/>
      <c r="FW99" s="1740"/>
      <c r="FX99" s="1740"/>
      <c r="FY99" s="1740"/>
      <c r="FZ99" s="1740"/>
      <c r="GA99" s="1740"/>
      <c r="GB99" s="1740"/>
      <c r="GC99" s="1740"/>
      <c r="GD99" s="1740"/>
      <c r="GE99" s="1740"/>
      <c r="GF99" s="1740"/>
    </row>
    <row r="100" spans="1:188" s="20" customFormat="1">
      <c r="A100" s="333">
        <f t="shared" si="2"/>
        <v>1978</v>
      </c>
      <c r="B100" s="333">
        <f t="shared" si="3"/>
        <v>3</v>
      </c>
      <c r="C100" s="1174">
        <v>28703</v>
      </c>
      <c r="D100" s="1167"/>
      <c r="E100" s="1168">
        <v>206.3659090909</v>
      </c>
      <c r="F100" s="1168">
        <v>179.12148177271939</v>
      </c>
      <c r="G100" s="1168"/>
      <c r="H100" s="1167"/>
      <c r="I100" s="1168"/>
      <c r="J100" s="1168"/>
      <c r="K100" s="1678"/>
      <c r="L100" s="1678"/>
      <c r="M100" s="1682"/>
      <c r="N100" s="1169"/>
      <c r="O100" s="1169"/>
      <c r="P100" s="1169"/>
      <c r="Q100" s="1167"/>
      <c r="R100" s="1167"/>
      <c r="S100" s="1167"/>
      <c r="T100" s="1167"/>
      <c r="U100" s="1167"/>
      <c r="V100" s="1167"/>
      <c r="W100" s="1167"/>
      <c r="X100" s="630"/>
      <c r="AA100" s="1915"/>
      <c r="AB100" s="1915"/>
      <c r="AC100" s="1804"/>
      <c r="AD100" s="1804"/>
      <c r="AE100" s="1804"/>
      <c r="AF100" s="1804"/>
      <c r="AG100" s="1804"/>
      <c r="AH100" s="1804"/>
      <c r="AI100" s="1781" t="s">
        <v>0</v>
      </c>
      <c r="AJ100" s="1827">
        <v>2008</v>
      </c>
      <c r="AK100" s="1822" t="s">
        <v>758</v>
      </c>
      <c r="AL100" s="1822">
        <v>8</v>
      </c>
      <c r="AM100" s="1823">
        <v>223250760.30000001</v>
      </c>
      <c r="AN100" s="1824">
        <v>5.1411354841456952E-2</v>
      </c>
      <c r="AO100" s="1781"/>
      <c r="AP100" s="1781" t="s">
        <v>0</v>
      </c>
      <c r="AQ100" s="1781" t="s">
        <v>498</v>
      </c>
      <c r="AR100" s="1822" t="s">
        <v>138</v>
      </c>
      <c r="AS100" s="1822">
        <v>6</v>
      </c>
      <c r="AT100" s="1823">
        <v>257132714.26000005</v>
      </c>
      <c r="AU100" s="1825">
        <v>6.2712786373391963E-2</v>
      </c>
      <c r="AV100" s="1781">
        <v>2008</v>
      </c>
      <c r="AW100" s="1671"/>
      <c r="AX100" s="1671"/>
      <c r="AY100" s="1804"/>
      <c r="AZ100" s="1804"/>
      <c r="BA100" s="1804"/>
      <c r="BB100" s="1804"/>
      <c r="BC100" s="1804"/>
      <c r="BD100" s="1804"/>
      <c r="BE100" s="1804"/>
      <c r="BF100" s="1804"/>
      <c r="BG100" s="1804"/>
      <c r="BH100" s="1804"/>
      <c r="BI100" s="1804"/>
      <c r="BJ100" s="1804"/>
      <c r="BK100" s="1804"/>
      <c r="BL100" s="1804"/>
      <c r="BM100" s="1804"/>
      <c r="BN100" s="1804"/>
      <c r="BO100" s="1804"/>
      <c r="BP100" s="1804"/>
      <c r="BQ100" s="1804"/>
      <c r="BR100" s="1804"/>
      <c r="BS100" s="1804"/>
      <c r="BT100" s="1804"/>
      <c r="BU100" s="1804"/>
      <c r="BV100" s="1804"/>
      <c r="BW100" s="1804"/>
      <c r="BX100" s="1804"/>
      <c r="BY100" s="1804"/>
      <c r="BZ100" s="1804"/>
      <c r="CA100" s="1804"/>
      <c r="CB100" s="1804"/>
      <c r="CC100" s="1804"/>
      <c r="CD100" s="1804"/>
      <c r="CE100" s="1804"/>
      <c r="CF100" s="1804"/>
      <c r="CG100" s="1804"/>
      <c r="CH100" s="1804"/>
      <c r="CI100" s="1804"/>
      <c r="CJ100" s="1804"/>
      <c r="CK100" s="1804"/>
      <c r="CL100" s="1804"/>
      <c r="CM100" s="1804"/>
      <c r="CN100" s="1804"/>
      <c r="CO100" s="1804"/>
      <c r="CP100" s="1804"/>
      <c r="CQ100" s="1804"/>
      <c r="CR100" s="1804"/>
      <c r="CS100" s="1804"/>
      <c r="CT100" s="1804"/>
      <c r="CU100" s="1804"/>
      <c r="CV100" s="1804"/>
      <c r="CW100" s="1804"/>
      <c r="CX100" s="1804"/>
      <c r="CY100" s="1804"/>
      <c r="CZ100" s="1804"/>
      <c r="DA100" s="1804"/>
      <c r="DB100" s="1804"/>
      <c r="DC100" s="1804"/>
      <c r="DD100" s="1804"/>
      <c r="DE100" s="1804"/>
      <c r="DF100" s="1804"/>
      <c r="DG100" s="1804"/>
      <c r="DH100" s="1804"/>
      <c r="DI100" s="1804"/>
      <c r="DJ100" s="1804"/>
      <c r="DK100" s="1804"/>
      <c r="DL100" s="1804"/>
      <c r="DM100" s="1804"/>
      <c r="DN100" s="1804"/>
      <c r="DO100" s="1804"/>
      <c r="DP100" s="1804"/>
      <c r="DQ100" s="1671"/>
      <c r="DR100" s="1671"/>
      <c r="DS100" s="1671"/>
      <c r="DT100" s="1671"/>
      <c r="DU100" s="1671"/>
      <c r="DV100" s="1671"/>
      <c r="DW100" s="1671"/>
      <c r="DX100" s="1671"/>
      <c r="DY100" s="1671"/>
      <c r="DZ100" s="1671"/>
      <c r="EA100" s="1740"/>
      <c r="EB100" s="1740"/>
      <c r="EC100" s="1740"/>
      <c r="ED100" s="1740"/>
      <c r="EE100" s="1740"/>
      <c r="EF100" s="1740"/>
      <c r="EG100" s="1740"/>
      <c r="EH100" s="1740"/>
      <c r="EI100" s="1740"/>
      <c r="EJ100" s="1740"/>
      <c r="EK100" s="1740"/>
      <c r="EL100" s="1740"/>
      <c r="EM100" s="1740"/>
      <c r="EN100" s="1740"/>
      <c r="EO100" s="1740"/>
      <c r="EP100" s="1740"/>
      <c r="EQ100" s="1740"/>
      <c r="ER100" s="1740"/>
      <c r="ES100" s="1740"/>
      <c r="ET100" s="1740"/>
      <c r="EU100" s="1740"/>
      <c r="EV100" s="1740"/>
      <c r="EW100" s="1740"/>
      <c r="EX100" s="1740"/>
      <c r="EY100" s="1740"/>
      <c r="EZ100" s="1740"/>
      <c r="FA100" s="1740"/>
      <c r="FB100" s="1740"/>
      <c r="FC100" s="1740"/>
      <c r="FD100" s="1740"/>
      <c r="FE100" s="1740"/>
      <c r="FF100" s="1740"/>
      <c r="FG100" s="1740"/>
      <c r="FH100" s="1740"/>
      <c r="FI100" s="1740"/>
      <c r="FJ100" s="1740"/>
      <c r="FK100" s="1740"/>
      <c r="FL100" s="1740"/>
      <c r="FM100" s="1740"/>
      <c r="FN100" s="1740"/>
      <c r="FO100" s="1740"/>
      <c r="FP100" s="1740"/>
      <c r="FQ100" s="1740"/>
      <c r="FR100" s="1740"/>
      <c r="FS100" s="1740"/>
      <c r="FT100" s="1740"/>
      <c r="FU100" s="1740"/>
      <c r="FV100" s="1740"/>
      <c r="FW100" s="1740"/>
      <c r="FX100" s="1740"/>
      <c r="FY100" s="1740"/>
      <c r="FZ100" s="1740"/>
      <c r="GA100" s="1740"/>
      <c r="GB100" s="1740"/>
      <c r="GC100" s="1740"/>
      <c r="GD100" s="1740"/>
      <c r="GE100" s="1740"/>
      <c r="GF100" s="1740"/>
    </row>
    <row r="101" spans="1:188" s="20" customFormat="1">
      <c r="A101" s="333">
        <f t="shared" si="2"/>
        <v>1978</v>
      </c>
      <c r="B101" s="333">
        <f t="shared" si="3"/>
        <v>3</v>
      </c>
      <c r="C101" s="1174">
        <v>28734</v>
      </c>
      <c r="D101" s="1158"/>
      <c r="E101" s="1159">
        <v>212.2928571429</v>
      </c>
      <c r="F101" s="1159">
        <v>183.54904116432277</v>
      </c>
      <c r="G101" s="1160"/>
      <c r="H101" s="1161"/>
      <c r="I101" s="1160"/>
      <c r="J101" s="1160"/>
      <c r="K101" s="1677"/>
      <c r="L101" s="1677"/>
      <c r="M101" s="1681"/>
      <c r="N101" s="1162"/>
      <c r="O101" s="1162"/>
      <c r="P101" s="1162"/>
      <c r="Q101" s="1163"/>
      <c r="R101" s="1164"/>
      <c r="S101" s="1164"/>
      <c r="T101" s="1164"/>
      <c r="U101" s="1165"/>
      <c r="V101" s="1166"/>
      <c r="W101" s="1166"/>
      <c r="X101" s="630"/>
      <c r="AA101" s="1915"/>
      <c r="AB101" s="1915"/>
      <c r="AC101" s="1804"/>
      <c r="AD101" s="1804"/>
      <c r="AE101" s="1804"/>
      <c r="AF101" s="1804"/>
      <c r="AG101" s="1804"/>
      <c r="AH101" s="1804"/>
      <c r="AI101" s="1781" t="s">
        <v>0</v>
      </c>
      <c r="AJ101" s="1827">
        <v>2008</v>
      </c>
      <c r="AK101" s="1822" t="s">
        <v>28</v>
      </c>
      <c r="AL101" s="1822">
        <v>9</v>
      </c>
      <c r="AM101" s="1823">
        <v>132427916.67</v>
      </c>
      <c r="AN101" s="1824">
        <v>3.0496194528911811E-2</v>
      </c>
      <c r="AO101" s="1781"/>
      <c r="AP101" s="1781" t="s">
        <v>0</v>
      </c>
      <c r="AQ101" s="1781" t="s">
        <v>498</v>
      </c>
      <c r="AR101" s="1822" t="s">
        <v>387</v>
      </c>
      <c r="AS101" s="1822">
        <v>7</v>
      </c>
      <c r="AT101" s="1823">
        <v>158173357.88</v>
      </c>
      <c r="AU101" s="1825">
        <v>3.8577323897652352E-2</v>
      </c>
      <c r="AV101" s="1781">
        <v>2008</v>
      </c>
      <c r="AW101" s="1671"/>
      <c r="AX101" s="1925"/>
      <c r="AY101" s="1804"/>
      <c r="AZ101" s="1804"/>
      <c r="BA101" s="1804"/>
      <c r="BB101" s="1804"/>
      <c r="BC101" s="1804"/>
      <c r="BD101" s="1804"/>
      <c r="BE101" s="1804"/>
      <c r="BF101" s="1804"/>
      <c r="BG101" s="1804"/>
      <c r="BH101" s="1804"/>
      <c r="BI101" s="1804"/>
      <c r="BJ101" s="1804"/>
      <c r="BK101" s="1804"/>
      <c r="BL101" s="1804"/>
      <c r="BM101" s="1804"/>
      <c r="BN101" s="1804"/>
      <c r="BO101" s="1804"/>
      <c r="BP101" s="1804"/>
      <c r="BQ101" s="1804"/>
      <c r="BR101" s="1804"/>
      <c r="BS101" s="1804"/>
      <c r="BT101" s="1804"/>
      <c r="BU101" s="1804"/>
      <c r="BV101" s="1804"/>
      <c r="BW101" s="1804"/>
      <c r="BX101" s="1804"/>
      <c r="BY101" s="1804"/>
      <c r="BZ101" s="1804"/>
      <c r="CA101" s="1804"/>
      <c r="CB101" s="1804"/>
      <c r="CC101" s="1804"/>
      <c r="CD101" s="1804"/>
      <c r="CE101" s="1804"/>
      <c r="CF101" s="1804"/>
      <c r="CG101" s="1804"/>
      <c r="CH101" s="1804"/>
      <c r="CI101" s="1804"/>
      <c r="CJ101" s="1804"/>
      <c r="CK101" s="1804"/>
      <c r="CL101" s="1804"/>
      <c r="CM101" s="1804"/>
      <c r="CN101" s="1804"/>
      <c r="CO101" s="1804"/>
      <c r="CP101" s="1804"/>
      <c r="CQ101" s="1804"/>
      <c r="CR101" s="1804"/>
      <c r="CS101" s="1804"/>
      <c r="CT101" s="1804"/>
      <c r="CU101" s="1804"/>
      <c r="CV101" s="1804"/>
      <c r="CW101" s="1804"/>
      <c r="CX101" s="1804"/>
      <c r="CY101" s="1804"/>
      <c r="CZ101" s="1804"/>
      <c r="DA101" s="1804"/>
      <c r="DB101" s="1804"/>
      <c r="DC101" s="1804"/>
      <c r="DD101" s="1804"/>
      <c r="DE101" s="1804"/>
      <c r="DF101" s="1804"/>
      <c r="DG101" s="1804"/>
      <c r="DH101" s="1804"/>
      <c r="DI101" s="1804"/>
      <c r="DJ101" s="1804"/>
      <c r="DK101" s="1804"/>
      <c r="DL101" s="1804"/>
      <c r="DM101" s="1804"/>
      <c r="DN101" s="1804"/>
      <c r="DO101" s="1804"/>
      <c r="DP101" s="1804"/>
      <c r="DQ101" s="1671"/>
      <c r="DR101" s="1671"/>
      <c r="DS101" s="1671"/>
      <c r="DT101" s="1671"/>
      <c r="DU101" s="1671"/>
      <c r="DV101" s="1671"/>
      <c r="DW101" s="1671"/>
      <c r="DX101" s="1671"/>
      <c r="DY101" s="1671"/>
      <c r="DZ101" s="1671"/>
      <c r="EA101" s="1740"/>
      <c r="EB101" s="1740"/>
      <c r="EC101" s="1740"/>
      <c r="ED101" s="1740"/>
      <c r="EE101" s="1740"/>
      <c r="EF101" s="1740"/>
      <c r="EG101" s="1740"/>
      <c r="EH101" s="1740"/>
      <c r="EI101" s="1740"/>
      <c r="EJ101" s="1740"/>
      <c r="EK101" s="1740"/>
      <c r="EL101" s="1740"/>
      <c r="EM101" s="1740"/>
      <c r="EN101" s="1740"/>
      <c r="EO101" s="1740"/>
      <c r="EP101" s="1740"/>
      <c r="EQ101" s="1740"/>
      <c r="ER101" s="1740"/>
      <c r="ES101" s="1740"/>
      <c r="ET101" s="1740"/>
      <c r="EU101" s="1740"/>
      <c r="EV101" s="1740"/>
      <c r="EW101" s="1740"/>
      <c r="EX101" s="1740"/>
      <c r="EY101" s="1740"/>
      <c r="EZ101" s="1740"/>
      <c r="FA101" s="1740"/>
      <c r="FB101" s="1740"/>
      <c r="FC101" s="1740"/>
      <c r="FD101" s="1740"/>
      <c r="FE101" s="1740"/>
      <c r="FF101" s="1740"/>
      <c r="FG101" s="1740"/>
      <c r="FH101" s="1740"/>
      <c r="FI101" s="1740"/>
      <c r="FJ101" s="1740"/>
      <c r="FK101" s="1740"/>
      <c r="FL101" s="1740"/>
      <c r="FM101" s="1740"/>
      <c r="FN101" s="1740"/>
      <c r="FO101" s="1740"/>
      <c r="FP101" s="1740"/>
      <c r="FQ101" s="1740"/>
      <c r="FR101" s="1740"/>
      <c r="FS101" s="1740"/>
      <c r="FT101" s="1740"/>
      <c r="FU101" s="1740"/>
      <c r="FV101" s="1740"/>
      <c r="FW101" s="1740"/>
      <c r="FX101" s="1740"/>
      <c r="FY101" s="1740"/>
      <c r="FZ101" s="1740"/>
      <c r="GA101" s="1740"/>
      <c r="GB101" s="1740"/>
      <c r="GC101" s="1740"/>
      <c r="GD101" s="1740"/>
      <c r="GE101" s="1740"/>
      <c r="GF101" s="1740"/>
    </row>
    <row r="102" spans="1:188" s="20" customFormat="1">
      <c r="A102" s="333">
        <f t="shared" si="2"/>
        <v>1978</v>
      </c>
      <c r="B102" s="333">
        <f t="shared" si="3"/>
        <v>4</v>
      </c>
      <c r="C102" s="1174">
        <v>28765</v>
      </c>
      <c r="D102" s="1167"/>
      <c r="E102" s="1168">
        <v>227.6295454545</v>
      </c>
      <c r="F102" s="1168">
        <v>191.43007409996179</v>
      </c>
      <c r="G102" s="1168"/>
      <c r="H102" s="1167"/>
      <c r="I102" s="1168"/>
      <c r="J102" s="1168"/>
      <c r="K102" s="1678"/>
      <c r="L102" s="1678"/>
      <c r="M102" s="1682"/>
      <c r="N102" s="1169"/>
      <c r="O102" s="1169"/>
      <c r="P102" s="1169"/>
      <c r="Q102" s="1167"/>
      <c r="R102" s="1167"/>
      <c r="S102" s="1167"/>
      <c r="T102" s="1167"/>
      <c r="U102" s="1167"/>
      <c r="V102" s="1167"/>
      <c r="W102" s="1167"/>
      <c r="X102" s="630"/>
      <c r="AA102" s="1915"/>
      <c r="AB102" s="1915"/>
      <c r="AC102" s="1804"/>
      <c r="AD102" s="1804"/>
      <c r="AE102" s="1804"/>
      <c r="AF102" s="1804"/>
      <c r="AG102" s="1804"/>
      <c r="AH102" s="1804"/>
      <c r="AI102" s="1781" t="s">
        <v>0</v>
      </c>
      <c r="AJ102" s="1827">
        <v>2008</v>
      </c>
      <c r="AK102" s="1822" t="s">
        <v>22</v>
      </c>
      <c r="AL102" s="1822">
        <v>10</v>
      </c>
      <c r="AM102" s="1823">
        <v>117018953.22999999</v>
      </c>
      <c r="AN102" s="1824">
        <v>2.6947737690116099E-2</v>
      </c>
      <c r="AO102" s="1781"/>
      <c r="AP102" s="1781" t="s">
        <v>0</v>
      </c>
      <c r="AQ102" s="1781" t="s">
        <v>498</v>
      </c>
      <c r="AR102" s="1822" t="s">
        <v>56</v>
      </c>
      <c r="AS102" s="1822">
        <v>8</v>
      </c>
      <c r="AT102" s="1823">
        <v>138539946.33000004</v>
      </c>
      <c r="AU102" s="1825">
        <v>3.378887856948988E-2</v>
      </c>
      <c r="AV102" s="1781">
        <v>2008</v>
      </c>
      <c r="AW102" s="1671"/>
      <c r="AX102" s="1671"/>
      <c r="AY102" s="1804"/>
      <c r="AZ102" s="1804"/>
      <c r="BA102" s="1804"/>
      <c r="BB102" s="1804"/>
      <c r="BC102" s="1804"/>
      <c r="BD102" s="1804"/>
      <c r="BE102" s="1804"/>
      <c r="BF102" s="1804"/>
      <c r="BG102" s="1804"/>
      <c r="BH102" s="1804"/>
      <c r="BI102" s="1804"/>
      <c r="BJ102" s="1804"/>
      <c r="BK102" s="1804"/>
      <c r="BL102" s="1804"/>
      <c r="BM102" s="1804"/>
      <c r="BN102" s="1804"/>
      <c r="BO102" s="1804"/>
      <c r="BP102" s="1804"/>
      <c r="BQ102" s="1804"/>
      <c r="BR102" s="1804"/>
      <c r="BS102" s="1804"/>
      <c r="BT102" s="1804"/>
      <c r="BU102" s="1804"/>
      <c r="BV102" s="1804"/>
      <c r="BW102" s="1804"/>
      <c r="BX102" s="1804"/>
      <c r="BY102" s="1804"/>
      <c r="BZ102" s="1804"/>
      <c r="CA102" s="1804"/>
      <c r="CB102" s="1804"/>
      <c r="CC102" s="1804"/>
      <c r="CD102" s="1804"/>
      <c r="CE102" s="1804"/>
      <c r="CF102" s="1804"/>
      <c r="CG102" s="1804"/>
      <c r="CH102" s="1804"/>
      <c r="CI102" s="1804"/>
      <c r="CJ102" s="1804"/>
      <c r="CK102" s="1804"/>
      <c r="CL102" s="1804"/>
      <c r="CM102" s="1804"/>
      <c r="CN102" s="1804"/>
      <c r="CO102" s="1804"/>
      <c r="CP102" s="1804"/>
      <c r="CQ102" s="1804"/>
      <c r="CR102" s="1804"/>
      <c r="CS102" s="1804"/>
      <c r="CT102" s="1804"/>
      <c r="CU102" s="1804"/>
      <c r="CV102" s="1804"/>
      <c r="CW102" s="1804"/>
      <c r="CX102" s="1804"/>
      <c r="CY102" s="1804"/>
      <c r="CZ102" s="1804"/>
      <c r="DA102" s="1804"/>
      <c r="DB102" s="1804"/>
      <c r="DC102" s="1804"/>
      <c r="DD102" s="1804"/>
      <c r="DE102" s="1804"/>
      <c r="DF102" s="1804"/>
      <c r="DG102" s="1804"/>
      <c r="DH102" s="1804"/>
      <c r="DI102" s="1804"/>
      <c r="DJ102" s="1804"/>
      <c r="DK102" s="1804"/>
      <c r="DL102" s="1804"/>
      <c r="DM102" s="1804"/>
      <c r="DN102" s="1804"/>
      <c r="DO102" s="1804"/>
      <c r="DP102" s="1804"/>
      <c r="DQ102" s="1671"/>
      <c r="DR102" s="1671"/>
      <c r="DS102" s="1671"/>
      <c r="DT102" s="1671"/>
      <c r="DU102" s="1671"/>
      <c r="DV102" s="1671"/>
      <c r="DW102" s="1671"/>
      <c r="DX102" s="1671"/>
      <c r="DY102" s="1671"/>
      <c r="DZ102" s="1671"/>
      <c r="EA102" s="1740"/>
      <c r="EB102" s="1740"/>
      <c r="EC102" s="1740"/>
      <c r="ED102" s="1740"/>
      <c r="EE102" s="1740"/>
      <c r="EF102" s="1740"/>
      <c r="EG102" s="1740"/>
      <c r="EH102" s="1740"/>
      <c r="EI102" s="1740"/>
      <c r="EJ102" s="1740"/>
      <c r="EK102" s="1740"/>
      <c r="EL102" s="1740"/>
      <c r="EM102" s="1740"/>
      <c r="EN102" s="1740"/>
      <c r="EO102" s="1740"/>
      <c r="EP102" s="1740"/>
      <c r="EQ102" s="1740"/>
      <c r="ER102" s="1740"/>
      <c r="ES102" s="1740"/>
      <c r="ET102" s="1740"/>
      <c r="EU102" s="1740"/>
      <c r="EV102" s="1740"/>
      <c r="EW102" s="1740"/>
      <c r="EX102" s="1740"/>
      <c r="EY102" s="1740"/>
      <c r="EZ102" s="1740"/>
      <c r="FA102" s="1740"/>
      <c r="FB102" s="1740"/>
      <c r="FC102" s="1740"/>
      <c r="FD102" s="1740"/>
      <c r="FE102" s="1740"/>
      <c r="FF102" s="1740"/>
      <c r="FG102" s="1740"/>
      <c r="FH102" s="1740"/>
      <c r="FI102" s="1740"/>
      <c r="FJ102" s="1740"/>
      <c r="FK102" s="1740"/>
      <c r="FL102" s="1740"/>
      <c r="FM102" s="1740"/>
      <c r="FN102" s="1740"/>
      <c r="FO102" s="1740"/>
      <c r="FP102" s="1740"/>
      <c r="FQ102" s="1740"/>
      <c r="FR102" s="1740"/>
      <c r="FS102" s="1740"/>
      <c r="FT102" s="1740"/>
      <c r="FU102" s="1740"/>
      <c r="FV102" s="1740"/>
      <c r="FW102" s="1740"/>
      <c r="FX102" s="1740"/>
      <c r="FY102" s="1740"/>
      <c r="FZ102" s="1740"/>
      <c r="GA102" s="1740"/>
      <c r="GB102" s="1740"/>
      <c r="GC102" s="1740"/>
      <c r="GD102" s="1740"/>
      <c r="GE102" s="1740"/>
      <c r="GF102" s="1740"/>
    </row>
    <row r="103" spans="1:188" s="20" customFormat="1">
      <c r="A103" s="333">
        <f t="shared" si="2"/>
        <v>1978</v>
      </c>
      <c r="B103" s="333">
        <f t="shared" si="3"/>
        <v>4</v>
      </c>
      <c r="C103" s="1174">
        <v>28795</v>
      </c>
      <c r="D103" s="1158"/>
      <c r="E103" s="1159">
        <v>205.3261363636</v>
      </c>
      <c r="F103" s="1159">
        <v>180.69706098064981</v>
      </c>
      <c r="G103" s="1160"/>
      <c r="H103" s="1161"/>
      <c r="I103" s="1160"/>
      <c r="J103" s="1160"/>
      <c r="K103" s="1677"/>
      <c r="L103" s="1677"/>
      <c r="M103" s="1681"/>
      <c r="N103" s="1162"/>
      <c r="O103" s="1162"/>
      <c r="P103" s="1162"/>
      <c r="Q103" s="1163"/>
      <c r="R103" s="1164"/>
      <c r="S103" s="1164"/>
      <c r="T103" s="1164"/>
      <c r="U103" s="1165"/>
      <c r="V103" s="1166"/>
      <c r="W103" s="1166"/>
      <c r="X103" s="630"/>
      <c r="AA103" s="1915"/>
      <c r="AB103" s="1915"/>
      <c r="AC103" s="1804"/>
      <c r="AD103" s="1804"/>
      <c r="AE103" s="1804"/>
      <c r="AF103" s="1804"/>
      <c r="AG103" s="1804"/>
      <c r="AH103" s="1804"/>
      <c r="AI103" s="1781" t="s">
        <v>0</v>
      </c>
      <c r="AJ103" s="1827">
        <v>2008</v>
      </c>
      <c r="AK103" s="1822" t="s">
        <v>39</v>
      </c>
      <c r="AL103" s="1822"/>
      <c r="AM103" s="1823">
        <v>333199261.27000046</v>
      </c>
      <c r="AN103" s="1824">
        <v>7.6730871738327142E-2</v>
      </c>
      <c r="AO103" s="1781"/>
      <c r="AP103" s="1781" t="s">
        <v>0</v>
      </c>
      <c r="AQ103" s="1781" t="s">
        <v>498</v>
      </c>
      <c r="AR103" s="1822" t="s">
        <v>28</v>
      </c>
      <c r="AS103" s="1822">
        <v>9</v>
      </c>
      <c r="AT103" s="1823">
        <v>125392522.83</v>
      </c>
      <c r="AU103" s="1825">
        <v>3.0582318238616114E-2</v>
      </c>
      <c r="AV103" s="1781">
        <v>2008</v>
      </c>
      <c r="AW103" s="1671"/>
      <c r="AX103" s="1671"/>
      <c r="AY103" s="1804"/>
      <c r="AZ103" s="1804"/>
      <c r="BA103" s="1804"/>
      <c r="BB103" s="1804"/>
      <c r="BC103" s="1804"/>
      <c r="BD103" s="1804"/>
      <c r="BE103" s="1804"/>
      <c r="BF103" s="1804"/>
      <c r="BG103" s="1804"/>
      <c r="BH103" s="1804"/>
      <c r="BI103" s="1804"/>
      <c r="BJ103" s="1804"/>
      <c r="BK103" s="1804"/>
      <c r="BL103" s="1804"/>
      <c r="BM103" s="1804"/>
      <c r="BN103" s="1804"/>
      <c r="BO103" s="1804"/>
      <c r="BP103" s="1804"/>
      <c r="BQ103" s="1804"/>
      <c r="BR103" s="1804"/>
      <c r="BS103" s="1804"/>
      <c r="BT103" s="1804"/>
      <c r="BU103" s="1804"/>
      <c r="BV103" s="1804"/>
      <c r="BW103" s="1804"/>
      <c r="BX103" s="1804"/>
      <c r="BY103" s="1804"/>
      <c r="BZ103" s="1804"/>
      <c r="CA103" s="1804"/>
      <c r="CB103" s="1804"/>
      <c r="CC103" s="1804"/>
      <c r="CD103" s="1804"/>
      <c r="CE103" s="1804"/>
      <c r="CF103" s="1804"/>
      <c r="CG103" s="1804"/>
      <c r="CH103" s="1804"/>
      <c r="CI103" s="1804"/>
      <c r="CJ103" s="1804"/>
      <c r="CK103" s="1804"/>
      <c r="CL103" s="1804"/>
      <c r="CM103" s="1804"/>
      <c r="CN103" s="1804"/>
      <c r="CO103" s="1804"/>
      <c r="CP103" s="1804"/>
      <c r="CQ103" s="1804"/>
      <c r="CR103" s="1804"/>
      <c r="CS103" s="1804"/>
      <c r="CT103" s="1804"/>
      <c r="CU103" s="1804"/>
      <c r="CV103" s="1804"/>
      <c r="CW103" s="1804"/>
      <c r="CX103" s="1804"/>
      <c r="CY103" s="1804"/>
      <c r="CZ103" s="1804"/>
      <c r="DA103" s="1804"/>
      <c r="DB103" s="1804"/>
      <c r="DC103" s="1804"/>
      <c r="DD103" s="1804"/>
      <c r="DE103" s="1804"/>
      <c r="DF103" s="1804"/>
      <c r="DG103" s="1804"/>
      <c r="DH103" s="1804"/>
      <c r="DI103" s="1804"/>
      <c r="DJ103" s="1804"/>
      <c r="DK103" s="1804"/>
      <c r="DL103" s="1804"/>
      <c r="DM103" s="1804"/>
      <c r="DN103" s="1804"/>
      <c r="DO103" s="1804"/>
      <c r="DP103" s="1804"/>
      <c r="DQ103" s="1671"/>
      <c r="DR103" s="1671"/>
      <c r="DS103" s="1671"/>
      <c r="DT103" s="1671"/>
      <c r="DU103" s="1671"/>
      <c r="DV103" s="1671"/>
      <c r="DW103" s="1671"/>
      <c r="DX103" s="1671"/>
      <c r="DY103" s="1671"/>
      <c r="DZ103" s="1671"/>
      <c r="EA103" s="1740"/>
      <c r="EB103" s="1740"/>
      <c r="EC103" s="1740"/>
      <c r="ED103" s="1740"/>
      <c r="EE103" s="1740"/>
      <c r="EF103" s="1740"/>
      <c r="EG103" s="1740"/>
      <c r="EH103" s="1740"/>
      <c r="EI103" s="1740"/>
      <c r="EJ103" s="1740"/>
      <c r="EK103" s="1740"/>
      <c r="EL103" s="1740"/>
      <c r="EM103" s="1740"/>
      <c r="EN103" s="1740"/>
      <c r="EO103" s="1740"/>
      <c r="EP103" s="1740"/>
      <c r="EQ103" s="1740"/>
      <c r="ER103" s="1740"/>
      <c r="ES103" s="1740"/>
      <c r="ET103" s="1740"/>
      <c r="EU103" s="1740"/>
      <c r="EV103" s="1740"/>
      <c r="EW103" s="1740"/>
      <c r="EX103" s="1740"/>
      <c r="EY103" s="1740"/>
      <c r="EZ103" s="1740"/>
      <c r="FA103" s="1740"/>
      <c r="FB103" s="1740"/>
      <c r="FC103" s="1740"/>
      <c r="FD103" s="1740"/>
      <c r="FE103" s="1740"/>
      <c r="FF103" s="1740"/>
      <c r="FG103" s="1740"/>
      <c r="FH103" s="1740"/>
      <c r="FI103" s="1740"/>
      <c r="FJ103" s="1740"/>
      <c r="FK103" s="1740"/>
      <c r="FL103" s="1740"/>
      <c r="FM103" s="1740"/>
      <c r="FN103" s="1740"/>
      <c r="FO103" s="1740"/>
      <c r="FP103" s="1740"/>
      <c r="FQ103" s="1740"/>
      <c r="FR103" s="1740"/>
      <c r="FS103" s="1740"/>
      <c r="FT103" s="1740"/>
      <c r="FU103" s="1740"/>
      <c r="FV103" s="1740"/>
      <c r="FW103" s="1740"/>
      <c r="FX103" s="1740"/>
      <c r="FY103" s="1740"/>
      <c r="FZ103" s="1740"/>
      <c r="GA103" s="1740"/>
      <c r="GB103" s="1740"/>
      <c r="GC103" s="1740"/>
      <c r="GD103" s="1740"/>
      <c r="GE103" s="1740"/>
      <c r="GF103" s="1740"/>
    </row>
    <row r="104" spans="1:188" s="20" customFormat="1">
      <c r="A104" s="333">
        <f t="shared" si="2"/>
        <v>1978</v>
      </c>
      <c r="B104" s="333">
        <f t="shared" si="3"/>
        <v>4</v>
      </c>
      <c r="C104" s="1174">
        <v>28825</v>
      </c>
      <c r="D104" s="1167"/>
      <c r="E104" s="1168">
        <v>207.69583333329999</v>
      </c>
      <c r="F104" s="1168">
        <v>180.52651828747102</v>
      </c>
      <c r="G104" s="1168"/>
      <c r="H104" s="1167"/>
      <c r="I104" s="1168"/>
      <c r="J104" s="1168"/>
      <c r="K104" s="1678"/>
      <c r="L104" s="1678"/>
      <c r="M104" s="1682"/>
      <c r="N104" s="1169"/>
      <c r="O104" s="1169"/>
      <c r="P104" s="1169"/>
      <c r="Q104" s="1167"/>
      <c r="R104" s="1167"/>
      <c r="S104" s="1167"/>
      <c r="T104" s="1167"/>
      <c r="U104" s="1167"/>
      <c r="V104" s="1167"/>
      <c r="W104" s="1167"/>
      <c r="X104" s="630"/>
      <c r="AA104" s="1915"/>
      <c r="AB104" s="1915"/>
      <c r="AC104" s="1804"/>
      <c r="AD104" s="1804"/>
      <c r="AE104" s="1804"/>
      <c r="AF104" s="1804"/>
      <c r="AG104" s="1804"/>
      <c r="AH104" s="1804"/>
      <c r="AI104" s="1781" t="s">
        <v>0</v>
      </c>
      <c r="AJ104" s="1827">
        <v>2008</v>
      </c>
      <c r="AK104" s="1822" t="s">
        <v>386</v>
      </c>
      <c r="AL104" s="1822"/>
      <c r="AM104" s="1823">
        <v>4342440711.5600004</v>
      </c>
      <c r="AN104" s="1824"/>
      <c r="AO104" s="1781"/>
      <c r="AP104" s="1781" t="s">
        <v>0</v>
      </c>
      <c r="AQ104" s="1781" t="s">
        <v>498</v>
      </c>
      <c r="AR104" s="1822" t="s">
        <v>22</v>
      </c>
      <c r="AS104" s="1822">
        <v>10</v>
      </c>
      <c r="AT104" s="1823">
        <v>112543766.14</v>
      </c>
      <c r="AU104" s="1825">
        <v>2.7448600555968799E-2</v>
      </c>
      <c r="AV104" s="1781">
        <v>2008</v>
      </c>
      <c r="AW104" s="1671"/>
      <c r="AX104" s="1925"/>
      <c r="AY104" s="1804"/>
      <c r="AZ104" s="1804"/>
      <c r="BA104" s="1804"/>
      <c r="BB104" s="1804"/>
      <c r="BC104" s="1804"/>
      <c r="BD104" s="1804"/>
      <c r="BE104" s="1804"/>
      <c r="BF104" s="1804"/>
      <c r="BG104" s="1804"/>
      <c r="BH104" s="1804"/>
      <c r="BI104" s="1804"/>
      <c r="BJ104" s="1804"/>
      <c r="BK104" s="1804"/>
      <c r="BL104" s="1804"/>
      <c r="BM104" s="1804"/>
      <c r="BN104" s="1804"/>
      <c r="BO104" s="1804"/>
      <c r="BP104" s="1804"/>
      <c r="BQ104" s="1804"/>
      <c r="BR104" s="1804"/>
      <c r="BS104" s="1804"/>
      <c r="BT104" s="1804"/>
      <c r="BU104" s="1804"/>
      <c r="BV104" s="1804"/>
      <c r="BW104" s="1804"/>
      <c r="BX104" s="1804"/>
      <c r="BY104" s="1804"/>
      <c r="BZ104" s="1804"/>
      <c r="CA104" s="1804"/>
      <c r="CB104" s="1804"/>
      <c r="CC104" s="1804"/>
      <c r="CD104" s="1804"/>
      <c r="CE104" s="1804"/>
      <c r="CF104" s="1804"/>
      <c r="CG104" s="1804"/>
      <c r="CH104" s="1804"/>
      <c r="CI104" s="1804"/>
      <c r="CJ104" s="1804"/>
      <c r="CK104" s="1804"/>
      <c r="CL104" s="1804"/>
      <c r="CM104" s="1804"/>
      <c r="CN104" s="1804"/>
      <c r="CO104" s="1804"/>
      <c r="CP104" s="1804"/>
      <c r="CQ104" s="1804"/>
      <c r="CR104" s="1804"/>
      <c r="CS104" s="1804"/>
      <c r="CT104" s="1804"/>
      <c r="CU104" s="1804"/>
      <c r="CV104" s="1804"/>
      <c r="CW104" s="1804"/>
      <c r="CX104" s="1804"/>
      <c r="CY104" s="1804"/>
      <c r="CZ104" s="1804"/>
      <c r="DA104" s="1804"/>
      <c r="DB104" s="1804"/>
      <c r="DC104" s="1804"/>
      <c r="DD104" s="1804"/>
      <c r="DE104" s="1804"/>
      <c r="DF104" s="1804"/>
      <c r="DG104" s="1804"/>
      <c r="DH104" s="1804"/>
      <c r="DI104" s="1804"/>
      <c r="DJ104" s="1804"/>
      <c r="DK104" s="1804"/>
      <c r="DL104" s="1804"/>
      <c r="DM104" s="1804"/>
      <c r="DN104" s="1804"/>
      <c r="DO104" s="1804"/>
      <c r="DP104" s="1804"/>
      <c r="DQ104" s="1671"/>
      <c r="DR104" s="1671"/>
      <c r="DS104" s="1671"/>
      <c r="DT104" s="1671"/>
      <c r="DU104" s="1671"/>
      <c r="DV104" s="1671"/>
      <c r="DW104" s="1671"/>
      <c r="DX104" s="1671"/>
      <c r="DY104" s="1671"/>
      <c r="DZ104" s="1671"/>
      <c r="EA104" s="1740"/>
      <c r="EB104" s="1740"/>
      <c r="EC104" s="1740"/>
      <c r="ED104" s="1740"/>
      <c r="EE104" s="1740"/>
      <c r="EF104" s="1740"/>
      <c r="EG104" s="1740"/>
      <c r="EH104" s="1740"/>
      <c r="EI104" s="1740"/>
      <c r="EJ104" s="1740"/>
      <c r="EK104" s="1740"/>
      <c r="EL104" s="1740"/>
      <c r="EM104" s="1740"/>
      <c r="EN104" s="1740"/>
      <c r="EO104" s="1740"/>
      <c r="EP104" s="1740"/>
      <c r="EQ104" s="1740"/>
      <c r="ER104" s="1740"/>
      <c r="ES104" s="1740"/>
      <c r="ET104" s="1740"/>
      <c r="EU104" s="1740"/>
      <c r="EV104" s="1740"/>
      <c r="EW104" s="1740"/>
      <c r="EX104" s="1740"/>
      <c r="EY104" s="1740"/>
      <c r="EZ104" s="1740"/>
      <c r="FA104" s="1740"/>
      <c r="FB104" s="1740"/>
      <c r="FC104" s="1740"/>
      <c r="FD104" s="1740"/>
      <c r="FE104" s="1740"/>
      <c r="FF104" s="1740"/>
      <c r="FG104" s="1740"/>
      <c r="FH104" s="1740"/>
      <c r="FI104" s="1740"/>
      <c r="FJ104" s="1740"/>
      <c r="FK104" s="1740"/>
      <c r="FL104" s="1740"/>
      <c r="FM104" s="1740"/>
      <c r="FN104" s="1740"/>
      <c r="FO104" s="1740"/>
      <c r="FP104" s="1740"/>
      <c r="FQ104" s="1740"/>
      <c r="FR104" s="1740"/>
      <c r="FS104" s="1740"/>
      <c r="FT104" s="1740"/>
      <c r="FU104" s="1740"/>
      <c r="FV104" s="1740"/>
      <c r="FW104" s="1740"/>
      <c r="FX104" s="1740"/>
      <c r="FY104" s="1740"/>
      <c r="FZ104" s="1740"/>
      <c r="GA104" s="1740"/>
      <c r="GB104" s="1740"/>
      <c r="GC104" s="1740"/>
      <c r="GD104" s="1740"/>
      <c r="GE104" s="1740"/>
      <c r="GF104" s="1740"/>
    </row>
    <row r="105" spans="1:188" s="20" customFormat="1">
      <c r="A105" s="333">
        <f t="shared" si="2"/>
        <v>1979</v>
      </c>
      <c r="B105" s="333">
        <f t="shared" si="3"/>
        <v>1</v>
      </c>
      <c r="C105" s="1174">
        <v>28856</v>
      </c>
      <c r="D105" s="1158"/>
      <c r="E105" s="1159">
        <v>227.33068181819999</v>
      </c>
      <c r="F105" s="1159">
        <v>200.57408789887967</v>
      </c>
      <c r="G105" s="1160"/>
      <c r="H105" s="1161"/>
      <c r="I105" s="1160"/>
      <c r="J105" s="1160"/>
      <c r="K105" s="1677"/>
      <c r="L105" s="1677"/>
      <c r="M105" s="1681"/>
      <c r="N105" s="1162"/>
      <c r="O105" s="1162"/>
      <c r="P105" s="1162"/>
      <c r="Q105" s="1163"/>
      <c r="R105" s="1164"/>
      <c r="S105" s="1164"/>
      <c r="T105" s="1164"/>
      <c r="U105" s="1165"/>
      <c r="V105" s="1166"/>
      <c r="W105" s="1166"/>
      <c r="X105" s="630"/>
      <c r="AA105" s="1915"/>
      <c r="AB105" s="1915"/>
      <c r="AC105" s="1804"/>
      <c r="AD105" s="1804"/>
      <c r="AE105" s="1804"/>
      <c r="AF105" s="1804"/>
      <c r="AG105" s="1804"/>
      <c r="AH105" s="1804"/>
      <c r="AI105" s="1781" t="s">
        <v>3</v>
      </c>
      <c r="AJ105" s="1827">
        <v>2015</v>
      </c>
      <c r="AK105" s="1822" t="s">
        <v>25</v>
      </c>
      <c r="AL105" s="1822">
        <v>1</v>
      </c>
      <c r="AM105" s="1823">
        <v>1153369212.23</v>
      </c>
      <c r="AN105" s="1824">
        <v>0.45832016711519769</v>
      </c>
      <c r="AO105" s="1781"/>
      <c r="AP105" s="1781" t="s">
        <v>0</v>
      </c>
      <c r="AQ105" s="1781" t="s">
        <v>498</v>
      </c>
      <c r="AR105" s="1822" t="s">
        <v>39</v>
      </c>
      <c r="AS105" s="1822"/>
      <c r="AT105" s="1823">
        <v>330234835.58999968</v>
      </c>
      <c r="AU105" s="1825">
        <v>8.0541858537949318E-2</v>
      </c>
      <c r="AV105" s="1781">
        <v>2008</v>
      </c>
      <c r="AW105" s="1671"/>
      <c r="AX105" s="1671"/>
      <c r="AY105" s="1804"/>
      <c r="AZ105" s="1804"/>
      <c r="BA105" s="1804"/>
      <c r="BB105" s="1804"/>
      <c r="BC105" s="1804"/>
      <c r="BD105" s="1804"/>
      <c r="BE105" s="1804"/>
      <c r="BF105" s="1804"/>
      <c r="BG105" s="1804"/>
      <c r="BH105" s="1804"/>
      <c r="BI105" s="1804"/>
      <c r="BJ105" s="1804"/>
      <c r="BK105" s="1804"/>
      <c r="BL105" s="1804"/>
      <c r="BM105" s="1804"/>
      <c r="BN105" s="1804"/>
      <c r="BO105" s="1804"/>
      <c r="BP105" s="1804"/>
      <c r="BQ105" s="1804"/>
      <c r="BR105" s="1804"/>
      <c r="BS105" s="1804"/>
      <c r="BT105" s="1804"/>
      <c r="BU105" s="1804"/>
      <c r="BV105" s="1804"/>
      <c r="BW105" s="1804"/>
      <c r="BX105" s="1804"/>
      <c r="BY105" s="1804"/>
      <c r="BZ105" s="1804"/>
      <c r="CA105" s="1804"/>
      <c r="CB105" s="1804"/>
      <c r="CC105" s="1804"/>
      <c r="CD105" s="1804"/>
      <c r="CE105" s="1804"/>
      <c r="CF105" s="1804"/>
      <c r="CG105" s="1804"/>
      <c r="CH105" s="1804"/>
      <c r="CI105" s="1804"/>
      <c r="CJ105" s="1804"/>
      <c r="CK105" s="1804"/>
      <c r="CL105" s="1804"/>
      <c r="CM105" s="1804"/>
      <c r="CN105" s="1804"/>
      <c r="CO105" s="1804"/>
      <c r="CP105" s="1804"/>
      <c r="CQ105" s="1804"/>
      <c r="CR105" s="1804"/>
      <c r="CS105" s="1804"/>
      <c r="CT105" s="1804"/>
      <c r="CU105" s="1804"/>
      <c r="CV105" s="1804"/>
      <c r="CW105" s="1804"/>
      <c r="CX105" s="1804"/>
      <c r="CY105" s="1804"/>
      <c r="CZ105" s="1804"/>
      <c r="DA105" s="1804"/>
      <c r="DB105" s="1804"/>
      <c r="DC105" s="1804"/>
      <c r="DD105" s="1804"/>
      <c r="DE105" s="1804"/>
      <c r="DF105" s="1804"/>
      <c r="DG105" s="1804"/>
      <c r="DH105" s="1804"/>
      <c r="DI105" s="1804"/>
      <c r="DJ105" s="1804"/>
      <c r="DK105" s="1804"/>
      <c r="DL105" s="1804"/>
      <c r="DM105" s="1804"/>
      <c r="DN105" s="1804"/>
      <c r="DO105" s="1804"/>
      <c r="DP105" s="1804"/>
      <c r="DQ105" s="1671"/>
      <c r="DR105" s="1671"/>
      <c r="DS105" s="1671"/>
      <c r="DT105" s="1671"/>
      <c r="DU105" s="1671"/>
      <c r="DV105" s="1671"/>
      <c r="DW105" s="1671"/>
      <c r="DX105" s="1671"/>
      <c r="DY105" s="1671"/>
      <c r="DZ105" s="1671"/>
      <c r="EA105" s="1740"/>
      <c r="EB105" s="1740"/>
      <c r="EC105" s="1740"/>
      <c r="ED105" s="1740"/>
      <c r="EE105" s="1740"/>
      <c r="EF105" s="1740"/>
      <c r="EG105" s="1740"/>
      <c r="EH105" s="1740"/>
      <c r="EI105" s="1740"/>
      <c r="EJ105" s="1740"/>
      <c r="EK105" s="1740"/>
      <c r="EL105" s="1740"/>
      <c r="EM105" s="1740"/>
      <c r="EN105" s="1740"/>
      <c r="EO105" s="1740"/>
      <c r="EP105" s="1740"/>
      <c r="EQ105" s="1740"/>
      <c r="ER105" s="1740"/>
      <c r="ES105" s="1740"/>
      <c r="ET105" s="1740"/>
      <c r="EU105" s="1740"/>
      <c r="EV105" s="1740"/>
      <c r="EW105" s="1740"/>
      <c r="EX105" s="1740"/>
      <c r="EY105" s="1740"/>
      <c r="EZ105" s="1740"/>
      <c r="FA105" s="1740"/>
      <c r="FB105" s="1740"/>
      <c r="FC105" s="1740"/>
      <c r="FD105" s="1740"/>
      <c r="FE105" s="1740"/>
      <c r="FF105" s="1740"/>
      <c r="FG105" s="1740"/>
      <c r="FH105" s="1740"/>
      <c r="FI105" s="1740"/>
      <c r="FJ105" s="1740"/>
      <c r="FK105" s="1740"/>
      <c r="FL105" s="1740"/>
      <c r="FM105" s="1740"/>
      <c r="FN105" s="1740"/>
      <c r="FO105" s="1740"/>
      <c r="FP105" s="1740"/>
      <c r="FQ105" s="1740"/>
      <c r="FR105" s="1740"/>
      <c r="FS105" s="1740"/>
      <c r="FT105" s="1740"/>
      <c r="FU105" s="1740"/>
      <c r="FV105" s="1740"/>
      <c r="FW105" s="1740"/>
      <c r="FX105" s="1740"/>
      <c r="FY105" s="1740"/>
      <c r="FZ105" s="1740"/>
      <c r="GA105" s="1740"/>
      <c r="GB105" s="1740"/>
      <c r="GC105" s="1740"/>
      <c r="GD105" s="1740"/>
      <c r="GE105" s="1740"/>
      <c r="GF105" s="1740"/>
    </row>
    <row r="106" spans="1:188" s="20" customFormat="1">
      <c r="A106" s="333">
        <f t="shared" si="2"/>
        <v>1979</v>
      </c>
      <c r="B106" s="333">
        <f t="shared" si="3"/>
        <v>1</v>
      </c>
      <c r="C106" s="1174">
        <v>28887</v>
      </c>
      <c r="D106" s="1167"/>
      <c r="E106" s="1168">
        <v>246.15625</v>
      </c>
      <c r="F106" s="1168">
        <v>218.16557665625001</v>
      </c>
      <c r="G106" s="1168"/>
      <c r="H106" s="1167"/>
      <c r="I106" s="1168"/>
      <c r="J106" s="1168"/>
      <c r="K106" s="1678"/>
      <c r="L106" s="1678"/>
      <c r="M106" s="1682"/>
      <c r="N106" s="1169"/>
      <c r="O106" s="1169"/>
      <c r="P106" s="1169"/>
      <c r="Q106" s="1167"/>
      <c r="R106" s="1167"/>
      <c r="S106" s="1167"/>
      <c r="T106" s="1167"/>
      <c r="U106" s="1167"/>
      <c r="V106" s="1167"/>
      <c r="W106" s="1167"/>
      <c r="X106" s="630"/>
      <c r="AA106" s="1915"/>
      <c r="AB106" s="1915"/>
      <c r="AC106" s="1804"/>
      <c r="AD106" s="1804"/>
      <c r="AE106" s="1804"/>
      <c r="AF106" s="1804"/>
      <c r="AG106" s="1804"/>
      <c r="AH106" s="1804"/>
      <c r="AI106" s="1781" t="s">
        <v>3</v>
      </c>
      <c r="AJ106" s="1827">
        <v>2015</v>
      </c>
      <c r="AK106" s="1822" t="s">
        <v>18</v>
      </c>
      <c r="AL106" s="1822">
        <v>2</v>
      </c>
      <c r="AM106" s="1823">
        <v>599310132.35000002</v>
      </c>
      <c r="AN106" s="1824">
        <v>0.23815090354406698</v>
      </c>
      <c r="AO106" s="1781"/>
      <c r="AP106" s="1781" t="s">
        <v>0</v>
      </c>
      <c r="AQ106" s="1781" t="s">
        <v>498</v>
      </c>
      <c r="AR106" s="1822" t="s">
        <v>386</v>
      </c>
      <c r="AS106" s="1822"/>
      <c r="AT106" s="1823">
        <v>4100164083.4299998</v>
      </c>
      <c r="AU106" s="1825"/>
      <c r="AV106" s="1781">
        <v>2008</v>
      </c>
      <c r="AW106" s="1671"/>
      <c r="AX106" s="1671"/>
      <c r="AY106" s="1804"/>
      <c r="AZ106" s="1804"/>
      <c r="BA106" s="1804"/>
      <c r="BB106" s="1804"/>
      <c r="BC106" s="1804"/>
      <c r="BD106" s="1804"/>
      <c r="BE106" s="1804"/>
      <c r="BF106" s="1804"/>
      <c r="BG106" s="1804"/>
      <c r="BH106" s="1804"/>
      <c r="BI106" s="1804"/>
      <c r="BJ106" s="1804"/>
      <c r="BK106" s="1804"/>
      <c r="BL106" s="1804"/>
      <c r="BM106" s="1804"/>
      <c r="BN106" s="1804"/>
      <c r="BO106" s="1804"/>
      <c r="BP106" s="1804"/>
      <c r="BQ106" s="1804"/>
      <c r="BR106" s="1804"/>
      <c r="BS106" s="1804"/>
      <c r="BT106" s="1804"/>
      <c r="BU106" s="1804"/>
      <c r="BV106" s="1804"/>
      <c r="BW106" s="1804"/>
      <c r="BX106" s="1804"/>
      <c r="BY106" s="1804"/>
      <c r="BZ106" s="1804"/>
      <c r="CA106" s="1804"/>
      <c r="CB106" s="1804"/>
      <c r="CC106" s="1804"/>
      <c r="CD106" s="1804"/>
      <c r="CE106" s="1804"/>
      <c r="CF106" s="1804"/>
      <c r="CG106" s="1804"/>
      <c r="CH106" s="1804"/>
      <c r="CI106" s="1804"/>
      <c r="CJ106" s="1804"/>
      <c r="CK106" s="1804"/>
      <c r="CL106" s="1804"/>
      <c r="CM106" s="1804"/>
      <c r="CN106" s="1804"/>
      <c r="CO106" s="1804"/>
      <c r="CP106" s="1804"/>
      <c r="CQ106" s="1804"/>
      <c r="CR106" s="1804"/>
      <c r="CS106" s="1804"/>
      <c r="CT106" s="1804"/>
      <c r="CU106" s="1804"/>
      <c r="CV106" s="1804"/>
      <c r="CW106" s="1804"/>
      <c r="CX106" s="1804"/>
      <c r="CY106" s="1804"/>
      <c r="CZ106" s="1804"/>
      <c r="DA106" s="1804"/>
      <c r="DB106" s="1804"/>
      <c r="DC106" s="1804"/>
      <c r="DD106" s="1804"/>
      <c r="DE106" s="1804"/>
      <c r="DF106" s="1804"/>
      <c r="DG106" s="1804"/>
      <c r="DH106" s="1804"/>
      <c r="DI106" s="1804"/>
      <c r="DJ106" s="1804"/>
      <c r="DK106" s="1804"/>
      <c r="DL106" s="1804"/>
      <c r="DM106" s="1804"/>
      <c r="DN106" s="1804"/>
      <c r="DO106" s="1804"/>
      <c r="DP106" s="1804"/>
      <c r="DQ106" s="1671"/>
      <c r="DR106" s="1671"/>
      <c r="DS106" s="1671"/>
      <c r="DT106" s="1671"/>
      <c r="DU106" s="1671"/>
      <c r="DV106" s="1671"/>
      <c r="DW106" s="1671"/>
      <c r="DX106" s="1671"/>
      <c r="DY106" s="1671"/>
      <c r="DZ106" s="1671"/>
      <c r="EA106" s="1740"/>
      <c r="EB106" s="1740"/>
      <c r="EC106" s="1740"/>
      <c r="ED106" s="1740"/>
      <c r="EE106" s="1740"/>
      <c r="EF106" s="1740"/>
      <c r="EG106" s="1740"/>
      <c r="EH106" s="1740"/>
      <c r="EI106" s="1740"/>
      <c r="EJ106" s="1740"/>
      <c r="EK106" s="1740"/>
      <c r="EL106" s="1740"/>
      <c r="EM106" s="1740"/>
      <c r="EN106" s="1740"/>
      <c r="EO106" s="1740"/>
      <c r="EP106" s="1740"/>
      <c r="EQ106" s="1740"/>
      <c r="ER106" s="1740"/>
      <c r="ES106" s="1740"/>
      <c r="ET106" s="1740"/>
      <c r="EU106" s="1740"/>
      <c r="EV106" s="1740"/>
      <c r="EW106" s="1740"/>
      <c r="EX106" s="1740"/>
      <c r="EY106" s="1740"/>
      <c r="EZ106" s="1740"/>
      <c r="FA106" s="1740"/>
      <c r="FB106" s="1740"/>
      <c r="FC106" s="1740"/>
      <c r="FD106" s="1740"/>
      <c r="FE106" s="1740"/>
      <c r="FF106" s="1740"/>
      <c r="FG106" s="1740"/>
      <c r="FH106" s="1740"/>
      <c r="FI106" s="1740"/>
      <c r="FJ106" s="1740"/>
      <c r="FK106" s="1740"/>
      <c r="FL106" s="1740"/>
      <c r="FM106" s="1740"/>
      <c r="FN106" s="1740"/>
      <c r="FO106" s="1740"/>
      <c r="FP106" s="1740"/>
      <c r="FQ106" s="1740"/>
      <c r="FR106" s="1740"/>
      <c r="FS106" s="1740"/>
      <c r="FT106" s="1740"/>
      <c r="FU106" s="1740"/>
      <c r="FV106" s="1740"/>
      <c r="FW106" s="1740"/>
      <c r="FX106" s="1740"/>
      <c r="FY106" s="1740"/>
      <c r="FZ106" s="1740"/>
      <c r="GA106" s="1740"/>
      <c r="GB106" s="1740"/>
      <c r="GC106" s="1740"/>
      <c r="GD106" s="1740"/>
      <c r="GE106" s="1740"/>
      <c r="GF106" s="1740"/>
    </row>
    <row r="107" spans="1:188" s="20" customFormat="1">
      <c r="A107" s="333">
        <f t="shared" si="2"/>
        <v>1979</v>
      </c>
      <c r="B107" s="333">
        <f t="shared" si="3"/>
        <v>1</v>
      </c>
      <c r="C107" s="1174">
        <v>28915</v>
      </c>
      <c r="D107" s="1158"/>
      <c r="E107" s="1159">
        <v>241.8409090909</v>
      </c>
      <c r="F107" s="1159">
        <v>216.27687395453734</v>
      </c>
      <c r="G107" s="1160"/>
      <c r="H107" s="1161"/>
      <c r="I107" s="1160"/>
      <c r="J107" s="1160"/>
      <c r="K107" s="1677"/>
      <c r="L107" s="1677"/>
      <c r="M107" s="1681"/>
      <c r="N107" s="1162"/>
      <c r="O107" s="1162"/>
      <c r="P107" s="1162"/>
      <c r="Q107" s="1163"/>
      <c r="R107" s="1164"/>
      <c r="S107" s="1164"/>
      <c r="T107" s="1164"/>
      <c r="U107" s="1165"/>
      <c r="V107" s="1166"/>
      <c r="W107" s="1166"/>
      <c r="X107" s="630"/>
      <c r="AA107" s="1915"/>
      <c r="AB107" s="1915"/>
      <c r="AC107" s="1804"/>
      <c r="AD107" s="1804"/>
      <c r="AE107" s="1804"/>
      <c r="AF107" s="1804"/>
      <c r="AG107" s="1804"/>
      <c r="AH107" s="1804"/>
      <c r="AI107" s="1781" t="s">
        <v>3</v>
      </c>
      <c r="AJ107" s="1827">
        <v>2015</v>
      </c>
      <c r="AK107" s="1822" t="s">
        <v>61</v>
      </c>
      <c r="AL107" s="1822">
        <v>3</v>
      </c>
      <c r="AM107" s="1823">
        <v>136583776.70999998</v>
      </c>
      <c r="AN107" s="1824">
        <v>5.4274987318170917E-2</v>
      </c>
      <c r="AO107" s="1781"/>
      <c r="AP107" s="1781" t="s">
        <v>0</v>
      </c>
      <c r="AQ107" s="1781" t="s">
        <v>497</v>
      </c>
      <c r="AR107" s="1822" t="s">
        <v>18</v>
      </c>
      <c r="AS107" s="1822">
        <v>1</v>
      </c>
      <c r="AT107" s="1823">
        <v>735391718.79999983</v>
      </c>
      <c r="AU107" s="1825">
        <v>0.1844729725338857</v>
      </c>
      <c r="AV107" s="1781">
        <v>2007</v>
      </c>
      <c r="AW107" s="1671"/>
      <c r="AX107" s="1925"/>
      <c r="AY107" s="1804"/>
      <c r="AZ107" s="1804"/>
      <c r="BA107" s="1804"/>
      <c r="BB107" s="1804"/>
      <c r="BC107" s="1804"/>
      <c r="BD107" s="1804"/>
      <c r="BE107" s="1804"/>
      <c r="BF107" s="1804"/>
      <c r="BG107" s="1804"/>
      <c r="BH107" s="1804"/>
      <c r="BI107" s="1804"/>
      <c r="BJ107" s="1804"/>
      <c r="BK107" s="1804"/>
      <c r="BL107" s="1804"/>
      <c r="BM107" s="1804"/>
      <c r="BN107" s="1804"/>
      <c r="BO107" s="1804"/>
      <c r="BP107" s="1804"/>
      <c r="BQ107" s="1804"/>
      <c r="BR107" s="1804"/>
      <c r="BS107" s="1804"/>
      <c r="BT107" s="1804"/>
      <c r="BU107" s="1804"/>
      <c r="BV107" s="1804"/>
      <c r="BW107" s="1804"/>
      <c r="BX107" s="1804"/>
      <c r="BY107" s="1804"/>
      <c r="BZ107" s="1804"/>
      <c r="CA107" s="1804"/>
      <c r="CB107" s="1804"/>
      <c r="CC107" s="1804"/>
      <c r="CD107" s="1804"/>
      <c r="CE107" s="1804"/>
      <c r="CF107" s="1804"/>
      <c r="CG107" s="1804"/>
      <c r="CH107" s="1804"/>
      <c r="CI107" s="1804"/>
      <c r="CJ107" s="1804"/>
      <c r="CK107" s="1804"/>
      <c r="CL107" s="1804"/>
      <c r="CM107" s="1804"/>
      <c r="CN107" s="1804"/>
      <c r="CO107" s="1804"/>
      <c r="CP107" s="1804"/>
      <c r="CQ107" s="1804"/>
      <c r="CR107" s="1804"/>
      <c r="CS107" s="1804"/>
      <c r="CT107" s="1804"/>
      <c r="CU107" s="1804"/>
      <c r="CV107" s="1804"/>
      <c r="CW107" s="1804"/>
      <c r="CX107" s="1804"/>
      <c r="CY107" s="1804"/>
      <c r="CZ107" s="1804"/>
      <c r="DA107" s="1804"/>
      <c r="DB107" s="1804"/>
      <c r="DC107" s="1804"/>
      <c r="DD107" s="1804"/>
      <c r="DE107" s="1804"/>
      <c r="DF107" s="1804"/>
      <c r="DG107" s="1804"/>
      <c r="DH107" s="1804"/>
      <c r="DI107" s="1804"/>
      <c r="DJ107" s="1804"/>
      <c r="DK107" s="1804"/>
      <c r="DL107" s="1804"/>
      <c r="DM107" s="1804"/>
      <c r="DN107" s="1804"/>
      <c r="DO107" s="1804"/>
      <c r="DP107" s="1804"/>
      <c r="DQ107" s="1671"/>
      <c r="DR107" s="1671"/>
      <c r="DS107" s="1671"/>
      <c r="DT107" s="1671"/>
      <c r="DU107" s="1671"/>
      <c r="DV107" s="1671"/>
      <c r="DW107" s="1671"/>
      <c r="DX107" s="1671"/>
      <c r="DY107" s="1671"/>
      <c r="DZ107" s="1671"/>
      <c r="EA107" s="1740"/>
      <c r="EB107" s="1740"/>
      <c r="EC107" s="1740"/>
      <c r="ED107" s="1740"/>
      <c r="EE107" s="1740"/>
      <c r="EF107" s="1740"/>
      <c r="EG107" s="1740"/>
      <c r="EH107" s="1740"/>
      <c r="EI107" s="1740"/>
      <c r="EJ107" s="1740"/>
      <c r="EK107" s="1740"/>
      <c r="EL107" s="1740"/>
      <c r="EM107" s="1740"/>
      <c r="EN107" s="1740"/>
      <c r="EO107" s="1740"/>
      <c r="EP107" s="1740"/>
      <c r="EQ107" s="1740"/>
      <c r="ER107" s="1740"/>
      <c r="ES107" s="1740"/>
      <c r="ET107" s="1740"/>
      <c r="EU107" s="1740"/>
      <c r="EV107" s="1740"/>
      <c r="EW107" s="1740"/>
      <c r="EX107" s="1740"/>
      <c r="EY107" s="1740"/>
      <c r="EZ107" s="1740"/>
      <c r="FA107" s="1740"/>
      <c r="FB107" s="1740"/>
      <c r="FC107" s="1740"/>
      <c r="FD107" s="1740"/>
      <c r="FE107" s="1740"/>
      <c r="FF107" s="1740"/>
      <c r="FG107" s="1740"/>
      <c r="FH107" s="1740"/>
      <c r="FI107" s="1740"/>
      <c r="FJ107" s="1740"/>
      <c r="FK107" s="1740"/>
      <c r="FL107" s="1740"/>
      <c r="FM107" s="1740"/>
      <c r="FN107" s="1740"/>
      <c r="FO107" s="1740"/>
      <c r="FP107" s="1740"/>
      <c r="FQ107" s="1740"/>
      <c r="FR107" s="1740"/>
      <c r="FS107" s="1740"/>
      <c r="FT107" s="1740"/>
      <c r="FU107" s="1740"/>
      <c r="FV107" s="1740"/>
      <c r="FW107" s="1740"/>
      <c r="FX107" s="1740"/>
      <c r="FY107" s="1740"/>
      <c r="FZ107" s="1740"/>
      <c r="GA107" s="1740"/>
      <c r="GB107" s="1740"/>
      <c r="GC107" s="1740"/>
      <c r="GD107" s="1740"/>
      <c r="GE107" s="1740"/>
      <c r="GF107" s="1740"/>
    </row>
    <row r="108" spans="1:188" s="20" customFormat="1">
      <c r="A108" s="333">
        <f t="shared" si="2"/>
        <v>1979</v>
      </c>
      <c r="B108" s="333">
        <f t="shared" si="3"/>
        <v>2</v>
      </c>
      <c r="C108" s="1174">
        <v>28947</v>
      </c>
      <c r="D108" s="1167"/>
      <c r="E108" s="1168">
        <v>239.3605263158</v>
      </c>
      <c r="F108" s="1168">
        <v>217.12680574737797</v>
      </c>
      <c r="G108" s="1168"/>
      <c r="H108" s="1167"/>
      <c r="I108" s="1168"/>
      <c r="J108" s="1168"/>
      <c r="K108" s="1678"/>
      <c r="L108" s="1678"/>
      <c r="M108" s="1682"/>
      <c r="N108" s="1169"/>
      <c r="O108" s="1169"/>
      <c r="P108" s="1169"/>
      <c r="Q108" s="1167"/>
      <c r="R108" s="1167"/>
      <c r="S108" s="1167"/>
      <c r="T108" s="1167"/>
      <c r="U108" s="1167"/>
      <c r="V108" s="1167"/>
      <c r="W108" s="1167"/>
      <c r="X108" s="630"/>
      <c r="AA108" s="1915"/>
      <c r="AB108" s="1915"/>
      <c r="AC108" s="1804"/>
      <c r="AD108" s="1804"/>
      <c r="AE108" s="1804"/>
      <c r="AF108" s="1804"/>
      <c r="AG108" s="1804"/>
      <c r="AH108" s="1804"/>
      <c r="AI108" s="1781" t="s">
        <v>3</v>
      </c>
      <c r="AJ108" s="1827">
        <v>2015</v>
      </c>
      <c r="AK108" s="1822" t="s">
        <v>23</v>
      </c>
      <c r="AL108" s="1822">
        <v>4</v>
      </c>
      <c r="AM108" s="1823">
        <v>111185230.85999998</v>
      </c>
      <c r="AN108" s="1824">
        <v>4.4182238478492619E-2</v>
      </c>
      <c r="AO108" s="1781"/>
      <c r="AP108" s="1781" t="s">
        <v>0</v>
      </c>
      <c r="AQ108" s="1781" t="s">
        <v>497</v>
      </c>
      <c r="AR108" s="1822" t="s">
        <v>17</v>
      </c>
      <c r="AS108" s="1822">
        <v>2</v>
      </c>
      <c r="AT108" s="1823">
        <v>638515856.45999992</v>
      </c>
      <c r="AU108" s="1825">
        <v>0.1601716677519868</v>
      </c>
      <c r="AV108" s="1781">
        <v>2007</v>
      </c>
      <c r="AW108" s="1671"/>
      <c r="AX108" s="1671"/>
      <c r="AY108" s="1804"/>
      <c r="AZ108" s="1804"/>
      <c r="BA108" s="1804"/>
      <c r="BB108" s="1804"/>
      <c r="BC108" s="1804"/>
      <c r="BD108" s="1804"/>
      <c r="BE108" s="1804"/>
      <c r="BF108" s="1804"/>
      <c r="BG108" s="1804"/>
      <c r="BH108" s="1804"/>
      <c r="BI108" s="1804"/>
      <c r="BJ108" s="1804"/>
      <c r="BK108" s="1804"/>
      <c r="BL108" s="1804"/>
      <c r="BM108" s="1804"/>
      <c r="BN108" s="1804"/>
      <c r="BO108" s="1804"/>
      <c r="BP108" s="1804"/>
      <c r="BQ108" s="1804"/>
      <c r="BR108" s="1804"/>
      <c r="BS108" s="1804"/>
      <c r="BT108" s="1804"/>
      <c r="BU108" s="1804"/>
      <c r="BV108" s="1804"/>
      <c r="BW108" s="1804"/>
      <c r="BX108" s="1804"/>
      <c r="BY108" s="1804"/>
      <c r="BZ108" s="1804"/>
      <c r="CA108" s="1804"/>
      <c r="CB108" s="1804"/>
      <c r="CC108" s="1804"/>
      <c r="CD108" s="1804"/>
      <c r="CE108" s="1804"/>
      <c r="CF108" s="1804"/>
      <c r="CG108" s="1804"/>
      <c r="CH108" s="1804"/>
      <c r="CI108" s="1804"/>
      <c r="CJ108" s="1804"/>
      <c r="CK108" s="1804"/>
      <c r="CL108" s="1804"/>
      <c r="CM108" s="1804"/>
      <c r="CN108" s="1804"/>
      <c r="CO108" s="1804"/>
      <c r="CP108" s="1804"/>
      <c r="CQ108" s="1804"/>
      <c r="CR108" s="1804"/>
      <c r="CS108" s="1804"/>
      <c r="CT108" s="1804"/>
      <c r="CU108" s="1804"/>
      <c r="CV108" s="1804"/>
      <c r="CW108" s="1804"/>
      <c r="CX108" s="1804"/>
      <c r="CY108" s="1804"/>
      <c r="CZ108" s="1804"/>
      <c r="DA108" s="1804"/>
      <c r="DB108" s="1804"/>
      <c r="DC108" s="1804"/>
      <c r="DD108" s="1804"/>
      <c r="DE108" s="1804"/>
      <c r="DF108" s="1804"/>
      <c r="DG108" s="1804"/>
      <c r="DH108" s="1804"/>
      <c r="DI108" s="1804"/>
      <c r="DJ108" s="1804"/>
      <c r="DK108" s="1804"/>
      <c r="DL108" s="1804"/>
      <c r="DM108" s="1804"/>
      <c r="DN108" s="1804"/>
      <c r="DO108" s="1804"/>
      <c r="DP108" s="1804"/>
      <c r="DQ108" s="1671"/>
      <c r="DR108" s="1671"/>
      <c r="DS108" s="1671"/>
      <c r="DT108" s="1671"/>
      <c r="DU108" s="1671"/>
      <c r="DV108" s="1671"/>
      <c r="DW108" s="1671"/>
      <c r="DX108" s="1671"/>
      <c r="DY108" s="1671"/>
      <c r="DZ108" s="1671"/>
      <c r="EA108" s="1740"/>
      <c r="EB108" s="1740"/>
      <c r="EC108" s="1740"/>
      <c r="ED108" s="1740"/>
      <c r="EE108" s="1740"/>
      <c r="EF108" s="1740"/>
      <c r="EG108" s="1740"/>
      <c r="EH108" s="1740"/>
      <c r="EI108" s="1740"/>
      <c r="EJ108" s="1740"/>
      <c r="EK108" s="1740"/>
      <c r="EL108" s="1740"/>
      <c r="EM108" s="1740"/>
      <c r="EN108" s="1740"/>
      <c r="EO108" s="1740"/>
      <c r="EP108" s="1740"/>
      <c r="EQ108" s="1740"/>
      <c r="ER108" s="1740"/>
      <c r="ES108" s="1740"/>
      <c r="ET108" s="1740"/>
      <c r="EU108" s="1740"/>
      <c r="EV108" s="1740"/>
      <c r="EW108" s="1740"/>
      <c r="EX108" s="1740"/>
      <c r="EY108" s="1740"/>
      <c r="EZ108" s="1740"/>
      <c r="FA108" s="1740"/>
      <c r="FB108" s="1740"/>
      <c r="FC108" s="1740"/>
      <c r="FD108" s="1740"/>
      <c r="FE108" s="1740"/>
      <c r="FF108" s="1740"/>
      <c r="FG108" s="1740"/>
      <c r="FH108" s="1740"/>
      <c r="FI108" s="1740"/>
      <c r="FJ108" s="1740"/>
      <c r="FK108" s="1740"/>
      <c r="FL108" s="1740"/>
      <c r="FM108" s="1740"/>
      <c r="FN108" s="1740"/>
      <c r="FO108" s="1740"/>
      <c r="FP108" s="1740"/>
      <c r="FQ108" s="1740"/>
      <c r="FR108" s="1740"/>
      <c r="FS108" s="1740"/>
      <c r="FT108" s="1740"/>
      <c r="FU108" s="1740"/>
      <c r="FV108" s="1740"/>
      <c r="FW108" s="1740"/>
      <c r="FX108" s="1740"/>
      <c r="FY108" s="1740"/>
      <c r="FZ108" s="1740"/>
      <c r="GA108" s="1740"/>
      <c r="GB108" s="1740"/>
      <c r="GC108" s="1740"/>
      <c r="GD108" s="1740"/>
      <c r="GE108" s="1740"/>
      <c r="GF108" s="1740"/>
    </row>
    <row r="109" spans="1:188" s="20" customFormat="1">
      <c r="A109" s="333">
        <f t="shared" si="2"/>
        <v>1979</v>
      </c>
      <c r="B109" s="333">
        <f t="shared" si="3"/>
        <v>2</v>
      </c>
      <c r="C109" s="1174">
        <v>28976</v>
      </c>
      <c r="D109" s="1158"/>
      <c r="E109" s="1159">
        <v>258.27380952380003</v>
      </c>
      <c r="F109" s="1159">
        <v>233.77421422618187</v>
      </c>
      <c r="G109" s="1160"/>
      <c r="H109" s="1161"/>
      <c r="I109" s="1160"/>
      <c r="J109" s="1160"/>
      <c r="K109" s="1677"/>
      <c r="L109" s="1677"/>
      <c r="M109" s="1681"/>
      <c r="N109" s="1162"/>
      <c r="O109" s="1162"/>
      <c r="P109" s="1162"/>
      <c r="Q109" s="1163"/>
      <c r="R109" s="1164"/>
      <c r="S109" s="1164"/>
      <c r="T109" s="1164"/>
      <c r="U109" s="1165"/>
      <c r="V109" s="1166"/>
      <c r="W109" s="1166"/>
      <c r="X109" s="630"/>
      <c r="AA109" s="1915"/>
      <c r="AB109" s="1915"/>
      <c r="AC109" s="1804"/>
      <c r="AD109" s="1804"/>
      <c r="AE109" s="1804"/>
      <c r="AF109" s="1804"/>
      <c r="AG109" s="1804"/>
      <c r="AH109" s="1804"/>
      <c r="AI109" s="1781" t="s">
        <v>3</v>
      </c>
      <c r="AJ109" s="1827">
        <v>2015</v>
      </c>
      <c r="AK109" s="1822" t="s">
        <v>758</v>
      </c>
      <c r="AL109" s="1822">
        <v>5</v>
      </c>
      <c r="AM109" s="1823">
        <v>85893768.76000002</v>
      </c>
      <c r="AN109" s="1824">
        <v>3.4132042051064376E-2</v>
      </c>
      <c r="AO109" s="1781"/>
      <c r="AP109" s="1781" t="s">
        <v>0</v>
      </c>
      <c r="AQ109" s="1781" t="s">
        <v>497</v>
      </c>
      <c r="AR109" s="1822" t="s">
        <v>32</v>
      </c>
      <c r="AS109" s="1822">
        <v>3</v>
      </c>
      <c r="AT109" s="1823">
        <v>597646915.80000019</v>
      </c>
      <c r="AU109" s="1825">
        <v>0.14991969621746434</v>
      </c>
      <c r="AV109" s="1781">
        <v>2007</v>
      </c>
      <c r="AW109" s="1671"/>
      <c r="AX109" s="1671"/>
      <c r="AY109" s="1804"/>
      <c r="AZ109" s="1804"/>
      <c r="BA109" s="1804"/>
      <c r="BB109" s="1804"/>
      <c r="BC109" s="1804"/>
      <c r="BD109" s="1804"/>
      <c r="BE109" s="1804"/>
      <c r="BF109" s="1804"/>
      <c r="BG109" s="1804"/>
      <c r="BH109" s="1804"/>
      <c r="BI109" s="1804"/>
      <c r="BJ109" s="1804"/>
      <c r="BK109" s="1804"/>
      <c r="BL109" s="1804"/>
      <c r="BM109" s="1804"/>
      <c r="BN109" s="1804"/>
      <c r="BO109" s="1804"/>
      <c r="BP109" s="1804"/>
      <c r="BQ109" s="1804"/>
      <c r="BR109" s="1804"/>
      <c r="BS109" s="1804"/>
      <c r="BT109" s="1804"/>
      <c r="BU109" s="1804"/>
      <c r="BV109" s="1804"/>
      <c r="BW109" s="1804"/>
      <c r="BX109" s="1804"/>
      <c r="BY109" s="1804"/>
      <c r="BZ109" s="1804"/>
      <c r="CA109" s="1804"/>
      <c r="CB109" s="1804"/>
      <c r="CC109" s="1804"/>
      <c r="CD109" s="1804"/>
      <c r="CE109" s="1804"/>
      <c r="CF109" s="1804"/>
      <c r="CG109" s="1804"/>
      <c r="CH109" s="1804"/>
      <c r="CI109" s="1804"/>
      <c r="CJ109" s="1804"/>
      <c r="CK109" s="1804"/>
      <c r="CL109" s="1804"/>
      <c r="CM109" s="1804"/>
      <c r="CN109" s="1804"/>
      <c r="CO109" s="1804"/>
      <c r="CP109" s="1804"/>
      <c r="CQ109" s="1804"/>
      <c r="CR109" s="1804"/>
      <c r="CS109" s="1804"/>
      <c r="CT109" s="1804"/>
      <c r="CU109" s="1804"/>
      <c r="CV109" s="1804"/>
      <c r="CW109" s="1804"/>
      <c r="CX109" s="1804"/>
      <c r="CY109" s="1804"/>
      <c r="CZ109" s="1804"/>
      <c r="DA109" s="1804"/>
      <c r="DB109" s="1804"/>
      <c r="DC109" s="1804"/>
      <c r="DD109" s="1804"/>
      <c r="DE109" s="1804"/>
      <c r="DF109" s="1804"/>
      <c r="DG109" s="1804"/>
      <c r="DH109" s="1804"/>
      <c r="DI109" s="1804"/>
      <c r="DJ109" s="1804"/>
      <c r="DK109" s="1804"/>
      <c r="DL109" s="1804"/>
      <c r="DM109" s="1804"/>
      <c r="DN109" s="1804"/>
      <c r="DO109" s="1804"/>
      <c r="DP109" s="1804"/>
      <c r="DQ109" s="1671"/>
      <c r="DR109" s="1671"/>
      <c r="DS109" s="1671"/>
      <c r="DT109" s="1671"/>
      <c r="DU109" s="1671"/>
      <c r="DV109" s="1671"/>
      <c r="DW109" s="1671"/>
      <c r="DX109" s="1671"/>
      <c r="DY109" s="1671"/>
      <c r="DZ109" s="1671"/>
      <c r="EA109" s="1740"/>
      <c r="EB109" s="1740"/>
      <c r="EC109" s="1740"/>
      <c r="ED109" s="1740"/>
      <c r="EE109" s="1740"/>
      <c r="EF109" s="1740"/>
      <c r="EG109" s="1740"/>
      <c r="EH109" s="1740"/>
      <c r="EI109" s="1740"/>
      <c r="EJ109" s="1740"/>
      <c r="EK109" s="1740"/>
      <c r="EL109" s="1740"/>
      <c r="EM109" s="1740"/>
      <c r="EN109" s="1740"/>
      <c r="EO109" s="1740"/>
      <c r="EP109" s="1740"/>
      <c r="EQ109" s="1740"/>
      <c r="ER109" s="1740"/>
      <c r="ES109" s="1740"/>
      <c r="ET109" s="1740"/>
      <c r="EU109" s="1740"/>
      <c r="EV109" s="1740"/>
      <c r="EW109" s="1740"/>
      <c r="EX109" s="1740"/>
      <c r="EY109" s="1740"/>
      <c r="EZ109" s="1740"/>
      <c r="FA109" s="1740"/>
      <c r="FB109" s="1740"/>
      <c r="FC109" s="1740"/>
      <c r="FD109" s="1740"/>
      <c r="FE109" s="1740"/>
      <c r="FF109" s="1740"/>
      <c r="FG109" s="1740"/>
      <c r="FH109" s="1740"/>
      <c r="FI109" s="1740"/>
      <c r="FJ109" s="1740"/>
      <c r="FK109" s="1740"/>
      <c r="FL109" s="1740"/>
      <c r="FM109" s="1740"/>
      <c r="FN109" s="1740"/>
      <c r="FO109" s="1740"/>
      <c r="FP109" s="1740"/>
      <c r="FQ109" s="1740"/>
      <c r="FR109" s="1740"/>
      <c r="FS109" s="1740"/>
      <c r="FT109" s="1740"/>
      <c r="FU109" s="1740"/>
      <c r="FV109" s="1740"/>
      <c r="FW109" s="1740"/>
      <c r="FX109" s="1740"/>
      <c r="FY109" s="1740"/>
      <c r="FZ109" s="1740"/>
      <c r="GA109" s="1740"/>
      <c r="GB109" s="1740"/>
      <c r="GC109" s="1740"/>
      <c r="GD109" s="1740"/>
      <c r="GE109" s="1740"/>
      <c r="GF109" s="1740"/>
    </row>
    <row r="110" spans="1:188" s="20" customFormat="1">
      <c r="A110" s="333">
        <f t="shared" si="2"/>
        <v>1979</v>
      </c>
      <c r="B110" s="333">
        <f t="shared" si="3"/>
        <v>2</v>
      </c>
      <c r="C110" s="1174">
        <v>29007</v>
      </c>
      <c r="D110" s="1167"/>
      <c r="E110" s="1168">
        <v>279.24285714289999</v>
      </c>
      <c r="F110" s="1168">
        <v>249.07932295718109</v>
      </c>
      <c r="G110" s="1168"/>
      <c r="H110" s="1167"/>
      <c r="I110" s="1168"/>
      <c r="J110" s="1168"/>
      <c r="K110" s="1678"/>
      <c r="L110" s="1678"/>
      <c r="M110" s="1682"/>
      <c r="N110" s="1169"/>
      <c r="O110" s="1169"/>
      <c r="P110" s="1169"/>
      <c r="Q110" s="1167"/>
      <c r="R110" s="1167"/>
      <c r="S110" s="1167"/>
      <c r="T110" s="1167"/>
      <c r="U110" s="1167"/>
      <c r="V110" s="1167"/>
      <c r="W110" s="1167"/>
      <c r="X110" s="630"/>
      <c r="AA110" s="1915"/>
      <c r="AB110" s="1915"/>
      <c r="AC110" s="1804"/>
      <c r="AD110" s="1804"/>
      <c r="AE110" s="1804"/>
      <c r="AF110" s="1804"/>
      <c r="AG110" s="1804"/>
      <c r="AH110" s="1804"/>
      <c r="AI110" s="1781" t="s">
        <v>3</v>
      </c>
      <c r="AJ110" s="1827">
        <v>2015</v>
      </c>
      <c r="AK110" s="1822" t="s">
        <v>57</v>
      </c>
      <c r="AL110" s="1822">
        <v>6</v>
      </c>
      <c r="AM110" s="1823">
        <v>85645456.129999995</v>
      </c>
      <c r="AN110" s="1824">
        <v>3.4033368803268571E-2</v>
      </c>
      <c r="AO110" s="1781"/>
      <c r="AP110" s="1781" t="s">
        <v>0</v>
      </c>
      <c r="AQ110" s="1781" t="s">
        <v>497</v>
      </c>
      <c r="AR110" s="1822" t="s">
        <v>135</v>
      </c>
      <c r="AS110" s="1822">
        <v>4</v>
      </c>
      <c r="AT110" s="1823">
        <v>584217459.3499999</v>
      </c>
      <c r="AU110" s="1825">
        <v>0.1465509177997682</v>
      </c>
      <c r="AV110" s="1781">
        <v>2007</v>
      </c>
      <c r="AW110" s="1671"/>
      <c r="AX110" s="1925"/>
      <c r="AY110" s="1804"/>
      <c r="AZ110" s="1804"/>
      <c r="BA110" s="1804"/>
      <c r="BB110" s="1804"/>
      <c r="BC110" s="1804"/>
      <c r="BD110" s="1804"/>
      <c r="BE110" s="1804"/>
      <c r="BF110" s="1804"/>
      <c r="BG110" s="1804"/>
      <c r="BH110" s="1804"/>
      <c r="BI110" s="1804"/>
      <c r="BJ110" s="1804"/>
      <c r="BK110" s="1804"/>
      <c r="BL110" s="1804"/>
      <c r="BM110" s="1804"/>
      <c r="BN110" s="1804"/>
      <c r="BO110" s="1804"/>
      <c r="BP110" s="1804"/>
      <c r="BQ110" s="1804"/>
      <c r="BR110" s="1804"/>
      <c r="BS110" s="1804"/>
      <c r="BT110" s="1804"/>
      <c r="BU110" s="1804"/>
      <c r="BV110" s="1804"/>
      <c r="BW110" s="1804"/>
      <c r="BX110" s="1804"/>
      <c r="BY110" s="1804"/>
      <c r="BZ110" s="1804"/>
      <c r="CA110" s="1804"/>
      <c r="CB110" s="1804"/>
      <c r="CC110" s="1804"/>
      <c r="CD110" s="1804"/>
      <c r="CE110" s="1804"/>
      <c r="CF110" s="1804"/>
      <c r="CG110" s="1804"/>
      <c r="CH110" s="1804"/>
      <c r="CI110" s="1804"/>
      <c r="CJ110" s="1804"/>
      <c r="CK110" s="1804"/>
      <c r="CL110" s="1804"/>
      <c r="CM110" s="1804"/>
      <c r="CN110" s="1804"/>
      <c r="CO110" s="1804"/>
      <c r="CP110" s="1804"/>
      <c r="CQ110" s="1804"/>
      <c r="CR110" s="1804"/>
      <c r="CS110" s="1804"/>
      <c r="CT110" s="1804"/>
      <c r="CU110" s="1804"/>
      <c r="CV110" s="1804"/>
      <c r="CW110" s="1804"/>
      <c r="CX110" s="1804"/>
      <c r="CY110" s="1804"/>
      <c r="CZ110" s="1804"/>
      <c r="DA110" s="1804"/>
      <c r="DB110" s="1804"/>
      <c r="DC110" s="1804"/>
      <c r="DD110" s="1804"/>
      <c r="DE110" s="1804"/>
      <c r="DF110" s="1804"/>
      <c r="DG110" s="1804"/>
      <c r="DH110" s="1804"/>
      <c r="DI110" s="1804"/>
      <c r="DJ110" s="1804"/>
      <c r="DK110" s="1804"/>
      <c r="DL110" s="1804"/>
      <c r="DM110" s="1804"/>
      <c r="DN110" s="1804"/>
      <c r="DO110" s="1804"/>
      <c r="DP110" s="1804"/>
      <c r="DQ110" s="1671"/>
      <c r="DR110" s="1671"/>
      <c r="DS110" s="1671"/>
      <c r="DT110" s="1671"/>
      <c r="DU110" s="1671"/>
      <c r="DV110" s="1671"/>
      <c r="DW110" s="1671"/>
      <c r="DX110" s="1671"/>
      <c r="DY110" s="1671"/>
      <c r="DZ110" s="1671"/>
      <c r="EA110" s="1740"/>
      <c r="EB110" s="1740"/>
      <c r="EC110" s="1740"/>
      <c r="ED110" s="1740"/>
      <c r="EE110" s="1740"/>
      <c r="EF110" s="1740"/>
      <c r="EG110" s="1740"/>
      <c r="EH110" s="1740"/>
      <c r="EI110" s="1740"/>
      <c r="EJ110" s="1740"/>
      <c r="EK110" s="1740"/>
      <c r="EL110" s="1740"/>
      <c r="EM110" s="1740"/>
      <c r="EN110" s="1740"/>
      <c r="EO110" s="1740"/>
      <c r="EP110" s="1740"/>
      <c r="EQ110" s="1740"/>
      <c r="ER110" s="1740"/>
      <c r="ES110" s="1740"/>
      <c r="ET110" s="1740"/>
      <c r="EU110" s="1740"/>
      <c r="EV110" s="1740"/>
      <c r="EW110" s="1740"/>
      <c r="EX110" s="1740"/>
      <c r="EY110" s="1740"/>
      <c r="EZ110" s="1740"/>
      <c r="FA110" s="1740"/>
      <c r="FB110" s="1740"/>
      <c r="FC110" s="1740"/>
      <c r="FD110" s="1740"/>
      <c r="FE110" s="1740"/>
      <c r="FF110" s="1740"/>
      <c r="FG110" s="1740"/>
      <c r="FH110" s="1740"/>
      <c r="FI110" s="1740"/>
      <c r="FJ110" s="1740"/>
      <c r="FK110" s="1740"/>
      <c r="FL110" s="1740"/>
      <c r="FM110" s="1740"/>
      <c r="FN110" s="1740"/>
      <c r="FO110" s="1740"/>
      <c r="FP110" s="1740"/>
      <c r="FQ110" s="1740"/>
      <c r="FR110" s="1740"/>
      <c r="FS110" s="1740"/>
      <c r="FT110" s="1740"/>
      <c r="FU110" s="1740"/>
      <c r="FV110" s="1740"/>
      <c r="FW110" s="1740"/>
      <c r="FX110" s="1740"/>
      <c r="FY110" s="1740"/>
      <c r="FZ110" s="1740"/>
      <c r="GA110" s="1740"/>
      <c r="GB110" s="1740"/>
      <c r="GC110" s="1740"/>
      <c r="GD110" s="1740"/>
      <c r="GE110" s="1740"/>
      <c r="GF110" s="1740"/>
    </row>
    <row r="111" spans="1:188" s="20" customFormat="1">
      <c r="A111" s="333">
        <f t="shared" si="2"/>
        <v>1979</v>
      </c>
      <c r="B111" s="333">
        <f t="shared" si="3"/>
        <v>3</v>
      </c>
      <c r="C111" s="1174">
        <v>29038</v>
      </c>
      <c r="D111" s="1158"/>
      <c r="E111" s="1159">
        <v>294.85909090910002</v>
      </c>
      <c r="F111" s="1159">
        <v>260.89102877728078</v>
      </c>
      <c r="G111" s="1160"/>
      <c r="H111" s="1161"/>
      <c r="I111" s="1160"/>
      <c r="J111" s="1160"/>
      <c r="K111" s="1677"/>
      <c r="L111" s="1677"/>
      <c r="M111" s="1681"/>
      <c r="N111" s="1162"/>
      <c r="O111" s="1162"/>
      <c r="P111" s="1162"/>
      <c r="Q111" s="1163"/>
      <c r="R111" s="1164"/>
      <c r="S111" s="1164"/>
      <c r="T111" s="1164"/>
      <c r="U111" s="1165"/>
      <c r="V111" s="1166"/>
      <c r="W111" s="1166"/>
      <c r="X111" s="630"/>
      <c r="AA111" s="1915"/>
      <c r="AB111" s="1915"/>
      <c r="AC111" s="1804"/>
      <c r="AD111" s="1804"/>
      <c r="AE111" s="1804"/>
      <c r="AF111" s="1804"/>
      <c r="AG111" s="1804"/>
      <c r="AH111" s="1804"/>
      <c r="AI111" s="1781" t="s">
        <v>3</v>
      </c>
      <c r="AJ111" s="1827">
        <v>2015</v>
      </c>
      <c r="AK111" s="1822" t="s">
        <v>60</v>
      </c>
      <c r="AL111" s="1822">
        <v>7</v>
      </c>
      <c r="AM111" s="1823">
        <v>63307829.289999992</v>
      </c>
      <c r="AN111" s="1824">
        <v>2.5156952857960546E-2</v>
      </c>
      <c r="AO111" s="1781"/>
      <c r="AP111" s="1781" t="s">
        <v>0</v>
      </c>
      <c r="AQ111" s="1781" t="s">
        <v>497</v>
      </c>
      <c r="AR111" s="1822" t="s">
        <v>26</v>
      </c>
      <c r="AS111" s="1822">
        <v>5</v>
      </c>
      <c r="AT111" s="1823">
        <v>343277955.83999997</v>
      </c>
      <c r="AU111" s="1825">
        <v>8.6111256491294558E-2</v>
      </c>
      <c r="AV111" s="1781">
        <v>2007</v>
      </c>
      <c r="AW111" s="1671"/>
      <c r="AX111" s="1671"/>
      <c r="AY111" s="1804"/>
      <c r="AZ111" s="1804"/>
      <c r="BA111" s="1804"/>
      <c r="BB111" s="1804"/>
      <c r="BC111" s="1804"/>
      <c r="BD111" s="1804"/>
      <c r="BE111" s="1804"/>
      <c r="BF111" s="1804"/>
      <c r="BG111" s="1804"/>
      <c r="BH111" s="1804"/>
      <c r="BI111" s="1804"/>
      <c r="BJ111" s="1804"/>
      <c r="BK111" s="1804"/>
      <c r="BL111" s="1804"/>
      <c r="BM111" s="1804"/>
      <c r="BN111" s="1804"/>
      <c r="BO111" s="1804"/>
      <c r="BP111" s="1804"/>
      <c r="BQ111" s="1804"/>
      <c r="BR111" s="1804"/>
      <c r="BS111" s="1804"/>
      <c r="BT111" s="1804"/>
      <c r="BU111" s="1804"/>
      <c r="BV111" s="1804"/>
      <c r="BW111" s="1804"/>
      <c r="BX111" s="1804"/>
      <c r="BY111" s="1804"/>
      <c r="BZ111" s="1804"/>
      <c r="CA111" s="1804"/>
      <c r="CB111" s="1804"/>
      <c r="CC111" s="1804"/>
      <c r="CD111" s="1804"/>
      <c r="CE111" s="1804"/>
      <c r="CF111" s="1804"/>
      <c r="CG111" s="1804"/>
      <c r="CH111" s="1804"/>
      <c r="CI111" s="1804"/>
      <c r="CJ111" s="1804"/>
      <c r="CK111" s="1804"/>
      <c r="CL111" s="1804"/>
      <c r="CM111" s="1804"/>
      <c r="CN111" s="1804"/>
      <c r="CO111" s="1804"/>
      <c r="CP111" s="1804"/>
      <c r="CQ111" s="1804"/>
      <c r="CR111" s="1804"/>
      <c r="CS111" s="1804"/>
      <c r="CT111" s="1804"/>
      <c r="CU111" s="1804"/>
      <c r="CV111" s="1804"/>
      <c r="CW111" s="1804"/>
      <c r="CX111" s="1804"/>
      <c r="CY111" s="1804"/>
      <c r="CZ111" s="1804"/>
      <c r="DA111" s="1804"/>
      <c r="DB111" s="1804"/>
      <c r="DC111" s="1804"/>
      <c r="DD111" s="1804"/>
      <c r="DE111" s="1804"/>
      <c r="DF111" s="1804"/>
      <c r="DG111" s="1804"/>
      <c r="DH111" s="1804"/>
      <c r="DI111" s="1804"/>
      <c r="DJ111" s="1804"/>
      <c r="DK111" s="1804"/>
      <c r="DL111" s="1804"/>
      <c r="DM111" s="1804"/>
      <c r="DN111" s="1804"/>
      <c r="DO111" s="1804"/>
      <c r="DP111" s="1804"/>
      <c r="DQ111" s="1671"/>
      <c r="DR111" s="1671"/>
      <c r="DS111" s="1671"/>
      <c r="DT111" s="1671"/>
      <c r="DU111" s="1671"/>
      <c r="DV111" s="1671"/>
      <c r="DW111" s="1671"/>
      <c r="DX111" s="1671"/>
      <c r="DY111" s="1671"/>
      <c r="DZ111" s="1671"/>
      <c r="EA111" s="1740"/>
      <c r="EB111" s="1740"/>
      <c r="EC111" s="1740"/>
      <c r="ED111" s="1740"/>
      <c r="EE111" s="1740"/>
      <c r="EF111" s="1740"/>
      <c r="EG111" s="1740"/>
      <c r="EH111" s="1740"/>
      <c r="EI111" s="1740"/>
      <c r="EJ111" s="1740"/>
      <c r="EK111" s="1740"/>
      <c r="EL111" s="1740"/>
      <c r="EM111" s="1740"/>
      <c r="EN111" s="1740"/>
      <c r="EO111" s="1740"/>
      <c r="EP111" s="1740"/>
      <c r="EQ111" s="1740"/>
      <c r="ER111" s="1740"/>
      <c r="ES111" s="1740"/>
      <c r="ET111" s="1740"/>
      <c r="EU111" s="1740"/>
      <c r="EV111" s="1740"/>
      <c r="EW111" s="1740"/>
      <c r="EX111" s="1740"/>
      <c r="EY111" s="1740"/>
      <c r="EZ111" s="1740"/>
      <c r="FA111" s="1740"/>
      <c r="FB111" s="1740"/>
      <c r="FC111" s="1740"/>
      <c r="FD111" s="1740"/>
      <c r="FE111" s="1740"/>
      <c r="FF111" s="1740"/>
      <c r="FG111" s="1740"/>
      <c r="FH111" s="1740"/>
      <c r="FI111" s="1740"/>
      <c r="FJ111" s="1740"/>
      <c r="FK111" s="1740"/>
      <c r="FL111" s="1740"/>
      <c r="FM111" s="1740"/>
      <c r="FN111" s="1740"/>
      <c r="FO111" s="1740"/>
      <c r="FP111" s="1740"/>
      <c r="FQ111" s="1740"/>
      <c r="FR111" s="1740"/>
      <c r="FS111" s="1740"/>
      <c r="FT111" s="1740"/>
      <c r="FU111" s="1740"/>
      <c r="FV111" s="1740"/>
      <c r="FW111" s="1740"/>
      <c r="FX111" s="1740"/>
      <c r="FY111" s="1740"/>
      <c r="FZ111" s="1740"/>
      <c r="GA111" s="1740"/>
      <c r="GB111" s="1740"/>
      <c r="GC111" s="1740"/>
      <c r="GD111" s="1740"/>
      <c r="GE111" s="1740"/>
      <c r="GF111" s="1740"/>
    </row>
    <row r="112" spans="1:188" s="20" customFormat="1">
      <c r="A112" s="333">
        <f t="shared" si="2"/>
        <v>1979</v>
      </c>
      <c r="B112" s="333">
        <f t="shared" si="3"/>
        <v>3</v>
      </c>
      <c r="C112" s="1174">
        <v>29068</v>
      </c>
      <c r="D112" s="1167"/>
      <c r="E112" s="1168">
        <v>301.55454545449999</v>
      </c>
      <c r="F112" s="1168">
        <v>267.24095528177787</v>
      </c>
      <c r="G112" s="1168"/>
      <c r="H112" s="1167"/>
      <c r="I112" s="1168"/>
      <c r="J112" s="1168"/>
      <c r="K112" s="1678"/>
      <c r="L112" s="1678"/>
      <c r="M112" s="1682"/>
      <c r="N112" s="1169"/>
      <c r="O112" s="1169"/>
      <c r="P112" s="1169"/>
      <c r="Q112" s="1167"/>
      <c r="R112" s="1167"/>
      <c r="S112" s="1167"/>
      <c r="T112" s="1167"/>
      <c r="U112" s="1167"/>
      <c r="V112" s="1167"/>
      <c r="W112" s="1167"/>
      <c r="X112" s="630"/>
      <c r="AA112" s="1915"/>
      <c r="AB112" s="1915"/>
      <c r="AC112" s="1804"/>
      <c r="AD112" s="1804"/>
      <c r="AE112" s="1804"/>
      <c r="AF112" s="1804"/>
      <c r="AG112" s="1804"/>
      <c r="AH112" s="1804"/>
      <c r="AI112" s="1781" t="s">
        <v>3</v>
      </c>
      <c r="AJ112" s="1827">
        <v>2015</v>
      </c>
      <c r="AK112" s="1822" t="s">
        <v>55</v>
      </c>
      <c r="AL112" s="1822">
        <v>8</v>
      </c>
      <c r="AM112" s="1823">
        <v>57952664.039999999</v>
      </c>
      <c r="AN112" s="1824">
        <v>2.3028943711987215E-2</v>
      </c>
      <c r="AO112" s="1781"/>
      <c r="AP112" s="1781" t="s">
        <v>0</v>
      </c>
      <c r="AQ112" s="1781" t="s">
        <v>497</v>
      </c>
      <c r="AR112" s="1822" t="s">
        <v>56</v>
      </c>
      <c r="AS112" s="1822">
        <v>6</v>
      </c>
      <c r="AT112" s="1823">
        <v>224310348.78</v>
      </c>
      <c r="AU112" s="1825">
        <v>5.6268238751833045E-2</v>
      </c>
      <c r="AV112" s="1781">
        <v>2007</v>
      </c>
      <c r="AW112" s="1671"/>
      <c r="AX112" s="1671"/>
      <c r="AY112" s="1804"/>
      <c r="AZ112" s="1804"/>
      <c r="BA112" s="1804"/>
      <c r="BB112" s="1804"/>
      <c r="BC112" s="1804"/>
      <c r="BD112" s="1804"/>
      <c r="BE112" s="1804"/>
      <c r="BF112" s="1804"/>
      <c r="BG112" s="1804"/>
      <c r="BH112" s="1804"/>
      <c r="BI112" s="1804"/>
      <c r="BJ112" s="1804"/>
      <c r="BK112" s="1804"/>
      <c r="BL112" s="1804"/>
      <c r="BM112" s="1804"/>
      <c r="BN112" s="1804"/>
      <c r="BO112" s="1804"/>
      <c r="BP112" s="1804"/>
      <c r="BQ112" s="1804"/>
      <c r="BR112" s="1804"/>
      <c r="BS112" s="1804"/>
      <c r="BT112" s="1804"/>
      <c r="BU112" s="1804"/>
      <c r="BV112" s="1804"/>
      <c r="BW112" s="1804"/>
      <c r="BX112" s="1804"/>
      <c r="BY112" s="1804"/>
      <c r="BZ112" s="1804"/>
      <c r="CA112" s="1804"/>
      <c r="CB112" s="1804"/>
      <c r="CC112" s="1804"/>
      <c r="CD112" s="1804"/>
      <c r="CE112" s="1804"/>
      <c r="CF112" s="1804"/>
      <c r="CG112" s="1804"/>
      <c r="CH112" s="1804"/>
      <c r="CI112" s="1804"/>
      <c r="CJ112" s="1804"/>
      <c r="CK112" s="1804"/>
      <c r="CL112" s="1804"/>
      <c r="CM112" s="1804"/>
      <c r="CN112" s="1804"/>
      <c r="CO112" s="1804"/>
      <c r="CP112" s="1804"/>
      <c r="CQ112" s="1804"/>
      <c r="CR112" s="1804"/>
      <c r="CS112" s="1804"/>
      <c r="CT112" s="1804"/>
      <c r="CU112" s="1804"/>
      <c r="CV112" s="1804"/>
      <c r="CW112" s="1804"/>
      <c r="CX112" s="1804"/>
      <c r="CY112" s="1804"/>
      <c r="CZ112" s="1804"/>
      <c r="DA112" s="1804"/>
      <c r="DB112" s="1804"/>
      <c r="DC112" s="1804"/>
      <c r="DD112" s="1804"/>
      <c r="DE112" s="1804"/>
      <c r="DF112" s="1804"/>
      <c r="DG112" s="1804"/>
      <c r="DH112" s="1804"/>
      <c r="DI112" s="1804"/>
      <c r="DJ112" s="1804"/>
      <c r="DK112" s="1804"/>
      <c r="DL112" s="1804"/>
      <c r="DM112" s="1804"/>
      <c r="DN112" s="1804"/>
      <c r="DO112" s="1804"/>
      <c r="DP112" s="1804"/>
      <c r="DQ112" s="1671"/>
      <c r="DR112" s="1671"/>
      <c r="DS112" s="1671"/>
      <c r="DT112" s="1671"/>
      <c r="DU112" s="1671"/>
      <c r="DV112" s="1671"/>
      <c r="DW112" s="1671"/>
      <c r="DX112" s="1671"/>
      <c r="DY112" s="1671"/>
      <c r="DZ112" s="1671"/>
      <c r="EA112" s="1740"/>
      <c r="EB112" s="1740"/>
      <c r="EC112" s="1740"/>
      <c r="ED112" s="1740"/>
      <c r="EE112" s="1740"/>
      <c r="EF112" s="1740"/>
      <c r="EG112" s="1740"/>
      <c r="EH112" s="1740"/>
      <c r="EI112" s="1740"/>
      <c r="EJ112" s="1740"/>
      <c r="EK112" s="1740"/>
      <c r="EL112" s="1740"/>
      <c r="EM112" s="1740"/>
      <c r="EN112" s="1740"/>
      <c r="EO112" s="1740"/>
      <c r="EP112" s="1740"/>
      <c r="EQ112" s="1740"/>
      <c r="ER112" s="1740"/>
      <c r="ES112" s="1740"/>
      <c r="ET112" s="1740"/>
      <c r="EU112" s="1740"/>
      <c r="EV112" s="1740"/>
      <c r="EW112" s="1740"/>
      <c r="EX112" s="1740"/>
      <c r="EY112" s="1740"/>
      <c r="EZ112" s="1740"/>
      <c r="FA112" s="1740"/>
      <c r="FB112" s="1740"/>
      <c r="FC112" s="1740"/>
      <c r="FD112" s="1740"/>
      <c r="FE112" s="1740"/>
      <c r="FF112" s="1740"/>
      <c r="FG112" s="1740"/>
      <c r="FH112" s="1740"/>
      <c r="FI112" s="1740"/>
      <c r="FJ112" s="1740"/>
      <c r="FK112" s="1740"/>
      <c r="FL112" s="1740"/>
      <c r="FM112" s="1740"/>
      <c r="FN112" s="1740"/>
      <c r="FO112" s="1740"/>
      <c r="FP112" s="1740"/>
      <c r="FQ112" s="1740"/>
      <c r="FR112" s="1740"/>
      <c r="FS112" s="1740"/>
      <c r="FT112" s="1740"/>
      <c r="FU112" s="1740"/>
      <c r="FV112" s="1740"/>
      <c r="FW112" s="1740"/>
      <c r="FX112" s="1740"/>
      <c r="FY112" s="1740"/>
      <c r="FZ112" s="1740"/>
      <c r="GA112" s="1740"/>
      <c r="GB112" s="1740"/>
      <c r="GC112" s="1740"/>
      <c r="GD112" s="1740"/>
      <c r="GE112" s="1740"/>
      <c r="GF112" s="1740"/>
    </row>
    <row r="113" spans="1:188" s="20" customFormat="1">
      <c r="A113" s="333">
        <f t="shared" si="2"/>
        <v>1979</v>
      </c>
      <c r="B113" s="333">
        <f t="shared" si="3"/>
        <v>3</v>
      </c>
      <c r="C113" s="1174">
        <v>29101</v>
      </c>
      <c r="D113" s="1158"/>
      <c r="E113" s="1159">
        <v>357.41125</v>
      </c>
      <c r="F113" s="1159">
        <v>316.34898630999999</v>
      </c>
      <c r="G113" s="1160"/>
      <c r="H113" s="1161"/>
      <c r="I113" s="1160"/>
      <c r="J113" s="1160"/>
      <c r="K113" s="1677"/>
      <c r="L113" s="1677"/>
      <c r="M113" s="1681"/>
      <c r="N113" s="1162"/>
      <c r="O113" s="1162"/>
      <c r="P113" s="1162"/>
      <c r="Q113" s="1163"/>
      <c r="R113" s="1164"/>
      <c r="S113" s="1164"/>
      <c r="T113" s="1164"/>
      <c r="U113" s="1165"/>
      <c r="V113" s="1166"/>
      <c r="W113" s="1166"/>
      <c r="X113" s="630"/>
      <c r="AA113" s="1915"/>
      <c r="AB113" s="1915"/>
      <c r="AC113" s="1804"/>
      <c r="AD113" s="1804"/>
      <c r="AE113" s="1804"/>
      <c r="AF113" s="1804"/>
      <c r="AG113" s="1804"/>
      <c r="AH113" s="1804"/>
      <c r="AI113" s="1781" t="s">
        <v>3</v>
      </c>
      <c r="AJ113" s="1827">
        <v>2015</v>
      </c>
      <c r="AK113" s="1822" t="s">
        <v>21</v>
      </c>
      <c r="AL113" s="1822">
        <v>9</v>
      </c>
      <c r="AM113" s="1823">
        <v>57326301.210000008</v>
      </c>
      <c r="AN113" s="1824">
        <v>2.2780042740922369E-2</v>
      </c>
      <c r="AO113" s="1781"/>
      <c r="AP113" s="1781" t="s">
        <v>0</v>
      </c>
      <c r="AQ113" s="1781" t="s">
        <v>497</v>
      </c>
      <c r="AR113" s="1822" t="s">
        <v>138</v>
      </c>
      <c r="AS113" s="1822">
        <v>7</v>
      </c>
      <c r="AT113" s="1823">
        <v>217135240.74000001</v>
      </c>
      <c r="AU113" s="1825">
        <v>5.4468363291513167E-2</v>
      </c>
      <c r="AV113" s="1781">
        <v>2007</v>
      </c>
      <c r="AW113" s="1671"/>
      <c r="AX113" s="1925"/>
      <c r="AY113" s="1804"/>
      <c r="AZ113" s="1804"/>
      <c r="BA113" s="1804"/>
      <c r="BB113" s="1804"/>
      <c r="BC113" s="1804"/>
      <c r="BD113" s="1804"/>
      <c r="BE113" s="1804"/>
      <c r="BF113" s="1804"/>
      <c r="BG113" s="1804"/>
      <c r="BH113" s="1804"/>
      <c r="BI113" s="1804"/>
      <c r="BJ113" s="1804"/>
      <c r="BK113" s="1804"/>
      <c r="BL113" s="1804"/>
      <c r="BM113" s="1804"/>
      <c r="BN113" s="1804"/>
      <c r="BO113" s="1804"/>
      <c r="BP113" s="1804"/>
      <c r="BQ113" s="1804"/>
      <c r="BR113" s="1804"/>
      <c r="BS113" s="1804"/>
      <c r="BT113" s="1804"/>
      <c r="BU113" s="1804"/>
      <c r="BV113" s="1804"/>
      <c r="BW113" s="1804"/>
      <c r="BX113" s="1804"/>
      <c r="BY113" s="1804"/>
      <c r="BZ113" s="1804"/>
      <c r="CA113" s="1804"/>
      <c r="CB113" s="1804"/>
      <c r="CC113" s="1804"/>
      <c r="CD113" s="1804"/>
      <c r="CE113" s="1804"/>
      <c r="CF113" s="1804"/>
      <c r="CG113" s="1804"/>
      <c r="CH113" s="1804"/>
      <c r="CI113" s="1804"/>
      <c r="CJ113" s="1804"/>
      <c r="CK113" s="1804"/>
      <c r="CL113" s="1804"/>
      <c r="CM113" s="1804"/>
      <c r="CN113" s="1804"/>
      <c r="CO113" s="1804"/>
      <c r="CP113" s="1804"/>
      <c r="CQ113" s="1804"/>
      <c r="CR113" s="1804"/>
      <c r="CS113" s="1804"/>
      <c r="CT113" s="1804"/>
      <c r="CU113" s="1804"/>
      <c r="CV113" s="1804"/>
      <c r="CW113" s="1804"/>
      <c r="CX113" s="1804"/>
      <c r="CY113" s="1804"/>
      <c r="CZ113" s="1804"/>
      <c r="DA113" s="1804"/>
      <c r="DB113" s="1804"/>
      <c r="DC113" s="1804"/>
      <c r="DD113" s="1804"/>
      <c r="DE113" s="1804"/>
      <c r="DF113" s="1804"/>
      <c r="DG113" s="1804"/>
      <c r="DH113" s="1804"/>
      <c r="DI113" s="1804"/>
      <c r="DJ113" s="1804"/>
      <c r="DK113" s="1804"/>
      <c r="DL113" s="1804"/>
      <c r="DM113" s="1804"/>
      <c r="DN113" s="1804"/>
      <c r="DO113" s="1804"/>
      <c r="DP113" s="1804"/>
      <c r="DQ113" s="1671"/>
      <c r="DR113" s="1671"/>
      <c r="DS113" s="1671"/>
      <c r="DT113" s="1671"/>
      <c r="DU113" s="1671"/>
      <c r="DV113" s="1671"/>
      <c r="DW113" s="1671"/>
      <c r="DX113" s="1671"/>
      <c r="DY113" s="1671"/>
      <c r="DZ113" s="1671"/>
      <c r="EA113" s="1740"/>
      <c r="EB113" s="1740"/>
      <c r="EC113" s="1740"/>
      <c r="ED113" s="1740"/>
      <c r="EE113" s="1740"/>
      <c r="EF113" s="1740"/>
      <c r="EG113" s="1740"/>
      <c r="EH113" s="1740"/>
      <c r="EI113" s="1740"/>
      <c r="EJ113" s="1740"/>
      <c r="EK113" s="1740"/>
      <c r="EL113" s="1740"/>
      <c r="EM113" s="1740"/>
      <c r="EN113" s="1740"/>
      <c r="EO113" s="1740"/>
      <c r="EP113" s="1740"/>
      <c r="EQ113" s="1740"/>
      <c r="ER113" s="1740"/>
      <c r="ES113" s="1740"/>
      <c r="ET113" s="1740"/>
      <c r="EU113" s="1740"/>
      <c r="EV113" s="1740"/>
      <c r="EW113" s="1740"/>
      <c r="EX113" s="1740"/>
      <c r="EY113" s="1740"/>
      <c r="EZ113" s="1740"/>
      <c r="FA113" s="1740"/>
      <c r="FB113" s="1740"/>
      <c r="FC113" s="1740"/>
      <c r="FD113" s="1740"/>
      <c r="FE113" s="1740"/>
      <c r="FF113" s="1740"/>
      <c r="FG113" s="1740"/>
      <c r="FH113" s="1740"/>
      <c r="FI113" s="1740"/>
      <c r="FJ113" s="1740"/>
      <c r="FK113" s="1740"/>
      <c r="FL113" s="1740"/>
      <c r="FM113" s="1740"/>
      <c r="FN113" s="1740"/>
      <c r="FO113" s="1740"/>
      <c r="FP113" s="1740"/>
      <c r="FQ113" s="1740"/>
      <c r="FR113" s="1740"/>
      <c r="FS113" s="1740"/>
      <c r="FT113" s="1740"/>
      <c r="FU113" s="1740"/>
      <c r="FV113" s="1740"/>
      <c r="FW113" s="1740"/>
      <c r="FX113" s="1740"/>
      <c r="FY113" s="1740"/>
      <c r="FZ113" s="1740"/>
      <c r="GA113" s="1740"/>
      <c r="GB113" s="1740"/>
      <c r="GC113" s="1740"/>
      <c r="GD113" s="1740"/>
      <c r="GE113" s="1740"/>
      <c r="GF113" s="1740"/>
    </row>
    <row r="114" spans="1:188" s="20" customFormat="1">
      <c r="A114" s="333">
        <f t="shared" si="2"/>
        <v>1979</v>
      </c>
      <c r="B114" s="333">
        <f t="shared" si="3"/>
        <v>4</v>
      </c>
      <c r="C114" s="1174">
        <v>29129</v>
      </c>
      <c r="D114" s="1167"/>
      <c r="E114" s="1168">
        <v>390.86847826090002</v>
      </c>
      <c r="F114" s="1168">
        <v>356.17694647285384</v>
      </c>
      <c r="G114" s="1168"/>
      <c r="H114" s="1167"/>
      <c r="I114" s="1168"/>
      <c r="J114" s="1168"/>
      <c r="K114" s="1678"/>
      <c r="L114" s="1678"/>
      <c r="M114" s="1682"/>
      <c r="N114" s="1169"/>
      <c r="O114" s="1169"/>
      <c r="P114" s="1169"/>
      <c r="Q114" s="1167"/>
      <c r="R114" s="1167"/>
      <c r="S114" s="1167"/>
      <c r="T114" s="1167"/>
      <c r="U114" s="1167"/>
      <c r="V114" s="1167"/>
      <c r="W114" s="1167"/>
      <c r="X114" s="630"/>
      <c r="AA114" s="1915"/>
      <c r="AB114" s="1915"/>
      <c r="AC114" s="1804"/>
      <c r="AD114" s="1804"/>
      <c r="AE114" s="1804"/>
      <c r="AF114" s="1804"/>
      <c r="AG114" s="1804"/>
      <c r="AH114" s="1804"/>
      <c r="AI114" s="1781" t="s">
        <v>3</v>
      </c>
      <c r="AJ114" s="1827">
        <v>2015</v>
      </c>
      <c r="AK114" s="1822" t="s">
        <v>27</v>
      </c>
      <c r="AL114" s="1822">
        <v>10</v>
      </c>
      <c r="AM114" s="1823">
        <v>52529136.829999998</v>
      </c>
      <c r="AN114" s="1824">
        <v>2.0873769227630221E-2</v>
      </c>
      <c r="AO114" s="1781"/>
      <c r="AP114" s="1781" t="s">
        <v>0</v>
      </c>
      <c r="AQ114" s="1781" t="s">
        <v>497</v>
      </c>
      <c r="AR114" s="1822" t="s">
        <v>28</v>
      </c>
      <c r="AS114" s="1822">
        <v>8</v>
      </c>
      <c r="AT114" s="1823">
        <v>89413293.359999985</v>
      </c>
      <c r="AU114" s="1825">
        <v>2.2429319760465524E-2</v>
      </c>
      <c r="AV114" s="1781">
        <v>2007</v>
      </c>
      <c r="AW114" s="1671"/>
      <c r="AX114" s="1671"/>
      <c r="AY114" s="1804"/>
      <c r="AZ114" s="1804"/>
      <c r="BA114" s="1804"/>
      <c r="BB114" s="1804"/>
      <c r="BC114" s="1804"/>
      <c r="BD114" s="1804"/>
      <c r="BE114" s="1804"/>
      <c r="BF114" s="1804"/>
      <c r="BG114" s="1804"/>
      <c r="BH114" s="1804"/>
      <c r="BI114" s="1804"/>
      <c r="BJ114" s="1804"/>
      <c r="BK114" s="1804"/>
      <c r="BL114" s="1804"/>
      <c r="BM114" s="1804"/>
      <c r="BN114" s="1804"/>
      <c r="BO114" s="1804"/>
      <c r="BP114" s="1804"/>
      <c r="BQ114" s="1804"/>
      <c r="BR114" s="1804"/>
      <c r="BS114" s="1804"/>
      <c r="BT114" s="1804"/>
      <c r="BU114" s="1804"/>
      <c r="BV114" s="1804"/>
      <c r="BW114" s="1804"/>
      <c r="BX114" s="1804"/>
      <c r="BY114" s="1804"/>
      <c r="BZ114" s="1804"/>
      <c r="CA114" s="1804"/>
      <c r="CB114" s="1804"/>
      <c r="CC114" s="1804"/>
      <c r="CD114" s="1804"/>
      <c r="CE114" s="1804"/>
      <c r="CF114" s="1804"/>
      <c r="CG114" s="1804"/>
      <c r="CH114" s="1804"/>
      <c r="CI114" s="1804"/>
      <c r="CJ114" s="1804"/>
      <c r="CK114" s="1804"/>
      <c r="CL114" s="1804"/>
      <c r="CM114" s="1804"/>
      <c r="CN114" s="1804"/>
      <c r="CO114" s="1804"/>
      <c r="CP114" s="1804"/>
      <c r="CQ114" s="1804"/>
      <c r="CR114" s="1804"/>
      <c r="CS114" s="1804"/>
      <c r="CT114" s="1804"/>
      <c r="CU114" s="1804"/>
      <c r="CV114" s="1804"/>
      <c r="CW114" s="1804"/>
      <c r="CX114" s="1804"/>
      <c r="CY114" s="1804"/>
      <c r="CZ114" s="1804"/>
      <c r="DA114" s="1804"/>
      <c r="DB114" s="1804"/>
      <c r="DC114" s="1804"/>
      <c r="DD114" s="1804"/>
      <c r="DE114" s="1804"/>
      <c r="DF114" s="1804"/>
      <c r="DG114" s="1804"/>
      <c r="DH114" s="1804"/>
      <c r="DI114" s="1804"/>
      <c r="DJ114" s="1804"/>
      <c r="DK114" s="1804"/>
      <c r="DL114" s="1804"/>
      <c r="DM114" s="1804"/>
      <c r="DN114" s="1804"/>
      <c r="DO114" s="1804"/>
      <c r="DP114" s="1804"/>
      <c r="DQ114" s="1671"/>
      <c r="DR114" s="1671"/>
      <c r="DS114" s="1671"/>
      <c r="DT114" s="1671"/>
      <c r="DU114" s="1671"/>
      <c r="DV114" s="1671"/>
      <c r="DW114" s="1671"/>
      <c r="DX114" s="1671"/>
      <c r="DY114" s="1671"/>
      <c r="DZ114" s="1671"/>
      <c r="EA114" s="1740"/>
      <c r="EB114" s="1740"/>
      <c r="EC114" s="1740"/>
      <c r="ED114" s="1740"/>
      <c r="EE114" s="1740"/>
      <c r="EF114" s="1740"/>
      <c r="EG114" s="1740"/>
      <c r="EH114" s="1740"/>
      <c r="EI114" s="1740"/>
      <c r="EJ114" s="1740"/>
      <c r="EK114" s="1740"/>
      <c r="EL114" s="1740"/>
      <c r="EM114" s="1740"/>
      <c r="EN114" s="1740"/>
      <c r="EO114" s="1740"/>
      <c r="EP114" s="1740"/>
      <c r="EQ114" s="1740"/>
      <c r="ER114" s="1740"/>
      <c r="ES114" s="1740"/>
      <c r="ET114" s="1740"/>
      <c r="EU114" s="1740"/>
      <c r="EV114" s="1740"/>
      <c r="EW114" s="1740"/>
      <c r="EX114" s="1740"/>
      <c r="EY114" s="1740"/>
      <c r="EZ114" s="1740"/>
      <c r="FA114" s="1740"/>
      <c r="FB114" s="1740"/>
      <c r="FC114" s="1740"/>
      <c r="FD114" s="1740"/>
      <c r="FE114" s="1740"/>
      <c r="FF114" s="1740"/>
      <c r="FG114" s="1740"/>
      <c r="FH114" s="1740"/>
      <c r="FI114" s="1740"/>
      <c r="FJ114" s="1740"/>
      <c r="FK114" s="1740"/>
      <c r="FL114" s="1740"/>
      <c r="FM114" s="1740"/>
      <c r="FN114" s="1740"/>
      <c r="FO114" s="1740"/>
      <c r="FP114" s="1740"/>
      <c r="FQ114" s="1740"/>
      <c r="FR114" s="1740"/>
      <c r="FS114" s="1740"/>
      <c r="FT114" s="1740"/>
      <c r="FU114" s="1740"/>
      <c r="FV114" s="1740"/>
      <c r="FW114" s="1740"/>
      <c r="FX114" s="1740"/>
      <c r="FY114" s="1740"/>
      <c r="FZ114" s="1740"/>
      <c r="GA114" s="1740"/>
      <c r="GB114" s="1740"/>
      <c r="GC114" s="1740"/>
      <c r="GD114" s="1740"/>
      <c r="GE114" s="1740"/>
      <c r="GF114" s="1740"/>
    </row>
    <row r="115" spans="1:188" s="20" customFormat="1">
      <c r="A115" s="333">
        <f t="shared" si="2"/>
        <v>1979</v>
      </c>
      <c r="B115" s="333">
        <f t="shared" si="3"/>
        <v>4</v>
      </c>
      <c r="C115" s="1174">
        <v>29160</v>
      </c>
      <c r="D115" s="1158"/>
      <c r="E115" s="1159">
        <v>393.13522727269998</v>
      </c>
      <c r="F115" s="1159">
        <v>359.29021555679321</v>
      </c>
      <c r="G115" s="1160"/>
      <c r="H115" s="1161"/>
      <c r="I115" s="1160"/>
      <c r="J115" s="1160"/>
      <c r="K115" s="1677"/>
      <c r="L115" s="1677"/>
      <c r="M115" s="1681"/>
      <c r="N115" s="1162"/>
      <c r="O115" s="1162"/>
      <c r="P115" s="1162"/>
      <c r="Q115" s="1163"/>
      <c r="R115" s="1164"/>
      <c r="S115" s="1164"/>
      <c r="T115" s="1164"/>
      <c r="U115" s="1165"/>
      <c r="V115" s="1166"/>
      <c r="W115" s="1166"/>
      <c r="X115" s="630"/>
      <c r="AA115" s="1915"/>
      <c r="AB115" s="1915"/>
      <c r="AC115" s="1804"/>
      <c r="AD115" s="1804"/>
      <c r="AE115" s="1804"/>
      <c r="AF115" s="1804"/>
      <c r="AG115" s="1804"/>
      <c r="AH115" s="1804"/>
      <c r="AI115" s="1781" t="s">
        <v>3</v>
      </c>
      <c r="AJ115" s="1827">
        <v>2015</v>
      </c>
      <c r="AK115" s="1822" t="s">
        <v>39</v>
      </c>
      <c r="AL115" s="1822"/>
      <c r="AM115" s="1823">
        <v>113410699.3100009</v>
      </c>
      <c r="AN115" s="1824">
        <v>4.5066584151238577E-2</v>
      </c>
      <c r="AO115" s="1781"/>
      <c r="AP115" s="1781" t="s">
        <v>0</v>
      </c>
      <c r="AQ115" s="1781" t="s">
        <v>497</v>
      </c>
      <c r="AR115" s="1822" t="s">
        <v>22</v>
      </c>
      <c r="AS115" s="1822">
        <v>9</v>
      </c>
      <c r="AT115" s="1823">
        <v>76398687.209999993</v>
      </c>
      <c r="AU115" s="1825">
        <v>1.916460651788789E-2</v>
      </c>
      <c r="AV115" s="1781">
        <v>2007</v>
      </c>
      <c r="AW115" s="1671"/>
      <c r="AX115" s="1671"/>
      <c r="AY115" s="1804"/>
      <c r="AZ115" s="1804"/>
      <c r="BA115" s="1804"/>
      <c r="BB115" s="1804"/>
      <c r="BC115" s="1804"/>
      <c r="BD115" s="1804"/>
      <c r="BE115" s="1804"/>
      <c r="BF115" s="1804"/>
      <c r="BG115" s="1804"/>
      <c r="BH115" s="1804"/>
      <c r="BI115" s="1804"/>
      <c r="BJ115" s="1804"/>
      <c r="BK115" s="1804"/>
      <c r="BL115" s="1804"/>
      <c r="BM115" s="1804"/>
      <c r="BN115" s="1804"/>
      <c r="BO115" s="1804"/>
      <c r="BP115" s="1804"/>
      <c r="BQ115" s="1804"/>
      <c r="BR115" s="1804"/>
      <c r="BS115" s="1804"/>
      <c r="BT115" s="1804"/>
      <c r="BU115" s="1804"/>
      <c r="BV115" s="1804"/>
      <c r="BW115" s="1804"/>
      <c r="BX115" s="1804"/>
      <c r="BY115" s="1804"/>
      <c r="BZ115" s="1804"/>
      <c r="CA115" s="1804"/>
      <c r="CB115" s="1804"/>
      <c r="CC115" s="1804"/>
      <c r="CD115" s="1804"/>
      <c r="CE115" s="1804"/>
      <c r="CF115" s="1804"/>
      <c r="CG115" s="1804"/>
      <c r="CH115" s="1804"/>
      <c r="CI115" s="1804"/>
      <c r="CJ115" s="1804"/>
      <c r="CK115" s="1804"/>
      <c r="CL115" s="1804"/>
      <c r="CM115" s="1804"/>
      <c r="CN115" s="1804"/>
      <c r="CO115" s="1804"/>
      <c r="CP115" s="1804"/>
      <c r="CQ115" s="1804"/>
      <c r="CR115" s="1804"/>
      <c r="CS115" s="1804"/>
      <c r="CT115" s="1804"/>
      <c r="CU115" s="1804"/>
      <c r="CV115" s="1804"/>
      <c r="CW115" s="1804"/>
      <c r="CX115" s="1804"/>
      <c r="CY115" s="1804"/>
      <c r="CZ115" s="1804"/>
      <c r="DA115" s="1804"/>
      <c r="DB115" s="1804"/>
      <c r="DC115" s="1804"/>
      <c r="DD115" s="1804"/>
      <c r="DE115" s="1804"/>
      <c r="DF115" s="1804"/>
      <c r="DG115" s="1804"/>
      <c r="DH115" s="1804"/>
      <c r="DI115" s="1804"/>
      <c r="DJ115" s="1804"/>
      <c r="DK115" s="1804"/>
      <c r="DL115" s="1804"/>
      <c r="DM115" s="1804"/>
      <c r="DN115" s="1804"/>
      <c r="DO115" s="1804"/>
      <c r="DP115" s="1804"/>
      <c r="DQ115" s="1671"/>
      <c r="DR115" s="1671"/>
      <c r="DS115" s="1671"/>
      <c r="DT115" s="1671"/>
      <c r="DU115" s="1671"/>
      <c r="DV115" s="1671"/>
      <c r="DW115" s="1671"/>
      <c r="DX115" s="1671"/>
      <c r="DY115" s="1671"/>
      <c r="DZ115" s="1671"/>
      <c r="EA115" s="1740"/>
      <c r="EB115" s="1740"/>
      <c r="EC115" s="1740"/>
      <c r="ED115" s="1740"/>
      <c r="EE115" s="1740"/>
      <c r="EF115" s="1740"/>
      <c r="EG115" s="1740"/>
      <c r="EH115" s="1740"/>
      <c r="EI115" s="1740"/>
      <c r="EJ115" s="1740"/>
      <c r="EK115" s="1740"/>
      <c r="EL115" s="1740"/>
      <c r="EM115" s="1740"/>
      <c r="EN115" s="1740"/>
      <c r="EO115" s="1740"/>
      <c r="EP115" s="1740"/>
      <c r="EQ115" s="1740"/>
      <c r="ER115" s="1740"/>
      <c r="ES115" s="1740"/>
      <c r="ET115" s="1740"/>
      <c r="EU115" s="1740"/>
      <c r="EV115" s="1740"/>
      <c r="EW115" s="1740"/>
      <c r="EX115" s="1740"/>
      <c r="EY115" s="1740"/>
      <c r="EZ115" s="1740"/>
      <c r="FA115" s="1740"/>
      <c r="FB115" s="1740"/>
      <c r="FC115" s="1740"/>
      <c r="FD115" s="1740"/>
      <c r="FE115" s="1740"/>
      <c r="FF115" s="1740"/>
      <c r="FG115" s="1740"/>
      <c r="FH115" s="1740"/>
      <c r="FI115" s="1740"/>
      <c r="FJ115" s="1740"/>
      <c r="FK115" s="1740"/>
      <c r="FL115" s="1740"/>
      <c r="FM115" s="1740"/>
      <c r="FN115" s="1740"/>
      <c r="FO115" s="1740"/>
      <c r="FP115" s="1740"/>
      <c r="FQ115" s="1740"/>
      <c r="FR115" s="1740"/>
      <c r="FS115" s="1740"/>
      <c r="FT115" s="1740"/>
      <c r="FU115" s="1740"/>
      <c r="FV115" s="1740"/>
      <c r="FW115" s="1740"/>
      <c r="FX115" s="1740"/>
      <c r="FY115" s="1740"/>
      <c r="FZ115" s="1740"/>
      <c r="GA115" s="1740"/>
      <c r="GB115" s="1740"/>
      <c r="GC115" s="1740"/>
      <c r="GD115" s="1740"/>
      <c r="GE115" s="1740"/>
      <c r="GF115" s="1740"/>
    </row>
    <row r="116" spans="1:188" s="20" customFormat="1">
      <c r="A116" s="333">
        <f t="shared" si="2"/>
        <v>1979</v>
      </c>
      <c r="B116" s="333">
        <f t="shared" si="3"/>
        <v>4</v>
      </c>
      <c r="C116" s="1174">
        <v>29192</v>
      </c>
      <c r="D116" s="1167"/>
      <c r="E116" s="1168">
        <v>455.92096774189997</v>
      </c>
      <c r="F116" s="1168">
        <v>412.41151794835497</v>
      </c>
      <c r="G116" s="1168"/>
      <c r="H116" s="1167"/>
      <c r="I116" s="1168"/>
      <c r="J116" s="1168"/>
      <c r="K116" s="1678"/>
      <c r="L116" s="1678"/>
      <c r="M116" s="1682"/>
      <c r="N116" s="1169"/>
      <c r="O116" s="1169"/>
      <c r="P116" s="1169"/>
      <c r="Q116" s="1167"/>
      <c r="R116" s="1167"/>
      <c r="S116" s="1167"/>
      <c r="T116" s="1167"/>
      <c r="U116" s="1167"/>
      <c r="V116" s="1167"/>
      <c r="W116" s="1167"/>
      <c r="X116" s="630"/>
      <c r="AA116" s="1915"/>
      <c r="AB116" s="1915"/>
      <c r="AC116" s="1804"/>
      <c r="AD116" s="1804"/>
      <c r="AE116" s="1804"/>
      <c r="AF116" s="1804"/>
      <c r="AG116" s="1804"/>
      <c r="AH116" s="1804"/>
      <c r="AI116" s="1781" t="s">
        <v>3</v>
      </c>
      <c r="AJ116" s="1827">
        <v>2015</v>
      </c>
      <c r="AK116" s="1822" t="s">
        <v>386</v>
      </c>
      <c r="AL116" s="1822"/>
      <c r="AM116" s="1823">
        <v>2516514207.7200007</v>
      </c>
      <c r="AN116" s="1824"/>
      <c r="AO116" s="1781"/>
      <c r="AP116" s="1781" t="s">
        <v>0</v>
      </c>
      <c r="AQ116" s="1781" t="s">
        <v>497</v>
      </c>
      <c r="AR116" s="1822" t="s">
        <v>129</v>
      </c>
      <c r="AS116" s="1822">
        <v>10</v>
      </c>
      <c r="AT116" s="1823">
        <v>67676068.400000006</v>
      </c>
      <c r="AU116" s="1825">
        <v>1.6976538065354367E-2</v>
      </c>
      <c r="AV116" s="1781">
        <v>2007</v>
      </c>
      <c r="AW116" s="1671"/>
      <c r="AX116" s="1925"/>
      <c r="AY116" s="1804"/>
      <c r="AZ116" s="1804"/>
      <c r="BA116" s="1804"/>
      <c r="BB116" s="1804"/>
      <c r="BC116" s="1804"/>
      <c r="BD116" s="1804"/>
      <c r="BE116" s="1804"/>
      <c r="BF116" s="1804"/>
      <c r="BG116" s="1804"/>
      <c r="BH116" s="1804"/>
      <c r="BI116" s="1804"/>
      <c r="BJ116" s="1804"/>
      <c r="BK116" s="1804"/>
      <c r="BL116" s="1804"/>
      <c r="BM116" s="1804"/>
      <c r="BN116" s="1804"/>
      <c r="BO116" s="1804"/>
      <c r="BP116" s="1804"/>
      <c r="BQ116" s="1804"/>
      <c r="BR116" s="1804"/>
      <c r="BS116" s="1804"/>
      <c r="BT116" s="1804"/>
      <c r="BU116" s="1804"/>
      <c r="BV116" s="1804"/>
      <c r="BW116" s="1804"/>
      <c r="BX116" s="1804"/>
      <c r="BY116" s="1804"/>
      <c r="BZ116" s="1804"/>
      <c r="CA116" s="1804"/>
      <c r="CB116" s="1804"/>
      <c r="CC116" s="1804"/>
      <c r="CD116" s="1804"/>
      <c r="CE116" s="1804"/>
      <c r="CF116" s="1804"/>
      <c r="CG116" s="1804"/>
      <c r="CH116" s="1804"/>
      <c r="CI116" s="1804"/>
      <c r="CJ116" s="1804"/>
      <c r="CK116" s="1804"/>
      <c r="CL116" s="1804"/>
      <c r="CM116" s="1804"/>
      <c r="CN116" s="1804"/>
      <c r="CO116" s="1804"/>
      <c r="CP116" s="1804"/>
      <c r="CQ116" s="1804"/>
      <c r="CR116" s="1804"/>
      <c r="CS116" s="1804"/>
      <c r="CT116" s="1804"/>
      <c r="CU116" s="1804"/>
      <c r="CV116" s="1804"/>
      <c r="CW116" s="1804"/>
      <c r="CX116" s="1804"/>
      <c r="CY116" s="1804"/>
      <c r="CZ116" s="1804"/>
      <c r="DA116" s="1804"/>
      <c r="DB116" s="1804"/>
      <c r="DC116" s="1804"/>
      <c r="DD116" s="1804"/>
      <c r="DE116" s="1804"/>
      <c r="DF116" s="1804"/>
      <c r="DG116" s="1804"/>
      <c r="DH116" s="1804"/>
      <c r="DI116" s="1804"/>
      <c r="DJ116" s="1804"/>
      <c r="DK116" s="1804"/>
      <c r="DL116" s="1804"/>
      <c r="DM116" s="1804"/>
      <c r="DN116" s="1804"/>
      <c r="DO116" s="1804"/>
      <c r="DP116" s="1804"/>
      <c r="DQ116" s="1671"/>
      <c r="DR116" s="1671"/>
      <c r="DS116" s="1671"/>
      <c r="DT116" s="1671"/>
      <c r="DU116" s="1671"/>
      <c r="DV116" s="1671"/>
      <c r="DW116" s="1671"/>
      <c r="DX116" s="1671"/>
      <c r="DY116" s="1671"/>
      <c r="DZ116" s="1671"/>
      <c r="EA116" s="1740"/>
      <c r="EB116" s="1740"/>
      <c r="EC116" s="1740"/>
      <c r="ED116" s="1740"/>
      <c r="EE116" s="1740"/>
      <c r="EF116" s="1740"/>
      <c r="EG116" s="1740"/>
      <c r="EH116" s="1740"/>
      <c r="EI116" s="1740"/>
      <c r="EJ116" s="1740"/>
      <c r="EK116" s="1740"/>
      <c r="EL116" s="1740"/>
      <c r="EM116" s="1740"/>
      <c r="EN116" s="1740"/>
      <c r="EO116" s="1740"/>
      <c r="EP116" s="1740"/>
      <c r="EQ116" s="1740"/>
      <c r="ER116" s="1740"/>
      <c r="ES116" s="1740"/>
      <c r="ET116" s="1740"/>
      <c r="EU116" s="1740"/>
      <c r="EV116" s="1740"/>
      <c r="EW116" s="1740"/>
      <c r="EX116" s="1740"/>
      <c r="EY116" s="1740"/>
      <c r="EZ116" s="1740"/>
      <c r="FA116" s="1740"/>
      <c r="FB116" s="1740"/>
      <c r="FC116" s="1740"/>
      <c r="FD116" s="1740"/>
      <c r="FE116" s="1740"/>
      <c r="FF116" s="1740"/>
      <c r="FG116" s="1740"/>
      <c r="FH116" s="1740"/>
      <c r="FI116" s="1740"/>
      <c r="FJ116" s="1740"/>
      <c r="FK116" s="1740"/>
      <c r="FL116" s="1740"/>
      <c r="FM116" s="1740"/>
      <c r="FN116" s="1740"/>
      <c r="FO116" s="1740"/>
      <c r="FP116" s="1740"/>
      <c r="FQ116" s="1740"/>
      <c r="FR116" s="1740"/>
      <c r="FS116" s="1740"/>
      <c r="FT116" s="1740"/>
      <c r="FU116" s="1740"/>
      <c r="FV116" s="1740"/>
      <c r="FW116" s="1740"/>
      <c r="FX116" s="1740"/>
      <c r="FY116" s="1740"/>
      <c r="FZ116" s="1740"/>
      <c r="GA116" s="1740"/>
      <c r="GB116" s="1740"/>
      <c r="GC116" s="1740"/>
      <c r="GD116" s="1740"/>
      <c r="GE116" s="1740"/>
      <c r="GF116" s="1740"/>
    </row>
    <row r="117" spans="1:188" s="20" customFormat="1">
      <c r="A117" s="333">
        <f t="shared" si="2"/>
        <v>1980</v>
      </c>
      <c r="B117" s="333">
        <f t="shared" si="3"/>
        <v>1</v>
      </c>
      <c r="C117" s="1174">
        <v>29221</v>
      </c>
      <c r="D117" s="1158"/>
      <c r="E117" s="1159">
        <v>677.96818181820004</v>
      </c>
      <c r="F117" s="1159">
        <v>612.49272669092556</v>
      </c>
      <c r="G117" s="1160"/>
      <c r="H117" s="1161"/>
      <c r="I117" s="1160"/>
      <c r="J117" s="1160"/>
      <c r="K117" s="1677"/>
      <c r="L117" s="1677"/>
      <c r="M117" s="1681"/>
      <c r="N117" s="1162"/>
      <c r="O117" s="1162"/>
      <c r="P117" s="1162"/>
      <c r="Q117" s="1163"/>
      <c r="R117" s="1164"/>
      <c r="S117" s="1164"/>
      <c r="T117" s="1164"/>
      <c r="U117" s="1165"/>
      <c r="V117" s="1166"/>
      <c r="W117" s="1166"/>
      <c r="X117" s="630"/>
      <c r="AA117" s="1915"/>
      <c r="AB117" s="1915"/>
      <c r="AC117" s="1804"/>
      <c r="AD117" s="1804"/>
      <c r="AE117" s="1804"/>
      <c r="AF117" s="1804"/>
      <c r="AG117" s="1804"/>
      <c r="AH117" s="1804"/>
      <c r="AI117" s="1781" t="s">
        <v>3</v>
      </c>
      <c r="AJ117" s="1826">
        <v>2014</v>
      </c>
      <c r="AK117" s="1822" t="s">
        <v>25</v>
      </c>
      <c r="AL117" s="1822">
        <v>1</v>
      </c>
      <c r="AM117" s="1823">
        <v>1096001602</v>
      </c>
      <c r="AN117" s="1824">
        <v>0.40100000000000002</v>
      </c>
      <c r="AO117" s="1781"/>
      <c r="AP117" s="1781" t="s">
        <v>0</v>
      </c>
      <c r="AQ117" s="1781" t="s">
        <v>497</v>
      </c>
      <c r="AR117" s="1822" t="s">
        <v>39</v>
      </c>
      <c r="AS117" s="1822"/>
      <c r="AT117" s="1823">
        <v>412463405.71999836</v>
      </c>
      <c r="AU117" s="1825">
        <v>0.10346642281854621</v>
      </c>
      <c r="AV117" s="1781">
        <v>2007</v>
      </c>
      <c r="AW117" s="1671"/>
      <c r="AX117" s="1671"/>
      <c r="AY117" s="1804"/>
      <c r="AZ117" s="1804"/>
      <c r="BA117" s="1804"/>
      <c r="BB117" s="1804"/>
      <c r="BC117" s="1804"/>
      <c r="BD117" s="1804"/>
      <c r="BE117" s="1804"/>
      <c r="BF117" s="1804"/>
      <c r="BG117" s="1804"/>
      <c r="BH117" s="1804"/>
      <c r="BI117" s="1804"/>
      <c r="BJ117" s="1804"/>
      <c r="BK117" s="1804"/>
      <c r="BL117" s="1804"/>
      <c r="BM117" s="1804"/>
      <c r="BN117" s="1804"/>
      <c r="BO117" s="1804"/>
      <c r="BP117" s="1804"/>
      <c r="BQ117" s="1804"/>
      <c r="BR117" s="1804"/>
      <c r="BS117" s="1804"/>
      <c r="BT117" s="1804"/>
      <c r="BU117" s="1804"/>
      <c r="BV117" s="1804"/>
      <c r="BW117" s="1804"/>
      <c r="BX117" s="1804"/>
      <c r="BY117" s="1804"/>
      <c r="BZ117" s="1804"/>
      <c r="CA117" s="1804"/>
      <c r="CB117" s="1804"/>
      <c r="CC117" s="1804"/>
      <c r="CD117" s="1804"/>
      <c r="CE117" s="1804"/>
      <c r="CF117" s="1804"/>
      <c r="CG117" s="1804"/>
      <c r="CH117" s="1804"/>
      <c r="CI117" s="1804"/>
      <c r="CJ117" s="1804"/>
      <c r="CK117" s="1804"/>
      <c r="CL117" s="1804"/>
      <c r="CM117" s="1804"/>
      <c r="CN117" s="1804"/>
      <c r="CO117" s="1804"/>
      <c r="CP117" s="1804"/>
      <c r="CQ117" s="1804"/>
      <c r="CR117" s="1804"/>
      <c r="CS117" s="1804"/>
      <c r="CT117" s="1804"/>
      <c r="CU117" s="1804"/>
      <c r="CV117" s="1804"/>
      <c r="CW117" s="1804"/>
      <c r="CX117" s="1804"/>
      <c r="CY117" s="1804"/>
      <c r="CZ117" s="1804"/>
      <c r="DA117" s="1804"/>
      <c r="DB117" s="1804"/>
      <c r="DC117" s="1804"/>
      <c r="DD117" s="1804"/>
      <c r="DE117" s="1804"/>
      <c r="DF117" s="1804"/>
      <c r="DG117" s="1804"/>
      <c r="DH117" s="1804"/>
      <c r="DI117" s="1804"/>
      <c r="DJ117" s="1804"/>
      <c r="DK117" s="1804"/>
      <c r="DL117" s="1804"/>
      <c r="DM117" s="1804"/>
      <c r="DN117" s="1804"/>
      <c r="DO117" s="1804"/>
      <c r="DP117" s="1804"/>
      <c r="DQ117" s="1671"/>
      <c r="DR117" s="1671"/>
      <c r="DS117" s="1671"/>
      <c r="DT117" s="1671"/>
      <c r="DU117" s="1671"/>
      <c r="DV117" s="1671"/>
      <c r="DW117" s="1671"/>
      <c r="DX117" s="1671"/>
      <c r="DY117" s="1671"/>
      <c r="DZ117" s="1671"/>
      <c r="EA117" s="1740"/>
      <c r="EB117" s="1740"/>
      <c r="EC117" s="1740"/>
      <c r="ED117" s="1740"/>
      <c r="EE117" s="1740"/>
      <c r="EF117" s="1740"/>
      <c r="EG117" s="1740"/>
      <c r="EH117" s="1740"/>
      <c r="EI117" s="1740"/>
      <c r="EJ117" s="1740"/>
      <c r="EK117" s="1740"/>
      <c r="EL117" s="1740"/>
      <c r="EM117" s="1740"/>
      <c r="EN117" s="1740"/>
      <c r="EO117" s="1740"/>
      <c r="EP117" s="1740"/>
      <c r="EQ117" s="1740"/>
      <c r="ER117" s="1740"/>
      <c r="ES117" s="1740"/>
      <c r="ET117" s="1740"/>
      <c r="EU117" s="1740"/>
      <c r="EV117" s="1740"/>
      <c r="EW117" s="1740"/>
      <c r="EX117" s="1740"/>
      <c r="EY117" s="1740"/>
      <c r="EZ117" s="1740"/>
      <c r="FA117" s="1740"/>
      <c r="FB117" s="1740"/>
      <c r="FC117" s="1740"/>
      <c r="FD117" s="1740"/>
      <c r="FE117" s="1740"/>
      <c r="FF117" s="1740"/>
      <c r="FG117" s="1740"/>
      <c r="FH117" s="1740"/>
      <c r="FI117" s="1740"/>
      <c r="FJ117" s="1740"/>
      <c r="FK117" s="1740"/>
      <c r="FL117" s="1740"/>
      <c r="FM117" s="1740"/>
      <c r="FN117" s="1740"/>
      <c r="FO117" s="1740"/>
      <c r="FP117" s="1740"/>
      <c r="FQ117" s="1740"/>
      <c r="FR117" s="1740"/>
      <c r="FS117" s="1740"/>
      <c r="FT117" s="1740"/>
      <c r="FU117" s="1740"/>
      <c r="FV117" s="1740"/>
      <c r="FW117" s="1740"/>
      <c r="FX117" s="1740"/>
      <c r="FY117" s="1740"/>
      <c r="FZ117" s="1740"/>
      <c r="GA117" s="1740"/>
      <c r="GB117" s="1740"/>
      <c r="GC117" s="1740"/>
      <c r="GD117" s="1740"/>
      <c r="GE117" s="1740"/>
      <c r="GF117" s="1740"/>
    </row>
    <row r="118" spans="1:188" s="20" customFormat="1">
      <c r="A118" s="333">
        <f t="shared" si="2"/>
        <v>1980</v>
      </c>
      <c r="B118" s="333">
        <f t="shared" si="3"/>
        <v>1</v>
      </c>
      <c r="C118" s="1174">
        <v>29252</v>
      </c>
      <c r="D118" s="1167"/>
      <c r="E118" s="1168">
        <v>664.30357142859998</v>
      </c>
      <c r="F118" s="1168">
        <v>604.62718869645448</v>
      </c>
      <c r="G118" s="1168"/>
      <c r="H118" s="1167"/>
      <c r="I118" s="1168"/>
      <c r="J118" s="1168"/>
      <c r="K118" s="1678"/>
      <c r="L118" s="1678"/>
      <c r="M118" s="1682"/>
      <c r="N118" s="1169"/>
      <c r="O118" s="1169"/>
      <c r="P118" s="1169"/>
      <c r="Q118" s="1167"/>
      <c r="R118" s="1167"/>
      <c r="S118" s="1167"/>
      <c r="T118" s="1167"/>
      <c r="U118" s="1167"/>
      <c r="V118" s="1167"/>
      <c r="W118" s="1167"/>
      <c r="X118" s="630"/>
      <c r="AA118" s="1915"/>
      <c r="AB118" s="1915"/>
      <c r="AC118" s="1804"/>
      <c r="AD118" s="1804"/>
      <c r="AE118" s="1804"/>
      <c r="AF118" s="1804"/>
      <c r="AG118" s="1804"/>
      <c r="AH118" s="1804"/>
      <c r="AI118" s="1781" t="s">
        <v>3</v>
      </c>
      <c r="AJ118" s="1826">
        <v>2014</v>
      </c>
      <c r="AK118" s="1822" t="s">
        <v>18</v>
      </c>
      <c r="AL118" s="1822">
        <v>2</v>
      </c>
      <c r="AM118" s="1823">
        <v>709117603</v>
      </c>
      <c r="AN118" s="1824">
        <v>0.26</v>
      </c>
      <c r="AO118" s="1781"/>
      <c r="AP118" s="1781" t="s">
        <v>0</v>
      </c>
      <c r="AQ118" s="1781" t="s">
        <v>497</v>
      </c>
      <c r="AR118" s="1822" t="s">
        <v>386</v>
      </c>
      <c r="AS118" s="1822"/>
      <c r="AT118" s="1823">
        <v>3986446950.4599991</v>
      </c>
      <c r="AU118" s="1825"/>
      <c r="AV118" s="1781">
        <v>2007</v>
      </c>
      <c r="AW118" s="1671"/>
      <c r="AX118" s="1671"/>
      <c r="AY118" s="1804"/>
      <c r="AZ118" s="1804"/>
      <c r="BA118" s="1804"/>
      <c r="BB118" s="1804"/>
      <c r="BC118" s="1804"/>
      <c r="BD118" s="1804"/>
      <c r="BE118" s="1804"/>
      <c r="BF118" s="1804"/>
      <c r="BG118" s="1804"/>
      <c r="BH118" s="1804"/>
      <c r="BI118" s="1804"/>
      <c r="BJ118" s="1804"/>
      <c r="BK118" s="1804"/>
      <c r="BL118" s="1804"/>
      <c r="BM118" s="1804"/>
      <c r="BN118" s="1804"/>
      <c r="BO118" s="1804"/>
      <c r="BP118" s="1804"/>
      <c r="BQ118" s="1804"/>
      <c r="BR118" s="1804"/>
      <c r="BS118" s="1804"/>
      <c r="BT118" s="1804"/>
      <c r="BU118" s="1804"/>
      <c r="BV118" s="1804"/>
      <c r="BW118" s="1804"/>
      <c r="BX118" s="1804"/>
      <c r="BY118" s="1804"/>
      <c r="BZ118" s="1804"/>
      <c r="CA118" s="1804"/>
      <c r="CB118" s="1804"/>
      <c r="CC118" s="1804"/>
      <c r="CD118" s="1804"/>
      <c r="CE118" s="1804"/>
      <c r="CF118" s="1804"/>
      <c r="CG118" s="1804"/>
      <c r="CH118" s="1804"/>
      <c r="CI118" s="1804"/>
      <c r="CJ118" s="1804"/>
      <c r="CK118" s="1804"/>
      <c r="CL118" s="1804"/>
      <c r="CM118" s="1804"/>
      <c r="CN118" s="1804"/>
      <c r="CO118" s="1804"/>
      <c r="CP118" s="1804"/>
      <c r="CQ118" s="1804"/>
      <c r="CR118" s="1804"/>
      <c r="CS118" s="1804"/>
      <c r="CT118" s="1804"/>
      <c r="CU118" s="1804"/>
      <c r="CV118" s="1804"/>
      <c r="CW118" s="1804"/>
      <c r="CX118" s="1804"/>
      <c r="CY118" s="1804"/>
      <c r="CZ118" s="1804"/>
      <c r="DA118" s="1804"/>
      <c r="DB118" s="1804"/>
      <c r="DC118" s="1804"/>
      <c r="DD118" s="1804"/>
      <c r="DE118" s="1804"/>
      <c r="DF118" s="1804"/>
      <c r="DG118" s="1804"/>
      <c r="DH118" s="1804"/>
      <c r="DI118" s="1804"/>
      <c r="DJ118" s="1804"/>
      <c r="DK118" s="1804"/>
      <c r="DL118" s="1804"/>
      <c r="DM118" s="1804"/>
      <c r="DN118" s="1804"/>
      <c r="DO118" s="1804"/>
      <c r="DP118" s="1804"/>
      <c r="DQ118" s="1671"/>
      <c r="DR118" s="1671"/>
      <c r="DS118" s="1671"/>
      <c r="DT118" s="1671"/>
      <c r="DU118" s="1671"/>
      <c r="DV118" s="1671"/>
      <c r="DW118" s="1671"/>
      <c r="DX118" s="1671"/>
      <c r="DY118" s="1671"/>
      <c r="DZ118" s="1671"/>
      <c r="EA118" s="1740"/>
      <c r="EB118" s="1740"/>
      <c r="EC118" s="1740"/>
      <c r="ED118" s="1740"/>
      <c r="EE118" s="1740"/>
      <c r="EF118" s="1740"/>
      <c r="EG118" s="1740"/>
      <c r="EH118" s="1740"/>
      <c r="EI118" s="1740"/>
      <c r="EJ118" s="1740"/>
      <c r="EK118" s="1740"/>
      <c r="EL118" s="1740"/>
      <c r="EM118" s="1740"/>
      <c r="EN118" s="1740"/>
      <c r="EO118" s="1740"/>
      <c r="EP118" s="1740"/>
      <c r="EQ118" s="1740"/>
      <c r="ER118" s="1740"/>
      <c r="ES118" s="1740"/>
      <c r="ET118" s="1740"/>
      <c r="EU118" s="1740"/>
      <c r="EV118" s="1740"/>
      <c r="EW118" s="1740"/>
      <c r="EX118" s="1740"/>
      <c r="EY118" s="1740"/>
      <c r="EZ118" s="1740"/>
      <c r="FA118" s="1740"/>
      <c r="FB118" s="1740"/>
      <c r="FC118" s="1740"/>
      <c r="FD118" s="1740"/>
      <c r="FE118" s="1740"/>
      <c r="FF118" s="1740"/>
      <c r="FG118" s="1740"/>
      <c r="FH118" s="1740"/>
      <c r="FI118" s="1740"/>
      <c r="FJ118" s="1740"/>
      <c r="FK118" s="1740"/>
      <c r="FL118" s="1740"/>
      <c r="FM118" s="1740"/>
      <c r="FN118" s="1740"/>
      <c r="FO118" s="1740"/>
      <c r="FP118" s="1740"/>
      <c r="FQ118" s="1740"/>
      <c r="FR118" s="1740"/>
      <c r="FS118" s="1740"/>
      <c r="FT118" s="1740"/>
      <c r="FU118" s="1740"/>
      <c r="FV118" s="1740"/>
      <c r="FW118" s="1740"/>
      <c r="FX118" s="1740"/>
      <c r="FY118" s="1740"/>
      <c r="FZ118" s="1740"/>
      <c r="GA118" s="1740"/>
      <c r="GB118" s="1740"/>
      <c r="GC118" s="1740"/>
      <c r="GD118" s="1740"/>
      <c r="GE118" s="1740"/>
      <c r="GF118" s="1740"/>
    </row>
    <row r="119" spans="1:188" s="20" customFormat="1">
      <c r="A119" s="333">
        <f t="shared" si="2"/>
        <v>1980</v>
      </c>
      <c r="B119" s="333">
        <f t="shared" si="3"/>
        <v>1</v>
      </c>
      <c r="C119" s="1174">
        <v>29283</v>
      </c>
      <c r="D119" s="1158"/>
      <c r="E119" s="1159">
        <v>550.62261904759998</v>
      </c>
      <c r="F119" s="1159">
        <v>508.3766492237919</v>
      </c>
      <c r="G119" s="1160"/>
      <c r="H119" s="1161"/>
      <c r="I119" s="1160"/>
      <c r="J119" s="1160"/>
      <c r="K119" s="1677"/>
      <c r="L119" s="1677"/>
      <c r="M119" s="1681"/>
      <c r="N119" s="1162"/>
      <c r="O119" s="1162"/>
      <c r="P119" s="1162"/>
      <c r="Q119" s="1163"/>
      <c r="R119" s="1164"/>
      <c r="S119" s="1164"/>
      <c r="T119" s="1164"/>
      <c r="U119" s="1165"/>
      <c r="V119" s="1166"/>
      <c r="W119" s="1166"/>
      <c r="X119" s="630"/>
      <c r="AA119" s="1915"/>
      <c r="AB119" s="1915"/>
      <c r="AC119" s="1804"/>
      <c r="AD119" s="1804"/>
      <c r="AE119" s="1804"/>
      <c r="AF119" s="1804"/>
      <c r="AG119" s="1804"/>
      <c r="AH119" s="1804"/>
      <c r="AI119" s="1781" t="s">
        <v>3</v>
      </c>
      <c r="AJ119" s="1826">
        <v>2014</v>
      </c>
      <c r="AK119" s="1822" t="s">
        <v>23</v>
      </c>
      <c r="AL119" s="1822">
        <v>3</v>
      </c>
      <c r="AM119" s="1823">
        <v>210725419</v>
      </c>
      <c r="AN119" s="1824">
        <v>7.6999999999999999E-2</v>
      </c>
      <c r="AO119" s="1781"/>
      <c r="AP119" s="1781" t="s">
        <v>0</v>
      </c>
      <c r="AQ119" s="1781" t="s">
        <v>496</v>
      </c>
      <c r="AR119" s="1822" t="s">
        <v>18</v>
      </c>
      <c r="AS119" s="1822">
        <v>1</v>
      </c>
      <c r="AT119" s="1823">
        <v>972318685.42252743</v>
      </c>
      <c r="AU119" s="1825">
        <v>0.20867483729336431</v>
      </c>
      <c r="AV119" s="1781">
        <v>2006</v>
      </c>
      <c r="AW119" s="1671"/>
      <c r="AX119" s="1925"/>
      <c r="AY119" s="1804"/>
      <c r="AZ119" s="1804"/>
      <c r="BA119" s="1804"/>
      <c r="BB119" s="1804"/>
      <c r="BC119" s="1804"/>
      <c r="BD119" s="1804"/>
      <c r="BE119" s="1804"/>
      <c r="BF119" s="1804"/>
      <c r="BG119" s="1804"/>
      <c r="BH119" s="1804"/>
      <c r="BI119" s="1804"/>
      <c r="BJ119" s="1804"/>
      <c r="BK119" s="1804"/>
      <c r="BL119" s="1804"/>
      <c r="BM119" s="1804"/>
      <c r="BN119" s="1804"/>
      <c r="BO119" s="1804"/>
      <c r="BP119" s="1804"/>
      <c r="BQ119" s="1804"/>
      <c r="BR119" s="1804"/>
      <c r="BS119" s="1804"/>
      <c r="BT119" s="1804"/>
      <c r="BU119" s="1804"/>
      <c r="BV119" s="1804"/>
      <c r="BW119" s="1804"/>
      <c r="BX119" s="1804"/>
      <c r="BY119" s="1804"/>
      <c r="BZ119" s="1804"/>
      <c r="CA119" s="1804"/>
      <c r="CB119" s="1804"/>
      <c r="CC119" s="1804"/>
      <c r="CD119" s="1804"/>
      <c r="CE119" s="1804"/>
      <c r="CF119" s="1804"/>
      <c r="CG119" s="1804"/>
      <c r="CH119" s="1804"/>
      <c r="CI119" s="1804"/>
      <c r="CJ119" s="1804"/>
      <c r="CK119" s="1804"/>
      <c r="CL119" s="1804"/>
      <c r="CM119" s="1804"/>
      <c r="CN119" s="1804"/>
      <c r="CO119" s="1804"/>
      <c r="CP119" s="1804"/>
      <c r="CQ119" s="1804"/>
      <c r="CR119" s="1804"/>
      <c r="CS119" s="1804"/>
      <c r="CT119" s="1804"/>
      <c r="CU119" s="1804"/>
      <c r="CV119" s="1804"/>
      <c r="CW119" s="1804"/>
      <c r="CX119" s="1804"/>
      <c r="CY119" s="1804"/>
      <c r="CZ119" s="1804"/>
      <c r="DA119" s="1804"/>
      <c r="DB119" s="1804"/>
      <c r="DC119" s="1804"/>
      <c r="DD119" s="1804"/>
      <c r="DE119" s="1804"/>
      <c r="DF119" s="1804"/>
      <c r="DG119" s="1804"/>
      <c r="DH119" s="1804"/>
      <c r="DI119" s="1804"/>
      <c r="DJ119" s="1804"/>
      <c r="DK119" s="1804"/>
      <c r="DL119" s="1804"/>
      <c r="DM119" s="1804"/>
      <c r="DN119" s="1804"/>
      <c r="DO119" s="1804"/>
      <c r="DP119" s="1804"/>
      <c r="DQ119" s="1671"/>
      <c r="DR119" s="1671"/>
      <c r="DS119" s="1671"/>
      <c r="DT119" s="1671"/>
      <c r="DU119" s="1671"/>
      <c r="DV119" s="1671"/>
      <c r="DW119" s="1671"/>
      <c r="DX119" s="1671"/>
      <c r="DY119" s="1671"/>
      <c r="DZ119" s="1671"/>
      <c r="EA119" s="1740"/>
      <c r="EB119" s="1740"/>
      <c r="EC119" s="1740"/>
      <c r="ED119" s="1740"/>
      <c r="EE119" s="1740"/>
      <c r="EF119" s="1740"/>
      <c r="EG119" s="1740"/>
      <c r="EH119" s="1740"/>
      <c r="EI119" s="1740"/>
      <c r="EJ119" s="1740"/>
      <c r="EK119" s="1740"/>
      <c r="EL119" s="1740"/>
      <c r="EM119" s="1740"/>
      <c r="EN119" s="1740"/>
      <c r="EO119" s="1740"/>
      <c r="EP119" s="1740"/>
      <c r="EQ119" s="1740"/>
      <c r="ER119" s="1740"/>
      <c r="ES119" s="1740"/>
      <c r="ET119" s="1740"/>
      <c r="EU119" s="1740"/>
      <c r="EV119" s="1740"/>
      <c r="EW119" s="1740"/>
      <c r="EX119" s="1740"/>
      <c r="EY119" s="1740"/>
      <c r="EZ119" s="1740"/>
      <c r="FA119" s="1740"/>
      <c r="FB119" s="1740"/>
      <c r="FC119" s="1740"/>
      <c r="FD119" s="1740"/>
      <c r="FE119" s="1740"/>
      <c r="FF119" s="1740"/>
      <c r="FG119" s="1740"/>
      <c r="FH119" s="1740"/>
      <c r="FI119" s="1740"/>
      <c r="FJ119" s="1740"/>
      <c r="FK119" s="1740"/>
      <c r="FL119" s="1740"/>
      <c r="FM119" s="1740"/>
      <c r="FN119" s="1740"/>
      <c r="FO119" s="1740"/>
      <c r="FP119" s="1740"/>
      <c r="FQ119" s="1740"/>
      <c r="FR119" s="1740"/>
      <c r="FS119" s="1740"/>
      <c r="FT119" s="1740"/>
      <c r="FU119" s="1740"/>
      <c r="FV119" s="1740"/>
      <c r="FW119" s="1740"/>
      <c r="FX119" s="1740"/>
      <c r="FY119" s="1740"/>
      <c r="FZ119" s="1740"/>
      <c r="GA119" s="1740"/>
      <c r="GB119" s="1740"/>
      <c r="GC119" s="1740"/>
      <c r="GD119" s="1740"/>
      <c r="GE119" s="1740"/>
      <c r="GF119" s="1740"/>
    </row>
    <row r="120" spans="1:188" s="20" customFormat="1">
      <c r="A120" s="333">
        <f t="shared" si="2"/>
        <v>1980</v>
      </c>
      <c r="B120" s="333">
        <f t="shared" si="3"/>
        <v>2</v>
      </c>
      <c r="C120" s="1174">
        <v>29312</v>
      </c>
      <c r="D120" s="1167"/>
      <c r="E120" s="1168">
        <v>516.92250000000001</v>
      </c>
      <c r="F120" s="1168">
        <v>463.81543311750005</v>
      </c>
      <c r="G120" s="1168"/>
      <c r="H120" s="1167"/>
      <c r="I120" s="1168"/>
      <c r="J120" s="1168"/>
      <c r="K120" s="1678"/>
      <c r="L120" s="1678"/>
      <c r="M120" s="1682"/>
      <c r="N120" s="1169"/>
      <c r="O120" s="1169"/>
      <c r="P120" s="1169"/>
      <c r="Q120" s="1167"/>
      <c r="R120" s="1167"/>
      <c r="S120" s="1167"/>
      <c r="T120" s="1167"/>
      <c r="U120" s="1167"/>
      <c r="V120" s="1167"/>
      <c r="W120" s="1167"/>
      <c r="X120" s="630"/>
      <c r="AA120" s="1915"/>
      <c r="AB120" s="1915"/>
      <c r="AC120" s="1804"/>
      <c r="AD120" s="1804"/>
      <c r="AE120" s="1804"/>
      <c r="AF120" s="1804"/>
      <c r="AG120" s="1804"/>
      <c r="AH120" s="1804"/>
      <c r="AI120" s="1781" t="s">
        <v>3</v>
      </c>
      <c r="AJ120" s="1826">
        <v>2014</v>
      </c>
      <c r="AK120" s="1822" t="s">
        <v>61</v>
      </c>
      <c r="AL120" s="1822">
        <v>4</v>
      </c>
      <c r="AM120" s="1823">
        <v>207192692</v>
      </c>
      <c r="AN120" s="1824">
        <v>7.5999999999999998E-2</v>
      </c>
      <c r="AO120" s="1781"/>
      <c r="AP120" s="1781" t="s">
        <v>0</v>
      </c>
      <c r="AQ120" s="1781" t="s">
        <v>496</v>
      </c>
      <c r="AR120" s="1822" t="s">
        <v>17</v>
      </c>
      <c r="AS120" s="1822">
        <v>2</v>
      </c>
      <c r="AT120" s="1823">
        <v>814615092.74104667</v>
      </c>
      <c r="AU120" s="1825">
        <v>0.17482917327726419</v>
      </c>
      <c r="AV120" s="1781">
        <v>2006</v>
      </c>
      <c r="AW120" s="1671"/>
      <c r="AX120" s="1671"/>
      <c r="AY120" s="1804"/>
      <c r="AZ120" s="1804"/>
      <c r="BA120" s="1804"/>
      <c r="BB120" s="1804"/>
      <c r="BC120" s="1804"/>
      <c r="BD120" s="1804"/>
      <c r="BE120" s="1804"/>
      <c r="BF120" s="1804"/>
      <c r="BG120" s="1804"/>
      <c r="BH120" s="1804"/>
      <c r="BI120" s="1804"/>
      <c r="BJ120" s="1804"/>
      <c r="BK120" s="1804"/>
      <c r="BL120" s="1804"/>
      <c r="BM120" s="1804"/>
      <c r="BN120" s="1804"/>
      <c r="BO120" s="1804"/>
      <c r="BP120" s="1804"/>
      <c r="BQ120" s="1804"/>
      <c r="BR120" s="1804"/>
      <c r="BS120" s="1804"/>
      <c r="BT120" s="1804"/>
      <c r="BU120" s="1804"/>
      <c r="BV120" s="1804"/>
      <c r="BW120" s="1804"/>
      <c r="BX120" s="1804"/>
      <c r="BY120" s="1804"/>
      <c r="BZ120" s="1804"/>
      <c r="CA120" s="1804"/>
      <c r="CB120" s="1804"/>
      <c r="CC120" s="1804"/>
      <c r="CD120" s="1804"/>
      <c r="CE120" s="1804"/>
      <c r="CF120" s="1804"/>
      <c r="CG120" s="1804"/>
      <c r="CH120" s="1804"/>
      <c r="CI120" s="1804"/>
      <c r="CJ120" s="1804"/>
      <c r="CK120" s="1804"/>
      <c r="CL120" s="1804"/>
      <c r="CM120" s="1804"/>
      <c r="CN120" s="1804"/>
      <c r="CO120" s="1804"/>
      <c r="CP120" s="1804"/>
      <c r="CQ120" s="1804"/>
      <c r="CR120" s="1804"/>
      <c r="CS120" s="1804"/>
      <c r="CT120" s="1804"/>
      <c r="CU120" s="1804"/>
      <c r="CV120" s="1804"/>
      <c r="CW120" s="1804"/>
      <c r="CX120" s="1804"/>
      <c r="CY120" s="1804"/>
      <c r="CZ120" s="1804"/>
      <c r="DA120" s="1804"/>
      <c r="DB120" s="1804"/>
      <c r="DC120" s="1804"/>
      <c r="DD120" s="1804"/>
      <c r="DE120" s="1804"/>
      <c r="DF120" s="1804"/>
      <c r="DG120" s="1804"/>
      <c r="DH120" s="1804"/>
      <c r="DI120" s="1804"/>
      <c r="DJ120" s="1804"/>
      <c r="DK120" s="1804"/>
      <c r="DL120" s="1804"/>
      <c r="DM120" s="1804"/>
      <c r="DN120" s="1804"/>
      <c r="DO120" s="1804"/>
      <c r="DP120" s="1804"/>
      <c r="DQ120" s="1671"/>
      <c r="DR120" s="1671"/>
      <c r="DS120" s="1671"/>
      <c r="DT120" s="1671"/>
      <c r="DU120" s="1671"/>
      <c r="DV120" s="1671"/>
      <c r="DW120" s="1671"/>
      <c r="DX120" s="1671"/>
      <c r="DY120" s="1671"/>
      <c r="DZ120" s="1671"/>
      <c r="EA120" s="1740"/>
      <c r="EB120" s="1740"/>
      <c r="EC120" s="1740"/>
      <c r="ED120" s="1740"/>
      <c r="EE120" s="1740"/>
      <c r="EF120" s="1740"/>
      <c r="EG120" s="1740"/>
      <c r="EH120" s="1740"/>
      <c r="EI120" s="1740"/>
      <c r="EJ120" s="1740"/>
      <c r="EK120" s="1740"/>
      <c r="EL120" s="1740"/>
      <c r="EM120" s="1740"/>
      <c r="EN120" s="1740"/>
      <c r="EO120" s="1740"/>
      <c r="EP120" s="1740"/>
      <c r="EQ120" s="1740"/>
      <c r="ER120" s="1740"/>
      <c r="ES120" s="1740"/>
      <c r="ET120" s="1740"/>
      <c r="EU120" s="1740"/>
      <c r="EV120" s="1740"/>
      <c r="EW120" s="1740"/>
      <c r="EX120" s="1740"/>
      <c r="EY120" s="1740"/>
      <c r="EZ120" s="1740"/>
      <c r="FA120" s="1740"/>
      <c r="FB120" s="1740"/>
      <c r="FC120" s="1740"/>
      <c r="FD120" s="1740"/>
      <c r="FE120" s="1740"/>
      <c r="FF120" s="1740"/>
      <c r="FG120" s="1740"/>
      <c r="FH120" s="1740"/>
      <c r="FI120" s="1740"/>
      <c r="FJ120" s="1740"/>
      <c r="FK120" s="1740"/>
      <c r="FL120" s="1740"/>
      <c r="FM120" s="1740"/>
      <c r="FN120" s="1740"/>
      <c r="FO120" s="1740"/>
      <c r="FP120" s="1740"/>
      <c r="FQ120" s="1740"/>
      <c r="FR120" s="1740"/>
      <c r="FS120" s="1740"/>
      <c r="FT120" s="1740"/>
      <c r="FU120" s="1740"/>
      <c r="FV120" s="1740"/>
      <c r="FW120" s="1740"/>
      <c r="FX120" s="1740"/>
      <c r="FY120" s="1740"/>
      <c r="FZ120" s="1740"/>
      <c r="GA120" s="1740"/>
      <c r="GB120" s="1740"/>
      <c r="GC120" s="1740"/>
      <c r="GD120" s="1740"/>
      <c r="GE120" s="1740"/>
      <c r="GF120" s="1740"/>
    </row>
    <row r="121" spans="1:188" s="20" customFormat="1">
      <c r="A121" s="333">
        <f t="shared" si="2"/>
        <v>1980</v>
      </c>
      <c r="B121" s="333">
        <f t="shared" si="3"/>
        <v>2</v>
      </c>
      <c r="C121" s="1174">
        <v>29342</v>
      </c>
      <c r="D121" s="1158"/>
      <c r="E121" s="1159">
        <v>515.60749999999996</v>
      </c>
      <c r="F121" s="1159">
        <v>451.25813717749998</v>
      </c>
      <c r="G121" s="1160"/>
      <c r="H121" s="1161"/>
      <c r="I121" s="1160"/>
      <c r="J121" s="1160"/>
      <c r="K121" s="1677"/>
      <c r="L121" s="1677"/>
      <c r="M121" s="1681"/>
      <c r="N121" s="1162"/>
      <c r="O121" s="1162"/>
      <c r="P121" s="1162"/>
      <c r="Q121" s="1163"/>
      <c r="R121" s="1164"/>
      <c r="S121" s="1164"/>
      <c r="T121" s="1164"/>
      <c r="U121" s="1165"/>
      <c r="V121" s="1166"/>
      <c r="W121" s="1166"/>
      <c r="X121" s="630"/>
      <c r="AA121" s="1915"/>
      <c r="AB121" s="1915"/>
      <c r="AC121" s="1804"/>
      <c r="AD121" s="1804"/>
      <c r="AE121" s="1804"/>
      <c r="AF121" s="1804"/>
      <c r="AG121" s="1804"/>
      <c r="AH121" s="1804"/>
      <c r="AI121" s="1781" t="s">
        <v>3</v>
      </c>
      <c r="AJ121" s="1826">
        <v>2014</v>
      </c>
      <c r="AK121" s="1822" t="s">
        <v>758</v>
      </c>
      <c r="AL121" s="1822">
        <v>5</v>
      </c>
      <c r="AM121" s="1823">
        <v>148313983</v>
      </c>
      <c r="AN121" s="1824">
        <v>5.3999999999999999E-2</v>
      </c>
      <c r="AO121" s="1781"/>
      <c r="AP121" s="1781" t="s">
        <v>0</v>
      </c>
      <c r="AQ121" s="1781" t="s">
        <v>496</v>
      </c>
      <c r="AR121" s="1822" t="s">
        <v>32</v>
      </c>
      <c r="AS121" s="1822">
        <v>3</v>
      </c>
      <c r="AT121" s="1823">
        <v>788187594.20796895</v>
      </c>
      <c r="AU121" s="1825">
        <v>0.16915741766962189</v>
      </c>
      <c r="AV121" s="1781">
        <v>2006</v>
      </c>
      <c r="AW121" s="1671"/>
      <c r="AX121" s="1671"/>
      <c r="AY121" s="1804"/>
      <c r="AZ121" s="1804"/>
      <c r="BA121" s="1804"/>
      <c r="BB121" s="1804"/>
      <c r="BC121" s="1804"/>
      <c r="BD121" s="1804"/>
      <c r="BE121" s="1804"/>
      <c r="BF121" s="1804"/>
      <c r="BG121" s="1804"/>
      <c r="BH121" s="1804"/>
      <c r="BI121" s="1804"/>
      <c r="BJ121" s="1804"/>
      <c r="BK121" s="1804"/>
      <c r="BL121" s="1804"/>
      <c r="BM121" s="1804"/>
      <c r="BN121" s="1804"/>
      <c r="BO121" s="1804"/>
      <c r="BP121" s="1804"/>
      <c r="BQ121" s="1804"/>
      <c r="BR121" s="1804"/>
      <c r="BS121" s="1804"/>
      <c r="BT121" s="1804"/>
      <c r="BU121" s="1804"/>
      <c r="BV121" s="1804"/>
      <c r="BW121" s="1804"/>
      <c r="BX121" s="1804"/>
      <c r="BY121" s="1804"/>
      <c r="BZ121" s="1804"/>
      <c r="CA121" s="1804"/>
      <c r="CB121" s="1804"/>
      <c r="CC121" s="1804"/>
      <c r="CD121" s="1804"/>
      <c r="CE121" s="1804"/>
      <c r="CF121" s="1804"/>
      <c r="CG121" s="1804"/>
      <c r="CH121" s="1804"/>
      <c r="CI121" s="1804"/>
      <c r="CJ121" s="1804"/>
      <c r="CK121" s="1804"/>
      <c r="CL121" s="1804"/>
      <c r="CM121" s="1804"/>
      <c r="CN121" s="1804"/>
      <c r="CO121" s="1804"/>
      <c r="CP121" s="1804"/>
      <c r="CQ121" s="1804"/>
      <c r="CR121" s="1804"/>
      <c r="CS121" s="1804"/>
      <c r="CT121" s="1804"/>
      <c r="CU121" s="1804"/>
      <c r="CV121" s="1804"/>
      <c r="CW121" s="1804"/>
      <c r="CX121" s="1804"/>
      <c r="CY121" s="1804"/>
      <c r="CZ121" s="1804"/>
      <c r="DA121" s="1804"/>
      <c r="DB121" s="1804"/>
      <c r="DC121" s="1804"/>
      <c r="DD121" s="1804"/>
      <c r="DE121" s="1804"/>
      <c r="DF121" s="1804"/>
      <c r="DG121" s="1804"/>
      <c r="DH121" s="1804"/>
      <c r="DI121" s="1804"/>
      <c r="DJ121" s="1804"/>
      <c r="DK121" s="1804"/>
      <c r="DL121" s="1804"/>
      <c r="DM121" s="1804"/>
      <c r="DN121" s="1804"/>
      <c r="DO121" s="1804"/>
      <c r="DP121" s="1804"/>
      <c r="DQ121" s="1671"/>
      <c r="DR121" s="1671"/>
      <c r="DS121" s="1671"/>
      <c r="DT121" s="1671"/>
      <c r="DU121" s="1671"/>
      <c r="DV121" s="1671"/>
      <c r="DW121" s="1671"/>
      <c r="DX121" s="1671"/>
      <c r="DY121" s="1671"/>
      <c r="DZ121" s="1671"/>
      <c r="EA121" s="1740"/>
      <c r="EB121" s="1740"/>
      <c r="EC121" s="1740"/>
      <c r="ED121" s="1740"/>
      <c r="EE121" s="1740"/>
      <c r="EF121" s="1740"/>
      <c r="EG121" s="1740"/>
      <c r="EH121" s="1740"/>
      <c r="EI121" s="1740"/>
      <c r="EJ121" s="1740"/>
      <c r="EK121" s="1740"/>
      <c r="EL121" s="1740"/>
      <c r="EM121" s="1740"/>
      <c r="EN121" s="1740"/>
      <c r="EO121" s="1740"/>
      <c r="EP121" s="1740"/>
      <c r="EQ121" s="1740"/>
      <c r="ER121" s="1740"/>
      <c r="ES121" s="1740"/>
      <c r="ET121" s="1740"/>
      <c r="EU121" s="1740"/>
      <c r="EV121" s="1740"/>
      <c r="EW121" s="1740"/>
      <c r="EX121" s="1740"/>
      <c r="EY121" s="1740"/>
      <c r="EZ121" s="1740"/>
      <c r="FA121" s="1740"/>
      <c r="FB121" s="1740"/>
      <c r="FC121" s="1740"/>
      <c r="FD121" s="1740"/>
      <c r="FE121" s="1740"/>
      <c r="FF121" s="1740"/>
      <c r="FG121" s="1740"/>
      <c r="FH121" s="1740"/>
      <c r="FI121" s="1740"/>
      <c r="FJ121" s="1740"/>
      <c r="FK121" s="1740"/>
      <c r="FL121" s="1740"/>
      <c r="FM121" s="1740"/>
      <c r="FN121" s="1740"/>
      <c r="FO121" s="1740"/>
      <c r="FP121" s="1740"/>
      <c r="FQ121" s="1740"/>
      <c r="FR121" s="1740"/>
      <c r="FS121" s="1740"/>
      <c r="FT121" s="1740"/>
      <c r="FU121" s="1740"/>
      <c r="FV121" s="1740"/>
      <c r="FW121" s="1740"/>
      <c r="FX121" s="1740"/>
      <c r="FY121" s="1740"/>
      <c r="FZ121" s="1740"/>
      <c r="GA121" s="1740"/>
      <c r="GB121" s="1740"/>
      <c r="GC121" s="1740"/>
      <c r="GD121" s="1740"/>
      <c r="GE121" s="1740"/>
      <c r="GF121" s="1740"/>
    </row>
    <row r="122" spans="1:188" s="20" customFormat="1">
      <c r="A122" s="333">
        <f t="shared" si="2"/>
        <v>1980</v>
      </c>
      <c r="B122" s="333">
        <f t="shared" si="3"/>
        <v>2</v>
      </c>
      <c r="C122" s="1174">
        <v>29374</v>
      </c>
      <c r="D122" s="1167"/>
      <c r="E122" s="1168">
        <v>603.0619047619</v>
      </c>
      <c r="F122" s="1168">
        <v>520.95864479999591</v>
      </c>
      <c r="G122" s="1168"/>
      <c r="H122" s="1167"/>
      <c r="I122" s="1168"/>
      <c r="J122" s="1168"/>
      <c r="K122" s="1678"/>
      <c r="L122" s="1678"/>
      <c r="M122" s="1682"/>
      <c r="N122" s="1169"/>
      <c r="O122" s="1169"/>
      <c r="P122" s="1169"/>
      <c r="Q122" s="1167"/>
      <c r="R122" s="1167"/>
      <c r="S122" s="1167"/>
      <c r="T122" s="1167"/>
      <c r="U122" s="1167"/>
      <c r="V122" s="1167"/>
      <c r="W122" s="1167"/>
      <c r="X122" s="630"/>
      <c r="AA122" s="1915"/>
      <c r="AB122" s="1915"/>
      <c r="AC122" s="1804"/>
      <c r="AD122" s="1804"/>
      <c r="AE122" s="1804"/>
      <c r="AF122" s="1804"/>
      <c r="AG122" s="1804"/>
      <c r="AH122" s="1804"/>
      <c r="AI122" s="1781" t="s">
        <v>3</v>
      </c>
      <c r="AJ122" s="1826">
        <v>2014</v>
      </c>
      <c r="AK122" s="1822" t="s">
        <v>27</v>
      </c>
      <c r="AL122" s="1822">
        <v>6</v>
      </c>
      <c r="AM122" s="1823">
        <v>90219485</v>
      </c>
      <c r="AN122" s="1824">
        <v>3.3000000000000002E-2</v>
      </c>
      <c r="AO122" s="1781"/>
      <c r="AP122" s="1781" t="s">
        <v>0</v>
      </c>
      <c r="AQ122" s="1781" t="s">
        <v>496</v>
      </c>
      <c r="AR122" s="1822" t="s">
        <v>135</v>
      </c>
      <c r="AS122" s="1822">
        <v>4</v>
      </c>
      <c r="AT122" s="1823">
        <v>696850905.82959712</v>
      </c>
      <c r="AU122" s="1825">
        <v>0.14955513204863852</v>
      </c>
      <c r="AV122" s="1781">
        <v>2006</v>
      </c>
      <c r="AW122" s="1671"/>
      <c r="AX122" s="1925"/>
      <c r="AY122" s="1804"/>
      <c r="AZ122" s="1804"/>
      <c r="BA122" s="1804"/>
      <c r="BB122" s="1804"/>
      <c r="BC122" s="1804"/>
      <c r="BD122" s="1804"/>
      <c r="BE122" s="1804"/>
      <c r="BF122" s="1804"/>
      <c r="BG122" s="1804"/>
      <c r="BH122" s="1804"/>
      <c r="BI122" s="1804"/>
      <c r="BJ122" s="1804"/>
      <c r="BK122" s="1804"/>
      <c r="BL122" s="1804"/>
      <c r="BM122" s="1804"/>
      <c r="BN122" s="1804"/>
      <c r="BO122" s="1804"/>
      <c r="BP122" s="1804"/>
      <c r="BQ122" s="1804"/>
      <c r="BR122" s="1804"/>
      <c r="BS122" s="1804"/>
      <c r="BT122" s="1804"/>
      <c r="BU122" s="1804"/>
      <c r="BV122" s="1804"/>
      <c r="BW122" s="1804"/>
      <c r="BX122" s="1804"/>
      <c r="BY122" s="1804"/>
      <c r="BZ122" s="1804"/>
      <c r="CA122" s="1804"/>
      <c r="CB122" s="1804"/>
      <c r="CC122" s="1804"/>
      <c r="CD122" s="1804"/>
      <c r="CE122" s="1804"/>
      <c r="CF122" s="1804"/>
      <c r="CG122" s="1804"/>
      <c r="CH122" s="1804"/>
      <c r="CI122" s="1804"/>
      <c r="CJ122" s="1804"/>
      <c r="CK122" s="1804"/>
      <c r="CL122" s="1804"/>
      <c r="CM122" s="1804"/>
      <c r="CN122" s="1804"/>
      <c r="CO122" s="1804"/>
      <c r="CP122" s="1804"/>
      <c r="CQ122" s="1804"/>
      <c r="CR122" s="1804"/>
      <c r="CS122" s="1804"/>
      <c r="CT122" s="1804"/>
      <c r="CU122" s="1804"/>
      <c r="CV122" s="1804"/>
      <c r="CW122" s="1804"/>
      <c r="CX122" s="1804"/>
      <c r="CY122" s="1804"/>
      <c r="CZ122" s="1804"/>
      <c r="DA122" s="1804"/>
      <c r="DB122" s="1804"/>
      <c r="DC122" s="1804"/>
      <c r="DD122" s="1804"/>
      <c r="DE122" s="1804"/>
      <c r="DF122" s="1804"/>
      <c r="DG122" s="1804"/>
      <c r="DH122" s="1804"/>
      <c r="DI122" s="1804"/>
      <c r="DJ122" s="1804"/>
      <c r="DK122" s="1804"/>
      <c r="DL122" s="1804"/>
      <c r="DM122" s="1804"/>
      <c r="DN122" s="1804"/>
      <c r="DO122" s="1804"/>
      <c r="DP122" s="1804"/>
      <c r="DQ122" s="1671"/>
      <c r="DR122" s="1671"/>
      <c r="DS122" s="1671"/>
      <c r="DT122" s="1671"/>
      <c r="DU122" s="1671"/>
      <c r="DV122" s="1671"/>
      <c r="DW122" s="1671"/>
      <c r="DX122" s="1671"/>
      <c r="DY122" s="1671"/>
      <c r="DZ122" s="1671"/>
      <c r="EA122" s="1740"/>
      <c r="EB122" s="1740"/>
      <c r="EC122" s="1740"/>
      <c r="ED122" s="1740"/>
      <c r="EE122" s="1740"/>
      <c r="EF122" s="1740"/>
      <c r="EG122" s="1740"/>
      <c r="EH122" s="1740"/>
      <c r="EI122" s="1740"/>
      <c r="EJ122" s="1740"/>
      <c r="EK122" s="1740"/>
      <c r="EL122" s="1740"/>
      <c r="EM122" s="1740"/>
      <c r="EN122" s="1740"/>
      <c r="EO122" s="1740"/>
      <c r="EP122" s="1740"/>
      <c r="EQ122" s="1740"/>
      <c r="ER122" s="1740"/>
      <c r="ES122" s="1740"/>
      <c r="ET122" s="1740"/>
      <c r="EU122" s="1740"/>
      <c r="EV122" s="1740"/>
      <c r="EW122" s="1740"/>
      <c r="EX122" s="1740"/>
      <c r="EY122" s="1740"/>
      <c r="EZ122" s="1740"/>
      <c r="FA122" s="1740"/>
      <c r="FB122" s="1740"/>
      <c r="FC122" s="1740"/>
      <c r="FD122" s="1740"/>
      <c r="FE122" s="1740"/>
      <c r="FF122" s="1740"/>
      <c r="FG122" s="1740"/>
      <c r="FH122" s="1740"/>
      <c r="FI122" s="1740"/>
      <c r="FJ122" s="1740"/>
      <c r="FK122" s="1740"/>
      <c r="FL122" s="1740"/>
      <c r="FM122" s="1740"/>
      <c r="FN122" s="1740"/>
      <c r="FO122" s="1740"/>
      <c r="FP122" s="1740"/>
      <c r="FQ122" s="1740"/>
      <c r="FR122" s="1740"/>
      <c r="FS122" s="1740"/>
      <c r="FT122" s="1740"/>
      <c r="FU122" s="1740"/>
      <c r="FV122" s="1740"/>
      <c r="FW122" s="1740"/>
      <c r="FX122" s="1740"/>
      <c r="FY122" s="1740"/>
      <c r="FZ122" s="1740"/>
      <c r="GA122" s="1740"/>
      <c r="GB122" s="1740"/>
      <c r="GC122" s="1740"/>
      <c r="GD122" s="1740"/>
      <c r="GE122" s="1740"/>
      <c r="GF122" s="1740"/>
    </row>
    <row r="123" spans="1:188" s="20" customFormat="1">
      <c r="A123" s="333">
        <f t="shared" si="2"/>
        <v>1980</v>
      </c>
      <c r="B123" s="333">
        <f t="shared" si="3"/>
        <v>3</v>
      </c>
      <c r="C123" s="1174">
        <v>29403</v>
      </c>
      <c r="D123" s="1158"/>
      <c r="E123" s="1159">
        <v>643.45652173910003</v>
      </c>
      <c r="F123" s="1159">
        <v>558.31371132606057</v>
      </c>
      <c r="G123" s="1160"/>
      <c r="H123" s="1161"/>
      <c r="I123" s="1160"/>
      <c r="J123" s="1160"/>
      <c r="K123" s="1677"/>
      <c r="L123" s="1677"/>
      <c r="M123" s="1681"/>
      <c r="N123" s="1162"/>
      <c r="O123" s="1162"/>
      <c r="P123" s="1162"/>
      <c r="Q123" s="1163"/>
      <c r="R123" s="1164"/>
      <c r="S123" s="1164"/>
      <c r="T123" s="1164"/>
      <c r="U123" s="1165"/>
      <c r="V123" s="1166"/>
      <c r="W123" s="1166"/>
      <c r="X123" s="630"/>
      <c r="AA123" s="1915"/>
      <c r="AB123" s="1915"/>
      <c r="AC123" s="1804"/>
      <c r="AD123" s="1804"/>
      <c r="AE123" s="1804"/>
      <c r="AF123" s="1804"/>
      <c r="AG123" s="1804"/>
      <c r="AH123" s="1804"/>
      <c r="AI123" s="1781" t="s">
        <v>3</v>
      </c>
      <c r="AJ123" s="1826">
        <v>2014</v>
      </c>
      <c r="AK123" s="1822" t="s">
        <v>21</v>
      </c>
      <c r="AL123" s="1822">
        <v>7</v>
      </c>
      <c r="AM123" s="1823">
        <v>42107114</v>
      </c>
      <c r="AN123" s="1824">
        <v>1.4999999999999999E-2</v>
      </c>
      <c r="AO123" s="1781"/>
      <c r="AP123" s="1781" t="s">
        <v>0</v>
      </c>
      <c r="AQ123" s="1781" t="s">
        <v>496</v>
      </c>
      <c r="AR123" s="1822" t="s">
        <v>26</v>
      </c>
      <c r="AS123" s="1822">
        <v>5</v>
      </c>
      <c r="AT123" s="1823">
        <v>366243674.89516747</v>
      </c>
      <c r="AU123" s="1825">
        <v>7.8601635877501977E-2</v>
      </c>
      <c r="AV123" s="1781">
        <v>2006</v>
      </c>
      <c r="AW123" s="1671"/>
      <c r="AX123" s="1671"/>
      <c r="AY123" s="1804"/>
      <c r="AZ123" s="1804"/>
      <c r="BA123" s="1804"/>
      <c r="BB123" s="1804"/>
      <c r="BC123" s="1804"/>
      <c r="BD123" s="1804"/>
      <c r="BE123" s="1804"/>
      <c r="BF123" s="1804"/>
      <c r="BG123" s="1804"/>
      <c r="BH123" s="1804"/>
      <c r="BI123" s="1804"/>
      <c r="BJ123" s="1804"/>
      <c r="BK123" s="1804"/>
      <c r="BL123" s="1804"/>
      <c r="BM123" s="1804"/>
      <c r="BN123" s="1804"/>
      <c r="BO123" s="1804"/>
      <c r="BP123" s="1804"/>
      <c r="BQ123" s="1804"/>
      <c r="BR123" s="1804"/>
      <c r="BS123" s="1804"/>
      <c r="BT123" s="1804"/>
      <c r="BU123" s="1804"/>
      <c r="BV123" s="1804"/>
      <c r="BW123" s="1804"/>
      <c r="BX123" s="1804"/>
      <c r="BY123" s="1804"/>
      <c r="BZ123" s="1804"/>
      <c r="CA123" s="1804"/>
      <c r="CB123" s="1804"/>
      <c r="CC123" s="1804"/>
      <c r="CD123" s="1804"/>
      <c r="CE123" s="1804"/>
      <c r="CF123" s="1804"/>
      <c r="CG123" s="1804"/>
      <c r="CH123" s="1804"/>
      <c r="CI123" s="1804"/>
      <c r="CJ123" s="1804"/>
      <c r="CK123" s="1804"/>
      <c r="CL123" s="1804"/>
      <c r="CM123" s="1804"/>
      <c r="CN123" s="1804"/>
      <c r="CO123" s="1804"/>
      <c r="CP123" s="1804"/>
      <c r="CQ123" s="1804"/>
      <c r="CR123" s="1804"/>
      <c r="CS123" s="1804"/>
      <c r="CT123" s="1804"/>
      <c r="CU123" s="1804"/>
      <c r="CV123" s="1804"/>
      <c r="CW123" s="1804"/>
      <c r="CX123" s="1804"/>
      <c r="CY123" s="1804"/>
      <c r="CZ123" s="1804"/>
      <c r="DA123" s="1804"/>
      <c r="DB123" s="1804"/>
      <c r="DC123" s="1804"/>
      <c r="DD123" s="1804"/>
      <c r="DE123" s="1804"/>
      <c r="DF123" s="1804"/>
      <c r="DG123" s="1804"/>
      <c r="DH123" s="1804"/>
      <c r="DI123" s="1804"/>
      <c r="DJ123" s="1804"/>
      <c r="DK123" s="1804"/>
      <c r="DL123" s="1804"/>
      <c r="DM123" s="1804"/>
      <c r="DN123" s="1804"/>
      <c r="DO123" s="1804"/>
      <c r="DP123" s="1804"/>
      <c r="DQ123" s="1671"/>
      <c r="DR123" s="1671"/>
      <c r="DS123" s="1671"/>
      <c r="DT123" s="1671"/>
      <c r="DU123" s="1671"/>
      <c r="DV123" s="1671"/>
      <c r="DW123" s="1671"/>
      <c r="DX123" s="1671"/>
      <c r="DY123" s="1671"/>
      <c r="DZ123" s="1671"/>
      <c r="EA123" s="1740"/>
      <c r="EB123" s="1740"/>
      <c r="EC123" s="1740"/>
      <c r="ED123" s="1740"/>
      <c r="EE123" s="1740"/>
      <c r="EF123" s="1740"/>
      <c r="EG123" s="1740"/>
      <c r="EH123" s="1740"/>
      <c r="EI123" s="1740"/>
      <c r="EJ123" s="1740"/>
      <c r="EK123" s="1740"/>
      <c r="EL123" s="1740"/>
      <c r="EM123" s="1740"/>
      <c r="EN123" s="1740"/>
      <c r="EO123" s="1740"/>
      <c r="EP123" s="1740"/>
      <c r="EQ123" s="1740"/>
      <c r="ER123" s="1740"/>
      <c r="ES123" s="1740"/>
      <c r="ET123" s="1740"/>
      <c r="EU123" s="1740"/>
      <c r="EV123" s="1740"/>
      <c r="EW123" s="1740"/>
      <c r="EX123" s="1740"/>
      <c r="EY123" s="1740"/>
      <c r="EZ123" s="1740"/>
      <c r="FA123" s="1740"/>
      <c r="FB123" s="1740"/>
      <c r="FC123" s="1740"/>
      <c r="FD123" s="1740"/>
      <c r="FE123" s="1740"/>
      <c r="FF123" s="1740"/>
      <c r="FG123" s="1740"/>
      <c r="FH123" s="1740"/>
      <c r="FI123" s="1740"/>
      <c r="FJ123" s="1740"/>
      <c r="FK123" s="1740"/>
      <c r="FL123" s="1740"/>
      <c r="FM123" s="1740"/>
      <c r="FN123" s="1740"/>
      <c r="FO123" s="1740"/>
      <c r="FP123" s="1740"/>
      <c r="FQ123" s="1740"/>
      <c r="FR123" s="1740"/>
      <c r="FS123" s="1740"/>
      <c r="FT123" s="1740"/>
      <c r="FU123" s="1740"/>
      <c r="FV123" s="1740"/>
      <c r="FW123" s="1740"/>
      <c r="FX123" s="1740"/>
      <c r="FY123" s="1740"/>
      <c r="FZ123" s="1740"/>
      <c r="GA123" s="1740"/>
      <c r="GB123" s="1740"/>
      <c r="GC123" s="1740"/>
      <c r="GD123" s="1740"/>
      <c r="GE123" s="1740"/>
      <c r="GF123" s="1740"/>
    </row>
    <row r="124" spans="1:188" s="20" customFormat="1">
      <c r="A124" s="333">
        <f t="shared" si="2"/>
        <v>1980</v>
      </c>
      <c r="B124" s="333">
        <f t="shared" si="3"/>
        <v>3</v>
      </c>
      <c r="C124" s="1174">
        <v>29434</v>
      </c>
      <c r="D124" s="1167"/>
      <c r="E124" s="1168">
        <v>627.31624999999997</v>
      </c>
      <c r="F124" s="1168">
        <v>538.19154841374996</v>
      </c>
      <c r="G124" s="1168"/>
      <c r="H124" s="1167"/>
      <c r="I124" s="1168"/>
      <c r="J124" s="1168"/>
      <c r="K124" s="1678"/>
      <c r="L124" s="1678"/>
      <c r="M124" s="1682"/>
      <c r="N124" s="1169"/>
      <c r="O124" s="1169"/>
      <c r="P124" s="1169"/>
      <c r="Q124" s="1167"/>
      <c r="R124" s="1167"/>
      <c r="S124" s="1167"/>
      <c r="T124" s="1167"/>
      <c r="U124" s="1167"/>
      <c r="V124" s="1167"/>
      <c r="W124" s="1167"/>
      <c r="X124" s="630"/>
      <c r="AA124" s="1915"/>
      <c r="AB124" s="1915"/>
      <c r="AC124" s="1804"/>
      <c r="AD124" s="1804"/>
      <c r="AE124" s="1804"/>
      <c r="AF124" s="1804"/>
      <c r="AG124" s="1804"/>
      <c r="AH124" s="1804"/>
      <c r="AI124" s="1781" t="s">
        <v>3</v>
      </c>
      <c r="AJ124" s="1826">
        <v>2014</v>
      </c>
      <c r="AK124" s="1822" t="s">
        <v>63</v>
      </c>
      <c r="AL124" s="1822">
        <v>8</v>
      </c>
      <c r="AM124" s="1823">
        <v>39907818</v>
      </c>
      <c r="AN124" s="1824">
        <v>1.4999999999999999E-2</v>
      </c>
      <c r="AO124" s="1781"/>
      <c r="AP124" s="1781" t="s">
        <v>0</v>
      </c>
      <c r="AQ124" s="1781" t="s">
        <v>496</v>
      </c>
      <c r="AR124" s="1822" t="s">
        <v>56</v>
      </c>
      <c r="AS124" s="1822">
        <v>6</v>
      </c>
      <c r="AT124" s="1823">
        <v>333546279.11351848</v>
      </c>
      <c r="AU124" s="1825">
        <v>7.1584261999011398E-2</v>
      </c>
      <c r="AV124" s="1781">
        <v>2006</v>
      </c>
      <c r="AW124" s="1671"/>
      <c r="AX124" s="1671"/>
      <c r="AY124" s="1804"/>
      <c r="AZ124" s="1804"/>
      <c r="BA124" s="1804"/>
      <c r="BB124" s="1804"/>
      <c r="BC124" s="1804"/>
      <c r="BD124" s="1804"/>
      <c r="BE124" s="1804"/>
      <c r="BF124" s="1804"/>
      <c r="BG124" s="1804"/>
      <c r="BH124" s="1804"/>
      <c r="BI124" s="1804"/>
      <c r="BJ124" s="1804"/>
      <c r="BK124" s="1804"/>
      <c r="BL124" s="1804"/>
      <c r="BM124" s="1804"/>
      <c r="BN124" s="1804"/>
      <c r="BO124" s="1804"/>
      <c r="BP124" s="1804"/>
      <c r="BQ124" s="1804"/>
      <c r="BR124" s="1804"/>
      <c r="BS124" s="1804"/>
      <c r="BT124" s="1804"/>
      <c r="BU124" s="1804"/>
      <c r="BV124" s="1804"/>
      <c r="BW124" s="1804"/>
      <c r="BX124" s="1804"/>
      <c r="BY124" s="1804"/>
      <c r="BZ124" s="1804"/>
      <c r="CA124" s="1804"/>
      <c r="CB124" s="1804"/>
      <c r="CC124" s="1804"/>
      <c r="CD124" s="1804"/>
      <c r="CE124" s="1804"/>
      <c r="CF124" s="1804"/>
      <c r="CG124" s="1804"/>
      <c r="CH124" s="1804"/>
      <c r="CI124" s="1804"/>
      <c r="CJ124" s="1804"/>
      <c r="CK124" s="1804"/>
      <c r="CL124" s="1804"/>
      <c r="CM124" s="1804"/>
      <c r="CN124" s="1804"/>
      <c r="CO124" s="1804"/>
      <c r="CP124" s="1804"/>
      <c r="CQ124" s="1804"/>
      <c r="CR124" s="1804"/>
      <c r="CS124" s="1804"/>
      <c r="CT124" s="1804"/>
      <c r="CU124" s="1804"/>
      <c r="CV124" s="1804"/>
      <c r="CW124" s="1804"/>
      <c r="CX124" s="1804"/>
      <c r="CY124" s="1804"/>
      <c r="CZ124" s="1804"/>
      <c r="DA124" s="1804"/>
      <c r="DB124" s="1804"/>
      <c r="DC124" s="1804"/>
      <c r="DD124" s="1804"/>
      <c r="DE124" s="1804"/>
      <c r="DF124" s="1804"/>
      <c r="DG124" s="1804"/>
      <c r="DH124" s="1804"/>
      <c r="DI124" s="1804"/>
      <c r="DJ124" s="1804"/>
      <c r="DK124" s="1804"/>
      <c r="DL124" s="1804"/>
      <c r="DM124" s="1804"/>
      <c r="DN124" s="1804"/>
      <c r="DO124" s="1804"/>
      <c r="DP124" s="1804"/>
      <c r="DQ124" s="1671"/>
      <c r="DR124" s="1671"/>
      <c r="DS124" s="1671"/>
      <c r="DT124" s="1671"/>
      <c r="DU124" s="1671"/>
      <c r="DV124" s="1671"/>
      <c r="DW124" s="1671"/>
      <c r="DX124" s="1671"/>
      <c r="DY124" s="1671"/>
      <c r="DZ124" s="1671"/>
      <c r="EA124" s="1740"/>
      <c r="EB124" s="1740"/>
      <c r="EC124" s="1740"/>
      <c r="ED124" s="1740"/>
      <c r="EE124" s="1740"/>
      <c r="EF124" s="1740"/>
      <c r="EG124" s="1740"/>
      <c r="EH124" s="1740"/>
      <c r="EI124" s="1740"/>
      <c r="EJ124" s="1740"/>
      <c r="EK124" s="1740"/>
      <c r="EL124" s="1740"/>
      <c r="EM124" s="1740"/>
      <c r="EN124" s="1740"/>
      <c r="EO124" s="1740"/>
      <c r="EP124" s="1740"/>
      <c r="EQ124" s="1740"/>
      <c r="ER124" s="1740"/>
      <c r="ES124" s="1740"/>
      <c r="ET124" s="1740"/>
      <c r="EU124" s="1740"/>
      <c r="EV124" s="1740"/>
      <c r="EW124" s="1740"/>
      <c r="EX124" s="1740"/>
      <c r="EY124" s="1740"/>
      <c r="EZ124" s="1740"/>
      <c r="FA124" s="1740"/>
      <c r="FB124" s="1740"/>
      <c r="FC124" s="1740"/>
      <c r="FD124" s="1740"/>
      <c r="FE124" s="1740"/>
      <c r="FF124" s="1740"/>
      <c r="FG124" s="1740"/>
      <c r="FH124" s="1740"/>
      <c r="FI124" s="1740"/>
      <c r="FJ124" s="1740"/>
      <c r="FK124" s="1740"/>
      <c r="FL124" s="1740"/>
      <c r="FM124" s="1740"/>
      <c r="FN124" s="1740"/>
      <c r="FO124" s="1740"/>
      <c r="FP124" s="1740"/>
      <c r="FQ124" s="1740"/>
      <c r="FR124" s="1740"/>
      <c r="FS124" s="1740"/>
      <c r="FT124" s="1740"/>
      <c r="FU124" s="1740"/>
      <c r="FV124" s="1740"/>
      <c r="FW124" s="1740"/>
      <c r="FX124" s="1740"/>
      <c r="FY124" s="1740"/>
      <c r="FZ124" s="1740"/>
      <c r="GA124" s="1740"/>
      <c r="GB124" s="1740"/>
      <c r="GC124" s="1740"/>
      <c r="GD124" s="1740"/>
      <c r="GE124" s="1740"/>
      <c r="GF124" s="1740"/>
    </row>
    <row r="125" spans="1:188" s="20" customFormat="1">
      <c r="A125" s="333">
        <f t="shared" si="2"/>
        <v>1980</v>
      </c>
      <c r="B125" s="333">
        <f t="shared" si="3"/>
        <v>3</v>
      </c>
      <c r="C125" s="1174">
        <v>29465</v>
      </c>
      <c r="D125" s="1158"/>
      <c r="E125" s="1159">
        <v>674.83522727269997</v>
      </c>
      <c r="F125" s="1159">
        <v>577.27564813634024</v>
      </c>
      <c r="G125" s="1160"/>
      <c r="H125" s="1161"/>
      <c r="I125" s="1160"/>
      <c r="J125" s="1160"/>
      <c r="K125" s="1677"/>
      <c r="L125" s="1677"/>
      <c r="M125" s="1681"/>
      <c r="N125" s="1162"/>
      <c r="O125" s="1162"/>
      <c r="P125" s="1162"/>
      <c r="Q125" s="1163"/>
      <c r="R125" s="1164"/>
      <c r="S125" s="1164"/>
      <c r="T125" s="1164"/>
      <c r="U125" s="1165"/>
      <c r="V125" s="1166"/>
      <c r="W125" s="1166"/>
      <c r="X125" s="630"/>
      <c r="AA125" s="1915"/>
      <c r="AB125" s="1915"/>
      <c r="AC125" s="1804"/>
      <c r="AD125" s="1804"/>
      <c r="AE125" s="1804"/>
      <c r="AF125" s="1804"/>
      <c r="AG125" s="1804"/>
      <c r="AH125" s="1804"/>
      <c r="AI125" s="1781" t="s">
        <v>3</v>
      </c>
      <c r="AJ125" s="1826">
        <v>2014</v>
      </c>
      <c r="AK125" s="1822" t="s">
        <v>60</v>
      </c>
      <c r="AL125" s="1822">
        <v>9</v>
      </c>
      <c r="AM125" s="1823">
        <v>31763987</v>
      </c>
      <c r="AN125" s="1824">
        <v>1.2E-2</v>
      </c>
      <c r="AO125" s="1781"/>
      <c r="AP125" s="1781" t="s">
        <v>0</v>
      </c>
      <c r="AQ125" s="1781" t="s">
        <v>496</v>
      </c>
      <c r="AR125" s="1822" t="s">
        <v>138</v>
      </c>
      <c r="AS125" s="1822">
        <v>7</v>
      </c>
      <c r="AT125" s="1823">
        <v>262105789.13041076</v>
      </c>
      <c r="AU125" s="1825">
        <v>5.6252012555604955E-2</v>
      </c>
      <c r="AV125" s="1781">
        <v>2006</v>
      </c>
      <c r="AW125" s="1671"/>
      <c r="AX125" s="1925"/>
      <c r="AY125" s="1804"/>
      <c r="AZ125" s="1804"/>
      <c r="BA125" s="1804"/>
      <c r="BB125" s="1804"/>
      <c r="BC125" s="1804"/>
      <c r="BD125" s="1804"/>
      <c r="BE125" s="1804"/>
      <c r="BF125" s="1804"/>
      <c r="BG125" s="1804"/>
      <c r="BH125" s="1804"/>
      <c r="BI125" s="1804"/>
      <c r="BJ125" s="1804"/>
      <c r="BK125" s="1804"/>
      <c r="BL125" s="1804"/>
      <c r="BM125" s="1804"/>
      <c r="BN125" s="1804"/>
      <c r="BO125" s="1804"/>
      <c r="BP125" s="1804"/>
      <c r="BQ125" s="1804"/>
      <c r="BR125" s="1804"/>
      <c r="BS125" s="1804"/>
      <c r="BT125" s="1804"/>
      <c r="BU125" s="1804"/>
      <c r="BV125" s="1804"/>
      <c r="BW125" s="1804"/>
      <c r="BX125" s="1804"/>
      <c r="BY125" s="1804"/>
      <c r="BZ125" s="1804"/>
      <c r="CA125" s="1804"/>
      <c r="CB125" s="1804"/>
      <c r="CC125" s="1804"/>
      <c r="CD125" s="1804"/>
      <c r="CE125" s="1804"/>
      <c r="CF125" s="1804"/>
      <c r="CG125" s="1804"/>
      <c r="CH125" s="1804"/>
      <c r="CI125" s="1804"/>
      <c r="CJ125" s="1804"/>
      <c r="CK125" s="1804"/>
      <c r="CL125" s="1804"/>
      <c r="CM125" s="1804"/>
      <c r="CN125" s="1804"/>
      <c r="CO125" s="1804"/>
      <c r="CP125" s="1804"/>
      <c r="CQ125" s="1804"/>
      <c r="CR125" s="1804"/>
      <c r="CS125" s="1804"/>
      <c r="CT125" s="1804"/>
      <c r="CU125" s="1804"/>
      <c r="CV125" s="1804"/>
      <c r="CW125" s="1804"/>
      <c r="CX125" s="1804"/>
      <c r="CY125" s="1804"/>
      <c r="CZ125" s="1804"/>
      <c r="DA125" s="1804"/>
      <c r="DB125" s="1804"/>
      <c r="DC125" s="1804"/>
      <c r="DD125" s="1804"/>
      <c r="DE125" s="1804"/>
      <c r="DF125" s="1804"/>
      <c r="DG125" s="1804"/>
      <c r="DH125" s="1804"/>
      <c r="DI125" s="1804"/>
      <c r="DJ125" s="1804"/>
      <c r="DK125" s="1804"/>
      <c r="DL125" s="1804"/>
      <c r="DM125" s="1804"/>
      <c r="DN125" s="1804"/>
      <c r="DO125" s="1804"/>
      <c r="DP125" s="1804"/>
      <c r="DQ125" s="1671"/>
      <c r="DR125" s="1671"/>
      <c r="DS125" s="1671"/>
      <c r="DT125" s="1671"/>
      <c r="DU125" s="1671"/>
      <c r="DV125" s="1671"/>
      <c r="DW125" s="1671"/>
      <c r="DX125" s="1671"/>
      <c r="DY125" s="1671"/>
      <c r="DZ125" s="1671"/>
      <c r="EA125" s="1740"/>
      <c r="EB125" s="1740"/>
      <c r="EC125" s="1740"/>
      <c r="ED125" s="1740"/>
      <c r="EE125" s="1740"/>
      <c r="EF125" s="1740"/>
      <c r="EG125" s="1740"/>
      <c r="EH125" s="1740"/>
      <c r="EI125" s="1740"/>
      <c r="EJ125" s="1740"/>
      <c r="EK125" s="1740"/>
      <c r="EL125" s="1740"/>
      <c r="EM125" s="1740"/>
      <c r="EN125" s="1740"/>
      <c r="EO125" s="1740"/>
      <c r="EP125" s="1740"/>
      <c r="EQ125" s="1740"/>
      <c r="ER125" s="1740"/>
      <c r="ES125" s="1740"/>
      <c r="ET125" s="1740"/>
      <c r="EU125" s="1740"/>
      <c r="EV125" s="1740"/>
      <c r="EW125" s="1740"/>
      <c r="EX125" s="1740"/>
      <c r="EY125" s="1740"/>
      <c r="EZ125" s="1740"/>
      <c r="FA125" s="1740"/>
      <c r="FB125" s="1740"/>
      <c r="FC125" s="1740"/>
      <c r="FD125" s="1740"/>
      <c r="FE125" s="1740"/>
      <c r="FF125" s="1740"/>
      <c r="FG125" s="1740"/>
      <c r="FH125" s="1740"/>
      <c r="FI125" s="1740"/>
      <c r="FJ125" s="1740"/>
      <c r="FK125" s="1740"/>
      <c r="FL125" s="1740"/>
      <c r="FM125" s="1740"/>
      <c r="FN125" s="1740"/>
      <c r="FO125" s="1740"/>
      <c r="FP125" s="1740"/>
      <c r="FQ125" s="1740"/>
      <c r="FR125" s="1740"/>
      <c r="FS125" s="1740"/>
      <c r="FT125" s="1740"/>
      <c r="FU125" s="1740"/>
      <c r="FV125" s="1740"/>
      <c r="FW125" s="1740"/>
      <c r="FX125" s="1740"/>
      <c r="FY125" s="1740"/>
      <c r="FZ125" s="1740"/>
      <c r="GA125" s="1740"/>
      <c r="GB125" s="1740"/>
      <c r="GC125" s="1740"/>
      <c r="GD125" s="1740"/>
      <c r="GE125" s="1740"/>
      <c r="GF125" s="1740"/>
    </row>
    <row r="126" spans="1:188" s="20" customFormat="1">
      <c r="A126" s="333">
        <f t="shared" si="2"/>
        <v>1980</v>
      </c>
      <c r="B126" s="333">
        <f t="shared" si="3"/>
        <v>4</v>
      </c>
      <c r="C126" s="1174">
        <v>29495</v>
      </c>
      <c r="D126" s="1167"/>
      <c r="E126" s="1168">
        <v>660.2456521739</v>
      </c>
      <c r="F126" s="1168">
        <v>563.06145364781491</v>
      </c>
      <c r="G126" s="1168"/>
      <c r="H126" s="1167"/>
      <c r="I126" s="1168"/>
      <c r="J126" s="1168"/>
      <c r="K126" s="1678"/>
      <c r="L126" s="1678"/>
      <c r="M126" s="1682"/>
      <c r="N126" s="1169"/>
      <c r="O126" s="1169"/>
      <c r="P126" s="1169"/>
      <c r="Q126" s="1167"/>
      <c r="R126" s="1167"/>
      <c r="S126" s="1167"/>
      <c r="T126" s="1167"/>
      <c r="U126" s="1167"/>
      <c r="V126" s="1167"/>
      <c r="W126" s="1167"/>
      <c r="X126" s="630"/>
      <c r="AA126" s="1915"/>
      <c r="AB126" s="1915"/>
      <c r="AC126" s="1804"/>
      <c r="AD126" s="1804"/>
      <c r="AE126" s="1804"/>
      <c r="AF126" s="1804"/>
      <c r="AG126" s="1804"/>
      <c r="AH126" s="1804"/>
      <c r="AI126" s="1781" t="s">
        <v>3</v>
      </c>
      <c r="AJ126" s="1826">
        <v>2014</v>
      </c>
      <c r="AK126" s="1822" t="s">
        <v>537</v>
      </c>
      <c r="AL126" s="1822">
        <v>10</v>
      </c>
      <c r="AM126" s="1823">
        <v>28976692</v>
      </c>
      <c r="AN126" s="1824">
        <v>1.0999999999999999E-2</v>
      </c>
      <c r="AO126" s="1781"/>
      <c r="AP126" s="1781" t="s">
        <v>0</v>
      </c>
      <c r="AQ126" s="1781" t="s">
        <v>496</v>
      </c>
      <c r="AR126" s="1822" t="s">
        <v>28</v>
      </c>
      <c r="AS126" s="1822">
        <v>8</v>
      </c>
      <c r="AT126" s="1823">
        <v>104447621.62512727</v>
      </c>
      <c r="AU126" s="1825">
        <v>2.2416097494651042E-2</v>
      </c>
      <c r="AV126" s="1781">
        <v>2006</v>
      </c>
      <c r="AW126" s="1671"/>
      <c r="AX126" s="1671"/>
      <c r="AY126" s="1804"/>
      <c r="AZ126" s="1804"/>
      <c r="BA126" s="1804"/>
      <c r="BB126" s="1804"/>
      <c r="BC126" s="1804"/>
      <c r="BD126" s="1804"/>
      <c r="BE126" s="1804"/>
      <c r="BF126" s="1804"/>
      <c r="BG126" s="1804"/>
      <c r="BH126" s="1804"/>
      <c r="BI126" s="1804"/>
      <c r="BJ126" s="1804"/>
      <c r="BK126" s="1804"/>
      <c r="BL126" s="1804"/>
      <c r="BM126" s="1804"/>
      <c r="BN126" s="1804"/>
      <c r="BO126" s="1804"/>
      <c r="BP126" s="1804"/>
      <c r="BQ126" s="1804"/>
      <c r="BR126" s="1804"/>
      <c r="BS126" s="1804"/>
      <c r="BT126" s="1804"/>
      <c r="BU126" s="1804"/>
      <c r="BV126" s="1804"/>
      <c r="BW126" s="1804"/>
      <c r="BX126" s="1804"/>
      <c r="BY126" s="1804"/>
      <c r="BZ126" s="1804"/>
      <c r="CA126" s="1804"/>
      <c r="CB126" s="1804"/>
      <c r="CC126" s="1804"/>
      <c r="CD126" s="1804"/>
      <c r="CE126" s="1804"/>
      <c r="CF126" s="1804"/>
      <c r="CG126" s="1804"/>
      <c r="CH126" s="1804"/>
      <c r="CI126" s="1804"/>
      <c r="CJ126" s="1804"/>
      <c r="CK126" s="1804"/>
      <c r="CL126" s="1804"/>
      <c r="CM126" s="1804"/>
      <c r="CN126" s="1804"/>
      <c r="CO126" s="1804"/>
      <c r="CP126" s="1804"/>
      <c r="CQ126" s="1804"/>
      <c r="CR126" s="1804"/>
      <c r="CS126" s="1804"/>
      <c r="CT126" s="1804"/>
      <c r="CU126" s="1804"/>
      <c r="CV126" s="1804"/>
      <c r="CW126" s="1804"/>
      <c r="CX126" s="1804"/>
      <c r="CY126" s="1804"/>
      <c r="CZ126" s="1804"/>
      <c r="DA126" s="1804"/>
      <c r="DB126" s="1804"/>
      <c r="DC126" s="1804"/>
      <c r="DD126" s="1804"/>
      <c r="DE126" s="1804"/>
      <c r="DF126" s="1804"/>
      <c r="DG126" s="1804"/>
      <c r="DH126" s="1804"/>
      <c r="DI126" s="1804"/>
      <c r="DJ126" s="1804"/>
      <c r="DK126" s="1804"/>
      <c r="DL126" s="1804"/>
      <c r="DM126" s="1804"/>
      <c r="DN126" s="1804"/>
      <c r="DO126" s="1804"/>
      <c r="DP126" s="1804"/>
      <c r="DQ126" s="1671"/>
      <c r="DR126" s="1671"/>
      <c r="DS126" s="1671"/>
      <c r="DT126" s="1671"/>
      <c r="DU126" s="1671"/>
      <c r="DV126" s="1671"/>
      <c r="DW126" s="1671"/>
      <c r="DX126" s="1671"/>
      <c r="DY126" s="1671"/>
      <c r="DZ126" s="1671"/>
      <c r="EA126" s="1740"/>
      <c r="EB126" s="1740"/>
      <c r="EC126" s="1740"/>
      <c r="ED126" s="1740"/>
      <c r="EE126" s="1740"/>
      <c r="EF126" s="1740"/>
      <c r="EG126" s="1740"/>
      <c r="EH126" s="1740"/>
      <c r="EI126" s="1740"/>
      <c r="EJ126" s="1740"/>
      <c r="EK126" s="1740"/>
      <c r="EL126" s="1740"/>
      <c r="EM126" s="1740"/>
      <c r="EN126" s="1740"/>
      <c r="EO126" s="1740"/>
      <c r="EP126" s="1740"/>
      <c r="EQ126" s="1740"/>
      <c r="ER126" s="1740"/>
      <c r="ES126" s="1740"/>
      <c r="ET126" s="1740"/>
      <c r="EU126" s="1740"/>
      <c r="EV126" s="1740"/>
      <c r="EW126" s="1740"/>
      <c r="EX126" s="1740"/>
      <c r="EY126" s="1740"/>
      <c r="EZ126" s="1740"/>
      <c r="FA126" s="1740"/>
      <c r="FB126" s="1740"/>
      <c r="FC126" s="1740"/>
      <c r="FD126" s="1740"/>
      <c r="FE126" s="1740"/>
      <c r="FF126" s="1740"/>
      <c r="FG126" s="1740"/>
      <c r="FH126" s="1740"/>
      <c r="FI126" s="1740"/>
      <c r="FJ126" s="1740"/>
      <c r="FK126" s="1740"/>
      <c r="FL126" s="1740"/>
      <c r="FM126" s="1740"/>
      <c r="FN126" s="1740"/>
      <c r="FO126" s="1740"/>
      <c r="FP126" s="1740"/>
      <c r="FQ126" s="1740"/>
      <c r="FR126" s="1740"/>
      <c r="FS126" s="1740"/>
      <c r="FT126" s="1740"/>
      <c r="FU126" s="1740"/>
      <c r="FV126" s="1740"/>
      <c r="FW126" s="1740"/>
      <c r="FX126" s="1740"/>
      <c r="FY126" s="1740"/>
      <c r="FZ126" s="1740"/>
      <c r="GA126" s="1740"/>
      <c r="GB126" s="1740"/>
      <c r="GC126" s="1740"/>
      <c r="GD126" s="1740"/>
      <c r="GE126" s="1740"/>
      <c r="GF126" s="1740"/>
    </row>
    <row r="127" spans="1:188" s="20" customFormat="1">
      <c r="A127" s="333">
        <f t="shared" si="2"/>
        <v>1980</v>
      </c>
      <c r="B127" s="333">
        <f t="shared" si="3"/>
        <v>4</v>
      </c>
      <c r="C127" s="1174">
        <v>29528</v>
      </c>
      <c r="D127" s="1158"/>
      <c r="E127" s="1159">
        <v>623.32500000000005</v>
      </c>
      <c r="F127" s="1159">
        <v>535.36449262500003</v>
      </c>
      <c r="G127" s="1160"/>
      <c r="H127" s="1161"/>
      <c r="I127" s="1160"/>
      <c r="J127" s="1160"/>
      <c r="K127" s="1677"/>
      <c r="L127" s="1677"/>
      <c r="M127" s="1681"/>
      <c r="N127" s="1162"/>
      <c r="O127" s="1162"/>
      <c r="P127" s="1162"/>
      <c r="Q127" s="1163"/>
      <c r="R127" s="1164"/>
      <c r="S127" s="1164"/>
      <c r="T127" s="1164"/>
      <c r="U127" s="1165"/>
      <c r="V127" s="1166"/>
      <c r="W127" s="1166"/>
      <c r="X127" s="630"/>
      <c r="AA127" s="1915"/>
      <c r="AB127" s="1915"/>
      <c r="AC127" s="1804"/>
      <c r="AD127" s="1804"/>
      <c r="AE127" s="1804"/>
      <c r="AF127" s="1804"/>
      <c r="AG127" s="1804"/>
      <c r="AH127" s="1804"/>
      <c r="AI127" s="1781" t="s">
        <v>3</v>
      </c>
      <c r="AJ127" s="1826">
        <v>2014</v>
      </c>
      <c r="AK127" s="1822" t="s">
        <v>39</v>
      </c>
      <c r="AL127" s="1822"/>
      <c r="AM127" s="1823">
        <v>125789184</v>
      </c>
      <c r="AN127" s="1824">
        <v>4.5999999999999999E-2</v>
      </c>
      <c r="AO127" s="1781"/>
      <c r="AP127" s="1781" t="s">
        <v>0</v>
      </c>
      <c r="AQ127" s="1781" t="s">
        <v>496</v>
      </c>
      <c r="AR127" s="1822" t="s">
        <v>129</v>
      </c>
      <c r="AS127" s="1822">
        <v>9</v>
      </c>
      <c r="AT127" s="1823">
        <v>94678195.61666666</v>
      </c>
      <c r="AU127" s="1825">
        <v>2.0319425474119853E-2</v>
      </c>
      <c r="AV127" s="1781">
        <v>2006</v>
      </c>
      <c r="AW127" s="1671"/>
      <c r="AX127" s="1671"/>
      <c r="AY127" s="1804"/>
      <c r="AZ127" s="1804"/>
      <c r="BA127" s="1804"/>
      <c r="BB127" s="1804"/>
      <c r="BC127" s="1804"/>
      <c r="BD127" s="1804"/>
      <c r="BE127" s="1804"/>
      <c r="BF127" s="1804"/>
      <c r="BG127" s="1804"/>
      <c r="BH127" s="1804"/>
      <c r="BI127" s="1804"/>
      <c r="BJ127" s="1804"/>
      <c r="BK127" s="1804"/>
      <c r="BL127" s="1804"/>
      <c r="BM127" s="1804"/>
      <c r="BN127" s="1804"/>
      <c r="BO127" s="1804"/>
      <c r="BP127" s="1804"/>
      <c r="BQ127" s="1804"/>
      <c r="BR127" s="1804"/>
      <c r="BS127" s="1804"/>
      <c r="BT127" s="1804"/>
      <c r="BU127" s="1804"/>
      <c r="BV127" s="1804"/>
      <c r="BW127" s="1804"/>
      <c r="BX127" s="1804"/>
      <c r="BY127" s="1804"/>
      <c r="BZ127" s="1804"/>
      <c r="CA127" s="1804"/>
      <c r="CB127" s="1804"/>
      <c r="CC127" s="1804"/>
      <c r="CD127" s="1804"/>
      <c r="CE127" s="1804"/>
      <c r="CF127" s="1804"/>
      <c r="CG127" s="1804"/>
      <c r="CH127" s="1804"/>
      <c r="CI127" s="1804"/>
      <c r="CJ127" s="1804"/>
      <c r="CK127" s="1804"/>
      <c r="CL127" s="1804"/>
      <c r="CM127" s="1804"/>
      <c r="CN127" s="1804"/>
      <c r="CO127" s="1804"/>
      <c r="CP127" s="1804"/>
      <c r="CQ127" s="1804"/>
      <c r="CR127" s="1804"/>
      <c r="CS127" s="1804"/>
      <c r="CT127" s="1804"/>
      <c r="CU127" s="1804"/>
      <c r="CV127" s="1804"/>
      <c r="CW127" s="1804"/>
      <c r="CX127" s="1804"/>
      <c r="CY127" s="1804"/>
      <c r="CZ127" s="1804"/>
      <c r="DA127" s="1804"/>
      <c r="DB127" s="1804"/>
      <c r="DC127" s="1804"/>
      <c r="DD127" s="1804"/>
      <c r="DE127" s="1804"/>
      <c r="DF127" s="1804"/>
      <c r="DG127" s="1804"/>
      <c r="DH127" s="1804"/>
      <c r="DI127" s="1804"/>
      <c r="DJ127" s="1804"/>
      <c r="DK127" s="1804"/>
      <c r="DL127" s="1804"/>
      <c r="DM127" s="1804"/>
      <c r="DN127" s="1804"/>
      <c r="DO127" s="1804"/>
      <c r="DP127" s="1804"/>
      <c r="DQ127" s="1671"/>
      <c r="DR127" s="1671"/>
      <c r="DS127" s="1671"/>
      <c r="DT127" s="1671"/>
      <c r="DU127" s="1671"/>
      <c r="DV127" s="1671"/>
      <c r="DW127" s="1671"/>
      <c r="DX127" s="1671"/>
      <c r="DY127" s="1671"/>
      <c r="DZ127" s="1671"/>
      <c r="EA127" s="1740"/>
      <c r="EB127" s="1740"/>
      <c r="EC127" s="1740"/>
      <c r="ED127" s="1740"/>
      <c r="EE127" s="1740"/>
      <c r="EF127" s="1740"/>
      <c r="EG127" s="1740"/>
      <c r="EH127" s="1740"/>
      <c r="EI127" s="1740"/>
      <c r="EJ127" s="1740"/>
      <c r="EK127" s="1740"/>
      <c r="EL127" s="1740"/>
      <c r="EM127" s="1740"/>
      <c r="EN127" s="1740"/>
      <c r="EO127" s="1740"/>
      <c r="EP127" s="1740"/>
      <c r="EQ127" s="1740"/>
      <c r="ER127" s="1740"/>
      <c r="ES127" s="1740"/>
      <c r="ET127" s="1740"/>
      <c r="EU127" s="1740"/>
      <c r="EV127" s="1740"/>
      <c r="EW127" s="1740"/>
      <c r="EX127" s="1740"/>
      <c r="EY127" s="1740"/>
      <c r="EZ127" s="1740"/>
      <c r="FA127" s="1740"/>
      <c r="FB127" s="1740"/>
      <c r="FC127" s="1740"/>
      <c r="FD127" s="1740"/>
      <c r="FE127" s="1740"/>
      <c r="FF127" s="1740"/>
      <c r="FG127" s="1740"/>
      <c r="FH127" s="1740"/>
      <c r="FI127" s="1740"/>
      <c r="FJ127" s="1740"/>
      <c r="FK127" s="1740"/>
      <c r="FL127" s="1740"/>
      <c r="FM127" s="1740"/>
      <c r="FN127" s="1740"/>
      <c r="FO127" s="1740"/>
      <c r="FP127" s="1740"/>
      <c r="FQ127" s="1740"/>
      <c r="FR127" s="1740"/>
      <c r="FS127" s="1740"/>
      <c r="FT127" s="1740"/>
      <c r="FU127" s="1740"/>
      <c r="FV127" s="1740"/>
      <c r="FW127" s="1740"/>
      <c r="FX127" s="1740"/>
      <c r="FY127" s="1740"/>
      <c r="FZ127" s="1740"/>
      <c r="GA127" s="1740"/>
      <c r="GB127" s="1740"/>
      <c r="GC127" s="1740"/>
      <c r="GD127" s="1740"/>
      <c r="GE127" s="1740"/>
      <c r="GF127" s="1740"/>
    </row>
    <row r="128" spans="1:188" s="20" customFormat="1">
      <c r="A128" s="333">
        <f t="shared" si="2"/>
        <v>1980</v>
      </c>
      <c r="B128" s="333">
        <f t="shared" si="3"/>
        <v>4</v>
      </c>
      <c r="C128" s="1174">
        <v>29556</v>
      </c>
      <c r="D128" s="1167"/>
      <c r="E128" s="1168">
        <v>593.83783783779995</v>
      </c>
      <c r="F128" s="1168">
        <v>502.95392594591385</v>
      </c>
      <c r="G128" s="1168"/>
      <c r="H128" s="1167"/>
      <c r="I128" s="1168"/>
      <c r="J128" s="1168"/>
      <c r="K128" s="1678"/>
      <c r="L128" s="1678"/>
      <c r="M128" s="1682"/>
      <c r="N128" s="1169"/>
      <c r="O128" s="1169"/>
      <c r="P128" s="1169"/>
      <c r="Q128" s="1167"/>
      <c r="R128" s="1167"/>
      <c r="S128" s="1167"/>
      <c r="T128" s="1167"/>
      <c r="U128" s="1167"/>
      <c r="V128" s="1167"/>
      <c r="W128" s="1167"/>
      <c r="X128" s="630"/>
      <c r="AA128" s="1915"/>
      <c r="AB128" s="1915"/>
      <c r="AC128" s="1804"/>
      <c r="AD128" s="1804"/>
      <c r="AE128" s="1804"/>
      <c r="AF128" s="1804"/>
      <c r="AG128" s="1804"/>
      <c r="AH128" s="1804"/>
      <c r="AI128" s="1781" t="s">
        <v>3</v>
      </c>
      <c r="AJ128" s="1826">
        <v>2014</v>
      </c>
      <c r="AK128" s="1822" t="s">
        <v>386</v>
      </c>
      <c r="AL128" s="1822"/>
      <c r="AM128" s="1823">
        <v>2730115579</v>
      </c>
      <c r="AN128" s="1824"/>
      <c r="AO128" s="1781"/>
      <c r="AP128" s="1781" t="s">
        <v>0</v>
      </c>
      <c r="AQ128" s="1781" t="s">
        <v>496</v>
      </c>
      <c r="AR128" s="1822" t="s">
        <v>22</v>
      </c>
      <c r="AS128" s="1822">
        <v>10</v>
      </c>
      <c r="AT128" s="1823">
        <v>55328239.799994715</v>
      </c>
      <c r="AU128" s="1825">
        <v>1.1874307890087414E-2</v>
      </c>
      <c r="AV128" s="1781">
        <v>2006</v>
      </c>
      <c r="AW128" s="1671"/>
      <c r="AX128" s="1925"/>
      <c r="AY128" s="1804"/>
      <c r="AZ128" s="1804"/>
      <c r="BA128" s="1804"/>
      <c r="BB128" s="1804"/>
      <c r="BC128" s="1804"/>
      <c r="BD128" s="1804"/>
      <c r="BE128" s="1804"/>
      <c r="BF128" s="1804"/>
      <c r="BG128" s="1804"/>
      <c r="BH128" s="1804"/>
      <c r="BI128" s="1804"/>
      <c r="BJ128" s="1804"/>
      <c r="BK128" s="1804"/>
      <c r="BL128" s="1804"/>
      <c r="BM128" s="1804"/>
      <c r="BN128" s="1804"/>
      <c r="BO128" s="1804"/>
      <c r="BP128" s="1804"/>
      <c r="BQ128" s="1804"/>
      <c r="BR128" s="1804"/>
      <c r="BS128" s="1804"/>
      <c r="BT128" s="1804"/>
      <c r="BU128" s="1804"/>
      <c r="BV128" s="1804"/>
      <c r="BW128" s="1804"/>
      <c r="BX128" s="1804"/>
      <c r="BY128" s="1804"/>
      <c r="BZ128" s="1804"/>
      <c r="CA128" s="1804"/>
      <c r="CB128" s="1804"/>
      <c r="CC128" s="1804"/>
      <c r="CD128" s="1804"/>
      <c r="CE128" s="1804"/>
      <c r="CF128" s="1804"/>
      <c r="CG128" s="1804"/>
      <c r="CH128" s="1804"/>
      <c r="CI128" s="1804"/>
      <c r="CJ128" s="1804"/>
      <c r="CK128" s="1804"/>
      <c r="CL128" s="1804"/>
      <c r="CM128" s="1804"/>
      <c r="CN128" s="1804"/>
      <c r="CO128" s="1804"/>
      <c r="CP128" s="1804"/>
      <c r="CQ128" s="1804"/>
      <c r="CR128" s="1804"/>
      <c r="CS128" s="1804"/>
      <c r="CT128" s="1804"/>
      <c r="CU128" s="1804"/>
      <c r="CV128" s="1804"/>
      <c r="CW128" s="1804"/>
      <c r="CX128" s="1804"/>
      <c r="CY128" s="1804"/>
      <c r="CZ128" s="1804"/>
      <c r="DA128" s="1804"/>
      <c r="DB128" s="1804"/>
      <c r="DC128" s="1804"/>
      <c r="DD128" s="1804"/>
      <c r="DE128" s="1804"/>
      <c r="DF128" s="1804"/>
      <c r="DG128" s="1804"/>
      <c r="DH128" s="1804"/>
      <c r="DI128" s="1804"/>
      <c r="DJ128" s="1804"/>
      <c r="DK128" s="1804"/>
      <c r="DL128" s="1804"/>
      <c r="DM128" s="1804"/>
      <c r="DN128" s="1804"/>
      <c r="DO128" s="1804"/>
      <c r="DP128" s="1804"/>
      <c r="DQ128" s="1671"/>
      <c r="DR128" s="1671"/>
      <c r="DS128" s="1671"/>
      <c r="DT128" s="1671"/>
      <c r="DU128" s="1671"/>
      <c r="DV128" s="1671"/>
      <c r="DW128" s="1671"/>
      <c r="DX128" s="1671"/>
      <c r="DY128" s="1671"/>
      <c r="DZ128" s="1671"/>
      <c r="EA128" s="1740"/>
      <c r="EB128" s="1740"/>
      <c r="EC128" s="1740"/>
      <c r="ED128" s="1740"/>
      <c r="EE128" s="1740"/>
      <c r="EF128" s="1740"/>
      <c r="EG128" s="1740"/>
      <c r="EH128" s="1740"/>
      <c r="EI128" s="1740"/>
      <c r="EJ128" s="1740"/>
      <c r="EK128" s="1740"/>
      <c r="EL128" s="1740"/>
      <c r="EM128" s="1740"/>
      <c r="EN128" s="1740"/>
      <c r="EO128" s="1740"/>
      <c r="EP128" s="1740"/>
      <c r="EQ128" s="1740"/>
      <c r="ER128" s="1740"/>
      <c r="ES128" s="1740"/>
      <c r="ET128" s="1740"/>
      <c r="EU128" s="1740"/>
      <c r="EV128" s="1740"/>
      <c r="EW128" s="1740"/>
      <c r="EX128" s="1740"/>
      <c r="EY128" s="1740"/>
      <c r="EZ128" s="1740"/>
      <c r="FA128" s="1740"/>
      <c r="FB128" s="1740"/>
      <c r="FC128" s="1740"/>
      <c r="FD128" s="1740"/>
      <c r="FE128" s="1740"/>
      <c r="FF128" s="1740"/>
      <c r="FG128" s="1740"/>
      <c r="FH128" s="1740"/>
      <c r="FI128" s="1740"/>
      <c r="FJ128" s="1740"/>
      <c r="FK128" s="1740"/>
      <c r="FL128" s="1740"/>
      <c r="FM128" s="1740"/>
      <c r="FN128" s="1740"/>
      <c r="FO128" s="1740"/>
      <c r="FP128" s="1740"/>
      <c r="FQ128" s="1740"/>
      <c r="FR128" s="1740"/>
      <c r="FS128" s="1740"/>
      <c r="FT128" s="1740"/>
      <c r="FU128" s="1740"/>
      <c r="FV128" s="1740"/>
      <c r="FW128" s="1740"/>
      <c r="FX128" s="1740"/>
      <c r="FY128" s="1740"/>
      <c r="FZ128" s="1740"/>
      <c r="GA128" s="1740"/>
      <c r="GB128" s="1740"/>
      <c r="GC128" s="1740"/>
      <c r="GD128" s="1740"/>
      <c r="GE128" s="1740"/>
      <c r="GF128" s="1740"/>
    </row>
    <row r="129" spans="1:188" s="20" customFormat="1">
      <c r="A129" s="333">
        <f t="shared" si="2"/>
        <v>1981</v>
      </c>
      <c r="B129" s="333">
        <f t="shared" si="3"/>
        <v>1</v>
      </c>
      <c r="C129" s="1174">
        <v>29587</v>
      </c>
      <c r="D129" s="1158"/>
      <c r="E129" s="1159">
        <v>555.82926829270002</v>
      </c>
      <c r="F129" s="1159">
        <v>474.78380268294143</v>
      </c>
      <c r="G129" s="1160"/>
      <c r="H129" s="1161"/>
      <c r="I129" s="1160"/>
      <c r="J129" s="1160"/>
      <c r="K129" s="1677"/>
      <c r="L129" s="1677"/>
      <c r="M129" s="1681"/>
      <c r="N129" s="1162"/>
      <c r="O129" s="1162"/>
      <c r="P129" s="1162"/>
      <c r="Q129" s="1163"/>
      <c r="R129" s="1164"/>
      <c r="S129" s="1164"/>
      <c r="T129" s="1164"/>
      <c r="U129" s="1165"/>
      <c r="V129" s="1166"/>
      <c r="W129" s="1166"/>
      <c r="X129" s="630"/>
      <c r="AA129" s="1915"/>
      <c r="AB129" s="1915"/>
      <c r="AC129" s="1804"/>
      <c r="AD129" s="1804"/>
      <c r="AE129" s="1804"/>
      <c r="AF129" s="1804"/>
      <c r="AG129" s="1804"/>
      <c r="AH129" s="1804"/>
      <c r="AI129" s="1781" t="s">
        <v>3</v>
      </c>
      <c r="AJ129" s="1826">
        <v>2013</v>
      </c>
      <c r="AK129" s="1822" t="s">
        <v>18</v>
      </c>
      <c r="AL129" s="1822">
        <v>1</v>
      </c>
      <c r="AM129" s="1823">
        <v>1029510309</v>
      </c>
      <c r="AN129" s="1824">
        <v>0.33</v>
      </c>
      <c r="AO129" s="1781"/>
      <c r="AP129" s="1781" t="s">
        <v>0</v>
      </c>
      <c r="AQ129" s="1781" t="s">
        <v>496</v>
      </c>
      <c r="AR129" s="1822" t="s">
        <v>39</v>
      </c>
      <c r="AS129" s="1822"/>
      <c r="AT129" s="1823">
        <v>171169684.18060112</v>
      </c>
      <c r="AU129" s="1825">
        <v>3.6735698420134397E-2</v>
      </c>
      <c r="AV129" s="1781">
        <v>2006</v>
      </c>
      <c r="AW129" s="1671"/>
      <c r="AX129" s="1671"/>
      <c r="AY129" s="1804"/>
      <c r="AZ129" s="1804"/>
      <c r="BA129" s="1804"/>
      <c r="BB129" s="1804"/>
      <c r="BC129" s="1804"/>
      <c r="BD129" s="1804"/>
      <c r="BE129" s="1804"/>
      <c r="BF129" s="1804"/>
      <c r="BG129" s="1804"/>
      <c r="BH129" s="1804"/>
      <c r="BI129" s="1804"/>
      <c r="BJ129" s="1804"/>
      <c r="BK129" s="1804"/>
      <c r="BL129" s="1804"/>
      <c r="BM129" s="1804"/>
      <c r="BN129" s="1804"/>
      <c r="BO129" s="1804"/>
      <c r="BP129" s="1804"/>
      <c r="BQ129" s="1804"/>
      <c r="BR129" s="1804"/>
      <c r="BS129" s="1804"/>
      <c r="BT129" s="1804"/>
      <c r="BU129" s="1804"/>
      <c r="BV129" s="1804"/>
      <c r="BW129" s="1804"/>
      <c r="BX129" s="1804"/>
      <c r="BY129" s="1804"/>
      <c r="BZ129" s="1804"/>
      <c r="CA129" s="1804"/>
      <c r="CB129" s="1804"/>
      <c r="CC129" s="1804"/>
      <c r="CD129" s="1804"/>
      <c r="CE129" s="1804"/>
      <c r="CF129" s="1804"/>
      <c r="CG129" s="1804"/>
      <c r="CH129" s="1804"/>
      <c r="CI129" s="1804"/>
      <c r="CJ129" s="1804"/>
      <c r="CK129" s="1804"/>
      <c r="CL129" s="1804"/>
      <c r="CM129" s="1804"/>
      <c r="CN129" s="1804"/>
      <c r="CO129" s="1804"/>
      <c r="CP129" s="1804"/>
      <c r="CQ129" s="1804"/>
      <c r="CR129" s="1804"/>
      <c r="CS129" s="1804"/>
      <c r="CT129" s="1804"/>
      <c r="CU129" s="1804"/>
      <c r="CV129" s="1804"/>
      <c r="CW129" s="1804"/>
      <c r="CX129" s="1804"/>
      <c r="CY129" s="1804"/>
      <c r="CZ129" s="1804"/>
      <c r="DA129" s="1804"/>
      <c r="DB129" s="1804"/>
      <c r="DC129" s="1804"/>
      <c r="DD129" s="1804"/>
      <c r="DE129" s="1804"/>
      <c r="DF129" s="1804"/>
      <c r="DG129" s="1804"/>
      <c r="DH129" s="1804"/>
      <c r="DI129" s="1804"/>
      <c r="DJ129" s="1804"/>
      <c r="DK129" s="1804"/>
      <c r="DL129" s="1804"/>
      <c r="DM129" s="1804"/>
      <c r="DN129" s="1804"/>
      <c r="DO129" s="1804"/>
      <c r="DP129" s="1804"/>
      <c r="DQ129" s="1671"/>
      <c r="DR129" s="1671"/>
      <c r="DS129" s="1671"/>
      <c r="DT129" s="1671"/>
      <c r="DU129" s="1671"/>
      <c r="DV129" s="1671"/>
      <c r="DW129" s="1671"/>
      <c r="DX129" s="1671"/>
      <c r="DY129" s="1671"/>
      <c r="DZ129" s="1671"/>
      <c r="EA129" s="1740"/>
      <c r="EB129" s="1740"/>
      <c r="EC129" s="1740"/>
      <c r="ED129" s="1740"/>
      <c r="EE129" s="1740"/>
      <c r="EF129" s="1740"/>
      <c r="EG129" s="1740"/>
      <c r="EH129" s="1740"/>
      <c r="EI129" s="1740"/>
      <c r="EJ129" s="1740"/>
      <c r="EK129" s="1740"/>
      <c r="EL129" s="1740"/>
      <c r="EM129" s="1740"/>
      <c r="EN129" s="1740"/>
      <c r="EO129" s="1740"/>
      <c r="EP129" s="1740"/>
      <c r="EQ129" s="1740"/>
      <c r="ER129" s="1740"/>
      <c r="ES129" s="1740"/>
      <c r="ET129" s="1740"/>
      <c r="EU129" s="1740"/>
      <c r="EV129" s="1740"/>
      <c r="EW129" s="1740"/>
      <c r="EX129" s="1740"/>
      <c r="EY129" s="1740"/>
      <c r="EZ129" s="1740"/>
      <c r="FA129" s="1740"/>
      <c r="FB129" s="1740"/>
      <c r="FC129" s="1740"/>
      <c r="FD129" s="1740"/>
      <c r="FE129" s="1740"/>
      <c r="FF129" s="1740"/>
      <c r="FG129" s="1740"/>
      <c r="FH129" s="1740"/>
      <c r="FI129" s="1740"/>
      <c r="FJ129" s="1740"/>
      <c r="FK129" s="1740"/>
      <c r="FL129" s="1740"/>
      <c r="FM129" s="1740"/>
      <c r="FN129" s="1740"/>
      <c r="FO129" s="1740"/>
      <c r="FP129" s="1740"/>
      <c r="FQ129" s="1740"/>
      <c r="FR129" s="1740"/>
      <c r="FS129" s="1740"/>
      <c r="FT129" s="1740"/>
      <c r="FU129" s="1740"/>
      <c r="FV129" s="1740"/>
      <c r="FW129" s="1740"/>
      <c r="FX129" s="1740"/>
      <c r="FY129" s="1740"/>
      <c r="FZ129" s="1740"/>
      <c r="GA129" s="1740"/>
      <c r="GB129" s="1740"/>
      <c r="GC129" s="1740"/>
      <c r="GD129" s="1740"/>
      <c r="GE129" s="1740"/>
      <c r="GF129" s="1740"/>
    </row>
    <row r="130" spans="1:188" s="20" customFormat="1">
      <c r="A130" s="333">
        <f t="shared" si="2"/>
        <v>1981</v>
      </c>
      <c r="B130" s="333">
        <f t="shared" si="3"/>
        <v>1</v>
      </c>
      <c r="C130" s="1174">
        <v>29619</v>
      </c>
      <c r="D130" s="1167"/>
      <c r="E130" s="1168">
        <v>499.0625</v>
      </c>
      <c r="F130" s="1168">
        <v>431.49093468749999</v>
      </c>
      <c r="G130" s="1168"/>
      <c r="H130" s="1167"/>
      <c r="I130" s="1168"/>
      <c r="J130" s="1168"/>
      <c r="K130" s="1678"/>
      <c r="L130" s="1678"/>
      <c r="M130" s="1682"/>
      <c r="N130" s="1169"/>
      <c r="O130" s="1169"/>
      <c r="P130" s="1169"/>
      <c r="Q130" s="1167"/>
      <c r="R130" s="1167"/>
      <c r="S130" s="1167"/>
      <c r="T130" s="1167"/>
      <c r="U130" s="1167"/>
      <c r="V130" s="1167"/>
      <c r="W130" s="1167"/>
      <c r="X130" s="630"/>
      <c r="AA130" s="1915"/>
      <c r="AB130" s="1915"/>
      <c r="AC130" s="1804"/>
      <c r="AD130" s="1804"/>
      <c r="AE130" s="1804"/>
      <c r="AF130" s="1804"/>
      <c r="AG130" s="1804"/>
      <c r="AH130" s="1804"/>
      <c r="AI130" s="1781" t="s">
        <v>3</v>
      </c>
      <c r="AJ130" s="1826">
        <v>2013</v>
      </c>
      <c r="AK130" s="1822" t="s">
        <v>25</v>
      </c>
      <c r="AL130" s="1822">
        <v>2</v>
      </c>
      <c r="AM130" s="1823">
        <v>1001586084</v>
      </c>
      <c r="AN130" s="1824">
        <v>0.32100000000000001</v>
      </c>
      <c r="AO130" s="1781"/>
      <c r="AP130" s="1781" t="s">
        <v>0</v>
      </c>
      <c r="AQ130" s="1781" t="s">
        <v>496</v>
      </c>
      <c r="AR130" s="1822" t="s">
        <v>386</v>
      </c>
      <c r="AS130" s="1822"/>
      <c r="AT130" s="1823">
        <v>4659491762.5626268</v>
      </c>
      <c r="AU130" s="1825"/>
      <c r="AV130" s="1781">
        <v>2006</v>
      </c>
      <c r="AW130" s="1671"/>
      <c r="AX130" s="1671"/>
      <c r="AY130" s="1804"/>
      <c r="AZ130" s="1804"/>
      <c r="BA130" s="1804"/>
      <c r="BB130" s="1804"/>
      <c r="BC130" s="1804"/>
      <c r="BD130" s="1804"/>
      <c r="BE130" s="1804"/>
      <c r="BF130" s="1804"/>
      <c r="BG130" s="1804"/>
      <c r="BH130" s="1804"/>
      <c r="BI130" s="1804"/>
      <c r="BJ130" s="1804"/>
      <c r="BK130" s="1804"/>
      <c r="BL130" s="1804"/>
      <c r="BM130" s="1804"/>
      <c r="BN130" s="1804"/>
      <c r="BO130" s="1804"/>
      <c r="BP130" s="1804"/>
      <c r="BQ130" s="1804"/>
      <c r="BR130" s="1804"/>
      <c r="BS130" s="1804"/>
      <c r="BT130" s="1804"/>
      <c r="BU130" s="1804"/>
      <c r="BV130" s="1804"/>
      <c r="BW130" s="1804"/>
      <c r="BX130" s="1804"/>
      <c r="BY130" s="1804"/>
      <c r="BZ130" s="1804"/>
      <c r="CA130" s="1804"/>
      <c r="CB130" s="1804"/>
      <c r="CC130" s="1804"/>
      <c r="CD130" s="1804"/>
      <c r="CE130" s="1804"/>
      <c r="CF130" s="1804"/>
      <c r="CG130" s="1804"/>
      <c r="CH130" s="1804"/>
      <c r="CI130" s="1804"/>
      <c r="CJ130" s="1804"/>
      <c r="CK130" s="1804"/>
      <c r="CL130" s="1804"/>
      <c r="CM130" s="1804"/>
      <c r="CN130" s="1804"/>
      <c r="CO130" s="1804"/>
      <c r="CP130" s="1804"/>
      <c r="CQ130" s="1804"/>
      <c r="CR130" s="1804"/>
      <c r="CS130" s="1804"/>
      <c r="CT130" s="1804"/>
      <c r="CU130" s="1804"/>
      <c r="CV130" s="1804"/>
      <c r="CW130" s="1804"/>
      <c r="CX130" s="1804"/>
      <c r="CY130" s="1804"/>
      <c r="CZ130" s="1804"/>
      <c r="DA130" s="1804"/>
      <c r="DB130" s="1804"/>
      <c r="DC130" s="1804"/>
      <c r="DD130" s="1804"/>
      <c r="DE130" s="1804"/>
      <c r="DF130" s="1804"/>
      <c r="DG130" s="1804"/>
      <c r="DH130" s="1804"/>
      <c r="DI130" s="1804"/>
      <c r="DJ130" s="1804"/>
      <c r="DK130" s="1804"/>
      <c r="DL130" s="1804"/>
      <c r="DM130" s="1804"/>
      <c r="DN130" s="1804"/>
      <c r="DO130" s="1804"/>
      <c r="DP130" s="1804"/>
      <c r="DQ130" s="1671"/>
      <c r="DR130" s="1671"/>
      <c r="DS130" s="1671"/>
      <c r="DT130" s="1671"/>
      <c r="DU130" s="1671"/>
      <c r="DV130" s="1671"/>
      <c r="DW130" s="1671"/>
      <c r="DX130" s="1671"/>
      <c r="DY130" s="1671"/>
      <c r="DZ130" s="1671"/>
      <c r="EA130" s="1740"/>
      <c r="EB130" s="1740"/>
      <c r="EC130" s="1740"/>
      <c r="ED130" s="1740"/>
      <c r="EE130" s="1740"/>
      <c r="EF130" s="1740"/>
      <c r="EG130" s="1740"/>
      <c r="EH130" s="1740"/>
      <c r="EI130" s="1740"/>
      <c r="EJ130" s="1740"/>
      <c r="EK130" s="1740"/>
      <c r="EL130" s="1740"/>
      <c r="EM130" s="1740"/>
      <c r="EN130" s="1740"/>
      <c r="EO130" s="1740"/>
      <c r="EP130" s="1740"/>
      <c r="EQ130" s="1740"/>
      <c r="ER130" s="1740"/>
      <c r="ES130" s="1740"/>
      <c r="ET130" s="1740"/>
      <c r="EU130" s="1740"/>
      <c r="EV130" s="1740"/>
      <c r="EW130" s="1740"/>
      <c r="EX130" s="1740"/>
      <c r="EY130" s="1740"/>
      <c r="EZ130" s="1740"/>
      <c r="FA130" s="1740"/>
      <c r="FB130" s="1740"/>
      <c r="FC130" s="1740"/>
      <c r="FD130" s="1740"/>
      <c r="FE130" s="1740"/>
      <c r="FF130" s="1740"/>
      <c r="FG130" s="1740"/>
      <c r="FH130" s="1740"/>
      <c r="FI130" s="1740"/>
      <c r="FJ130" s="1740"/>
      <c r="FK130" s="1740"/>
      <c r="FL130" s="1740"/>
      <c r="FM130" s="1740"/>
      <c r="FN130" s="1740"/>
      <c r="FO130" s="1740"/>
      <c r="FP130" s="1740"/>
      <c r="FQ130" s="1740"/>
      <c r="FR130" s="1740"/>
      <c r="FS130" s="1740"/>
      <c r="FT130" s="1740"/>
      <c r="FU130" s="1740"/>
      <c r="FV130" s="1740"/>
      <c r="FW130" s="1740"/>
      <c r="FX130" s="1740"/>
      <c r="FY130" s="1740"/>
      <c r="FZ130" s="1740"/>
      <c r="GA130" s="1740"/>
      <c r="GB130" s="1740"/>
      <c r="GC130" s="1740"/>
      <c r="GD130" s="1740"/>
      <c r="GE130" s="1740"/>
      <c r="GF130" s="1740"/>
    </row>
    <row r="131" spans="1:188" s="20" customFormat="1">
      <c r="A131" s="333">
        <f t="shared" si="2"/>
        <v>1981</v>
      </c>
      <c r="B131" s="333">
        <f t="shared" si="3"/>
        <v>1</v>
      </c>
      <c r="C131" s="1174">
        <v>29647</v>
      </c>
      <c r="D131" s="1158"/>
      <c r="E131" s="1159">
        <v>499.8693181818</v>
      </c>
      <c r="F131" s="1159">
        <v>427.82365322157534</v>
      </c>
      <c r="G131" s="1160"/>
      <c r="H131" s="1161"/>
      <c r="I131" s="1160"/>
      <c r="J131" s="1160"/>
      <c r="K131" s="1677"/>
      <c r="L131" s="1677"/>
      <c r="M131" s="1681"/>
      <c r="N131" s="1162"/>
      <c r="O131" s="1162"/>
      <c r="P131" s="1162"/>
      <c r="Q131" s="1163"/>
      <c r="R131" s="1164"/>
      <c r="S131" s="1164"/>
      <c r="T131" s="1164"/>
      <c r="U131" s="1165"/>
      <c r="V131" s="1166"/>
      <c r="W131" s="1166"/>
      <c r="X131" s="630"/>
      <c r="AA131" s="1915"/>
      <c r="AB131" s="1915"/>
      <c r="AC131" s="1804"/>
      <c r="AD131" s="1804"/>
      <c r="AE131" s="1804"/>
      <c r="AF131" s="1804"/>
      <c r="AG131" s="1804"/>
      <c r="AH131" s="1804"/>
      <c r="AI131" s="1781" t="s">
        <v>3</v>
      </c>
      <c r="AJ131" s="1826">
        <v>2013</v>
      </c>
      <c r="AK131" s="1822" t="s">
        <v>61</v>
      </c>
      <c r="AL131" s="1822">
        <v>3</v>
      </c>
      <c r="AM131" s="1823">
        <v>350017534</v>
      </c>
      <c r="AN131" s="1824">
        <v>0.112</v>
      </c>
      <c r="AO131" s="1781"/>
      <c r="AP131" s="1781" t="s">
        <v>0</v>
      </c>
      <c r="AQ131" s="1781" t="s">
        <v>495</v>
      </c>
      <c r="AR131" s="1822" t="s">
        <v>18</v>
      </c>
      <c r="AS131" s="1822">
        <v>1</v>
      </c>
      <c r="AT131" s="1823">
        <v>663218080.17009938</v>
      </c>
      <c r="AU131" s="1825">
        <v>0.17701212477622832</v>
      </c>
      <c r="AV131" s="1781">
        <v>2005</v>
      </c>
      <c r="AW131" s="1671"/>
      <c r="AX131" s="1925"/>
      <c r="AY131" s="1804"/>
      <c r="AZ131" s="1804"/>
      <c r="BA131" s="1804"/>
      <c r="BB131" s="1804"/>
      <c r="BC131" s="1804"/>
      <c r="BD131" s="1804"/>
      <c r="BE131" s="1804"/>
      <c r="BF131" s="1804"/>
      <c r="BG131" s="1804"/>
      <c r="BH131" s="1804"/>
      <c r="BI131" s="1804"/>
      <c r="BJ131" s="1804"/>
      <c r="BK131" s="1804"/>
      <c r="BL131" s="1804"/>
      <c r="BM131" s="1804"/>
      <c r="BN131" s="1804"/>
      <c r="BO131" s="1804"/>
      <c r="BP131" s="1804"/>
      <c r="BQ131" s="1804"/>
      <c r="BR131" s="1804"/>
      <c r="BS131" s="1804"/>
      <c r="BT131" s="1804"/>
      <c r="BU131" s="1804"/>
      <c r="BV131" s="1804"/>
      <c r="BW131" s="1804"/>
      <c r="BX131" s="1804"/>
      <c r="BY131" s="1804"/>
      <c r="BZ131" s="1804"/>
      <c r="CA131" s="1804"/>
      <c r="CB131" s="1804"/>
      <c r="CC131" s="1804"/>
      <c r="CD131" s="1804"/>
      <c r="CE131" s="1804"/>
      <c r="CF131" s="1804"/>
      <c r="CG131" s="1804"/>
      <c r="CH131" s="1804"/>
      <c r="CI131" s="1804"/>
      <c r="CJ131" s="1804"/>
      <c r="CK131" s="1804"/>
      <c r="CL131" s="1804"/>
      <c r="CM131" s="1804"/>
      <c r="CN131" s="1804"/>
      <c r="CO131" s="1804"/>
      <c r="CP131" s="1804"/>
      <c r="CQ131" s="1804"/>
      <c r="CR131" s="1804"/>
      <c r="CS131" s="1804"/>
      <c r="CT131" s="1804"/>
      <c r="CU131" s="1804"/>
      <c r="CV131" s="1804"/>
      <c r="CW131" s="1804"/>
      <c r="CX131" s="1804"/>
      <c r="CY131" s="1804"/>
      <c r="CZ131" s="1804"/>
      <c r="DA131" s="1804"/>
      <c r="DB131" s="1804"/>
      <c r="DC131" s="1804"/>
      <c r="DD131" s="1804"/>
      <c r="DE131" s="1804"/>
      <c r="DF131" s="1804"/>
      <c r="DG131" s="1804"/>
      <c r="DH131" s="1804"/>
      <c r="DI131" s="1804"/>
      <c r="DJ131" s="1804"/>
      <c r="DK131" s="1804"/>
      <c r="DL131" s="1804"/>
      <c r="DM131" s="1804"/>
      <c r="DN131" s="1804"/>
      <c r="DO131" s="1804"/>
      <c r="DP131" s="1804"/>
      <c r="DQ131" s="1671"/>
      <c r="DR131" s="1671"/>
      <c r="DS131" s="1671"/>
      <c r="DT131" s="1671"/>
      <c r="DU131" s="1671"/>
      <c r="DV131" s="1671"/>
      <c r="DW131" s="1671"/>
      <c r="DX131" s="1671"/>
      <c r="DY131" s="1671"/>
      <c r="DZ131" s="1671"/>
      <c r="EA131" s="1740"/>
      <c r="EB131" s="1740"/>
      <c r="EC131" s="1740"/>
      <c r="ED131" s="1740"/>
      <c r="EE131" s="1740"/>
      <c r="EF131" s="1740"/>
      <c r="EG131" s="1740"/>
      <c r="EH131" s="1740"/>
      <c r="EI131" s="1740"/>
      <c r="EJ131" s="1740"/>
      <c r="EK131" s="1740"/>
      <c r="EL131" s="1740"/>
      <c r="EM131" s="1740"/>
      <c r="EN131" s="1740"/>
      <c r="EO131" s="1740"/>
      <c r="EP131" s="1740"/>
      <c r="EQ131" s="1740"/>
      <c r="ER131" s="1740"/>
      <c r="ES131" s="1740"/>
      <c r="ET131" s="1740"/>
      <c r="EU131" s="1740"/>
      <c r="EV131" s="1740"/>
      <c r="EW131" s="1740"/>
      <c r="EX131" s="1740"/>
      <c r="EY131" s="1740"/>
      <c r="EZ131" s="1740"/>
      <c r="FA131" s="1740"/>
      <c r="FB131" s="1740"/>
      <c r="FC131" s="1740"/>
      <c r="FD131" s="1740"/>
      <c r="FE131" s="1740"/>
      <c r="FF131" s="1740"/>
      <c r="FG131" s="1740"/>
      <c r="FH131" s="1740"/>
      <c r="FI131" s="1740"/>
      <c r="FJ131" s="1740"/>
      <c r="FK131" s="1740"/>
      <c r="FL131" s="1740"/>
      <c r="FM131" s="1740"/>
      <c r="FN131" s="1740"/>
      <c r="FO131" s="1740"/>
      <c r="FP131" s="1740"/>
      <c r="FQ131" s="1740"/>
      <c r="FR131" s="1740"/>
      <c r="FS131" s="1740"/>
      <c r="FT131" s="1740"/>
      <c r="FU131" s="1740"/>
      <c r="FV131" s="1740"/>
      <c r="FW131" s="1740"/>
      <c r="FX131" s="1740"/>
      <c r="FY131" s="1740"/>
      <c r="FZ131" s="1740"/>
      <c r="GA131" s="1740"/>
      <c r="GB131" s="1740"/>
      <c r="GC131" s="1740"/>
      <c r="GD131" s="1740"/>
      <c r="GE131" s="1740"/>
      <c r="GF131" s="1740"/>
    </row>
    <row r="132" spans="1:188" s="20" customFormat="1">
      <c r="A132" s="333">
        <f t="shared" si="2"/>
        <v>1981</v>
      </c>
      <c r="B132" s="333">
        <f t="shared" si="3"/>
        <v>2</v>
      </c>
      <c r="C132" s="1174">
        <v>29677</v>
      </c>
      <c r="D132" s="1167"/>
      <c r="E132" s="1168">
        <v>495.13125000000002</v>
      </c>
      <c r="F132" s="1168">
        <v>430.36164579375003</v>
      </c>
      <c r="G132" s="1168"/>
      <c r="H132" s="1167"/>
      <c r="I132" s="1168"/>
      <c r="J132" s="1168"/>
      <c r="K132" s="1678"/>
      <c r="L132" s="1678"/>
      <c r="M132" s="1682"/>
      <c r="N132" s="1169"/>
      <c r="O132" s="1169"/>
      <c r="P132" s="1169"/>
      <c r="Q132" s="1167"/>
      <c r="R132" s="1167"/>
      <c r="S132" s="1167"/>
      <c r="T132" s="1167"/>
      <c r="U132" s="1167"/>
      <c r="V132" s="1167"/>
      <c r="W132" s="1167"/>
      <c r="X132" s="630"/>
      <c r="AA132" s="1915"/>
      <c r="AB132" s="1915"/>
      <c r="AC132" s="1804"/>
      <c r="AD132" s="1804"/>
      <c r="AE132" s="1804"/>
      <c r="AF132" s="1804"/>
      <c r="AG132" s="1804"/>
      <c r="AH132" s="1804"/>
      <c r="AI132" s="1781" t="s">
        <v>3</v>
      </c>
      <c r="AJ132" s="1826">
        <v>2013</v>
      </c>
      <c r="AK132" s="1822" t="s">
        <v>23</v>
      </c>
      <c r="AL132" s="1822">
        <v>4</v>
      </c>
      <c r="AM132" s="1823">
        <v>250493002</v>
      </c>
      <c r="AN132" s="1824">
        <v>0.08</v>
      </c>
      <c r="AO132" s="1781"/>
      <c r="AP132" s="1781" t="s">
        <v>0</v>
      </c>
      <c r="AQ132" s="1781" t="s">
        <v>495</v>
      </c>
      <c r="AR132" s="1822" t="s">
        <v>32</v>
      </c>
      <c r="AS132" s="1822">
        <v>2</v>
      </c>
      <c r="AT132" s="1823">
        <v>634591640.7650069</v>
      </c>
      <c r="AU132" s="1825">
        <v>0.1693717618015432</v>
      </c>
      <c r="AV132" s="1781">
        <v>2005</v>
      </c>
      <c r="AW132" s="1671"/>
      <c r="AX132" s="1671"/>
      <c r="AY132" s="1804"/>
      <c r="AZ132" s="1804"/>
      <c r="BA132" s="1804"/>
      <c r="BB132" s="1804"/>
      <c r="BC132" s="1804"/>
      <c r="BD132" s="1804"/>
      <c r="BE132" s="1804"/>
      <c r="BF132" s="1804"/>
      <c r="BG132" s="1804"/>
      <c r="BH132" s="1804"/>
      <c r="BI132" s="1804"/>
      <c r="BJ132" s="1804"/>
      <c r="BK132" s="1804"/>
      <c r="BL132" s="1804"/>
      <c r="BM132" s="1804"/>
      <c r="BN132" s="1804"/>
      <c r="BO132" s="1804"/>
      <c r="BP132" s="1804"/>
      <c r="BQ132" s="1804"/>
      <c r="BR132" s="1804"/>
      <c r="BS132" s="1804"/>
      <c r="BT132" s="1804"/>
      <c r="BU132" s="1804"/>
      <c r="BV132" s="1804"/>
      <c r="BW132" s="1804"/>
      <c r="BX132" s="1804"/>
      <c r="BY132" s="1804"/>
      <c r="BZ132" s="1804"/>
      <c r="CA132" s="1804"/>
      <c r="CB132" s="1804"/>
      <c r="CC132" s="1804"/>
      <c r="CD132" s="1804"/>
      <c r="CE132" s="1804"/>
      <c r="CF132" s="1804"/>
      <c r="CG132" s="1804"/>
      <c r="CH132" s="1804"/>
      <c r="CI132" s="1804"/>
      <c r="CJ132" s="1804"/>
      <c r="CK132" s="1804"/>
      <c r="CL132" s="1804"/>
      <c r="CM132" s="1804"/>
      <c r="CN132" s="1804"/>
      <c r="CO132" s="1804"/>
      <c r="CP132" s="1804"/>
      <c r="CQ132" s="1804"/>
      <c r="CR132" s="1804"/>
      <c r="CS132" s="1804"/>
      <c r="CT132" s="1804"/>
      <c r="CU132" s="1804"/>
      <c r="CV132" s="1804"/>
      <c r="CW132" s="1804"/>
      <c r="CX132" s="1804"/>
      <c r="CY132" s="1804"/>
      <c r="CZ132" s="1804"/>
      <c r="DA132" s="1804"/>
      <c r="DB132" s="1804"/>
      <c r="DC132" s="1804"/>
      <c r="DD132" s="1804"/>
      <c r="DE132" s="1804"/>
      <c r="DF132" s="1804"/>
      <c r="DG132" s="1804"/>
      <c r="DH132" s="1804"/>
      <c r="DI132" s="1804"/>
      <c r="DJ132" s="1804"/>
      <c r="DK132" s="1804"/>
      <c r="DL132" s="1804"/>
      <c r="DM132" s="1804"/>
      <c r="DN132" s="1804"/>
      <c r="DO132" s="1804"/>
      <c r="DP132" s="1804"/>
      <c r="DQ132" s="1671"/>
      <c r="DR132" s="1671"/>
      <c r="DS132" s="1671"/>
      <c r="DT132" s="1671"/>
      <c r="DU132" s="1671"/>
      <c r="DV132" s="1671"/>
      <c r="DW132" s="1671"/>
      <c r="DX132" s="1671"/>
      <c r="DY132" s="1671"/>
      <c r="DZ132" s="1671"/>
      <c r="EA132" s="1740"/>
      <c r="EB132" s="1740"/>
      <c r="EC132" s="1740"/>
      <c r="ED132" s="1740"/>
      <c r="EE132" s="1740"/>
      <c r="EF132" s="1740"/>
      <c r="EG132" s="1740"/>
      <c r="EH132" s="1740"/>
      <c r="EI132" s="1740"/>
      <c r="EJ132" s="1740"/>
      <c r="EK132" s="1740"/>
      <c r="EL132" s="1740"/>
      <c r="EM132" s="1740"/>
      <c r="EN132" s="1740"/>
      <c r="EO132" s="1740"/>
      <c r="EP132" s="1740"/>
      <c r="EQ132" s="1740"/>
      <c r="ER132" s="1740"/>
      <c r="ES132" s="1740"/>
      <c r="ET132" s="1740"/>
      <c r="EU132" s="1740"/>
      <c r="EV132" s="1740"/>
      <c r="EW132" s="1740"/>
      <c r="EX132" s="1740"/>
      <c r="EY132" s="1740"/>
      <c r="EZ132" s="1740"/>
      <c r="FA132" s="1740"/>
      <c r="FB132" s="1740"/>
      <c r="FC132" s="1740"/>
      <c r="FD132" s="1740"/>
      <c r="FE132" s="1740"/>
      <c r="FF132" s="1740"/>
      <c r="FG132" s="1740"/>
      <c r="FH132" s="1740"/>
      <c r="FI132" s="1740"/>
      <c r="FJ132" s="1740"/>
      <c r="FK132" s="1740"/>
      <c r="FL132" s="1740"/>
      <c r="FM132" s="1740"/>
      <c r="FN132" s="1740"/>
      <c r="FO132" s="1740"/>
      <c r="FP132" s="1740"/>
      <c r="FQ132" s="1740"/>
      <c r="FR132" s="1740"/>
      <c r="FS132" s="1740"/>
      <c r="FT132" s="1740"/>
      <c r="FU132" s="1740"/>
      <c r="FV132" s="1740"/>
      <c r="FW132" s="1740"/>
      <c r="FX132" s="1740"/>
      <c r="FY132" s="1740"/>
      <c r="FZ132" s="1740"/>
      <c r="GA132" s="1740"/>
      <c r="GB132" s="1740"/>
      <c r="GC132" s="1740"/>
      <c r="GD132" s="1740"/>
      <c r="GE132" s="1740"/>
      <c r="GF132" s="1740"/>
    </row>
    <row r="133" spans="1:188" s="20" customFormat="1">
      <c r="A133" s="333">
        <f t="shared" si="2"/>
        <v>1981</v>
      </c>
      <c r="B133" s="333">
        <f t="shared" si="3"/>
        <v>2</v>
      </c>
      <c r="C133" s="1174">
        <v>29707</v>
      </c>
      <c r="D133" s="1158"/>
      <c r="E133" s="1159">
        <v>479.37162162160001</v>
      </c>
      <c r="F133" s="1159">
        <v>421.05558447971077</v>
      </c>
      <c r="G133" s="1160"/>
      <c r="H133" s="1161"/>
      <c r="I133" s="1160"/>
      <c r="J133" s="1160"/>
      <c r="K133" s="1677"/>
      <c r="L133" s="1677"/>
      <c r="M133" s="1681"/>
      <c r="N133" s="1162"/>
      <c r="O133" s="1162"/>
      <c r="P133" s="1162"/>
      <c r="Q133" s="1163"/>
      <c r="R133" s="1164"/>
      <c r="S133" s="1164"/>
      <c r="T133" s="1164"/>
      <c r="U133" s="1165"/>
      <c r="V133" s="1166"/>
      <c r="W133" s="1166"/>
      <c r="X133" s="630"/>
      <c r="AA133" s="1915"/>
      <c r="AB133" s="1915"/>
      <c r="AC133" s="1804"/>
      <c r="AD133" s="1804"/>
      <c r="AE133" s="1804"/>
      <c r="AF133" s="1804"/>
      <c r="AG133" s="1804"/>
      <c r="AH133" s="1804"/>
      <c r="AI133" s="1781" t="s">
        <v>3</v>
      </c>
      <c r="AJ133" s="1826">
        <v>2013</v>
      </c>
      <c r="AK133" s="1822" t="s">
        <v>758</v>
      </c>
      <c r="AL133" s="1822">
        <v>5</v>
      </c>
      <c r="AM133" s="1823">
        <v>121090381</v>
      </c>
      <c r="AN133" s="1824">
        <v>3.9E-2</v>
      </c>
      <c r="AO133" s="1781"/>
      <c r="AP133" s="1781" t="s">
        <v>0</v>
      </c>
      <c r="AQ133" s="1781" t="s">
        <v>495</v>
      </c>
      <c r="AR133" s="1822" t="s">
        <v>17</v>
      </c>
      <c r="AS133" s="1822">
        <v>3</v>
      </c>
      <c r="AT133" s="1823">
        <v>567025440.63831234</v>
      </c>
      <c r="AU133" s="1825">
        <v>0.15133842253489563</v>
      </c>
      <c r="AV133" s="1781">
        <v>2005</v>
      </c>
      <c r="AW133" s="1671"/>
      <c r="AX133" s="1671"/>
      <c r="AY133" s="1804"/>
      <c r="AZ133" s="1804"/>
      <c r="BA133" s="1804"/>
      <c r="BB133" s="1804"/>
      <c r="BC133" s="1804"/>
      <c r="BD133" s="1804"/>
      <c r="BE133" s="1804"/>
      <c r="BF133" s="1804"/>
      <c r="BG133" s="1804"/>
      <c r="BH133" s="1804"/>
      <c r="BI133" s="1804"/>
      <c r="BJ133" s="1804"/>
      <c r="BK133" s="1804"/>
      <c r="BL133" s="1804"/>
      <c r="BM133" s="1804"/>
      <c r="BN133" s="1804"/>
      <c r="BO133" s="1804"/>
      <c r="BP133" s="1804"/>
      <c r="BQ133" s="1804"/>
      <c r="BR133" s="1804"/>
      <c r="BS133" s="1804"/>
      <c r="BT133" s="1804"/>
      <c r="BU133" s="1804"/>
      <c r="BV133" s="1804"/>
      <c r="BW133" s="1804"/>
      <c r="BX133" s="1804"/>
      <c r="BY133" s="1804"/>
      <c r="BZ133" s="1804"/>
      <c r="CA133" s="1804"/>
      <c r="CB133" s="1804"/>
      <c r="CC133" s="1804"/>
      <c r="CD133" s="1804"/>
      <c r="CE133" s="1804"/>
      <c r="CF133" s="1804"/>
      <c r="CG133" s="1804"/>
      <c r="CH133" s="1804"/>
      <c r="CI133" s="1804"/>
      <c r="CJ133" s="1804"/>
      <c r="CK133" s="1804"/>
      <c r="CL133" s="1804"/>
      <c r="CM133" s="1804"/>
      <c r="CN133" s="1804"/>
      <c r="CO133" s="1804"/>
      <c r="CP133" s="1804"/>
      <c r="CQ133" s="1804"/>
      <c r="CR133" s="1804"/>
      <c r="CS133" s="1804"/>
      <c r="CT133" s="1804"/>
      <c r="CU133" s="1804"/>
      <c r="CV133" s="1804"/>
      <c r="CW133" s="1804"/>
      <c r="CX133" s="1804"/>
      <c r="CY133" s="1804"/>
      <c r="CZ133" s="1804"/>
      <c r="DA133" s="1804"/>
      <c r="DB133" s="1804"/>
      <c r="DC133" s="1804"/>
      <c r="DD133" s="1804"/>
      <c r="DE133" s="1804"/>
      <c r="DF133" s="1804"/>
      <c r="DG133" s="1804"/>
      <c r="DH133" s="1804"/>
      <c r="DI133" s="1804"/>
      <c r="DJ133" s="1804"/>
      <c r="DK133" s="1804"/>
      <c r="DL133" s="1804"/>
      <c r="DM133" s="1804"/>
      <c r="DN133" s="1804"/>
      <c r="DO133" s="1804"/>
      <c r="DP133" s="1804"/>
      <c r="DQ133" s="1671"/>
      <c r="DR133" s="1671"/>
      <c r="DS133" s="1671"/>
      <c r="DT133" s="1671"/>
      <c r="DU133" s="1671"/>
      <c r="DV133" s="1671"/>
      <c r="DW133" s="1671"/>
      <c r="DX133" s="1671"/>
      <c r="DY133" s="1671"/>
      <c r="DZ133" s="1671"/>
      <c r="EA133" s="1740"/>
      <c r="EB133" s="1740"/>
      <c r="EC133" s="1740"/>
      <c r="ED133" s="1740"/>
      <c r="EE133" s="1740"/>
      <c r="EF133" s="1740"/>
      <c r="EG133" s="1740"/>
      <c r="EH133" s="1740"/>
      <c r="EI133" s="1740"/>
      <c r="EJ133" s="1740"/>
      <c r="EK133" s="1740"/>
      <c r="EL133" s="1740"/>
      <c r="EM133" s="1740"/>
      <c r="EN133" s="1740"/>
      <c r="EO133" s="1740"/>
      <c r="EP133" s="1740"/>
      <c r="EQ133" s="1740"/>
      <c r="ER133" s="1740"/>
      <c r="ES133" s="1740"/>
      <c r="ET133" s="1740"/>
      <c r="EU133" s="1740"/>
      <c r="EV133" s="1740"/>
      <c r="EW133" s="1740"/>
      <c r="EX133" s="1740"/>
      <c r="EY133" s="1740"/>
      <c r="EZ133" s="1740"/>
      <c r="FA133" s="1740"/>
      <c r="FB133" s="1740"/>
      <c r="FC133" s="1740"/>
      <c r="FD133" s="1740"/>
      <c r="FE133" s="1740"/>
      <c r="FF133" s="1740"/>
      <c r="FG133" s="1740"/>
      <c r="FH133" s="1740"/>
      <c r="FI133" s="1740"/>
      <c r="FJ133" s="1740"/>
      <c r="FK133" s="1740"/>
      <c r="FL133" s="1740"/>
      <c r="FM133" s="1740"/>
      <c r="FN133" s="1740"/>
      <c r="FO133" s="1740"/>
      <c r="FP133" s="1740"/>
      <c r="FQ133" s="1740"/>
      <c r="FR133" s="1740"/>
      <c r="FS133" s="1740"/>
      <c r="FT133" s="1740"/>
      <c r="FU133" s="1740"/>
      <c r="FV133" s="1740"/>
      <c r="FW133" s="1740"/>
      <c r="FX133" s="1740"/>
      <c r="FY133" s="1740"/>
      <c r="FZ133" s="1740"/>
      <c r="GA133" s="1740"/>
      <c r="GB133" s="1740"/>
      <c r="GC133" s="1740"/>
      <c r="GD133" s="1740"/>
      <c r="GE133" s="1740"/>
      <c r="GF133" s="1740"/>
    </row>
    <row r="134" spans="1:188" s="20" customFormat="1">
      <c r="A134" s="333">
        <f t="shared" si="2"/>
        <v>1981</v>
      </c>
      <c r="B134" s="333">
        <f t="shared" si="3"/>
        <v>2</v>
      </c>
      <c r="C134" s="1174">
        <v>29738</v>
      </c>
      <c r="D134" s="1167"/>
      <c r="E134" s="1168">
        <v>459.34659090909997</v>
      </c>
      <c r="F134" s="1168">
        <v>400.1276284090988</v>
      </c>
      <c r="G134" s="1168"/>
      <c r="H134" s="1167"/>
      <c r="I134" s="1168"/>
      <c r="J134" s="1168"/>
      <c r="K134" s="1678"/>
      <c r="L134" s="1678"/>
      <c r="M134" s="1682"/>
      <c r="N134" s="1169"/>
      <c r="O134" s="1169"/>
      <c r="P134" s="1169"/>
      <c r="Q134" s="1167"/>
      <c r="R134" s="1167"/>
      <c r="S134" s="1167"/>
      <c r="T134" s="1167"/>
      <c r="U134" s="1167"/>
      <c r="V134" s="1167"/>
      <c r="W134" s="1167"/>
      <c r="X134" s="630"/>
      <c r="AA134" s="1915"/>
      <c r="AB134" s="1915"/>
      <c r="AC134" s="1804"/>
      <c r="AD134" s="1804"/>
      <c r="AE134" s="1804"/>
      <c r="AF134" s="1804"/>
      <c r="AG134" s="1804"/>
      <c r="AH134" s="1804"/>
      <c r="AI134" s="1781" t="s">
        <v>3</v>
      </c>
      <c r="AJ134" s="1826">
        <v>2013</v>
      </c>
      <c r="AK134" s="1822" t="s">
        <v>56</v>
      </c>
      <c r="AL134" s="1822">
        <v>6</v>
      </c>
      <c r="AM134" s="1823">
        <v>86905542</v>
      </c>
      <c r="AN134" s="1824">
        <v>2.8000000000000001E-2</v>
      </c>
      <c r="AO134" s="1781"/>
      <c r="AP134" s="1781" t="s">
        <v>0</v>
      </c>
      <c r="AQ134" s="1781" t="s">
        <v>495</v>
      </c>
      <c r="AR134" s="1822" t="s">
        <v>135</v>
      </c>
      <c r="AS134" s="1822">
        <v>4</v>
      </c>
      <c r="AT134" s="1823">
        <v>481867104.09012938</v>
      </c>
      <c r="AU134" s="1825">
        <v>0.1286097627689603</v>
      </c>
      <c r="AV134" s="1781">
        <v>2005</v>
      </c>
      <c r="AW134" s="1671"/>
      <c r="AX134" s="1925"/>
      <c r="AY134" s="1804"/>
      <c r="AZ134" s="1804"/>
      <c r="BA134" s="1804"/>
      <c r="BB134" s="1804"/>
      <c r="BC134" s="1804"/>
      <c r="BD134" s="1804"/>
      <c r="BE134" s="1804"/>
      <c r="BF134" s="1804"/>
      <c r="BG134" s="1804"/>
      <c r="BH134" s="1804"/>
      <c r="BI134" s="1804"/>
      <c r="BJ134" s="1804"/>
      <c r="BK134" s="1804"/>
      <c r="BL134" s="1804"/>
      <c r="BM134" s="1804"/>
      <c r="BN134" s="1804"/>
      <c r="BO134" s="1804"/>
      <c r="BP134" s="1804"/>
      <c r="BQ134" s="1804"/>
      <c r="BR134" s="1804"/>
      <c r="BS134" s="1804"/>
      <c r="BT134" s="1804"/>
      <c r="BU134" s="1804"/>
      <c r="BV134" s="1804"/>
      <c r="BW134" s="1804"/>
      <c r="BX134" s="1804"/>
      <c r="BY134" s="1804"/>
      <c r="BZ134" s="1804"/>
      <c r="CA134" s="1804"/>
      <c r="CB134" s="1804"/>
      <c r="CC134" s="1804"/>
      <c r="CD134" s="1804"/>
      <c r="CE134" s="1804"/>
      <c r="CF134" s="1804"/>
      <c r="CG134" s="1804"/>
      <c r="CH134" s="1804"/>
      <c r="CI134" s="1804"/>
      <c r="CJ134" s="1804"/>
      <c r="CK134" s="1804"/>
      <c r="CL134" s="1804"/>
      <c r="CM134" s="1804"/>
      <c r="CN134" s="1804"/>
      <c r="CO134" s="1804"/>
      <c r="CP134" s="1804"/>
      <c r="CQ134" s="1804"/>
      <c r="CR134" s="1804"/>
      <c r="CS134" s="1804"/>
      <c r="CT134" s="1804"/>
      <c r="CU134" s="1804"/>
      <c r="CV134" s="1804"/>
      <c r="CW134" s="1804"/>
      <c r="CX134" s="1804"/>
      <c r="CY134" s="1804"/>
      <c r="CZ134" s="1804"/>
      <c r="DA134" s="1804"/>
      <c r="DB134" s="1804"/>
      <c r="DC134" s="1804"/>
      <c r="DD134" s="1804"/>
      <c r="DE134" s="1804"/>
      <c r="DF134" s="1804"/>
      <c r="DG134" s="1804"/>
      <c r="DH134" s="1804"/>
      <c r="DI134" s="1804"/>
      <c r="DJ134" s="1804"/>
      <c r="DK134" s="1804"/>
      <c r="DL134" s="1804"/>
      <c r="DM134" s="1804"/>
      <c r="DN134" s="1804"/>
      <c r="DO134" s="1804"/>
      <c r="DP134" s="1804"/>
      <c r="DQ134" s="1671"/>
      <c r="DR134" s="1671"/>
      <c r="DS134" s="1671"/>
      <c r="DT134" s="1671"/>
      <c r="DU134" s="1671"/>
      <c r="DV134" s="1671"/>
      <c r="DW134" s="1671"/>
      <c r="DX134" s="1671"/>
      <c r="DY134" s="1671"/>
      <c r="DZ134" s="1671"/>
      <c r="EA134" s="1740"/>
      <c r="EB134" s="1740"/>
      <c r="EC134" s="1740"/>
      <c r="ED134" s="1740"/>
      <c r="EE134" s="1740"/>
      <c r="EF134" s="1740"/>
      <c r="EG134" s="1740"/>
      <c r="EH134" s="1740"/>
      <c r="EI134" s="1740"/>
      <c r="EJ134" s="1740"/>
      <c r="EK134" s="1740"/>
      <c r="EL134" s="1740"/>
      <c r="EM134" s="1740"/>
      <c r="EN134" s="1740"/>
      <c r="EO134" s="1740"/>
      <c r="EP134" s="1740"/>
      <c r="EQ134" s="1740"/>
      <c r="ER134" s="1740"/>
      <c r="ES134" s="1740"/>
      <c r="ET134" s="1740"/>
      <c r="EU134" s="1740"/>
      <c r="EV134" s="1740"/>
      <c r="EW134" s="1740"/>
      <c r="EX134" s="1740"/>
      <c r="EY134" s="1740"/>
      <c r="EZ134" s="1740"/>
      <c r="FA134" s="1740"/>
      <c r="FB134" s="1740"/>
      <c r="FC134" s="1740"/>
      <c r="FD134" s="1740"/>
      <c r="FE134" s="1740"/>
      <c r="FF134" s="1740"/>
      <c r="FG134" s="1740"/>
      <c r="FH134" s="1740"/>
      <c r="FI134" s="1740"/>
      <c r="FJ134" s="1740"/>
      <c r="FK134" s="1740"/>
      <c r="FL134" s="1740"/>
      <c r="FM134" s="1740"/>
      <c r="FN134" s="1740"/>
      <c r="FO134" s="1740"/>
      <c r="FP134" s="1740"/>
      <c r="FQ134" s="1740"/>
      <c r="FR134" s="1740"/>
      <c r="FS134" s="1740"/>
      <c r="FT134" s="1740"/>
      <c r="FU134" s="1740"/>
      <c r="FV134" s="1740"/>
      <c r="FW134" s="1740"/>
      <c r="FX134" s="1740"/>
      <c r="FY134" s="1740"/>
      <c r="FZ134" s="1740"/>
      <c r="GA134" s="1740"/>
      <c r="GB134" s="1740"/>
      <c r="GC134" s="1740"/>
      <c r="GD134" s="1740"/>
      <c r="GE134" s="1740"/>
      <c r="GF134" s="1740"/>
    </row>
    <row r="135" spans="1:188" s="20" customFormat="1">
      <c r="A135" s="333">
        <f t="shared" si="2"/>
        <v>1981</v>
      </c>
      <c r="B135" s="333">
        <f t="shared" si="3"/>
        <v>3</v>
      </c>
      <c r="C135" s="1174">
        <v>29768</v>
      </c>
      <c r="D135" s="1158"/>
      <c r="E135" s="1159">
        <v>408.61363636359999</v>
      </c>
      <c r="F135" s="1159">
        <v>359.82189927269525</v>
      </c>
      <c r="G135" s="1160"/>
      <c r="H135" s="1161"/>
      <c r="I135" s="1160"/>
      <c r="J135" s="1160"/>
      <c r="K135" s="1677"/>
      <c r="L135" s="1677"/>
      <c r="M135" s="1681"/>
      <c r="N135" s="1162"/>
      <c r="O135" s="1162"/>
      <c r="P135" s="1162"/>
      <c r="Q135" s="1163"/>
      <c r="R135" s="1164"/>
      <c r="S135" s="1164"/>
      <c r="T135" s="1164"/>
      <c r="U135" s="1165"/>
      <c r="V135" s="1166"/>
      <c r="W135" s="1166"/>
      <c r="X135" s="630"/>
      <c r="AA135" s="1915"/>
      <c r="AB135" s="1915"/>
      <c r="AC135" s="1804"/>
      <c r="AD135" s="1804"/>
      <c r="AE135" s="1804"/>
      <c r="AF135" s="1804"/>
      <c r="AG135" s="1804"/>
      <c r="AH135" s="1804"/>
      <c r="AI135" s="1781" t="s">
        <v>3</v>
      </c>
      <c r="AJ135" s="1826">
        <v>2013</v>
      </c>
      <c r="AK135" s="1822" t="s">
        <v>63</v>
      </c>
      <c r="AL135" s="1822">
        <v>7</v>
      </c>
      <c r="AM135" s="1823">
        <v>54035605</v>
      </c>
      <c r="AN135" s="1824">
        <v>1.7000000000000001E-2</v>
      </c>
      <c r="AO135" s="1781"/>
      <c r="AP135" s="1781" t="s">
        <v>0</v>
      </c>
      <c r="AQ135" s="1781" t="s">
        <v>495</v>
      </c>
      <c r="AR135" s="1822" t="s">
        <v>26</v>
      </c>
      <c r="AS135" s="1822">
        <v>5</v>
      </c>
      <c r="AT135" s="1823">
        <v>400842293.80417907</v>
      </c>
      <c r="AU135" s="1825">
        <v>0.10698433629592388</v>
      </c>
      <c r="AV135" s="1781">
        <v>2005</v>
      </c>
      <c r="AW135" s="1671"/>
      <c r="AX135" s="1671"/>
      <c r="AY135" s="1804"/>
      <c r="AZ135" s="1804"/>
      <c r="BA135" s="1804"/>
      <c r="BB135" s="1804"/>
      <c r="BC135" s="1804"/>
      <c r="BD135" s="1804"/>
      <c r="BE135" s="1804"/>
      <c r="BF135" s="1804"/>
      <c r="BG135" s="1804"/>
      <c r="BH135" s="1804"/>
      <c r="BI135" s="1804"/>
      <c r="BJ135" s="1804"/>
      <c r="BK135" s="1804"/>
      <c r="BL135" s="1804"/>
      <c r="BM135" s="1804"/>
      <c r="BN135" s="1804"/>
      <c r="BO135" s="1804"/>
      <c r="BP135" s="1804"/>
      <c r="BQ135" s="1804"/>
      <c r="BR135" s="1804"/>
      <c r="BS135" s="1804"/>
      <c r="BT135" s="1804"/>
      <c r="BU135" s="1804"/>
      <c r="BV135" s="1804"/>
      <c r="BW135" s="1804"/>
      <c r="BX135" s="1804"/>
      <c r="BY135" s="1804"/>
      <c r="BZ135" s="1804"/>
      <c r="CA135" s="1804"/>
      <c r="CB135" s="1804"/>
      <c r="CC135" s="1804"/>
      <c r="CD135" s="1804"/>
      <c r="CE135" s="1804"/>
      <c r="CF135" s="1804"/>
      <c r="CG135" s="1804"/>
      <c r="CH135" s="1804"/>
      <c r="CI135" s="1804"/>
      <c r="CJ135" s="1804"/>
      <c r="CK135" s="1804"/>
      <c r="CL135" s="1804"/>
      <c r="CM135" s="1804"/>
      <c r="CN135" s="1804"/>
      <c r="CO135" s="1804"/>
      <c r="CP135" s="1804"/>
      <c r="CQ135" s="1804"/>
      <c r="CR135" s="1804"/>
      <c r="CS135" s="1804"/>
      <c r="CT135" s="1804"/>
      <c r="CU135" s="1804"/>
      <c r="CV135" s="1804"/>
      <c r="CW135" s="1804"/>
      <c r="CX135" s="1804"/>
      <c r="CY135" s="1804"/>
      <c r="CZ135" s="1804"/>
      <c r="DA135" s="1804"/>
      <c r="DB135" s="1804"/>
      <c r="DC135" s="1804"/>
      <c r="DD135" s="1804"/>
      <c r="DE135" s="1804"/>
      <c r="DF135" s="1804"/>
      <c r="DG135" s="1804"/>
      <c r="DH135" s="1804"/>
      <c r="DI135" s="1804"/>
      <c r="DJ135" s="1804"/>
      <c r="DK135" s="1804"/>
      <c r="DL135" s="1804"/>
      <c r="DM135" s="1804"/>
      <c r="DN135" s="1804"/>
      <c r="DO135" s="1804"/>
      <c r="DP135" s="1804"/>
      <c r="DQ135" s="1671"/>
      <c r="DR135" s="1671"/>
      <c r="DS135" s="1671"/>
      <c r="DT135" s="1671"/>
      <c r="DU135" s="1671"/>
      <c r="DV135" s="1671"/>
      <c r="DW135" s="1671"/>
      <c r="DX135" s="1671"/>
      <c r="DY135" s="1671"/>
      <c r="DZ135" s="1671"/>
      <c r="EA135" s="1740"/>
      <c r="EB135" s="1740"/>
      <c r="EC135" s="1740"/>
      <c r="ED135" s="1740"/>
      <c r="EE135" s="1740"/>
      <c r="EF135" s="1740"/>
      <c r="EG135" s="1740"/>
      <c r="EH135" s="1740"/>
      <c r="EI135" s="1740"/>
      <c r="EJ135" s="1740"/>
      <c r="EK135" s="1740"/>
      <c r="EL135" s="1740"/>
      <c r="EM135" s="1740"/>
      <c r="EN135" s="1740"/>
      <c r="EO135" s="1740"/>
      <c r="EP135" s="1740"/>
      <c r="EQ135" s="1740"/>
      <c r="ER135" s="1740"/>
      <c r="ES135" s="1740"/>
      <c r="ET135" s="1740"/>
      <c r="EU135" s="1740"/>
      <c r="EV135" s="1740"/>
      <c r="EW135" s="1740"/>
      <c r="EX135" s="1740"/>
      <c r="EY135" s="1740"/>
      <c r="EZ135" s="1740"/>
      <c r="FA135" s="1740"/>
      <c r="FB135" s="1740"/>
      <c r="FC135" s="1740"/>
      <c r="FD135" s="1740"/>
      <c r="FE135" s="1740"/>
      <c r="FF135" s="1740"/>
      <c r="FG135" s="1740"/>
      <c r="FH135" s="1740"/>
      <c r="FI135" s="1740"/>
      <c r="FJ135" s="1740"/>
      <c r="FK135" s="1740"/>
      <c r="FL135" s="1740"/>
      <c r="FM135" s="1740"/>
      <c r="FN135" s="1740"/>
      <c r="FO135" s="1740"/>
      <c r="FP135" s="1740"/>
      <c r="FQ135" s="1740"/>
      <c r="FR135" s="1740"/>
      <c r="FS135" s="1740"/>
      <c r="FT135" s="1740"/>
      <c r="FU135" s="1740"/>
      <c r="FV135" s="1740"/>
      <c r="FW135" s="1740"/>
      <c r="FX135" s="1740"/>
      <c r="FY135" s="1740"/>
      <c r="FZ135" s="1740"/>
      <c r="GA135" s="1740"/>
      <c r="GB135" s="1740"/>
      <c r="GC135" s="1740"/>
      <c r="GD135" s="1740"/>
      <c r="GE135" s="1740"/>
      <c r="GF135" s="1740"/>
    </row>
    <row r="136" spans="1:188" s="20" customFormat="1">
      <c r="A136" s="333">
        <f t="shared" si="2"/>
        <v>1981</v>
      </c>
      <c r="B136" s="333">
        <f t="shared" si="3"/>
        <v>3</v>
      </c>
      <c r="C136" s="1174">
        <v>29801</v>
      </c>
      <c r="D136" s="1167"/>
      <c r="E136" s="1168">
        <v>410.90750000000003</v>
      </c>
      <c r="F136" s="1168">
        <v>357.0625921075</v>
      </c>
      <c r="G136" s="1168"/>
      <c r="H136" s="1167"/>
      <c r="I136" s="1168"/>
      <c r="J136" s="1168"/>
      <c r="K136" s="1678"/>
      <c r="L136" s="1678"/>
      <c r="M136" s="1682"/>
      <c r="N136" s="1169"/>
      <c r="O136" s="1169"/>
      <c r="P136" s="1169"/>
      <c r="Q136" s="1167"/>
      <c r="R136" s="1167"/>
      <c r="S136" s="1167"/>
      <c r="T136" s="1167"/>
      <c r="U136" s="1167"/>
      <c r="V136" s="1167"/>
      <c r="W136" s="1167"/>
      <c r="X136" s="630"/>
      <c r="AA136" s="1915"/>
      <c r="AB136" s="1915"/>
      <c r="AC136" s="1804"/>
      <c r="AD136" s="1804"/>
      <c r="AE136" s="1804"/>
      <c r="AF136" s="1804"/>
      <c r="AG136" s="1804"/>
      <c r="AH136" s="1804"/>
      <c r="AI136" s="1781" t="s">
        <v>3</v>
      </c>
      <c r="AJ136" s="1826">
        <v>2013</v>
      </c>
      <c r="AK136" s="1822" t="s">
        <v>27</v>
      </c>
      <c r="AL136" s="1822">
        <v>8</v>
      </c>
      <c r="AM136" s="1823">
        <v>49159893</v>
      </c>
      <c r="AN136" s="1824">
        <v>1.6E-2</v>
      </c>
      <c r="AO136" s="1781"/>
      <c r="AP136" s="1781" t="s">
        <v>0</v>
      </c>
      <c r="AQ136" s="1781" t="s">
        <v>495</v>
      </c>
      <c r="AR136" s="1822" t="s">
        <v>56</v>
      </c>
      <c r="AS136" s="1822">
        <v>6</v>
      </c>
      <c r="AT136" s="1823">
        <v>367007730.57900095</v>
      </c>
      <c r="AU136" s="1825">
        <v>9.7953931205296149E-2</v>
      </c>
      <c r="AV136" s="1781">
        <v>2005</v>
      </c>
      <c r="AW136" s="1671"/>
      <c r="AX136" s="1671"/>
      <c r="AY136" s="1804"/>
      <c r="AZ136" s="1804"/>
      <c r="BA136" s="1804"/>
      <c r="BB136" s="1804"/>
      <c r="BC136" s="1804"/>
      <c r="BD136" s="1804"/>
      <c r="BE136" s="1804"/>
      <c r="BF136" s="1804"/>
      <c r="BG136" s="1804"/>
      <c r="BH136" s="1804"/>
      <c r="BI136" s="1804"/>
      <c r="BJ136" s="1804"/>
      <c r="BK136" s="1804"/>
      <c r="BL136" s="1804"/>
      <c r="BM136" s="1804"/>
      <c r="BN136" s="1804"/>
      <c r="BO136" s="1804"/>
      <c r="BP136" s="1804"/>
      <c r="BQ136" s="1804"/>
      <c r="BR136" s="1804"/>
      <c r="BS136" s="1804"/>
      <c r="BT136" s="1804"/>
      <c r="BU136" s="1804"/>
      <c r="BV136" s="1804"/>
      <c r="BW136" s="1804"/>
      <c r="BX136" s="1804"/>
      <c r="BY136" s="1804"/>
      <c r="BZ136" s="1804"/>
      <c r="CA136" s="1804"/>
      <c r="CB136" s="1804"/>
      <c r="CC136" s="1804"/>
      <c r="CD136" s="1804"/>
      <c r="CE136" s="1804"/>
      <c r="CF136" s="1804"/>
      <c r="CG136" s="1804"/>
      <c r="CH136" s="1804"/>
      <c r="CI136" s="1804"/>
      <c r="CJ136" s="1804"/>
      <c r="CK136" s="1804"/>
      <c r="CL136" s="1804"/>
      <c r="CM136" s="1804"/>
      <c r="CN136" s="1804"/>
      <c r="CO136" s="1804"/>
      <c r="CP136" s="1804"/>
      <c r="CQ136" s="1804"/>
      <c r="CR136" s="1804"/>
      <c r="CS136" s="1804"/>
      <c r="CT136" s="1804"/>
      <c r="CU136" s="1804"/>
      <c r="CV136" s="1804"/>
      <c r="CW136" s="1804"/>
      <c r="CX136" s="1804"/>
      <c r="CY136" s="1804"/>
      <c r="CZ136" s="1804"/>
      <c r="DA136" s="1804"/>
      <c r="DB136" s="1804"/>
      <c r="DC136" s="1804"/>
      <c r="DD136" s="1804"/>
      <c r="DE136" s="1804"/>
      <c r="DF136" s="1804"/>
      <c r="DG136" s="1804"/>
      <c r="DH136" s="1804"/>
      <c r="DI136" s="1804"/>
      <c r="DJ136" s="1804"/>
      <c r="DK136" s="1804"/>
      <c r="DL136" s="1804"/>
      <c r="DM136" s="1804"/>
      <c r="DN136" s="1804"/>
      <c r="DO136" s="1804"/>
      <c r="DP136" s="1804"/>
      <c r="DQ136" s="1671"/>
      <c r="DR136" s="1671"/>
      <c r="DS136" s="1671"/>
      <c r="DT136" s="1671"/>
      <c r="DU136" s="1671"/>
      <c r="DV136" s="1671"/>
      <c r="DW136" s="1671"/>
      <c r="DX136" s="1671"/>
      <c r="DY136" s="1671"/>
      <c r="DZ136" s="1671"/>
      <c r="EA136" s="1740"/>
      <c r="EB136" s="1740"/>
      <c r="EC136" s="1740"/>
      <c r="ED136" s="1740"/>
      <c r="EE136" s="1740"/>
      <c r="EF136" s="1740"/>
      <c r="EG136" s="1740"/>
      <c r="EH136" s="1740"/>
      <c r="EI136" s="1740"/>
      <c r="EJ136" s="1740"/>
      <c r="EK136" s="1740"/>
      <c r="EL136" s="1740"/>
      <c r="EM136" s="1740"/>
      <c r="EN136" s="1740"/>
      <c r="EO136" s="1740"/>
      <c r="EP136" s="1740"/>
      <c r="EQ136" s="1740"/>
      <c r="ER136" s="1740"/>
      <c r="ES136" s="1740"/>
      <c r="ET136" s="1740"/>
      <c r="EU136" s="1740"/>
      <c r="EV136" s="1740"/>
      <c r="EW136" s="1740"/>
      <c r="EX136" s="1740"/>
      <c r="EY136" s="1740"/>
      <c r="EZ136" s="1740"/>
      <c r="FA136" s="1740"/>
      <c r="FB136" s="1740"/>
      <c r="FC136" s="1740"/>
      <c r="FD136" s="1740"/>
      <c r="FE136" s="1740"/>
      <c r="FF136" s="1740"/>
      <c r="FG136" s="1740"/>
      <c r="FH136" s="1740"/>
      <c r="FI136" s="1740"/>
      <c r="FJ136" s="1740"/>
      <c r="FK136" s="1740"/>
      <c r="FL136" s="1740"/>
      <c r="FM136" s="1740"/>
      <c r="FN136" s="1740"/>
      <c r="FO136" s="1740"/>
      <c r="FP136" s="1740"/>
      <c r="FQ136" s="1740"/>
      <c r="FR136" s="1740"/>
      <c r="FS136" s="1740"/>
      <c r="FT136" s="1740"/>
      <c r="FU136" s="1740"/>
      <c r="FV136" s="1740"/>
      <c r="FW136" s="1740"/>
      <c r="FX136" s="1740"/>
      <c r="FY136" s="1740"/>
      <c r="FZ136" s="1740"/>
      <c r="GA136" s="1740"/>
      <c r="GB136" s="1740"/>
      <c r="GC136" s="1740"/>
      <c r="GD136" s="1740"/>
      <c r="GE136" s="1740"/>
      <c r="GF136" s="1740"/>
    </row>
    <row r="137" spans="1:188" s="20" customFormat="1">
      <c r="A137" s="333">
        <f t="shared" ref="A137:A200" si="4">YEAR(C137)</f>
        <v>1981</v>
      </c>
      <c r="B137" s="333">
        <f t="shared" ref="B137:B200" si="5">IF(OR(MONTH(C137)=1,MONTH(C137)=2,MONTH(C137)=3),1,IF(OR(MONTH(C137)=4,MONTH(C137)=5,MONTH(C137)=6),2,IF(OR(MONTH(C137)=7,MONTH(C137)=8,MONTH(C137)=9),3,4)))</f>
        <v>3</v>
      </c>
      <c r="C137" s="1174">
        <v>29830</v>
      </c>
      <c r="D137" s="1158"/>
      <c r="E137" s="1159">
        <v>444.09659090909997</v>
      </c>
      <c r="F137" s="1159">
        <v>389.08057293750795</v>
      </c>
      <c r="G137" s="1160"/>
      <c r="H137" s="1161"/>
      <c r="I137" s="1160"/>
      <c r="J137" s="1160"/>
      <c r="K137" s="1677"/>
      <c r="L137" s="1677"/>
      <c r="M137" s="1681"/>
      <c r="N137" s="1162"/>
      <c r="O137" s="1162"/>
      <c r="P137" s="1162"/>
      <c r="Q137" s="1163"/>
      <c r="R137" s="1164"/>
      <c r="S137" s="1164"/>
      <c r="T137" s="1164"/>
      <c r="U137" s="1165"/>
      <c r="V137" s="1166"/>
      <c r="W137" s="1166"/>
      <c r="X137" s="630"/>
      <c r="AA137" s="1915"/>
      <c r="AB137" s="1915"/>
      <c r="AC137" s="1804"/>
      <c r="AD137" s="1804"/>
      <c r="AE137" s="1804"/>
      <c r="AF137" s="1804"/>
      <c r="AG137" s="1804"/>
      <c r="AH137" s="1804"/>
      <c r="AI137" s="1781" t="s">
        <v>3</v>
      </c>
      <c r="AJ137" s="1826">
        <v>2013</v>
      </c>
      <c r="AK137" s="1822" t="s">
        <v>60</v>
      </c>
      <c r="AL137" s="1822">
        <v>9</v>
      </c>
      <c r="AM137" s="1823">
        <v>47634777</v>
      </c>
      <c r="AN137" s="1824">
        <v>1.4999999999999999E-2</v>
      </c>
      <c r="AO137" s="1781"/>
      <c r="AP137" s="1781" t="s">
        <v>0</v>
      </c>
      <c r="AQ137" s="1781" t="s">
        <v>495</v>
      </c>
      <c r="AR137" s="1822" t="s">
        <v>138</v>
      </c>
      <c r="AS137" s="1822">
        <v>7</v>
      </c>
      <c r="AT137" s="1823">
        <v>263713385.35119495</v>
      </c>
      <c r="AU137" s="1825">
        <v>7.0384792074689659E-2</v>
      </c>
      <c r="AV137" s="1781">
        <v>2005</v>
      </c>
      <c r="AW137" s="1671"/>
      <c r="AX137" s="1925"/>
      <c r="AY137" s="1804"/>
      <c r="AZ137" s="1804"/>
      <c r="BA137" s="1804"/>
      <c r="BB137" s="1804"/>
      <c r="BC137" s="1804"/>
      <c r="BD137" s="1804"/>
      <c r="BE137" s="1804"/>
      <c r="BF137" s="1804"/>
      <c r="BG137" s="1804"/>
      <c r="BH137" s="1804"/>
      <c r="BI137" s="1804"/>
      <c r="BJ137" s="1804"/>
      <c r="BK137" s="1804"/>
      <c r="BL137" s="1804"/>
      <c r="BM137" s="1804"/>
      <c r="BN137" s="1804"/>
      <c r="BO137" s="1804"/>
      <c r="BP137" s="1804"/>
      <c r="BQ137" s="1804"/>
      <c r="BR137" s="1804"/>
      <c r="BS137" s="1804"/>
      <c r="BT137" s="1804"/>
      <c r="BU137" s="1804"/>
      <c r="BV137" s="1804"/>
      <c r="BW137" s="1804"/>
      <c r="BX137" s="1804"/>
      <c r="BY137" s="1804"/>
      <c r="BZ137" s="1804"/>
      <c r="CA137" s="1804"/>
      <c r="CB137" s="1804"/>
      <c r="CC137" s="1804"/>
      <c r="CD137" s="1804"/>
      <c r="CE137" s="1804"/>
      <c r="CF137" s="1804"/>
      <c r="CG137" s="1804"/>
      <c r="CH137" s="1804"/>
      <c r="CI137" s="1804"/>
      <c r="CJ137" s="1804"/>
      <c r="CK137" s="1804"/>
      <c r="CL137" s="1804"/>
      <c r="CM137" s="1804"/>
      <c r="CN137" s="1804"/>
      <c r="CO137" s="1804"/>
      <c r="CP137" s="1804"/>
      <c r="CQ137" s="1804"/>
      <c r="CR137" s="1804"/>
      <c r="CS137" s="1804"/>
      <c r="CT137" s="1804"/>
      <c r="CU137" s="1804"/>
      <c r="CV137" s="1804"/>
      <c r="CW137" s="1804"/>
      <c r="CX137" s="1804"/>
      <c r="CY137" s="1804"/>
      <c r="CZ137" s="1804"/>
      <c r="DA137" s="1804"/>
      <c r="DB137" s="1804"/>
      <c r="DC137" s="1804"/>
      <c r="DD137" s="1804"/>
      <c r="DE137" s="1804"/>
      <c r="DF137" s="1804"/>
      <c r="DG137" s="1804"/>
      <c r="DH137" s="1804"/>
      <c r="DI137" s="1804"/>
      <c r="DJ137" s="1804"/>
      <c r="DK137" s="1804"/>
      <c r="DL137" s="1804"/>
      <c r="DM137" s="1804"/>
      <c r="DN137" s="1804"/>
      <c r="DO137" s="1804"/>
      <c r="DP137" s="1804"/>
      <c r="DQ137" s="1671"/>
      <c r="DR137" s="1671"/>
      <c r="DS137" s="1671"/>
      <c r="DT137" s="1671"/>
      <c r="DU137" s="1671"/>
      <c r="DV137" s="1671"/>
      <c r="DW137" s="1671"/>
      <c r="DX137" s="1671"/>
      <c r="DY137" s="1671"/>
      <c r="DZ137" s="1671"/>
      <c r="EA137" s="1740"/>
      <c r="EB137" s="1740"/>
      <c r="EC137" s="1740"/>
      <c r="ED137" s="1740"/>
      <c r="EE137" s="1740"/>
      <c r="EF137" s="1740"/>
      <c r="EG137" s="1740"/>
      <c r="EH137" s="1740"/>
      <c r="EI137" s="1740"/>
      <c r="EJ137" s="1740"/>
      <c r="EK137" s="1740"/>
      <c r="EL137" s="1740"/>
      <c r="EM137" s="1740"/>
      <c r="EN137" s="1740"/>
      <c r="EO137" s="1740"/>
      <c r="EP137" s="1740"/>
      <c r="EQ137" s="1740"/>
      <c r="ER137" s="1740"/>
      <c r="ES137" s="1740"/>
      <c r="ET137" s="1740"/>
      <c r="EU137" s="1740"/>
      <c r="EV137" s="1740"/>
      <c r="EW137" s="1740"/>
      <c r="EX137" s="1740"/>
      <c r="EY137" s="1740"/>
      <c r="EZ137" s="1740"/>
      <c r="FA137" s="1740"/>
      <c r="FB137" s="1740"/>
      <c r="FC137" s="1740"/>
      <c r="FD137" s="1740"/>
      <c r="FE137" s="1740"/>
      <c r="FF137" s="1740"/>
      <c r="FG137" s="1740"/>
      <c r="FH137" s="1740"/>
      <c r="FI137" s="1740"/>
      <c r="FJ137" s="1740"/>
      <c r="FK137" s="1740"/>
      <c r="FL137" s="1740"/>
      <c r="FM137" s="1740"/>
      <c r="FN137" s="1740"/>
      <c r="FO137" s="1740"/>
      <c r="FP137" s="1740"/>
      <c r="FQ137" s="1740"/>
      <c r="FR137" s="1740"/>
      <c r="FS137" s="1740"/>
      <c r="FT137" s="1740"/>
      <c r="FU137" s="1740"/>
      <c r="FV137" s="1740"/>
      <c r="FW137" s="1740"/>
      <c r="FX137" s="1740"/>
      <c r="FY137" s="1740"/>
      <c r="FZ137" s="1740"/>
      <c r="GA137" s="1740"/>
      <c r="GB137" s="1740"/>
      <c r="GC137" s="1740"/>
      <c r="GD137" s="1740"/>
      <c r="GE137" s="1740"/>
      <c r="GF137" s="1740"/>
    </row>
    <row r="138" spans="1:188" s="20" customFormat="1">
      <c r="A138" s="333">
        <f t="shared" si="4"/>
        <v>1981</v>
      </c>
      <c r="B138" s="333">
        <f t="shared" si="5"/>
        <v>4</v>
      </c>
      <c r="C138" s="1174">
        <v>29860</v>
      </c>
      <c r="D138" s="1167"/>
      <c r="E138" s="1168">
        <v>437.60113636360001</v>
      </c>
      <c r="F138" s="1168">
        <v>385.55154440110431</v>
      </c>
      <c r="G138" s="1168"/>
      <c r="H138" s="1167"/>
      <c r="I138" s="1168"/>
      <c r="J138" s="1168"/>
      <c r="K138" s="1678"/>
      <c r="L138" s="1678"/>
      <c r="M138" s="1682"/>
      <c r="N138" s="1169"/>
      <c r="O138" s="1169"/>
      <c r="P138" s="1169"/>
      <c r="Q138" s="1167"/>
      <c r="R138" s="1167"/>
      <c r="S138" s="1167"/>
      <c r="T138" s="1167"/>
      <c r="U138" s="1167"/>
      <c r="V138" s="1167"/>
      <c r="W138" s="1167"/>
      <c r="X138" s="630"/>
      <c r="AA138" s="1915"/>
      <c r="AB138" s="1915"/>
      <c r="AC138" s="1804"/>
      <c r="AD138" s="1804"/>
      <c r="AE138" s="1804"/>
      <c r="AF138" s="1804"/>
      <c r="AG138" s="1804"/>
      <c r="AH138" s="1804"/>
      <c r="AI138" s="1781" t="s">
        <v>3</v>
      </c>
      <c r="AJ138" s="1826">
        <v>2013</v>
      </c>
      <c r="AK138" s="1822" t="s">
        <v>55</v>
      </c>
      <c r="AL138" s="1822">
        <v>10</v>
      </c>
      <c r="AM138" s="1823">
        <v>33285494</v>
      </c>
      <c r="AN138" s="1824">
        <v>1.0999999999999999E-2</v>
      </c>
      <c r="AO138" s="1781"/>
      <c r="AP138" s="1781" t="s">
        <v>0</v>
      </c>
      <c r="AQ138" s="1781" t="s">
        <v>495</v>
      </c>
      <c r="AR138" s="1822" t="s">
        <v>22</v>
      </c>
      <c r="AS138" s="1822">
        <v>8</v>
      </c>
      <c r="AT138" s="1823">
        <v>101866242.47439519</v>
      </c>
      <c r="AU138" s="1825">
        <v>2.7187980187057793E-2</v>
      </c>
      <c r="AV138" s="1781">
        <v>2005</v>
      </c>
      <c r="AW138" s="1671"/>
      <c r="AX138" s="1671"/>
      <c r="AY138" s="1804"/>
      <c r="AZ138" s="1804"/>
      <c r="BA138" s="1804"/>
      <c r="BB138" s="1804"/>
      <c r="BC138" s="1804"/>
      <c r="BD138" s="1804"/>
      <c r="BE138" s="1804"/>
      <c r="BF138" s="1804"/>
      <c r="BG138" s="1804"/>
      <c r="BH138" s="1804"/>
      <c r="BI138" s="1804"/>
      <c r="BJ138" s="1804"/>
      <c r="BK138" s="1804"/>
      <c r="BL138" s="1804"/>
      <c r="BM138" s="1804"/>
      <c r="BN138" s="1804"/>
      <c r="BO138" s="1804"/>
      <c r="BP138" s="1804"/>
      <c r="BQ138" s="1804"/>
      <c r="BR138" s="1804"/>
      <c r="BS138" s="1804"/>
      <c r="BT138" s="1804"/>
      <c r="BU138" s="1804"/>
      <c r="BV138" s="1804"/>
      <c r="BW138" s="1804"/>
      <c r="BX138" s="1804"/>
      <c r="BY138" s="1804"/>
      <c r="BZ138" s="1804"/>
      <c r="CA138" s="1804"/>
      <c r="CB138" s="1804"/>
      <c r="CC138" s="1804"/>
      <c r="CD138" s="1804"/>
      <c r="CE138" s="1804"/>
      <c r="CF138" s="1804"/>
      <c r="CG138" s="1804"/>
      <c r="CH138" s="1804"/>
      <c r="CI138" s="1804"/>
      <c r="CJ138" s="1804"/>
      <c r="CK138" s="1804"/>
      <c r="CL138" s="1804"/>
      <c r="CM138" s="1804"/>
      <c r="CN138" s="1804"/>
      <c r="CO138" s="1804"/>
      <c r="CP138" s="1804"/>
      <c r="CQ138" s="1804"/>
      <c r="CR138" s="1804"/>
      <c r="CS138" s="1804"/>
      <c r="CT138" s="1804"/>
      <c r="CU138" s="1804"/>
      <c r="CV138" s="1804"/>
      <c r="CW138" s="1804"/>
      <c r="CX138" s="1804"/>
      <c r="CY138" s="1804"/>
      <c r="CZ138" s="1804"/>
      <c r="DA138" s="1804"/>
      <c r="DB138" s="1804"/>
      <c r="DC138" s="1804"/>
      <c r="DD138" s="1804"/>
      <c r="DE138" s="1804"/>
      <c r="DF138" s="1804"/>
      <c r="DG138" s="1804"/>
      <c r="DH138" s="1804"/>
      <c r="DI138" s="1804"/>
      <c r="DJ138" s="1804"/>
      <c r="DK138" s="1804"/>
      <c r="DL138" s="1804"/>
      <c r="DM138" s="1804"/>
      <c r="DN138" s="1804"/>
      <c r="DO138" s="1804"/>
      <c r="DP138" s="1804"/>
      <c r="DQ138" s="1671"/>
      <c r="DR138" s="1671"/>
      <c r="DS138" s="1671"/>
      <c r="DT138" s="1671"/>
      <c r="DU138" s="1671"/>
      <c r="DV138" s="1671"/>
      <c r="DW138" s="1671"/>
      <c r="DX138" s="1671"/>
      <c r="DY138" s="1671"/>
      <c r="DZ138" s="1671"/>
      <c r="EA138" s="1740"/>
      <c r="EB138" s="1740"/>
      <c r="EC138" s="1740"/>
      <c r="ED138" s="1740"/>
      <c r="EE138" s="1740"/>
      <c r="EF138" s="1740"/>
      <c r="EG138" s="1740"/>
      <c r="EH138" s="1740"/>
      <c r="EI138" s="1740"/>
      <c r="EJ138" s="1740"/>
      <c r="EK138" s="1740"/>
      <c r="EL138" s="1740"/>
      <c r="EM138" s="1740"/>
      <c r="EN138" s="1740"/>
      <c r="EO138" s="1740"/>
      <c r="EP138" s="1740"/>
      <c r="EQ138" s="1740"/>
      <c r="ER138" s="1740"/>
      <c r="ES138" s="1740"/>
      <c r="ET138" s="1740"/>
      <c r="EU138" s="1740"/>
      <c r="EV138" s="1740"/>
      <c r="EW138" s="1740"/>
      <c r="EX138" s="1740"/>
      <c r="EY138" s="1740"/>
      <c r="EZ138" s="1740"/>
      <c r="FA138" s="1740"/>
      <c r="FB138" s="1740"/>
      <c r="FC138" s="1740"/>
      <c r="FD138" s="1740"/>
      <c r="FE138" s="1740"/>
      <c r="FF138" s="1740"/>
      <c r="FG138" s="1740"/>
      <c r="FH138" s="1740"/>
      <c r="FI138" s="1740"/>
      <c r="FJ138" s="1740"/>
      <c r="FK138" s="1740"/>
      <c r="FL138" s="1740"/>
      <c r="FM138" s="1740"/>
      <c r="FN138" s="1740"/>
      <c r="FO138" s="1740"/>
      <c r="FP138" s="1740"/>
      <c r="FQ138" s="1740"/>
      <c r="FR138" s="1740"/>
      <c r="FS138" s="1740"/>
      <c r="FT138" s="1740"/>
      <c r="FU138" s="1740"/>
      <c r="FV138" s="1740"/>
      <c r="FW138" s="1740"/>
      <c r="FX138" s="1740"/>
      <c r="FY138" s="1740"/>
      <c r="FZ138" s="1740"/>
      <c r="GA138" s="1740"/>
      <c r="GB138" s="1740"/>
      <c r="GC138" s="1740"/>
      <c r="GD138" s="1740"/>
      <c r="GE138" s="1740"/>
      <c r="GF138" s="1740"/>
    </row>
    <row r="139" spans="1:188" s="20" customFormat="1">
      <c r="A139" s="333">
        <f t="shared" si="4"/>
        <v>1981</v>
      </c>
      <c r="B139" s="333">
        <f t="shared" si="5"/>
        <v>4</v>
      </c>
      <c r="C139" s="1174">
        <v>29892</v>
      </c>
      <c r="D139" s="1158"/>
      <c r="E139" s="1159">
        <v>412.71428571429999</v>
      </c>
      <c r="F139" s="1159">
        <v>358.44565885715525</v>
      </c>
      <c r="G139" s="1160"/>
      <c r="H139" s="1161"/>
      <c r="I139" s="1160"/>
      <c r="J139" s="1160"/>
      <c r="K139" s="1677"/>
      <c r="L139" s="1677"/>
      <c r="M139" s="1681"/>
      <c r="N139" s="1162"/>
      <c r="O139" s="1162"/>
      <c r="P139" s="1162"/>
      <c r="Q139" s="1163"/>
      <c r="R139" s="1164"/>
      <c r="S139" s="1164"/>
      <c r="T139" s="1164"/>
      <c r="U139" s="1165"/>
      <c r="V139" s="1166"/>
      <c r="W139" s="1166"/>
      <c r="X139" s="630"/>
      <c r="AA139" s="1915"/>
      <c r="AB139" s="1915"/>
      <c r="AC139" s="1804"/>
      <c r="AD139" s="1804"/>
      <c r="AE139" s="1804"/>
      <c r="AF139" s="1804"/>
      <c r="AG139" s="1804"/>
      <c r="AH139" s="1804"/>
      <c r="AI139" s="1781" t="s">
        <v>3</v>
      </c>
      <c r="AJ139" s="1826">
        <v>2013</v>
      </c>
      <c r="AK139" s="1822" t="s">
        <v>39</v>
      </c>
      <c r="AL139" s="1822"/>
      <c r="AM139" s="1823">
        <v>96990278</v>
      </c>
      <c r="AN139" s="1824">
        <v>3.1E-2</v>
      </c>
      <c r="AO139" s="1781"/>
      <c r="AP139" s="1781" t="s">
        <v>0</v>
      </c>
      <c r="AQ139" s="1781" t="s">
        <v>495</v>
      </c>
      <c r="AR139" s="1822" t="s">
        <v>28</v>
      </c>
      <c r="AS139" s="1822">
        <v>9</v>
      </c>
      <c r="AT139" s="1823">
        <v>87588063.058182761</v>
      </c>
      <c r="AU139" s="1825">
        <v>2.3377150910884038E-2</v>
      </c>
      <c r="AV139" s="1781">
        <v>2005</v>
      </c>
      <c r="AW139" s="1671"/>
      <c r="AX139" s="1671"/>
      <c r="AY139" s="1804"/>
      <c r="AZ139" s="1804"/>
      <c r="BA139" s="1804"/>
      <c r="BB139" s="1804"/>
      <c r="BC139" s="1804"/>
      <c r="BD139" s="1804"/>
      <c r="BE139" s="1804"/>
      <c r="BF139" s="1804"/>
      <c r="BG139" s="1804"/>
      <c r="BH139" s="1804"/>
      <c r="BI139" s="1804"/>
      <c r="BJ139" s="1804"/>
      <c r="BK139" s="1804"/>
      <c r="BL139" s="1804"/>
      <c r="BM139" s="1804"/>
      <c r="BN139" s="1804"/>
      <c r="BO139" s="1804"/>
      <c r="BP139" s="1804"/>
      <c r="BQ139" s="1804"/>
      <c r="BR139" s="1804"/>
      <c r="BS139" s="1804"/>
      <c r="BT139" s="1804"/>
      <c r="BU139" s="1804"/>
      <c r="BV139" s="1804"/>
      <c r="BW139" s="1804"/>
      <c r="BX139" s="1804"/>
      <c r="BY139" s="1804"/>
      <c r="BZ139" s="1804"/>
      <c r="CA139" s="1804"/>
      <c r="CB139" s="1804"/>
      <c r="CC139" s="1804"/>
      <c r="CD139" s="1804"/>
      <c r="CE139" s="1804"/>
      <c r="CF139" s="1804"/>
      <c r="CG139" s="1804"/>
      <c r="CH139" s="1804"/>
      <c r="CI139" s="1804"/>
      <c r="CJ139" s="1804"/>
      <c r="CK139" s="1804"/>
      <c r="CL139" s="1804"/>
      <c r="CM139" s="1804"/>
      <c r="CN139" s="1804"/>
      <c r="CO139" s="1804"/>
      <c r="CP139" s="1804"/>
      <c r="CQ139" s="1804"/>
      <c r="CR139" s="1804"/>
      <c r="CS139" s="1804"/>
      <c r="CT139" s="1804"/>
      <c r="CU139" s="1804"/>
      <c r="CV139" s="1804"/>
      <c r="CW139" s="1804"/>
      <c r="CX139" s="1804"/>
      <c r="CY139" s="1804"/>
      <c r="CZ139" s="1804"/>
      <c r="DA139" s="1804"/>
      <c r="DB139" s="1804"/>
      <c r="DC139" s="1804"/>
      <c r="DD139" s="1804"/>
      <c r="DE139" s="1804"/>
      <c r="DF139" s="1804"/>
      <c r="DG139" s="1804"/>
      <c r="DH139" s="1804"/>
      <c r="DI139" s="1804"/>
      <c r="DJ139" s="1804"/>
      <c r="DK139" s="1804"/>
      <c r="DL139" s="1804"/>
      <c r="DM139" s="1804"/>
      <c r="DN139" s="1804"/>
      <c r="DO139" s="1804"/>
      <c r="DP139" s="1804"/>
      <c r="DQ139" s="1671"/>
      <c r="DR139" s="1671"/>
      <c r="DS139" s="1671"/>
      <c r="DT139" s="1671"/>
      <c r="DU139" s="1671"/>
      <c r="DV139" s="1671"/>
      <c r="DW139" s="1671"/>
      <c r="DX139" s="1671"/>
      <c r="DY139" s="1671"/>
      <c r="DZ139" s="1671"/>
      <c r="EA139" s="1740"/>
      <c r="EB139" s="1740"/>
      <c r="EC139" s="1740"/>
      <c r="ED139" s="1740"/>
      <c r="EE139" s="1740"/>
      <c r="EF139" s="1740"/>
      <c r="EG139" s="1740"/>
      <c r="EH139" s="1740"/>
      <c r="EI139" s="1740"/>
      <c r="EJ139" s="1740"/>
      <c r="EK139" s="1740"/>
      <c r="EL139" s="1740"/>
      <c r="EM139" s="1740"/>
      <c r="EN139" s="1740"/>
      <c r="EO139" s="1740"/>
      <c r="EP139" s="1740"/>
      <c r="EQ139" s="1740"/>
      <c r="ER139" s="1740"/>
      <c r="ES139" s="1740"/>
      <c r="ET139" s="1740"/>
      <c r="EU139" s="1740"/>
      <c r="EV139" s="1740"/>
      <c r="EW139" s="1740"/>
      <c r="EX139" s="1740"/>
      <c r="EY139" s="1740"/>
      <c r="EZ139" s="1740"/>
      <c r="FA139" s="1740"/>
      <c r="FB139" s="1740"/>
      <c r="FC139" s="1740"/>
      <c r="FD139" s="1740"/>
      <c r="FE139" s="1740"/>
      <c r="FF139" s="1740"/>
      <c r="FG139" s="1740"/>
      <c r="FH139" s="1740"/>
      <c r="FI139" s="1740"/>
      <c r="FJ139" s="1740"/>
      <c r="FK139" s="1740"/>
      <c r="FL139" s="1740"/>
      <c r="FM139" s="1740"/>
      <c r="FN139" s="1740"/>
      <c r="FO139" s="1740"/>
      <c r="FP139" s="1740"/>
      <c r="FQ139" s="1740"/>
      <c r="FR139" s="1740"/>
      <c r="FS139" s="1740"/>
      <c r="FT139" s="1740"/>
      <c r="FU139" s="1740"/>
      <c r="FV139" s="1740"/>
      <c r="FW139" s="1740"/>
      <c r="FX139" s="1740"/>
      <c r="FY139" s="1740"/>
      <c r="FZ139" s="1740"/>
      <c r="GA139" s="1740"/>
      <c r="GB139" s="1740"/>
      <c r="GC139" s="1740"/>
      <c r="GD139" s="1740"/>
      <c r="GE139" s="1740"/>
      <c r="GF139" s="1740"/>
    </row>
    <row r="140" spans="1:188" s="20" customFormat="1">
      <c r="A140" s="333">
        <f t="shared" si="4"/>
        <v>1981</v>
      </c>
      <c r="B140" s="333">
        <f t="shared" si="5"/>
        <v>4</v>
      </c>
      <c r="C140" s="1174">
        <v>29921</v>
      </c>
      <c r="D140" s="1167"/>
      <c r="E140" s="1168">
        <v>410.29729729730002</v>
      </c>
      <c r="F140" s="1168">
        <v>363.77081467567808</v>
      </c>
      <c r="G140" s="1168"/>
      <c r="H140" s="1167"/>
      <c r="I140" s="1168"/>
      <c r="J140" s="1168"/>
      <c r="K140" s="1678"/>
      <c r="L140" s="1678"/>
      <c r="M140" s="1682"/>
      <c r="N140" s="1169"/>
      <c r="O140" s="1169"/>
      <c r="P140" s="1169"/>
      <c r="Q140" s="1167"/>
      <c r="R140" s="1167"/>
      <c r="S140" s="1167"/>
      <c r="T140" s="1167"/>
      <c r="U140" s="1167"/>
      <c r="V140" s="1167"/>
      <c r="W140" s="1167"/>
      <c r="X140" s="630"/>
      <c r="AA140" s="1915"/>
      <c r="AB140" s="1915"/>
      <c r="AC140" s="1804"/>
      <c r="AD140" s="1804"/>
      <c r="AE140" s="1804"/>
      <c r="AF140" s="1804"/>
      <c r="AG140" s="1804"/>
      <c r="AH140" s="1804"/>
      <c r="AI140" s="1781" t="s">
        <v>3</v>
      </c>
      <c r="AJ140" s="1826">
        <v>2013</v>
      </c>
      <c r="AK140" s="1822" t="s">
        <v>386</v>
      </c>
      <c r="AL140" s="1822"/>
      <c r="AM140" s="1823">
        <v>3120708900</v>
      </c>
      <c r="AN140" s="1824"/>
      <c r="AO140" s="1781"/>
      <c r="AP140" s="1781" t="s">
        <v>0</v>
      </c>
      <c r="AQ140" s="1781" t="s">
        <v>495</v>
      </c>
      <c r="AR140" s="1822" t="s">
        <v>129</v>
      </c>
      <c r="AS140" s="1822">
        <v>10</v>
      </c>
      <c r="AT140" s="1823">
        <v>74173733.647743553</v>
      </c>
      <c r="AU140" s="1825">
        <v>1.9796882184221619E-2</v>
      </c>
      <c r="AV140" s="1781">
        <v>2005</v>
      </c>
      <c r="AW140" s="1671"/>
      <c r="AX140" s="1925"/>
      <c r="AY140" s="1804"/>
      <c r="AZ140" s="1804"/>
      <c r="BA140" s="1804"/>
      <c r="BB140" s="1804"/>
      <c r="BC140" s="1804"/>
      <c r="BD140" s="1804"/>
      <c r="BE140" s="1804"/>
      <c r="BF140" s="1804"/>
      <c r="BG140" s="1804"/>
      <c r="BH140" s="1804"/>
      <c r="BI140" s="1804"/>
      <c r="BJ140" s="1804"/>
      <c r="BK140" s="1804"/>
      <c r="BL140" s="1804"/>
      <c r="BM140" s="1804"/>
      <c r="BN140" s="1804"/>
      <c r="BO140" s="1804"/>
      <c r="BP140" s="1804"/>
      <c r="BQ140" s="1804"/>
      <c r="BR140" s="1804"/>
      <c r="BS140" s="1804"/>
      <c r="BT140" s="1804"/>
      <c r="BU140" s="1804"/>
      <c r="BV140" s="1804"/>
      <c r="BW140" s="1804"/>
      <c r="BX140" s="1804"/>
      <c r="BY140" s="1804"/>
      <c r="BZ140" s="1804"/>
      <c r="CA140" s="1804"/>
      <c r="CB140" s="1804"/>
      <c r="CC140" s="1804"/>
      <c r="CD140" s="1804"/>
      <c r="CE140" s="1804"/>
      <c r="CF140" s="1804"/>
      <c r="CG140" s="1804"/>
      <c r="CH140" s="1804"/>
      <c r="CI140" s="1804"/>
      <c r="CJ140" s="1804"/>
      <c r="CK140" s="1804"/>
      <c r="CL140" s="1804"/>
      <c r="CM140" s="1804"/>
      <c r="CN140" s="1804"/>
      <c r="CO140" s="1804"/>
      <c r="CP140" s="1804"/>
      <c r="CQ140" s="1804"/>
      <c r="CR140" s="1804"/>
      <c r="CS140" s="1804"/>
      <c r="CT140" s="1804"/>
      <c r="CU140" s="1804"/>
      <c r="CV140" s="1804"/>
      <c r="CW140" s="1804"/>
      <c r="CX140" s="1804"/>
      <c r="CY140" s="1804"/>
      <c r="CZ140" s="1804"/>
      <c r="DA140" s="1804"/>
      <c r="DB140" s="1804"/>
      <c r="DC140" s="1804"/>
      <c r="DD140" s="1804"/>
      <c r="DE140" s="1804"/>
      <c r="DF140" s="1804"/>
      <c r="DG140" s="1804"/>
      <c r="DH140" s="1804"/>
      <c r="DI140" s="1804"/>
      <c r="DJ140" s="1804"/>
      <c r="DK140" s="1804"/>
      <c r="DL140" s="1804"/>
      <c r="DM140" s="1804"/>
      <c r="DN140" s="1804"/>
      <c r="DO140" s="1804"/>
      <c r="DP140" s="1804"/>
      <c r="DQ140" s="1671"/>
      <c r="DR140" s="1671"/>
      <c r="DS140" s="1671"/>
      <c r="DT140" s="1671"/>
      <c r="DU140" s="1671"/>
      <c r="DV140" s="1671"/>
      <c r="DW140" s="1671"/>
      <c r="DX140" s="1671"/>
      <c r="DY140" s="1671"/>
      <c r="DZ140" s="1671"/>
      <c r="EA140" s="1740"/>
      <c r="EB140" s="1740"/>
      <c r="EC140" s="1740"/>
      <c r="ED140" s="1740"/>
      <c r="EE140" s="1740"/>
      <c r="EF140" s="1740"/>
      <c r="EG140" s="1740"/>
      <c r="EH140" s="1740"/>
      <c r="EI140" s="1740"/>
      <c r="EJ140" s="1740"/>
      <c r="EK140" s="1740"/>
      <c r="EL140" s="1740"/>
      <c r="EM140" s="1740"/>
      <c r="EN140" s="1740"/>
      <c r="EO140" s="1740"/>
      <c r="EP140" s="1740"/>
      <c r="EQ140" s="1740"/>
      <c r="ER140" s="1740"/>
      <c r="ES140" s="1740"/>
      <c r="ET140" s="1740"/>
      <c r="EU140" s="1740"/>
      <c r="EV140" s="1740"/>
      <c r="EW140" s="1740"/>
      <c r="EX140" s="1740"/>
      <c r="EY140" s="1740"/>
      <c r="EZ140" s="1740"/>
      <c r="FA140" s="1740"/>
      <c r="FB140" s="1740"/>
      <c r="FC140" s="1740"/>
      <c r="FD140" s="1740"/>
      <c r="FE140" s="1740"/>
      <c r="FF140" s="1740"/>
      <c r="FG140" s="1740"/>
      <c r="FH140" s="1740"/>
      <c r="FI140" s="1740"/>
      <c r="FJ140" s="1740"/>
      <c r="FK140" s="1740"/>
      <c r="FL140" s="1740"/>
      <c r="FM140" s="1740"/>
      <c r="FN140" s="1740"/>
      <c r="FO140" s="1740"/>
      <c r="FP140" s="1740"/>
      <c r="FQ140" s="1740"/>
      <c r="FR140" s="1740"/>
      <c r="FS140" s="1740"/>
      <c r="FT140" s="1740"/>
      <c r="FU140" s="1740"/>
      <c r="FV140" s="1740"/>
      <c r="FW140" s="1740"/>
      <c r="FX140" s="1740"/>
      <c r="FY140" s="1740"/>
      <c r="FZ140" s="1740"/>
      <c r="GA140" s="1740"/>
      <c r="GB140" s="1740"/>
      <c r="GC140" s="1740"/>
      <c r="GD140" s="1740"/>
      <c r="GE140" s="1740"/>
      <c r="GF140" s="1740"/>
    </row>
    <row r="141" spans="1:188" s="20" customFormat="1">
      <c r="A141" s="333">
        <f t="shared" si="4"/>
        <v>1982</v>
      </c>
      <c r="B141" s="333">
        <f t="shared" si="5"/>
        <v>1</v>
      </c>
      <c r="C141" s="1174">
        <v>29955</v>
      </c>
      <c r="D141" s="1158"/>
      <c r="E141" s="1159">
        <v>383.95</v>
      </c>
      <c r="F141" s="1159">
        <v>349.23592865000001</v>
      </c>
      <c r="G141" s="1160"/>
      <c r="H141" s="1161"/>
      <c r="I141" s="1160"/>
      <c r="J141" s="1160"/>
      <c r="K141" s="1677"/>
      <c r="L141" s="1677"/>
      <c r="M141" s="1681"/>
      <c r="N141" s="1162"/>
      <c r="O141" s="1162"/>
      <c r="P141" s="1162"/>
      <c r="Q141" s="1163"/>
      <c r="R141" s="1164"/>
      <c r="S141" s="1164"/>
      <c r="T141" s="1164"/>
      <c r="U141" s="1165"/>
      <c r="V141" s="1166"/>
      <c r="W141" s="1166"/>
      <c r="X141" s="630"/>
      <c r="AA141" s="1915"/>
      <c r="AB141" s="1915"/>
      <c r="AC141" s="1804"/>
      <c r="AD141" s="1804"/>
      <c r="AE141" s="1804"/>
      <c r="AF141" s="1804"/>
      <c r="AG141" s="1804"/>
      <c r="AH141" s="1804"/>
      <c r="AI141" s="1781" t="s">
        <v>3</v>
      </c>
      <c r="AJ141" s="1826">
        <v>2012</v>
      </c>
      <c r="AK141" s="1822" t="s">
        <v>18</v>
      </c>
      <c r="AL141" s="1822">
        <v>1</v>
      </c>
      <c r="AM141" s="1823">
        <v>1186211991</v>
      </c>
      <c r="AN141" s="1824">
        <v>0.35299999999999998</v>
      </c>
      <c r="AO141" s="1781"/>
      <c r="AP141" s="1781" t="s">
        <v>0</v>
      </c>
      <c r="AQ141" s="1781" t="s">
        <v>495</v>
      </c>
      <c r="AR141" s="1822" t="s">
        <v>39</v>
      </c>
      <c r="AS141" s="1822"/>
      <c r="AT141" s="1823">
        <v>104844431.23246384</v>
      </c>
      <c r="AU141" s="1825">
        <v>2.7982855260299467E-2</v>
      </c>
      <c r="AV141" s="1781">
        <v>2005</v>
      </c>
      <c r="AW141" s="1671"/>
      <c r="AX141" s="1671"/>
      <c r="AY141" s="1804"/>
      <c r="AZ141" s="1804"/>
      <c r="BA141" s="1804"/>
      <c r="BB141" s="1804"/>
      <c r="BC141" s="1804"/>
      <c r="BD141" s="1804"/>
      <c r="BE141" s="1804"/>
      <c r="BF141" s="1804"/>
      <c r="BG141" s="1804"/>
      <c r="BH141" s="1804"/>
      <c r="BI141" s="1804"/>
      <c r="BJ141" s="1804"/>
      <c r="BK141" s="1804"/>
      <c r="BL141" s="1804"/>
      <c r="BM141" s="1804"/>
      <c r="BN141" s="1804"/>
      <c r="BO141" s="1804"/>
      <c r="BP141" s="1804"/>
      <c r="BQ141" s="1804"/>
      <c r="BR141" s="1804"/>
      <c r="BS141" s="1804"/>
      <c r="BT141" s="1804"/>
      <c r="BU141" s="1804"/>
      <c r="BV141" s="1804"/>
      <c r="BW141" s="1804"/>
      <c r="BX141" s="1804"/>
      <c r="BY141" s="1804"/>
      <c r="BZ141" s="1804"/>
      <c r="CA141" s="1804"/>
      <c r="CB141" s="1804"/>
      <c r="CC141" s="1804"/>
      <c r="CD141" s="1804"/>
      <c r="CE141" s="1804"/>
      <c r="CF141" s="1804"/>
      <c r="CG141" s="1804"/>
      <c r="CH141" s="1804"/>
      <c r="CI141" s="1804"/>
      <c r="CJ141" s="1804"/>
      <c r="CK141" s="1804"/>
      <c r="CL141" s="1804"/>
      <c r="CM141" s="1804"/>
      <c r="CN141" s="1804"/>
      <c r="CO141" s="1804"/>
      <c r="CP141" s="1804"/>
      <c r="CQ141" s="1804"/>
      <c r="CR141" s="1804"/>
      <c r="CS141" s="1804"/>
      <c r="CT141" s="1804"/>
      <c r="CU141" s="1804"/>
      <c r="CV141" s="1804"/>
      <c r="CW141" s="1804"/>
      <c r="CX141" s="1804"/>
      <c r="CY141" s="1804"/>
      <c r="CZ141" s="1804"/>
      <c r="DA141" s="1804"/>
      <c r="DB141" s="1804"/>
      <c r="DC141" s="1804"/>
      <c r="DD141" s="1804"/>
      <c r="DE141" s="1804"/>
      <c r="DF141" s="1804"/>
      <c r="DG141" s="1804"/>
      <c r="DH141" s="1804"/>
      <c r="DI141" s="1804"/>
      <c r="DJ141" s="1804"/>
      <c r="DK141" s="1804"/>
      <c r="DL141" s="1804"/>
      <c r="DM141" s="1804"/>
      <c r="DN141" s="1804"/>
      <c r="DO141" s="1804"/>
      <c r="DP141" s="1804"/>
      <c r="DQ141" s="1671"/>
      <c r="DR141" s="1671"/>
      <c r="DS141" s="1671"/>
      <c r="DT141" s="1671"/>
      <c r="DU141" s="1671"/>
      <c r="DV141" s="1671"/>
      <c r="DW141" s="1671"/>
      <c r="DX141" s="1671"/>
      <c r="DY141" s="1671"/>
      <c r="DZ141" s="1671"/>
      <c r="EA141" s="1740"/>
      <c r="EB141" s="1740"/>
      <c r="EC141" s="1740"/>
      <c r="ED141" s="1740"/>
      <c r="EE141" s="1740"/>
      <c r="EF141" s="1740"/>
      <c r="EG141" s="1740"/>
      <c r="EH141" s="1740"/>
      <c r="EI141" s="1740"/>
      <c r="EJ141" s="1740"/>
      <c r="EK141" s="1740"/>
      <c r="EL141" s="1740"/>
      <c r="EM141" s="1740"/>
      <c r="EN141" s="1740"/>
      <c r="EO141" s="1740"/>
      <c r="EP141" s="1740"/>
      <c r="EQ141" s="1740"/>
      <c r="ER141" s="1740"/>
      <c r="ES141" s="1740"/>
      <c r="ET141" s="1740"/>
      <c r="EU141" s="1740"/>
      <c r="EV141" s="1740"/>
      <c r="EW141" s="1740"/>
      <c r="EX141" s="1740"/>
      <c r="EY141" s="1740"/>
      <c r="EZ141" s="1740"/>
      <c r="FA141" s="1740"/>
      <c r="FB141" s="1740"/>
      <c r="FC141" s="1740"/>
      <c r="FD141" s="1740"/>
      <c r="FE141" s="1740"/>
      <c r="FF141" s="1740"/>
      <c r="FG141" s="1740"/>
      <c r="FH141" s="1740"/>
      <c r="FI141" s="1740"/>
      <c r="FJ141" s="1740"/>
      <c r="FK141" s="1740"/>
      <c r="FL141" s="1740"/>
      <c r="FM141" s="1740"/>
      <c r="FN141" s="1740"/>
      <c r="FO141" s="1740"/>
      <c r="FP141" s="1740"/>
      <c r="FQ141" s="1740"/>
      <c r="FR141" s="1740"/>
      <c r="FS141" s="1740"/>
      <c r="FT141" s="1740"/>
      <c r="FU141" s="1740"/>
      <c r="FV141" s="1740"/>
      <c r="FW141" s="1740"/>
      <c r="FX141" s="1740"/>
      <c r="FY141" s="1740"/>
      <c r="FZ141" s="1740"/>
      <c r="GA141" s="1740"/>
      <c r="GB141" s="1740"/>
      <c r="GC141" s="1740"/>
      <c r="GD141" s="1740"/>
      <c r="GE141" s="1740"/>
      <c r="GF141" s="1740"/>
    </row>
    <row r="142" spans="1:188" s="20" customFormat="1">
      <c r="A142" s="333">
        <f t="shared" si="4"/>
        <v>1982</v>
      </c>
      <c r="B142" s="333">
        <f t="shared" si="5"/>
        <v>1</v>
      </c>
      <c r="C142" s="1174">
        <v>29983</v>
      </c>
      <c r="D142" s="1167"/>
      <c r="E142" s="1168">
        <v>373.67374999999998</v>
      </c>
      <c r="F142" s="1168">
        <v>347.92725495125001</v>
      </c>
      <c r="G142" s="1168"/>
      <c r="H142" s="1167"/>
      <c r="I142" s="1168"/>
      <c r="J142" s="1168"/>
      <c r="K142" s="1678"/>
      <c r="L142" s="1678"/>
      <c r="M142" s="1682"/>
      <c r="N142" s="1169"/>
      <c r="O142" s="1169"/>
      <c r="P142" s="1169"/>
      <c r="Q142" s="1167"/>
      <c r="R142" s="1167"/>
      <c r="S142" s="1167"/>
      <c r="T142" s="1167"/>
      <c r="U142" s="1167"/>
      <c r="V142" s="1167"/>
      <c r="W142" s="1167"/>
      <c r="X142" s="630"/>
      <c r="AA142" s="1915"/>
      <c r="AB142" s="1915"/>
      <c r="AC142" s="1804"/>
      <c r="AD142" s="1804"/>
      <c r="AE142" s="1804"/>
      <c r="AF142" s="1804"/>
      <c r="AG142" s="1804"/>
      <c r="AH142" s="1804"/>
      <c r="AI142" s="1781" t="s">
        <v>3</v>
      </c>
      <c r="AJ142" s="1826">
        <v>2012</v>
      </c>
      <c r="AK142" s="1822" t="s">
        <v>25</v>
      </c>
      <c r="AL142" s="1822">
        <v>2</v>
      </c>
      <c r="AM142" s="1823">
        <v>536326895</v>
      </c>
      <c r="AN142" s="1824">
        <v>0.16</v>
      </c>
      <c r="AO142" s="1781"/>
      <c r="AP142" s="1781" t="s">
        <v>0</v>
      </c>
      <c r="AQ142" s="1781" t="s">
        <v>495</v>
      </c>
      <c r="AR142" s="1822" t="s">
        <v>386</v>
      </c>
      <c r="AS142" s="1822"/>
      <c r="AT142" s="1823">
        <v>3746738145.810708</v>
      </c>
      <c r="AU142" s="1825"/>
      <c r="AV142" s="1781">
        <v>2005</v>
      </c>
      <c r="AW142" s="1671"/>
      <c r="AX142" s="1671"/>
      <c r="AY142" s="1804"/>
      <c r="AZ142" s="1804"/>
      <c r="BA142" s="1804"/>
      <c r="BB142" s="1804"/>
      <c r="BC142" s="1804"/>
      <c r="BD142" s="1804"/>
      <c r="BE142" s="1804"/>
      <c r="BF142" s="1804"/>
      <c r="BG142" s="1804"/>
      <c r="BH142" s="1804"/>
      <c r="BI142" s="1804"/>
      <c r="BJ142" s="1804"/>
      <c r="BK142" s="1804"/>
      <c r="BL142" s="1804"/>
      <c r="BM142" s="1804"/>
      <c r="BN142" s="1804"/>
      <c r="BO142" s="1804"/>
      <c r="BP142" s="1804"/>
      <c r="BQ142" s="1804"/>
      <c r="BR142" s="1804"/>
      <c r="BS142" s="1804"/>
      <c r="BT142" s="1804"/>
      <c r="BU142" s="1804"/>
      <c r="BV142" s="1804"/>
      <c r="BW142" s="1804"/>
      <c r="BX142" s="1804"/>
      <c r="BY142" s="1804"/>
      <c r="BZ142" s="1804"/>
      <c r="CA142" s="1804"/>
      <c r="CB142" s="1804"/>
      <c r="CC142" s="1804"/>
      <c r="CD142" s="1804"/>
      <c r="CE142" s="1804"/>
      <c r="CF142" s="1804"/>
      <c r="CG142" s="1804"/>
      <c r="CH142" s="1804"/>
      <c r="CI142" s="1804"/>
      <c r="CJ142" s="1804"/>
      <c r="CK142" s="1804"/>
      <c r="CL142" s="1804"/>
      <c r="CM142" s="1804"/>
      <c r="CN142" s="1804"/>
      <c r="CO142" s="1804"/>
      <c r="CP142" s="1804"/>
      <c r="CQ142" s="1804"/>
      <c r="CR142" s="1804"/>
      <c r="CS142" s="1804"/>
      <c r="CT142" s="1804"/>
      <c r="CU142" s="1804"/>
      <c r="CV142" s="1804"/>
      <c r="CW142" s="1804"/>
      <c r="CX142" s="1804"/>
      <c r="CY142" s="1804"/>
      <c r="CZ142" s="1804"/>
      <c r="DA142" s="1804"/>
      <c r="DB142" s="1804"/>
      <c r="DC142" s="1804"/>
      <c r="DD142" s="1804"/>
      <c r="DE142" s="1804"/>
      <c r="DF142" s="1804"/>
      <c r="DG142" s="1804"/>
      <c r="DH142" s="1804"/>
      <c r="DI142" s="1804"/>
      <c r="DJ142" s="1804"/>
      <c r="DK142" s="1804"/>
      <c r="DL142" s="1804"/>
      <c r="DM142" s="1804"/>
      <c r="DN142" s="1804"/>
      <c r="DO142" s="1804"/>
      <c r="DP142" s="1804"/>
      <c r="DQ142" s="1671"/>
      <c r="DR142" s="1671"/>
      <c r="DS142" s="1671"/>
      <c r="DT142" s="1671"/>
      <c r="DU142" s="1671"/>
      <c r="DV142" s="1671"/>
      <c r="DW142" s="1671"/>
      <c r="DX142" s="1671"/>
      <c r="DY142" s="1671"/>
      <c r="DZ142" s="1671"/>
      <c r="EA142" s="1740"/>
      <c r="EB142" s="1740"/>
      <c r="EC142" s="1740"/>
      <c r="ED142" s="1740"/>
      <c r="EE142" s="1740"/>
      <c r="EF142" s="1740"/>
      <c r="EG142" s="1740"/>
      <c r="EH142" s="1740"/>
      <c r="EI142" s="1740"/>
      <c r="EJ142" s="1740"/>
      <c r="EK142" s="1740"/>
      <c r="EL142" s="1740"/>
      <c r="EM142" s="1740"/>
      <c r="EN142" s="1740"/>
      <c r="EO142" s="1740"/>
      <c r="EP142" s="1740"/>
      <c r="EQ142" s="1740"/>
      <c r="ER142" s="1740"/>
      <c r="ES142" s="1740"/>
      <c r="ET142" s="1740"/>
      <c r="EU142" s="1740"/>
      <c r="EV142" s="1740"/>
      <c r="EW142" s="1740"/>
      <c r="EX142" s="1740"/>
      <c r="EY142" s="1740"/>
      <c r="EZ142" s="1740"/>
      <c r="FA142" s="1740"/>
      <c r="FB142" s="1740"/>
      <c r="FC142" s="1740"/>
      <c r="FD142" s="1740"/>
      <c r="FE142" s="1740"/>
      <c r="FF142" s="1740"/>
      <c r="FG142" s="1740"/>
      <c r="FH142" s="1740"/>
      <c r="FI142" s="1740"/>
      <c r="FJ142" s="1740"/>
      <c r="FK142" s="1740"/>
      <c r="FL142" s="1740"/>
      <c r="FM142" s="1740"/>
      <c r="FN142" s="1740"/>
      <c r="FO142" s="1740"/>
      <c r="FP142" s="1740"/>
      <c r="FQ142" s="1740"/>
      <c r="FR142" s="1740"/>
      <c r="FS142" s="1740"/>
      <c r="FT142" s="1740"/>
      <c r="FU142" s="1740"/>
      <c r="FV142" s="1740"/>
      <c r="FW142" s="1740"/>
      <c r="FX142" s="1740"/>
      <c r="FY142" s="1740"/>
      <c r="FZ142" s="1740"/>
      <c r="GA142" s="1740"/>
      <c r="GB142" s="1740"/>
      <c r="GC142" s="1740"/>
      <c r="GD142" s="1740"/>
      <c r="GE142" s="1740"/>
      <c r="GF142" s="1740"/>
    </row>
    <row r="143" spans="1:188" s="20" customFormat="1">
      <c r="A143" s="333">
        <f t="shared" si="4"/>
        <v>1982</v>
      </c>
      <c r="B143" s="333">
        <f t="shared" si="5"/>
        <v>1</v>
      </c>
      <c r="C143" s="1174">
        <v>30011</v>
      </c>
      <c r="D143" s="1158"/>
      <c r="E143" s="1159">
        <v>329.50760869570001</v>
      </c>
      <c r="F143" s="1159">
        <v>313.72715980765423</v>
      </c>
      <c r="G143" s="1160"/>
      <c r="H143" s="1161"/>
      <c r="I143" s="1160"/>
      <c r="J143" s="1160"/>
      <c r="K143" s="1677"/>
      <c r="L143" s="1677"/>
      <c r="M143" s="1681"/>
      <c r="N143" s="1162"/>
      <c r="O143" s="1162"/>
      <c r="P143" s="1162"/>
      <c r="Q143" s="1163"/>
      <c r="R143" s="1164"/>
      <c r="S143" s="1164"/>
      <c r="T143" s="1164"/>
      <c r="U143" s="1165"/>
      <c r="V143" s="1166"/>
      <c r="W143" s="1166"/>
      <c r="X143" s="630"/>
      <c r="AA143" s="1915"/>
      <c r="AB143" s="1915"/>
      <c r="AC143" s="1804"/>
      <c r="AD143" s="1804"/>
      <c r="AE143" s="1804"/>
      <c r="AF143" s="1804"/>
      <c r="AG143" s="1804"/>
      <c r="AH143" s="1804"/>
      <c r="AI143" s="1781" t="s">
        <v>3</v>
      </c>
      <c r="AJ143" s="1826">
        <v>2012</v>
      </c>
      <c r="AK143" s="1822" t="s">
        <v>23</v>
      </c>
      <c r="AL143" s="1822">
        <v>3</v>
      </c>
      <c r="AM143" s="1823">
        <v>260340203</v>
      </c>
      <c r="AN143" s="1824">
        <v>7.6999999999999999E-2</v>
      </c>
      <c r="AO143" s="1781"/>
      <c r="AP143" s="1781" t="s">
        <v>0</v>
      </c>
      <c r="AQ143" s="1781" t="s">
        <v>471</v>
      </c>
      <c r="AR143" s="1822" t="s">
        <v>32</v>
      </c>
      <c r="AS143" s="1822">
        <v>1</v>
      </c>
      <c r="AT143" s="1823">
        <v>478279994.31</v>
      </c>
      <c r="AU143" s="1825">
        <v>0.15659038074301374</v>
      </c>
      <c r="AV143" s="1781">
        <v>2004</v>
      </c>
      <c r="AW143" s="1671"/>
      <c r="AX143" s="1925"/>
      <c r="AY143" s="1804"/>
      <c r="AZ143" s="1804"/>
      <c r="BA143" s="1804"/>
      <c r="BB143" s="1804"/>
      <c r="BC143" s="1804"/>
      <c r="BD143" s="1804"/>
      <c r="BE143" s="1804"/>
      <c r="BF143" s="1804"/>
      <c r="BG143" s="1804"/>
      <c r="BH143" s="1804"/>
      <c r="BI143" s="1804"/>
      <c r="BJ143" s="1804"/>
      <c r="BK143" s="1804"/>
      <c r="BL143" s="1804"/>
      <c r="BM143" s="1804"/>
      <c r="BN143" s="1804"/>
      <c r="BO143" s="1804"/>
      <c r="BP143" s="1804"/>
      <c r="BQ143" s="1804"/>
      <c r="BR143" s="1804"/>
      <c r="BS143" s="1804"/>
      <c r="BT143" s="1804"/>
      <c r="BU143" s="1804"/>
      <c r="BV143" s="1804"/>
      <c r="BW143" s="1804"/>
      <c r="BX143" s="1804"/>
      <c r="BY143" s="1804"/>
      <c r="BZ143" s="1804"/>
      <c r="CA143" s="1804"/>
      <c r="CB143" s="1804"/>
      <c r="CC143" s="1804"/>
      <c r="CD143" s="1804"/>
      <c r="CE143" s="1804"/>
      <c r="CF143" s="1804"/>
      <c r="CG143" s="1804"/>
      <c r="CH143" s="1804"/>
      <c r="CI143" s="1804"/>
      <c r="CJ143" s="1804"/>
      <c r="CK143" s="1804"/>
      <c r="CL143" s="1804"/>
      <c r="CM143" s="1804"/>
      <c r="CN143" s="1804"/>
      <c r="CO143" s="1804"/>
      <c r="CP143" s="1804"/>
      <c r="CQ143" s="1804"/>
      <c r="CR143" s="1804"/>
      <c r="CS143" s="1804"/>
      <c r="CT143" s="1804"/>
      <c r="CU143" s="1804"/>
      <c r="CV143" s="1804"/>
      <c r="CW143" s="1804"/>
      <c r="CX143" s="1804"/>
      <c r="CY143" s="1804"/>
      <c r="CZ143" s="1804"/>
      <c r="DA143" s="1804"/>
      <c r="DB143" s="1804"/>
      <c r="DC143" s="1804"/>
      <c r="DD143" s="1804"/>
      <c r="DE143" s="1804"/>
      <c r="DF143" s="1804"/>
      <c r="DG143" s="1804"/>
      <c r="DH143" s="1804"/>
      <c r="DI143" s="1804"/>
      <c r="DJ143" s="1804"/>
      <c r="DK143" s="1804"/>
      <c r="DL143" s="1804"/>
      <c r="DM143" s="1804"/>
      <c r="DN143" s="1804"/>
      <c r="DO143" s="1804"/>
      <c r="DP143" s="1804"/>
      <c r="DQ143" s="1671"/>
      <c r="DR143" s="1671"/>
      <c r="DS143" s="1671"/>
      <c r="DT143" s="1671"/>
      <c r="DU143" s="1671"/>
      <c r="DV143" s="1671"/>
      <c r="DW143" s="1671"/>
      <c r="DX143" s="1671"/>
      <c r="DY143" s="1671"/>
      <c r="DZ143" s="1671"/>
      <c r="EA143" s="1740"/>
      <c r="EB143" s="1740"/>
      <c r="EC143" s="1740"/>
      <c r="ED143" s="1740"/>
      <c r="EE143" s="1740"/>
      <c r="EF143" s="1740"/>
      <c r="EG143" s="1740"/>
      <c r="EH143" s="1740"/>
      <c r="EI143" s="1740"/>
      <c r="EJ143" s="1740"/>
      <c r="EK143" s="1740"/>
      <c r="EL143" s="1740"/>
      <c r="EM143" s="1740"/>
      <c r="EN143" s="1740"/>
      <c r="EO143" s="1740"/>
      <c r="EP143" s="1740"/>
      <c r="EQ143" s="1740"/>
      <c r="ER143" s="1740"/>
      <c r="ES143" s="1740"/>
      <c r="ET143" s="1740"/>
      <c r="EU143" s="1740"/>
      <c r="EV143" s="1740"/>
      <c r="EW143" s="1740"/>
      <c r="EX143" s="1740"/>
      <c r="EY143" s="1740"/>
      <c r="EZ143" s="1740"/>
      <c r="FA143" s="1740"/>
      <c r="FB143" s="1740"/>
      <c r="FC143" s="1740"/>
      <c r="FD143" s="1740"/>
      <c r="FE143" s="1740"/>
      <c r="FF143" s="1740"/>
      <c r="FG143" s="1740"/>
      <c r="FH143" s="1740"/>
      <c r="FI143" s="1740"/>
      <c r="FJ143" s="1740"/>
      <c r="FK143" s="1740"/>
      <c r="FL143" s="1740"/>
      <c r="FM143" s="1740"/>
      <c r="FN143" s="1740"/>
      <c r="FO143" s="1740"/>
      <c r="FP143" s="1740"/>
      <c r="FQ143" s="1740"/>
      <c r="FR143" s="1740"/>
      <c r="FS143" s="1740"/>
      <c r="FT143" s="1740"/>
      <c r="FU143" s="1740"/>
      <c r="FV143" s="1740"/>
      <c r="FW143" s="1740"/>
      <c r="FX143" s="1740"/>
      <c r="FY143" s="1740"/>
      <c r="FZ143" s="1740"/>
      <c r="GA143" s="1740"/>
      <c r="GB143" s="1740"/>
      <c r="GC143" s="1740"/>
      <c r="GD143" s="1740"/>
      <c r="GE143" s="1740"/>
      <c r="GF143" s="1740"/>
    </row>
    <row r="144" spans="1:188" s="20" customFormat="1">
      <c r="A144" s="333">
        <f t="shared" si="4"/>
        <v>1982</v>
      </c>
      <c r="B144" s="333">
        <f t="shared" si="5"/>
        <v>2</v>
      </c>
      <c r="C144" s="1174">
        <v>30042</v>
      </c>
      <c r="D144" s="1167"/>
      <c r="E144" s="1168">
        <v>350.6644736842</v>
      </c>
      <c r="F144" s="1168">
        <v>330.56613937499009</v>
      </c>
      <c r="G144" s="1168"/>
      <c r="H144" s="1167"/>
      <c r="I144" s="1168"/>
      <c r="J144" s="1168"/>
      <c r="K144" s="1678"/>
      <c r="L144" s="1678"/>
      <c r="M144" s="1682"/>
      <c r="N144" s="1169"/>
      <c r="O144" s="1169"/>
      <c r="P144" s="1169"/>
      <c r="Q144" s="1167"/>
      <c r="R144" s="1167"/>
      <c r="S144" s="1167"/>
      <c r="T144" s="1167"/>
      <c r="U144" s="1167"/>
      <c r="V144" s="1167"/>
      <c r="W144" s="1167"/>
      <c r="X144" s="630"/>
      <c r="AA144" s="1915"/>
      <c r="AB144" s="1915"/>
      <c r="AC144" s="1804"/>
      <c r="AD144" s="1804"/>
      <c r="AE144" s="1804"/>
      <c r="AF144" s="1804"/>
      <c r="AG144" s="1804"/>
      <c r="AH144" s="1804"/>
      <c r="AI144" s="1781" t="s">
        <v>3</v>
      </c>
      <c r="AJ144" s="1826">
        <v>2012</v>
      </c>
      <c r="AK144" s="1822" t="s">
        <v>758</v>
      </c>
      <c r="AL144" s="1822">
        <v>4</v>
      </c>
      <c r="AM144" s="1823">
        <v>232655575</v>
      </c>
      <c r="AN144" s="1824">
        <v>6.9000000000000006E-2</v>
      </c>
      <c r="AO144" s="1781"/>
      <c r="AP144" s="1781" t="s">
        <v>0</v>
      </c>
      <c r="AQ144" s="1781" t="s">
        <v>471</v>
      </c>
      <c r="AR144" s="1822" t="s">
        <v>135</v>
      </c>
      <c r="AS144" s="1822">
        <v>2</v>
      </c>
      <c r="AT144" s="1823">
        <v>455149307.80000007</v>
      </c>
      <c r="AU144" s="1825">
        <v>0.14901732092337067</v>
      </c>
      <c r="AV144" s="1781">
        <v>2004</v>
      </c>
      <c r="AW144" s="1671"/>
      <c r="AX144" s="1671"/>
      <c r="AY144" s="1804"/>
      <c r="AZ144" s="1804"/>
      <c r="BA144" s="1804"/>
      <c r="BB144" s="1804"/>
      <c r="BC144" s="1804"/>
      <c r="BD144" s="1804"/>
      <c r="BE144" s="1804"/>
      <c r="BF144" s="1804"/>
      <c r="BG144" s="1804"/>
      <c r="BH144" s="1804"/>
      <c r="BI144" s="1804"/>
      <c r="BJ144" s="1804"/>
      <c r="BK144" s="1804"/>
      <c r="BL144" s="1804"/>
      <c r="BM144" s="1804"/>
      <c r="BN144" s="1804"/>
      <c r="BO144" s="1804"/>
      <c r="BP144" s="1804"/>
      <c r="BQ144" s="1804"/>
      <c r="BR144" s="1804"/>
      <c r="BS144" s="1804"/>
      <c r="BT144" s="1804"/>
      <c r="BU144" s="1804"/>
      <c r="BV144" s="1804"/>
      <c r="BW144" s="1804"/>
      <c r="BX144" s="1804"/>
      <c r="BY144" s="1804"/>
      <c r="BZ144" s="1804"/>
      <c r="CA144" s="1804"/>
      <c r="CB144" s="1804"/>
      <c r="CC144" s="1804"/>
      <c r="CD144" s="1804"/>
      <c r="CE144" s="1804"/>
      <c r="CF144" s="1804"/>
      <c r="CG144" s="1804"/>
      <c r="CH144" s="1804"/>
      <c r="CI144" s="1804"/>
      <c r="CJ144" s="1804"/>
      <c r="CK144" s="1804"/>
      <c r="CL144" s="1804"/>
      <c r="CM144" s="1804"/>
      <c r="CN144" s="1804"/>
      <c r="CO144" s="1804"/>
      <c r="CP144" s="1804"/>
      <c r="CQ144" s="1804"/>
      <c r="CR144" s="1804"/>
      <c r="CS144" s="1804"/>
      <c r="CT144" s="1804"/>
      <c r="CU144" s="1804"/>
      <c r="CV144" s="1804"/>
      <c r="CW144" s="1804"/>
      <c r="CX144" s="1804"/>
      <c r="CY144" s="1804"/>
      <c r="CZ144" s="1804"/>
      <c r="DA144" s="1804"/>
      <c r="DB144" s="1804"/>
      <c r="DC144" s="1804"/>
      <c r="DD144" s="1804"/>
      <c r="DE144" s="1804"/>
      <c r="DF144" s="1804"/>
      <c r="DG144" s="1804"/>
      <c r="DH144" s="1804"/>
      <c r="DI144" s="1804"/>
      <c r="DJ144" s="1804"/>
      <c r="DK144" s="1804"/>
      <c r="DL144" s="1804"/>
      <c r="DM144" s="1804"/>
      <c r="DN144" s="1804"/>
      <c r="DO144" s="1804"/>
      <c r="DP144" s="1804"/>
      <c r="DQ144" s="1671"/>
      <c r="DR144" s="1671"/>
      <c r="DS144" s="1671"/>
      <c r="DT144" s="1671"/>
      <c r="DU144" s="1671"/>
      <c r="DV144" s="1671"/>
      <c r="DW144" s="1671"/>
      <c r="DX144" s="1671"/>
      <c r="DY144" s="1671"/>
      <c r="DZ144" s="1671"/>
      <c r="EA144" s="1740"/>
      <c r="EB144" s="1740"/>
      <c r="EC144" s="1740"/>
      <c r="ED144" s="1740"/>
      <c r="EE144" s="1740"/>
      <c r="EF144" s="1740"/>
      <c r="EG144" s="1740"/>
      <c r="EH144" s="1740"/>
      <c r="EI144" s="1740"/>
      <c r="EJ144" s="1740"/>
      <c r="EK144" s="1740"/>
      <c r="EL144" s="1740"/>
      <c r="EM144" s="1740"/>
      <c r="EN144" s="1740"/>
      <c r="EO144" s="1740"/>
      <c r="EP144" s="1740"/>
      <c r="EQ144" s="1740"/>
      <c r="ER144" s="1740"/>
      <c r="ES144" s="1740"/>
      <c r="ET144" s="1740"/>
      <c r="EU144" s="1740"/>
      <c r="EV144" s="1740"/>
      <c r="EW144" s="1740"/>
      <c r="EX144" s="1740"/>
      <c r="EY144" s="1740"/>
      <c r="EZ144" s="1740"/>
      <c r="FA144" s="1740"/>
      <c r="FB144" s="1740"/>
      <c r="FC144" s="1740"/>
      <c r="FD144" s="1740"/>
      <c r="FE144" s="1740"/>
      <c r="FF144" s="1740"/>
      <c r="FG144" s="1740"/>
      <c r="FH144" s="1740"/>
      <c r="FI144" s="1740"/>
      <c r="FJ144" s="1740"/>
      <c r="FK144" s="1740"/>
      <c r="FL144" s="1740"/>
      <c r="FM144" s="1740"/>
      <c r="FN144" s="1740"/>
      <c r="FO144" s="1740"/>
      <c r="FP144" s="1740"/>
      <c r="FQ144" s="1740"/>
      <c r="FR144" s="1740"/>
      <c r="FS144" s="1740"/>
      <c r="FT144" s="1740"/>
      <c r="FU144" s="1740"/>
      <c r="FV144" s="1740"/>
      <c r="FW144" s="1740"/>
      <c r="FX144" s="1740"/>
      <c r="FY144" s="1740"/>
      <c r="FZ144" s="1740"/>
      <c r="GA144" s="1740"/>
      <c r="GB144" s="1740"/>
      <c r="GC144" s="1740"/>
      <c r="GD144" s="1740"/>
      <c r="GE144" s="1740"/>
      <c r="GF144" s="1740"/>
    </row>
    <row r="145" spans="1:188" s="20" customFormat="1">
      <c r="A145" s="333">
        <f t="shared" si="4"/>
        <v>1982</v>
      </c>
      <c r="B145" s="333">
        <f t="shared" si="5"/>
        <v>2</v>
      </c>
      <c r="C145" s="1174">
        <v>30074</v>
      </c>
      <c r="D145" s="1158"/>
      <c r="E145" s="1159">
        <v>333.21315789469998</v>
      </c>
      <c r="F145" s="1159">
        <v>317.10430098943857</v>
      </c>
      <c r="G145" s="1160"/>
      <c r="H145" s="1161"/>
      <c r="I145" s="1160"/>
      <c r="J145" s="1160"/>
      <c r="K145" s="1677"/>
      <c r="L145" s="1677"/>
      <c r="M145" s="1681"/>
      <c r="N145" s="1162"/>
      <c r="O145" s="1162"/>
      <c r="P145" s="1162"/>
      <c r="Q145" s="1163"/>
      <c r="R145" s="1164"/>
      <c r="S145" s="1164"/>
      <c r="T145" s="1164"/>
      <c r="U145" s="1165"/>
      <c r="V145" s="1166"/>
      <c r="W145" s="1166"/>
      <c r="X145" s="630"/>
      <c r="AA145" s="1915"/>
      <c r="AB145" s="1915"/>
      <c r="AC145" s="1804"/>
      <c r="AD145" s="1804"/>
      <c r="AE145" s="1804"/>
      <c r="AF145" s="1804"/>
      <c r="AG145" s="1804"/>
      <c r="AH145" s="1804"/>
      <c r="AI145" s="1781" t="s">
        <v>3</v>
      </c>
      <c r="AJ145" s="1826">
        <v>2012</v>
      </c>
      <c r="AK145" s="1822" t="s">
        <v>56</v>
      </c>
      <c r="AL145" s="1822">
        <v>5</v>
      </c>
      <c r="AM145" s="1823">
        <v>220086965</v>
      </c>
      <c r="AN145" s="1824">
        <v>6.6000000000000003E-2</v>
      </c>
      <c r="AO145" s="1781"/>
      <c r="AP145" s="1781" t="s">
        <v>0</v>
      </c>
      <c r="AQ145" s="1781" t="s">
        <v>471</v>
      </c>
      <c r="AR145" s="1822" t="s">
        <v>56</v>
      </c>
      <c r="AS145" s="1822">
        <v>3</v>
      </c>
      <c r="AT145" s="1823">
        <v>454276746.69000006</v>
      </c>
      <c r="AU145" s="1825">
        <v>0.14873164166004801</v>
      </c>
      <c r="AV145" s="1781">
        <v>2004</v>
      </c>
      <c r="AW145" s="1671"/>
      <c r="AX145" s="1671"/>
      <c r="AY145" s="1804"/>
      <c r="AZ145" s="1804"/>
      <c r="BA145" s="1804"/>
      <c r="BB145" s="1804"/>
      <c r="BC145" s="1804"/>
      <c r="BD145" s="1804"/>
      <c r="BE145" s="1804"/>
      <c r="BF145" s="1804"/>
      <c r="BG145" s="1804"/>
      <c r="BH145" s="1804"/>
      <c r="BI145" s="1804"/>
      <c r="BJ145" s="1804"/>
      <c r="BK145" s="1804"/>
      <c r="BL145" s="1804"/>
      <c r="BM145" s="1804"/>
      <c r="BN145" s="1804"/>
      <c r="BO145" s="1804"/>
      <c r="BP145" s="1804"/>
      <c r="BQ145" s="1804"/>
      <c r="BR145" s="1804"/>
      <c r="BS145" s="1804"/>
      <c r="BT145" s="1804"/>
      <c r="BU145" s="1804"/>
      <c r="BV145" s="1804"/>
      <c r="BW145" s="1804"/>
      <c r="BX145" s="1804"/>
      <c r="BY145" s="1804"/>
      <c r="BZ145" s="1804"/>
      <c r="CA145" s="1804"/>
      <c r="CB145" s="1804"/>
      <c r="CC145" s="1804"/>
      <c r="CD145" s="1804"/>
      <c r="CE145" s="1804"/>
      <c r="CF145" s="1804"/>
      <c r="CG145" s="1804"/>
      <c r="CH145" s="1804"/>
      <c r="CI145" s="1804"/>
      <c r="CJ145" s="1804"/>
      <c r="CK145" s="1804"/>
      <c r="CL145" s="1804"/>
      <c r="CM145" s="1804"/>
      <c r="CN145" s="1804"/>
      <c r="CO145" s="1804"/>
      <c r="CP145" s="1804"/>
      <c r="CQ145" s="1804"/>
      <c r="CR145" s="1804"/>
      <c r="CS145" s="1804"/>
      <c r="CT145" s="1804"/>
      <c r="CU145" s="1804"/>
      <c r="CV145" s="1804"/>
      <c r="CW145" s="1804"/>
      <c r="CX145" s="1804"/>
      <c r="CY145" s="1804"/>
      <c r="CZ145" s="1804"/>
      <c r="DA145" s="1804"/>
      <c r="DB145" s="1804"/>
      <c r="DC145" s="1804"/>
      <c r="DD145" s="1804"/>
      <c r="DE145" s="1804"/>
      <c r="DF145" s="1804"/>
      <c r="DG145" s="1804"/>
      <c r="DH145" s="1804"/>
      <c r="DI145" s="1804"/>
      <c r="DJ145" s="1804"/>
      <c r="DK145" s="1804"/>
      <c r="DL145" s="1804"/>
      <c r="DM145" s="1804"/>
      <c r="DN145" s="1804"/>
      <c r="DO145" s="1804"/>
      <c r="DP145" s="1804"/>
      <c r="DQ145" s="1671"/>
      <c r="DR145" s="1671"/>
      <c r="DS145" s="1671"/>
      <c r="DT145" s="1671"/>
      <c r="DU145" s="1671"/>
      <c r="DV145" s="1671"/>
      <c r="DW145" s="1671"/>
      <c r="DX145" s="1671"/>
      <c r="DY145" s="1671"/>
      <c r="DZ145" s="1671"/>
      <c r="EA145" s="1740"/>
      <c r="EB145" s="1740"/>
      <c r="EC145" s="1740"/>
      <c r="ED145" s="1740"/>
      <c r="EE145" s="1740"/>
      <c r="EF145" s="1740"/>
      <c r="EG145" s="1740"/>
      <c r="EH145" s="1740"/>
      <c r="EI145" s="1740"/>
      <c r="EJ145" s="1740"/>
      <c r="EK145" s="1740"/>
      <c r="EL145" s="1740"/>
      <c r="EM145" s="1740"/>
      <c r="EN145" s="1740"/>
      <c r="EO145" s="1740"/>
      <c r="EP145" s="1740"/>
      <c r="EQ145" s="1740"/>
      <c r="ER145" s="1740"/>
      <c r="ES145" s="1740"/>
      <c r="ET145" s="1740"/>
      <c r="EU145" s="1740"/>
      <c r="EV145" s="1740"/>
      <c r="EW145" s="1740"/>
      <c r="EX145" s="1740"/>
      <c r="EY145" s="1740"/>
      <c r="EZ145" s="1740"/>
      <c r="FA145" s="1740"/>
      <c r="FB145" s="1740"/>
      <c r="FC145" s="1740"/>
      <c r="FD145" s="1740"/>
      <c r="FE145" s="1740"/>
      <c r="FF145" s="1740"/>
      <c r="FG145" s="1740"/>
      <c r="FH145" s="1740"/>
      <c r="FI145" s="1740"/>
      <c r="FJ145" s="1740"/>
      <c r="FK145" s="1740"/>
      <c r="FL145" s="1740"/>
      <c r="FM145" s="1740"/>
      <c r="FN145" s="1740"/>
      <c r="FO145" s="1740"/>
      <c r="FP145" s="1740"/>
      <c r="FQ145" s="1740"/>
      <c r="FR145" s="1740"/>
      <c r="FS145" s="1740"/>
      <c r="FT145" s="1740"/>
      <c r="FU145" s="1740"/>
      <c r="FV145" s="1740"/>
      <c r="FW145" s="1740"/>
      <c r="FX145" s="1740"/>
      <c r="FY145" s="1740"/>
      <c r="FZ145" s="1740"/>
      <c r="GA145" s="1740"/>
      <c r="GB145" s="1740"/>
      <c r="GC145" s="1740"/>
      <c r="GD145" s="1740"/>
      <c r="GE145" s="1740"/>
      <c r="GF145" s="1740"/>
    </row>
    <row r="146" spans="1:188" s="20" customFormat="1">
      <c r="A146" s="333">
        <f t="shared" si="4"/>
        <v>1982</v>
      </c>
      <c r="B146" s="333">
        <f t="shared" si="5"/>
        <v>2</v>
      </c>
      <c r="C146" s="1174">
        <v>30103</v>
      </c>
      <c r="D146" s="1167"/>
      <c r="E146" s="1168">
        <v>314.78863636360001</v>
      </c>
      <c r="F146" s="1168">
        <v>307.92183704996444</v>
      </c>
      <c r="G146" s="1168"/>
      <c r="H146" s="1167"/>
      <c r="I146" s="1168"/>
      <c r="J146" s="1168"/>
      <c r="K146" s="1678"/>
      <c r="L146" s="1678"/>
      <c r="M146" s="1682"/>
      <c r="N146" s="1169"/>
      <c r="O146" s="1169"/>
      <c r="P146" s="1169"/>
      <c r="Q146" s="1167"/>
      <c r="R146" s="1167"/>
      <c r="S146" s="1167"/>
      <c r="T146" s="1167"/>
      <c r="U146" s="1167"/>
      <c r="V146" s="1167"/>
      <c r="W146" s="1167"/>
      <c r="X146" s="630"/>
      <c r="AA146" s="1915"/>
      <c r="AB146" s="1915"/>
      <c r="AC146" s="1804"/>
      <c r="AD146" s="1804"/>
      <c r="AE146" s="1804"/>
      <c r="AF146" s="1804"/>
      <c r="AG146" s="1804"/>
      <c r="AH146" s="1804"/>
      <c r="AI146" s="1781" t="s">
        <v>3</v>
      </c>
      <c r="AJ146" s="1826">
        <v>2012</v>
      </c>
      <c r="AK146" s="1822" t="s">
        <v>61</v>
      </c>
      <c r="AL146" s="1822">
        <v>6</v>
      </c>
      <c r="AM146" s="1823">
        <v>202881775</v>
      </c>
      <c r="AN146" s="1824">
        <v>0.06</v>
      </c>
      <c r="AO146" s="1781"/>
      <c r="AP146" s="1781" t="s">
        <v>0</v>
      </c>
      <c r="AQ146" s="1781" t="s">
        <v>471</v>
      </c>
      <c r="AR146" s="1822" t="s">
        <v>18</v>
      </c>
      <c r="AS146" s="1822">
        <v>4</v>
      </c>
      <c r="AT146" s="1823">
        <v>402902144.86000001</v>
      </c>
      <c r="AU146" s="1825">
        <v>0.13191143475867764</v>
      </c>
      <c r="AV146" s="1781">
        <v>2004</v>
      </c>
      <c r="AW146" s="1671"/>
      <c r="AX146" s="1925"/>
      <c r="AY146" s="1804"/>
      <c r="AZ146" s="1804"/>
      <c r="BA146" s="1804"/>
      <c r="BB146" s="1804"/>
      <c r="BC146" s="1804"/>
      <c r="BD146" s="1804"/>
      <c r="BE146" s="1804"/>
      <c r="BF146" s="1804"/>
      <c r="BG146" s="1804"/>
      <c r="BH146" s="1804"/>
      <c r="BI146" s="1804"/>
      <c r="BJ146" s="1804"/>
      <c r="BK146" s="1804"/>
      <c r="BL146" s="1804"/>
      <c r="BM146" s="1804"/>
      <c r="BN146" s="1804"/>
      <c r="BO146" s="1804"/>
      <c r="BP146" s="1804"/>
      <c r="BQ146" s="1804"/>
      <c r="BR146" s="1804"/>
      <c r="BS146" s="1804"/>
      <c r="BT146" s="1804"/>
      <c r="BU146" s="1804"/>
      <c r="BV146" s="1804"/>
      <c r="BW146" s="1804"/>
      <c r="BX146" s="1804"/>
      <c r="BY146" s="1804"/>
      <c r="BZ146" s="1804"/>
      <c r="CA146" s="1804"/>
      <c r="CB146" s="1804"/>
      <c r="CC146" s="1804"/>
      <c r="CD146" s="1804"/>
      <c r="CE146" s="1804"/>
      <c r="CF146" s="1804"/>
      <c r="CG146" s="1804"/>
      <c r="CH146" s="1804"/>
      <c r="CI146" s="1804"/>
      <c r="CJ146" s="1804"/>
      <c r="CK146" s="1804"/>
      <c r="CL146" s="1804"/>
      <c r="CM146" s="1804"/>
      <c r="CN146" s="1804"/>
      <c r="CO146" s="1804"/>
      <c r="CP146" s="1804"/>
      <c r="CQ146" s="1804"/>
      <c r="CR146" s="1804"/>
      <c r="CS146" s="1804"/>
      <c r="CT146" s="1804"/>
      <c r="CU146" s="1804"/>
      <c r="CV146" s="1804"/>
      <c r="CW146" s="1804"/>
      <c r="CX146" s="1804"/>
      <c r="CY146" s="1804"/>
      <c r="CZ146" s="1804"/>
      <c r="DA146" s="1804"/>
      <c r="DB146" s="1804"/>
      <c r="DC146" s="1804"/>
      <c r="DD146" s="1804"/>
      <c r="DE146" s="1804"/>
      <c r="DF146" s="1804"/>
      <c r="DG146" s="1804"/>
      <c r="DH146" s="1804"/>
      <c r="DI146" s="1804"/>
      <c r="DJ146" s="1804"/>
      <c r="DK146" s="1804"/>
      <c r="DL146" s="1804"/>
      <c r="DM146" s="1804"/>
      <c r="DN146" s="1804"/>
      <c r="DO146" s="1804"/>
      <c r="DP146" s="1804"/>
      <c r="DQ146" s="1671"/>
      <c r="DR146" s="1671"/>
      <c r="DS146" s="1671"/>
      <c r="DT146" s="1671"/>
      <c r="DU146" s="1671"/>
      <c r="DV146" s="1671"/>
      <c r="DW146" s="1671"/>
      <c r="DX146" s="1671"/>
      <c r="DY146" s="1671"/>
      <c r="DZ146" s="1671"/>
      <c r="EA146" s="1740"/>
      <c r="EB146" s="1740"/>
      <c r="EC146" s="1740"/>
      <c r="ED146" s="1740"/>
      <c r="EE146" s="1740"/>
      <c r="EF146" s="1740"/>
      <c r="EG146" s="1740"/>
      <c r="EH146" s="1740"/>
      <c r="EI146" s="1740"/>
      <c r="EJ146" s="1740"/>
      <c r="EK146" s="1740"/>
      <c r="EL146" s="1740"/>
      <c r="EM146" s="1740"/>
      <c r="EN146" s="1740"/>
      <c r="EO146" s="1740"/>
      <c r="EP146" s="1740"/>
      <c r="EQ146" s="1740"/>
      <c r="ER146" s="1740"/>
      <c r="ES146" s="1740"/>
      <c r="ET146" s="1740"/>
      <c r="EU146" s="1740"/>
      <c r="EV146" s="1740"/>
      <c r="EW146" s="1740"/>
      <c r="EX146" s="1740"/>
      <c r="EY146" s="1740"/>
      <c r="EZ146" s="1740"/>
      <c r="FA146" s="1740"/>
      <c r="FB146" s="1740"/>
      <c r="FC146" s="1740"/>
      <c r="FD146" s="1740"/>
      <c r="FE146" s="1740"/>
      <c r="FF146" s="1740"/>
      <c r="FG146" s="1740"/>
      <c r="FH146" s="1740"/>
      <c r="FI146" s="1740"/>
      <c r="FJ146" s="1740"/>
      <c r="FK146" s="1740"/>
      <c r="FL146" s="1740"/>
      <c r="FM146" s="1740"/>
      <c r="FN146" s="1740"/>
      <c r="FO146" s="1740"/>
      <c r="FP146" s="1740"/>
      <c r="FQ146" s="1740"/>
      <c r="FR146" s="1740"/>
      <c r="FS146" s="1740"/>
      <c r="FT146" s="1740"/>
      <c r="FU146" s="1740"/>
      <c r="FV146" s="1740"/>
      <c r="FW146" s="1740"/>
      <c r="FX146" s="1740"/>
      <c r="FY146" s="1740"/>
      <c r="FZ146" s="1740"/>
      <c r="GA146" s="1740"/>
      <c r="GB146" s="1740"/>
      <c r="GC146" s="1740"/>
      <c r="GD146" s="1740"/>
      <c r="GE146" s="1740"/>
      <c r="GF146" s="1740"/>
    </row>
    <row r="147" spans="1:188" s="20" customFormat="1">
      <c r="A147" s="333">
        <f t="shared" si="4"/>
        <v>1982</v>
      </c>
      <c r="B147" s="333">
        <f t="shared" si="5"/>
        <v>3</v>
      </c>
      <c r="C147" s="1174">
        <v>30133</v>
      </c>
      <c r="D147" s="1158"/>
      <c r="E147" s="1159">
        <v>339.90454545450001</v>
      </c>
      <c r="F147" s="1159">
        <v>341.33894263631794</v>
      </c>
      <c r="G147" s="1160"/>
      <c r="H147" s="1161"/>
      <c r="I147" s="1160"/>
      <c r="J147" s="1160"/>
      <c r="K147" s="1677"/>
      <c r="L147" s="1677"/>
      <c r="M147" s="1681"/>
      <c r="N147" s="1162"/>
      <c r="O147" s="1162"/>
      <c r="P147" s="1162"/>
      <c r="Q147" s="1163"/>
      <c r="R147" s="1164"/>
      <c r="S147" s="1164"/>
      <c r="T147" s="1164"/>
      <c r="U147" s="1165"/>
      <c r="V147" s="1166"/>
      <c r="W147" s="1166"/>
      <c r="X147" s="630"/>
      <c r="AA147" s="1915"/>
      <c r="AB147" s="1915"/>
      <c r="AC147" s="1804"/>
      <c r="AD147" s="1804"/>
      <c r="AE147" s="1804"/>
      <c r="AF147" s="1804"/>
      <c r="AG147" s="1804"/>
      <c r="AH147" s="1804"/>
      <c r="AI147" s="1781" t="s">
        <v>3</v>
      </c>
      <c r="AJ147" s="1826">
        <v>2012</v>
      </c>
      <c r="AK147" s="1822" t="s">
        <v>60</v>
      </c>
      <c r="AL147" s="1822">
        <v>7</v>
      </c>
      <c r="AM147" s="1823">
        <v>142342132</v>
      </c>
      <c r="AN147" s="1824">
        <v>4.2000000000000003E-2</v>
      </c>
      <c r="AO147" s="1781"/>
      <c r="AP147" s="1781" t="s">
        <v>0</v>
      </c>
      <c r="AQ147" s="1781" t="s">
        <v>471</v>
      </c>
      <c r="AR147" s="1822" t="s">
        <v>17</v>
      </c>
      <c r="AS147" s="1822">
        <v>5</v>
      </c>
      <c r="AT147" s="1823">
        <v>371991493.28000003</v>
      </c>
      <c r="AU147" s="1825">
        <v>0.121791189802771</v>
      </c>
      <c r="AV147" s="1781">
        <v>2004</v>
      </c>
      <c r="AW147" s="1671"/>
      <c r="AX147" s="1671"/>
      <c r="AY147" s="1804"/>
      <c r="AZ147" s="1804"/>
      <c r="BA147" s="1804"/>
      <c r="BB147" s="1804"/>
      <c r="BC147" s="1804"/>
      <c r="BD147" s="1804"/>
      <c r="BE147" s="1804"/>
      <c r="BF147" s="1804"/>
      <c r="BG147" s="1804"/>
      <c r="BH147" s="1804"/>
      <c r="BI147" s="1804"/>
      <c r="BJ147" s="1804"/>
      <c r="BK147" s="1804"/>
      <c r="BL147" s="1804"/>
      <c r="BM147" s="1804"/>
      <c r="BN147" s="1804"/>
      <c r="BO147" s="1804"/>
      <c r="BP147" s="1804"/>
      <c r="BQ147" s="1804"/>
      <c r="BR147" s="1804"/>
      <c r="BS147" s="1804"/>
      <c r="BT147" s="1804"/>
      <c r="BU147" s="1804"/>
      <c r="BV147" s="1804"/>
      <c r="BW147" s="1804"/>
      <c r="BX147" s="1804"/>
      <c r="BY147" s="1804"/>
      <c r="BZ147" s="1804"/>
      <c r="CA147" s="1804"/>
      <c r="CB147" s="1804"/>
      <c r="CC147" s="1804"/>
      <c r="CD147" s="1804"/>
      <c r="CE147" s="1804"/>
      <c r="CF147" s="1804"/>
      <c r="CG147" s="1804"/>
      <c r="CH147" s="1804"/>
      <c r="CI147" s="1804"/>
      <c r="CJ147" s="1804"/>
      <c r="CK147" s="1804"/>
      <c r="CL147" s="1804"/>
      <c r="CM147" s="1804"/>
      <c r="CN147" s="1804"/>
      <c r="CO147" s="1804"/>
      <c r="CP147" s="1804"/>
      <c r="CQ147" s="1804"/>
      <c r="CR147" s="1804"/>
      <c r="CS147" s="1804"/>
      <c r="CT147" s="1804"/>
      <c r="CU147" s="1804"/>
      <c r="CV147" s="1804"/>
      <c r="CW147" s="1804"/>
      <c r="CX147" s="1804"/>
      <c r="CY147" s="1804"/>
      <c r="CZ147" s="1804"/>
      <c r="DA147" s="1804"/>
      <c r="DB147" s="1804"/>
      <c r="DC147" s="1804"/>
      <c r="DD147" s="1804"/>
      <c r="DE147" s="1804"/>
      <c r="DF147" s="1804"/>
      <c r="DG147" s="1804"/>
      <c r="DH147" s="1804"/>
      <c r="DI147" s="1804"/>
      <c r="DJ147" s="1804"/>
      <c r="DK147" s="1804"/>
      <c r="DL147" s="1804"/>
      <c r="DM147" s="1804"/>
      <c r="DN147" s="1804"/>
      <c r="DO147" s="1804"/>
      <c r="DP147" s="1804"/>
      <c r="DQ147" s="1671"/>
      <c r="DR147" s="1671"/>
      <c r="DS147" s="1671"/>
      <c r="DT147" s="1671"/>
      <c r="DU147" s="1671"/>
      <c r="DV147" s="1671"/>
      <c r="DW147" s="1671"/>
      <c r="DX147" s="1671"/>
      <c r="DY147" s="1671"/>
      <c r="DZ147" s="1671"/>
      <c r="EA147" s="1740"/>
      <c r="EB147" s="1740"/>
      <c r="EC147" s="1740"/>
      <c r="ED147" s="1740"/>
      <c r="EE147" s="1740"/>
      <c r="EF147" s="1740"/>
      <c r="EG147" s="1740"/>
      <c r="EH147" s="1740"/>
      <c r="EI147" s="1740"/>
      <c r="EJ147" s="1740"/>
      <c r="EK147" s="1740"/>
      <c r="EL147" s="1740"/>
      <c r="EM147" s="1740"/>
      <c r="EN147" s="1740"/>
      <c r="EO147" s="1740"/>
      <c r="EP147" s="1740"/>
      <c r="EQ147" s="1740"/>
      <c r="ER147" s="1740"/>
      <c r="ES147" s="1740"/>
      <c r="ET147" s="1740"/>
      <c r="EU147" s="1740"/>
      <c r="EV147" s="1740"/>
      <c r="EW147" s="1740"/>
      <c r="EX147" s="1740"/>
      <c r="EY147" s="1740"/>
      <c r="EZ147" s="1740"/>
      <c r="FA147" s="1740"/>
      <c r="FB147" s="1740"/>
      <c r="FC147" s="1740"/>
      <c r="FD147" s="1740"/>
      <c r="FE147" s="1740"/>
      <c r="FF147" s="1740"/>
      <c r="FG147" s="1740"/>
      <c r="FH147" s="1740"/>
      <c r="FI147" s="1740"/>
      <c r="FJ147" s="1740"/>
      <c r="FK147" s="1740"/>
      <c r="FL147" s="1740"/>
      <c r="FM147" s="1740"/>
      <c r="FN147" s="1740"/>
      <c r="FO147" s="1740"/>
      <c r="FP147" s="1740"/>
      <c r="FQ147" s="1740"/>
      <c r="FR147" s="1740"/>
      <c r="FS147" s="1740"/>
      <c r="FT147" s="1740"/>
      <c r="FU147" s="1740"/>
      <c r="FV147" s="1740"/>
      <c r="FW147" s="1740"/>
      <c r="FX147" s="1740"/>
      <c r="FY147" s="1740"/>
      <c r="FZ147" s="1740"/>
      <c r="GA147" s="1740"/>
      <c r="GB147" s="1740"/>
      <c r="GC147" s="1740"/>
      <c r="GD147" s="1740"/>
      <c r="GE147" s="1740"/>
      <c r="GF147" s="1740"/>
    </row>
    <row r="148" spans="1:188" s="20" customFormat="1">
      <c r="A148" s="333">
        <f t="shared" si="4"/>
        <v>1982</v>
      </c>
      <c r="B148" s="333">
        <f t="shared" si="5"/>
        <v>3</v>
      </c>
      <c r="C148" s="1174">
        <v>30165</v>
      </c>
      <c r="D148" s="1167"/>
      <c r="E148" s="1168">
        <v>365.50714285710001</v>
      </c>
      <c r="F148" s="1168">
        <v>379.03821728566987</v>
      </c>
      <c r="G148" s="1168"/>
      <c r="H148" s="1167"/>
      <c r="I148" s="1168"/>
      <c r="J148" s="1168"/>
      <c r="K148" s="1678"/>
      <c r="L148" s="1678"/>
      <c r="M148" s="1682"/>
      <c r="N148" s="1169"/>
      <c r="O148" s="1169"/>
      <c r="P148" s="1169"/>
      <c r="Q148" s="1167"/>
      <c r="R148" s="1167"/>
      <c r="S148" s="1167"/>
      <c r="T148" s="1167"/>
      <c r="U148" s="1167"/>
      <c r="V148" s="1167"/>
      <c r="W148" s="1167"/>
      <c r="X148" s="630"/>
      <c r="AA148" s="1915"/>
      <c r="AB148" s="1915"/>
      <c r="AC148" s="1804"/>
      <c r="AD148" s="1804"/>
      <c r="AE148" s="1804"/>
      <c r="AF148" s="1804"/>
      <c r="AG148" s="1804"/>
      <c r="AH148" s="1804"/>
      <c r="AI148" s="1781" t="s">
        <v>3</v>
      </c>
      <c r="AJ148" s="1826">
        <v>2012</v>
      </c>
      <c r="AK148" s="1822" t="s">
        <v>57</v>
      </c>
      <c r="AL148" s="1822">
        <v>8</v>
      </c>
      <c r="AM148" s="1823">
        <v>135353736</v>
      </c>
      <c r="AN148" s="1824">
        <v>0.04</v>
      </c>
      <c r="AO148" s="1781"/>
      <c r="AP148" s="1781" t="s">
        <v>0</v>
      </c>
      <c r="AQ148" s="1781" t="s">
        <v>471</v>
      </c>
      <c r="AR148" s="1822" t="s">
        <v>26</v>
      </c>
      <c r="AS148" s="1822">
        <v>6</v>
      </c>
      <c r="AT148" s="1823">
        <v>317299989.79999995</v>
      </c>
      <c r="AU148" s="1825">
        <v>0.10388501882504417</v>
      </c>
      <c r="AV148" s="1781">
        <v>2004</v>
      </c>
      <c r="AW148" s="1671"/>
      <c r="AX148" s="1671"/>
      <c r="AY148" s="1804"/>
      <c r="AZ148" s="1804"/>
      <c r="BA148" s="1804"/>
      <c r="BB148" s="1804"/>
      <c r="BC148" s="1804"/>
      <c r="BD148" s="1804"/>
      <c r="BE148" s="1804"/>
      <c r="BF148" s="1804"/>
      <c r="BG148" s="1804"/>
      <c r="BH148" s="1804"/>
      <c r="BI148" s="1804"/>
      <c r="BJ148" s="1804"/>
      <c r="BK148" s="1804"/>
      <c r="BL148" s="1804"/>
      <c r="BM148" s="1804"/>
      <c r="BN148" s="1804"/>
      <c r="BO148" s="1804"/>
      <c r="BP148" s="1804"/>
      <c r="BQ148" s="1804"/>
      <c r="BR148" s="1804"/>
      <c r="BS148" s="1804"/>
      <c r="BT148" s="1804"/>
      <c r="BU148" s="1804"/>
      <c r="BV148" s="1804"/>
      <c r="BW148" s="1804"/>
      <c r="BX148" s="1804"/>
      <c r="BY148" s="1804"/>
      <c r="BZ148" s="1804"/>
      <c r="CA148" s="1804"/>
      <c r="CB148" s="1804"/>
      <c r="CC148" s="1804"/>
      <c r="CD148" s="1804"/>
      <c r="CE148" s="1804"/>
      <c r="CF148" s="1804"/>
      <c r="CG148" s="1804"/>
      <c r="CH148" s="1804"/>
      <c r="CI148" s="1804"/>
      <c r="CJ148" s="1804"/>
      <c r="CK148" s="1804"/>
      <c r="CL148" s="1804"/>
      <c r="CM148" s="1804"/>
      <c r="CN148" s="1804"/>
      <c r="CO148" s="1804"/>
      <c r="CP148" s="1804"/>
      <c r="CQ148" s="1804"/>
      <c r="CR148" s="1804"/>
      <c r="CS148" s="1804"/>
      <c r="CT148" s="1804"/>
      <c r="CU148" s="1804"/>
      <c r="CV148" s="1804"/>
      <c r="CW148" s="1804"/>
      <c r="CX148" s="1804"/>
      <c r="CY148" s="1804"/>
      <c r="CZ148" s="1804"/>
      <c r="DA148" s="1804"/>
      <c r="DB148" s="1804"/>
      <c r="DC148" s="1804"/>
      <c r="DD148" s="1804"/>
      <c r="DE148" s="1804"/>
      <c r="DF148" s="1804"/>
      <c r="DG148" s="1804"/>
      <c r="DH148" s="1804"/>
      <c r="DI148" s="1804"/>
      <c r="DJ148" s="1804"/>
      <c r="DK148" s="1804"/>
      <c r="DL148" s="1804"/>
      <c r="DM148" s="1804"/>
      <c r="DN148" s="1804"/>
      <c r="DO148" s="1804"/>
      <c r="DP148" s="1804"/>
      <c r="DQ148" s="1671"/>
      <c r="DR148" s="1671"/>
      <c r="DS148" s="1671"/>
      <c r="DT148" s="1671"/>
      <c r="DU148" s="1671"/>
      <c r="DV148" s="1671"/>
      <c r="DW148" s="1671"/>
      <c r="DX148" s="1671"/>
      <c r="DY148" s="1671"/>
      <c r="DZ148" s="1671"/>
      <c r="EA148" s="1740"/>
      <c r="EB148" s="1740"/>
      <c r="EC148" s="1740"/>
      <c r="ED148" s="1740"/>
      <c r="EE148" s="1740"/>
      <c r="EF148" s="1740"/>
      <c r="EG148" s="1740"/>
      <c r="EH148" s="1740"/>
      <c r="EI148" s="1740"/>
      <c r="EJ148" s="1740"/>
      <c r="EK148" s="1740"/>
      <c r="EL148" s="1740"/>
      <c r="EM148" s="1740"/>
      <c r="EN148" s="1740"/>
      <c r="EO148" s="1740"/>
      <c r="EP148" s="1740"/>
      <c r="EQ148" s="1740"/>
      <c r="ER148" s="1740"/>
      <c r="ES148" s="1740"/>
      <c r="ET148" s="1740"/>
      <c r="EU148" s="1740"/>
      <c r="EV148" s="1740"/>
      <c r="EW148" s="1740"/>
      <c r="EX148" s="1740"/>
      <c r="EY148" s="1740"/>
      <c r="EZ148" s="1740"/>
      <c r="FA148" s="1740"/>
      <c r="FB148" s="1740"/>
      <c r="FC148" s="1740"/>
      <c r="FD148" s="1740"/>
      <c r="FE148" s="1740"/>
      <c r="FF148" s="1740"/>
      <c r="FG148" s="1740"/>
      <c r="FH148" s="1740"/>
      <c r="FI148" s="1740"/>
      <c r="FJ148" s="1740"/>
      <c r="FK148" s="1740"/>
      <c r="FL148" s="1740"/>
      <c r="FM148" s="1740"/>
      <c r="FN148" s="1740"/>
      <c r="FO148" s="1740"/>
      <c r="FP148" s="1740"/>
      <c r="FQ148" s="1740"/>
      <c r="FR148" s="1740"/>
      <c r="FS148" s="1740"/>
      <c r="FT148" s="1740"/>
      <c r="FU148" s="1740"/>
      <c r="FV148" s="1740"/>
      <c r="FW148" s="1740"/>
      <c r="FX148" s="1740"/>
      <c r="FY148" s="1740"/>
      <c r="FZ148" s="1740"/>
      <c r="GA148" s="1740"/>
      <c r="GB148" s="1740"/>
      <c r="GC148" s="1740"/>
      <c r="GD148" s="1740"/>
      <c r="GE148" s="1740"/>
      <c r="GF148" s="1740"/>
    </row>
    <row r="149" spans="1:188" s="20" customFormat="1">
      <c r="A149" s="333">
        <f t="shared" si="4"/>
        <v>1982</v>
      </c>
      <c r="B149" s="333">
        <f t="shared" si="5"/>
        <v>3</v>
      </c>
      <c r="C149" s="1174">
        <v>30195</v>
      </c>
      <c r="D149" s="1158"/>
      <c r="E149" s="1159">
        <v>437.23750000000001</v>
      </c>
      <c r="F149" s="1159">
        <v>460.590354875</v>
      </c>
      <c r="G149" s="1160"/>
      <c r="H149" s="1161"/>
      <c r="I149" s="1160"/>
      <c r="J149" s="1160"/>
      <c r="K149" s="1677"/>
      <c r="L149" s="1677"/>
      <c r="M149" s="1681"/>
      <c r="N149" s="1162"/>
      <c r="O149" s="1162"/>
      <c r="P149" s="1162"/>
      <c r="Q149" s="1163"/>
      <c r="R149" s="1164"/>
      <c r="S149" s="1164"/>
      <c r="T149" s="1164"/>
      <c r="U149" s="1165"/>
      <c r="V149" s="1166"/>
      <c r="W149" s="1166"/>
      <c r="X149" s="630"/>
      <c r="AA149" s="1915"/>
      <c r="AB149" s="1915"/>
      <c r="AC149" s="1804"/>
      <c r="AD149" s="1804"/>
      <c r="AE149" s="1804"/>
      <c r="AF149" s="1804"/>
      <c r="AG149" s="1804"/>
      <c r="AH149" s="1804"/>
      <c r="AI149" s="1781" t="s">
        <v>3</v>
      </c>
      <c r="AJ149" s="1826">
        <v>2012</v>
      </c>
      <c r="AK149" s="1822" t="s">
        <v>27</v>
      </c>
      <c r="AL149" s="1822">
        <v>9</v>
      </c>
      <c r="AM149" s="1823">
        <v>108395416</v>
      </c>
      <c r="AN149" s="1824">
        <v>3.2000000000000001E-2</v>
      </c>
      <c r="AO149" s="1781"/>
      <c r="AP149" s="1781" t="s">
        <v>0</v>
      </c>
      <c r="AQ149" s="1781" t="s">
        <v>471</v>
      </c>
      <c r="AR149" s="1822" t="s">
        <v>138</v>
      </c>
      <c r="AS149" s="1822">
        <v>7</v>
      </c>
      <c r="AT149" s="1823">
        <v>183622090.74000001</v>
      </c>
      <c r="AU149" s="1825">
        <v>6.011845246273901E-2</v>
      </c>
      <c r="AV149" s="1781">
        <v>2004</v>
      </c>
      <c r="AW149" s="1671"/>
      <c r="AX149" s="1925"/>
      <c r="AY149" s="1804"/>
      <c r="AZ149" s="1804"/>
      <c r="BA149" s="1804"/>
      <c r="BB149" s="1804"/>
      <c r="BC149" s="1804"/>
      <c r="BD149" s="1804"/>
      <c r="BE149" s="1804"/>
      <c r="BF149" s="1804"/>
      <c r="BG149" s="1804"/>
      <c r="BH149" s="1804"/>
      <c r="BI149" s="1804"/>
      <c r="BJ149" s="1804"/>
      <c r="BK149" s="1804"/>
      <c r="BL149" s="1804"/>
      <c r="BM149" s="1804"/>
      <c r="BN149" s="1804"/>
      <c r="BO149" s="1804"/>
      <c r="BP149" s="1804"/>
      <c r="BQ149" s="1804"/>
      <c r="BR149" s="1804"/>
      <c r="BS149" s="1804"/>
      <c r="BT149" s="1804"/>
      <c r="BU149" s="1804"/>
      <c r="BV149" s="1804"/>
      <c r="BW149" s="1804"/>
      <c r="BX149" s="1804"/>
      <c r="BY149" s="1804"/>
      <c r="BZ149" s="1804"/>
      <c r="CA149" s="1804"/>
      <c r="CB149" s="1804"/>
      <c r="CC149" s="1804"/>
      <c r="CD149" s="1804"/>
      <c r="CE149" s="1804"/>
      <c r="CF149" s="1804"/>
      <c r="CG149" s="1804"/>
      <c r="CH149" s="1804"/>
      <c r="CI149" s="1804"/>
      <c r="CJ149" s="1804"/>
      <c r="CK149" s="1804"/>
      <c r="CL149" s="1804"/>
      <c r="CM149" s="1804"/>
      <c r="CN149" s="1804"/>
      <c r="CO149" s="1804"/>
      <c r="CP149" s="1804"/>
      <c r="CQ149" s="1804"/>
      <c r="CR149" s="1804"/>
      <c r="CS149" s="1804"/>
      <c r="CT149" s="1804"/>
      <c r="CU149" s="1804"/>
      <c r="CV149" s="1804"/>
      <c r="CW149" s="1804"/>
      <c r="CX149" s="1804"/>
      <c r="CY149" s="1804"/>
      <c r="CZ149" s="1804"/>
      <c r="DA149" s="1804"/>
      <c r="DB149" s="1804"/>
      <c r="DC149" s="1804"/>
      <c r="DD149" s="1804"/>
      <c r="DE149" s="1804"/>
      <c r="DF149" s="1804"/>
      <c r="DG149" s="1804"/>
      <c r="DH149" s="1804"/>
      <c r="DI149" s="1804"/>
      <c r="DJ149" s="1804"/>
      <c r="DK149" s="1804"/>
      <c r="DL149" s="1804"/>
      <c r="DM149" s="1804"/>
      <c r="DN149" s="1804"/>
      <c r="DO149" s="1804"/>
      <c r="DP149" s="1804"/>
      <c r="DQ149" s="1671"/>
      <c r="DR149" s="1671"/>
      <c r="DS149" s="1671"/>
      <c r="DT149" s="1671"/>
      <c r="DU149" s="1671"/>
      <c r="DV149" s="1671"/>
      <c r="DW149" s="1671"/>
      <c r="DX149" s="1671"/>
      <c r="DY149" s="1671"/>
      <c r="DZ149" s="1671"/>
      <c r="EA149" s="1740"/>
      <c r="EB149" s="1740"/>
      <c r="EC149" s="1740"/>
      <c r="ED149" s="1740"/>
      <c r="EE149" s="1740"/>
      <c r="EF149" s="1740"/>
      <c r="EG149" s="1740"/>
      <c r="EH149" s="1740"/>
      <c r="EI149" s="1740"/>
      <c r="EJ149" s="1740"/>
      <c r="EK149" s="1740"/>
      <c r="EL149" s="1740"/>
      <c r="EM149" s="1740"/>
      <c r="EN149" s="1740"/>
      <c r="EO149" s="1740"/>
      <c r="EP149" s="1740"/>
      <c r="EQ149" s="1740"/>
      <c r="ER149" s="1740"/>
      <c r="ES149" s="1740"/>
      <c r="ET149" s="1740"/>
      <c r="EU149" s="1740"/>
      <c r="EV149" s="1740"/>
      <c r="EW149" s="1740"/>
      <c r="EX149" s="1740"/>
      <c r="EY149" s="1740"/>
      <c r="EZ149" s="1740"/>
      <c r="FA149" s="1740"/>
      <c r="FB149" s="1740"/>
      <c r="FC149" s="1740"/>
      <c r="FD149" s="1740"/>
      <c r="FE149" s="1740"/>
      <c r="FF149" s="1740"/>
      <c r="FG149" s="1740"/>
      <c r="FH149" s="1740"/>
      <c r="FI149" s="1740"/>
      <c r="FJ149" s="1740"/>
      <c r="FK149" s="1740"/>
      <c r="FL149" s="1740"/>
      <c r="FM149" s="1740"/>
      <c r="FN149" s="1740"/>
      <c r="FO149" s="1740"/>
      <c r="FP149" s="1740"/>
      <c r="FQ149" s="1740"/>
      <c r="FR149" s="1740"/>
      <c r="FS149" s="1740"/>
      <c r="FT149" s="1740"/>
      <c r="FU149" s="1740"/>
      <c r="FV149" s="1740"/>
      <c r="FW149" s="1740"/>
      <c r="FX149" s="1740"/>
      <c r="FY149" s="1740"/>
      <c r="FZ149" s="1740"/>
      <c r="GA149" s="1740"/>
      <c r="GB149" s="1740"/>
      <c r="GC149" s="1740"/>
      <c r="GD149" s="1740"/>
      <c r="GE149" s="1740"/>
      <c r="GF149" s="1740"/>
    </row>
    <row r="150" spans="1:188" s="20" customFormat="1">
      <c r="A150" s="333">
        <f t="shared" si="4"/>
        <v>1982</v>
      </c>
      <c r="B150" s="333">
        <f t="shared" si="5"/>
        <v>4</v>
      </c>
      <c r="C150" s="1174">
        <v>30225</v>
      </c>
      <c r="D150" s="1167"/>
      <c r="E150" s="1168">
        <v>422.72500000000002</v>
      </c>
      <c r="F150" s="1168">
        <v>451.2927555</v>
      </c>
      <c r="G150" s="1168"/>
      <c r="H150" s="1167"/>
      <c r="I150" s="1168"/>
      <c r="J150" s="1168"/>
      <c r="K150" s="1678"/>
      <c r="L150" s="1678"/>
      <c r="M150" s="1682"/>
      <c r="N150" s="1169"/>
      <c r="O150" s="1169"/>
      <c r="P150" s="1169"/>
      <c r="Q150" s="1167"/>
      <c r="R150" s="1167"/>
      <c r="S150" s="1167"/>
      <c r="T150" s="1167"/>
      <c r="U150" s="1167"/>
      <c r="V150" s="1167"/>
      <c r="W150" s="1167"/>
      <c r="X150" s="630"/>
      <c r="AA150" s="1915"/>
      <c r="AB150" s="1915"/>
      <c r="AC150" s="1804"/>
      <c r="AD150" s="1804"/>
      <c r="AE150" s="1804"/>
      <c r="AF150" s="1804"/>
      <c r="AG150" s="1804"/>
      <c r="AH150" s="1804"/>
      <c r="AI150" s="1781" t="s">
        <v>3</v>
      </c>
      <c r="AJ150" s="1826">
        <v>2012</v>
      </c>
      <c r="AK150" s="1822" t="s">
        <v>63</v>
      </c>
      <c r="AL150" s="1822">
        <v>10</v>
      </c>
      <c r="AM150" s="1823">
        <v>68825847</v>
      </c>
      <c r="AN150" s="1824">
        <v>0.02</v>
      </c>
      <c r="AO150" s="1781"/>
      <c r="AP150" s="1781" t="s">
        <v>0</v>
      </c>
      <c r="AQ150" s="1781" t="s">
        <v>471</v>
      </c>
      <c r="AR150" s="1822" t="s">
        <v>22</v>
      </c>
      <c r="AS150" s="1822">
        <v>8</v>
      </c>
      <c r="AT150" s="1823">
        <v>144106677.22000003</v>
      </c>
      <c r="AU150" s="1825">
        <v>4.7180981270281371E-2</v>
      </c>
      <c r="AV150" s="1781">
        <v>2004</v>
      </c>
      <c r="AW150" s="1671"/>
      <c r="AX150" s="1671"/>
      <c r="AY150" s="1804"/>
      <c r="AZ150" s="1804"/>
      <c r="BA150" s="1804"/>
      <c r="BB150" s="1804"/>
      <c r="BC150" s="1804"/>
      <c r="BD150" s="1804"/>
      <c r="BE150" s="1804"/>
      <c r="BF150" s="1804"/>
      <c r="BG150" s="1804"/>
      <c r="BH150" s="1804"/>
      <c r="BI150" s="1804"/>
      <c r="BJ150" s="1804"/>
      <c r="BK150" s="1804"/>
      <c r="BL150" s="1804"/>
      <c r="BM150" s="1804"/>
      <c r="BN150" s="1804"/>
      <c r="BO150" s="1804"/>
      <c r="BP150" s="1804"/>
      <c r="BQ150" s="1804"/>
      <c r="BR150" s="1804"/>
      <c r="BS150" s="1804"/>
      <c r="BT150" s="1804"/>
      <c r="BU150" s="1804"/>
      <c r="BV150" s="1804"/>
      <c r="BW150" s="1804"/>
      <c r="BX150" s="1804"/>
      <c r="BY150" s="1804"/>
      <c r="BZ150" s="1804"/>
      <c r="CA150" s="1804"/>
      <c r="CB150" s="1804"/>
      <c r="CC150" s="1804"/>
      <c r="CD150" s="1804"/>
      <c r="CE150" s="1804"/>
      <c r="CF150" s="1804"/>
      <c r="CG150" s="1804"/>
      <c r="CH150" s="1804"/>
      <c r="CI150" s="1804"/>
      <c r="CJ150" s="1804"/>
      <c r="CK150" s="1804"/>
      <c r="CL150" s="1804"/>
      <c r="CM150" s="1804"/>
      <c r="CN150" s="1804"/>
      <c r="CO150" s="1804"/>
      <c r="CP150" s="1804"/>
      <c r="CQ150" s="1804"/>
      <c r="CR150" s="1804"/>
      <c r="CS150" s="1804"/>
      <c r="CT150" s="1804"/>
      <c r="CU150" s="1804"/>
      <c r="CV150" s="1804"/>
      <c r="CW150" s="1804"/>
      <c r="CX150" s="1804"/>
      <c r="CY150" s="1804"/>
      <c r="CZ150" s="1804"/>
      <c r="DA150" s="1804"/>
      <c r="DB150" s="1804"/>
      <c r="DC150" s="1804"/>
      <c r="DD150" s="1804"/>
      <c r="DE150" s="1804"/>
      <c r="DF150" s="1804"/>
      <c r="DG150" s="1804"/>
      <c r="DH150" s="1804"/>
      <c r="DI150" s="1804"/>
      <c r="DJ150" s="1804"/>
      <c r="DK150" s="1804"/>
      <c r="DL150" s="1804"/>
      <c r="DM150" s="1804"/>
      <c r="DN150" s="1804"/>
      <c r="DO150" s="1804"/>
      <c r="DP150" s="1804"/>
      <c r="DQ150" s="1671"/>
      <c r="DR150" s="1671"/>
      <c r="DS150" s="1671"/>
      <c r="DT150" s="1671"/>
      <c r="DU150" s="1671"/>
      <c r="DV150" s="1671"/>
      <c r="DW150" s="1671"/>
      <c r="DX150" s="1671"/>
      <c r="DY150" s="1671"/>
      <c r="DZ150" s="1671"/>
      <c r="EA150" s="1740"/>
      <c r="EB150" s="1740"/>
      <c r="EC150" s="1740"/>
      <c r="ED150" s="1740"/>
      <c r="EE150" s="1740"/>
      <c r="EF150" s="1740"/>
      <c r="EG150" s="1740"/>
      <c r="EH150" s="1740"/>
      <c r="EI150" s="1740"/>
      <c r="EJ150" s="1740"/>
      <c r="EK150" s="1740"/>
      <c r="EL150" s="1740"/>
      <c r="EM150" s="1740"/>
      <c r="EN150" s="1740"/>
      <c r="EO150" s="1740"/>
      <c r="EP150" s="1740"/>
      <c r="EQ150" s="1740"/>
      <c r="ER150" s="1740"/>
      <c r="ES150" s="1740"/>
      <c r="ET150" s="1740"/>
      <c r="EU150" s="1740"/>
      <c r="EV150" s="1740"/>
      <c r="EW150" s="1740"/>
      <c r="EX150" s="1740"/>
      <c r="EY150" s="1740"/>
      <c r="EZ150" s="1740"/>
      <c r="FA150" s="1740"/>
      <c r="FB150" s="1740"/>
      <c r="FC150" s="1740"/>
      <c r="FD150" s="1740"/>
      <c r="FE150" s="1740"/>
      <c r="FF150" s="1740"/>
      <c r="FG150" s="1740"/>
      <c r="FH150" s="1740"/>
      <c r="FI150" s="1740"/>
      <c r="FJ150" s="1740"/>
      <c r="FK150" s="1740"/>
      <c r="FL150" s="1740"/>
      <c r="FM150" s="1740"/>
      <c r="FN150" s="1740"/>
      <c r="FO150" s="1740"/>
      <c r="FP150" s="1740"/>
      <c r="FQ150" s="1740"/>
      <c r="FR150" s="1740"/>
      <c r="FS150" s="1740"/>
      <c r="FT150" s="1740"/>
      <c r="FU150" s="1740"/>
      <c r="FV150" s="1740"/>
      <c r="FW150" s="1740"/>
      <c r="FX150" s="1740"/>
      <c r="FY150" s="1740"/>
      <c r="FZ150" s="1740"/>
      <c r="GA150" s="1740"/>
      <c r="GB150" s="1740"/>
      <c r="GC150" s="1740"/>
      <c r="GD150" s="1740"/>
      <c r="GE150" s="1740"/>
      <c r="GF150" s="1740"/>
    </row>
    <row r="151" spans="1:188" s="20" customFormat="1">
      <c r="A151" s="333">
        <f t="shared" si="4"/>
        <v>1982</v>
      </c>
      <c r="B151" s="333">
        <f t="shared" si="5"/>
        <v>4</v>
      </c>
      <c r="C151" s="1174">
        <v>30256</v>
      </c>
      <c r="D151" s="1158"/>
      <c r="E151" s="1159">
        <v>415.20909090909998</v>
      </c>
      <c r="F151" s="1159">
        <v>434.86508927273672</v>
      </c>
      <c r="G151" s="1160"/>
      <c r="H151" s="1161"/>
      <c r="I151" s="1160"/>
      <c r="J151" s="1160"/>
      <c r="K151" s="1677"/>
      <c r="L151" s="1677"/>
      <c r="M151" s="1681"/>
      <c r="N151" s="1162"/>
      <c r="O151" s="1162"/>
      <c r="P151" s="1162"/>
      <c r="Q151" s="1163"/>
      <c r="R151" s="1164"/>
      <c r="S151" s="1164"/>
      <c r="T151" s="1164"/>
      <c r="U151" s="1165"/>
      <c r="V151" s="1166"/>
      <c r="W151" s="1166"/>
      <c r="X151" s="630"/>
      <c r="AA151" s="1915"/>
      <c r="AB151" s="1915"/>
      <c r="AC151" s="1804"/>
      <c r="AD151" s="1804"/>
      <c r="AE151" s="1804"/>
      <c r="AF151" s="1804"/>
      <c r="AG151" s="1804"/>
      <c r="AH151" s="1804"/>
      <c r="AI151" s="1781" t="s">
        <v>3</v>
      </c>
      <c r="AJ151" s="1826">
        <v>2012</v>
      </c>
      <c r="AK151" s="1822" t="s">
        <v>39</v>
      </c>
      <c r="AL151" s="1822"/>
      <c r="AM151" s="1823">
        <v>266306367</v>
      </c>
      <c r="AN151" s="1824">
        <v>7.9000000000000001E-2</v>
      </c>
      <c r="AO151" s="1781"/>
      <c r="AP151" s="1781" t="s">
        <v>0</v>
      </c>
      <c r="AQ151" s="1781" t="s">
        <v>471</v>
      </c>
      <c r="AR151" s="1822" t="s">
        <v>19</v>
      </c>
      <c r="AS151" s="1822">
        <v>9</v>
      </c>
      <c r="AT151" s="1823">
        <v>78530298</v>
      </c>
      <c r="AU151" s="1825">
        <v>2.5711067596341695E-2</v>
      </c>
      <c r="AV151" s="1781">
        <v>2004</v>
      </c>
      <c r="AW151" s="1671"/>
      <c r="AX151" s="1671"/>
      <c r="AY151" s="1804"/>
      <c r="AZ151" s="1804"/>
      <c r="BA151" s="1804"/>
      <c r="BB151" s="1804"/>
      <c r="BC151" s="1804"/>
      <c r="BD151" s="1804"/>
      <c r="BE151" s="1804"/>
      <c r="BF151" s="1804"/>
      <c r="BG151" s="1804"/>
      <c r="BH151" s="1804"/>
      <c r="BI151" s="1804"/>
      <c r="BJ151" s="1804"/>
      <c r="BK151" s="1804"/>
      <c r="BL151" s="1804"/>
      <c r="BM151" s="1804"/>
      <c r="BN151" s="1804"/>
      <c r="BO151" s="1804"/>
      <c r="BP151" s="1804"/>
      <c r="BQ151" s="1804"/>
      <c r="BR151" s="1804"/>
      <c r="BS151" s="1804"/>
      <c r="BT151" s="1804"/>
      <c r="BU151" s="1804"/>
      <c r="BV151" s="1804"/>
      <c r="BW151" s="1804"/>
      <c r="BX151" s="1804"/>
      <c r="BY151" s="1804"/>
      <c r="BZ151" s="1804"/>
      <c r="CA151" s="1804"/>
      <c r="CB151" s="1804"/>
      <c r="CC151" s="1804"/>
      <c r="CD151" s="1804"/>
      <c r="CE151" s="1804"/>
      <c r="CF151" s="1804"/>
      <c r="CG151" s="1804"/>
      <c r="CH151" s="1804"/>
      <c r="CI151" s="1804"/>
      <c r="CJ151" s="1804"/>
      <c r="CK151" s="1804"/>
      <c r="CL151" s="1804"/>
      <c r="CM151" s="1804"/>
      <c r="CN151" s="1804"/>
      <c r="CO151" s="1804"/>
      <c r="CP151" s="1804"/>
      <c r="CQ151" s="1804"/>
      <c r="CR151" s="1804"/>
      <c r="CS151" s="1804"/>
      <c r="CT151" s="1804"/>
      <c r="CU151" s="1804"/>
      <c r="CV151" s="1804"/>
      <c r="CW151" s="1804"/>
      <c r="CX151" s="1804"/>
      <c r="CY151" s="1804"/>
      <c r="CZ151" s="1804"/>
      <c r="DA151" s="1804"/>
      <c r="DB151" s="1804"/>
      <c r="DC151" s="1804"/>
      <c r="DD151" s="1804"/>
      <c r="DE151" s="1804"/>
      <c r="DF151" s="1804"/>
      <c r="DG151" s="1804"/>
      <c r="DH151" s="1804"/>
      <c r="DI151" s="1804"/>
      <c r="DJ151" s="1804"/>
      <c r="DK151" s="1804"/>
      <c r="DL151" s="1804"/>
      <c r="DM151" s="1804"/>
      <c r="DN151" s="1804"/>
      <c r="DO151" s="1804"/>
      <c r="DP151" s="1804"/>
      <c r="DQ151" s="1671"/>
      <c r="DR151" s="1671"/>
      <c r="DS151" s="1671"/>
      <c r="DT151" s="1671"/>
      <c r="DU151" s="1671"/>
      <c r="DV151" s="1671"/>
      <c r="DW151" s="1671"/>
      <c r="DX151" s="1671"/>
      <c r="DY151" s="1671"/>
      <c r="DZ151" s="1671"/>
      <c r="EA151" s="1740"/>
      <c r="EB151" s="1740"/>
      <c r="EC151" s="1740"/>
      <c r="ED151" s="1740"/>
      <c r="EE151" s="1740"/>
      <c r="EF151" s="1740"/>
      <c r="EG151" s="1740"/>
      <c r="EH151" s="1740"/>
      <c r="EI151" s="1740"/>
      <c r="EJ151" s="1740"/>
      <c r="EK151" s="1740"/>
      <c r="EL151" s="1740"/>
      <c r="EM151" s="1740"/>
      <c r="EN151" s="1740"/>
      <c r="EO151" s="1740"/>
      <c r="EP151" s="1740"/>
      <c r="EQ151" s="1740"/>
      <c r="ER151" s="1740"/>
      <c r="ES151" s="1740"/>
      <c r="ET151" s="1740"/>
      <c r="EU151" s="1740"/>
      <c r="EV151" s="1740"/>
      <c r="EW151" s="1740"/>
      <c r="EX151" s="1740"/>
      <c r="EY151" s="1740"/>
      <c r="EZ151" s="1740"/>
      <c r="FA151" s="1740"/>
      <c r="FB151" s="1740"/>
      <c r="FC151" s="1740"/>
      <c r="FD151" s="1740"/>
      <c r="FE151" s="1740"/>
      <c r="FF151" s="1740"/>
      <c r="FG151" s="1740"/>
      <c r="FH151" s="1740"/>
      <c r="FI151" s="1740"/>
      <c r="FJ151" s="1740"/>
      <c r="FK151" s="1740"/>
      <c r="FL151" s="1740"/>
      <c r="FM151" s="1740"/>
      <c r="FN151" s="1740"/>
      <c r="FO151" s="1740"/>
      <c r="FP151" s="1740"/>
      <c r="FQ151" s="1740"/>
      <c r="FR151" s="1740"/>
      <c r="FS151" s="1740"/>
      <c r="FT151" s="1740"/>
      <c r="FU151" s="1740"/>
      <c r="FV151" s="1740"/>
      <c r="FW151" s="1740"/>
      <c r="FX151" s="1740"/>
      <c r="FY151" s="1740"/>
      <c r="FZ151" s="1740"/>
      <c r="GA151" s="1740"/>
      <c r="GB151" s="1740"/>
      <c r="GC151" s="1740"/>
      <c r="GD151" s="1740"/>
      <c r="GE151" s="1740"/>
      <c r="GF151" s="1740"/>
    </row>
    <row r="152" spans="1:188" s="20" customFormat="1">
      <c r="A152" s="333">
        <f t="shared" si="4"/>
        <v>1982</v>
      </c>
      <c r="B152" s="333">
        <f t="shared" si="5"/>
        <v>4</v>
      </c>
      <c r="C152" s="1174">
        <v>30286</v>
      </c>
      <c r="D152" s="1167"/>
      <c r="E152" s="1168">
        <v>444.40135135140002</v>
      </c>
      <c r="F152" s="1168">
        <v>453.19161008113065</v>
      </c>
      <c r="G152" s="1168"/>
      <c r="H152" s="1167"/>
      <c r="I152" s="1168"/>
      <c r="J152" s="1168"/>
      <c r="K152" s="1678"/>
      <c r="L152" s="1678"/>
      <c r="M152" s="1682"/>
      <c r="N152" s="1169"/>
      <c r="O152" s="1169"/>
      <c r="P152" s="1169"/>
      <c r="Q152" s="1167"/>
      <c r="R152" s="1167"/>
      <c r="S152" s="1167"/>
      <c r="T152" s="1167"/>
      <c r="U152" s="1167"/>
      <c r="V152" s="1167"/>
      <c r="W152" s="1167"/>
      <c r="X152" s="630"/>
      <c r="AA152" s="1915"/>
      <c r="AB152" s="1915"/>
      <c r="AC152" s="1804"/>
      <c r="AD152" s="1804"/>
      <c r="AE152" s="1804"/>
      <c r="AF152" s="1804"/>
      <c r="AG152" s="1804"/>
      <c r="AH152" s="1804"/>
      <c r="AI152" s="1781" t="s">
        <v>3</v>
      </c>
      <c r="AJ152" s="1826">
        <v>2012</v>
      </c>
      <c r="AK152" s="1822" t="s">
        <v>386</v>
      </c>
      <c r="AL152" s="1822"/>
      <c r="AM152" s="1823">
        <v>3359726903</v>
      </c>
      <c r="AN152" s="1824"/>
      <c r="AO152" s="1781"/>
      <c r="AP152" s="1781" t="s">
        <v>0</v>
      </c>
      <c r="AQ152" s="1781" t="s">
        <v>471</v>
      </c>
      <c r="AR152" s="1822" t="s">
        <v>39</v>
      </c>
      <c r="AS152" s="1822"/>
      <c r="AT152" s="1823">
        <v>168179538.10999966</v>
      </c>
      <c r="AU152" s="1825">
        <v>5.5062511957712487E-2</v>
      </c>
      <c r="AV152" s="1781">
        <v>2004</v>
      </c>
      <c r="AW152" s="1671"/>
      <c r="AX152" s="1925"/>
      <c r="AY152" s="1804"/>
      <c r="AZ152" s="1804"/>
      <c r="BA152" s="1804"/>
      <c r="BB152" s="1804"/>
      <c r="BC152" s="1804"/>
      <c r="BD152" s="1804"/>
      <c r="BE152" s="1804"/>
      <c r="BF152" s="1804"/>
      <c r="BG152" s="1804"/>
      <c r="BH152" s="1804"/>
      <c r="BI152" s="1804"/>
      <c r="BJ152" s="1804"/>
      <c r="BK152" s="1804"/>
      <c r="BL152" s="1804"/>
      <c r="BM152" s="1804"/>
      <c r="BN152" s="1804"/>
      <c r="BO152" s="1804"/>
      <c r="BP152" s="1804"/>
      <c r="BQ152" s="1804"/>
      <c r="BR152" s="1804"/>
      <c r="BS152" s="1804"/>
      <c r="BT152" s="1804"/>
      <c r="BU152" s="1804"/>
      <c r="BV152" s="1804"/>
      <c r="BW152" s="1804"/>
      <c r="BX152" s="1804"/>
      <c r="BY152" s="1804"/>
      <c r="BZ152" s="1804"/>
      <c r="CA152" s="1804"/>
      <c r="CB152" s="1804"/>
      <c r="CC152" s="1804"/>
      <c r="CD152" s="1804"/>
      <c r="CE152" s="1804"/>
      <c r="CF152" s="1804"/>
      <c r="CG152" s="1804"/>
      <c r="CH152" s="1804"/>
      <c r="CI152" s="1804"/>
      <c r="CJ152" s="1804"/>
      <c r="CK152" s="1804"/>
      <c r="CL152" s="1804"/>
      <c r="CM152" s="1804"/>
      <c r="CN152" s="1804"/>
      <c r="CO152" s="1804"/>
      <c r="CP152" s="1804"/>
      <c r="CQ152" s="1804"/>
      <c r="CR152" s="1804"/>
      <c r="CS152" s="1804"/>
      <c r="CT152" s="1804"/>
      <c r="CU152" s="1804"/>
      <c r="CV152" s="1804"/>
      <c r="CW152" s="1804"/>
      <c r="CX152" s="1804"/>
      <c r="CY152" s="1804"/>
      <c r="CZ152" s="1804"/>
      <c r="DA152" s="1804"/>
      <c r="DB152" s="1804"/>
      <c r="DC152" s="1804"/>
      <c r="DD152" s="1804"/>
      <c r="DE152" s="1804"/>
      <c r="DF152" s="1804"/>
      <c r="DG152" s="1804"/>
      <c r="DH152" s="1804"/>
      <c r="DI152" s="1804"/>
      <c r="DJ152" s="1804"/>
      <c r="DK152" s="1804"/>
      <c r="DL152" s="1804"/>
      <c r="DM152" s="1804"/>
      <c r="DN152" s="1804"/>
      <c r="DO152" s="1804"/>
      <c r="DP152" s="1804"/>
      <c r="DQ152" s="1671"/>
      <c r="DR152" s="1671"/>
      <c r="DS152" s="1671"/>
      <c r="DT152" s="1671"/>
      <c r="DU152" s="1671"/>
      <c r="DV152" s="1671"/>
      <c r="DW152" s="1671"/>
      <c r="DX152" s="1671"/>
      <c r="DY152" s="1671"/>
      <c r="DZ152" s="1671"/>
      <c r="EA152" s="1740"/>
      <c r="EB152" s="1740"/>
      <c r="EC152" s="1740"/>
      <c r="ED152" s="1740"/>
      <c r="EE152" s="1740"/>
      <c r="EF152" s="1740"/>
      <c r="EG152" s="1740"/>
      <c r="EH152" s="1740"/>
      <c r="EI152" s="1740"/>
      <c r="EJ152" s="1740"/>
      <c r="EK152" s="1740"/>
      <c r="EL152" s="1740"/>
      <c r="EM152" s="1740"/>
      <c r="EN152" s="1740"/>
      <c r="EO152" s="1740"/>
      <c r="EP152" s="1740"/>
      <c r="EQ152" s="1740"/>
      <c r="ER152" s="1740"/>
      <c r="ES152" s="1740"/>
      <c r="ET152" s="1740"/>
      <c r="EU152" s="1740"/>
      <c r="EV152" s="1740"/>
      <c r="EW152" s="1740"/>
      <c r="EX152" s="1740"/>
      <c r="EY152" s="1740"/>
      <c r="EZ152" s="1740"/>
      <c r="FA152" s="1740"/>
      <c r="FB152" s="1740"/>
      <c r="FC152" s="1740"/>
      <c r="FD152" s="1740"/>
      <c r="FE152" s="1740"/>
      <c r="FF152" s="1740"/>
      <c r="FG152" s="1740"/>
      <c r="FH152" s="1740"/>
      <c r="FI152" s="1740"/>
      <c r="FJ152" s="1740"/>
      <c r="FK152" s="1740"/>
      <c r="FL152" s="1740"/>
      <c r="FM152" s="1740"/>
      <c r="FN152" s="1740"/>
      <c r="FO152" s="1740"/>
      <c r="FP152" s="1740"/>
      <c r="FQ152" s="1740"/>
      <c r="FR152" s="1740"/>
      <c r="FS152" s="1740"/>
      <c r="FT152" s="1740"/>
      <c r="FU152" s="1740"/>
      <c r="FV152" s="1740"/>
      <c r="FW152" s="1740"/>
      <c r="FX152" s="1740"/>
      <c r="FY152" s="1740"/>
      <c r="FZ152" s="1740"/>
      <c r="GA152" s="1740"/>
      <c r="GB152" s="1740"/>
      <c r="GC152" s="1740"/>
      <c r="GD152" s="1740"/>
      <c r="GE152" s="1740"/>
      <c r="GF152" s="1740"/>
    </row>
    <row r="153" spans="1:188" s="20" customFormat="1">
      <c r="A153" s="333">
        <f t="shared" si="4"/>
        <v>1983</v>
      </c>
      <c r="B153" s="333">
        <f t="shared" si="5"/>
        <v>1</v>
      </c>
      <c r="C153" s="1174">
        <v>30319</v>
      </c>
      <c r="D153" s="1158"/>
      <c r="E153" s="1159">
        <v>482.76249999999999</v>
      </c>
      <c r="F153" s="1159">
        <v>496.77226775000003</v>
      </c>
      <c r="G153" s="1160"/>
      <c r="H153" s="1161"/>
      <c r="I153" s="1160"/>
      <c r="J153" s="1160"/>
      <c r="K153" s="1677"/>
      <c r="L153" s="1677"/>
      <c r="M153" s="1681"/>
      <c r="N153" s="1162"/>
      <c r="O153" s="1162"/>
      <c r="P153" s="1162"/>
      <c r="Q153" s="1163"/>
      <c r="R153" s="1164"/>
      <c r="S153" s="1164"/>
      <c r="T153" s="1164"/>
      <c r="U153" s="1165"/>
      <c r="V153" s="1166"/>
      <c r="W153" s="1166"/>
      <c r="X153" s="630"/>
      <c r="AA153" s="1915"/>
      <c r="AB153" s="1915"/>
      <c r="AC153" s="1804"/>
      <c r="AD153" s="1804"/>
      <c r="AE153" s="1804"/>
      <c r="AF153" s="1804"/>
      <c r="AG153" s="1804"/>
      <c r="AH153" s="1804"/>
      <c r="AI153" s="1781" t="s">
        <v>3</v>
      </c>
      <c r="AJ153" s="1826">
        <v>2011</v>
      </c>
      <c r="AK153" s="1822" t="s">
        <v>18</v>
      </c>
      <c r="AL153" s="1822">
        <v>1</v>
      </c>
      <c r="AM153" s="1823">
        <v>1546788907</v>
      </c>
      <c r="AN153" s="1824">
        <v>0.443</v>
      </c>
      <c r="AO153" s="1781"/>
      <c r="AP153" s="1781" t="s">
        <v>0</v>
      </c>
      <c r="AQ153" s="1781" t="s">
        <v>471</v>
      </c>
      <c r="AR153" s="1822" t="s">
        <v>386</v>
      </c>
      <c r="AS153" s="1822"/>
      <c r="AT153" s="1823">
        <v>3054338280.8100004</v>
      </c>
      <c r="AU153" s="1825"/>
      <c r="AV153" s="1781">
        <v>2004</v>
      </c>
      <c r="AW153" s="1671"/>
      <c r="AX153" s="1671"/>
      <c r="AY153" s="1804"/>
      <c r="AZ153" s="1804"/>
      <c r="BA153" s="1804"/>
      <c r="BB153" s="1804"/>
      <c r="BC153" s="1804"/>
      <c r="BD153" s="1804"/>
      <c r="BE153" s="1804"/>
      <c r="BF153" s="1804"/>
      <c r="BG153" s="1804"/>
      <c r="BH153" s="1804"/>
      <c r="BI153" s="1804"/>
      <c r="BJ153" s="1804"/>
      <c r="BK153" s="1804"/>
      <c r="BL153" s="1804"/>
      <c r="BM153" s="1804"/>
      <c r="BN153" s="1804"/>
      <c r="BO153" s="1804"/>
      <c r="BP153" s="1804"/>
      <c r="BQ153" s="1804"/>
      <c r="BR153" s="1804"/>
      <c r="BS153" s="1804"/>
      <c r="BT153" s="1804"/>
      <c r="BU153" s="1804"/>
      <c r="BV153" s="1804"/>
      <c r="BW153" s="1804"/>
      <c r="BX153" s="1804"/>
      <c r="BY153" s="1804"/>
      <c r="BZ153" s="1804"/>
      <c r="CA153" s="1804"/>
      <c r="CB153" s="1804"/>
      <c r="CC153" s="1804"/>
      <c r="CD153" s="1804"/>
      <c r="CE153" s="1804"/>
      <c r="CF153" s="1804"/>
      <c r="CG153" s="1804"/>
      <c r="CH153" s="1804"/>
      <c r="CI153" s="1804"/>
      <c r="CJ153" s="1804"/>
      <c r="CK153" s="1804"/>
      <c r="CL153" s="1804"/>
      <c r="CM153" s="1804"/>
      <c r="CN153" s="1804"/>
      <c r="CO153" s="1804"/>
      <c r="CP153" s="1804"/>
      <c r="CQ153" s="1804"/>
      <c r="CR153" s="1804"/>
      <c r="CS153" s="1804"/>
      <c r="CT153" s="1804"/>
      <c r="CU153" s="1804"/>
      <c r="CV153" s="1804"/>
      <c r="CW153" s="1804"/>
      <c r="CX153" s="1804"/>
      <c r="CY153" s="1804"/>
      <c r="CZ153" s="1804"/>
      <c r="DA153" s="1804"/>
      <c r="DB153" s="1804"/>
      <c r="DC153" s="1804"/>
      <c r="DD153" s="1804"/>
      <c r="DE153" s="1804"/>
      <c r="DF153" s="1804"/>
      <c r="DG153" s="1804"/>
      <c r="DH153" s="1804"/>
      <c r="DI153" s="1804"/>
      <c r="DJ153" s="1804"/>
      <c r="DK153" s="1804"/>
      <c r="DL153" s="1804"/>
      <c r="DM153" s="1804"/>
      <c r="DN153" s="1804"/>
      <c r="DO153" s="1804"/>
      <c r="DP153" s="1804"/>
      <c r="DQ153" s="1671"/>
      <c r="DR153" s="1671"/>
      <c r="DS153" s="1671"/>
      <c r="DT153" s="1671"/>
      <c r="DU153" s="1671"/>
      <c r="DV153" s="1671"/>
      <c r="DW153" s="1671"/>
      <c r="DX153" s="1671"/>
      <c r="DY153" s="1671"/>
      <c r="DZ153" s="1671"/>
      <c r="EA153" s="1740"/>
      <c r="EB153" s="1740"/>
      <c r="EC153" s="1740"/>
      <c r="ED153" s="1740"/>
      <c r="EE153" s="1740"/>
      <c r="EF153" s="1740"/>
      <c r="EG153" s="1740"/>
      <c r="EH153" s="1740"/>
      <c r="EI153" s="1740"/>
      <c r="EJ153" s="1740"/>
      <c r="EK153" s="1740"/>
      <c r="EL153" s="1740"/>
      <c r="EM153" s="1740"/>
      <c r="EN153" s="1740"/>
      <c r="EO153" s="1740"/>
      <c r="EP153" s="1740"/>
      <c r="EQ153" s="1740"/>
      <c r="ER153" s="1740"/>
      <c r="ES153" s="1740"/>
      <c r="ET153" s="1740"/>
      <c r="EU153" s="1740"/>
      <c r="EV153" s="1740"/>
      <c r="EW153" s="1740"/>
      <c r="EX153" s="1740"/>
      <c r="EY153" s="1740"/>
      <c r="EZ153" s="1740"/>
      <c r="FA153" s="1740"/>
      <c r="FB153" s="1740"/>
      <c r="FC153" s="1740"/>
      <c r="FD153" s="1740"/>
      <c r="FE153" s="1740"/>
      <c r="FF153" s="1740"/>
      <c r="FG153" s="1740"/>
      <c r="FH153" s="1740"/>
      <c r="FI153" s="1740"/>
      <c r="FJ153" s="1740"/>
      <c r="FK153" s="1740"/>
      <c r="FL153" s="1740"/>
      <c r="FM153" s="1740"/>
      <c r="FN153" s="1740"/>
      <c r="FO153" s="1740"/>
      <c r="FP153" s="1740"/>
      <c r="FQ153" s="1740"/>
      <c r="FR153" s="1740"/>
      <c r="FS153" s="1740"/>
      <c r="FT153" s="1740"/>
      <c r="FU153" s="1740"/>
      <c r="FV153" s="1740"/>
      <c r="FW153" s="1740"/>
      <c r="FX153" s="1740"/>
      <c r="FY153" s="1740"/>
      <c r="FZ153" s="1740"/>
      <c r="GA153" s="1740"/>
      <c r="GB153" s="1740"/>
      <c r="GC153" s="1740"/>
      <c r="GD153" s="1740"/>
      <c r="GE153" s="1740"/>
      <c r="GF153" s="1740"/>
    </row>
    <row r="154" spans="1:188" s="20" customFormat="1">
      <c r="A154" s="333">
        <f t="shared" si="4"/>
        <v>1983</v>
      </c>
      <c r="B154" s="333">
        <f t="shared" si="5"/>
        <v>1</v>
      </c>
      <c r="C154" s="1174">
        <v>30348</v>
      </c>
      <c r="D154" s="1167"/>
      <c r="E154" s="1168">
        <v>488.75</v>
      </c>
      <c r="F154" s="1168">
        <v>508.79852500000004</v>
      </c>
      <c r="G154" s="1168"/>
      <c r="H154" s="1167"/>
      <c r="I154" s="1168"/>
      <c r="J154" s="1168"/>
      <c r="K154" s="1678"/>
      <c r="L154" s="1678"/>
      <c r="M154" s="1682"/>
      <c r="N154" s="1169"/>
      <c r="O154" s="1169"/>
      <c r="P154" s="1169"/>
      <c r="Q154" s="1167"/>
      <c r="R154" s="1167"/>
      <c r="S154" s="1167"/>
      <c r="T154" s="1167"/>
      <c r="U154" s="1167"/>
      <c r="V154" s="1167"/>
      <c r="W154" s="1167"/>
      <c r="X154" s="630"/>
      <c r="AA154" s="1915"/>
      <c r="AB154" s="1915"/>
      <c r="AC154" s="1804"/>
      <c r="AD154" s="1804"/>
      <c r="AE154" s="1804"/>
      <c r="AF154" s="1804"/>
      <c r="AG154" s="1804"/>
      <c r="AH154" s="1804"/>
      <c r="AI154" s="1781" t="s">
        <v>3</v>
      </c>
      <c r="AJ154" s="1826">
        <v>2011</v>
      </c>
      <c r="AK154" s="1822" t="s">
        <v>56</v>
      </c>
      <c r="AL154" s="1822">
        <v>2</v>
      </c>
      <c r="AM154" s="1823">
        <v>370151125</v>
      </c>
      <c r="AN154" s="1824">
        <v>0.106</v>
      </c>
      <c r="AO154" s="1781"/>
      <c r="AP154" s="1781" t="s">
        <v>3</v>
      </c>
      <c r="AQ154" s="1781" t="s">
        <v>505</v>
      </c>
      <c r="AR154" s="1822" t="s">
        <v>25</v>
      </c>
      <c r="AS154" s="1822">
        <v>1</v>
      </c>
      <c r="AT154" s="1823">
        <v>770258811</v>
      </c>
      <c r="AU154" s="1825">
        <v>0.40100000000000002</v>
      </c>
      <c r="AV154" s="1781">
        <v>2015</v>
      </c>
      <c r="AW154" s="1671"/>
      <c r="AX154" s="1671"/>
      <c r="AY154" s="1804"/>
      <c r="AZ154" s="1804"/>
      <c r="BA154" s="1804"/>
      <c r="BB154" s="1804"/>
      <c r="BC154" s="1804"/>
      <c r="BD154" s="1804"/>
      <c r="BE154" s="1804"/>
      <c r="BF154" s="1804"/>
      <c r="BG154" s="1804"/>
      <c r="BH154" s="1804"/>
      <c r="BI154" s="1804"/>
      <c r="BJ154" s="1804"/>
      <c r="BK154" s="1804"/>
      <c r="BL154" s="1804"/>
      <c r="BM154" s="1804"/>
      <c r="BN154" s="1804"/>
      <c r="BO154" s="1804"/>
      <c r="BP154" s="1804"/>
      <c r="BQ154" s="1804"/>
      <c r="BR154" s="1804"/>
      <c r="BS154" s="1804"/>
      <c r="BT154" s="1804"/>
      <c r="BU154" s="1804"/>
      <c r="BV154" s="1804"/>
      <c r="BW154" s="1804"/>
      <c r="BX154" s="1804"/>
      <c r="BY154" s="1804"/>
      <c r="BZ154" s="1804"/>
      <c r="CA154" s="1804"/>
      <c r="CB154" s="1804"/>
      <c r="CC154" s="1804"/>
      <c r="CD154" s="1804"/>
      <c r="CE154" s="1804"/>
      <c r="CF154" s="1804"/>
      <c r="CG154" s="1804"/>
      <c r="CH154" s="1804"/>
      <c r="CI154" s="1804"/>
      <c r="CJ154" s="1804"/>
      <c r="CK154" s="1804"/>
      <c r="CL154" s="1804"/>
      <c r="CM154" s="1804"/>
      <c r="CN154" s="1804"/>
      <c r="CO154" s="1804"/>
      <c r="CP154" s="1804"/>
      <c r="CQ154" s="1804"/>
      <c r="CR154" s="1804"/>
      <c r="CS154" s="1804"/>
      <c r="CT154" s="1804"/>
      <c r="CU154" s="1804"/>
      <c r="CV154" s="1804"/>
      <c r="CW154" s="1804"/>
      <c r="CX154" s="1804"/>
      <c r="CY154" s="1804"/>
      <c r="CZ154" s="1804"/>
      <c r="DA154" s="1804"/>
      <c r="DB154" s="1804"/>
      <c r="DC154" s="1804"/>
      <c r="DD154" s="1804"/>
      <c r="DE154" s="1804"/>
      <c r="DF154" s="1804"/>
      <c r="DG154" s="1804"/>
      <c r="DH154" s="1804"/>
      <c r="DI154" s="1804"/>
      <c r="DJ154" s="1804"/>
      <c r="DK154" s="1804"/>
      <c r="DL154" s="1804"/>
      <c r="DM154" s="1804"/>
      <c r="DN154" s="1804"/>
      <c r="DO154" s="1804"/>
      <c r="DP154" s="1804"/>
      <c r="DQ154" s="1671"/>
      <c r="DR154" s="1671"/>
      <c r="DS154" s="1671"/>
      <c r="DT154" s="1671"/>
      <c r="DU154" s="1671"/>
      <c r="DV154" s="1671"/>
      <c r="DW154" s="1671"/>
      <c r="DX154" s="1671"/>
      <c r="DY154" s="1671"/>
      <c r="DZ154" s="1671"/>
      <c r="EA154" s="1740"/>
      <c r="EB154" s="1740"/>
      <c r="EC154" s="1740"/>
      <c r="ED154" s="1740"/>
      <c r="EE154" s="1740"/>
      <c r="EF154" s="1740"/>
      <c r="EG154" s="1740"/>
      <c r="EH154" s="1740"/>
      <c r="EI154" s="1740"/>
      <c r="EJ154" s="1740"/>
      <c r="EK154" s="1740"/>
      <c r="EL154" s="1740"/>
      <c r="EM154" s="1740"/>
      <c r="EN154" s="1740"/>
      <c r="EO154" s="1740"/>
      <c r="EP154" s="1740"/>
      <c r="EQ154" s="1740"/>
      <c r="ER154" s="1740"/>
      <c r="ES154" s="1740"/>
      <c r="ET154" s="1740"/>
      <c r="EU154" s="1740"/>
      <c r="EV154" s="1740"/>
      <c r="EW154" s="1740"/>
      <c r="EX154" s="1740"/>
      <c r="EY154" s="1740"/>
      <c r="EZ154" s="1740"/>
      <c r="FA154" s="1740"/>
      <c r="FB154" s="1740"/>
      <c r="FC154" s="1740"/>
      <c r="FD154" s="1740"/>
      <c r="FE154" s="1740"/>
      <c r="FF154" s="1740"/>
      <c r="FG154" s="1740"/>
      <c r="FH154" s="1740"/>
      <c r="FI154" s="1740"/>
      <c r="FJ154" s="1740"/>
      <c r="FK154" s="1740"/>
      <c r="FL154" s="1740"/>
      <c r="FM154" s="1740"/>
      <c r="FN154" s="1740"/>
      <c r="FO154" s="1740"/>
      <c r="FP154" s="1740"/>
      <c r="FQ154" s="1740"/>
      <c r="FR154" s="1740"/>
      <c r="FS154" s="1740"/>
      <c r="FT154" s="1740"/>
      <c r="FU154" s="1740"/>
      <c r="FV154" s="1740"/>
      <c r="FW154" s="1740"/>
      <c r="FX154" s="1740"/>
      <c r="FY154" s="1740"/>
      <c r="FZ154" s="1740"/>
      <c r="GA154" s="1740"/>
      <c r="GB154" s="1740"/>
      <c r="GC154" s="1740"/>
      <c r="GD154" s="1740"/>
      <c r="GE154" s="1740"/>
      <c r="GF154" s="1740"/>
    </row>
    <row r="155" spans="1:188" s="20" customFormat="1">
      <c r="A155" s="333">
        <f t="shared" si="4"/>
        <v>1983</v>
      </c>
      <c r="B155" s="333">
        <f t="shared" si="5"/>
        <v>1</v>
      </c>
      <c r="C155" s="1174">
        <v>30376</v>
      </c>
      <c r="D155" s="1158"/>
      <c r="E155" s="1159">
        <v>419.9375</v>
      </c>
      <c r="F155" s="1159">
        <v>486.65716999999995</v>
      </c>
      <c r="G155" s="1160"/>
      <c r="H155" s="1161"/>
      <c r="I155" s="1160"/>
      <c r="J155" s="1160"/>
      <c r="K155" s="1677"/>
      <c r="L155" s="1677"/>
      <c r="M155" s="1681"/>
      <c r="N155" s="1162"/>
      <c r="O155" s="1162"/>
      <c r="P155" s="1162"/>
      <c r="Q155" s="1163"/>
      <c r="R155" s="1164"/>
      <c r="S155" s="1164"/>
      <c r="T155" s="1164"/>
      <c r="U155" s="1165"/>
      <c r="V155" s="1166"/>
      <c r="W155" s="1166"/>
      <c r="X155" s="630"/>
      <c r="AA155" s="1915"/>
      <c r="AB155" s="1915"/>
      <c r="AC155" s="1804"/>
      <c r="AD155" s="1804"/>
      <c r="AE155" s="1804"/>
      <c r="AF155" s="1804"/>
      <c r="AG155" s="1804"/>
      <c r="AH155" s="1804"/>
      <c r="AI155" s="1781" t="s">
        <v>3</v>
      </c>
      <c r="AJ155" s="1826">
        <v>2011</v>
      </c>
      <c r="AK155" s="1822" t="s">
        <v>758</v>
      </c>
      <c r="AL155" s="1822">
        <v>3</v>
      </c>
      <c r="AM155" s="1823">
        <v>355981481</v>
      </c>
      <c r="AN155" s="1824">
        <v>0.10199999999999999</v>
      </c>
      <c r="AO155" s="1781"/>
      <c r="AP155" s="1781" t="s">
        <v>3</v>
      </c>
      <c r="AQ155" s="1781" t="s">
        <v>505</v>
      </c>
      <c r="AR155" s="1822" t="s">
        <v>18</v>
      </c>
      <c r="AS155" s="1822">
        <v>2</v>
      </c>
      <c r="AT155" s="1823">
        <v>282551584</v>
      </c>
      <c r="AU155" s="1825">
        <v>0.14699999999999999</v>
      </c>
      <c r="AV155" s="1781">
        <v>2015</v>
      </c>
      <c r="AW155" s="1671"/>
      <c r="AX155" s="1925"/>
      <c r="AY155" s="1804"/>
      <c r="AZ155" s="1804"/>
      <c r="BA155" s="1804"/>
      <c r="BB155" s="1804"/>
      <c r="BC155" s="1804"/>
      <c r="BD155" s="1804"/>
      <c r="BE155" s="1804"/>
      <c r="BF155" s="1804"/>
      <c r="BG155" s="1804"/>
      <c r="BH155" s="1804"/>
      <c r="BI155" s="1804"/>
      <c r="BJ155" s="1804"/>
      <c r="BK155" s="1804"/>
      <c r="BL155" s="1804"/>
      <c r="BM155" s="1804"/>
      <c r="BN155" s="1804"/>
      <c r="BO155" s="1804"/>
      <c r="BP155" s="1804"/>
      <c r="BQ155" s="1804"/>
      <c r="BR155" s="1804"/>
      <c r="BS155" s="1804"/>
      <c r="BT155" s="1804"/>
      <c r="BU155" s="1804"/>
      <c r="BV155" s="1804"/>
      <c r="BW155" s="1804"/>
      <c r="BX155" s="1804"/>
      <c r="BY155" s="1804"/>
      <c r="BZ155" s="1804"/>
      <c r="CA155" s="1804"/>
      <c r="CB155" s="1804"/>
      <c r="CC155" s="1804"/>
      <c r="CD155" s="1804"/>
      <c r="CE155" s="1804"/>
      <c r="CF155" s="1804"/>
      <c r="CG155" s="1804"/>
      <c r="CH155" s="1804"/>
      <c r="CI155" s="1804"/>
      <c r="CJ155" s="1804"/>
      <c r="CK155" s="1804"/>
      <c r="CL155" s="1804"/>
      <c r="CM155" s="1804"/>
      <c r="CN155" s="1804"/>
      <c r="CO155" s="1804"/>
      <c r="CP155" s="1804"/>
      <c r="CQ155" s="1804"/>
      <c r="CR155" s="1804"/>
      <c r="CS155" s="1804"/>
      <c r="CT155" s="1804"/>
      <c r="CU155" s="1804"/>
      <c r="CV155" s="1804"/>
      <c r="CW155" s="1804"/>
      <c r="CX155" s="1804"/>
      <c r="CY155" s="1804"/>
      <c r="CZ155" s="1804"/>
      <c r="DA155" s="1804"/>
      <c r="DB155" s="1804"/>
      <c r="DC155" s="1804"/>
      <c r="DD155" s="1804"/>
      <c r="DE155" s="1804"/>
      <c r="DF155" s="1804"/>
      <c r="DG155" s="1804"/>
      <c r="DH155" s="1804"/>
      <c r="DI155" s="1804"/>
      <c r="DJ155" s="1804"/>
      <c r="DK155" s="1804"/>
      <c r="DL155" s="1804"/>
      <c r="DM155" s="1804"/>
      <c r="DN155" s="1804"/>
      <c r="DO155" s="1804"/>
      <c r="DP155" s="1804"/>
      <c r="DQ155" s="1671"/>
      <c r="DR155" s="1671"/>
      <c r="DS155" s="1671"/>
      <c r="DT155" s="1671"/>
      <c r="DU155" s="1671"/>
      <c r="DV155" s="1671"/>
      <c r="DW155" s="1671"/>
      <c r="DX155" s="1671"/>
      <c r="DY155" s="1671"/>
      <c r="DZ155" s="1671"/>
      <c r="EA155" s="1740"/>
      <c r="EB155" s="1740"/>
      <c r="EC155" s="1740"/>
      <c r="ED155" s="1740"/>
      <c r="EE155" s="1740"/>
      <c r="EF155" s="1740"/>
      <c r="EG155" s="1740"/>
      <c r="EH155" s="1740"/>
      <c r="EI155" s="1740"/>
      <c r="EJ155" s="1740"/>
      <c r="EK155" s="1740"/>
      <c r="EL155" s="1740"/>
      <c r="EM155" s="1740"/>
      <c r="EN155" s="1740"/>
      <c r="EO155" s="1740"/>
      <c r="EP155" s="1740"/>
      <c r="EQ155" s="1740"/>
      <c r="ER155" s="1740"/>
      <c r="ES155" s="1740"/>
      <c r="ET155" s="1740"/>
      <c r="EU155" s="1740"/>
      <c r="EV155" s="1740"/>
      <c r="EW155" s="1740"/>
      <c r="EX155" s="1740"/>
      <c r="EY155" s="1740"/>
      <c r="EZ155" s="1740"/>
      <c r="FA155" s="1740"/>
      <c r="FB155" s="1740"/>
      <c r="FC155" s="1740"/>
      <c r="FD155" s="1740"/>
      <c r="FE155" s="1740"/>
      <c r="FF155" s="1740"/>
      <c r="FG155" s="1740"/>
      <c r="FH155" s="1740"/>
      <c r="FI155" s="1740"/>
      <c r="FJ155" s="1740"/>
      <c r="FK155" s="1740"/>
      <c r="FL155" s="1740"/>
      <c r="FM155" s="1740"/>
      <c r="FN155" s="1740"/>
      <c r="FO155" s="1740"/>
      <c r="FP155" s="1740"/>
      <c r="FQ155" s="1740"/>
      <c r="FR155" s="1740"/>
      <c r="FS155" s="1740"/>
      <c r="FT155" s="1740"/>
      <c r="FU155" s="1740"/>
      <c r="FV155" s="1740"/>
      <c r="FW155" s="1740"/>
      <c r="FX155" s="1740"/>
      <c r="FY155" s="1740"/>
      <c r="FZ155" s="1740"/>
      <c r="GA155" s="1740"/>
      <c r="GB155" s="1740"/>
      <c r="GC155" s="1740"/>
      <c r="GD155" s="1740"/>
      <c r="GE155" s="1740"/>
      <c r="GF155" s="1740"/>
    </row>
    <row r="156" spans="1:188" s="20" customFormat="1">
      <c r="A156" s="333">
        <f t="shared" si="4"/>
        <v>1983</v>
      </c>
      <c r="B156" s="333">
        <f t="shared" si="5"/>
        <v>2</v>
      </c>
      <c r="C156" s="1174">
        <v>30407</v>
      </c>
      <c r="D156" s="1167"/>
      <c r="E156" s="1168">
        <v>432.97972972970001</v>
      </c>
      <c r="F156" s="1168">
        <v>498.82295722969548</v>
      </c>
      <c r="G156" s="1168"/>
      <c r="H156" s="1167"/>
      <c r="I156" s="1168"/>
      <c r="J156" s="1168"/>
      <c r="K156" s="1678"/>
      <c r="L156" s="1678"/>
      <c r="M156" s="1682"/>
      <c r="N156" s="1169"/>
      <c r="O156" s="1169"/>
      <c r="P156" s="1169"/>
      <c r="Q156" s="1167"/>
      <c r="R156" s="1167"/>
      <c r="S156" s="1167"/>
      <c r="T156" s="1167"/>
      <c r="U156" s="1167"/>
      <c r="V156" s="1167"/>
      <c r="W156" s="1167"/>
      <c r="X156" s="630"/>
      <c r="AA156" s="1915"/>
      <c r="AB156" s="1915"/>
      <c r="AC156" s="1804"/>
      <c r="AD156" s="1804"/>
      <c r="AE156" s="1804"/>
      <c r="AF156" s="1804"/>
      <c r="AG156" s="1804"/>
      <c r="AH156" s="1804"/>
      <c r="AI156" s="1781" t="s">
        <v>3</v>
      </c>
      <c r="AJ156" s="1826">
        <v>2011</v>
      </c>
      <c r="AK156" s="1822" t="s">
        <v>23</v>
      </c>
      <c r="AL156" s="1822">
        <v>4</v>
      </c>
      <c r="AM156" s="1823">
        <v>294395995</v>
      </c>
      <c r="AN156" s="1824">
        <v>8.4000000000000005E-2</v>
      </c>
      <c r="AO156" s="1781"/>
      <c r="AP156" s="1781" t="s">
        <v>3</v>
      </c>
      <c r="AQ156" s="1781" t="s">
        <v>505</v>
      </c>
      <c r="AR156" s="1822" t="s">
        <v>61</v>
      </c>
      <c r="AS156" s="1822">
        <v>3</v>
      </c>
      <c r="AT156" s="1823">
        <v>268762708</v>
      </c>
      <c r="AU156" s="1825">
        <v>0.14000000000000001</v>
      </c>
      <c r="AV156" s="1781">
        <v>2015</v>
      </c>
      <c r="AW156" s="1671"/>
      <c r="AX156" s="1671"/>
      <c r="AY156" s="1804"/>
      <c r="AZ156" s="1804"/>
      <c r="BA156" s="1804"/>
      <c r="BB156" s="1804"/>
      <c r="BC156" s="1804"/>
      <c r="BD156" s="1804"/>
      <c r="BE156" s="1804"/>
      <c r="BF156" s="1804"/>
      <c r="BG156" s="1804"/>
      <c r="BH156" s="1804"/>
      <c r="BI156" s="1804"/>
      <c r="BJ156" s="1804"/>
      <c r="BK156" s="1804"/>
      <c r="BL156" s="1804"/>
      <c r="BM156" s="1804"/>
      <c r="BN156" s="1804"/>
      <c r="BO156" s="1804"/>
      <c r="BP156" s="1804"/>
      <c r="BQ156" s="1804"/>
      <c r="BR156" s="1804"/>
      <c r="BS156" s="1804"/>
      <c r="BT156" s="1804"/>
      <c r="BU156" s="1804"/>
      <c r="BV156" s="1804"/>
      <c r="BW156" s="1804"/>
      <c r="BX156" s="1804"/>
      <c r="BY156" s="1804"/>
      <c r="BZ156" s="1804"/>
      <c r="CA156" s="1804"/>
      <c r="CB156" s="1804"/>
      <c r="CC156" s="1804"/>
      <c r="CD156" s="1804"/>
      <c r="CE156" s="1804"/>
      <c r="CF156" s="1804"/>
      <c r="CG156" s="1804"/>
      <c r="CH156" s="1804"/>
      <c r="CI156" s="1804"/>
      <c r="CJ156" s="1804"/>
      <c r="CK156" s="1804"/>
      <c r="CL156" s="1804"/>
      <c r="CM156" s="1804"/>
      <c r="CN156" s="1804"/>
      <c r="CO156" s="1804"/>
      <c r="CP156" s="1804"/>
      <c r="CQ156" s="1804"/>
      <c r="CR156" s="1804"/>
      <c r="CS156" s="1804"/>
      <c r="CT156" s="1804"/>
      <c r="CU156" s="1804"/>
      <c r="CV156" s="1804"/>
      <c r="CW156" s="1804"/>
      <c r="CX156" s="1804"/>
      <c r="CY156" s="1804"/>
      <c r="CZ156" s="1804"/>
      <c r="DA156" s="1804"/>
      <c r="DB156" s="1804"/>
      <c r="DC156" s="1804"/>
      <c r="DD156" s="1804"/>
      <c r="DE156" s="1804"/>
      <c r="DF156" s="1804"/>
      <c r="DG156" s="1804"/>
      <c r="DH156" s="1804"/>
      <c r="DI156" s="1804"/>
      <c r="DJ156" s="1804"/>
      <c r="DK156" s="1804"/>
      <c r="DL156" s="1804"/>
      <c r="DM156" s="1804"/>
      <c r="DN156" s="1804"/>
      <c r="DO156" s="1804"/>
      <c r="DP156" s="1804"/>
      <c r="DQ156" s="1671"/>
      <c r="DR156" s="1671"/>
      <c r="DS156" s="1671"/>
      <c r="DT156" s="1671"/>
      <c r="DU156" s="1671"/>
      <c r="DV156" s="1671"/>
      <c r="DW156" s="1671"/>
      <c r="DX156" s="1671"/>
      <c r="DY156" s="1671"/>
      <c r="DZ156" s="1671"/>
      <c r="EA156" s="1740"/>
      <c r="EB156" s="1740"/>
      <c r="EC156" s="1740"/>
      <c r="ED156" s="1740"/>
      <c r="EE156" s="1740"/>
      <c r="EF156" s="1740"/>
      <c r="EG156" s="1740"/>
      <c r="EH156" s="1740"/>
      <c r="EI156" s="1740"/>
      <c r="EJ156" s="1740"/>
      <c r="EK156" s="1740"/>
      <c r="EL156" s="1740"/>
      <c r="EM156" s="1740"/>
      <c r="EN156" s="1740"/>
      <c r="EO156" s="1740"/>
      <c r="EP156" s="1740"/>
      <c r="EQ156" s="1740"/>
      <c r="ER156" s="1740"/>
      <c r="ES156" s="1740"/>
      <c r="ET156" s="1740"/>
      <c r="EU156" s="1740"/>
      <c r="EV156" s="1740"/>
      <c r="EW156" s="1740"/>
      <c r="EX156" s="1740"/>
      <c r="EY156" s="1740"/>
      <c r="EZ156" s="1740"/>
      <c r="FA156" s="1740"/>
      <c r="FB156" s="1740"/>
      <c r="FC156" s="1740"/>
      <c r="FD156" s="1740"/>
      <c r="FE156" s="1740"/>
      <c r="FF156" s="1740"/>
      <c r="FG156" s="1740"/>
      <c r="FH156" s="1740"/>
      <c r="FI156" s="1740"/>
      <c r="FJ156" s="1740"/>
      <c r="FK156" s="1740"/>
      <c r="FL156" s="1740"/>
      <c r="FM156" s="1740"/>
      <c r="FN156" s="1740"/>
      <c r="FO156" s="1740"/>
      <c r="FP156" s="1740"/>
      <c r="FQ156" s="1740"/>
      <c r="FR156" s="1740"/>
      <c r="FS156" s="1740"/>
      <c r="FT156" s="1740"/>
      <c r="FU156" s="1740"/>
      <c r="FV156" s="1740"/>
      <c r="FW156" s="1740"/>
      <c r="FX156" s="1740"/>
      <c r="FY156" s="1740"/>
      <c r="FZ156" s="1740"/>
      <c r="GA156" s="1740"/>
      <c r="GB156" s="1740"/>
      <c r="GC156" s="1740"/>
      <c r="GD156" s="1740"/>
      <c r="GE156" s="1740"/>
      <c r="GF156" s="1740"/>
    </row>
    <row r="157" spans="1:188" s="20" customFormat="1">
      <c r="A157" s="333">
        <f t="shared" si="4"/>
        <v>1983</v>
      </c>
      <c r="B157" s="333">
        <f t="shared" si="5"/>
        <v>2</v>
      </c>
      <c r="C157" s="1174">
        <v>30438</v>
      </c>
      <c r="D157" s="1158"/>
      <c r="E157" s="1159">
        <v>437.42</v>
      </c>
      <c r="F157" s="1159">
        <v>495.94242180000003</v>
      </c>
      <c r="G157" s="1160"/>
      <c r="H157" s="1161"/>
      <c r="I157" s="1160"/>
      <c r="J157" s="1160"/>
      <c r="K157" s="1677"/>
      <c r="L157" s="1677"/>
      <c r="M157" s="1681"/>
      <c r="N157" s="1162"/>
      <c r="O157" s="1162"/>
      <c r="P157" s="1162"/>
      <c r="Q157" s="1163"/>
      <c r="R157" s="1164"/>
      <c r="S157" s="1164"/>
      <c r="T157" s="1164"/>
      <c r="U157" s="1165"/>
      <c r="V157" s="1166"/>
      <c r="W157" s="1166"/>
      <c r="X157" s="630"/>
      <c r="AA157" s="1915"/>
      <c r="AB157" s="1915"/>
      <c r="AC157" s="1804"/>
      <c r="AD157" s="1804"/>
      <c r="AE157" s="1804"/>
      <c r="AF157" s="1804"/>
      <c r="AG157" s="1804"/>
      <c r="AH157" s="1804"/>
      <c r="AI157" s="1781" t="s">
        <v>3</v>
      </c>
      <c r="AJ157" s="1826">
        <v>2011</v>
      </c>
      <c r="AK157" s="1822" t="s">
        <v>27</v>
      </c>
      <c r="AL157" s="1822">
        <v>5</v>
      </c>
      <c r="AM157" s="1823">
        <v>229338497</v>
      </c>
      <c r="AN157" s="1824">
        <v>6.6000000000000003E-2</v>
      </c>
      <c r="AO157" s="1781"/>
      <c r="AP157" s="1781" t="s">
        <v>3</v>
      </c>
      <c r="AQ157" s="1781" t="s">
        <v>505</v>
      </c>
      <c r="AR157" s="1822" t="s">
        <v>23</v>
      </c>
      <c r="AS157" s="1822">
        <v>4</v>
      </c>
      <c r="AT157" s="1823">
        <v>137936088</v>
      </c>
      <c r="AU157" s="1825">
        <v>7.1999999999999995E-2</v>
      </c>
      <c r="AV157" s="1781">
        <v>2015</v>
      </c>
      <c r="AW157" s="1671"/>
      <c r="AX157" s="1671"/>
      <c r="AY157" s="1804"/>
      <c r="AZ157" s="1804"/>
      <c r="BA157" s="1804"/>
      <c r="BB157" s="1804"/>
      <c r="BC157" s="1804"/>
      <c r="BD157" s="1804"/>
      <c r="BE157" s="1804"/>
      <c r="BF157" s="1804"/>
      <c r="BG157" s="1804"/>
      <c r="BH157" s="1804"/>
      <c r="BI157" s="1804"/>
      <c r="BJ157" s="1804"/>
      <c r="BK157" s="1804"/>
      <c r="BL157" s="1804"/>
      <c r="BM157" s="1804"/>
      <c r="BN157" s="1804"/>
      <c r="BO157" s="1804"/>
      <c r="BP157" s="1804"/>
      <c r="BQ157" s="1804"/>
      <c r="BR157" s="1804"/>
      <c r="BS157" s="1804"/>
      <c r="BT157" s="1804"/>
      <c r="BU157" s="1804"/>
      <c r="BV157" s="1804"/>
      <c r="BW157" s="1804"/>
      <c r="BX157" s="1804"/>
      <c r="BY157" s="1804"/>
      <c r="BZ157" s="1804"/>
      <c r="CA157" s="1804"/>
      <c r="CB157" s="1804"/>
      <c r="CC157" s="1804"/>
      <c r="CD157" s="1804"/>
      <c r="CE157" s="1804"/>
      <c r="CF157" s="1804"/>
      <c r="CG157" s="1804"/>
      <c r="CH157" s="1804"/>
      <c r="CI157" s="1804"/>
      <c r="CJ157" s="1804"/>
      <c r="CK157" s="1804"/>
      <c r="CL157" s="1804"/>
      <c r="CM157" s="1804"/>
      <c r="CN157" s="1804"/>
      <c r="CO157" s="1804"/>
      <c r="CP157" s="1804"/>
      <c r="CQ157" s="1804"/>
      <c r="CR157" s="1804"/>
      <c r="CS157" s="1804"/>
      <c r="CT157" s="1804"/>
      <c r="CU157" s="1804"/>
      <c r="CV157" s="1804"/>
      <c r="CW157" s="1804"/>
      <c r="CX157" s="1804"/>
      <c r="CY157" s="1804"/>
      <c r="CZ157" s="1804"/>
      <c r="DA157" s="1804"/>
      <c r="DB157" s="1804"/>
      <c r="DC157" s="1804"/>
      <c r="DD157" s="1804"/>
      <c r="DE157" s="1804"/>
      <c r="DF157" s="1804"/>
      <c r="DG157" s="1804"/>
      <c r="DH157" s="1804"/>
      <c r="DI157" s="1804"/>
      <c r="DJ157" s="1804"/>
      <c r="DK157" s="1804"/>
      <c r="DL157" s="1804"/>
      <c r="DM157" s="1804"/>
      <c r="DN157" s="1804"/>
      <c r="DO157" s="1804"/>
      <c r="DP157" s="1804"/>
      <c r="DQ157" s="1671"/>
      <c r="DR157" s="1671"/>
      <c r="DS157" s="1671"/>
      <c r="DT157" s="1671"/>
      <c r="DU157" s="1671"/>
      <c r="DV157" s="1671"/>
      <c r="DW157" s="1671"/>
      <c r="DX157" s="1671"/>
      <c r="DY157" s="1671"/>
      <c r="DZ157" s="1671"/>
      <c r="EA157" s="1740"/>
      <c r="EB157" s="1740"/>
      <c r="EC157" s="1740"/>
      <c r="ED157" s="1740"/>
      <c r="EE157" s="1740"/>
      <c r="EF157" s="1740"/>
      <c r="EG157" s="1740"/>
      <c r="EH157" s="1740"/>
      <c r="EI157" s="1740"/>
      <c r="EJ157" s="1740"/>
      <c r="EK157" s="1740"/>
      <c r="EL157" s="1740"/>
      <c r="EM157" s="1740"/>
      <c r="EN157" s="1740"/>
      <c r="EO157" s="1740"/>
      <c r="EP157" s="1740"/>
      <c r="EQ157" s="1740"/>
      <c r="ER157" s="1740"/>
      <c r="ES157" s="1740"/>
      <c r="ET157" s="1740"/>
      <c r="EU157" s="1740"/>
      <c r="EV157" s="1740"/>
      <c r="EW157" s="1740"/>
      <c r="EX157" s="1740"/>
      <c r="EY157" s="1740"/>
      <c r="EZ157" s="1740"/>
      <c r="FA157" s="1740"/>
      <c r="FB157" s="1740"/>
      <c r="FC157" s="1740"/>
      <c r="FD157" s="1740"/>
      <c r="FE157" s="1740"/>
      <c r="FF157" s="1740"/>
      <c r="FG157" s="1740"/>
      <c r="FH157" s="1740"/>
      <c r="FI157" s="1740"/>
      <c r="FJ157" s="1740"/>
      <c r="FK157" s="1740"/>
      <c r="FL157" s="1740"/>
      <c r="FM157" s="1740"/>
      <c r="FN157" s="1740"/>
      <c r="FO157" s="1740"/>
      <c r="FP157" s="1740"/>
      <c r="FQ157" s="1740"/>
      <c r="FR157" s="1740"/>
      <c r="FS157" s="1740"/>
      <c r="FT157" s="1740"/>
      <c r="FU157" s="1740"/>
      <c r="FV157" s="1740"/>
      <c r="FW157" s="1740"/>
      <c r="FX157" s="1740"/>
      <c r="FY157" s="1740"/>
      <c r="FZ157" s="1740"/>
      <c r="GA157" s="1740"/>
      <c r="GB157" s="1740"/>
      <c r="GC157" s="1740"/>
      <c r="GD157" s="1740"/>
      <c r="GE157" s="1740"/>
      <c r="GF157" s="1740"/>
    </row>
    <row r="158" spans="1:188" s="20" customFormat="1">
      <c r="A158" s="333">
        <f t="shared" si="4"/>
        <v>1983</v>
      </c>
      <c r="B158" s="333">
        <f t="shared" si="5"/>
        <v>2</v>
      </c>
      <c r="C158" s="1174">
        <v>30468</v>
      </c>
      <c r="D158" s="1167"/>
      <c r="E158" s="1168">
        <v>412.98295454549998</v>
      </c>
      <c r="F158" s="1168">
        <v>472.25013835232471</v>
      </c>
      <c r="G158" s="1168"/>
      <c r="H158" s="1167"/>
      <c r="I158" s="1168"/>
      <c r="J158" s="1168"/>
      <c r="K158" s="1678"/>
      <c r="L158" s="1678"/>
      <c r="M158" s="1682"/>
      <c r="N158" s="1169"/>
      <c r="O158" s="1169"/>
      <c r="P158" s="1169"/>
      <c r="Q158" s="1167"/>
      <c r="R158" s="1167"/>
      <c r="S158" s="1167"/>
      <c r="T158" s="1167"/>
      <c r="U158" s="1167"/>
      <c r="V158" s="1167"/>
      <c r="W158" s="1167"/>
      <c r="X158" s="630"/>
      <c r="AA158" s="1915"/>
      <c r="AB158" s="1915"/>
      <c r="AC158" s="1804"/>
      <c r="AD158" s="1804"/>
      <c r="AE158" s="1804"/>
      <c r="AF158" s="1804"/>
      <c r="AG158" s="1804"/>
      <c r="AH158" s="1804"/>
      <c r="AI158" s="1781" t="s">
        <v>3</v>
      </c>
      <c r="AJ158" s="1826">
        <v>2011</v>
      </c>
      <c r="AK158" s="1822" t="s">
        <v>57</v>
      </c>
      <c r="AL158" s="1822">
        <v>6</v>
      </c>
      <c r="AM158" s="1823">
        <v>166824008</v>
      </c>
      <c r="AN158" s="1824">
        <v>4.8000000000000001E-2</v>
      </c>
      <c r="AO158" s="1781"/>
      <c r="AP158" s="1781" t="s">
        <v>3</v>
      </c>
      <c r="AQ158" s="1781" t="s">
        <v>505</v>
      </c>
      <c r="AR158" s="1822" t="s">
        <v>537</v>
      </c>
      <c r="AS158" s="1822">
        <v>5</v>
      </c>
      <c r="AT158" s="1823">
        <v>129754630</v>
      </c>
      <c r="AU158" s="1825">
        <v>6.8000000000000005E-2</v>
      </c>
      <c r="AV158" s="1781">
        <v>2015</v>
      </c>
      <c r="AW158" s="1671"/>
      <c r="AX158" s="1925"/>
      <c r="AY158" s="1804"/>
      <c r="AZ158" s="1804"/>
      <c r="BA158" s="1804"/>
      <c r="BB158" s="1804"/>
      <c r="BC158" s="1804"/>
      <c r="BD158" s="1804"/>
      <c r="BE158" s="1804"/>
      <c r="BF158" s="1804"/>
      <c r="BG158" s="1804"/>
      <c r="BH158" s="1804"/>
      <c r="BI158" s="1804"/>
      <c r="BJ158" s="1804"/>
      <c r="BK158" s="1804"/>
      <c r="BL158" s="1804"/>
      <c r="BM158" s="1804"/>
      <c r="BN158" s="1804"/>
      <c r="BO158" s="1804"/>
      <c r="BP158" s="1804"/>
      <c r="BQ158" s="1804"/>
      <c r="BR158" s="1804"/>
      <c r="BS158" s="1804"/>
      <c r="BT158" s="1804"/>
      <c r="BU158" s="1804"/>
      <c r="BV158" s="1804"/>
      <c r="BW158" s="1804"/>
      <c r="BX158" s="1804"/>
      <c r="BY158" s="1804"/>
      <c r="BZ158" s="1804"/>
      <c r="CA158" s="1804"/>
      <c r="CB158" s="1804"/>
      <c r="CC158" s="1804"/>
      <c r="CD158" s="1804"/>
      <c r="CE158" s="1804"/>
      <c r="CF158" s="1804"/>
      <c r="CG158" s="1804"/>
      <c r="CH158" s="1804"/>
      <c r="CI158" s="1804"/>
      <c r="CJ158" s="1804"/>
      <c r="CK158" s="1804"/>
      <c r="CL158" s="1804"/>
      <c r="CM158" s="1804"/>
      <c r="CN158" s="1804"/>
      <c r="CO158" s="1804"/>
      <c r="CP158" s="1804"/>
      <c r="CQ158" s="1804"/>
      <c r="CR158" s="1804"/>
      <c r="CS158" s="1804"/>
      <c r="CT158" s="1804"/>
      <c r="CU158" s="1804"/>
      <c r="CV158" s="1804"/>
      <c r="CW158" s="1804"/>
      <c r="CX158" s="1804"/>
      <c r="CY158" s="1804"/>
      <c r="CZ158" s="1804"/>
      <c r="DA158" s="1804"/>
      <c r="DB158" s="1804"/>
      <c r="DC158" s="1804"/>
      <c r="DD158" s="1804"/>
      <c r="DE158" s="1804"/>
      <c r="DF158" s="1804"/>
      <c r="DG158" s="1804"/>
      <c r="DH158" s="1804"/>
      <c r="DI158" s="1804"/>
      <c r="DJ158" s="1804"/>
      <c r="DK158" s="1804"/>
      <c r="DL158" s="1804"/>
      <c r="DM158" s="1804"/>
      <c r="DN158" s="1804"/>
      <c r="DO158" s="1804"/>
      <c r="DP158" s="1804"/>
      <c r="DQ158" s="1671"/>
      <c r="DR158" s="1671"/>
      <c r="DS158" s="1671"/>
      <c r="DT158" s="1671"/>
      <c r="DU158" s="1671"/>
      <c r="DV158" s="1671"/>
      <c r="DW158" s="1671"/>
      <c r="DX158" s="1671"/>
      <c r="DY158" s="1671"/>
      <c r="DZ158" s="1671"/>
      <c r="EA158" s="1740"/>
      <c r="EB158" s="1740"/>
      <c r="EC158" s="1740"/>
      <c r="ED158" s="1740"/>
      <c r="EE158" s="1740"/>
      <c r="EF158" s="1740"/>
      <c r="EG158" s="1740"/>
      <c r="EH158" s="1740"/>
      <c r="EI158" s="1740"/>
      <c r="EJ158" s="1740"/>
      <c r="EK158" s="1740"/>
      <c r="EL158" s="1740"/>
      <c r="EM158" s="1740"/>
      <c r="EN158" s="1740"/>
      <c r="EO158" s="1740"/>
      <c r="EP158" s="1740"/>
      <c r="EQ158" s="1740"/>
      <c r="ER158" s="1740"/>
      <c r="ES158" s="1740"/>
      <c r="ET158" s="1740"/>
      <c r="EU158" s="1740"/>
      <c r="EV158" s="1740"/>
      <c r="EW158" s="1740"/>
      <c r="EX158" s="1740"/>
      <c r="EY158" s="1740"/>
      <c r="EZ158" s="1740"/>
      <c r="FA158" s="1740"/>
      <c r="FB158" s="1740"/>
      <c r="FC158" s="1740"/>
      <c r="FD158" s="1740"/>
      <c r="FE158" s="1740"/>
      <c r="FF158" s="1740"/>
      <c r="FG158" s="1740"/>
      <c r="FH158" s="1740"/>
      <c r="FI158" s="1740"/>
      <c r="FJ158" s="1740"/>
      <c r="FK158" s="1740"/>
      <c r="FL158" s="1740"/>
      <c r="FM158" s="1740"/>
      <c r="FN158" s="1740"/>
      <c r="FO158" s="1740"/>
      <c r="FP158" s="1740"/>
      <c r="FQ158" s="1740"/>
      <c r="FR158" s="1740"/>
      <c r="FS158" s="1740"/>
      <c r="FT158" s="1740"/>
      <c r="FU158" s="1740"/>
      <c r="FV158" s="1740"/>
      <c r="FW158" s="1740"/>
      <c r="FX158" s="1740"/>
      <c r="FY158" s="1740"/>
      <c r="FZ158" s="1740"/>
      <c r="GA158" s="1740"/>
      <c r="GB158" s="1740"/>
      <c r="GC158" s="1740"/>
      <c r="GD158" s="1740"/>
      <c r="GE158" s="1740"/>
      <c r="GF158" s="1740"/>
    </row>
    <row r="159" spans="1:188">
      <c r="A159" s="333">
        <f t="shared" si="4"/>
        <v>1983</v>
      </c>
      <c r="B159" s="333">
        <f t="shared" si="5"/>
        <v>3</v>
      </c>
      <c r="C159" s="1175">
        <v>30498</v>
      </c>
      <c r="D159" s="1158"/>
      <c r="E159" s="1159">
        <v>483.1</v>
      </c>
      <c r="F159" s="1159">
        <v>422.8</v>
      </c>
      <c r="G159" s="1160"/>
      <c r="H159" s="1161"/>
      <c r="I159" s="1160"/>
      <c r="J159" s="1160"/>
      <c r="K159" s="1677">
        <v>4358.76</v>
      </c>
      <c r="L159" s="1677">
        <v>4984.2905788876296</v>
      </c>
      <c r="M159" s="1681"/>
      <c r="N159" s="1162"/>
      <c r="O159" s="1162"/>
      <c r="P159" s="1162"/>
      <c r="Q159" s="1163"/>
      <c r="R159" s="1164"/>
      <c r="S159" s="1164"/>
      <c r="T159" s="1164"/>
      <c r="U159" s="1165"/>
      <c r="V159" s="1166"/>
      <c r="W159" s="1166"/>
      <c r="X159" s="344"/>
      <c r="AI159" s="1781" t="s">
        <v>3</v>
      </c>
      <c r="AJ159" s="1826">
        <v>2011</v>
      </c>
      <c r="AK159" s="1822" t="s">
        <v>54</v>
      </c>
      <c r="AL159" s="1822">
        <v>7</v>
      </c>
      <c r="AM159" s="1823">
        <v>124864739</v>
      </c>
      <c r="AN159" s="1824">
        <v>3.5999999999999997E-2</v>
      </c>
      <c r="AP159" s="1781" t="s">
        <v>3</v>
      </c>
      <c r="AQ159" s="1781" t="s">
        <v>505</v>
      </c>
      <c r="AR159" s="1822" t="s">
        <v>758</v>
      </c>
      <c r="AS159" s="1822">
        <v>6</v>
      </c>
      <c r="AT159" s="1823">
        <v>76167101</v>
      </c>
      <c r="AU159" s="1825">
        <v>0.04</v>
      </c>
      <c r="AV159" s="1781">
        <v>2015</v>
      </c>
      <c r="EA159" s="1740"/>
      <c r="EB159" s="1740"/>
      <c r="EC159" s="1740"/>
      <c r="ED159" s="1740"/>
      <c r="EE159" s="1740"/>
      <c r="EF159" s="1740"/>
      <c r="EG159" s="1740"/>
      <c r="EH159" s="1740"/>
      <c r="EI159" s="1740"/>
      <c r="EJ159" s="1740"/>
      <c r="EK159" s="1740"/>
      <c r="EL159" s="1740"/>
      <c r="EM159" s="1740"/>
      <c r="EN159" s="1740"/>
      <c r="EO159" s="1740"/>
      <c r="EP159" s="1740"/>
      <c r="EQ159" s="1740"/>
      <c r="ER159" s="1740"/>
      <c r="ES159" s="1740"/>
      <c r="ET159" s="1740"/>
      <c r="EU159" s="1740"/>
      <c r="EV159" s="1740"/>
      <c r="EW159" s="1740"/>
      <c r="EX159" s="1740"/>
      <c r="EY159" s="1740"/>
      <c r="EZ159" s="1740"/>
      <c r="FA159" s="1740"/>
      <c r="FB159" s="1740"/>
      <c r="FC159" s="1740"/>
      <c r="FD159" s="1740"/>
      <c r="FE159" s="1740"/>
      <c r="FF159" s="1740"/>
      <c r="FG159" s="1740"/>
      <c r="FH159" s="1740"/>
      <c r="FI159" s="1740"/>
      <c r="FJ159" s="1740"/>
      <c r="FK159" s="1740"/>
      <c r="FL159" s="1740"/>
      <c r="FM159" s="1740"/>
      <c r="FN159" s="1740"/>
      <c r="FO159" s="1740"/>
      <c r="FP159" s="1740"/>
      <c r="FQ159" s="1740"/>
      <c r="FR159" s="1740"/>
      <c r="FS159" s="1740"/>
      <c r="FT159" s="1740"/>
      <c r="FU159" s="1740"/>
      <c r="FV159" s="1740"/>
      <c r="FW159" s="1740"/>
      <c r="FX159" s="1740"/>
      <c r="FY159" s="1740"/>
      <c r="FZ159" s="1740"/>
      <c r="GA159" s="1740"/>
      <c r="GB159" s="1740"/>
      <c r="GC159" s="1740"/>
      <c r="GD159" s="1740"/>
      <c r="GE159" s="1740"/>
      <c r="GF159" s="1740"/>
    </row>
    <row r="160" spans="1:188">
      <c r="A160" s="333">
        <f t="shared" si="4"/>
        <v>1983</v>
      </c>
      <c r="B160" s="333">
        <f t="shared" si="5"/>
        <v>3</v>
      </c>
      <c r="C160" s="1175">
        <v>30529</v>
      </c>
      <c r="D160" s="1167"/>
      <c r="E160" s="1168">
        <v>473.6</v>
      </c>
      <c r="F160" s="1168">
        <v>417</v>
      </c>
      <c r="G160" s="1168"/>
      <c r="H160" s="1167"/>
      <c r="I160" s="1168"/>
      <c r="J160" s="1168"/>
      <c r="K160" s="1678">
        <v>4391.16</v>
      </c>
      <c r="L160" s="1678">
        <v>4777.2680705748398</v>
      </c>
      <c r="M160" s="1682"/>
      <c r="N160" s="1169"/>
      <c r="O160" s="1169"/>
      <c r="P160" s="1169"/>
      <c r="Q160" s="1167"/>
      <c r="R160" s="1167"/>
      <c r="S160" s="1167"/>
      <c r="T160" s="1167"/>
      <c r="U160" s="1167"/>
      <c r="V160" s="1167"/>
      <c r="W160" s="1167"/>
      <c r="X160" s="344"/>
      <c r="AI160" s="1781" t="s">
        <v>3</v>
      </c>
      <c r="AJ160" s="1826">
        <v>2011</v>
      </c>
      <c r="AK160" s="1822" t="s">
        <v>60</v>
      </c>
      <c r="AL160" s="1822">
        <v>8</v>
      </c>
      <c r="AM160" s="1823">
        <v>79939604</v>
      </c>
      <c r="AN160" s="1824">
        <v>2.3E-2</v>
      </c>
      <c r="AP160" s="1781" t="s">
        <v>3</v>
      </c>
      <c r="AQ160" s="1781" t="s">
        <v>505</v>
      </c>
      <c r="AR160" s="1822" t="s">
        <v>57</v>
      </c>
      <c r="AS160" s="1822">
        <v>7</v>
      </c>
      <c r="AT160" s="1823">
        <v>67422692</v>
      </c>
      <c r="AU160" s="1825">
        <v>3.5000000000000003E-2</v>
      </c>
      <c r="AV160" s="1781">
        <v>2015</v>
      </c>
      <c r="EA160" s="1740"/>
      <c r="EB160" s="1740"/>
      <c r="EC160" s="1740"/>
      <c r="ED160" s="1740"/>
      <c r="EE160" s="1740"/>
      <c r="EF160" s="1740"/>
      <c r="EG160" s="1740"/>
      <c r="EH160" s="1740"/>
      <c r="EI160" s="1740"/>
      <c r="EJ160" s="1740"/>
      <c r="EK160" s="1740"/>
      <c r="EL160" s="1740"/>
      <c r="EM160" s="1740"/>
      <c r="EN160" s="1740"/>
      <c r="EO160" s="1740"/>
      <c r="EP160" s="1740"/>
      <c r="EQ160" s="1740"/>
      <c r="ER160" s="1740"/>
      <c r="ES160" s="1740"/>
      <c r="ET160" s="1740"/>
      <c r="EU160" s="1740"/>
      <c r="EV160" s="1740"/>
      <c r="EW160" s="1740"/>
      <c r="EX160" s="1740"/>
      <c r="EY160" s="1740"/>
      <c r="EZ160" s="1740"/>
      <c r="FA160" s="1740"/>
      <c r="FB160" s="1740"/>
      <c r="FC160" s="1740"/>
      <c r="FD160" s="1740"/>
      <c r="FE160" s="1740"/>
      <c r="FF160" s="1740"/>
      <c r="FG160" s="1740"/>
      <c r="FH160" s="1740"/>
      <c r="FI160" s="1740"/>
      <c r="FJ160" s="1740"/>
      <c r="FK160" s="1740"/>
      <c r="FL160" s="1740"/>
      <c r="FM160" s="1740"/>
      <c r="FN160" s="1740"/>
      <c r="FO160" s="1740"/>
      <c r="FP160" s="1740"/>
      <c r="FQ160" s="1740"/>
      <c r="FR160" s="1740"/>
      <c r="FS160" s="1740"/>
      <c r="FT160" s="1740"/>
      <c r="FU160" s="1740"/>
      <c r="FV160" s="1740"/>
      <c r="FW160" s="1740"/>
      <c r="FX160" s="1740"/>
      <c r="FY160" s="1740"/>
      <c r="FZ160" s="1740"/>
      <c r="GA160" s="1740"/>
      <c r="GB160" s="1740"/>
      <c r="GC160" s="1740"/>
      <c r="GD160" s="1740"/>
      <c r="GE160" s="1740"/>
      <c r="GF160" s="1740"/>
    </row>
    <row r="161" spans="1:188">
      <c r="A161" s="333">
        <f t="shared" si="4"/>
        <v>1983</v>
      </c>
      <c r="B161" s="333">
        <f t="shared" si="5"/>
        <v>3</v>
      </c>
      <c r="C161" s="1175">
        <v>30560</v>
      </c>
      <c r="D161" s="1158"/>
      <c r="E161" s="1159">
        <v>465.3</v>
      </c>
      <c r="F161" s="1159">
        <v>412.6</v>
      </c>
      <c r="G161" s="1160"/>
      <c r="H161" s="1161"/>
      <c r="I161" s="1160"/>
      <c r="J161" s="1160"/>
      <c r="K161" s="1677">
        <v>4196.83</v>
      </c>
      <c r="L161" s="1677">
        <v>4470.8756274400403</v>
      </c>
      <c r="M161" s="1681"/>
      <c r="N161" s="1162"/>
      <c r="O161" s="1162"/>
      <c r="P161" s="1162"/>
      <c r="Q161" s="1163"/>
      <c r="R161" s="1164"/>
      <c r="S161" s="1164"/>
      <c r="T161" s="1164"/>
      <c r="U161" s="1165"/>
      <c r="V161" s="1166"/>
      <c r="W161" s="1166"/>
      <c r="X161" s="344"/>
      <c r="AI161" s="1781" t="s">
        <v>3</v>
      </c>
      <c r="AJ161" s="1826">
        <v>2011</v>
      </c>
      <c r="AK161" s="1822" t="s">
        <v>21</v>
      </c>
      <c r="AL161" s="1822">
        <v>9</v>
      </c>
      <c r="AM161" s="1823">
        <v>75065810</v>
      </c>
      <c r="AN161" s="1824">
        <v>2.1000000000000001E-2</v>
      </c>
      <c r="AP161" s="1781" t="s">
        <v>3</v>
      </c>
      <c r="AQ161" s="1781" t="s">
        <v>505</v>
      </c>
      <c r="AR161" s="1822" t="s">
        <v>27</v>
      </c>
      <c r="AS161" s="1822">
        <v>8</v>
      </c>
      <c r="AT161" s="1823">
        <v>49680699</v>
      </c>
      <c r="AU161" s="1825">
        <v>2.5999999999999999E-2</v>
      </c>
      <c r="AV161" s="1781">
        <v>2015</v>
      </c>
      <c r="AX161" s="1925"/>
      <c r="EA161" s="1740"/>
      <c r="EB161" s="1740"/>
      <c r="EC161" s="1740"/>
      <c r="ED161" s="1740"/>
      <c r="EE161" s="1740"/>
      <c r="EF161" s="1740"/>
      <c r="EG161" s="1740"/>
      <c r="EH161" s="1740"/>
      <c r="EI161" s="1740"/>
      <c r="EJ161" s="1740"/>
      <c r="EK161" s="1740"/>
      <c r="EL161" s="1740"/>
      <c r="EM161" s="1740"/>
      <c r="EN161" s="1740"/>
      <c r="EO161" s="1740"/>
      <c r="EP161" s="1740"/>
      <c r="EQ161" s="1740"/>
      <c r="ER161" s="1740"/>
      <c r="ES161" s="1740"/>
      <c r="ET161" s="1740"/>
      <c r="EU161" s="1740"/>
      <c r="EV161" s="1740"/>
      <c r="EW161" s="1740"/>
      <c r="EX161" s="1740"/>
      <c r="EY161" s="1740"/>
      <c r="EZ161" s="1740"/>
      <c r="FA161" s="1740"/>
      <c r="FB161" s="1740"/>
      <c r="FC161" s="1740"/>
      <c r="FD161" s="1740"/>
      <c r="FE161" s="1740"/>
      <c r="FF161" s="1740"/>
      <c r="FG161" s="1740"/>
      <c r="FH161" s="1740"/>
      <c r="FI161" s="1740"/>
      <c r="FJ161" s="1740"/>
      <c r="FK161" s="1740"/>
      <c r="FL161" s="1740"/>
      <c r="FM161" s="1740"/>
      <c r="FN161" s="1740"/>
      <c r="FO161" s="1740"/>
      <c r="FP161" s="1740"/>
      <c r="FQ161" s="1740"/>
      <c r="FR161" s="1740"/>
      <c r="FS161" s="1740"/>
      <c r="FT161" s="1740"/>
      <c r="FU161" s="1740"/>
      <c r="FV161" s="1740"/>
      <c r="FW161" s="1740"/>
      <c r="FX161" s="1740"/>
      <c r="FY161" s="1740"/>
      <c r="FZ161" s="1740"/>
      <c r="GA161" s="1740"/>
      <c r="GB161" s="1740"/>
      <c r="GC161" s="1740"/>
      <c r="GD161" s="1740"/>
      <c r="GE161" s="1740"/>
      <c r="GF161" s="1740"/>
    </row>
    <row r="162" spans="1:188">
      <c r="A162" s="333">
        <f t="shared" si="4"/>
        <v>1983</v>
      </c>
      <c r="B162" s="333">
        <f t="shared" si="5"/>
        <v>4</v>
      </c>
      <c r="C162" s="1175">
        <v>30590</v>
      </c>
      <c r="D162" s="1167"/>
      <c r="E162" s="1168">
        <v>431.15</v>
      </c>
      <c r="F162" s="1168">
        <v>394.2</v>
      </c>
      <c r="G162" s="1168"/>
      <c r="H162" s="1167"/>
      <c r="I162" s="1168"/>
      <c r="J162" s="1168"/>
      <c r="K162" s="1678">
        <v>4008.14</v>
      </c>
      <c r="L162" s="1678">
        <v>4258.6681222707402</v>
      </c>
      <c r="M162" s="1682"/>
      <c r="N162" s="1169"/>
      <c r="O162" s="1169"/>
      <c r="P162" s="1169"/>
      <c r="Q162" s="1167"/>
      <c r="R162" s="1167"/>
      <c r="S162" s="1167"/>
      <c r="T162" s="1167"/>
      <c r="U162" s="1167"/>
      <c r="V162" s="1167"/>
      <c r="W162" s="1167"/>
      <c r="X162" s="344"/>
      <c r="AI162" s="1781" t="s">
        <v>3</v>
      </c>
      <c r="AJ162" s="1826">
        <v>2011</v>
      </c>
      <c r="AK162" s="1822" t="s">
        <v>24</v>
      </c>
      <c r="AL162" s="1822">
        <v>10</v>
      </c>
      <c r="AM162" s="1823">
        <v>66690878</v>
      </c>
      <c r="AN162" s="1824">
        <v>1.9E-2</v>
      </c>
      <c r="AP162" s="1781" t="s">
        <v>3</v>
      </c>
      <c r="AQ162" s="1781" t="s">
        <v>505</v>
      </c>
      <c r="AR162" s="1822" t="s">
        <v>63</v>
      </c>
      <c r="AS162" s="1822">
        <v>9</v>
      </c>
      <c r="AT162" s="1823">
        <v>27154998</v>
      </c>
      <c r="AU162" s="1825">
        <v>1.4E-2</v>
      </c>
      <c r="AV162" s="1781">
        <v>2015</v>
      </c>
      <c r="EA162" s="1740"/>
      <c r="EB162" s="1740"/>
      <c r="EC162" s="1740"/>
      <c r="ED162" s="1740"/>
      <c r="EE162" s="1740"/>
      <c r="EF162" s="1740"/>
      <c r="EG162" s="1740"/>
      <c r="EH162" s="1740"/>
      <c r="EI162" s="1740"/>
      <c r="EJ162" s="1740"/>
      <c r="EK162" s="1740"/>
      <c r="EL162" s="1740"/>
      <c r="EM162" s="1740"/>
      <c r="EN162" s="1740"/>
      <c r="EO162" s="1740"/>
      <c r="EP162" s="1740"/>
      <c r="EQ162" s="1740"/>
      <c r="ER162" s="1740"/>
      <c r="ES162" s="1740"/>
      <c r="ET162" s="1740"/>
      <c r="EU162" s="1740"/>
      <c r="EV162" s="1740"/>
      <c r="EW162" s="1740"/>
      <c r="EX162" s="1740"/>
      <c r="EY162" s="1740"/>
      <c r="EZ162" s="1740"/>
      <c r="FA162" s="1740"/>
      <c r="FB162" s="1740"/>
      <c r="FC162" s="1740"/>
      <c r="FD162" s="1740"/>
      <c r="FE162" s="1740"/>
      <c r="FF162" s="1740"/>
      <c r="FG162" s="1740"/>
      <c r="FH162" s="1740"/>
      <c r="FI162" s="1740"/>
      <c r="FJ162" s="1740"/>
      <c r="FK162" s="1740"/>
      <c r="FL162" s="1740"/>
      <c r="FM162" s="1740"/>
      <c r="FN162" s="1740"/>
      <c r="FO162" s="1740"/>
      <c r="FP162" s="1740"/>
      <c r="FQ162" s="1740"/>
      <c r="FR162" s="1740"/>
      <c r="FS162" s="1740"/>
      <c r="FT162" s="1740"/>
      <c r="FU162" s="1740"/>
      <c r="FV162" s="1740"/>
      <c r="FW162" s="1740"/>
      <c r="FX162" s="1740"/>
      <c r="FY162" s="1740"/>
      <c r="FZ162" s="1740"/>
      <c r="GA162" s="1740"/>
      <c r="GB162" s="1740"/>
      <c r="GC162" s="1740"/>
      <c r="GD162" s="1740"/>
      <c r="GE162" s="1740"/>
      <c r="GF162" s="1740"/>
    </row>
    <row r="163" spans="1:188">
      <c r="A163" s="333">
        <f t="shared" si="4"/>
        <v>1983</v>
      </c>
      <c r="B163" s="333">
        <f t="shared" si="5"/>
        <v>4</v>
      </c>
      <c r="C163" s="1175">
        <v>30621</v>
      </c>
      <c r="D163" s="1158"/>
      <c r="E163" s="1159">
        <v>415.6</v>
      </c>
      <c r="F163" s="1159">
        <v>380</v>
      </c>
      <c r="G163" s="1160"/>
      <c r="H163" s="1161"/>
      <c r="I163" s="1160"/>
      <c r="J163" s="1160"/>
      <c r="K163" s="1677">
        <v>3900.94</v>
      </c>
      <c r="L163" s="1677">
        <v>3797.0201577563498</v>
      </c>
      <c r="M163" s="1681"/>
      <c r="N163" s="1162"/>
      <c r="O163" s="1162"/>
      <c r="P163" s="1162"/>
      <c r="Q163" s="1163"/>
      <c r="R163" s="1164"/>
      <c r="S163" s="1164"/>
      <c r="T163" s="1164"/>
      <c r="U163" s="1165"/>
      <c r="V163" s="1166"/>
      <c r="W163" s="1166"/>
      <c r="X163" s="344"/>
      <c r="AI163" s="1781" t="s">
        <v>3</v>
      </c>
      <c r="AJ163" s="1826">
        <v>2011</v>
      </c>
      <c r="AK163" s="1822" t="s">
        <v>39</v>
      </c>
      <c r="AL163" s="1822"/>
      <c r="AM163" s="1823">
        <v>182269418</v>
      </c>
      <c r="AN163" s="1824">
        <v>5.1999999999999998E-2</v>
      </c>
      <c r="AP163" s="1781" t="s">
        <v>3</v>
      </c>
      <c r="AQ163" s="1781" t="s">
        <v>505</v>
      </c>
      <c r="AR163" s="1822" t="s">
        <v>24</v>
      </c>
      <c r="AS163" s="1822">
        <v>10</v>
      </c>
      <c r="AT163" s="1823">
        <v>23624732</v>
      </c>
      <c r="AU163" s="1825">
        <v>1.2E-2</v>
      </c>
      <c r="AV163" s="1781">
        <v>2015</v>
      </c>
      <c r="EA163" s="1740"/>
      <c r="EB163" s="1740"/>
      <c r="EC163" s="1740"/>
      <c r="ED163" s="1740"/>
      <c r="EE163" s="1740"/>
      <c r="EF163" s="1740"/>
      <c r="EG163" s="1740"/>
      <c r="EH163" s="1740"/>
      <c r="EI163" s="1740"/>
      <c r="EJ163" s="1740"/>
      <c r="EK163" s="1740"/>
      <c r="EL163" s="1740"/>
      <c r="EM163" s="1740"/>
      <c r="EN163" s="1740"/>
      <c r="EO163" s="1740"/>
      <c r="EP163" s="1740"/>
      <c r="EQ163" s="1740"/>
      <c r="ER163" s="1740"/>
      <c r="ES163" s="1740"/>
      <c r="ET163" s="1740"/>
      <c r="EU163" s="1740"/>
      <c r="EV163" s="1740"/>
      <c r="EW163" s="1740"/>
      <c r="EX163" s="1740"/>
      <c r="EY163" s="1740"/>
      <c r="EZ163" s="1740"/>
      <c r="FA163" s="1740"/>
      <c r="FB163" s="1740"/>
      <c r="FC163" s="1740"/>
      <c r="FD163" s="1740"/>
      <c r="FE163" s="1740"/>
      <c r="FF163" s="1740"/>
      <c r="FG163" s="1740"/>
      <c r="FH163" s="1740"/>
      <c r="FI163" s="1740"/>
      <c r="FJ163" s="1740"/>
      <c r="FK163" s="1740"/>
      <c r="FL163" s="1740"/>
      <c r="FM163" s="1740"/>
      <c r="FN163" s="1740"/>
      <c r="FO163" s="1740"/>
      <c r="FP163" s="1740"/>
      <c r="FQ163" s="1740"/>
      <c r="FR163" s="1740"/>
      <c r="FS163" s="1740"/>
      <c r="FT163" s="1740"/>
      <c r="FU163" s="1740"/>
      <c r="FV163" s="1740"/>
      <c r="FW163" s="1740"/>
      <c r="FX163" s="1740"/>
      <c r="FY163" s="1740"/>
      <c r="FZ163" s="1740"/>
      <c r="GA163" s="1740"/>
      <c r="GB163" s="1740"/>
      <c r="GC163" s="1740"/>
      <c r="GD163" s="1740"/>
      <c r="GE163" s="1740"/>
      <c r="GF163" s="1740"/>
    </row>
    <row r="164" spans="1:188">
      <c r="A164" s="333">
        <f t="shared" si="4"/>
        <v>1983</v>
      </c>
      <c r="B164" s="333">
        <f t="shared" si="5"/>
        <v>4</v>
      </c>
      <c r="C164" s="1175">
        <v>30651</v>
      </c>
      <c r="D164" s="1167"/>
      <c r="E164" s="1168">
        <v>431.65</v>
      </c>
      <c r="F164" s="1168">
        <v>388.15</v>
      </c>
      <c r="G164" s="1168"/>
      <c r="H164" s="1167"/>
      <c r="I164" s="1168"/>
      <c r="J164" s="1168"/>
      <c r="K164" s="1678">
        <v>3465.92</v>
      </c>
      <c r="L164" s="1678">
        <v>3992.9157427937898</v>
      </c>
      <c r="M164" s="1682"/>
      <c r="N164" s="1169"/>
      <c r="O164" s="1169"/>
      <c r="P164" s="1169"/>
      <c r="Q164" s="1167"/>
      <c r="R164" s="1167"/>
      <c r="S164" s="1167"/>
      <c r="T164" s="1167"/>
      <c r="U164" s="1167"/>
      <c r="V164" s="1167"/>
      <c r="W164" s="1167"/>
      <c r="X164" s="344"/>
      <c r="AI164" s="1781" t="s">
        <v>3</v>
      </c>
      <c r="AJ164" s="1826">
        <v>2011</v>
      </c>
      <c r="AK164" s="1822" t="s">
        <v>386</v>
      </c>
      <c r="AL164" s="1822"/>
      <c r="AM164" s="1823">
        <v>3492310462</v>
      </c>
      <c r="AN164" s="1824"/>
      <c r="AP164" s="1781" t="s">
        <v>3</v>
      </c>
      <c r="AQ164" s="1781" t="s">
        <v>505</v>
      </c>
      <c r="AR164" s="1822" t="s">
        <v>39</v>
      </c>
      <c r="AS164" s="1822"/>
      <c r="AT164" s="1823">
        <v>87134612</v>
      </c>
      <c r="AU164" s="1825">
        <v>4.4999999999999998E-2</v>
      </c>
      <c r="AV164" s="1781">
        <v>2015</v>
      </c>
      <c r="AX164" s="1925"/>
      <c r="EA164" s="1740"/>
      <c r="EB164" s="1740"/>
      <c r="EC164" s="1740"/>
      <c r="ED164" s="1740"/>
      <c r="EE164" s="1740"/>
      <c r="EF164" s="1740"/>
      <c r="EG164" s="1740"/>
      <c r="EH164" s="1740"/>
      <c r="EI164" s="1740"/>
      <c r="EJ164" s="1740"/>
      <c r="EK164" s="1740"/>
      <c r="EL164" s="1740"/>
      <c r="EM164" s="1740"/>
      <c r="EN164" s="1740"/>
      <c r="EO164" s="1740"/>
      <c r="EP164" s="1740"/>
      <c r="EQ164" s="1740"/>
      <c r="ER164" s="1740"/>
      <c r="ES164" s="1740"/>
      <c r="ET164" s="1740"/>
      <c r="EU164" s="1740"/>
      <c r="EV164" s="1740"/>
      <c r="EW164" s="1740"/>
      <c r="EX164" s="1740"/>
      <c r="EY164" s="1740"/>
      <c r="EZ164" s="1740"/>
      <c r="FA164" s="1740"/>
      <c r="FB164" s="1740"/>
      <c r="FC164" s="1740"/>
      <c r="FD164" s="1740"/>
      <c r="FE164" s="1740"/>
      <c r="FF164" s="1740"/>
      <c r="FG164" s="1740"/>
      <c r="FH164" s="1740"/>
      <c r="FI164" s="1740"/>
      <c r="FJ164" s="1740"/>
      <c r="FK164" s="1740"/>
      <c r="FL164" s="1740"/>
      <c r="FM164" s="1740"/>
      <c r="FN164" s="1740"/>
      <c r="FO164" s="1740"/>
      <c r="FP164" s="1740"/>
      <c r="FQ164" s="1740"/>
      <c r="FR164" s="1740"/>
      <c r="FS164" s="1740"/>
      <c r="FT164" s="1740"/>
      <c r="FU164" s="1740"/>
      <c r="FV164" s="1740"/>
      <c r="FW164" s="1740"/>
      <c r="FX164" s="1740"/>
      <c r="FY164" s="1740"/>
      <c r="FZ164" s="1740"/>
      <c r="GA164" s="1740"/>
      <c r="GB164" s="1740"/>
      <c r="GC164" s="1740"/>
      <c r="GD164" s="1740"/>
      <c r="GE164" s="1740"/>
      <c r="GF164" s="1740"/>
    </row>
    <row r="165" spans="1:188">
      <c r="A165" s="333">
        <f t="shared" si="4"/>
        <v>1984</v>
      </c>
      <c r="B165" s="333">
        <f t="shared" si="5"/>
        <v>1</v>
      </c>
      <c r="C165" s="1175">
        <v>30682</v>
      </c>
      <c r="D165" s="1158"/>
      <c r="E165" s="1159">
        <v>410.9</v>
      </c>
      <c r="F165" s="1159">
        <v>371.1</v>
      </c>
      <c r="G165" s="1160"/>
      <c r="H165" s="1161"/>
      <c r="I165" s="1160"/>
      <c r="J165" s="1160"/>
      <c r="K165" s="1677">
        <v>3762.29</v>
      </c>
      <c r="L165" s="1677">
        <v>4099.2482022227096</v>
      </c>
      <c r="M165" s="1681"/>
      <c r="N165" s="1162"/>
      <c r="O165" s="1162"/>
      <c r="P165" s="1162"/>
      <c r="Q165" s="1163"/>
      <c r="R165" s="1164"/>
      <c r="S165" s="1164"/>
      <c r="T165" s="1164"/>
      <c r="U165" s="1165"/>
      <c r="V165" s="1166"/>
      <c r="W165" s="1166"/>
      <c r="X165" s="635">
        <v>0.91779999999999995</v>
      </c>
      <c r="AI165" s="1781" t="s">
        <v>3</v>
      </c>
      <c r="AJ165" s="1826">
        <v>2010</v>
      </c>
      <c r="AK165" s="1822" t="s">
        <v>18</v>
      </c>
      <c r="AL165" s="1822">
        <v>1</v>
      </c>
      <c r="AM165" s="1823">
        <v>1656674125</v>
      </c>
      <c r="AN165" s="1824">
        <v>0.44</v>
      </c>
      <c r="AP165" s="1781" t="s">
        <v>3</v>
      </c>
      <c r="AQ165" s="1781" t="s">
        <v>505</v>
      </c>
      <c r="AR165" s="1822" t="s">
        <v>386</v>
      </c>
      <c r="AS165" s="1822"/>
      <c r="AT165" s="1823">
        <v>1920448656</v>
      </c>
      <c r="AU165" s="1825"/>
      <c r="AV165" s="1781">
        <v>2015</v>
      </c>
      <c r="EA165" s="1740"/>
      <c r="EB165" s="1740"/>
      <c r="EC165" s="1740"/>
      <c r="ED165" s="1740"/>
      <c r="EE165" s="1740"/>
      <c r="EF165" s="1740"/>
      <c r="EG165" s="1740"/>
      <c r="EH165" s="1740"/>
      <c r="EI165" s="1740"/>
      <c r="EJ165" s="1740"/>
      <c r="EK165" s="1740"/>
      <c r="EL165" s="1740"/>
      <c r="EM165" s="1740"/>
      <c r="EN165" s="1740"/>
      <c r="EO165" s="1740"/>
      <c r="EP165" s="1740"/>
      <c r="EQ165" s="1740"/>
      <c r="ER165" s="1740"/>
      <c r="ES165" s="1740"/>
      <c r="ET165" s="1740"/>
      <c r="EU165" s="1740"/>
      <c r="EV165" s="1740"/>
      <c r="EW165" s="1740"/>
      <c r="EX165" s="1740"/>
      <c r="EY165" s="1740"/>
      <c r="EZ165" s="1740"/>
      <c r="FA165" s="1740"/>
      <c r="FB165" s="1740"/>
      <c r="FC165" s="1740"/>
      <c r="FD165" s="1740"/>
      <c r="FE165" s="1740"/>
      <c r="FF165" s="1740"/>
      <c r="FG165" s="1740"/>
      <c r="FH165" s="1740"/>
      <c r="FI165" s="1740"/>
      <c r="FJ165" s="1740"/>
      <c r="FK165" s="1740"/>
      <c r="FL165" s="1740"/>
      <c r="FM165" s="1740"/>
      <c r="FN165" s="1740"/>
      <c r="FO165" s="1740"/>
      <c r="FP165" s="1740"/>
      <c r="FQ165" s="1740"/>
      <c r="FR165" s="1740"/>
      <c r="FS165" s="1740"/>
      <c r="FT165" s="1740"/>
      <c r="FU165" s="1740"/>
      <c r="FV165" s="1740"/>
      <c r="FW165" s="1740"/>
      <c r="FX165" s="1740"/>
      <c r="FY165" s="1740"/>
      <c r="FZ165" s="1740"/>
      <c r="GA165" s="1740"/>
      <c r="GB165" s="1740"/>
      <c r="GC165" s="1740"/>
      <c r="GD165" s="1740"/>
      <c r="GE165" s="1740"/>
      <c r="GF165" s="1740"/>
    </row>
    <row r="166" spans="1:188">
      <c r="A166" s="333">
        <f t="shared" si="4"/>
        <v>1984</v>
      </c>
      <c r="B166" s="333">
        <f t="shared" si="5"/>
        <v>1</v>
      </c>
      <c r="C166" s="1175">
        <v>30713</v>
      </c>
      <c r="D166" s="1167"/>
      <c r="E166" s="1168">
        <v>413.4</v>
      </c>
      <c r="F166" s="1168">
        <v>386.8</v>
      </c>
      <c r="G166" s="1168"/>
      <c r="H166" s="1167"/>
      <c r="I166" s="1168"/>
      <c r="J166" s="1168"/>
      <c r="K166" s="1678">
        <v>4272.96</v>
      </c>
      <c r="L166" s="1678">
        <v>4531.72128539612</v>
      </c>
      <c r="M166" s="1682"/>
      <c r="N166" s="1169"/>
      <c r="O166" s="1169"/>
      <c r="P166" s="1169"/>
      <c r="Q166" s="1167"/>
      <c r="R166" s="1167"/>
      <c r="S166" s="1167"/>
      <c r="T166" s="1167"/>
      <c r="U166" s="1167"/>
      <c r="V166" s="1167"/>
      <c r="W166" s="1167"/>
      <c r="X166" s="344">
        <v>0.94289999999999996</v>
      </c>
      <c r="AI166" s="1781" t="s">
        <v>3</v>
      </c>
      <c r="AJ166" s="1826">
        <v>2010</v>
      </c>
      <c r="AK166" s="1822" t="s">
        <v>23</v>
      </c>
      <c r="AL166" s="1822">
        <v>2</v>
      </c>
      <c r="AM166" s="1823">
        <v>393952409</v>
      </c>
      <c r="AN166" s="1824">
        <v>0.105</v>
      </c>
      <c r="AP166" s="1781" t="s">
        <v>3</v>
      </c>
      <c r="AQ166" s="1781" t="s">
        <v>504</v>
      </c>
      <c r="AR166" s="1822" t="s">
        <v>25</v>
      </c>
      <c r="AS166" s="1822">
        <v>1</v>
      </c>
      <c r="AT166" s="1823">
        <v>1291490021.8</v>
      </c>
      <c r="AU166" s="1825">
        <v>0.42067218433241715</v>
      </c>
      <c r="AV166" s="1781">
        <v>2014</v>
      </c>
      <c r="EA166" s="1740"/>
      <c r="EB166" s="1740"/>
      <c r="EC166" s="1740"/>
      <c r="ED166" s="1740"/>
      <c r="EE166" s="1740"/>
      <c r="EF166" s="1740"/>
      <c r="EG166" s="1740"/>
      <c r="EH166" s="1740"/>
      <c r="EI166" s="1740"/>
      <c r="EJ166" s="1740"/>
      <c r="EK166" s="1740"/>
      <c r="EL166" s="1740"/>
      <c r="EM166" s="1740"/>
      <c r="EN166" s="1740"/>
      <c r="EO166" s="1740"/>
      <c r="EP166" s="1740"/>
      <c r="EQ166" s="1740"/>
      <c r="ER166" s="1740"/>
      <c r="ES166" s="1740"/>
      <c r="ET166" s="1740"/>
      <c r="EU166" s="1740"/>
      <c r="EV166" s="1740"/>
      <c r="EW166" s="1740"/>
      <c r="EX166" s="1740"/>
      <c r="EY166" s="1740"/>
      <c r="EZ166" s="1740"/>
      <c r="FA166" s="1740"/>
      <c r="FB166" s="1740"/>
      <c r="FC166" s="1740"/>
      <c r="FD166" s="1740"/>
      <c r="FE166" s="1740"/>
      <c r="FF166" s="1740"/>
      <c r="FG166" s="1740"/>
      <c r="FH166" s="1740"/>
      <c r="FI166" s="1740"/>
      <c r="FJ166" s="1740"/>
      <c r="FK166" s="1740"/>
      <c r="FL166" s="1740"/>
      <c r="FM166" s="1740"/>
      <c r="FN166" s="1740"/>
      <c r="FO166" s="1740"/>
      <c r="FP166" s="1740"/>
      <c r="FQ166" s="1740"/>
      <c r="FR166" s="1740"/>
      <c r="FS166" s="1740"/>
      <c r="FT166" s="1740"/>
      <c r="FU166" s="1740"/>
      <c r="FV166" s="1740"/>
      <c r="FW166" s="1740"/>
      <c r="FX166" s="1740"/>
      <c r="FY166" s="1740"/>
      <c r="FZ166" s="1740"/>
      <c r="GA166" s="1740"/>
      <c r="GB166" s="1740"/>
      <c r="GC166" s="1740"/>
      <c r="GD166" s="1740"/>
      <c r="GE166" s="1740"/>
      <c r="GF166" s="1740"/>
    </row>
    <row r="167" spans="1:188">
      <c r="A167" s="333">
        <f t="shared" si="4"/>
        <v>1984</v>
      </c>
      <c r="B167" s="333">
        <f t="shared" si="5"/>
        <v>1</v>
      </c>
      <c r="C167" s="1175">
        <v>30742</v>
      </c>
      <c r="D167" s="1158"/>
      <c r="E167" s="1159">
        <v>415.45</v>
      </c>
      <c r="F167" s="1159">
        <v>394.8</v>
      </c>
      <c r="G167" s="1160"/>
      <c r="H167" s="1161"/>
      <c r="I167" s="1160"/>
      <c r="J167" s="1160"/>
      <c r="K167" s="1677">
        <v>4160.08</v>
      </c>
      <c r="L167" s="1677">
        <v>4449.2834224598901</v>
      </c>
      <c r="M167" s="1681"/>
      <c r="N167" s="1162"/>
      <c r="O167" s="1162"/>
      <c r="P167" s="1162"/>
      <c r="Q167" s="1163"/>
      <c r="R167" s="1164"/>
      <c r="S167" s="1164"/>
      <c r="T167" s="1164"/>
      <c r="U167" s="1165"/>
      <c r="V167" s="1166"/>
      <c r="W167" s="1166"/>
      <c r="X167" s="635">
        <v>0.93500000000000005</v>
      </c>
      <c r="AI167" s="1781" t="s">
        <v>3</v>
      </c>
      <c r="AJ167" s="1826">
        <v>2010</v>
      </c>
      <c r="AK167" s="1822" t="s">
        <v>758</v>
      </c>
      <c r="AL167" s="1822">
        <v>3</v>
      </c>
      <c r="AM167" s="1823">
        <v>359072790</v>
      </c>
      <c r="AN167" s="1824">
        <v>9.5000000000000001E-2</v>
      </c>
      <c r="AP167" s="1781" t="s">
        <v>3</v>
      </c>
      <c r="AQ167" s="1781" t="s">
        <v>504</v>
      </c>
      <c r="AR167" s="1822" t="s">
        <v>18</v>
      </c>
      <c r="AS167" s="1822">
        <v>2</v>
      </c>
      <c r="AT167" s="1823">
        <v>937935434.1700002</v>
      </c>
      <c r="AU167" s="1825">
        <v>0.3055101790915502</v>
      </c>
      <c r="AV167" s="1781">
        <v>2014</v>
      </c>
      <c r="AX167" s="1925"/>
      <c r="EA167" s="1740"/>
      <c r="EB167" s="1740"/>
      <c r="EC167" s="1740"/>
      <c r="ED167" s="1740"/>
      <c r="EE167" s="1740"/>
      <c r="EF167" s="1740"/>
      <c r="EG167" s="1740"/>
      <c r="EH167" s="1740"/>
      <c r="EI167" s="1740"/>
      <c r="EJ167" s="1740"/>
      <c r="EK167" s="1740"/>
      <c r="EL167" s="1740"/>
      <c r="EM167" s="1740"/>
      <c r="EN167" s="1740"/>
      <c r="EO167" s="1740"/>
      <c r="EP167" s="1740"/>
      <c r="EQ167" s="1740"/>
      <c r="ER167" s="1740"/>
      <c r="ES167" s="1740"/>
      <c r="ET167" s="1740"/>
      <c r="EU167" s="1740"/>
      <c r="EV167" s="1740"/>
      <c r="EW167" s="1740"/>
      <c r="EX167" s="1740"/>
      <c r="EY167" s="1740"/>
      <c r="EZ167" s="1740"/>
      <c r="FA167" s="1740"/>
      <c r="FB167" s="1740"/>
      <c r="FC167" s="1740"/>
      <c r="FD167" s="1740"/>
      <c r="FE167" s="1740"/>
      <c r="FF167" s="1740"/>
      <c r="FG167" s="1740"/>
      <c r="FH167" s="1740"/>
      <c r="FI167" s="1740"/>
      <c r="FJ167" s="1740"/>
      <c r="FK167" s="1740"/>
      <c r="FL167" s="1740"/>
      <c r="FM167" s="1740"/>
      <c r="FN167" s="1740"/>
      <c r="FO167" s="1740"/>
      <c r="FP167" s="1740"/>
      <c r="FQ167" s="1740"/>
      <c r="FR167" s="1740"/>
      <c r="FS167" s="1740"/>
      <c r="FT167" s="1740"/>
      <c r="FU167" s="1740"/>
      <c r="FV167" s="1740"/>
      <c r="FW167" s="1740"/>
      <c r="FX167" s="1740"/>
      <c r="FY167" s="1740"/>
      <c r="FZ167" s="1740"/>
      <c r="GA167" s="1740"/>
      <c r="GB167" s="1740"/>
      <c r="GC167" s="1740"/>
      <c r="GD167" s="1740"/>
      <c r="GE167" s="1740"/>
      <c r="GF167" s="1740"/>
    </row>
    <row r="168" spans="1:188">
      <c r="A168" s="333">
        <f t="shared" si="4"/>
        <v>1984</v>
      </c>
      <c r="B168" s="333">
        <f t="shared" si="5"/>
        <v>2</v>
      </c>
      <c r="C168" s="1175">
        <v>30773</v>
      </c>
      <c r="D168" s="1167"/>
      <c r="E168" s="1168">
        <v>413.95</v>
      </c>
      <c r="F168" s="1168">
        <v>381.55</v>
      </c>
      <c r="G168" s="1168"/>
      <c r="H168" s="1167"/>
      <c r="I168" s="1168"/>
      <c r="J168" s="1168"/>
      <c r="K168" s="1678">
        <v>4202.5600000000004</v>
      </c>
      <c r="L168" s="1678">
        <v>4567.5035322247604</v>
      </c>
      <c r="M168" s="1682"/>
      <c r="N168" s="1169"/>
      <c r="O168" s="1169"/>
      <c r="P168" s="1169"/>
      <c r="Q168" s="1167"/>
      <c r="R168" s="1167"/>
      <c r="S168" s="1167"/>
      <c r="T168" s="1167"/>
      <c r="U168" s="1167"/>
      <c r="V168" s="1167"/>
      <c r="W168" s="1167"/>
      <c r="X168" s="344">
        <v>0.92010000000000003</v>
      </c>
      <c r="AI168" s="1781" t="s">
        <v>3</v>
      </c>
      <c r="AJ168" s="1826">
        <v>2010</v>
      </c>
      <c r="AK168" s="1822" t="s">
        <v>27</v>
      </c>
      <c r="AL168" s="1822">
        <v>4</v>
      </c>
      <c r="AM168" s="1823">
        <v>246173510</v>
      </c>
      <c r="AN168" s="1824">
        <v>6.5000000000000002E-2</v>
      </c>
      <c r="AP168" s="1781" t="s">
        <v>3</v>
      </c>
      <c r="AQ168" s="1781" t="s">
        <v>504</v>
      </c>
      <c r="AR168" s="1822" t="s">
        <v>61</v>
      </c>
      <c r="AS168" s="1822">
        <v>3</v>
      </c>
      <c r="AT168" s="1823">
        <v>152833050.53999999</v>
      </c>
      <c r="AU168" s="1825">
        <v>4.9781734371622463E-2</v>
      </c>
      <c r="AV168" s="1781">
        <v>2014</v>
      </c>
      <c r="EA168" s="169"/>
      <c r="EB168" s="169"/>
      <c r="EC168" s="169"/>
      <c r="ED168" s="169"/>
      <c r="EE168" s="169"/>
      <c r="EF168" s="169"/>
      <c r="EG168" s="169"/>
      <c r="EH168" s="169"/>
      <c r="EI168" s="169"/>
      <c r="EJ168" s="169"/>
      <c r="EK168" s="169"/>
      <c r="EL168" s="169"/>
      <c r="EM168" s="169"/>
      <c r="EN168" s="169"/>
      <c r="EO168" s="169"/>
      <c r="EP168" s="169"/>
      <c r="EQ168" s="169"/>
      <c r="ER168" s="169"/>
      <c r="ES168" s="169"/>
      <c r="ET168" s="169"/>
      <c r="EU168" s="169"/>
      <c r="EV168" s="169"/>
      <c r="EW168" s="169"/>
      <c r="EX168" s="169"/>
    </row>
    <row r="169" spans="1:188">
      <c r="A169" s="333">
        <f t="shared" si="4"/>
        <v>1984</v>
      </c>
      <c r="B169" s="333">
        <f t="shared" si="5"/>
        <v>2</v>
      </c>
      <c r="C169" s="1175">
        <v>30803</v>
      </c>
      <c r="D169" s="1158"/>
      <c r="E169" s="1159">
        <v>417</v>
      </c>
      <c r="F169" s="1159">
        <v>377.45</v>
      </c>
      <c r="G169" s="1160"/>
      <c r="H169" s="1161"/>
      <c r="I169" s="1160"/>
      <c r="J169" s="1160"/>
      <c r="K169" s="1677">
        <v>4405.1000000000004</v>
      </c>
      <c r="L169" s="1677">
        <v>4898.91014234875</v>
      </c>
      <c r="M169" s="1681"/>
      <c r="N169" s="1162"/>
      <c r="O169" s="1162"/>
      <c r="P169" s="1162"/>
      <c r="Q169" s="1163"/>
      <c r="R169" s="1164"/>
      <c r="S169" s="1164"/>
      <c r="T169" s="1164"/>
      <c r="U169" s="1165"/>
      <c r="V169" s="1166"/>
      <c r="W169" s="1166"/>
      <c r="X169" s="635">
        <v>0.8992</v>
      </c>
      <c r="AI169" s="1781" t="s">
        <v>3</v>
      </c>
      <c r="AJ169" s="1826">
        <v>2010</v>
      </c>
      <c r="AK169" s="1822" t="s">
        <v>56</v>
      </c>
      <c r="AL169" s="1822">
        <v>5</v>
      </c>
      <c r="AM169" s="1823">
        <v>243363404</v>
      </c>
      <c r="AN169" s="1824">
        <v>6.5000000000000002E-2</v>
      </c>
      <c r="AP169" s="1781" t="s">
        <v>3</v>
      </c>
      <c r="AQ169" s="1781" t="s">
        <v>504</v>
      </c>
      <c r="AR169" s="1822" t="s">
        <v>758</v>
      </c>
      <c r="AS169" s="1822">
        <v>4</v>
      </c>
      <c r="AT169" s="1823">
        <v>138234697.10000002</v>
      </c>
      <c r="AU169" s="1825">
        <v>4.5026667645901797E-2</v>
      </c>
      <c r="AV169" s="1781">
        <v>2014</v>
      </c>
      <c r="EA169" s="169"/>
      <c r="EB169" s="169"/>
      <c r="EC169" s="169"/>
      <c r="ED169" s="169"/>
      <c r="EE169" s="169"/>
      <c r="EF169" s="169"/>
      <c r="EG169" s="169"/>
      <c r="EH169" s="169"/>
      <c r="EI169" s="169"/>
      <c r="EJ169" s="169"/>
      <c r="EK169" s="169"/>
      <c r="EL169" s="169"/>
      <c r="EM169" s="169"/>
      <c r="EN169" s="169"/>
      <c r="EO169" s="169"/>
      <c r="EP169" s="169"/>
      <c r="EQ169" s="169"/>
      <c r="ER169" s="169"/>
      <c r="ES169" s="169"/>
      <c r="ET169" s="169"/>
      <c r="EU169" s="169"/>
      <c r="EV169" s="169"/>
      <c r="EW169" s="169"/>
      <c r="EX169" s="169"/>
    </row>
    <row r="170" spans="1:188">
      <c r="A170" s="333">
        <f t="shared" si="4"/>
        <v>1984</v>
      </c>
      <c r="B170" s="333">
        <f t="shared" si="5"/>
        <v>2</v>
      </c>
      <c r="C170" s="1175">
        <v>30834</v>
      </c>
      <c r="D170" s="1167"/>
      <c r="E170" s="1168">
        <v>428.8</v>
      </c>
      <c r="F170" s="1168">
        <v>378.1</v>
      </c>
      <c r="G170" s="1168"/>
      <c r="H170" s="1167"/>
      <c r="I170" s="1168"/>
      <c r="J170" s="1168"/>
      <c r="K170" s="1678">
        <v>4603.8100000000004</v>
      </c>
      <c r="L170" s="1678">
        <v>5345.1875072564699</v>
      </c>
      <c r="M170" s="1682"/>
      <c r="N170" s="1169"/>
      <c r="O170" s="1169"/>
      <c r="P170" s="1169"/>
      <c r="Q170" s="1167"/>
      <c r="R170" s="1167"/>
      <c r="S170" s="1167"/>
      <c r="T170" s="1167"/>
      <c r="U170" s="1167"/>
      <c r="V170" s="1167"/>
      <c r="W170" s="1167"/>
      <c r="X170" s="344">
        <v>0.86129999999999995</v>
      </c>
      <c r="AI170" s="1781" t="s">
        <v>3</v>
      </c>
      <c r="AJ170" s="1826">
        <v>2010</v>
      </c>
      <c r="AK170" s="1822" t="s">
        <v>57</v>
      </c>
      <c r="AL170" s="1822">
        <v>6</v>
      </c>
      <c r="AM170" s="1823">
        <v>228272869</v>
      </c>
      <c r="AN170" s="1824">
        <v>6.0999999999999999E-2</v>
      </c>
      <c r="AP170" s="1781" t="s">
        <v>3</v>
      </c>
      <c r="AQ170" s="1781" t="s">
        <v>504</v>
      </c>
      <c r="AR170" s="1822" t="s">
        <v>23</v>
      </c>
      <c r="AS170" s="1822">
        <v>5</v>
      </c>
      <c r="AT170" s="1823">
        <v>135760164.75999999</v>
      </c>
      <c r="AU170" s="1825">
        <v>4.4220647539592199E-2</v>
      </c>
      <c r="AV170" s="1781">
        <v>2014</v>
      </c>
      <c r="AX170" s="1925"/>
      <c r="EA170" s="169"/>
      <c r="EB170" s="169"/>
      <c r="EC170" s="169"/>
      <c r="ED170" s="169"/>
      <c r="EE170" s="169"/>
      <c r="EF170" s="169"/>
      <c r="EG170" s="169"/>
      <c r="EH170" s="169"/>
      <c r="EI170" s="169"/>
      <c r="EJ170" s="169"/>
      <c r="EK170" s="169"/>
      <c r="EL170" s="169"/>
      <c r="EM170" s="169"/>
      <c r="EN170" s="169"/>
      <c r="EO170" s="169"/>
      <c r="EP170" s="169"/>
      <c r="EQ170" s="169"/>
      <c r="ER170" s="169"/>
      <c r="ES170" s="169"/>
      <c r="ET170" s="169"/>
      <c r="EU170" s="169"/>
      <c r="EV170" s="169"/>
      <c r="EW170" s="169"/>
      <c r="EX170" s="169"/>
    </row>
    <row r="171" spans="1:188">
      <c r="A171" s="333">
        <f t="shared" si="4"/>
        <v>1984</v>
      </c>
      <c r="B171" s="333">
        <f t="shared" si="5"/>
        <v>3</v>
      </c>
      <c r="C171" s="1175">
        <v>30864</v>
      </c>
      <c r="D171" s="1158"/>
      <c r="E171" s="1159">
        <v>417.1</v>
      </c>
      <c r="F171" s="1159">
        <v>347.8</v>
      </c>
      <c r="G171" s="1160"/>
      <c r="H171" s="1161"/>
      <c r="I171" s="1160"/>
      <c r="J171" s="1160"/>
      <c r="K171" s="1677">
        <v>4596.71</v>
      </c>
      <c r="L171" s="1677">
        <v>5538.2048192771099</v>
      </c>
      <c r="M171" s="1681"/>
      <c r="N171" s="1162"/>
      <c r="O171" s="1162"/>
      <c r="P171" s="1162"/>
      <c r="Q171" s="1163"/>
      <c r="R171" s="1164"/>
      <c r="S171" s="1164"/>
      <c r="T171" s="1164"/>
      <c r="U171" s="1165"/>
      <c r="V171" s="1166"/>
      <c r="W171" s="1166"/>
      <c r="X171" s="635">
        <v>0.83</v>
      </c>
      <c r="AI171" s="1781" t="s">
        <v>3</v>
      </c>
      <c r="AJ171" s="1826">
        <v>2010</v>
      </c>
      <c r="AK171" s="1822" t="s">
        <v>54</v>
      </c>
      <c r="AL171" s="1822">
        <v>7</v>
      </c>
      <c r="AM171" s="1823">
        <v>141229782</v>
      </c>
      <c r="AN171" s="1824">
        <v>3.7999999999999999E-2</v>
      </c>
      <c r="AP171" s="1781" t="s">
        <v>3</v>
      </c>
      <c r="AQ171" s="1781" t="s">
        <v>504</v>
      </c>
      <c r="AR171" s="1822" t="s">
        <v>21</v>
      </c>
      <c r="AS171" s="1822">
        <v>6</v>
      </c>
      <c r="AT171" s="1823">
        <v>71562506.309999987</v>
      </c>
      <c r="AU171" s="1825">
        <v>2.3309785857867076E-2</v>
      </c>
      <c r="AV171" s="1781">
        <v>2014</v>
      </c>
      <c r="EA171" s="169"/>
      <c r="EB171" s="169"/>
      <c r="EC171" s="169"/>
      <c r="ED171" s="169"/>
      <c r="EE171" s="169"/>
      <c r="EF171" s="169"/>
      <c r="EG171" s="169"/>
      <c r="EH171" s="169"/>
      <c r="EI171" s="169"/>
      <c r="EJ171" s="169"/>
      <c r="EK171" s="169"/>
      <c r="EL171" s="169"/>
      <c r="EM171" s="169"/>
      <c r="EN171" s="169"/>
      <c r="EO171" s="169"/>
      <c r="EP171" s="169"/>
      <c r="EQ171" s="169"/>
      <c r="ER171" s="169"/>
      <c r="ES171" s="169"/>
      <c r="ET171" s="169"/>
      <c r="EU171" s="169"/>
      <c r="EV171" s="169"/>
      <c r="EW171" s="169"/>
      <c r="EX171" s="169"/>
    </row>
    <row r="172" spans="1:188">
      <c r="A172" s="333">
        <f t="shared" si="4"/>
        <v>1984</v>
      </c>
      <c r="B172" s="333">
        <f t="shared" si="5"/>
        <v>3</v>
      </c>
      <c r="C172" s="1175">
        <v>30895</v>
      </c>
      <c r="D172" s="1167"/>
      <c r="E172" s="1168">
        <v>411.05</v>
      </c>
      <c r="F172" s="1168">
        <v>347.85</v>
      </c>
      <c r="G172" s="1168"/>
      <c r="H172" s="1167"/>
      <c r="I172" s="1168"/>
      <c r="J172" s="1168"/>
      <c r="K172" s="1678">
        <v>4736.78</v>
      </c>
      <c r="L172" s="1678">
        <v>5580.5607917059397</v>
      </c>
      <c r="M172" s="1682"/>
      <c r="N172" s="1169"/>
      <c r="O172" s="1169"/>
      <c r="P172" s="1169"/>
      <c r="Q172" s="1167"/>
      <c r="R172" s="1167"/>
      <c r="S172" s="1167"/>
      <c r="T172" s="1167"/>
      <c r="U172" s="1167"/>
      <c r="V172" s="1167"/>
      <c r="W172" s="1167"/>
      <c r="X172" s="344">
        <v>0.8488</v>
      </c>
      <c r="AI172" s="1781" t="s">
        <v>3</v>
      </c>
      <c r="AJ172" s="1826">
        <v>2010</v>
      </c>
      <c r="AK172" s="1822" t="s">
        <v>24</v>
      </c>
      <c r="AL172" s="1822">
        <v>8</v>
      </c>
      <c r="AM172" s="1823">
        <v>122486708</v>
      </c>
      <c r="AN172" s="1824">
        <v>3.3000000000000002E-2</v>
      </c>
      <c r="AP172" s="1781" t="s">
        <v>3</v>
      </c>
      <c r="AQ172" s="1781" t="s">
        <v>504</v>
      </c>
      <c r="AR172" s="1822" t="s">
        <v>27</v>
      </c>
      <c r="AS172" s="1822">
        <v>7</v>
      </c>
      <c r="AT172" s="1823">
        <v>67993580.810000002</v>
      </c>
      <c r="AU172" s="1825">
        <v>2.2147293186253424E-2</v>
      </c>
      <c r="AV172" s="1781">
        <v>2014</v>
      </c>
      <c r="EA172" s="169"/>
      <c r="EB172" s="169"/>
      <c r="EC172" s="169"/>
      <c r="ED172" s="169"/>
      <c r="EE172" s="169"/>
      <c r="EF172" s="169"/>
      <c r="EG172" s="169"/>
      <c r="EH172" s="169"/>
      <c r="EI172" s="169"/>
      <c r="EJ172" s="169"/>
      <c r="EK172" s="169"/>
      <c r="EL172" s="169"/>
      <c r="EM172" s="169"/>
      <c r="EN172" s="169"/>
      <c r="EO172" s="169"/>
      <c r="EP172" s="169"/>
      <c r="EQ172" s="169"/>
      <c r="ER172" s="169"/>
      <c r="ES172" s="169"/>
      <c r="ET172" s="169"/>
      <c r="EU172" s="169"/>
      <c r="EV172" s="169"/>
      <c r="EW172" s="169"/>
      <c r="EX172" s="169"/>
    </row>
    <row r="173" spans="1:188">
      <c r="A173" s="333">
        <f t="shared" si="4"/>
        <v>1984</v>
      </c>
      <c r="B173" s="333">
        <f t="shared" si="5"/>
        <v>3</v>
      </c>
      <c r="C173" s="1175">
        <v>30926</v>
      </c>
      <c r="D173" s="1158"/>
      <c r="E173" s="1159">
        <v>411.25</v>
      </c>
      <c r="F173" s="1159">
        <v>341.7</v>
      </c>
      <c r="G173" s="1160"/>
      <c r="H173" s="1161"/>
      <c r="I173" s="1160"/>
      <c r="J173" s="1160"/>
      <c r="K173" s="1677">
        <v>4706.3500000000004</v>
      </c>
      <c r="L173" s="1677">
        <v>5649.8799519807899</v>
      </c>
      <c r="M173" s="1681"/>
      <c r="N173" s="1162"/>
      <c r="O173" s="1162"/>
      <c r="P173" s="1162"/>
      <c r="Q173" s="1163"/>
      <c r="R173" s="1164"/>
      <c r="S173" s="1164"/>
      <c r="T173" s="1164"/>
      <c r="U173" s="1165"/>
      <c r="V173" s="1166"/>
      <c r="W173" s="1166"/>
      <c r="X173" s="635">
        <v>0.83299999999999996</v>
      </c>
      <c r="AI173" s="1781" t="s">
        <v>3</v>
      </c>
      <c r="AJ173" s="1826">
        <v>2010</v>
      </c>
      <c r="AK173" s="1822" t="s">
        <v>61</v>
      </c>
      <c r="AL173" s="1822">
        <v>9</v>
      </c>
      <c r="AM173" s="1823">
        <v>69857491</v>
      </c>
      <c r="AN173" s="1824">
        <v>1.9E-2</v>
      </c>
      <c r="AP173" s="1781" t="s">
        <v>3</v>
      </c>
      <c r="AQ173" s="1781" t="s">
        <v>504</v>
      </c>
      <c r="AR173" s="1822" t="s">
        <v>60</v>
      </c>
      <c r="AS173" s="1822">
        <v>8</v>
      </c>
      <c r="AT173" s="1823">
        <v>61350512.039999999</v>
      </c>
      <c r="AU173" s="1825">
        <v>1.9983471396711847E-2</v>
      </c>
      <c r="AV173" s="1781">
        <v>2014</v>
      </c>
      <c r="AX173" s="1925"/>
      <c r="EA173" s="169"/>
      <c r="EB173" s="169"/>
      <c r="EC173" s="169"/>
      <c r="ED173" s="169"/>
      <c r="EE173" s="169"/>
      <c r="EF173" s="169"/>
      <c r="EG173" s="169"/>
      <c r="EH173" s="169"/>
      <c r="EI173" s="169"/>
      <c r="EJ173" s="169"/>
      <c r="EK173" s="169"/>
      <c r="EL173" s="169"/>
      <c r="EM173" s="169"/>
      <c r="EN173" s="169"/>
      <c r="EO173" s="169"/>
      <c r="EP173" s="169"/>
      <c r="EQ173" s="169"/>
      <c r="ER173" s="169"/>
      <c r="ES173" s="169"/>
      <c r="ET173" s="169"/>
      <c r="EU173" s="169"/>
      <c r="EV173" s="169"/>
      <c r="EW173" s="169"/>
      <c r="EX173" s="169"/>
    </row>
    <row r="174" spans="1:188">
      <c r="A174" s="333">
        <f t="shared" si="4"/>
        <v>1984</v>
      </c>
      <c r="B174" s="333">
        <f t="shared" si="5"/>
        <v>4</v>
      </c>
      <c r="C174" s="1175">
        <v>30956</v>
      </c>
      <c r="D174" s="1167"/>
      <c r="E174" s="1168">
        <v>406.75</v>
      </c>
      <c r="F174" s="1168">
        <v>339.95</v>
      </c>
      <c r="G174" s="1168"/>
      <c r="H174" s="1167"/>
      <c r="I174" s="1168"/>
      <c r="J174" s="1168"/>
      <c r="K174" s="1678">
        <v>4751.1099999999997</v>
      </c>
      <c r="L174" s="1678">
        <v>5598.1029810298096</v>
      </c>
      <c r="M174" s="1682"/>
      <c r="N174" s="1169"/>
      <c r="O174" s="1169"/>
      <c r="P174" s="1169"/>
      <c r="Q174" s="1167"/>
      <c r="R174" s="1167"/>
      <c r="S174" s="1167"/>
      <c r="T174" s="1167"/>
      <c r="U174" s="1167"/>
      <c r="V174" s="1167"/>
      <c r="W174" s="1167"/>
      <c r="X174" s="344">
        <v>0.84870000000000001</v>
      </c>
      <c r="AI174" s="1781" t="s">
        <v>3</v>
      </c>
      <c r="AJ174" s="1826">
        <v>2010</v>
      </c>
      <c r="AK174" s="1822" t="s">
        <v>21</v>
      </c>
      <c r="AL174" s="1822">
        <v>10</v>
      </c>
      <c r="AM174" s="1823">
        <v>69688636</v>
      </c>
      <c r="AN174" s="1824">
        <v>1.9E-2</v>
      </c>
      <c r="AP174" s="1781" t="s">
        <v>3</v>
      </c>
      <c r="AQ174" s="1781" t="s">
        <v>504</v>
      </c>
      <c r="AR174" s="1822" t="s">
        <v>63</v>
      </c>
      <c r="AS174" s="1822">
        <v>9</v>
      </c>
      <c r="AT174" s="1823">
        <v>45119506.329999998</v>
      </c>
      <c r="AU174" s="1825">
        <v>1.4696606991502366E-2</v>
      </c>
      <c r="AV174" s="1781">
        <v>2014</v>
      </c>
      <c r="EA174" s="169"/>
      <c r="EB174" s="169"/>
      <c r="EC174" s="169"/>
      <c r="ED174" s="169"/>
      <c r="EE174" s="169"/>
      <c r="EF174" s="169"/>
      <c r="EG174" s="169"/>
      <c r="EH174" s="169"/>
      <c r="EI174" s="169"/>
      <c r="EJ174" s="169"/>
      <c r="EK174" s="169"/>
      <c r="EL174" s="169"/>
      <c r="EM174" s="169"/>
      <c r="EN174" s="169"/>
      <c r="EO174" s="169"/>
      <c r="EP174" s="169"/>
      <c r="EQ174" s="169"/>
      <c r="ER174" s="169"/>
      <c r="ES174" s="169"/>
      <c r="ET174" s="169"/>
      <c r="EU174" s="169"/>
      <c r="EV174" s="169"/>
      <c r="EW174" s="169"/>
      <c r="EX174" s="169"/>
    </row>
    <row r="175" spans="1:188">
      <c r="A175" s="333">
        <f t="shared" si="4"/>
        <v>1984</v>
      </c>
      <c r="B175" s="333">
        <f t="shared" si="5"/>
        <v>4</v>
      </c>
      <c r="C175" s="1175">
        <v>30987</v>
      </c>
      <c r="D175" s="1158"/>
      <c r="E175" s="1159">
        <v>396</v>
      </c>
      <c r="F175" s="1159">
        <v>341.3</v>
      </c>
      <c r="G175" s="1160"/>
      <c r="H175" s="1161"/>
      <c r="I175" s="1160"/>
      <c r="J175" s="1160"/>
      <c r="K175" s="1677">
        <v>4759.05</v>
      </c>
      <c r="L175" s="1677">
        <v>5536.3541181945102</v>
      </c>
      <c r="M175" s="1681"/>
      <c r="N175" s="1162"/>
      <c r="O175" s="1162"/>
      <c r="P175" s="1162"/>
      <c r="Q175" s="1163"/>
      <c r="R175" s="1164"/>
      <c r="S175" s="1164"/>
      <c r="T175" s="1164"/>
      <c r="U175" s="1165"/>
      <c r="V175" s="1166"/>
      <c r="W175" s="1166"/>
      <c r="X175" s="635">
        <v>0.85960000000000003</v>
      </c>
      <c r="AI175" s="1781" t="s">
        <v>3</v>
      </c>
      <c r="AJ175" s="1826">
        <v>2010</v>
      </c>
      <c r="AK175" s="1822" t="s">
        <v>39</v>
      </c>
      <c r="AL175" s="1822"/>
      <c r="AM175" s="1823">
        <v>233892528</v>
      </c>
      <c r="AN175" s="1824">
        <v>6.2E-2</v>
      </c>
      <c r="AP175" s="1781" t="s">
        <v>3</v>
      </c>
      <c r="AQ175" s="1781" t="s">
        <v>504</v>
      </c>
      <c r="AR175" s="1822" t="s">
        <v>55</v>
      </c>
      <c r="AS175" s="1822">
        <v>10</v>
      </c>
      <c r="AT175" s="1823">
        <v>41625626.519999996</v>
      </c>
      <c r="AU175" s="1825">
        <v>1.3558558670061102E-2</v>
      </c>
      <c r="AV175" s="1781">
        <v>2014</v>
      </c>
      <c r="EA175" s="169"/>
      <c r="EB175" s="169"/>
      <c r="EC175" s="169"/>
      <c r="ED175" s="169"/>
      <c r="EE175" s="169"/>
      <c r="EF175" s="169"/>
      <c r="EG175" s="169"/>
      <c r="EH175" s="169"/>
      <c r="EI175" s="169"/>
      <c r="EJ175" s="169"/>
      <c r="EK175" s="169"/>
      <c r="EL175" s="169"/>
      <c r="EM175" s="169"/>
      <c r="EN175" s="169"/>
      <c r="EO175" s="169"/>
      <c r="EP175" s="169"/>
      <c r="EQ175" s="169"/>
      <c r="ER175" s="169"/>
      <c r="ES175" s="169"/>
      <c r="ET175" s="169"/>
      <c r="EU175" s="169"/>
      <c r="EV175" s="169"/>
      <c r="EW175" s="169"/>
      <c r="EX175" s="169"/>
    </row>
    <row r="176" spans="1:188">
      <c r="A176" s="333">
        <f t="shared" si="4"/>
        <v>1984</v>
      </c>
      <c r="B176" s="333">
        <f t="shared" si="5"/>
        <v>4</v>
      </c>
      <c r="C176" s="1175">
        <v>31017</v>
      </c>
      <c r="D176" s="1167"/>
      <c r="E176" s="1168">
        <v>380.2</v>
      </c>
      <c r="F176" s="1168">
        <v>319.8</v>
      </c>
      <c r="G176" s="1168"/>
      <c r="H176" s="1167"/>
      <c r="I176" s="1168"/>
      <c r="J176" s="1168"/>
      <c r="K176" s="1678">
        <v>4859.82</v>
      </c>
      <c r="L176" s="1678">
        <v>5870.76588547958</v>
      </c>
      <c r="M176" s="1682"/>
      <c r="N176" s="1169"/>
      <c r="O176" s="1169"/>
      <c r="P176" s="1169"/>
      <c r="Q176" s="1167"/>
      <c r="R176" s="1167"/>
      <c r="S176" s="1167"/>
      <c r="T176" s="1167"/>
      <c r="U176" s="1167"/>
      <c r="V176" s="1167"/>
      <c r="W176" s="1167"/>
      <c r="X176" s="344">
        <v>0.82779999999999998</v>
      </c>
      <c r="AI176" s="1781" t="s">
        <v>3</v>
      </c>
      <c r="AJ176" s="1826">
        <v>2010</v>
      </c>
      <c r="AK176" s="1822" t="s">
        <v>386</v>
      </c>
      <c r="AL176" s="1822"/>
      <c r="AM176" s="1823">
        <v>3764664252</v>
      </c>
      <c r="AN176" s="1824"/>
      <c r="AP176" s="1781" t="s">
        <v>3</v>
      </c>
      <c r="AQ176" s="1781" t="s">
        <v>504</v>
      </c>
      <c r="AR176" s="1822" t="s">
        <v>39</v>
      </c>
      <c r="AS176" s="1822"/>
      <c r="AT176" s="1823">
        <v>126157694.12000084</v>
      </c>
      <c r="AU176" s="1825">
        <v>4.1092870916520537E-2</v>
      </c>
      <c r="AV176" s="1781">
        <v>2014</v>
      </c>
      <c r="AX176" s="1925"/>
      <c r="EA176" s="169"/>
      <c r="EB176" s="169"/>
      <c r="EC176" s="169"/>
      <c r="ED176" s="169"/>
      <c r="EE176" s="169"/>
      <c r="EF176" s="169"/>
      <c r="EG176" s="169"/>
      <c r="EH176" s="169"/>
      <c r="EI176" s="169"/>
      <c r="EJ176" s="169"/>
      <c r="EK176" s="169"/>
      <c r="EL176" s="169"/>
      <c r="EM176" s="169"/>
      <c r="EN176" s="169"/>
      <c r="EO176" s="169"/>
      <c r="EP176" s="169"/>
      <c r="EQ176" s="169"/>
      <c r="ER176" s="169"/>
      <c r="ES176" s="169"/>
      <c r="ET176" s="169"/>
      <c r="EU176" s="169"/>
      <c r="EV176" s="169"/>
      <c r="EW176" s="169"/>
      <c r="EX176" s="169"/>
    </row>
    <row r="177" spans="1:154">
      <c r="A177" s="333">
        <f t="shared" si="4"/>
        <v>1985</v>
      </c>
      <c r="B177" s="333">
        <f t="shared" si="5"/>
        <v>1</v>
      </c>
      <c r="C177" s="1175">
        <v>31048</v>
      </c>
      <c r="D177" s="1158"/>
      <c r="E177" s="1159">
        <v>370.35</v>
      </c>
      <c r="F177" s="1159">
        <v>302.2</v>
      </c>
      <c r="G177" s="1160"/>
      <c r="H177" s="1161"/>
      <c r="I177" s="1160"/>
      <c r="J177" s="1160"/>
      <c r="K177" s="1677">
        <v>4948.0200000000004</v>
      </c>
      <c r="L177" s="1677">
        <v>6071.19018404908</v>
      </c>
      <c r="M177" s="1681"/>
      <c r="N177" s="1162"/>
      <c r="O177" s="1162"/>
      <c r="P177" s="1162"/>
      <c r="Q177" s="1163"/>
      <c r="R177" s="1164"/>
      <c r="S177" s="1164"/>
      <c r="T177" s="1164"/>
      <c r="U177" s="1165"/>
      <c r="V177" s="1166"/>
      <c r="W177" s="1166"/>
      <c r="X177" s="635">
        <v>0.81499999999999995</v>
      </c>
      <c r="AI177" s="1781" t="s">
        <v>3</v>
      </c>
      <c r="AJ177" s="1826">
        <v>2009</v>
      </c>
      <c r="AK177" s="1822" t="s">
        <v>18</v>
      </c>
      <c r="AL177" s="1822">
        <v>1</v>
      </c>
      <c r="AM177" s="1823">
        <v>1213482549.51</v>
      </c>
      <c r="AN177" s="1824">
        <v>0.4054860969400842</v>
      </c>
      <c r="AP177" s="1781" t="s">
        <v>3</v>
      </c>
      <c r="AQ177" s="1781" t="s">
        <v>504</v>
      </c>
      <c r="AR177" s="1822" t="s">
        <v>386</v>
      </c>
      <c r="AS177" s="1822"/>
      <c r="AT177" s="1823">
        <v>3070062794.5000005</v>
      </c>
      <c r="AU177" s="1825"/>
      <c r="AV177" s="1781">
        <v>2014</v>
      </c>
      <c r="EA177" s="169"/>
      <c r="EB177" s="169"/>
      <c r="EC177" s="169"/>
      <c r="ED177" s="169"/>
      <c r="EE177" s="169"/>
      <c r="EF177" s="169"/>
      <c r="EG177" s="169"/>
      <c r="EH177" s="169"/>
      <c r="EI177" s="169"/>
      <c r="EJ177" s="169"/>
      <c r="EK177" s="169"/>
      <c r="EL177" s="169"/>
      <c r="EM177" s="169"/>
      <c r="EN177" s="169"/>
      <c r="EO177" s="169"/>
      <c r="EP177" s="169"/>
      <c r="EQ177" s="169"/>
      <c r="ER177" s="169"/>
      <c r="ES177" s="169"/>
      <c r="ET177" s="169"/>
      <c r="EU177" s="169"/>
      <c r="EV177" s="169"/>
      <c r="EW177" s="169"/>
      <c r="EX177" s="169"/>
    </row>
    <row r="178" spans="1:154">
      <c r="A178" s="333">
        <f t="shared" si="4"/>
        <v>1985</v>
      </c>
      <c r="B178" s="333">
        <f t="shared" si="5"/>
        <v>1</v>
      </c>
      <c r="C178" s="1175">
        <v>31079</v>
      </c>
      <c r="D178" s="1167"/>
      <c r="E178" s="1168">
        <v>394.1</v>
      </c>
      <c r="F178" s="1168">
        <v>298.5</v>
      </c>
      <c r="G178" s="1168"/>
      <c r="H178" s="1167"/>
      <c r="I178" s="1168"/>
      <c r="J178" s="1168"/>
      <c r="K178" s="1678">
        <v>5051.66</v>
      </c>
      <c r="L178" s="1678">
        <v>7077.1364527879005</v>
      </c>
      <c r="M178" s="1682"/>
      <c r="N178" s="1169"/>
      <c r="O178" s="1169"/>
      <c r="P178" s="1169"/>
      <c r="Q178" s="1167"/>
      <c r="R178" s="1167"/>
      <c r="S178" s="1167"/>
      <c r="T178" s="1167"/>
      <c r="U178" s="1167"/>
      <c r="V178" s="1167"/>
      <c r="W178" s="1167"/>
      <c r="X178" s="344">
        <v>0.71379999999999999</v>
      </c>
      <c r="AI178" s="1781" t="s">
        <v>3</v>
      </c>
      <c r="AJ178" s="1826">
        <v>2009</v>
      </c>
      <c r="AK178" s="1822" t="s">
        <v>61</v>
      </c>
      <c r="AL178" s="1822">
        <v>2</v>
      </c>
      <c r="AM178" s="1823">
        <v>457380898.68000001</v>
      </c>
      <c r="AN178" s="1824">
        <v>0.15283416765703806</v>
      </c>
      <c r="AP178" s="1781" t="s">
        <v>3</v>
      </c>
      <c r="AQ178" s="1781" t="s">
        <v>503</v>
      </c>
      <c r="AR178" s="1822" t="s">
        <v>18</v>
      </c>
      <c r="AS178" s="1822">
        <v>1</v>
      </c>
      <c r="AT178" s="1823">
        <v>1239872650.7600002</v>
      </c>
      <c r="AU178" s="1825">
        <v>0.3920191180482227</v>
      </c>
      <c r="AV178" s="1781">
        <v>2013</v>
      </c>
      <c r="EA178" s="169"/>
      <c r="EB178" s="169"/>
      <c r="EC178" s="169"/>
      <c r="ED178" s="169"/>
      <c r="EE178" s="169"/>
      <c r="EF178" s="169"/>
      <c r="EG178" s="169"/>
      <c r="EH178" s="169"/>
      <c r="EI178" s="169"/>
      <c r="EJ178" s="169"/>
      <c r="EK178" s="169"/>
      <c r="EL178" s="169"/>
      <c r="EM178" s="169"/>
      <c r="EN178" s="169"/>
      <c r="EO178" s="169"/>
      <c r="EP178" s="169"/>
      <c r="EQ178" s="169"/>
      <c r="ER178" s="169"/>
      <c r="ES178" s="169"/>
      <c r="ET178" s="169"/>
      <c r="EU178" s="169"/>
      <c r="EV178" s="169"/>
      <c r="EW178" s="169"/>
      <c r="EX178" s="169"/>
    </row>
    <row r="179" spans="1:154">
      <c r="A179" s="333">
        <f t="shared" si="4"/>
        <v>1985</v>
      </c>
      <c r="B179" s="333">
        <f t="shared" si="5"/>
        <v>1</v>
      </c>
      <c r="C179" s="1175">
        <v>31107</v>
      </c>
      <c r="D179" s="1158"/>
      <c r="E179" s="1159">
        <v>438.15</v>
      </c>
      <c r="F179" s="1159">
        <v>304.3</v>
      </c>
      <c r="G179" s="1160"/>
      <c r="H179" s="1161"/>
      <c r="I179" s="1160"/>
      <c r="J179" s="1160"/>
      <c r="K179" s="1677">
        <v>5212.62</v>
      </c>
      <c r="L179" s="1677">
        <v>7392.7386186356598</v>
      </c>
      <c r="M179" s="1681"/>
      <c r="N179" s="1162"/>
      <c r="O179" s="1162"/>
      <c r="P179" s="1162"/>
      <c r="Q179" s="1163"/>
      <c r="R179" s="1164"/>
      <c r="S179" s="1164"/>
      <c r="T179" s="1164"/>
      <c r="U179" s="1165"/>
      <c r="V179" s="1166"/>
      <c r="W179" s="1166"/>
      <c r="X179" s="635">
        <v>0.70509999999999995</v>
      </c>
      <c r="AI179" s="1781" t="s">
        <v>3</v>
      </c>
      <c r="AJ179" s="1826">
        <v>2009</v>
      </c>
      <c r="AK179" s="1822" t="s">
        <v>57</v>
      </c>
      <c r="AL179" s="1822">
        <v>3</v>
      </c>
      <c r="AM179" s="1823">
        <v>214798012.16999999</v>
      </c>
      <c r="AN179" s="1824">
        <v>7.1774915610011619E-2</v>
      </c>
      <c r="AP179" s="1781" t="s">
        <v>3</v>
      </c>
      <c r="AQ179" s="1781" t="s">
        <v>503</v>
      </c>
      <c r="AR179" s="1822" t="s">
        <v>25</v>
      </c>
      <c r="AS179" s="1822">
        <v>2</v>
      </c>
      <c r="AT179" s="1823">
        <v>909222193.91999996</v>
      </c>
      <c r="AU179" s="1825">
        <v>0.2874750744376105</v>
      </c>
      <c r="AV179" s="1781">
        <v>2013</v>
      </c>
      <c r="AX179" s="1925"/>
      <c r="EA179" s="169"/>
      <c r="EB179" s="169"/>
      <c r="EC179" s="169"/>
      <c r="ED179" s="169"/>
      <c r="EE179" s="169"/>
      <c r="EF179" s="169"/>
      <c r="EG179" s="169"/>
      <c r="EH179" s="169"/>
      <c r="EI179" s="169"/>
      <c r="EJ179" s="169"/>
      <c r="EK179" s="169"/>
      <c r="EL179" s="169"/>
      <c r="EM179" s="169"/>
      <c r="EN179" s="169"/>
      <c r="EO179" s="169"/>
      <c r="EP179" s="169"/>
      <c r="EQ179" s="169"/>
      <c r="ER179" s="169"/>
      <c r="ES179" s="169"/>
      <c r="ET179" s="169"/>
      <c r="EU179" s="169"/>
      <c r="EV179" s="169"/>
      <c r="EW179" s="169"/>
      <c r="EX179" s="169"/>
    </row>
    <row r="180" spans="1:154">
      <c r="A180" s="333">
        <f t="shared" si="4"/>
        <v>1985</v>
      </c>
      <c r="B180" s="333">
        <f t="shared" si="5"/>
        <v>2</v>
      </c>
      <c r="C180" s="1175">
        <v>31138</v>
      </c>
      <c r="D180" s="1167"/>
      <c r="E180" s="1168">
        <v>490.9</v>
      </c>
      <c r="F180" s="1168">
        <v>325.55</v>
      </c>
      <c r="G180" s="1168"/>
      <c r="H180" s="1167"/>
      <c r="I180" s="1168"/>
      <c r="J180" s="1168"/>
      <c r="K180" s="1678">
        <v>5490.45</v>
      </c>
      <c r="L180" s="1678">
        <v>8417.0627012110999</v>
      </c>
      <c r="M180" s="1682"/>
      <c r="N180" s="1169"/>
      <c r="O180" s="1169"/>
      <c r="P180" s="1169"/>
      <c r="Q180" s="1167"/>
      <c r="R180" s="1167"/>
      <c r="S180" s="1167"/>
      <c r="T180" s="1167"/>
      <c r="U180" s="1167"/>
      <c r="V180" s="1167"/>
      <c r="W180" s="1167"/>
      <c r="X180" s="344">
        <v>0.65229999999999999</v>
      </c>
      <c r="AI180" s="1781" t="s">
        <v>3</v>
      </c>
      <c r="AJ180" s="1826">
        <v>2009</v>
      </c>
      <c r="AK180" s="1822" t="s">
        <v>27</v>
      </c>
      <c r="AL180" s="1822">
        <v>4</v>
      </c>
      <c r="AM180" s="1823">
        <v>201130346.72000003</v>
      </c>
      <c r="AN180" s="1824">
        <v>6.7207855029007654E-2</v>
      </c>
      <c r="AP180" s="1781" t="s">
        <v>3</v>
      </c>
      <c r="AQ180" s="1781" t="s">
        <v>503</v>
      </c>
      <c r="AR180" s="1822" t="s">
        <v>61</v>
      </c>
      <c r="AS180" s="1822">
        <v>3</v>
      </c>
      <c r="AT180" s="1823">
        <v>285916599.99000007</v>
      </c>
      <c r="AU180" s="1825">
        <v>9.0400230454895605E-2</v>
      </c>
      <c r="AV180" s="1781">
        <v>2013</v>
      </c>
      <c r="EA180" s="169"/>
      <c r="EB180" s="169"/>
      <c r="EC180" s="169"/>
      <c r="ED180" s="169"/>
      <c r="EE180" s="169"/>
      <c r="EF180" s="169"/>
      <c r="EG180" s="169"/>
      <c r="EH180" s="169"/>
      <c r="EI180" s="169"/>
      <c r="EJ180" s="169"/>
      <c r="EK180" s="169"/>
      <c r="EL180" s="169"/>
      <c r="EM180" s="169"/>
      <c r="EN180" s="169"/>
      <c r="EO180" s="169"/>
      <c r="EP180" s="169"/>
      <c r="EQ180" s="169"/>
      <c r="ER180" s="169"/>
      <c r="ES180" s="169"/>
      <c r="ET180" s="169"/>
      <c r="EU180" s="169"/>
      <c r="EV180" s="169"/>
      <c r="EW180" s="169"/>
      <c r="EX180" s="169"/>
    </row>
    <row r="181" spans="1:154">
      <c r="A181" s="333">
        <f t="shared" si="4"/>
        <v>1985</v>
      </c>
      <c r="B181" s="333">
        <f t="shared" si="5"/>
        <v>2</v>
      </c>
      <c r="C181" s="1175">
        <v>31168</v>
      </c>
      <c r="D181" s="1158"/>
      <c r="E181" s="1159">
        <v>469.9</v>
      </c>
      <c r="F181" s="1159">
        <v>316.2</v>
      </c>
      <c r="G181" s="1160"/>
      <c r="H181" s="1161"/>
      <c r="I181" s="1160"/>
      <c r="J181" s="1160"/>
      <c r="K181" s="1677">
        <v>5605.11</v>
      </c>
      <c r="L181" s="1677">
        <v>8518.4042553191503</v>
      </c>
      <c r="M181" s="1681"/>
      <c r="N181" s="1162"/>
      <c r="O181" s="1162"/>
      <c r="P181" s="1162"/>
      <c r="Q181" s="1163"/>
      <c r="R181" s="1164"/>
      <c r="S181" s="1164"/>
      <c r="T181" s="1164"/>
      <c r="U181" s="1165"/>
      <c r="V181" s="1166"/>
      <c r="W181" s="1166"/>
      <c r="X181" s="635">
        <v>0.65800000000000003</v>
      </c>
      <c r="AI181" s="1781" t="s">
        <v>3</v>
      </c>
      <c r="AJ181" s="1826">
        <v>2009</v>
      </c>
      <c r="AK181" s="1822" t="s">
        <v>56</v>
      </c>
      <c r="AL181" s="1822">
        <v>5</v>
      </c>
      <c r="AM181" s="1823">
        <v>188120023.25000003</v>
      </c>
      <c r="AN181" s="1824">
        <v>6.2860445759786179E-2</v>
      </c>
      <c r="AP181" s="1781" t="s">
        <v>3</v>
      </c>
      <c r="AQ181" s="1781" t="s">
        <v>503</v>
      </c>
      <c r="AR181" s="1822" t="s">
        <v>23</v>
      </c>
      <c r="AS181" s="1822">
        <v>4</v>
      </c>
      <c r="AT181" s="1823">
        <v>252945302.12</v>
      </c>
      <c r="AU181" s="1825">
        <v>7.9975466989083324E-2</v>
      </c>
      <c r="AV181" s="1781">
        <v>2013</v>
      </c>
      <c r="EA181" s="169"/>
      <c r="EB181" s="169"/>
      <c r="EC181" s="169"/>
      <c r="ED181" s="169"/>
      <c r="EE181" s="169"/>
      <c r="EF181" s="169"/>
      <c r="EG181" s="169"/>
      <c r="EH181" s="169"/>
      <c r="EI181" s="169"/>
      <c r="EJ181" s="169"/>
      <c r="EK181" s="169"/>
      <c r="EL181" s="169"/>
      <c r="EM181" s="169"/>
      <c r="EN181" s="169"/>
      <c r="EO181" s="169"/>
      <c r="EP181" s="169"/>
      <c r="EQ181" s="169"/>
      <c r="ER181" s="169"/>
      <c r="ES181" s="169"/>
      <c r="ET181" s="169"/>
      <c r="EU181" s="169"/>
      <c r="EV181" s="169"/>
      <c r="EW181" s="169"/>
      <c r="EX181" s="169"/>
    </row>
    <row r="182" spans="1:154">
      <c r="A182" s="333">
        <f t="shared" si="4"/>
        <v>1985</v>
      </c>
      <c r="B182" s="333">
        <f t="shared" si="5"/>
        <v>2</v>
      </c>
      <c r="C182" s="1175">
        <v>31199</v>
      </c>
      <c r="D182" s="1167"/>
      <c r="E182" s="1168">
        <v>478</v>
      </c>
      <c r="F182" s="1168">
        <v>317.55</v>
      </c>
      <c r="G182" s="1168"/>
      <c r="H182" s="1167"/>
      <c r="I182" s="1168"/>
      <c r="J182" s="1168"/>
      <c r="K182" s="1678">
        <v>5554.4</v>
      </c>
      <c r="L182" s="1678">
        <v>8346.2058602554498</v>
      </c>
      <c r="M182" s="1682"/>
      <c r="N182" s="1169"/>
      <c r="O182" s="1169"/>
      <c r="P182" s="1169"/>
      <c r="Q182" s="1167"/>
      <c r="R182" s="1167"/>
      <c r="S182" s="1167"/>
      <c r="T182" s="1167"/>
      <c r="U182" s="1167"/>
      <c r="V182" s="1167"/>
      <c r="W182" s="1167"/>
      <c r="X182" s="344">
        <v>0.66549999999999998</v>
      </c>
      <c r="AI182" s="1781" t="s">
        <v>3</v>
      </c>
      <c r="AJ182" s="1826">
        <v>2009</v>
      </c>
      <c r="AK182" s="1822" t="s">
        <v>758</v>
      </c>
      <c r="AL182" s="1822">
        <v>6</v>
      </c>
      <c r="AM182" s="1823">
        <v>162349321.26999998</v>
      </c>
      <c r="AN182" s="1824">
        <v>5.4249146515725474E-2</v>
      </c>
      <c r="AP182" s="1781" t="s">
        <v>3</v>
      </c>
      <c r="AQ182" s="1781" t="s">
        <v>503</v>
      </c>
      <c r="AR182" s="1822" t="s">
        <v>758</v>
      </c>
      <c r="AS182" s="1822">
        <v>5</v>
      </c>
      <c r="AT182" s="1823">
        <v>116781893.86</v>
      </c>
      <c r="AU182" s="1825">
        <v>3.6923739713861987E-2</v>
      </c>
      <c r="AV182" s="1781">
        <v>2013</v>
      </c>
      <c r="AX182" s="1925"/>
      <c r="EA182" s="169"/>
      <c r="EB182" s="169"/>
      <c r="EC182" s="169"/>
      <c r="ED182" s="169"/>
      <c r="EE182" s="169"/>
      <c r="EF182" s="169"/>
      <c r="EG182" s="169"/>
      <c r="EH182" s="169"/>
      <c r="EI182" s="169"/>
      <c r="EJ182" s="169"/>
      <c r="EK182" s="169"/>
      <c r="EL182" s="169"/>
      <c r="EM182" s="169"/>
      <c r="EN182" s="169"/>
      <c r="EO182" s="169"/>
      <c r="EP182" s="169"/>
      <c r="EQ182" s="169"/>
      <c r="ER182" s="169"/>
      <c r="ES182" s="169"/>
      <c r="ET182" s="169"/>
      <c r="EU182" s="169"/>
      <c r="EV182" s="169"/>
      <c r="EW182" s="169"/>
      <c r="EX182" s="169"/>
    </row>
    <row r="183" spans="1:154">
      <c r="A183" s="333">
        <f t="shared" si="4"/>
        <v>1985</v>
      </c>
      <c r="B183" s="333">
        <f t="shared" si="5"/>
        <v>3</v>
      </c>
      <c r="C183" s="1175">
        <v>31229</v>
      </c>
      <c r="D183" s="1158"/>
      <c r="E183" s="1159">
        <v>456.7</v>
      </c>
      <c r="F183" s="1159">
        <v>316.75</v>
      </c>
      <c r="G183" s="1160"/>
      <c r="H183" s="1161"/>
      <c r="I183" s="1160"/>
      <c r="J183" s="1160"/>
      <c r="K183" s="1677">
        <v>5091.3500000000004</v>
      </c>
      <c r="L183" s="1677">
        <v>7002.2692889561304</v>
      </c>
      <c r="M183" s="1681"/>
      <c r="N183" s="1162"/>
      <c r="O183" s="1162"/>
      <c r="P183" s="1162"/>
      <c r="Q183" s="1163"/>
      <c r="R183" s="1164"/>
      <c r="S183" s="1164"/>
      <c r="T183" s="1164"/>
      <c r="U183" s="1165"/>
      <c r="V183" s="1166"/>
      <c r="W183" s="1166"/>
      <c r="X183" s="635">
        <v>0.72709999999999997</v>
      </c>
      <c r="AI183" s="1781" t="s">
        <v>3</v>
      </c>
      <c r="AJ183" s="1826">
        <v>2009</v>
      </c>
      <c r="AK183" s="1822" t="s">
        <v>23</v>
      </c>
      <c r="AL183" s="1822">
        <v>7</v>
      </c>
      <c r="AM183" s="1823">
        <v>159326068.90000001</v>
      </c>
      <c r="AN183" s="1824">
        <v>5.3238924486516112E-2</v>
      </c>
      <c r="AP183" s="1781" t="s">
        <v>3</v>
      </c>
      <c r="AQ183" s="1781" t="s">
        <v>503</v>
      </c>
      <c r="AR183" s="1822" t="s">
        <v>27</v>
      </c>
      <c r="AS183" s="1822">
        <v>6</v>
      </c>
      <c r="AT183" s="1823">
        <v>77323263.299999982</v>
      </c>
      <c r="AU183" s="1825">
        <v>2.4447831367920038E-2</v>
      </c>
      <c r="AV183" s="1781">
        <v>2013</v>
      </c>
      <c r="EA183" s="169"/>
      <c r="EB183" s="169"/>
      <c r="EC183" s="169"/>
      <c r="ED183" s="169"/>
      <c r="EE183" s="169"/>
      <c r="EF183" s="169"/>
      <c r="EG183" s="169"/>
      <c r="EH183" s="169"/>
      <c r="EI183" s="169"/>
      <c r="EJ183" s="169"/>
      <c r="EK183" s="169"/>
      <c r="EL183" s="169"/>
      <c r="EM183" s="169"/>
      <c r="EN183" s="169"/>
      <c r="EO183" s="169"/>
      <c r="EP183" s="169"/>
      <c r="EQ183" s="169"/>
      <c r="ER183" s="169"/>
      <c r="ES183" s="169"/>
      <c r="ET183" s="169"/>
      <c r="EU183" s="169"/>
      <c r="EV183" s="169"/>
      <c r="EW183" s="169"/>
      <c r="EX183" s="169"/>
    </row>
    <row r="184" spans="1:154">
      <c r="A184" s="333">
        <f t="shared" si="4"/>
        <v>1985</v>
      </c>
      <c r="B184" s="333">
        <f t="shared" si="5"/>
        <v>3</v>
      </c>
      <c r="C184" s="1175">
        <v>31260</v>
      </c>
      <c r="D184" s="1167"/>
      <c r="E184" s="1168">
        <v>455.85</v>
      </c>
      <c r="F184" s="1168">
        <v>330.05</v>
      </c>
      <c r="G184" s="1168"/>
      <c r="H184" s="1167"/>
      <c r="I184" s="1168"/>
      <c r="J184" s="1168"/>
      <c r="K184" s="1678">
        <v>4908.33</v>
      </c>
      <c r="L184" s="1678">
        <v>6978.00682399773</v>
      </c>
      <c r="M184" s="1682"/>
      <c r="N184" s="1169"/>
      <c r="O184" s="1169"/>
      <c r="P184" s="1169"/>
      <c r="Q184" s="1167"/>
      <c r="R184" s="1167"/>
      <c r="S184" s="1167"/>
      <c r="T184" s="1167"/>
      <c r="U184" s="1167"/>
      <c r="V184" s="1167"/>
      <c r="W184" s="1167"/>
      <c r="X184" s="344">
        <v>0.70340000000000003</v>
      </c>
      <c r="AI184" s="1781" t="s">
        <v>3</v>
      </c>
      <c r="AJ184" s="1826">
        <v>2009</v>
      </c>
      <c r="AK184" s="1822" t="s">
        <v>24</v>
      </c>
      <c r="AL184" s="1822">
        <v>8</v>
      </c>
      <c r="AM184" s="1823">
        <v>120662460.69</v>
      </c>
      <c r="AN184" s="1824">
        <v>4.0319451031356791E-2</v>
      </c>
      <c r="AP184" s="1781" t="s">
        <v>3</v>
      </c>
      <c r="AQ184" s="1781" t="s">
        <v>503</v>
      </c>
      <c r="AR184" s="1822" t="s">
        <v>55</v>
      </c>
      <c r="AS184" s="1822">
        <v>7</v>
      </c>
      <c r="AT184" s="1823">
        <v>72243564.560000002</v>
      </c>
      <c r="AU184" s="1825">
        <v>2.2841747857016852E-2</v>
      </c>
      <c r="AV184" s="1781">
        <v>2013</v>
      </c>
      <c r="EA184" s="169"/>
      <c r="EB184" s="169"/>
      <c r="EC184" s="169"/>
      <c r="ED184" s="169"/>
      <c r="EE184" s="169"/>
      <c r="EF184" s="169"/>
      <c r="EG184" s="169"/>
      <c r="EH184" s="169"/>
      <c r="EI184" s="169"/>
      <c r="EJ184" s="169"/>
      <c r="EK184" s="169"/>
      <c r="EL184" s="169"/>
      <c r="EM184" s="169"/>
      <c r="EN184" s="169"/>
      <c r="EO184" s="169"/>
      <c r="EP184" s="169"/>
      <c r="EQ184" s="169"/>
      <c r="ER184" s="169"/>
      <c r="ES184" s="169"/>
      <c r="ET184" s="169"/>
      <c r="EU184" s="169"/>
      <c r="EV184" s="169"/>
      <c r="EW184" s="169"/>
      <c r="EX184" s="169"/>
    </row>
    <row r="185" spans="1:154">
      <c r="A185" s="333">
        <f t="shared" si="4"/>
        <v>1985</v>
      </c>
      <c r="B185" s="333">
        <f t="shared" si="5"/>
        <v>3</v>
      </c>
      <c r="C185" s="1175">
        <v>31291</v>
      </c>
      <c r="D185" s="1158"/>
      <c r="E185" s="1159">
        <v>471.15</v>
      </c>
      <c r="F185" s="1159">
        <v>323.95</v>
      </c>
      <c r="G185" s="1160"/>
      <c r="H185" s="1161"/>
      <c r="I185" s="1160"/>
      <c r="J185" s="1160"/>
      <c r="K185" s="1677">
        <v>4570.97</v>
      </c>
      <c r="L185" s="1677">
        <v>6458.90914229193</v>
      </c>
      <c r="M185" s="1681"/>
      <c r="N185" s="1162"/>
      <c r="O185" s="1162"/>
      <c r="P185" s="1162"/>
      <c r="Q185" s="1163"/>
      <c r="R185" s="1164"/>
      <c r="S185" s="1164"/>
      <c r="T185" s="1164"/>
      <c r="U185" s="1165"/>
      <c r="V185" s="1166"/>
      <c r="W185" s="1166"/>
      <c r="X185" s="635">
        <v>0.7077</v>
      </c>
      <c r="AI185" s="1781" t="s">
        <v>3</v>
      </c>
      <c r="AJ185" s="1826">
        <v>2009</v>
      </c>
      <c r="AK185" s="1822" t="s">
        <v>21</v>
      </c>
      <c r="AL185" s="1822">
        <v>9</v>
      </c>
      <c r="AM185" s="1823">
        <v>73300326.280000001</v>
      </c>
      <c r="AN185" s="1824">
        <v>2.4493358573399862E-2</v>
      </c>
      <c r="AP185" s="1781" t="s">
        <v>3</v>
      </c>
      <c r="AQ185" s="1781" t="s">
        <v>503</v>
      </c>
      <c r="AR185" s="1822" t="s">
        <v>63</v>
      </c>
      <c r="AS185" s="1822">
        <v>8</v>
      </c>
      <c r="AT185" s="1823">
        <v>42226945.059999995</v>
      </c>
      <c r="AU185" s="1825">
        <v>1.3351185502918424E-2</v>
      </c>
      <c r="AV185" s="1781">
        <v>2013</v>
      </c>
      <c r="AX185" s="1925"/>
      <c r="EA185" s="169"/>
      <c r="EB185" s="169"/>
      <c r="EC185" s="169"/>
      <c r="ED185" s="169"/>
      <c r="EE185" s="169"/>
      <c r="EF185" s="169"/>
      <c r="EG185" s="169"/>
      <c r="EH185" s="169"/>
      <c r="EI185" s="169"/>
      <c r="EJ185" s="169"/>
      <c r="EK185" s="169"/>
      <c r="EL185" s="169"/>
      <c r="EM185" s="169"/>
      <c r="EN185" s="169"/>
      <c r="EO185" s="169"/>
      <c r="EP185" s="169"/>
      <c r="EQ185" s="169"/>
      <c r="ER185" s="169"/>
      <c r="ES185" s="169"/>
      <c r="ET185" s="169"/>
      <c r="EU185" s="169"/>
      <c r="EV185" s="169"/>
      <c r="EW185" s="169"/>
      <c r="EX185" s="169"/>
    </row>
    <row r="186" spans="1:154">
      <c r="A186" s="333">
        <f t="shared" si="4"/>
        <v>1985</v>
      </c>
      <c r="B186" s="333">
        <f t="shared" si="5"/>
        <v>4</v>
      </c>
      <c r="C186" s="1175">
        <v>31321</v>
      </c>
      <c r="D186" s="1167"/>
      <c r="E186" s="1168">
        <v>464.95</v>
      </c>
      <c r="F186" s="1168">
        <v>323.95</v>
      </c>
      <c r="G186" s="1168"/>
      <c r="H186" s="1167"/>
      <c r="I186" s="1168"/>
      <c r="J186" s="1168"/>
      <c r="K186" s="1678">
        <v>4240.22</v>
      </c>
      <c r="L186" s="1678">
        <v>6055.7269351613804</v>
      </c>
      <c r="M186" s="1682"/>
      <c r="N186" s="1169"/>
      <c r="O186" s="1169"/>
      <c r="P186" s="1169"/>
      <c r="Q186" s="1167"/>
      <c r="R186" s="1167"/>
      <c r="S186" s="1167"/>
      <c r="T186" s="1167"/>
      <c r="U186" s="1167"/>
      <c r="V186" s="1167"/>
      <c r="W186" s="1167"/>
      <c r="X186" s="344">
        <v>0.70020000000000004</v>
      </c>
      <c r="AI186" s="1781" t="s">
        <v>3</v>
      </c>
      <c r="AJ186" s="1826">
        <v>2009</v>
      </c>
      <c r="AK186" s="1822" t="s">
        <v>54</v>
      </c>
      <c r="AL186" s="1822">
        <v>10</v>
      </c>
      <c r="AM186" s="1823">
        <v>52755004.419999994</v>
      </c>
      <c r="AN186" s="1824">
        <v>1.7628123984939435E-2</v>
      </c>
      <c r="AP186" s="1781" t="s">
        <v>3</v>
      </c>
      <c r="AQ186" s="1781" t="s">
        <v>503</v>
      </c>
      <c r="AR186" s="1822" t="s">
        <v>60</v>
      </c>
      <c r="AS186" s="1822">
        <v>9</v>
      </c>
      <c r="AT186" s="1823">
        <v>41440494.329999998</v>
      </c>
      <c r="AU186" s="1825">
        <v>1.3102527932018703E-2</v>
      </c>
      <c r="AV186" s="1781">
        <v>2013</v>
      </c>
      <c r="EA186" s="169"/>
      <c r="EB186" s="169"/>
      <c r="EC186" s="169"/>
      <c r="ED186" s="169"/>
      <c r="EE186" s="169"/>
      <c r="EF186" s="169"/>
      <c r="EG186" s="169"/>
      <c r="EH186" s="169"/>
      <c r="EI186" s="169"/>
      <c r="EJ186" s="169"/>
      <c r="EK186" s="169"/>
      <c r="EL186" s="169"/>
      <c r="EM186" s="169"/>
      <c r="EN186" s="169"/>
      <c r="EO186" s="169"/>
      <c r="EP186" s="169"/>
      <c r="EQ186" s="169"/>
      <c r="ER186" s="169"/>
      <c r="ES186" s="169"/>
      <c r="ET186" s="169"/>
      <c r="EU186" s="169"/>
      <c r="EV186" s="169"/>
      <c r="EW186" s="169"/>
      <c r="EX186" s="169"/>
    </row>
    <row r="187" spans="1:154">
      <c r="A187" s="333">
        <f t="shared" si="4"/>
        <v>1985</v>
      </c>
      <c r="B187" s="333">
        <f t="shared" si="5"/>
        <v>4</v>
      </c>
      <c r="C187" s="1175">
        <v>31352</v>
      </c>
      <c r="D187" s="1158"/>
      <c r="E187" s="1159">
        <v>480.8</v>
      </c>
      <c r="F187" s="1159">
        <v>325.60000000000002</v>
      </c>
      <c r="G187" s="1160"/>
      <c r="H187" s="1161"/>
      <c r="I187" s="1160"/>
      <c r="J187" s="1160"/>
      <c r="K187" s="1677">
        <v>4035.15</v>
      </c>
      <c r="L187" s="1677">
        <v>5890.7299270072999</v>
      </c>
      <c r="M187" s="1681"/>
      <c r="N187" s="1162"/>
      <c r="O187" s="1162"/>
      <c r="P187" s="1162"/>
      <c r="Q187" s="1163"/>
      <c r="R187" s="1164"/>
      <c r="S187" s="1164"/>
      <c r="T187" s="1164"/>
      <c r="U187" s="1165"/>
      <c r="V187" s="1166"/>
      <c r="W187" s="1166"/>
      <c r="X187" s="635">
        <v>0.68500000000000005</v>
      </c>
      <c r="AI187" s="1781" t="s">
        <v>3</v>
      </c>
      <c r="AJ187" s="1826">
        <v>2009</v>
      </c>
      <c r="AK187" s="1822" t="s">
        <v>39</v>
      </c>
      <c r="AL187" s="1822"/>
      <c r="AM187" s="1823">
        <v>149356286.89999866</v>
      </c>
      <c r="AN187" s="1824">
        <v>4.9907514412134368E-2</v>
      </c>
      <c r="AP187" s="1781" t="s">
        <v>3</v>
      </c>
      <c r="AQ187" s="1781" t="s">
        <v>503</v>
      </c>
      <c r="AR187" s="1822" t="s">
        <v>21</v>
      </c>
      <c r="AS187" s="1822">
        <v>10</v>
      </c>
      <c r="AT187" s="1823">
        <v>27893807.25</v>
      </c>
      <c r="AU187" s="1825">
        <v>8.8193781114934595E-3</v>
      </c>
      <c r="AV187" s="1781">
        <v>2013</v>
      </c>
      <c r="EA187" s="169"/>
      <c r="EB187" s="169"/>
      <c r="EC187" s="169"/>
      <c r="ED187" s="169"/>
      <c r="EE187" s="169"/>
      <c r="EF187" s="169"/>
      <c r="EG187" s="169"/>
      <c r="EH187" s="169"/>
      <c r="EI187" s="169"/>
      <c r="EJ187" s="169"/>
      <c r="EK187" s="169"/>
      <c r="EL187" s="169"/>
      <c r="EM187" s="169"/>
      <c r="EN187" s="169"/>
      <c r="EO187" s="169"/>
      <c r="EP187" s="169"/>
      <c r="EQ187" s="169"/>
      <c r="ER187" s="169"/>
      <c r="ES187" s="169"/>
      <c r="ET187" s="169"/>
      <c r="EU187" s="169"/>
      <c r="EV187" s="169"/>
      <c r="EW187" s="169"/>
      <c r="EX187" s="169"/>
    </row>
    <row r="188" spans="1:154">
      <c r="A188" s="333">
        <f t="shared" si="4"/>
        <v>1985</v>
      </c>
      <c r="B188" s="333">
        <f t="shared" si="5"/>
        <v>4</v>
      </c>
      <c r="C188" s="1175">
        <v>31382</v>
      </c>
      <c r="D188" s="1167"/>
      <c r="E188" s="1168">
        <v>474.1</v>
      </c>
      <c r="F188" s="1168">
        <v>322.10000000000002</v>
      </c>
      <c r="G188" s="1168"/>
      <c r="H188" s="1167"/>
      <c r="I188" s="1168"/>
      <c r="J188" s="1168"/>
      <c r="K188" s="1678">
        <v>4090.28</v>
      </c>
      <c r="L188" s="1678">
        <v>6007.1669848729598</v>
      </c>
      <c r="M188" s="1682"/>
      <c r="N188" s="1169"/>
      <c r="O188" s="1169"/>
      <c r="P188" s="1169"/>
      <c r="Q188" s="1167"/>
      <c r="R188" s="1167"/>
      <c r="S188" s="1167"/>
      <c r="T188" s="1167"/>
      <c r="U188" s="1167"/>
      <c r="V188" s="1167"/>
      <c r="W188" s="1167"/>
      <c r="X188" s="344">
        <v>0.68089999999999995</v>
      </c>
      <c r="AI188" s="1781" t="s">
        <v>3</v>
      </c>
      <c r="AJ188" s="1826">
        <v>2009</v>
      </c>
      <c r="AK188" s="1822" t="s">
        <v>386</v>
      </c>
      <c r="AL188" s="1822"/>
      <c r="AM188" s="1823">
        <v>2992661298.7899995</v>
      </c>
      <c r="AN188" s="1824"/>
      <c r="AP188" s="1781" t="s">
        <v>3</v>
      </c>
      <c r="AQ188" s="1781" t="s">
        <v>503</v>
      </c>
      <c r="AR188" s="1822" t="s">
        <v>39</v>
      </c>
      <c r="AS188" s="1822"/>
      <c r="AT188" s="1823">
        <v>96919469.699999809</v>
      </c>
      <c r="AU188" s="1825">
        <v>3.0643699584958304E-2</v>
      </c>
      <c r="AV188" s="1781">
        <v>2013</v>
      </c>
      <c r="AX188" s="1925"/>
      <c r="EA188" s="169"/>
      <c r="EB188" s="169"/>
      <c r="EC188" s="169"/>
      <c r="ED188" s="169"/>
      <c r="EE188" s="169"/>
      <c r="EF188" s="169"/>
      <c r="EG188" s="169"/>
      <c r="EH188" s="169"/>
      <c r="EI188" s="169"/>
      <c r="EJ188" s="169"/>
      <c r="EK188" s="169"/>
      <c r="EL188" s="169"/>
      <c r="EM188" s="169"/>
      <c r="EN188" s="169"/>
      <c r="EO188" s="169"/>
      <c r="EP188" s="169"/>
      <c r="EQ188" s="169"/>
      <c r="ER188" s="169"/>
      <c r="ES188" s="169"/>
      <c r="ET188" s="169"/>
      <c r="EU188" s="169"/>
      <c r="EV188" s="169"/>
      <c r="EW188" s="169"/>
      <c r="EX188" s="169"/>
    </row>
    <row r="189" spans="1:154">
      <c r="A189" s="333">
        <f t="shared" si="4"/>
        <v>1986</v>
      </c>
      <c r="B189" s="333">
        <f t="shared" si="5"/>
        <v>1</v>
      </c>
      <c r="C189" s="1175">
        <v>31413</v>
      </c>
      <c r="D189" s="1158">
        <v>182.70780022524929</v>
      </c>
      <c r="E189" s="1159">
        <v>493.2</v>
      </c>
      <c r="F189" s="1159">
        <v>343.7</v>
      </c>
      <c r="G189" s="1160"/>
      <c r="H189" s="1161"/>
      <c r="I189" s="1160"/>
      <c r="J189" s="1160"/>
      <c r="K189" s="1677">
        <v>4035.15</v>
      </c>
      <c r="L189" s="1677">
        <v>5639.6226415094297</v>
      </c>
      <c r="M189" s="1681"/>
      <c r="N189" s="1162">
        <v>1982.3</v>
      </c>
      <c r="O189" s="1162">
        <v>514.55717959468905</v>
      </c>
      <c r="P189" s="1162">
        <v>899.32996645702303</v>
      </c>
      <c r="Q189" s="1163">
        <v>17</v>
      </c>
      <c r="R189" s="1164">
        <v>570</v>
      </c>
      <c r="S189" s="1164">
        <v>170</v>
      </c>
      <c r="T189" s="1164"/>
      <c r="U189" s="1165"/>
      <c r="V189" s="1166"/>
      <c r="W189" s="1166"/>
      <c r="X189" s="635">
        <v>0.71550000000000002</v>
      </c>
      <c r="AI189" s="1781" t="s">
        <v>3</v>
      </c>
      <c r="AJ189" s="1826">
        <v>2008</v>
      </c>
      <c r="AK189" s="1822" t="s">
        <v>18</v>
      </c>
      <c r="AL189" s="1822">
        <v>1</v>
      </c>
      <c r="AM189" s="1823">
        <v>1132994377.54</v>
      </c>
      <c r="AN189" s="1824">
        <v>0.28739276902443622</v>
      </c>
      <c r="AP189" s="1781" t="s">
        <v>3</v>
      </c>
      <c r="AQ189" s="1781" t="s">
        <v>503</v>
      </c>
      <c r="AR189" s="1822" t="s">
        <v>386</v>
      </c>
      <c r="AS189" s="1822"/>
      <c r="AT189" s="1823">
        <v>3162786184.8500004</v>
      </c>
      <c r="AU189" s="1825"/>
      <c r="AV189" s="1781">
        <v>2013</v>
      </c>
      <c r="EA189" s="169"/>
      <c r="EB189" s="169"/>
      <c r="EC189" s="169"/>
      <c r="ED189" s="169"/>
      <c r="EE189" s="169"/>
      <c r="EF189" s="169"/>
      <c r="EG189" s="169"/>
      <c r="EH189" s="169"/>
      <c r="EI189" s="169"/>
      <c r="EJ189" s="169"/>
      <c r="EK189" s="169"/>
      <c r="EL189" s="169"/>
      <c r="EM189" s="169"/>
      <c r="EN189" s="169"/>
      <c r="EO189" s="169"/>
      <c r="EP189" s="169"/>
      <c r="EQ189" s="169"/>
      <c r="ER189" s="169"/>
      <c r="ES189" s="169"/>
      <c r="ET189" s="169"/>
      <c r="EU189" s="169"/>
      <c r="EV189" s="169"/>
      <c r="EW189" s="169"/>
      <c r="EX189" s="169"/>
    </row>
    <row r="190" spans="1:154">
      <c r="A190" s="333">
        <f t="shared" si="4"/>
        <v>1986</v>
      </c>
      <c r="B190" s="333">
        <f t="shared" si="5"/>
        <v>1</v>
      </c>
      <c r="C190" s="1175">
        <v>31444</v>
      </c>
      <c r="D190" s="1167">
        <v>175.54902821350586</v>
      </c>
      <c r="E190" s="1168">
        <v>487.4</v>
      </c>
      <c r="F190" s="1168">
        <v>339.85</v>
      </c>
      <c r="G190" s="1168"/>
      <c r="H190" s="1167"/>
      <c r="I190" s="1168"/>
      <c r="J190" s="1168"/>
      <c r="K190" s="1678">
        <v>3941.87</v>
      </c>
      <c r="L190" s="1678">
        <v>5621.6058185966904</v>
      </c>
      <c r="M190" s="1682"/>
      <c r="N190" s="1169">
        <v>2003.9</v>
      </c>
      <c r="O190" s="1169">
        <v>523.14530519110087</v>
      </c>
      <c r="P190" s="1169">
        <v>867.19857672561318</v>
      </c>
      <c r="Q190" s="1167">
        <v>17</v>
      </c>
      <c r="R190" s="1167">
        <v>570</v>
      </c>
      <c r="S190" s="1167">
        <v>170</v>
      </c>
      <c r="T190" s="1167"/>
      <c r="U190" s="1167"/>
      <c r="V190" s="1167"/>
      <c r="W190" s="1167"/>
      <c r="X190" s="344">
        <v>0.70120000000000005</v>
      </c>
      <c r="AI190" s="1781" t="s">
        <v>3</v>
      </c>
      <c r="AJ190" s="1826">
        <v>2008</v>
      </c>
      <c r="AK190" s="1822" t="s">
        <v>57</v>
      </c>
      <c r="AL190" s="1822">
        <v>2</v>
      </c>
      <c r="AM190" s="1823">
        <v>916226599.57000041</v>
      </c>
      <c r="AN190" s="1824">
        <v>0.23240794899264133</v>
      </c>
      <c r="AP190" s="1781" t="s">
        <v>3</v>
      </c>
      <c r="AQ190" s="1781" t="s">
        <v>502</v>
      </c>
      <c r="AR190" s="1822" t="s">
        <v>18</v>
      </c>
      <c r="AS190" s="1822">
        <v>1</v>
      </c>
      <c r="AT190" s="1823">
        <v>1201341767</v>
      </c>
      <c r="AU190" s="1825">
        <v>0.34899999999999998</v>
      </c>
      <c r="AV190" s="1781">
        <v>2012</v>
      </c>
      <c r="EA190" s="169"/>
      <c r="EB190" s="169"/>
      <c r="EC190" s="169"/>
      <c r="ED190" s="169"/>
      <c r="EE190" s="169"/>
      <c r="EF190" s="169"/>
      <c r="EG190" s="169"/>
      <c r="EH190" s="169"/>
      <c r="EI190" s="169"/>
      <c r="EJ190" s="169"/>
      <c r="EK190" s="169"/>
      <c r="EL190" s="169"/>
      <c r="EM190" s="169"/>
      <c r="EN190" s="169"/>
      <c r="EO190" s="169"/>
      <c r="EP190" s="169"/>
      <c r="EQ190" s="169"/>
      <c r="ER190" s="169"/>
      <c r="ES190" s="169"/>
      <c r="ET190" s="169"/>
      <c r="EU190" s="169"/>
      <c r="EV190" s="169"/>
      <c r="EW190" s="169"/>
      <c r="EX190" s="169"/>
    </row>
    <row r="191" spans="1:154">
      <c r="A191" s="333">
        <f t="shared" si="4"/>
        <v>1986</v>
      </c>
      <c r="B191" s="333">
        <f t="shared" si="5"/>
        <v>1</v>
      </c>
      <c r="C191" s="1175">
        <v>31472</v>
      </c>
      <c r="D191" s="1158">
        <v>174.27</v>
      </c>
      <c r="E191" s="1159">
        <v>490.55</v>
      </c>
      <c r="F191" s="1159">
        <v>346.7</v>
      </c>
      <c r="G191" s="1160"/>
      <c r="H191" s="1161"/>
      <c r="I191" s="1160"/>
      <c r="J191" s="1160"/>
      <c r="K191" s="1677">
        <v>4084.11</v>
      </c>
      <c r="L191" s="1677">
        <v>5736.9152970922896</v>
      </c>
      <c r="M191" s="1681"/>
      <c r="N191" s="1162">
        <v>2027.73</v>
      </c>
      <c r="O191" s="1162">
        <v>514.83637589549085</v>
      </c>
      <c r="P191" s="1162">
        <v>877.42998735777508</v>
      </c>
      <c r="Q191" s="1163">
        <v>16.875</v>
      </c>
      <c r="R191" s="1164">
        <v>570</v>
      </c>
      <c r="S191" s="1164">
        <v>170</v>
      </c>
      <c r="T191" s="1164"/>
      <c r="U191" s="1165"/>
      <c r="V191" s="1166"/>
      <c r="W191" s="1166"/>
      <c r="X191" s="635">
        <v>0.71189999999999998</v>
      </c>
      <c r="AI191" s="1781" t="s">
        <v>3</v>
      </c>
      <c r="AJ191" s="1826">
        <v>2008</v>
      </c>
      <c r="AK191" s="1822" t="s">
        <v>27</v>
      </c>
      <c r="AL191" s="1822">
        <v>3</v>
      </c>
      <c r="AM191" s="1823">
        <v>433537841.49999988</v>
      </c>
      <c r="AN191" s="1824">
        <v>0.10997021981352532</v>
      </c>
      <c r="AP191" s="1781" t="s">
        <v>3</v>
      </c>
      <c r="AQ191" s="1781" t="s">
        <v>502</v>
      </c>
      <c r="AR191" s="1822" t="s">
        <v>25</v>
      </c>
      <c r="AS191" s="1822">
        <v>2</v>
      </c>
      <c r="AT191" s="1823">
        <v>890845573</v>
      </c>
      <c r="AU191" s="1825">
        <v>0.25900000000000001</v>
      </c>
      <c r="AV191" s="1781">
        <v>2012</v>
      </c>
      <c r="EA191" s="169"/>
      <c r="EB191" s="169"/>
      <c r="EC191" s="169"/>
      <c r="ED191" s="169"/>
      <c r="EE191" s="169"/>
      <c r="EF191" s="169"/>
      <c r="EG191" s="169"/>
      <c r="EH191" s="169"/>
      <c r="EI191" s="169"/>
      <c r="EJ191" s="169"/>
      <c r="EK191" s="169"/>
      <c r="EL191" s="169"/>
      <c r="EM191" s="169"/>
      <c r="EN191" s="169"/>
      <c r="EO191" s="169"/>
      <c r="EP191" s="169"/>
      <c r="EQ191" s="169"/>
      <c r="ER191" s="169"/>
      <c r="ES191" s="169"/>
      <c r="ET191" s="169"/>
      <c r="EU191" s="169"/>
      <c r="EV191" s="169"/>
      <c r="EW191" s="169"/>
      <c r="EX191" s="169"/>
    </row>
    <row r="192" spans="1:154">
      <c r="A192" s="333">
        <f t="shared" si="4"/>
        <v>1986</v>
      </c>
      <c r="B192" s="333">
        <f t="shared" si="5"/>
        <v>2</v>
      </c>
      <c r="C192" s="1175">
        <v>31503</v>
      </c>
      <c r="D192" s="1167">
        <v>181.19</v>
      </c>
      <c r="E192" s="1168">
        <v>473.2</v>
      </c>
      <c r="F192" s="1168">
        <v>341</v>
      </c>
      <c r="G192" s="1168"/>
      <c r="H192" s="1167"/>
      <c r="I192" s="1168"/>
      <c r="J192" s="1168"/>
      <c r="K192" s="1678">
        <v>3996.48</v>
      </c>
      <c r="L192" s="1678">
        <v>5407.2250033824903</v>
      </c>
      <c r="M192" s="1682"/>
      <c r="N192" s="1169">
        <v>1938.59</v>
      </c>
      <c r="O192" s="1169">
        <v>498.85907725612236</v>
      </c>
      <c r="P192" s="1169">
        <v>891.37670139358681</v>
      </c>
      <c r="Q192" s="1167">
        <v>17.074999999999999</v>
      </c>
      <c r="R192" s="1167">
        <v>570</v>
      </c>
      <c r="S192" s="1167">
        <v>170</v>
      </c>
      <c r="T192" s="1167"/>
      <c r="U192" s="1167"/>
      <c r="V192" s="1167"/>
      <c r="W192" s="1167"/>
      <c r="X192" s="344">
        <v>0.73909999999999998</v>
      </c>
      <c r="AI192" s="1781" t="s">
        <v>3</v>
      </c>
      <c r="AJ192" s="1826">
        <v>2008</v>
      </c>
      <c r="AK192" s="1822" t="s">
        <v>758</v>
      </c>
      <c r="AL192" s="1822">
        <v>4</v>
      </c>
      <c r="AM192" s="1823">
        <v>339067595.53999996</v>
      </c>
      <c r="AN192" s="1824">
        <v>8.6007112745145012E-2</v>
      </c>
      <c r="AP192" s="1781" t="s">
        <v>3</v>
      </c>
      <c r="AQ192" s="1781" t="s">
        <v>502</v>
      </c>
      <c r="AR192" s="1822" t="s">
        <v>61</v>
      </c>
      <c r="AS192" s="1822">
        <v>3</v>
      </c>
      <c r="AT192" s="1823">
        <v>319004019</v>
      </c>
      <c r="AU192" s="1825">
        <v>9.2999999999999999E-2</v>
      </c>
      <c r="AV192" s="1781">
        <v>2012</v>
      </c>
      <c r="EA192" s="169"/>
      <c r="EB192" s="169"/>
      <c r="EC192" s="169"/>
      <c r="ED192" s="169"/>
      <c r="EE192" s="169"/>
      <c r="EF192" s="169"/>
      <c r="EG192" s="169"/>
      <c r="EH192" s="169"/>
      <c r="EI192" s="169"/>
      <c r="EJ192" s="169"/>
      <c r="EK192" s="169"/>
      <c r="EL192" s="169"/>
      <c r="EM192" s="169"/>
      <c r="EN192" s="169"/>
      <c r="EO192" s="169"/>
      <c r="EP192" s="169"/>
      <c r="EQ192" s="169"/>
      <c r="ER192" s="169"/>
      <c r="ES192" s="169"/>
      <c r="ET192" s="169"/>
      <c r="EU192" s="169"/>
      <c r="EV192" s="169"/>
      <c r="EW192" s="169"/>
      <c r="EX192" s="169"/>
    </row>
    <row r="193" spans="1:154">
      <c r="A193" s="333">
        <f t="shared" si="4"/>
        <v>1986</v>
      </c>
      <c r="B193" s="333">
        <f t="shared" si="5"/>
        <v>2</v>
      </c>
      <c r="C193" s="1175">
        <v>31533</v>
      </c>
      <c r="D193" s="1158">
        <v>183.64</v>
      </c>
      <c r="E193" s="1159">
        <v>471.55</v>
      </c>
      <c r="F193" s="1159">
        <v>342.45</v>
      </c>
      <c r="G193" s="1160"/>
      <c r="H193" s="1161"/>
      <c r="I193" s="1160"/>
      <c r="J193" s="1160"/>
      <c r="K193" s="1677">
        <v>4072.51</v>
      </c>
      <c r="L193" s="1677">
        <v>5683.1007535584704</v>
      </c>
      <c r="M193" s="1681"/>
      <c r="N193" s="1162">
        <v>1980.87</v>
      </c>
      <c r="O193" s="1162">
        <v>525.23963159363655</v>
      </c>
      <c r="P193" s="1162">
        <v>987.35276862963985</v>
      </c>
      <c r="Q193" s="1163">
        <v>17.074999999999999</v>
      </c>
      <c r="R193" s="1164">
        <v>570</v>
      </c>
      <c r="S193" s="1164">
        <v>175</v>
      </c>
      <c r="T193" s="1164"/>
      <c r="U193" s="1165"/>
      <c r="V193" s="1166"/>
      <c r="W193" s="1166"/>
      <c r="X193" s="635">
        <v>0.71660000000000001</v>
      </c>
      <c r="AI193" s="1781" t="s">
        <v>3</v>
      </c>
      <c r="AJ193" s="1826">
        <v>2008</v>
      </c>
      <c r="AK193" s="1822" t="s">
        <v>61</v>
      </c>
      <c r="AL193" s="1822">
        <v>5</v>
      </c>
      <c r="AM193" s="1823">
        <v>278600831.39000005</v>
      </c>
      <c r="AN193" s="1824">
        <v>7.0669251298076635E-2</v>
      </c>
      <c r="AP193" s="1781" t="s">
        <v>3</v>
      </c>
      <c r="AQ193" s="1781" t="s">
        <v>502</v>
      </c>
      <c r="AR193" s="1822" t="s">
        <v>23</v>
      </c>
      <c r="AS193" s="1822">
        <v>4</v>
      </c>
      <c r="AT193" s="1823">
        <v>247388545</v>
      </c>
      <c r="AU193" s="1825">
        <v>7.1999999999999995E-2</v>
      </c>
      <c r="AV193" s="1781">
        <v>2012</v>
      </c>
      <c r="EA193" s="169"/>
      <c r="EB193" s="169"/>
      <c r="EC193" s="169"/>
      <c r="ED193" s="169"/>
      <c r="EE193" s="169"/>
      <c r="EF193" s="169"/>
      <c r="EG193" s="169"/>
      <c r="EH193" s="169"/>
      <c r="EI193" s="169"/>
      <c r="EJ193" s="169"/>
      <c r="EK193" s="169"/>
      <c r="EL193" s="169"/>
      <c r="EM193" s="169"/>
      <c r="EN193" s="169"/>
      <c r="EO193" s="169"/>
      <c r="EP193" s="169"/>
      <c r="EQ193" s="169"/>
      <c r="ER193" s="169"/>
      <c r="ES193" s="169"/>
      <c r="ET193" s="169"/>
      <c r="EU193" s="169"/>
      <c r="EV193" s="169"/>
      <c r="EW193" s="169"/>
      <c r="EX193" s="169"/>
    </row>
    <row r="194" spans="1:154">
      <c r="A194" s="333">
        <f t="shared" si="4"/>
        <v>1986</v>
      </c>
      <c r="B194" s="333">
        <f t="shared" si="5"/>
        <v>2</v>
      </c>
      <c r="C194" s="1175">
        <v>31564</v>
      </c>
      <c r="D194" s="1167">
        <v>170</v>
      </c>
      <c r="E194" s="1168">
        <v>499</v>
      </c>
      <c r="F194" s="1168">
        <v>341.5</v>
      </c>
      <c r="G194" s="1168"/>
      <c r="H194" s="1167"/>
      <c r="I194" s="1168"/>
      <c r="J194" s="1168"/>
      <c r="K194" s="1678">
        <v>4100.54</v>
      </c>
      <c r="L194" s="1678">
        <v>6055.1388068517399</v>
      </c>
      <c r="M194" s="1682"/>
      <c r="N194" s="1169">
        <v>2084.91</v>
      </c>
      <c r="O194" s="1169">
        <v>616.40402244536313</v>
      </c>
      <c r="P194" s="1169">
        <v>1185.4146012994684</v>
      </c>
      <c r="Q194" s="1167">
        <v>17.074999999999999</v>
      </c>
      <c r="R194" s="1167">
        <v>570</v>
      </c>
      <c r="S194" s="1167">
        <v>175</v>
      </c>
      <c r="T194" s="1167"/>
      <c r="U194" s="1167"/>
      <c r="V194" s="1167"/>
      <c r="W194" s="1167"/>
      <c r="X194" s="344">
        <v>0.67720000000000002</v>
      </c>
      <c r="AI194" s="1781" t="s">
        <v>3</v>
      </c>
      <c r="AJ194" s="1826">
        <v>2008</v>
      </c>
      <c r="AK194" s="1822" t="s">
        <v>23</v>
      </c>
      <c r="AL194" s="1822">
        <v>6</v>
      </c>
      <c r="AM194" s="1823">
        <v>235449737</v>
      </c>
      <c r="AN194" s="1824">
        <v>5.9723643138834825E-2</v>
      </c>
      <c r="AP194" s="1781" t="s">
        <v>3</v>
      </c>
      <c r="AQ194" s="1781" t="s">
        <v>502</v>
      </c>
      <c r="AR194" s="1822" t="s">
        <v>56</v>
      </c>
      <c r="AS194" s="1822">
        <v>5</v>
      </c>
      <c r="AT194" s="1823">
        <v>167046806</v>
      </c>
      <c r="AU194" s="1825">
        <v>4.9000000000000002E-2</v>
      </c>
      <c r="AV194" s="1781">
        <v>2012</v>
      </c>
      <c r="EA194" s="169"/>
      <c r="EB194" s="169"/>
      <c r="EC194" s="169"/>
      <c r="ED194" s="169"/>
      <c r="EE194" s="169"/>
      <c r="EF194" s="169"/>
      <c r="EG194" s="169"/>
      <c r="EH194" s="169"/>
      <c r="EI194" s="169"/>
      <c r="EJ194" s="169"/>
      <c r="EK194" s="169"/>
      <c r="EL194" s="169"/>
      <c r="EM194" s="169"/>
      <c r="EN194" s="169"/>
      <c r="EO194" s="169"/>
      <c r="EP194" s="169"/>
      <c r="EQ194" s="169"/>
      <c r="ER194" s="169"/>
      <c r="ES194" s="169"/>
      <c r="ET194" s="169"/>
      <c r="EU194" s="169"/>
      <c r="EV194" s="169"/>
      <c r="EW194" s="169"/>
      <c r="EX194" s="169"/>
    </row>
    <row r="195" spans="1:154">
      <c r="A195" s="333">
        <f t="shared" si="4"/>
        <v>1986</v>
      </c>
      <c r="B195" s="333">
        <f t="shared" si="5"/>
        <v>3</v>
      </c>
      <c r="C195" s="1175">
        <v>31594</v>
      </c>
      <c r="D195" s="1158">
        <v>181.48</v>
      </c>
      <c r="E195" s="1159">
        <v>552.6</v>
      </c>
      <c r="F195" s="1159">
        <v>348.5</v>
      </c>
      <c r="G195" s="1160"/>
      <c r="H195" s="1161"/>
      <c r="I195" s="1160"/>
      <c r="J195" s="1160"/>
      <c r="K195" s="1677">
        <v>3964.14</v>
      </c>
      <c r="L195" s="1677">
        <v>6628.9966555183901</v>
      </c>
      <c r="M195" s="1681"/>
      <c r="N195" s="1162">
        <v>2250.5</v>
      </c>
      <c r="O195" s="1162">
        <v>635.44558695652177</v>
      </c>
      <c r="P195" s="1162">
        <v>1350.4196739130437</v>
      </c>
      <c r="Q195" s="1163">
        <v>17.074999999999999</v>
      </c>
      <c r="R195" s="1164">
        <v>570</v>
      </c>
      <c r="S195" s="1164">
        <v>175</v>
      </c>
      <c r="T195" s="1164"/>
      <c r="U195" s="1165"/>
      <c r="V195" s="1166"/>
      <c r="W195" s="1166"/>
      <c r="X195" s="635">
        <v>0.59799999999999998</v>
      </c>
      <c r="AI195" s="1781" t="s">
        <v>3</v>
      </c>
      <c r="AJ195" s="1826">
        <v>2008</v>
      </c>
      <c r="AK195" s="1822" t="s">
        <v>54</v>
      </c>
      <c r="AL195" s="1822">
        <v>7</v>
      </c>
      <c r="AM195" s="1823">
        <v>211900040.71000004</v>
      </c>
      <c r="AN195" s="1824">
        <v>5.3750080903545938E-2</v>
      </c>
      <c r="AP195" s="1781" t="s">
        <v>3</v>
      </c>
      <c r="AQ195" s="1781" t="s">
        <v>502</v>
      </c>
      <c r="AR195" s="1822" t="s">
        <v>758</v>
      </c>
      <c r="AS195" s="1822">
        <v>6</v>
      </c>
      <c r="AT195" s="1823">
        <v>161955945</v>
      </c>
      <c r="AU195" s="1825">
        <v>4.7E-2</v>
      </c>
      <c r="AV195" s="1781">
        <v>2012</v>
      </c>
      <c r="EA195" s="169"/>
      <c r="EB195" s="169"/>
      <c r="EC195" s="169"/>
      <c r="ED195" s="169"/>
      <c r="EE195" s="169"/>
      <c r="EF195" s="169"/>
      <c r="EG195" s="169"/>
      <c r="EH195" s="169"/>
      <c r="EI195" s="169"/>
      <c r="EJ195" s="169"/>
      <c r="EK195" s="169"/>
      <c r="EL195" s="169"/>
      <c r="EM195" s="169"/>
      <c r="EN195" s="169"/>
      <c r="EO195" s="169"/>
      <c r="EP195" s="169"/>
      <c r="EQ195" s="169"/>
      <c r="ER195" s="169"/>
      <c r="ES195" s="169"/>
      <c r="ET195" s="169"/>
      <c r="EU195" s="169"/>
      <c r="EV195" s="169"/>
      <c r="EW195" s="169"/>
      <c r="EX195" s="169"/>
    </row>
    <row r="196" spans="1:154">
      <c r="A196" s="333">
        <f t="shared" si="4"/>
        <v>1986</v>
      </c>
      <c r="B196" s="333">
        <f t="shared" si="5"/>
        <v>3</v>
      </c>
      <c r="C196" s="1175">
        <v>31625</v>
      </c>
      <c r="D196" s="1167">
        <v>198.9</v>
      </c>
      <c r="E196" s="1168">
        <v>616.15</v>
      </c>
      <c r="F196" s="1168">
        <v>375.8</v>
      </c>
      <c r="G196" s="1168"/>
      <c r="H196" s="1167"/>
      <c r="I196" s="1168"/>
      <c r="J196" s="1168"/>
      <c r="K196" s="1678">
        <v>3797.03</v>
      </c>
      <c r="L196" s="1678">
        <v>6239.9835661462603</v>
      </c>
      <c r="M196" s="1682"/>
      <c r="N196" s="1169">
        <v>2140.96</v>
      </c>
      <c r="O196" s="1169">
        <v>643.95196055875101</v>
      </c>
      <c r="P196" s="1169">
        <v>1341.1553919474115</v>
      </c>
      <c r="Q196" s="1167">
        <v>17.100000000000001</v>
      </c>
      <c r="R196" s="1167">
        <v>630</v>
      </c>
      <c r="S196" s="1167">
        <v>175</v>
      </c>
      <c r="T196" s="1167"/>
      <c r="U196" s="1167"/>
      <c r="V196" s="1167"/>
      <c r="W196" s="1167"/>
      <c r="X196" s="344">
        <v>0.60850000000000004</v>
      </c>
      <c r="AI196" s="1781" t="s">
        <v>3</v>
      </c>
      <c r="AJ196" s="1826">
        <v>2008</v>
      </c>
      <c r="AK196" s="1822" t="s">
        <v>24</v>
      </c>
      <c r="AL196" s="1822">
        <v>8</v>
      </c>
      <c r="AM196" s="1823">
        <v>106707286.03999999</v>
      </c>
      <c r="AN196" s="1824">
        <v>2.7067126737824857E-2</v>
      </c>
      <c r="AP196" s="1781" t="s">
        <v>3</v>
      </c>
      <c r="AQ196" s="1781" t="s">
        <v>502</v>
      </c>
      <c r="AR196" s="1822" t="s">
        <v>60</v>
      </c>
      <c r="AS196" s="1822">
        <v>7</v>
      </c>
      <c r="AT196" s="1823">
        <v>90611835</v>
      </c>
      <c r="AU196" s="1825">
        <v>2.5999999999999999E-2</v>
      </c>
      <c r="AV196" s="1781">
        <v>2012</v>
      </c>
      <c r="EA196" s="169"/>
      <c r="EB196" s="169"/>
      <c r="EC196" s="169"/>
      <c r="ED196" s="169"/>
      <c r="EE196" s="169"/>
      <c r="EF196" s="169"/>
      <c r="EG196" s="169"/>
      <c r="EH196" s="169"/>
      <c r="EI196" s="169"/>
      <c r="EJ196" s="169"/>
      <c r="EK196" s="169"/>
      <c r="EL196" s="169"/>
      <c r="EM196" s="169"/>
      <c r="EN196" s="169"/>
      <c r="EO196" s="169"/>
      <c r="EP196" s="169"/>
      <c r="EQ196" s="169"/>
      <c r="ER196" s="169"/>
      <c r="ES196" s="169"/>
      <c r="ET196" s="169"/>
      <c r="EU196" s="169"/>
      <c r="EV196" s="169"/>
      <c r="EW196" s="169"/>
      <c r="EX196" s="169"/>
    </row>
    <row r="197" spans="1:154">
      <c r="A197" s="333">
        <f t="shared" si="4"/>
        <v>1986</v>
      </c>
      <c r="B197" s="333">
        <f t="shared" si="5"/>
        <v>3</v>
      </c>
      <c r="C197" s="1175">
        <v>31656</v>
      </c>
      <c r="D197" s="1158">
        <v>195.93</v>
      </c>
      <c r="E197" s="1159">
        <v>673.85</v>
      </c>
      <c r="F197" s="1159">
        <v>415.9</v>
      </c>
      <c r="G197" s="1160"/>
      <c r="H197" s="1161"/>
      <c r="I197" s="1160"/>
      <c r="J197" s="1160"/>
      <c r="K197" s="1677">
        <v>3738.96</v>
      </c>
      <c r="L197" s="1677">
        <v>5959.4517054510698</v>
      </c>
      <c r="M197" s="1681"/>
      <c r="N197" s="1162">
        <v>2150.56</v>
      </c>
      <c r="O197" s="1162">
        <v>649.66114121772409</v>
      </c>
      <c r="P197" s="1162">
        <v>1390.0283583041123</v>
      </c>
      <c r="Q197" s="1163">
        <v>17.375</v>
      </c>
      <c r="R197" s="1164">
        <v>630</v>
      </c>
      <c r="S197" s="1164">
        <v>175</v>
      </c>
      <c r="T197" s="1164"/>
      <c r="U197" s="1165"/>
      <c r="V197" s="1166"/>
      <c r="W197" s="1166"/>
      <c r="X197" s="635">
        <v>0.62739999999999996</v>
      </c>
      <c r="AI197" s="1781" t="s">
        <v>3</v>
      </c>
      <c r="AJ197" s="1826">
        <v>2008</v>
      </c>
      <c r="AK197" s="1822" t="s">
        <v>63</v>
      </c>
      <c r="AL197" s="1822">
        <v>9</v>
      </c>
      <c r="AM197" s="1823">
        <v>103209904.44</v>
      </c>
      <c r="AN197" s="1824">
        <v>2.617998889999951E-2</v>
      </c>
      <c r="AP197" s="1781" t="s">
        <v>3</v>
      </c>
      <c r="AQ197" s="1781" t="s">
        <v>502</v>
      </c>
      <c r="AR197" s="1822" t="s">
        <v>57</v>
      </c>
      <c r="AS197" s="1822">
        <v>8</v>
      </c>
      <c r="AT197" s="1823">
        <v>75525872</v>
      </c>
      <c r="AU197" s="1825">
        <v>2.1999999999999999E-2</v>
      </c>
      <c r="AV197" s="1781">
        <v>2012</v>
      </c>
      <c r="EA197" s="169"/>
      <c r="EB197" s="169"/>
      <c r="EC197" s="169"/>
      <c r="ED197" s="169"/>
      <c r="EE197" s="169"/>
      <c r="EF197" s="169"/>
      <c r="EG197" s="169"/>
      <c r="EH197" s="169"/>
      <c r="EI197" s="169"/>
      <c r="EJ197" s="169"/>
      <c r="EK197" s="169"/>
      <c r="EL197" s="169"/>
      <c r="EM197" s="169"/>
      <c r="EN197" s="169"/>
      <c r="EO197" s="169"/>
      <c r="EP197" s="169"/>
      <c r="EQ197" s="169"/>
      <c r="ER197" s="169"/>
      <c r="ES197" s="169"/>
      <c r="ET197" s="169"/>
      <c r="EU197" s="169"/>
      <c r="EV197" s="169"/>
      <c r="EW197" s="169"/>
      <c r="EX197" s="169"/>
    </row>
    <row r="198" spans="1:154">
      <c r="A198" s="333">
        <f t="shared" si="4"/>
        <v>1986</v>
      </c>
      <c r="B198" s="333">
        <f t="shared" si="5"/>
        <v>4</v>
      </c>
      <c r="C198" s="1175">
        <v>31686</v>
      </c>
      <c r="D198" s="1167">
        <v>200.33</v>
      </c>
      <c r="E198" s="1168">
        <v>668.1</v>
      </c>
      <c r="F198" s="1168">
        <v>424.6</v>
      </c>
      <c r="G198" s="1168"/>
      <c r="H198" s="1167"/>
      <c r="I198" s="1168"/>
      <c r="J198" s="1168"/>
      <c r="K198" s="1678">
        <v>3666.38</v>
      </c>
      <c r="L198" s="1678">
        <v>5710.8722741433003</v>
      </c>
      <c r="M198" s="1682"/>
      <c r="N198" s="1169">
        <v>2052.39</v>
      </c>
      <c r="O198" s="1169">
        <v>676.87060747663554</v>
      </c>
      <c r="P198" s="1169">
        <v>1380.6292242990653</v>
      </c>
      <c r="Q198" s="1167">
        <v>17.024999999999999</v>
      </c>
      <c r="R198" s="1167">
        <v>630</v>
      </c>
      <c r="S198" s="1167">
        <v>175</v>
      </c>
      <c r="T198" s="1167"/>
      <c r="U198" s="1167"/>
      <c r="V198" s="1167"/>
      <c r="W198" s="1167"/>
      <c r="X198" s="344">
        <v>0.64200000000000002</v>
      </c>
      <c r="AI198" s="1781" t="s">
        <v>3</v>
      </c>
      <c r="AJ198" s="1826">
        <v>2008</v>
      </c>
      <c r="AK198" s="1822" t="s">
        <v>59</v>
      </c>
      <c r="AL198" s="1822">
        <v>10</v>
      </c>
      <c r="AM198" s="1823">
        <v>70966647.609999999</v>
      </c>
      <c r="AN198" s="1824">
        <v>1.8001237931385267E-2</v>
      </c>
      <c r="AP198" s="1781" t="s">
        <v>3</v>
      </c>
      <c r="AQ198" s="1781" t="s">
        <v>502</v>
      </c>
      <c r="AR198" s="1822" t="s">
        <v>27</v>
      </c>
      <c r="AS198" s="1822">
        <v>9</v>
      </c>
      <c r="AT198" s="1823">
        <v>64850186</v>
      </c>
      <c r="AU198" s="1825">
        <v>1.9E-2</v>
      </c>
      <c r="AV198" s="1781">
        <v>2012</v>
      </c>
      <c r="EA198" s="169"/>
      <c r="EB198" s="169"/>
      <c r="EC198" s="169"/>
      <c r="ED198" s="169"/>
      <c r="EE198" s="169"/>
      <c r="EF198" s="169"/>
      <c r="EG198" s="169"/>
      <c r="EH198" s="169"/>
      <c r="EI198" s="169"/>
      <c r="EJ198" s="169"/>
      <c r="EK198" s="169"/>
      <c r="EL198" s="169"/>
      <c r="EM198" s="169"/>
      <c r="EN198" s="169"/>
      <c r="EO198" s="169"/>
      <c r="EP198" s="169"/>
      <c r="EQ198" s="169"/>
      <c r="ER198" s="169"/>
      <c r="ES198" s="169"/>
      <c r="ET198" s="169"/>
      <c r="EU198" s="169"/>
      <c r="EV198" s="169"/>
      <c r="EW198" s="169"/>
      <c r="EX198" s="169"/>
    </row>
    <row r="199" spans="1:154">
      <c r="A199" s="333">
        <f t="shared" si="4"/>
        <v>1986</v>
      </c>
      <c r="B199" s="333">
        <f t="shared" si="5"/>
        <v>4</v>
      </c>
      <c r="C199" s="1175">
        <v>31717</v>
      </c>
      <c r="D199" s="1158">
        <v>198.0228357938679</v>
      </c>
      <c r="E199" s="1159">
        <v>619.75</v>
      </c>
      <c r="F199" s="1159">
        <v>397.1</v>
      </c>
      <c r="G199" s="1160"/>
      <c r="H199" s="1161"/>
      <c r="I199" s="1160"/>
      <c r="J199" s="1160"/>
      <c r="K199" s="1677">
        <v>3663.22</v>
      </c>
      <c r="L199" s="1677">
        <v>5646.1467324290998</v>
      </c>
      <c r="M199" s="1681"/>
      <c r="N199" s="1162">
        <v>2007.98</v>
      </c>
      <c r="O199" s="1162">
        <v>728.88553020961763</v>
      </c>
      <c r="P199" s="1162">
        <v>1263.0299815043154</v>
      </c>
      <c r="Q199" s="1163">
        <v>17.274999999999999</v>
      </c>
      <c r="R199" s="1164">
        <v>630</v>
      </c>
      <c r="S199" s="1164">
        <v>175</v>
      </c>
      <c r="T199" s="1164"/>
      <c r="U199" s="1165"/>
      <c r="V199" s="1166"/>
      <c r="W199" s="1166"/>
      <c r="X199" s="635">
        <v>0.64880000000000004</v>
      </c>
      <c r="AI199" s="1781" t="s">
        <v>3</v>
      </c>
      <c r="AJ199" s="1826">
        <v>2008</v>
      </c>
      <c r="AK199" s="1822" t="s">
        <v>39</v>
      </c>
      <c r="AL199" s="1822"/>
      <c r="AM199" s="1823">
        <v>113659543.54000092</v>
      </c>
      <c r="AN199" s="1824">
        <v>2.8830620514585129E-2</v>
      </c>
      <c r="AP199" s="1781" t="s">
        <v>3</v>
      </c>
      <c r="AQ199" s="1781" t="s">
        <v>502</v>
      </c>
      <c r="AR199" s="1822" t="s">
        <v>63</v>
      </c>
      <c r="AS199" s="1822">
        <v>10</v>
      </c>
      <c r="AT199" s="1823">
        <v>62252837</v>
      </c>
      <c r="AU199" s="1825">
        <v>1.7999999999999999E-2</v>
      </c>
      <c r="AV199" s="1781">
        <v>2012</v>
      </c>
      <c r="EA199" s="169"/>
      <c r="EB199" s="169"/>
      <c r="EC199" s="169"/>
      <c r="ED199" s="169"/>
      <c r="EE199" s="169"/>
      <c r="EF199" s="169"/>
      <c r="EG199" s="169"/>
      <c r="EH199" s="169"/>
      <c r="EI199" s="169"/>
      <c r="EJ199" s="169"/>
      <c r="EK199" s="169"/>
      <c r="EL199" s="169"/>
      <c r="EM199" s="169"/>
      <c r="EN199" s="169"/>
      <c r="EO199" s="169"/>
      <c r="EP199" s="169"/>
      <c r="EQ199" s="169"/>
      <c r="ER199" s="169"/>
      <c r="ES199" s="169"/>
      <c r="ET199" s="169"/>
      <c r="EU199" s="169"/>
      <c r="EV199" s="169"/>
      <c r="EW199" s="169"/>
      <c r="EX199" s="169"/>
    </row>
    <row r="200" spans="1:154">
      <c r="A200" s="333">
        <f t="shared" si="4"/>
        <v>1986</v>
      </c>
      <c r="B200" s="333">
        <f t="shared" si="5"/>
        <v>4</v>
      </c>
      <c r="C200" s="1175">
        <v>31747</v>
      </c>
      <c r="D200" s="1167">
        <v>198.95</v>
      </c>
      <c r="E200" s="1168">
        <v>596.20000000000005</v>
      </c>
      <c r="F200" s="1168">
        <v>391.55</v>
      </c>
      <c r="G200" s="1168"/>
      <c r="H200" s="1167"/>
      <c r="I200" s="1168"/>
      <c r="J200" s="1168"/>
      <c r="K200" s="1678">
        <v>3561.68</v>
      </c>
      <c r="L200" s="1678">
        <v>5357.5210589650997</v>
      </c>
      <c r="M200" s="1682"/>
      <c r="N200" s="1169">
        <v>2004.68</v>
      </c>
      <c r="O200" s="1169">
        <v>777.34805956678701</v>
      </c>
      <c r="P200" s="1169">
        <v>1197.6606092057766</v>
      </c>
      <c r="Q200" s="1167">
        <v>17.274999999999999</v>
      </c>
      <c r="R200" s="1167">
        <v>630</v>
      </c>
      <c r="S200" s="1167">
        <v>235</v>
      </c>
      <c r="T200" s="1167"/>
      <c r="U200" s="1167"/>
      <c r="V200" s="1167"/>
      <c r="W200" s="1167"/>
      <c r="X200" s="344">
        <v>0.66479999999999995</v>
      </c>
      <c r="AI200" s="1781" t="s">
        <v>3</v>
      </c>
      <c r="AJ200" s="1826">
        <v>2008</v>
      </c>
      <c r="AK200" s="1822" t="s">
        <v>386</v>
      </c>
      <c r="AL200" s="1822"/>
      <c r="AM200" s="1823">
        <v>3942320404.8800011</v>
      </c>
      <c r="AN200" s="1824"/>
      <c r="AP200" s="1781" t="s">
        <v>3</v>
      </c>
      <c r="AQ200" s="1781" t="s">
        <v>502</v>
      </c>
      <c r="AR200" s="1822" t="s">
        <v>39</v>
      </c>
      <c r="AS200" s="1822"/>
      <c r="AT200" s="1823">
        <v>157086442</v>
      </c>
      <c r="AU200" s="1825">
        <v>4.5999999999999999E-2</v>
      </c>
      <c r="AV200" s="1781">
        <v>2012</v>
      </c>
      <c r="EA200" s="169"/>
      <c r="EB200" s="169"/>
      <c r="EC200" s="169"/>
      <c r="ED200" s="169"/>
      <c r="EE200" s="169"/>
      <c r="EF200" s="169"/>
      <c r="EG200" s="169"/>
      <c r="EH200" s="169"/>
      <c r="EI200" s="169"/>
      <c r="EJ200" s="169"/>
      <c r="EK200" s="169"/>
      <c r="EL200" s="169"/>
      <c r="EM200" s="169"/>
      <c r="EN200" s="169"/>
      <c r="EO200" s="169"/>
      <c r="EP200" s="169"/>
      <c r="EQ200" s="169"/>
      <c r="ER200" s="169"/>
      <c r="ES200" s="169"/>
      <c r="ET200" s="169"/>
      <c r="EU200" s="169"/>
      <c r="EV200" s="169"/>
      <c r="EW200" s="169"/>
      <c r="EX200" s="169"/>
    </row>
    <row r="201" spans="1:154">
      <c r="A201" s="333">
        <f t="shared" ref="A201:A264" si="6">YEAR(C201)</f>
        <v>1987</v>
      </c>
      <c r="B201" s="333">
        <f t="shared" ref="B201:B264" si="7">IF(OR(MONTH(C201)=1,MONTH(C201)=2,MONTH(C201)=3),1,IF(OR(MONTH(C201)=4,MONTH(C201)=5,MONTH(C201)=6),2,IF(OR(MONTH(C201)=7,MONTH(C201)=8,MONTH(C201)=9),3,4)))</f>
        <v>1</v>
      </c>
      <c r="C201" s="1175">
        <v>31778</v>
      </c>
      <c r="D201" s="1158">
        <v>191.83420890455938</v>
      </c>
      <c r="E201" s="1159">
        <v>620.20000000000005</v>
      </c>
      <c r="F201" s="1159">
        <v>408.7</v>
      </c>
      <c r="G201" s="1160"/>
      <c r="H201" s="1161"/>
      <c r="I201" s="1160"/>
      <c r="J201" s="1160"/>
      <c r="K201" s="1677">
        <v>3528.73</v>
      </c>
      <c r="L201" s="1677">
        <v>5340.0877723970898</v>
      </c>
      <c r="M201" s="1681"/>
      <c r="N201" s="1162">
        <v>2037.43</v>
      </c>
      <c r="O201" s="1162">
        <v>701.81544188861972</v>
      </c>
      <c r="P201" s="1162">
        <v>1149.2376029055688</v>
      </c>
      <c r="Q201" s="1163">
        <v>17.274999999999999</v>
      </c>
      <c r="R201" s="1164">
        <v>630</v>
      </c>
      <c r="S201" s="1164">
        <v>235</v>
      </c>
      <c r="T201" s="1164"/>
      <c r="U201" s="1165"/>
      <c r="V201" s="1166"/>
      <c r="W201" s="1166"/>
      <c r="X201" s="635">
        <v>0.66080000000000005</v>
      </c>
      <c r="AI201" s="1781" t="s">
        <v>457</v>
      </c>
      <c r="AJ201" s="1826">
        <v>2015</v>
      </c>
      <c r="AK201" s="1822" t="s">
        <v>758</v>
      </c>
      <c r="AL201" s="1822">
        <v>1</v>
      </c>
      <c r="AM201" s="1823">
        <v>211880679</v>
      </c>
      <c r="AN201" s="1824">
        <v>0.25700000000000001</v>
      </c>
      <c r="AP201" s="1781" t="s">
        <v>3</v>
      </c>
      <c r="AQ201" s="1781" t="s">
        <v>502</v>
      </c>
      <c r="AR201" s="1822" t="s">
        <v>386</v>
      </c>
      <c r="AS201" s="1822"/>
      <c r="AT201" s="1823">
        <v>3437909828</v>
      </c>
      <c r="AU201" s="1825"/>
      <c r="AV201" s="1781">
        <v>2012</v>
      </c>
      <c r="EA201" s="169"/>
      <c r="EB201" s="169"/>
      <c r="EC201" s="169"/>
      <c r="ED201" s="169"/>
      <c r="EE201" s="169"/>
      <c r="EF201" s="169"/>
      <c r="EG201" s="169"/>
      <c r="EH201" s="169"/>
      <c r="EI201" s="169"/>
      <c r="EJ201" s="169"/>
      <c r="EK201" s="169"/>
      <c r="EL201" s="169"/>
      <c r="EM201" s="169"/>
      <c r="EN201" s="169"/>
      <c r="EO201" s="169"/>
      <c r="EP201" s="169"/>
      <c r="EQ201" s="169"/>
      <c r="ER201" s="169"/>
      <c r="ES201" s="169"/>
      <c r="ET201" s="169"/>
      <c r="EU201" s="169"/>
      <c r="EV201" s="169"/>
      <c r="EW201" s="169"/>
      <c r="EX201" s="169"/>
    </row>
    <row r="202" spans="1:154">
      <c r="A202" s="333">
        <f t="shared" si="6"/>
        <v>1987</v>
      </c>
      <c r="B202" s="333">
        <f t="shared" si="7"/>
        <v>1</v>
      </c>
      <c r="C202" s="1175">
        <v>31809</v>
      </c>
      <c r="D202" s="1167">
        <v>185.44707784909295</v>
      </c>
      <c r="E202" s="1168">
        <v>603.4</v>
      </c>
      <c r="F202" s="1168">
        <v>401.1</v>
      </c>
      <c r="G202" s="1168"/>
      <c r="H202" s="1167"/>
      <c r="I202" s="1168"/>
      <c r="J202" s="1168"/>
      <c r="K202" s="1678">
        <v>3733.65</v>
      </c>
      <c r="L202" s="1678">
        <v>5532.9727326615302</v>
      </c>
      <c r="M202" s="1682"/>
      <c r="N202" s="1169">
        <v>2042.09</v>
      </c>
      <c r="O202" s="1169">
        <v>680.97554090100766</v>
      </c>
      <c r="P202" s="1169">
        <v>1095.1981475992889</v>
      </c>
      <c r="Q202" s="1167">
        <v>17.274999999999999</v>
      </c>
      <c r="R202" s="1167">
        <v>680</v>
      </c>
      <c r="S202" s="1167">
        <v>235</v>
      </c>
      <c r="T202" s="1167"/>
      <c r="U202" s="1167"/>
      <c r="V202" s="1167"/>
      <c r="W202" s="1167"/>
      <c r="X202" s="344">
        <v>0.67479999999999996</v>
      </c>
      <c r="AI202" s="1781" t="s">
        <v>457</v>
      </c>
      <c r="AJ202" s="1826">
        <v>2015</v>
      </c>
      <c r="AK202" s="1822" t="s">
        <v>18</v>
      </c>
      <c r="AL202" s="1822">
        <v>2</v>
      </c>
      <c r="AM202" s="1823">
        <v>209903005</v>
      </c>
      <c r="AN202" s="1824">
        <v>0.254</v>
      </c>
      <c r="AP202" s="1781" t="s">
        <v>3</v>
      </c>
      <c r="AQ202" s="1781" t="s">
        <v>501</v>
      </c>
      <c r="AR202" s="1822" t="s">
        <v>18</v>
      </c>
      <c r="AS202" s="1822">
        <v>1</v>
      </c>
      <c r="AT202" s="1823">
        <v>1306656559</v>
      </c>
      <c r="AU202" s="1825">
        <v>0.38484148935604851</v>
      </c>
      <c r="AV202" s="1781">
        <v>2011</v>
      </c>
      <c r="EA202" s="169"/>
      <c r="EB202" s="169"/>
      <c r="EC202" s="169"/>
      <c r="ED202" s="169"/>
      <c r="EE202" s="169"/>
      <c r="EF202" s="169"/>
      <c r="EG202" s="169"/>
      <c r="EH202" s="169"/>
      <c r="EI202" s="169"/>
      <c r="EJ202" s="169"/>
      <c r="EK202" s="169"/>
      <c r="EL202" s="169"/>
      <c r="EM202" s="169"/>
      <c r="EN202" s="169"/>
      <c r="EO202" s="169"/>
      <c r="EP202" s="169"/>
      <c r="EQ202" s="169"/>
      <c r="ER202" s="169"/>
      <c r="ES202" s="169"/>
      <c r="ET202" s="169"/>
      <c r="EU202" s="169"/>
      <c r="EV202" s="169"/>
      <c r="EW202" s="169"/>
      <c r="EX202" s="169"/>
    </row>
    <row r="203" spans="1:154">
      <c r="A203" s="333">
        <f t="shared" si="6"/>
        <v>1987</v>
      </c>
      <c r="B203" s="333">
        <f t="shared" si="7"/>
        <v>1</v>
      </c>
      <c r="C203" s="1175">
        <v>31837</v>
      </c>
      <c r="D203" s="1158">
        <v>178.37574631415748</v>
      </c>
      <c r="E203" s="1159">
        <v>600.20000000000005</v>
      </c>
      <c r="F203" s="1159">
        <v>409.05</v>
      </c>
      <c r="G203" s="1160"/>
      <c r="H203" s="1161"/>
      <c r="I203" s="1160"/>
      <c r="J203" s="1160"/>
      <c r="K203" s="1677">
        <v>3738.36</v>
      </c>
      <c r="L203" s="1677">
        <v>5300.3828158230499</v>
      </c>
      <c r="M203" s="1681"/>
      <c r="N203" s="1162">
        <v>2077.1999999999998</v>
      </c>
      <c r="O203" s="1162">
        <v>689.86120941443357</v>
      </c>
      <c r="P203" s="1162">
        <v>1036.4737416702112</v>
      </c>
      <c r="Q203" s="1163">
        <v>17.274999999999999</v>
      </c>
      <c r="R203" s="1164">
        <v>651</v>
      </c>
      <c r="S203" s="1164">
        <v>235</v>
      </c>
      <c r="T203" s="1164"/>
      <c r="U203" s="1165"/>
      <c r="V203" s="1166"/>
      <c r="W203" s="1166"/>
      <c r="X203" s="635">
        <v>0.70530000000000004</v>
      </c>
      <c r="AI203" s="1781" t="s">
        <v>457</v>
      </c>
      <c r="AJ203" s="1826">
        <v>2015</v>
      </c>
      <c r="AK203" s="1822" t="s">
        <v>27</v>
      </c>
      <c r="AL203" s="1822">
        <v>3</v>
      </c>
      <c r="AM203" s="1823">
        <v>75853581</v>
      </c>
      <c r="AN203" s="1824">
        <v>9.1999999999999998E-2</v>
      </c>
      <c r="AP203" s="1781" t="s">
        <v>3</v>
      </c>
      <c r="AQ203" s="1781" t="s">
        <v>501</v>
      </c>
      <c r="AR203" s="1822" t="s">
        <v>56</v>
      </c>
      <c r="AS203" s="1822">
        <v>2</v>
      </c>
      <c r="AT203" s="1823">
        <v>350719023.30000001</v>
      </c>
      <c r="AU203" s="1825">
        <v>0.10329510868224302</v>
      </c>
      <c r="AV203" s="1781">
        <v>2011</v>
      </c>
      <c r="EA203" s="169"/>
      <c r="EB203" s="169"/>
      <c r="EC203" s="169"/>
      <c r="ED203" s="169"/>
      <c r="EE203" s="169"/>
      <c r="EF203" s="169"/>
      <c r="EG203" s="169"/>
      <c r="EH203" s="169"/>
      <c r="EI203" s="169"/>
      <c r="EJ203" s="169"/>
      <c r="EK203" s="169"/>
      <c r="EL203" s="169"/>
      <c r="EM203" s="169"/>
      <c r="EN203" s="169"/>
      <c r="EO203" s="169"/>
      <c r="EP203" s="169"/>
      <c r="EQ203" s="169"/>
      <c r="ER203" s="169"/>
      <c r="ES203" s="169"/>
      <c r="ET203" s="169"/>
      <c r="EU203" s="169"/>
      <c r="EV203" s="169"/>
      <c r="EW203" s="169"/>
      <c r="EX203" s="169"/>
    </row>
    <row r="204" spans="1:154">
      <c r="A204" s="333">
        <f t="shared" si="6"/>
        <v>1987</v>
      </c>
      <c r="B204" s="333">
        <f t="shared" si="7"/>
        <v>2</v>
      </c>
      <c r="C204" s="1175">
        <v>31868</v>
      </c>
      <c r="D204" s="1167">
        <v>184.88136689104627</v>
      </c>
      <c r="E204" s="1168">
        <v>616.79999999999995</v>
      </c>
      <c r="F204" s="1168">
        <v>436.8</v>
      </c>
      <c r="G204" s="1168"/>
      <c r="H204" s="1167"/>
      <c r="I204" s="1168"/>
      <c r="J204" s="1168"/>
      <c r="K204" s="1678">
        <v>3909.03</v>
      </c>
      <c r="L204" s="1678">
        <v>5546.2968217934203</v>
      </c>
      <c r="M204" s="1682"/>
      <c r="N204" s="1169">
        <v>2103.4699999999998</v>
      </c>
      <c r="O204" s="1169">
        <v>786.88544835414314</v>
      </c>
      <c r="P204" s="1169">
        <v>1079.538547105562</v>
      </c>
      <c r="Q204" s="1167">
        <v>17.274999999999999</v>
      </c>
      <c r="R204" s="1167">
        <v>651</v>
      </c>
      <c r="S204" s="1167">
        <v>235</v>
      </c>
      <c r="T204" s="1167"/>
      <c r="U204" s="1167"/>
      <c r="V204" s="1167"/>
      <c r="W204" s="1167"/>
      <c r="X204" s="344">
        <v>0.70479999999999998</v>
      </c>
      <c r="AI204" s="1781" t="s">
        <v>457</v>
      </c>
      <c r="AJ204" s="1826">
        <v>2015</v>
      </c>
      <c r="AK204" s="1822" t="s">
        <v>63</v>
      </c>
      <c r="AL204" s="1822">
        <v>4</v>
      </c>
      <c r="AM204" s="1823">
        <v>71698669</v>
      </c>
      <c r="AN204" s="1824">
        <v>8.6999999999999994E-2</v>
      </c>
      <c r="AP204" s="1781" t="s">
        <v>3</v>
      </c>
      <c r="AQ204" s="1781" t="s">
        <v>501</v>
      </c>
      <c r="AR204" s="1822" t="s">
        <v>23</v>
      </c>
      <c r="AS204" s="1822">
        <v>3</v>
      </c>
      <c r="AT204" s="1823">
        <v>306821318.5</v>
      </c>
      <c r="AU204" s="1825">
        <v>9.0366188700795796E-2</v>
      </c>
      <c r="AV204" s="1781">
        <v>2011</v>
      </c>
      <c r="EA204" s="169"/>
      <c r="EB204" s="169"/>
      <c r="EC204" s="169"/>
      <c r="ED204" s="169"/>
      <c r="EE204" s="169"/>
      <c r="EF204" s="169"/>
      <c r="EG204" s="169"/>
      <c r="EH204" s="169"/>
      <c r="EI204" s="169"/>
      <c r="EJ204" s="169"/>
      <c r="EK204" s="169"/>
      <c r="EL204" s="169"/>
      <c r="EM204" s="169"/>
      <c r="EN204" s="169"/>
      <c r="EO204" s="169"/>
      <c r="EP204" s="169"/>
      <c r="EQ204" s="169"/>
      <c r="ER204" s="169"/>
      <c r="ES204" s="169"/>
      <c r="ET204" s="169"/>
      <c r="EU204" s="169"/>
      <c r="EV204" s="169"/>
      <c r="EW204" s="169"/>
      <c r="EX204" s="169"/>
    </row>
    <row r="205" spans="1:154">
      <c r="A205" s="333">
        <f t="shared" si="6"/>
        <v>1987</v>
      </c>
      <c r="B205" s="333">
        <f t="shared" si="7"/>
        <v>2</v>
      </c>
      <c r="C205" s="1175">
        <v>31898</v>
      </c>
      <c r="D205" s="1158">
        <v>174.06419934483438</v>
      </c>
      <c r="E205" s="1159">
        <v>648.95000000000005</v>
      </c>
      <c r="F205" s="1159">
        <v>461.8</v>
      </c>
      <c r="G205" s="1160"/>
      <c r="H205" s="1161"/>
      <c r="I205" s="1160"/>
      <c r="J205" s="1160"/>
      <c r="K205" s="1677">
        <v>4417.45</v>
      </c>
      <c r="L205" s="1677">
        <v>6189.5053944234296</v>
      </c>
      <c r="M205" s="1681"/>
      <c r="N205" s="1162">
        <v>2130.46</v>
      </c>
      <c r="O205" s="1162">
        <v>970.50042034468265</v>
      </c>
      <c r="P205" s="1162">
        <v>1174.656438279389</v>
      </c>
      <c r="Q205" s="1163">
        <v>17.274999999999999</v>
      </c>
      <c r="R205" s="1164">
        <v>651</v>
      </c>
      <c r="S205" s="1164">
        <v>235</v>
      </c>
      <c r="T205" s="1164"/>
      <c r="U205" s="1165"/>
      <c r="V205" s="1166"/>
      <c r="W205" s="1166"/>
      <c r="X205" s="635">
        <v>0.7137</v>
      </c>
      <c r="AI205" s="1781" t="s">
        <v>457</v>
      </c>
      <c r="AJ205" s="1826">
        <v>2015</v>
      </c>
      <c r="AK205" s="1822" t="s">
        <v>31</v>
      </c>
      <c r="AL205" s="1822">
        <v>5</v>
      </c>
      <c r="AM205" s="1823">
        <v>47454536</v>
      </c>
      <c r="AN205" s="1824">
        <v>5.7000000000000002E-2</v>
      </c>
      <c r="AP205" s="1781" t="s">
        <v>3</v>
      </c>
      <c r="AQ205" s="1781" t="s">
        <v>501</v>
      </c>
      <c r="AR205" s="1822" t="s">
        <v>758</v>
      </c>
      <c r="AS205" s="1822">
        <v>4</v>
      </c>
      <c r="AT205" s="1823">
        <v>278704769.19999999</v>
      </c>
      <c r="AU205" s="1825">
        <v>8.2085195019911697E-2</v>
      </c>
      <c r="AV205" s="1781">
        <v>2011</v>
      </c>
      <c r="EA205" s="169"/>
      <c r="EB205" s="169"/>
      <c r="EC205" s="169"/>
      <c r="ED205" s="169"/>
      <c r="EE205" s="169"/>
      <c r="EF205" s="169"/>
      <c r="EG205" s="169"/>
      <c r="EH205" s="169"/>
      <c r="EI205" s="169"/>
      <c r="EJ205" s="169"/>
      <c r="EK205" s="169"/>
      <c r="EL205" s="169"/>
      <c r="EM205" s="169"/>
      <c r="EN205" s="169"/>
      <c r="EO205" s="169"/>
      <c r="EP205" s="169"/>
      <c r="EQ205" s="169"/>
      <c r="ER205" s="169"/>
      <c r="ES205" s="169"/>
      <c r="ET205" s="169"/>
      <c r="EU205" s="169"/>
      <c r="EV205" s="169"/>
      <c r="EW205" s="169"/>
      <c r="EX205" s="169"/>
    </row>
    <row r="206" spans="1:154">
      <c r="A206" s="333">
        <f t="shared" si="6"/>
        <v>1987</v>
      </c>
      <c r="B206" s="333">
        <f t="shared" si="7"/>
        <v>2</v>
      </c>
      <c r="C206" s="1175">
        <v>31929</v>
      </c>
      <c r="D206" s="1167">
        <v>196.57400826908034</v>
      </c>
      <c r="E206" s="1168">
        <v>628.23</v>
      </c>
      <c r="F206" s="1168">
        <v>449.43</v>
      </c>
      <c r="G206" s="1168"/>
      <c r="H206" s="1167"/>
      <c r="I206" s="1168"/>
      <c r="J206" s="1168"/>
      <c r="K206" s="1678">
        <v>4428.5</v>
      </c>
      <c r="L206" s="1678">
        <v>6148.1327224767501</v>
      </c>
      <c r="M206" s="1682"/>
      <c r="N206" s="1169">
        <v>2183.1999999999998</v>
      </c>
      <c r="O206" s="1169">
        <v>873.36368318756081</v>
      </c>
      <c r="P206" s="1169">
        <v>1219.2054713313896</v>
      </c>
      <c r="Q206" s="1167">
        <v>17.274999999999999</v>
      </c>
      <c r="R206" s="1167">
        <v>651</v>
      </c>
      <c r="S206" s="1167">
        <v>295</v>
      </c>
      <c r="T206" s="1167"/>
      <c r="U206" s="1167"/>
      <c r="V206" s="1167"/>
      <c r="W206" s="1167"/>
      <c r="X206" s="344">
        <v>0.72030000000000005</v>
      </c>
      <c r="AI206" s="1781" t="s">
        <v>457</v>
      </c>
      <c r="AJ206" s="1826">
        <v>2015</v>
      </c>
      <c r="AK206" s="1822" t="s">
        <v>21</v>
      </c>
      <c r="AL206" s="1822">
        <v>6</v>
      </c>
      <c r="AM206" s="1823">
        <v>43094645</v>
      </c>
      <c r="AN206" s="1824">
        <v>5.1999999999999998E-2</v>
      </c>
      <c r="AP206" s="1781" t="s">
        <v>3</v>
      </c>
      <c r="AQ206" s="1781" t="s">
        <v>501</v>
      </c>
      <c r="AR206" s="1822" t="s">
        <v>25</v>
      </c>
      <c r="AS206" s="1822">
        <v>5</v>
      </c>
      <c r="AT206" s="1823">
        <v>194245387.30000001</v>
      </c>
      <c r="AU206" s="1825">
        <v>5.7209894699709288E-2</v>
      </c>
      <c r="AV206" s="1781">
        <v>2011</v>
      </c>
      <c r="EA206" s="169"/>
      <c r="EB206" s="169"/>
      <c r="EC206" s="169"/>
      <c r="ED206" s="169"/>
      <c r="EE206" s="169"/>
      <c r="EF206" s="169"/>
      <c r="EG206" s="169"/>
      <c r="EH206" s="169"/>
      <c r="EI206" s="169"/>
      <c r="EJ206" s="169"/>
      <c r="EK206" s="169"/>
      <c r="EL206" s="169"/>
      <c r="EM206" s="169"/>
      <c r="EN206" s="169"/>
      <c r="EO206" s="169"/>
      <c r="EP206" s="169"/>
      <c r="EQ206" s="169"/>
      <c r="ER206" s="169"/>
      <c r="ES206" s="169"/>
      <c r="ET206" s="169"/>
      <c r="EU206" s="169"/>
      <c r="EV206" s="169"/>
      <c r="EW206" s="169"/>
      <c r="EX206" s="169"/>
    </row>
    <row r="207" spans="1:154">
      <c r="A207" s="333">
        <f t="shared" si="6"/>
        <v>1987</v>
      </c>
      <c r="B207" s="333">
        <f t="shared" si="7"/>
        <v>3</v>
      </c>
      <c r="C207" s="1175">
        <v>31959</v>
      </c>
      <c r="D207" s="1158">
        <v>183.36786967389699</v>
      </c>
      <c r="E207" s="1159">
        <v>637.9</v>
      </c>
      <c r="F207" s="1159">
        <v>450.4</v>
      </c>
      <c r="G207" s="1160"/>
      <c r="H207" s="1161"/>
      <c r="I207" s="1160"/>
      <c r="J207" s="1160"/>
      <c r="K207" s="1677">
        <v>4735.84</v>
      </c>
      <c r="L207" s="1677">
        <v>6786.8157065061596</v>
      </c>
      <c r="M207" s="1681"/>
      <c r="N207" s="1162">
        <v>2428.83</v>
      </c>
      <c r="O207" s="1162">
        <v>950.41316279736316</v>
      </c>
      <c r="P207" s="1162">
        <v>1188.4144296359991</v>
      </c>
      <c r="Q207" s="1163">
        <v>17.274999999999999</v>
      </c>
      <c r="R207" s="1164">
        <v>651</v>
      </c>
      <c r="S207" s="1164">
        <v>295</v>
      </c>
      <c r="T207" s="1164"/>
      <c r="U207" s="1165"/>
      <c r="V207" s="1166"/>
      <c r="W207" s="1166"/>
      <c r="X207" s="635">
        <v>0.69779999999999998</v>
      </c>
      <c r="AI207" s="1781" t="s">
        <v>457</v>
      </c>
      <c r="AJ207" s="1826">
        <v>2015</v>
      </c>
      <c r="AK207" s="1822" t="s">
        <v>537</v>
      </c>
      <c r="AL207" s="1822">
        <v>7</v>
      </c>
      <c r="AM207" s="1823">
        <v>20761451</v>
      </c>
      <c r="AN207" s="1824">
        <v>2.5000000000000001E-2</v>
      </c>
      <c r="AP207" s="1781" t="s">
        <v>3</v>
      </c>
      <c r="AQ207" s="1781" t="s">
        <v>501</v>
      </c>
      <c r="AR207" s="1822" t="s">
        <v>27</v>
      </c>
      <c r="AS207" s="1822">
        <v>6</v>
      </c>
      <c r="AT207" s="1823">
        <v>176459091</v>
      </c>
      <c r="AU207" s="1825">
        <v>5.197140665855296E-2</v>
      </c>
      <c r="AV207" s="1781">
        <v>2011</v>
      </c>
      <c r="EA207" s="169"/>
      <c r="EB207" s="169"/>
      <c r="EC207" s="169"/>
      <c r="ED207" s="169"/>
      <c r="EE207" s="169"/>
      <c r="EF207" s="169"/>
      <c r="EG207" s="169"/>
      <c r="EH207" s="169"/>
      <c r="EI207" s="169"/>
      <c r="EJ207" s="169"/>
      <c r="EK207" s="169"/>
      <c r="EL207" s="169"/>
      <c r="EM207" s="169"/>
      <c r="EN207" s="169"/>
      <c r="EO207" s="169"/>
      <c r="EP207" s="169"/>
      <c r="EQ207" s="169"/>
      <c r="ER207" s="169"/>
      <c r="ES207" s="169"/>
      <c r="ET207" s="169"/>
      <c r="EU207" s="169"/>
      <c r="EV207" s="169"/>
      <c r="EW207" s="169"/>
      <c r="EX207" s="169"/>
    </row>
    <row r="208" spans="1:154">
      <c r="A208" s="333">
        <f t="shared" si="6"/>
        <v>1987</v>
      </c>
      <c r="B208" s="333">
        <f t="shared" si="7"/>
        <v>3</v>
      </c>
      <c r="C208" s="1175">
        <v>31990</v>
      </c>
      <c r="D208" s="1167">
        <v>180.58054158009512</v>
      </c>
      <c r="E208" s="1168">
        <v>656.25</v>
      </c>
      <c r="F208" s="1168">
        <v>461.9</v>
      </c>
      <c r="G208" s="1168"/>
      <c r="H208" s="1167"/>
      <c r="I208" s="1168"/>
      <c r="J208" s="1168"/>
      <c r="K208" s="1678">
        <v>5290.23</v>
      </c>
      <c r="L208" s="1678">
        <v>7425.92644581696</v>
      </c>
      <c r="M208" s="1682"/>
      <c r="N208" s="1169">
        <v>2457.67</v>
      </c>
      <c r="O208" s="1169">
        <v>922.0224901740595</v>
      </c>
      <c r="P208" s="1169">
        <v>1124.7268079730488</v>
      </c>
      <c r="Q208" s="1167">
        <v>16.8</v>
      </c>
      <c r="R208" s="1167">
        <v>651</v>
      </c>
      <c r="S208" s="1167">
        <v>295</v>
      </c>
      <c r="T208" s="1167"/>
      <c r="U208" s="1167"/>
      <c r="V208" s="1167"/>
      <c r="W208" s="1167"/>
      <c r="X208" s="344">
        <v>0.71240000000000003</v>
      </c>
      <c r="AI208" s="1781" t="s">
        <v>457</v>
      </c>
      <c r="AJ208" s="1826">
        <v>2015</v>
      </c>
      <c r="AK208" s="1822" t="s">
        <v>70</v>
      </c>
      <c r="AL208" s="1822">
        <v>8</v>
      </c>
      <c r="AM208" s="1823">
        <v>19236583</v>
      </c>
      <c r="AN208" s="1824">
        <v>2.3E-2</v>
      </c>
      <c r="AP208" s="1781" t="s">
        <v>3</v>
      </c>
      <c r="AQ208" s="1781" t="s">
        <v>501</v>
      </c>
      <c r="AR208" s="1822" t="s">
        <v>60</v>
      </c>
      <c r="AS208" s="1822">
        <v>7</v>
      </c>
      <c r="AT208" s="1823">
        <v>154439391</v>
      </c>
      <c r="AU208" s="1825">
        <v>4.5486080361596466E-2</v>
      </c>
      <c r="AV208" s="1781">
        <v>2011</v>
      </c>
      <c r="EA208" s="169"/>
      <c r="EB208" s="169"/>
      <c r="EC208" s="169"/>
      <c r="ED208" s="169"/>
      <c r="EE208" s="169"/>
      <c r="EF208" s="169"/>
      <c r="EG208" s="169"/>
      <c r="EH208" s="169"/>
      <c r="EI208" s="169"/>
      <c r="EJ208" s="169"/>
      <c r="EK208" s="169"/>
      <c r="EL208" s="169"/>
      <c r="EM208" s="169"/>
      <c r="EN208" s="169"/>
      <c r="EO208" s="169"/>
      <c r="EP208" s="169"/>
      <c r="EQ208" s="169"/>
      <c r="ER208" s="169"/>
      <c r="ES208" s="169"/>
      <c r="ET208" s="169"/>
      <c r="EU208" s="169"/>
      <c r="EV208" s="169"/>
      <c r="EW208" s="169"/>
      <c r="EX208" s="169"/>
    </row>
    <row r="209" spans="1:154">
      <c r="A209" s="333">
        <f t="shared" si="6"/>
        <v>1987</v>
      </c>
      <c r="B209" s="333">
        <f t="shared" si="7"/>
        <v>3</v>
      </c>
      <c r="C209" s="1175">
        <v>32021</v>
      </c>
      <c r="D209" s="1158">
        <v>192.95420002748608</v>
      </c>
      <c r="E209" s="1159">
        <v>634.4</v>
      </c>
      <c r="F209" s="1159">
        <v>459.9</v>
      </c>
      <c r="G209" s="1160"/>
      <c r="H209" s="1161"/>
      <c r="I209" s="1160"/>
      <c r="J209" s="1160"/>
      <c r="K209" s="1677">
        <v>5312.18</v>
      </c>
      <c r="L209" s="1677">
        <v>7384.1812621629097</v>
      </c>
      <c r="M209" s="1681"/>
      <c r="N209" s="1162">
        <v>2516.19</v>
      </c>
      <c r="O209" s="1162">
        <v>898.1201070336391</v>
      </c>
      <c r="P209" s="1162">
        <v>1050.5689602446482</v>
      </c>
      <c r="Q209" s="1163">
        <v>16.8</v>
      </c>
      <c r="R209" s="1164">
        <v>651</v>
      </c>
      <c r="S209" s="1164">
        <v>295</v>
      </c>
      <c r="T209" s="1164"/>
      <c r="U209" s="1165"/>
      <c r="V209" s="1166"/>
      <c r="W209" s="1166"/>
      <c r="X209" s="635">
        <v>0.71940000000000004</v>
      </c>
      <c r="AI209" s="1781" t="s">
        <v>457</v>
      </c>
      <c r="AJ209" s="1826">
        <v>2015</v>
      </c>
      <c r="AK209" s="1822" t="s">
        <v>23</v>
      </c>
      <c r="AL209" s="1822">
        <v>9</v>
      </c>
      <c r="AM209" s="1823">
        <v>18266306</v>
      </c>
      <c r="AN209" s="1824">
        <v>2.1999999999999999E-2</v>
      </c>
      <c r="AP209" s="1781" t="s">
        <v>3</v>
      </c>
      <c r="AQ209" s="1781" t="s">
        <v>501</v>
      </c>
      <c r="AR209" s="1822" t="s">
        <v>57</v>
      </c>
      <c r="AS209" s="1822">
        <v>8</v>
      </c>
      <c r="AT209" s="1823">
        <v>148469866.09999999</v>
      </c>
      <c r="AU209" s="1825">
        <v>4.3727913047132298E-2</v>
      </c>
      <c r="AV209" s="1781">
        <v>2011</v>
      </c>
      <c r="EA209" s="169"/>
      <c r="EB209" s="169"/>
      <c r="EC209" s="169"/>
      <c r="ED209" s="169"/>
      <c r="EE209" s="169"/>
      <c r="EF209" s="169"/>
      <c r="EG209" s="169"/>
      <c r="EH209" s="169"/>
      <c r="EI209" s="169"/>
      <c r="EJ209" s="169"/>
      <c r="EK209" s="169"/>
      <c r="EL209" s="169"/>
      <c r="EM209" s="169"/>
      <c r="EN209" s="169"/>
      <c r="EO209" s="169"/>
      <c r="EP209" s="169"/>
      <c r="EQ209" s="169"/>
      <c r="ER209" s="169"/>
      <c r="ES209" s="169"/>
      <c r="ET209" s="169"/>
      <c r="EU209" s="169"/>
      <c r="EV209" s="169"/>
      <c r="EW209" s="169"/>
      <c r="EX209" s="169"/>
    </row>
    <row r="210" spans="1:154">
      <c r="A210" s="333">
        <f t="shared" si="6"/>
        <v>1987</v>
      </c>
      <c r="B210" s="333">
        <f t="shared" si="7"/>
        <v>4</v>
      </c>
      <c r="C210" s="1175">
        <v>32051</v>
      </c>
      <c r="D210" s="1167">
        <v>188.23905315004043</v>
      </c>
      <c r="E210" s="1168">
        <v>653</v>
      </c>
      <c r="F210" s="1168">
        <v>465.1</v>
      </c>
      <c r="G210" s="1168"/>
      <c r="H210" s="1167"/>
      <c r="I210" s="1168"/>
      <c r="J210" s="1168"/>
      <c r="K210" s="1678">
        <v>5669.25</v>
      </c>
      <c r="L210" s="1678">
        <v>8390.1879532336807</v>
      </c>
      <c r="M210" s="1682"/>
      <c r="N210" s="1169">
        <v>2907.53</v>
      </c>
      <c r="O210" s="1169">
        <v>888.61597898475679</v>
      </c>
      <c r="P210" s="1169">
        <v>1137.719520497262</v>
      </c>
      <c r="Q210" s="1167">
        <v>18.399999999999999</v>
      </c>
      <c r="R210" s="1167">
        <v>651</v>
      </c>
      <c r="S210" s="1167">
        <v>295</v>
      </c>
      <c r="T210" s="1167"/>
      <c r="U210" s="1167"/>
      <c r="V210" s="1167"/>
      <c r="W210" s="1167"/>
      <c r="X210" s="344">
        <v>0.67569999999999997</v>
      </c>
      <c r="AI210" s="1781" t="s">
        <v>457</v>
      </c>
      <c r="AJ210" s="1826">
        <v>2015</v>
      </c>
      <c r="AK210" s="1822" t="s">
        <v>33</v>
      </c>
      <c r="AL210" s="1822">
        <v>10</v>
      </c>
      <c r="AM210" s="1823">
        <v>18025222</v>
      </c>
      <c r="AN210" s="1824">
        <v>2.1999999999999999E-2</v>
      </c>
      <c r="AP210" s="1781" t="s">
        <v>3</v>
      </c>
      <c r="AQ210" s="1781" t="s">
        <v>501</v>
      </c>
      <c r="AR210" s="1822" t="s">
        <v>54</v>
      </c>
      <c r="AS210" s="1822">
        <v>9</v>
      </c>
      <c r="AT210" s="1823">
        <v>84380468.950000003</v>
      </c>
      <c r="AU210" s="1825">
        <v>2.4852058576227458E-2</v>
      </c>
      <c r="AV210" s="1781">
        <v>2011</v>
      </c>
      <c r="EA210" s="169"/>
      <c r="EB210" s="169"/>
      <c r="EC210" s="169"/>
      <c r="ED210" s="169"/>
      <c r="EE210" s="169"/>
      <c r="EF210" s="169"/>
      <c r="EG210" s="169"/>
      <c r="EH210" s="169"/>
      <c r="EI210" s="169"/>
      <c r="EJ210" s="169"/>
      <c r="EK210" s="169"/>
      <c r="EL210" s="169"/>
      <c r="EM210" s="169"/>
      <c r="EN210" s="169"/>
      <c r="EO210" s="169"/>
      <c r="EP210" s="169"/>
      <c r="EQ210" s="169"/>
      <c r="ER210" s="169"/>
      <c r="ES210" s="169"/>
      <c r="ET210" s="169"/>
      <c r="EU210" s="169"/>
      <c r="EV210" s="169"/>
      <c r="EW210" s="169"/>
      <c r="EX210" s="169"/>
    </row>
    <row r="211" spans="1:154">
      <c r="A211" s="333">
        <f t="shared" si="6"/>
        <v>1987</v>
      </c>
      <c r="B211" s="333">
        <f t="shared" si="7"/>
        <v>4</v>
      </c>
      <c r="C211" s="1175">
        <v>32082</v>
      </c>
      <c r="D211" s="1158">
        <v>189.59601572327477</v>
      </c>
      <c r="E211" s="1159">
        <v>685.45</v>
      </c>
      <c r="F211" s="1159">
        <v>467.95</v>
      </c>
      <c r="G211" s="1160"/>
      <c r="H211" s="1161"/>
      <c r="I211" s="1160"/>
      <c r="J211" s="1160"/>
      <c r="K211" s="1677">
        <v>5959.9</v>
      </c>
      <c r="L211" s="1677">
        <v>8451.3613159387405</v>
      </c>
      <c r="M211" s="1681"/>
      <c r="N211" s="1162">
        <v>3574.28</v>
      </c>
      <c r="O211" s="1162">
        <v>909.62637549631302</v>
      </c>
      <c r="P211" s="1162">
        <v>1201.0290300623935</v>
      </c>
      <c r="Q211" s="1163">
        <v>18.2</v>
      </c>
      <c r="R211" s="1164">
        <v>585</v>
      </c>
      <c r="S211" s="1164">
        <v>295</v>
      </c>
      <c r="T211" s="1164"/>
      <c r="U211" s="1165"/>
      <c r="V211" s="1166"/>
      <c r="W211" s="1166"/>
      <c r="X211" s="635">
        <v>0.70520000000000005</v>
      </c>
      <c r="AI211" s="1781" t="s">
        <v>457</v>
      </c>
      <c r="AJ211" s="1826">
        <v>2015</v>
      </c>
      <c r="AK211" s="1822" t="s">
        <v>39</v>
      </c>
      <c r="AL211" s="1822"/>
      <c r="AM211" s="1823">
        <v>89740829</v>
      </c>
      <c r="AN211" s="1824">
        <v>0.109</v>
      </c>
      <c r="AP211" s="1781" t="s">
        <v>3</v>
      </c>
      <c r="AQ211" s="1781" t="s">
        <v>501</v>
      </c>
      <c r="AR211" s="1822" t="s">
        <v>61</v>
      </c>
      <c r="AS211" s="1822">
        <v>10</v>
      </c>
      <c r="AT211" s="1823">
        <v>71716279.379999995</v>
      </c>
      <c r="AU211" s="1825">
        <v>2.1122153007670067E-2</v>
      </c>
      <c r="AV211" s="1781">
        <v>2011</v>
      </c>
      <c r="EA211" s="169"/>
      <c r="EB211" s="169"/>
      <c r="EC211" s="169"/>
      <c r="ED211" s="169"/>
      <c r="EE211" s="169"/>
      <c r="EF211" s="169"/>
      <c r="EG211" s="169"/>
      <c r="EH211" s="169"/>
      <c r="EI211" s="169"/>
      <c r="EJ211" s="169"/>
      <c r="EK211" s="169"/>
      <c r="EL211" s="169"/>
      <c r="EM211" s="169"/>
      <c r="EN211" s="169"/>
      <c r="EO211" s="169"/>
      <c r="EP211" s="169"/>
      <c r="EQ211" s="169"/>
      <c r="ER211" s="169"/>
      <c r="ES211" s="169"/>
      <c r="ET211" s="169"/>
      <c r="EU211" s="169"/>
      <c r="EV211" s="169"/>
      <c r="EW211" s="169"/>
      <c r="EX211" s="169"/>
    </row>
    <row r="212" spans="1:154">
      <c r="A212" s="333">
        <f t="shared" si="6"/>
        <v>1987</v>
      </c>
      <c r="B212" s="333">
        <f t="shared" si="7"/>
        <v>4</v>
      </c>
      <c r="C212" s="1175">
        <v>32112</v>
      </c>
      <c r="D212" s="1167">
        <v>190.20646483152515</v>
      </c>
      <c r="E212" s="1168">
        <v>686.37</v>
      </c>
      <c r="F212" s="1168">
        <v>489.49</v>
      </c>
      <c r="G212" s="1168"/>
      <c r="H212" s="1167"/>
      <c r="I212" s="1168"/>
      <c r="J212" s="1168"/>
      <c r="K212" s="1678">
        <v>7449</v>
      </c>
      <c r="L212" s="1678">
        <v>10491.549295774599</v>
      </c>
      <c r="M212" s="1682"/>
      <c r="N212" s="1169">
        <v>4033.02</v>
      </c>
      <c r="O212" s="1169">
        <v>926.66885633802826</v>
      </c>
      <c r="P212" s="1169">
        <v>1218.1900845070425</v>
      </c>
      <c r="Q212" s="1167">
        <v>17.549999999999997</v>
      </c>
      <c r="R212" s="1167">
        <v>585</v>
      </c>
      <c r="S212" s="1167">
        <v>295</v>
      </c>
      <c r="T212" s="1167"/>
      <c r="U212" s="1167"/>
      <c r="V212" s="1167"/>
      <c r="W212" s="1167"/>
      <c r="X212" s="344">
        <v>0.71</v>
      </c>
      <c r="AI212" s="1781" t="s">
        <v>457</v>
      </c>
      <c r="AJ212" s="1826">
        <v>2015</v>
      </c>
      <c r="AK212" s="1822" t="s">
        <v>386</v>
      </c>
      <c r="AL212" s="1822"/>
      <c r="AM212" s="1823">
        <v>825915506</v>
      </c>
      <c r="AN212" s="1824"/>
      <c r="AP212" s="1781" t="s">
        <v>3</v>
      </c>
      <c r="AQ212" s="1781" t="s">
        <v>501</v>
      </c>
      <c r="AR212" s="1822" t="s">
        <v>39</v>
      </c>
      <c r="AS212" s="1822"/>
      <c r="AT212" s="1823">
        <v>322698890.26999998</v>
      </c>
      <c r="AU212" s="1825">
        <v>9.5042511890112411E-2</v>
      </c>
      <c r="AV212" s="1781">
        <v>2011</v>
      </c>
      <c r="EA212" s="169"/>
      <c r="EB212" s="169"/>
      <c r="EC212" s="169"/>
      <c r="ED212" s="169"/>
      <c r="EE212" s="169"/>
      <c r="EF212" s="169"/>
      <c r="EG212" s="169"/>
      <c r="EH212" s="169"/>
      <c r="EI212" s="169"/>
      <c r="EJ212" s="169"/>
      <c r="EK212" s="169"/>
      <c r="EL212" s="169"/>
      <c r="EM212" s="169"/>
      <c r="EN212" s="169"/>
      <c r="EO212" s="169"/>
      <c r="EP212" s="169"/>
      <c r="EQ212" s="169"/>
      <c r="ER212" s="169"/>
      <c r="ES212" s="169"/>
      <c r="ET212" s="169"/>
      <c r="EU212" s="169"/>
      <c r="EV212" s="169"/>
      <c r="EW212" s="169"/>
      <c r="EX212" s="169"/>
    </row>
    <row r="213" spans="1:154">
      <c r="A213" s="333">
        <f t="shared" si="6"/>
        <v>1988</v>
      </c>
      <c r="B213" s="333">
        <f t="shared" si="7"/>
        <v>1</v>
      </c>
      <c r="C213" s="1175">
        <v>32143</v>
      </c>
      <c r="D213" s="1158">
        <v>206.99</v>
      </c>
      <c r="E213" s="1159">
        <v>675.95</v>
      </c>
      <c r="F213" s="1159">
        <v>477.15</v>
      </c>
      <c r="G213" s="1160"/>
      <c r="H213" s="1161"/>
      <c r="I213" s="1160"/>
      <c r="J213" s="1160"/>
      <c r="K213" s="1677">
        <v>7954.7</v>
      </c>
      <c r="L213" s="1677">
        <v>11180.182712579101</v>
      </c>
      <c r="M213" s="1681"/>
      <c r="N213" s="1162">
        <v>3780.32</v>
      </c>
      <c r="O213" s="1162">
        <v>937.89177793394231</v>
      </c>
      <c r="P213" s="1162">
        <v>1233.0147575544622</v>
      </c>
      <c r="Q213" s="1163">
        <v>16.3</v>
      </c>
      <c r="R213" s="1164">
        <v>625</v>
      </c>
      <c r="S213" s="1164">
        <v>220</v>
      </c>
      <c r="T213" s="1164">
        <v>2519.9815171848818</v>
      </c>
      <c r="U213" s="1165"/>
      <c r="V213" s="1166"/>
      <c r="W213" s="1166"/>
      <c r="X213" s="635">
        <v>0.71150000000000002</v>
      </c>
      <c r="AI213" s="1781" t="s">
        <v>457</v>
      </c>
      <c r="AJ213" s="1826">
        <v>2014</v>
      </c>
      <c r="AK213" s="1822" t="s">
        <v>18</v>
      </c>
      <c r="AL213" s="1822">
        <v>1</v>
      </c>
      <c r="AM213" s="1823">
        <v>202748311</v>
      </c>
      <c r="AN213" s="1824">
        <v>0.35</v>
      </c>
      <c r="AP213" s="1781" t="s">
        <v>3</v>
      </c>
      <c r="AQ213" s="1781" t="s">
        <v>501</v>
      </c>
      <c r="AR213" s="1822" t="s">
        <v>386</v>
      </c>
      <c r="AS213" s="1822"/>
      <c r="AT213" s="1823">
        <v>3395311044</v>
      </c>
      <c r="AU213" s="1825"/>
      <c r="AV213" s="1781">
        <v>2011</v>
      </c>
      <c r="EA213" s="169"/>
      <c r="EB213" s="169"/>
      <c r="EC213" s="169"/>
      <c r="ED213" s="169"/>
      <c r="EE213" s="169"/>
      <c r="EF213" s="169"/>
      <c r="EG213" s="169"/>
      <c r="EH213" s="169"/>
      <c r="EI213" s="169"/>
      <c r="EJ213" s="169"/>
      <c r="EK213" s="169"/>
      <c r="EL213" s="169"/>
      <c r="EM213" s="169"/>
      <c r="EN213" s="169"/>
      <c r="EO213" s="169"/>
      <c r="EP213" s="169"/>
      <c r="EQ213" s="169"/>
      <c r="ER213" s="169"/>
      <c r="ES213" s="169"/>
      <c r="ET213" s="169"/>
      <c r="EU213" s="169"/>
      <c r="EV213" s="169"/>
      <c r="EW213" s="169"/>
      <c r="EX213" s="169"/>
    </row>
    <row r="214" spans="1:154">
      <c r="A214" s="333">
        <f t="shared" si="6"/>
        <v>1988</v>
      </c>
      <c r="B214" s="333">
        <f t="shared" si="7"/>
        <v>1</v>
      </c>
      <c r="C214" s="1175">
        <v>32174</v>
      </c>
      <c r="D214" s="1167">
        <v>209.96</v>
      </c>
      <c r="E214" s="1168">
        <v>623.07000000000005</v>
      </c>
      <c r="F214" s="1168">
        <v>443.37</v>
      </c>
      <c r="G214" s="1168"/>
      <c r="H214" s="1167"/>
      <c r="I214" s="1168"/>
      <c r="J214" s="1168"/>
      <c r="K214" s="1678">
        <v>8892.5</v>
      </c>
      <c r="L214" s="1678">
        <v>12500</v>
      </c>
      <c r="M214" s="1682"/>
      <c r="N214" s="1169">
        <v>3271.86</v>
      </c>
      <c r="O214" s="1169">
        <v>920.98678661793645</v>
      </c>
      <c r="P214" s="1169">
        <v>1229.9690750632556</v>
      </c>
      <c r="Q214" s="1167">
        <v>16.100000000000001</v>
      </c>
      <c r="R214" s="1167">
        <v>625</v>
      </c>
      <c r="S214" s="1167">
        <v>220</v>
      </c>
      <c r="T214" s="1167">
        <v>2559.5237777332713</v>
      </c>
      <c r="U214" s="1167"/>
      <c r="V214" s="1167"/>
      <c r="W214" s="1167"/>
      <c r="X214" s="344">
        <v>0.71140000000000003</v>
      </c>
      <c r="AI214" s="1781" t="s">
        <v>457</v>
      </c>
      <c r="AJ214" s="1826">
        <v>2014</v>
      </c>
      <c r="AK214" s="1822" t="s">
        <v>758</v>
      </c>
      <c r="AL214" s="1822">
        <v>2</v>
      </c>
      <c r="AM214" s="1823">
        <v>121817703</v>
      </c>
      <c r="AN214" s="1824">
        <v>0.21</v>
      </c>
      <c r="AP214" s="1781" t="s">
        <v>3</v>
      </c>
      <c r="AQ214" s="1781" t="s">
        <v>500</v>
      </c>
      <c r="AR214" s="1822" t="s">
        <v>18</v>
      </c>
      <c r="AS214" s="1822">
        <v>1</v>
      </c>
      <c r="AT214" s="1823">
        <v>1822792946</v>
      </c>
      <c r="AU214" s="1825">
        <v>0.47899999999999998</v>
      </c>
      <c r="AV214" s="1781">
        <v>2010</v>
      </c>
      <c r="EA214" s="169"/>
      <c r="EB214" s="169"/>
      <c r="EC214" s="169"/>
      <c r="ED214" s="169"/>
      <c r="EE214" s="169"/>
      <c r="EF214" s="169"/>
      <c r="EG214" s="169"/>
      <c r="EH214" s="169"/>
      <c r="EI214" s="169"/>
      <c r="EJ214" s="169"/>
      <c r="EK214" s="169"/>
      <c r="EL214" s="169"/>
      <c r="EM214" s="169"/>
      <c r="EN214" s="169"/>
      <c r="EO214" s="169"/>
      <c r="EP214" s="169"/>
      <c r="EQ214" s="169"/>
      <c r="ER214" s="169"/>
      <c r="ES214" s="169"/>
      <c r="ET214" s="169"/>
      <c r="EU214" s="169"/>
      <c r="EV214" s="169"/>
      <c r="EW214" s="169"/>
      <c r="EX214" s="169"/>
    </row>
    <row r="215" spans="1:154">
      <c r="A215" s="333">
        <f t="shared" si="6"/>
        <v>1988</v>
      </c>
      <c r="B215" s="333">
        <f t="shared" si="7"/>
        <v>1</v>
      </c>
      <c r="C215" s="1175">
        <v>32203</v>
      </c>
      <c r="D215" s="1158">
        <v>216.42</v>
      </c>
      <c r="E215" s="1159">
        <v>607.74</v>
      </c>
      <c r="F215" s="1159">
        <v>443.87</v>
      </c>
      <c r="G215" s="1160"/>
      <c r="H215" s="1161"/>
      <c r="I215" s="1160"/>
      <c r="J215" s="1160"/>
      <c r="K215" s="1677">
        <v>14768.75</v>
      </c>
      <c r="L215" s="1677">
        <v>20245.030843043201</v>
      </c>
      <c r="M215" s="1681"/>
      <c r="N215" s="1162">
        <v>3383.14</v>
      </c>
      <c r="O215" s="1162">
        <v>929.67786154900614</v>
      </c>
      <c r="P215" s="1162">
        <v>1408.2248115147361</v>
      </c>
      <c r="Q215" s="1163">
        <v>16.100000000000001</v>
      </c>
      <c r="R215" s="1164">
        <v>625</v>
      </c>
      <c r="S215" s="1164">
        <v>220</v>
      </c>
      <c r="T215" s="1164">
        <v>2485.4788832748013</v>
      </c>
      <c r="U215" s="1165"/>
      <c r="V215" s="1166"/>
      <c r="W215" s="1166"/>
      <c r="X215" s="635">
        <v>0.72950000000000004</v>
      </c>
      <c r="AI215" s="1781" t="s">
        <v>457</v>
      </c>
      <c r="AJ215" s="1826">
        <v>2014</v>
      </c>
      <c r="AK215" s="1822" t="s">
        <v>27</v>
      </c>
      <c r="AL215" s="1822">
        <v>3</v>
      </c>
      <c r="AM215" s="1823">
        <v>63088829</v>
      </c>
      <c r="AN215" s="1824">
        <v>0.109</v>
      </c>
      <c r="AP215" s="1781" t="s">
        <v>3</v>
      </c>
      <c r="AQ215" s="1781" t="s">
        <v>500</v>
      </c>
      <c r="AR215" s="1822" t="s">
        <v>23</v>
      </c>
      <c r="AS215" s="1822">
        <v>2</v>
      </c>
      <c r="AT215" s="1823">
        <v>374661771</v>
      </c>
      <c r="AU215" s="1825">
        <v>9.8000000000000004E-2</v>
      </c>
      <c r="AV215" s="1781">
        <v>2010</v>
      </c>
      <c r="EA215" s="169"/>
      <c r="EB215" s="169"/>
      <c r="EC215" s="169"/>
      <c r="ED215" s="169"/>
      <c r="EE215" s="169"/>
      <c r="EF215" s="169"/>
      <c r="EG215" s="169"/>
      <c r="EH215" s="169"/>
      <c r="EI215" s="169"/>
      <c r="EJ215" s="169"/>
      <c r="EK215" s="169"/>
      <c r="EL215" s="169"/>
      <c r="EM215" s="169"/>
      <c r="EN215" s="169"/>
      <c r="EO215" s="169"/>
      <c r="EP215" s="169"/>
      <c r="EQ215" s="169"/>
      <c r="ER215" s="169"/>
      <c r="ES215" s="169"/>
      <c r="ET215" s="169"/>
      <c r="EU215" s="169"/>
      <c r="EV215" s="169"/>
      <c r="EW215" s="169"/>
      <c r="EX215" s="169"/>
    </row>
    <row r="216" spans="1:154">
      <c r="A216" s="333">
        <f t="shared" si="6"/>
        <v>1988</v>
      </c>
      <c r="B216" s="333">
        <f t="shared" si="7"/>
        <v>2</v>
      </c>
      <c r="C216" s="1175">
        <v>32234</v>
      </c>
      <c r="D216" s="1167">
        <v>224.04</v>
      </c>
      <c r="E216" s="1168">
        <v>606.4</v>
      </c>
      <c r="F216" s="1168">
        <v>451.85</v>
      </c>
      <c r="G216" s="1168"/>
      <c r="H216" s="1167"/>
      <c r="I216" s="1168"/>
      <c r="J216" s="1168"/>
      <c r="K216" s="1678">
        <v>18637</v>
      </c>
      <c r="L216" s="1678">
        <v>25009.393451422398</v>
      </c>
      <c r="M216" s="1682"/>
      <c r="N216" s="1169">
        <v>2624.8</v>
      </c>
      <c r="O216" s="1169">
        <v>747.54428341384869</v>
      </c>
      <c r="P216" s="1169">
        <v>1436.7954911433173</v>
      </c>
      <c r="Q216" s="1167">
        <v>15.7</v>
      </c>
      <c r="R216" s="1167">
        <v>655</v>
      </c>
      <c r="S216" s="1167">
        <v>340</v>
      </c>
      <c r="T216" s="1167">
        <v>2547.3327658523463</v>
      </c>
      <c r="U216" s="1167"/>
      <c r="V216" s="1167"/>
      <c r="W216" s="1167"/>
      <c r="X216" s="344">
        <v>0.74519999999999997</v>
      </c>
      <c r="AI216" s="1781" t="s">
        <v>457</v>
      </c>
      <c r="AJ216" s="1826">
        <v>2014</v>
      </c>
      <c r="AK216" s="1822" t="s">
        <v>63</v>
      </c>
      <c r="AL216" s="1822">
        <v>4</v>
      </c>
      <c r="AM216" s="1823">
        <v>38611341</v>
      </c>
      <c r="AN216" s="1824">
        <v>6.7000000000000004E-2</v>
      </c>
      <c r="AP216" s="1781" t="s">
        <v>3</v>
      </c>
      <c r="AQ216" s="1781" t="s">
        <v>500</v>
      </c>
      <c r="AR216" s="1822" t="s">
        <v>758</v>
      </c>
      <c r="AS216" s="1822">
        <v>3</v>
      </c>
      <c r="AT216" s="1823">
        <v>362551199</v>
      </c>
      <c r="AU216" s="1825">
        <v>9.5000000000000001E-2</v>
      </c>
      <c r="AV216" s="1781">
        <v>2010</v>
      </c>
      <c r="EA216" s="169"/>
      <c r="EB216" s="169"/>
      <c r="EC216" s="169"/>
      <c r="ED216" s="169"/>
      <c r="EE216" s="169"/>
      <c r="EF216" s="169"/>
      <c r="EG216" s="169"/>
      <c r="EH216" s="169"/>
      <c r="EI216" s="169"/>
      <c r="EJ216" s="169"/>
      <c r="EK216" s="169"/>
      <c r="EL216" s="169"/>
      <c r="EM216" s="169"/>
      <c r="EN216" s="169"/>
      <c r="EO216" s="169"/>
      <c r="EP216" s="169"/>
      <c r="EQ216" s="169"/>
      <c r="ER216" s="169"/>
      <c r="ES216" s="169"/>
      <c r="ET216" s="169"/>
      <c r="EU216" s="169"/>
      <c r="EV216" s="169"/>
      <c r="EW216" s="169"/>
      <c r="EX216" s="169"/>
    </row>
    <row r="217" spans="1:154">
      <c r="A217" s="333">
        <f t="shared" si="6"/>
        <v>1988</v>
      </c>
      <c r="B217" s="333">
        <f t="shared" si="7"/>
        <v>2</v>
      </c>
      <c r="C217" s="1175">
        <v>32264</v>
      </c>
      <c r="D217" s="1158">
        <v>218.67</v>
      </c>
      <c r="E217" s="1159">
        <v>582.62</v>
      </c>
      <c r="F217" s="1159">
        <v>451.44</v>
      </c>
      <c r="G217" s="1160"/>
      <c r="H217" s="1161"/>
      <c r="I217" s="1160"/>
      <c r="J217" s="1160"/>
      <c r="K217" s="1677">
        <v>17150</v>
      </c>
      <c r="L217" s="1677">
        <v>22043.701799485902</v>
      </c>
      <c r="M217" s="1681"/>
      <c r="N217" s="1162">
        <v>2987.53</v>
      </c>
      <c r="O217" s="1162">
        <v>819.06169665809773</v>
      </c>
      <c r="P217" s="1162">
        <v>1513.6246786632389</v>
      </c>
      <c r="Q217" s="1163">
        <v>15.4</v>
      </c>
      <c r="R217" s="1164">
        <v>655</v>
      </c>
      <c r="S217" s="1164">
        <v>340</v>
      </c>
      <c r="T217" s="1164">
        <v>2466.3360505552855</v>
      </c>
      <c r="U217" s="1165"/>
      <c r="V217" s="1166"/>
      <c r="W217" s="1166"/>
      <c r="X217" s="635">
        <v>0.77800000000000002</v>
      </c>
      <c r="AI217" s="1781" t="s">
        <v>457</v>
      </c>
      <c r="AJ217" s="1826">
        <v>2014</v>
      </c>
      <c r="AK217" s="1822" t="s">
        <v>21</v>
      </c>
      <c r="AL217" s="1822">
        <v>5</v>
      </c>
      <c r="AM217" s="1823">
        <v>36727188</v>
      </c>
      <c r="AN217" s="1824">
        <v>6.3E-2</v>
      </c>
      <c r="AP217" s="1781" t="s">
        <v>3</v>
      </c>
      <c r="AQ217" s="1781" t="s">
        <v>500</v>
      </c>
      <c r="AR217" s="1822" t="s">
        <v>56</v>
      </c>
      <c r="AS217" s="1822">
        <v>4</v>
      </c>
      <c r="AT217" s="1823">
        <v>279950512</v>
      </c>
      <c r="AU217" s="1825">
        <v>7.3999999999999996E-2</v>
      </c>
      <c r="AV217" s="1781">
        <v>2010</v>
      </c>
      <c r="EA217" s="169"/>
      <c r="EB217" s="169"/>
      <c r="EC217" s="169"/>
      <c r="ED217" s="169"/>
      <c r="EE217" s="169"/>
      <c r="EF217" s="169"/>
      <c r="EG217" s="169"/>
      <c r="EH217" s="169"/>
      <c r="EI217" s="169"/>
      <c r="EJ217" s="169"/>
      <c r="EK217" s="169"/>
      <c r="EL217" s="169"/>
      <c r="EM217" s="169"/>
      <c r="EN217" s="169"/>
      <c r="EO217" s="169"/>
      <c r="EP217" s="169"/>
      <c r="EQ217" s="169"/>
      <c r="ER217" s="169"/>
      <c r="ES217" s="169"/>
      <c r="ET217" s="169"/>
      <c r="EU217" s="169"/>
      <c r="EV217" s="169"/>
      <c r="EW217" s="169"/>
      <c r="EX217" s="169"/>
    </row>
    <row r="218" spans="1:154">
      <c r="A218" s="333">
        <f t="shared" si="6"/>
        <v>1988</v>
      </c>
      <c r="B218" s="333">
        <f t="shared" si="7"/>
        <v>2</v>
      </c>
      <c r="C218" s="1175">
        <v>32295</v>
      </c>
      <c r="D218" s="1167">
        <v>192.07</v>
      </c>
      <c r="E218" s="1168">
        <v>560.03</v>
      </c>
      <c r="F218" s="1168">
        <v>451.75</v>
      </c>
      <c r="G218" s="1168"/>
      <c r="H218" s="1167"/>
      <c r="I218" s="1168"/>
      <c r="J218" s="1168"/>
      <c r="K218" s="1678">
        <v>15775</v>
      </c>
      <c r="L218" s="1678">
        <v>19545.285590385301</v>
      </c>
      <c r="M218" s="1682"/>
      <c r="N218" s="1169">
        <v>3152.03</v>
      </c>
      <c r="O218" s="1169">
        <v>840.14372444554579</v>
      </c>
      <c r="P218" s="1169">
        <v>1695.0811547515796</v>
      </c>
      <c r="Q218" s="1167">
        <v>15.1</v>
      </c>
      <c r="R218" s="1167">
        <v>655</v>
      </c>
      <c r="S218" s="1167">
        <v>340</v>
      </c>
      <c r="T218" s="1167">
        <v>2374.8263509555977</v>
      </c>
      <c r="U218" s="1167"/>
      <c r="V218" s="1167"/>
      <c r="W218" s="1167"/>
      <c r="X218" s="344">
        <v>0.80710000000000004</v>
      </c>
      <c r="AI218" s="1781" t="s">
        <v>457</v>
      </c>
      <c r="AJ218" s="1826">
        <v>2014</v>
      </c>
      <c r="AK218" s="1822" t="s">
        <v>25</v>
      </c>
      <c r="AL218" s="1822">
        <v>6</v>
      </c>
      <c r="AM218" s="1823">
        <v>17053371</v>
      </c>
      <c r="AN218" s="1824">
        <v>2.9000000000000001E-2</v>
      </c>
      <c r="AP218" s="1781" t="s">
        <v>3</v>
      </c>
      <c r="AQ218" s="1781" t="s">
        <v>500</v>
      </c>
      <c r="AR218" s="1822" t="s">
        <v>27</v>
      </c>
      <c r="AS218" s="1822">
        <v>5</v>
      </c>
      <c r="AT218" s="1823">
        <v>232021189</v>
      </c>
      <c r="AU218" s="1825">
        <v>6.0999999999999999E-2</v>
      </c>
      <c r="AV218" s="1781">
        <v>2010</v>
      </c>
      <c r="EA218" s="169"/>
      <c r="EB218" s="169"/>
      <c r="EC218" s="169"/>
      <c r="ED218" s="169"/>
      <c r="EE218" s="169"/>
      <c r="EF218" s="169"/>
      <c r="EG218" s="169"/>
      <c r="EH218" s="169"/>
      <c r="EI218" s="169"/>
      <c r="EJ218" s="169"/>
      <c r="EK218" s="169"/>
      <c r="EL218" s="169"/>
      <c r="EM218" s="169"/>
      <c r="EN218" s="169"/>
      <c r="EO218" s="169"/>
      <c r="EP218" s="169"/>
      <c r="EQ218" s="169"/>
      <c r="ER218" s="169"/>
      <c r="ES218" s="169"/>
      <c r="ET218" s="169"/>
      <c r="EU218" s="169"/>
      <c r="EV218" s="169"/>
      <c r="EW218" s="169"/>
      <c r="EX218" s="169"/>
    </row>
    <row r="219" spans="1:154">
      <c r="A219" s="333">
        <f t="shared" si="6"/>
        <v>1988</v>
      </c>
      <c r="B219" s="333">
        <f t="shared" si="7"/>
        <v>3</v>
      </c>
      <c r="C219" s="1175">
        <v>32325</v>
      </c>
      <c r="D219" s="1158">
        <v>222.49</v>
      </c>
      <c r="E219" s="1159">
        <v>549.46</v>
      </c>
      <c r="F219" s="1159">
        <v>437.94</v>
      </c>
      <c r="G219" s="1160"/>
      <c r="H219" s="1161"/>
      <c r="I219" s="1160"/>
      <c r="J219" s="1160"/>
      <c r="K219" s="1677">
        <v>14562.5</v>
      </c>
      <c r="L219" s="1677">
        <v>18101.30515848353</v>
      </c>
      <c r="M219" s="1681"/>
      <c r="N219" s="1162">
        <v>2751.03</v>
      </c>
      <c r="O219" s="1162">
        <v>769.63331261653195</v>
      </c>
      <c r="P219" s="1162">
        <v>1537.8495960223743</v>
      </c>
      <c r="Q219" s="1163">
        <v>14.7</v>
      </c>
      <c r="R219" s="1164">
        <v>655</v>
      </c>
      <c r="S219" s="1164">
        <v>340</v>
      </c>
      <c r="T219" s="1164">
        <v>2421.3088485325675</v>
      </c>
      <c r="U219" s="1165"/>
      <c r="V219" s="1166"/>
      <c r="W219" s="1166"/>
      <c r="X219" s="635">
        <v>0.80449999999999999</v>
      </c>
      <c r="AI219" s="1781" t="s">
        <v>457</v>
      </c>
      <c r="AJ219" s="1826">
        <v>2014</v>
      </c>
      <c r="AK219" s="1822" t="s">
        <v>23</v>
      </c>
      <c r="AL219" s="1822">
        <v>7</v>
      </c>
      <c r="AM219" s="1823">
        <v>13456446</v>
      </c>
      <c r="AN219" s="1824">
        <v>2.3E-2</v>
      </c>
      <c r="AP219" s="1781" t="s">
        <v>3</v>
      </c>
      <c r="AQ219" s="1781" t="s">
        <v>500</v>
      </c>
      <c r="AR219" s="1822" t="s">
        <v>57</v>
      </c>
      <c r="AS219" s="1822">
        <v>6</v>
      </c>
      <c r="AT219" s="1823">
        <v>166813133</v>
      </c>
      <c r="AU219" s="1825">
        <v>4.3999999999999997E-2</v>
      </c>
      <c r="AV219" s="1781">
        <v>2010</v>
      </c>
      <c r="EA219" s="169"/>
      <c r="EB219" s="169"/>
      <c r="EC219" s="169"/>
      <c r="ED219" s="169"/>
      <c r="EE219" s="169"/>
      <c r="EF219" s="169"/>
      <c r="EG219" s="169"/>
      <c r="EH219" s="169"/>
      <c r="EI219" s="169"/>
      <c r="EJ219" s="169"/>
      <c r="EK219" s="169"/>
      <c r="EL219" s="169"/>
      <c r="EM219" s="169"/>
      <c r="EN219" s="169"/>
      <c r="EO219" s="169"/>
      <c r="EP219" s="169"/>
      <c r="EQ219" s="169"/>
      <c r="ER219" s="169"/>
      <c r="ES219" s="169"/>
      <c r="ET219" s="169"/>
      <c r="EU219" s="169"/>
      <c r="EV219" s="169"/>
      <c r="EW219" s="169"/>
      <c r="EX219" s="169"/>
    </row>
    <row r="220" spans="1:154">
      <c r="A220" s="333">
        <f t="shared" si="6"/>
        <v>1988</v>
      </c>
      <c r="B220" s="333">
        <f t="shared" si="7"/>
        <v>3</v>
      </c>
      <c r="C220" s="1175">
        <v>32356</v>
      </c>
      <c r="D220" s="1167">
        <v>231.71</v>
      </c>
      <c r="E220" s="1168">
        <v>537.20000000000005</v>
      </c>
      <c r="F220" s="1168">
        <v>431.69</v>
      </c>
      <c r="G220" s="1168"/>
      <c r="H220" s="1167"/>
      <c r="I220" s="1168"/>
      <c r="J220" s="1168"/>
      <c r="K220" s="1678">
        <v>14247.5</v>
      </c>
      <c r="L220" s="1678">
        <v>17657.082662039906</v>
      </c>
      <c r="M220" s="1682"/>
      <c r="N220" s="1169">
        <v>2737.64</v>
      </c>
      <c r="O220" s="1169">
        <v>747.08142272896282</v>
      </c>
      <c r="P220" s="1169">
        <v>1627.3391994051308</v>
      </c>
      <c r="Q220" s="1167">
        <v>14.1</v>
      </c>
      <c r="R220" s="1167">
        <v>655</v>
      </c>
      <c r="S220" s="1167">
        <v>340</v>
      </c>
      <c r="T220" s="1167">
        <v>2412.1245207175825</v>
      </c>
      <c r="U220" s="1167"/>
      <c r="V220" s="1167"/>
      <c r="W220" s="1167"/>
      <c r="X220" s="344">
        <v>0.80689999999999995</v>
      </c>
      <c r="AI220" s="1781" t="s">
        <v>457</v>
      </c>
      <c r="AJ220" s="1826">
        <v>2014</v>
      </c>
      <c r="AK220" s="1822" t="s">
        <v>70</v>
      </c>
      <c r="AL220" s="1822">
        <v>8</v>
      </c>
      <c r="AM220" s="1823">
        <v>12405372</v>
      </c>
      <c r="AN220" s="1824">
        <v>2.1000000000000001E-2</v>
      </c>
      <c r="AP220" s="1781" t="s">
        <v>3</v>
      </c>
      <c r="AQ220" s="1781" t="s">
        <v>500</v>
      </c>
      <c r="AR220" s="1822" t="s">
        <v>54</v>
      </c>
      <c r="AS220" s="1822">
        <v>7</v>
      </c>
      <c r="AT220" s="1823">
        <v>146245697</v>
      </c>
      <c r="AU220" s="1825">
        <v>3.7999999999999999E-2</v>
      </c>
      <c r="AV220" s="1781">
        <v>2010</v>
      </c>
      <c r="EA220" s="169"/>
      <c r="EB220" s="169"/>
      <c r="EC220" s="169"/>
      <c r="ED220" s="169"/>
      <c r="EE220" s="169"/>
      <c r="EF220" s="169"/>
      <c r="EG220" s="169"/>
      <c r="EH220" s="169"/>
      <c r="EI220" s="169"/>
      <c r="EJ220" s="169"/>
      <c r="EK220" s="169"/>
      <c r="EL220" s="169"/>
      <c r="EM220" s="169"/>
      <c r="EN220" s="169"/>
      <c r="EO220" s="169"/>
      <c r="EP220" s="169"/>
      <c r="EQ220" s="169"/>
      <c r="ER220" s="169"/>
      <c r="ES220" s="169"/>
      <c r="ET220" s="169"/>
      <c r="EU220" s="169"/>
      <c r="EV220" s="169"/>
      <c r="EW220" s="169"/>
      <c r="EX220" s="169"/>
    </row>
    <row r="221" spans="1:154">
      <c r="A221" s="333">
        <f t="shared" si="6"/>
        <v>1988</v>
      </c>
      <c r="B221" s="333">
        <f t="shared" si="7"/>
        <v>3</v>
      </c>
      <c r="C221" s="1175">
        <v>32387</v>
      </c>
      <c r="D221" s="1158">
        <v>210.6</v>
      </c>
      <c r="E221" s="1159">
        <v>524.69000000000005</v>
      </c>
      <c r="F221" s="1159">
        <v>415.08</v>
      </c>
      <c r="G221" s="1160"/>
      <c r="H221" s="1161"/>
      <c r="I221" s="1160"/>
      <c r="J221" s="1160"/>
      <c r="K221" s="1677">
        <v>11907</v>
      </c>
      <c r="L221" s="1677">
        <v>15208.838932175246</v>
      </c>
      <c r="M221" s="1681"/>
      <c r="N221" s="1162">
        <v>3108.95</v>
      </c>
      <c r="O221" s="1162">
        <v>778.49022863711843</v>
      </c>
      <c r="P221" s="1162">
        <v>1699.195299527398</v>
      </c>
      <c r="Q221" s="1163">
        <v>13.7</v>
      </c>
      <c r="R221" s="1164">
        <v>655</v>
      </c>
      <c r="S221" s="1164">
        <v>340</v>
      </c>
      <c r="T221" s="1164">
        <v>2615.9644514370875</v>
      </c>
      <c r="U221" s="1165"/>
      <c r="V221" s="1166"/>
      <c r="W221" s="1166"/>
      <c r="X221" s="635">
        <v>0.78290000000000004</v>
      </c>
      <c r="AI221" s="1781" t="s">
        <v>457</v>
      </c>
      <c r="AJ221" s="1826">
        <v>2014</v>
      </c>
      <c r="AK221" s="1822" t="s">
        <v>66</v>
      </c>
      <c r="AL221" s="1822">
        <v>9</v>
      </c>
      <c r="AM221" s="1823">
        <v>11455485</v>
      </c>
      <c r="AN221" s="1824">
        <v>0.02</v>
      </c>
      <c r="AP221" s="1781" t="s">
        <v>3</v>
      </c>
      <c r="AQ221" s="1781" t="s">
        <v>500</v>
      </c>
      <c r="AR221" s="1822" t="s">
        <v>21</v>
      </c>
      <c r="AS221" s="1822">
        <v>8</v>
      </c>
      <c r="AT221" s="1823">
        <v>95138490</v>
      </c>
      <c r="AU221" s="1825">
        <v>2.5000000000000001E-2</v>
      </c>
      <c r="AV221" s="1781">
        <v>2010</v>
      </c>
      <c r="EA221" s="169"/>
      <c r="EB221" s="169"/>
      <c r="EC221" s="169"/>
      <c r="ED221" s="169"/>
      <c r="EE221" s="169"/>
      <c r="EF221" s="169"/>
      <c r="EG221" s="169"/>
      <c r="EH221" s="169"/>
      <c r="EI221" s="169"/>
      <c r="EJ221" s="169"/>
      <c r="EK221" s="169"/>
      <c r="EL221" s="169"/>
      <c r="EM221" s="169"/>
      <c r="EN221" s="169"/>
      <c r="EO221" s="169"/>
      <c r="EP221" s="169"/>
      <c r="EQ221" s="169"/>
      <c r="ER221" s="169"/>
      <c r="ES221" s="169"/>
      <c r="ET221" s="169"/>
      <c r="EU221" s="169"/>
      <c r="EV221" s="169"/>
      <c r="EW221" s="169"/>
      <c r="EX221" s="169"/>
    </row>
    <row r="222" spans="1:154">
      <c r="A222" s="333">
        <f t="shared" si="6"/>
        <v>1988</v>
      </c>
      <c r="B222" s="333">
        <f t="shared" si="7"/>
        <v>4</v>
      </c>
      <c r="C222" s="1175">
        <v>32417</v>
      </c>
      <c r="D222" s="1167">
        <v>209.6</v>
      </c>
      <c r="E222" s="1168">
        <v>504.44</v>
      </c>
      <c r="F222" s="1168">
        <v>406.46</v>
      </c>
      <c r="G222" s="1168"/>
      <c r="H222" s="1167"/>
      <c r="I222" s="1168"/>
      <c r="J222" s="1168"/>
      <c r="K222" s="1678">
        <v>11623.8</v>
      </c>
      <c r="L222" s="1678">
        <v>14079.215116279069</v>
      </c>
      <c r="M222" s="1682"/>
      <c r="N222" s="1169">
        <v>3563.71</v>
      </c>
      <c r="O222" s="1169">
        <v>793.62887596899225</v>
      </c>
      <c r="P222" s="1169">
        <v>1840.9641472868218</v>
      </c>
      <c r="Q222" s="1167">
        <v>13.1</v>
      </c>
      <c r="R222" s="1167">
        <v>655</v>
      </c>
      <c r="S222" s="1167">
        <v>340</v>
      </c>
      <c r="T222" s="1167">
        <v>2504.3110397618834</v>
      </c>
      <c r="U222" s="1167"/>
      <c r="V222" s="1167"/>
      <c r="W222" s="1167"/>
      <c r="X222" s="344">
        <v>0.8256</v>
      </c>
      <c r="AI222" s="1781" t="s">
        <v>457</v>
      </c>
      <c r="AJ222" s="1826">
        <v>2014</v>
      </c>
      <c r="AK222" s="1822" t="s">
        <v>22</v>
      </c>
      <c r="AL222" s="1822">
        <v>10</v>
      </c>
      <c r="AM222" s="1823">
        <v>8229269</v>
      </c>
      <c r="AN222" s="1824">
        <v>1.4E-2</v>
      </c>
      <c r="AP222" s="1781" t="s">
        <v>3</v>
      </c>
      <c r="AQ222" s="1781" t="s">
        <v>500</v>
      </c>
      <c r="AR222" s="1822" t="s">
        <v>24</v>
      </c>
      <c r="AS222" s="1822">
        <v>9</v>
      </c>
      <c r="AT222" s="1823">
        <v>81844720</v>
      </c>
      <c r="AU222" s="1825">
        <v>2.1999999999999999E-2</v>
      </c>
      <c r="AV222" s="1781">
        <v>2010</v>
      </c>
      <c r="EA222" s="169"/>
      <c r="EB222" s="169"/>
      <c r="EC222" s="169"/>
      <c r="ED222" s="169"/>
      <c r="EE222" s="169"/>
      <c r="EF222" s="169"/>
      <c r="EG222" s="169"/>
      <c r="EH222" s="169"/>
      <c r="EI222" s="169"/>
      <c r="EJ222" s="169"/>
      <c r="EK222" s="169"/>
      <c r="EL222" s="169"/>
      <c r="EM222" s="169"/>
      <c r="EN222" s="169"/>
      <c r="EO222" s="169"/>
      <c r="EP222" s="169"/>
      <c r="EQ222" s="169"/>
      <c r="ER222" s="169"/>
      <c r="ES222" s="169"/>
      <c r="ET222" s="169"/>
      <c r="EU222" s="169"/>
      <c r="EV222" s="169"/>
      <c r="EW222" s="169"/>
      <c r="EX222" s="169"/>
    </row>
    <row r="223" spans="1:154">
      <c r="A223" s="333">
        <f t="shared" si="6"/>
        <v>1988</v>
      </c>
      <c r="B223" s="333">
        <f t="shared" si="7"/>
        <v>4</v>
      </c>
      <c r="C223" s="1175">
        <v>32448</v>
      </c>
      <c r="D223" s="1158">
        <v>218.9</v>
      </c>
      <c r="E223" s="1159">
        <v>495.98</v>
      </c>
      <c r="F223" s="1159">
        <v>420.18</v>
      </c>
      <c r="G223" s="1160"/>
      <c r="H223" s="1161"/>
      <c r="I223" s="1160"/>
      <c r="J223" s="1160"/>
      <c r="K223" s="1677">
        <v>13100</v>
      </c>
      <c r="L223" s="1677">
        <v>14918.574194283112</v>
      </c>
      <c r="M223" s="1681"/>
      <c r="N223" s="1162">
        <v>3756.18</v>
      </c>
      <c r="O223" s="1162">
        <v>787.00603575902528</v>
      </c>
      <c r="P223" s="1162">
        <v>1777.1324450518164</v>
      </c>
      <c r="Q223" s="1163">
        <v>12.5</v>
      </c>
      <c r="R223" s="1164">
        <v>655</v>
      </c>
      <c r="S223" s="1164">
        <v>340</v>
      </c>
      <c r="T223" s="1164">
        <v>2531.2853330471917</v>
      </c>
      <c r="U223" s="1165"/>
      <c r="V223" s="1166"/>
      <c r="W223" s="1166"/>
      <c r="X223" s="635">
        <v>0.87809999999999999</v>
      </c>
      <c r="AI223" s="1781" t="s">
        <v>457</v>
      </c>
      <c r="AJ223" s="1826">
        <v>2014</v>
      </c>
      <c r="AK223" s="1822" t="s">
        <v>39</v>
      </c>
      <c r="AL223" s="1822"/>
      <c r="AM223" s="1823">
        <v>54338895</v>
      </c>
      <c r="AN223" s="1824">
        <v>9.4E-2</v>
      </c>
      <c r="AP223" s="1781" t="s">
        <v>3</v>
      </c>
      <c r="AQ223" s="1781" t="s">
        <v>500</v>
      </c>
      <c r="AR223" s="1822" t="s">
        <v>63</v>
      </c>
      <c r="AS223" s="1822">
        <v>10</v>
      </c>
      <c r="AT223" s="1823">
        <v>44762343</v>
      </c>
      <c r="AU223" s="1825">
        <v>1.2E-2</v>
      </c>
      <c r="AV223" s="1781">
        <v>2010</v>
      </c>
      <c r="EA223" s="169"/>
      <c r="EB223" s="169"/>
      <c r="EC223" s="169"/>
      <c r="ED223" s="169"/>
      <c r="EE223" s="169"/>
      <c r="EF223" s="169"/>
      <c r="EG223" s="169"/>
      <c r="EH223" s="169"/>
      <c r="EI223" s="169"/>
      <c r="EJ223" s="169"/>
      <c r="EK223" s="169"/>
      <c r="EL223" s="169"/>
      <c r="EM223" s="169"/>
      <c r="EN223" s="169"/>
      <c r="EO223" s="169"/>
      <c r="EP223" s="169"/>
      <c r="EQ223" s="169"/>
      <c r="ER223" s="169"/>
      <c r="ES223" s="169"/>
      <c r="ET223" s="169"/>
      <c r="EU223" s="169"/>
      <c r="EV223" s="169"/>
      <c r="EW223" s="169"/>
      <c r="EX223" s="169"/>
    </row>
    <row r="224" spans="1:154">
      <c r="A224" s="333">
        <f t="shared" si="6"/>
        <v>1988</v>
      </c>
      <c r="B224" s="333">
        <f t="shared" si="7"/>
        <v>4</v>
      </c>
      <c r="C224" s="1175">
        <v>32478</v>
      </c>
      <c r="D224" s="1167">
        <v>226.95</v>
      </c>
      <c r="E224" s="1168">
        <v>488.33</v>
      </c>
      <c r="F224" s="1168">
        <v>419.4</v>
      </c>
      <c r="G224" s="1168"/>
      <c r="H224" s="1167"/>
      <c r="I224" s="1168"/>
      <c r="J224" s="1168"/>
      <c r="K224" s="1678">
        <v>16712.5</v>
      </c>
      <c r="L224" s="1678">
        <v>19535.359438924606</v>
      </c>
      <c r="M224" s="1682"/>
      <c r="N224" s="1169">
        <v>4097.25</v>
      </c>
      <c r="O224" s="1169">
        <v>853.48918760958497</v>
      </c>
      <c r="P224" s="1169">
        <v>1867.6797194623025</v>
      </c>
      <c r="Q224" s="1167">
        <v>11.7</v>
      </c>
      <c r="R224" s="1167">
        <v>655</v>
      </c>
      <c r="S224" s="1167">
        <v>340</v>
      </c>
      <c r="T224" s="1167">
        <v>2471.437231551894</v>
      </c>
      <c r="U224" s="1167"/>
      <c r="V224" s="1167"/>
      <c r="W224" s="1167"/>
      <c r="X224" s="344">
        <v>0.85550000000000004</v>
      </c>
      <c r="AI224" s="1781" t="s">
        <v>457</v>
      </c>
      <c r="AJ224" s="1826">
        <v>2014</v>
      </c>
      <c r="AK224" s="1822" t="s">
        <v>386</v>
      </c>
      <c r="AL224" s="1822"/>
      <c r="AM224" s="1823">
        <v>579932210</v>
      </c>
      <c r="AN224" s="1824"/>
      <c r="AP224" s="1781" t="s">
        <v>3</v>
      </c>
      <c r="AQ224" s="1781" t="s">
        <v>500</v>
      </c>
      <c r="AR224" s="1822" t="s">
        <v>39</v>
      </c>
      <c r="AS224" s="1822"/>
      <c r="AT224" s="1823">
        <v>196970585</v>
      </c>
      <c r="AU224" s="1825">
        <v>5.1999999999999998E-2</v>
      </c>
      <c r="AV224" s="1781">
        <v>2010</v>
      </c>
      <c r="EA224" s="169"/>
      <c r="EB224" s="169"/>
      <c r="EC224" s="169"/>
      <c r="ED224" s="169"/>
      <c r="EE224" s="169"/>
      <c r="EF224" s="169"/>
      <c r="EG224" s="169"/>
      <c r="EH224" s="169"/>
      <c r="EI224" s="169"/>
      <c r="EJ224" s="169"/>
      <c r="EK224" s="169"/>
      <c r="EL224" s="169"/>
      <c r="EM224" s="169"/>
      <c r="EN224" s="169"/>
      <c r="EO224" s="169"/>
      <c r="EP224" s="169"/>
      <c r="EQ224" s="169"/>
      <c r="ER224" s="169"/>
      <c r="ES224" s="169"/>
      <c r="ET224" s="169"/>
      <c r="EU224" s="169"/>
      <c r="EV224" s="169"/>
      <c r="EW224" s="169"/>
      <c r="EX224" s="169"/>
    </row>
    <row r="225" spans="1:154">
      <c r="A225" s="333">
        <f t="shared" si="6"/>
        <v>1989</v>
      </c>
      <c r="B225" s="333">
        <f t="shared" si="7"/>
        <v>1</v>
      </c>
      <c r="C225" s="1175">
        <v>32509</v>
      </c>
      <c r="D225" s="1158">
        <v>313.94</v>
      </c>
      <c r="E225" s="1159">
        <v>466.99</v>
      </c>
      <c r="F225" s="1159">
        <v>405</v>
      </c>
      <c r="G225" s="1160"/>
      <c r="H225" s="1161"/>
      <c r="I225" s="1160"/>
      <c r="J225" s="1160"/>
      <c r="K225" s="1677">
        <v>17900</v>
      </c>
      <c r="L225" s="1677">
        <v>20134.98312710911</v>
      </c>
      <c r="M225" s="1681"/>
      <c r="N225" s="1162">
        <v>3822.27</v>
      </c>
      <c r="O225" s="1162">
        <v>762.7221597300337</v>
      </c>
      <c r="P225" s="1162">
        <v>1987.0641169853768</v>
      </c>
      <c r="Q225" s="1163">
        <v>11.6</v>
      </c>
      <c r="R225" s="1164">
        <v>655</v>
      </c>
      <c r="S225" s="1164">
        <v>340</v>
      </c>
      <c r="T225" s="1164">
        <v>2432.8053448584401</v>
      </c>
      <c r="U225" s="1165"/>
      <c r="V225" s="1166"/>
      <c r="W225" s="1166"/>
      <c r="X225" s="635">
        <v>0.88900000000000001</v>
      </c>
      <c r="AI225" s="1781" t="s">
        <v>457</v>
      </c>
      <c r="AJ225" s="1826">
        <v>2013</v>
      </c>
      <c r="AK225" s="1822" t="s">
        <v>758</v>
      </c>
      <c r="AL225" s="1822">
        <v>1</v>
      </c>
      <c r="AM225" s="1823">
        <v>225964567</v>
      </c>
      <c r="AN225" s="1824">
        <v>0.26600000000000001</v>
      </c>
      <c r="AP225" s="1781" t="s">
        <v>3</v>
      </c>
      <c r="AQ225" s="1781" t="s">
        <v>500</v>
      </c>
      <c r="AR225" s="1822" t="s">
        <v>386</v>
      </c>
      <c r="AS225" s="1822"/>
      <c r="AT225" s="1823">
        <v>3803752585</v>
      </c>
      <c r="AU225" s="1825"/>
      <c r="AV225" s="1781">
        <v>2010</v>
      </c>
      <c r="EA225" s="169"/>
      <c r="EB225" s="169"/>
      <c r="EC225" s="169"/>
      <c r="ED225" s="169"/>
      <c r="EE225" s="169"/>
      <c r="EF225" s="169"/>
      <c r="EG225" s="169"/>
      <c r="EH225" s="169"/>
      <c r="EI225" s="169"/>
      <c r="EJ225" s="169"/>
      <c r="EK225" s="169"/>
      <c r="EL225" s="169"/>
      <c r="EM225" s="169"/>
      <c r="EN225" s="169"/>
      <c r="EO225" s="169"/>
      <c r="EP225" s="169"/>
      <c r="EQ225" s="169"/>
      <c r="ER225" s="169"/>
      <c r="ES225" s="169"/>
      <c r="ET225" s="169"/>
      <c r="EU225" s="169"/>
      <c r="EV225" s="169"/>
      <c r="EW225" s="169"/>
      <c r="EX225" s="169"/>
    </row>
    <row r="226" spans="1:154">
      <c r="A226" s="333">
        <f t="shared" si="6"/>
        <v>1989</v>
      </c>
      <c r="B226" s="333">
        <f t="shared" si="7"/>
        <v>1</v>
      </c>
      <c r="C226" s="1175">
        <v>32540</v>
      </c>
      <c r="D226" s="1167">
        <v>281.7</v>
      </c>
      <c r="E226" s="1168">
        <v>454.97</v>
      </c>
      <c r="F226" s="1168">
        <v>387.78</v>
      </c>
      <c r="G226" s="1168"/>
      <c r="H226" s="1167"/>
      <c r="I226" s="1168"/>
      <c r="J226" s="1168"/>
      <c r="K226" s="1678">
        <v>18306.3</v>
      </c>
      <c r="L226" s="1678">
        <v>22911.514392991237</v>
      </c>
      <c r="M226" s="1682"/>
      <c r="N226" s="1169">
        <v>3877.22</v>
      </c>
      <c r="O226" s="1169">
        <v>778.3354192740926</v>
      </c>
      <c r="P226" s="1169">
        <v>2511.0137672090109</v>
      </c>
      <c r="Q226" s="1167">
        <v>11.2</v>
      </c>
      <c r="R226" s="1167">
        <v>655</v>
      </c>
      <c r="S226" s="1167">
        <v>340</v>
      </c>
      <c r="T226" s="1167">
        <v>2507.0746957449287</v>
      </c>
      <c r="U226" s="1167"/>
      <c r="V226" s="1167"/>
      <c r="W226" s="1167"/>
      <c r="X226" s="344">
        <v>0.79900000000000004</v>
      </c>
      <c r="AI226" s="1781" t="s">
        <v>457</v>
      </c>
      <c r="AJ226" s="1826">
        <v>2013</v>
      </c>
      <c r="AK226" s="1822" t="s">
        <v>18</v>
      </c>
      <c r="AL226" s="1822">
        <v>2</v>
      </c>
      <c r="AM226" s="1823">
        <v>189897651</v>
      </c>
      <c r="AN226" s="1824">
        <v>0.223</v>
      </c>
      <c r="AP226" s="1781" t="s">
        <v>3</v>
      </c>
      <c r="AQ226" s="1781" t="s">
        <v>498</v>
      </c>
      <c r="AR226" s="1822" t="s">
        <v>18</v>
      </c>
      <c r="AS226" s="1822">
        <v>1</v>
      </c>
      <c r="AT226" s="1823">
        <v>992572586.31999969</v>
      </c>
      <c r="AU226" s="1825">
        <v>0.38739111959364708</v>
      </c>
      <c r="AV226" s="1781">
        <v>2008</v>
      </c>
      <c r="EA226" s="169"/>
      <c r="EB226" s="169"/>
      <c r="EC226" s="169"/>
      <c r="ED226" s="169"/>
      <c r="EE226" s="169"/>
      <c r="EF226" s="169"/>
      <c r="EG226" s="169"/>
      <c r="EH226" s="169"/>
      <c r="EI226" s="169"/>
      <c r="EJ226" s="169"/>
      <c r="EK226" s="169"/>
      <c r="EL226" s="169"/>
      <c r="EM226" s="169"/>
      <c r="EN226" s="169"/>
      <c r="EO226" s="169"/>
      <c r="EP226" s="169"/>
      <c r="EQ226" s="169"/>
      <c r="ER226" s="169"/>
      <c r="ES226" s="169"/>
      <c r="ET226" s="169"/>
      <c r="EU226" s="169"/>
      <c r="EV226" s="169"/>
      <c r="EW226" s="169"/>
      <c r="EX226" s="169"/>
    </row>
    <row r="227" spans="1:154">
      <c r="A227" s="333">
        <f t="shared" si="6"/>
        <v>1989</v>
      </c>
      <c r="B227" s="333">
        <f t="shared" si="7"/>
        <v>1</v>
      </c>
      <c r="C227" s="1175">
        <v>32568</v>
      </c>
      <c r="D227" s="1158">
        <v>356.15</v>
      </c>
      <c r="E227" s="1159">
        <v>479.89</v>
      </c>
      <c r="F227" s="1159">
        <v>390.03</v>
      </c>
      <c r="G227" s="1160"/>
      <c r="H227" s="1161"/>
      <c r="I227" s="1160"/>
      <c r="J227" s="1160"/>
      <c r="K227" s="1677">
        <v>16800</v>
      </c>
      <c r="L227" s="1677">
        <v>20502.806931901392</v>
      </c>
      <c r="M227" s="1681"/>
      <c r="N227" s="1162">
        <v>3990.36</v>
      </c>
      <c r="O227" s="1162">
        <v>721.1130095191603</v>
      </c>
      <c r="P227" s="1162">
        <v>2397.7300463753968</v>
      </c>
      <c r="Q227" s="1163">
        <v>10.7</v>
      </c>
      <c r="R227" s="1164">
        <v>750</v>
      </c>
      <c r="S227" s="1164">
        <v>550</v>
      </c>
      <c r="T227" s="1164">
        <v>2767.0771942192455</v>
      </c>
      <c r="U227" s="1165"/>
      <c r="V227" s="1166"/>
      <c r="W227" s="1166"/>
      <c r="X227" s="635">
        <v>0.81940000000000002</v>
      </c>
      <c r="AI227" s="1781" t="s">
        <v>457</v>
      </c>
      <c r="AJ227" s="1826">
        <v>2013</v>
      </c>
      <c r="AK227" s="1822" t="s">
        <v>27</v>
      </c>
      <c r="AL227" s="1822">
        <v>3</v>
      </c>
      <c r="AM227" s="1823">
        <v>87930926</v>
      </c>
      <c r="AN227" s="1824">
        <v>0.10299999999999999</v>
      </c>
      <c r="AP227" s="1781" t="s">
        <v>3</v>
      </c>
      <c r="AQ227" s="1781" t="s">
        <v>498</v>
      </c>
      <c r="AR227" s="1822" t="s">
        <v>57</v>
      </c>
      <c r="AS227" s="1822">
        <v>2</v>
      </c>
      <c r="AT227" s="1823">
        <v>436361434.19999999</v>
      </c>
      <c r="AU227" s="1825">
        <v>0.17030748871370624</v>
      </c>
      <c r="AV227" s="1781">
        <v>2008</v>
      </c>
      <c r="EA227" s="169"/>
      <c r="EB227" s="169"/>
      <c r="EC227" s="169"/>
      <c r="ED227" s="169"/>
      <c r="EE227" s="169"/>
      <c r="EF227" s="169"/>
      <c r="EG227" s="169"/>
      <c r="EH227" s="169"/>
      <c r="EI227" s="169"/>
      <c r="EJ227" s="169"/>
      <c r="EK227" s="169"/>
      <c r="EL227" s="169"/>
      <c r="EM227" s="169"/>
      <c r="EN227" s="169"/>
      <c r="EO227" s="169"/>
      <c r="EP227" s="169"/>
      <c r="EQ227" s="169"/>
      <c r="ER227" s="169"/>
      <c r="ES227" s="169"/>
      <c r="ET227" s="169"/>
      <c r="EU227" s="169"/>
      <c r="EV227" s="169"/>
      <c r="EW227" s="169"/>
      <c r="EX227" s="169"/>
    </row>
    <row r="228" spans="1:154">
      <c r="A228" s="333">
        <f t="shared" si="6"/>
        <v>1989</v>
      </c>
      <c r="B228" s="333">
        <f t="shared" si="7"/>
        <v>2</v>
      </c>
      <c r="C228" s="1175">
        <v>32599</v>
      </c>
      <c r="D228" s="1167">
        <v>312.08999999999997</v>
      </c>
      <c r="E228" s="1168">
        <v>479.87</v>
      </c>
      <c r="F228" s="1168">
        <v>384.85</v>
      </c>
      <c r="G228" s="1168"/>
      <c r="H228" s="1167"/>
      <c r="I228" s="1168"/>
      <c r="J228" s="1168"/>
      <c r="K228" s="1678">
        <v>15206.3</v>
      </c>
      <c r="L228" s="1678">
        <v>19175.662042875156</v>
      </c>
      <c r="M228" s="1682"/>
      <c r="N228" s="1169">
        <v>3932.41</v>
      </c>
      <c r="O228" s="1169">
        <v>766.9735182849937</v>
      </c>
      <c r="P228" s="1169">
        <v>2118.1588902900376</v>
      </c>
      <c r="Q228" s="1167">
        <v>10.1</v>
      </c>
      <c r="R228" s="1167">
        <v>750</v>
      </c>
      <c r="S228" s="1167">
        <v>550</v>
      </c>
      <c r="T228" s="1167">
        <v>2697.1551107311625</v>
      </c>
      <c r="U228" s="1167"/>
      <c r="V228" s="1167"/>
      <c r="W228" s="1167"/>
      <c r="X228" s="344">
        <v>0.79300000000000004</v>
      </c>
      <c r="AI228" s="1781" t="s">
        <v>457</v>
      </c>
      <c r="AJ228" s="1826">
        <v>2013</v>
      </c>
      <c r="AK228" s="1822" t="s">
        <v>537</v>
      </c>
      <c r="AL228" s="1822">
        <v>4</v>
      </c>
      <c r="AM228" s="1823">
        <v>50545932</v>
      </c>
      <c r="AN228" s="1824">
        <v>5.8999999999999997E-2</v>
      </c>
      <c r="AP228" s="1781" t="s">
        <v>3</v>
      </c>
      <c r="AQ228" s="1781" t="s">
        <v>498</v>
      </c>
      <c r="AR228" s="1822" t="s">
        <v>61</v>
      </c>
      <c r="AS228" s="1822">
        <v>3</v>
      </c>
      <c r="AT228" s="1823">
        <v>392232149.0800001</v>
      </c>
      <c r="AU228" s="1825">
        <v>0.15308427158569199</v>
      </c>
      <c r="AV228" s="1781">
        <v>2008</v>
      </c>
      <c r="EA228" s="169"/>
      <c r="EB228" s="169"/>
      <c r="EC228" s="169"/>
      <c r="ED228" s="169"/>
      <c r="EE228" s="169"/>
      <c r="EF228" s="169"/>
      <c r="EG228" s="169"/>
      <c r="EH228" s="169"/>
      <c r="EI228" s="169"/>
      <c r="EJ228" s="169"/>
      <c r="EK228" s="169"/>
      <c r="EL228" s="169"/>
      <c r="EM228" s="169"/>
      <c r="EN228" s="169"/>
      <c r="EO228" s="169"/>
      <c r="EP228" s="169"/>
      <c r="EQ228" s="169"/>
      <c r="ER228" s="169"/>
      <c r="ES228" s="169"/>
      <c r="ET228" s="169"/>
      <c r="EU228" s="169"/>
      <c r="EV228" s="169"/>
      <c r="EW228" s="169"/>
      <c r="EX228" s="169"/>
    </row>
    <row r="229" spans="1:154">
      <c r="A229" s="333">
        <f t="shared" si="6"/>
        <v>1989</v>
      </c>
      <c r="B229" s="333">
        <f t="shared" si="7"/>
        <v>2</v>
      </c>
      <c r="C229" s="1175">
        <v>32629</v>
      </c>
      <c r="D229" s="1158">
        <v>322.39999999999998</v>
      </c>
      <c r="E229" s="1159">
        <v>482.03</v>
      </c>
      <c r="F229" s="1159">
        <v>371.44</v>
      </c>
      <c r="G229" s="1160"/>
      <c r="H229" s="1161"/>
      <c r="I229" s="1160"/>
      <c r="J229" s="1160"/>
      <c r="K229" s="1677">
        <v>13487.5</v>
      </c>
      <c r="L229" s="1677">
        <v>18031.417112299467</v>
      </c>
      <c r="M229" s="1681"/>
      <c r="N229" s="1162">
        <v>3680.88</v>
      </c>
      <c r="O229" s="1162">
        <v>860.65508021390372</v>
      </c>
      <c r="P229" s="1162">
        <v>2309.7593582887703</v>
      </c>
      <c r="Q229" s="1163">
        <v>9.85</v>
      </c>
      <c r="R229" s="1164">
        <v>750</v>
      </c>
      <c r="S229" s="1164">
        <v>550</v>
      </c>
      <c r="T229" s="1164">
        <v>2817.6737578708562</v>
      </c>
      <c r="U229" s="1165"/>
      <c r="V229" s="1166"/>
      <c r="W229" s="1166"/>
      <c r="X229" s="635">
        <v>0.748</v>
      </c>
      <c r="AI229" s="1781" t="s">
        <v>457</v>
      </c>
      <c r="AJ229" s="1826">
        <v>2013</v>
      </c>
      <c r="AK229" s="1822" t="s">
        <v>21</v>
      </c>
      <c r="AL229" s="1822">
        <v>5</v>
      </c>
      <c r="AM229" s="1823">
        <v>41081580</v>
      </c>
      <c r="AN229" s="1824">
        <v>4.8000000000000001E-2</v>
      </c>
      <c r="AP229" s="1781" t="s">
        <v>3</v>
      </c>
      <c r="AQ229" s="1781" t="s">
        <v>498</v>
      </c>
      <c r="AR229" s="1822" t="s">
        <v>23</v>
      </c>
      <c r="AS229" s="1822">
        <v>4</v>
      </c>
      <c r="AT229" s="1823">
        <v>127821627.56999999</v>
      </c>
      <c r="AU229" s="1825">
        <v>4.9887498501455185E-2</v>
      </c>
      <c r="AV229" s="1781">
        <v>2008</v>
      </c>
      <c r="EA229" s="169"/>
      <c r="EB229" s="169"/>
      <c r="EC229" s="169"/>
      <c r="ED229" s="169"/>
      <c r="EE229" s="169"/>
      <c r="EF229" s="169"/>
      <c r="EG229" s="169"/>
      <c r="EH229" s="169"/>
      <c r="EI229" s="169"/>
      <c r="EJ229" s="169"/>
      <c r="EK229" s="169"/>
      <c r="EL229" s="169"/>
      <c r="EM229" s="169"/>
      <c r="EN229" s="169"/>
      <c r="EO229" s="169"/>
      <c r="EP229" s="169"/>
      <c r="EQ229" s="169"/>
      <c r="ER229" s="169"/>
      <c r="ES229" s="169"/>
      <c r="ET229" s="169"/>
      <c r="EU229" s="169"/>
      <c r="EV229" s="169"/>
      <c r="EW229" s="169"/>
      <c r="EX229" s="169"/>
    </row>
    <row r="230" spans="1:154">
      <c r="A230" s="333">
        <f t="shared" si="6"/>
        <v>1989</v>
      </c>
      <c r="B230" s="333">
        <f t="shared" si="7"/>
        <v>2</v>
      </c>
      <c r="C230" s="1175">
        <v>32660</v>
      </c>
      <c r="D230" s="1167">
        <v>316.89</v>
      </c>
      <c r="E230" s="1168">
        <v>488.82</v>
      </c>
      <c r="F230" s="1168">
        <v>368.1</v>
      </c>
      <c r="G230" s="1168"/>
      <c r="H230" s="1167"/>
      <c r="I230" s="1168"/>
      <c r="J230" s="1168"/>
      <c r="K230" s="1678">
        <v>12052.5</v>
      </c>
      <c r="L230" s="1678">
        <v>15984.748010610079</v>
      </c>
      <c r="M230" s="1682"/>
      <c r="N230" s="1169">
        <v>3379.05</v>
      </c>
      <c r="O230" s="1169">
        <v>884.24403183023878</v>
      </c>
      <c r="P230" s="1169">
        <v>2214.4562334217508</v>
      </c>
      <c r="Q230" s="1167">
        <v>9.8000000000000007</v>
      </c>
      <c r="R230" s="1167">
        <v>750</v>
      </c>
      <c r="S230" s="1167">
        <v>550</v>
      </c>
      <c r="T230" s="1167">
        <v>2905.3729548111996</v>
      </c>
      <c r="U230" s="1167"/>
      <c r="V230" s="1167"/>
      <c r="W230" s="1167"/>
      <c r="X230" s="344">
        <v>0.754</v>
      </c>
      <c r="AI230" s="1781" t="s">
        <v>457</v>
      </c>
      <c r="AJ230" s="1826">
        <v>2013</v>
      </c>
      <c r="AK230" s="1822" t="s">
        <v>70</v>
      </c>
      <c r="AL230" s="1822">
        <v>6</v>
      </c>
      <c r="AM230" s="1823">
        <v>36300436</v>
      </c>
      <c r="AN230" s="1824">
        <v>4.2999999999999997E-2</v>
      </c>
      <c r="AP230" s="1781" t="s">
        <v>3</v>
      </c>
      <c r="AQ230" s="1781" t="s">
        <v>498</v>
      </c>
      <c r="AR230" s="1822" t="s">
        <v>27</v>
      </c>
      <c r="AS230" s="1822">
        <v>5</v>
      </c>
      <c r="AT230" s="1823">
        <v>124076253.78</v>
      </c>
      <c r="AU230" s="1825">
        <v>4.8425716697482385E-2</v>
      </c>
      <c r="AV230" s="1781">
        <v>2008</v>
      </c>
      <c r="EA230" s="169"/>
      <c r="EB230" s="169"/>
      <c r="EC230" s="169"/>
      <c r="ED230" s="169"/>
      <c r="EE230" s="169"/>
      <c r="EF230" s="169"/>
      <c r="EG230" s="169"/>
      <c r="EH230" s="169"/>
      <c r="EI230" s="169"/>
      <c r="EJ230" s="169"/>
      <c r="EK230" s="169"/>
      <c r="EL230" s="169"/>
      <c r="EM230" s="169"/>
      <c r="EN230" s="169"/>
      <c r="EO230" s="169"/>
      <c r="EP230" s="169"/>
      <c r="EQ230" s="169"/>
      <c r="ER230" s="169"/>
      <c r="ES230" s="169"/>
      <c r="ET230" s="169"/>
      <c r="EU230" s="169"/>
      <c r="EV230" s="169"/>
      <c r="EW230" s="169"/>
      <c r="EX230" s="169"/>
    </row>
    <row r="231" spans="1:154">
      <c r="A231" s="333">
        <f t="shared" si="6"/>
        <v>1989</v>
      </c>
      <c r="B231" s="333">
        <f t="shared" si="7"/>
        <v>3</v>
      </c>
      <c r="C231" s="1175">
        <v>32690</v>
      </c>
      <c r="D231" s="1158">
        <v>328.46</v>
      </c>
      <c r="E231" s="1159">
        <v>497.02</v>
      </c>
      <c r="F231" s="1159">
        <v>375.44</v>
      </c>
      <c r="G231" s="1160"/>
      <c r="H231" s="1161"/>
      <c r="I231" s="1160"/>
      <c r="J231" s="1160"/>
      <c r="K231" s="1677">
        <v>12168.8</v>
      </c>
      <c r="L231" s="1677">
        <v>16173.31206804891</v>
      </c>
      <c r="M231" s="1681"/>
      <c r="N231" s="1162">
        <v>3323.1</v>
      </c>
      <c r="O231" s="1162">
        <v>917.26475279106864</v>
      </c>
      <c r="P231" s="1162">
        <v>2218.3678894205209</v>
      </c>
      <c r="Q231" s="1163">
        <v>9.8000000000000007</v>
      </c>
      <c r="R231" s="1164">
        <v>750</v>
      </c>
      <c r="S231" s="1164">
        <v>550</v>
      </c>
      <c r="T231" s="1164">
        <v>2882.8346062566311</v>
      </c>
      <c r="U231" s="1165"/>
      <c r="V231" s="1166"/>
      <c r="W231" s="1166"/>
      <c r="X231" s="635">
        <v>0.75239999999999996</v>
      </c>
      <c r="AI231" s="1781" t="s">
        <v>457</v>
      </c>
      <c r="AJ231" s="1826">
        <v>2013</v>
      </c>
      <c r="AK231" s="1822" t="s">
        <v>54</v>
      </c>
      <c r="AL231" s="1822">
        <v>7</v>
      </c>
      <c r="AM231" s="1823">
        <v>34536190</v>
      </c>
      <c r="AN231" s="1824">
        <v>4.1000000000000002E-2</v>
      </c>
      <c r="AP231" s="1781" t="s">
        <v>3</v>
      </c>
      <c r="AQ231" s="1781" t="s">
        <v>498</v>
      </c>
      <c r="AR231" s="1822" t="s">
        <v>138</v>
      </c>
      <c r="AS231" s="1822">
        <v>6</v>
      </c>
      <c r="AT231" s="1823">
        <v>119545095.16</v>
      </c>
      <c r="AU231" s="1825">
        <v>4.6657250960013087E-2</v>
      </c>
      <c r="AV231" s="1781">
        <v>2008</v>
      </c>
      <c r="EA231" s="169"/>
      <c r="EB231" s="169"/>
      <c r="EC231" s="169"/>
      <c r="ED231" s="169"/>
      <c r="EE231" s="169"/>
      <c r="EF231" s="169"/>
      <c r="EG231" s="169"/>
      <c r="EH231" s="169"/>
      <c r="EI231" s="169"/>
      <c r="EJ231" s="169"/>
      <c r="EK231" s="169"/>
      <c r="EL231" s="169"/>
      <c r="EM231" s="169"/>
      <c r="EN231" s="169"/>
      <c r="EO231" s="169"/>
      <c r="EP231" s="169"/>
      <c r="EQ231" s="169"/>
      <c r="ER231" s="169"/>
      <c r="ES231" s="169"/>
      <c r="ET231" s="169"/>
      <c r="EU231" s="169"/>
      <c r="EV231" s="169"/>
      <c r="EW231" s="169"/>
      <c r="EX231" s="169"/>
    </row>
    <row r="232" spans="1:154">
      <c r="A232" s="333">
        <f t="shared" si="6"/>
        <v>1989</v>
      </c>
      <c r="B232" s="333">
        <f t="shared" si="7"/>
        <v>3</v>
      </c>
      <c r="C232" s="1175">
        <v>32721</v>
      </c>
      <c r="D232" s="1167">
        <v>287.06</v>
      </c>
      <c r="E232" s="1168">
        <v>481.72</v>
      </c>
      <c r="F232" s="1168">
        <v>366.05</v>
      </c>
      <c r="G232" s="1168"/>
      <c r="H232" s="1167"/>
      <c r="I232" s="1168"/>
      <c r="J232" s="1168"/>
      <c r="K232" s="1678">
        <v>12747.5</v>
      </c>
      <c r="L232" s="1678">
        <v>16650.339602925811</v>
      </c>
      <c r="M232" s="1682"/>
      <c r="N232" s="1169">
        <v>3621.08</v>
      </c>
      <c r="O232" s="1169">
        <v>916.37931034482767</v>
      </c>
      <c r="P232" s="1169">
        <v>2367.163009404389</v>
      </c>
      <c r="Q232" s="1167">
        <v>9.6999999999999993</v>
      </c>
      <c r="R232" s="1167">
        <v>750</v>
      </c>
      <c r="S232" s="1167">
        <v>550</v>
      </c>
      <c r="T232" s="1167">
        <v>3071.9970493550745</v>
      </c>
      <c r="U232" s="1167"/>
      <c r="V232" s="1167"/>
      <c r="W232" s="1167"/>
      <c r="X232" s="344">
        <v>0.76559999999999995</v>
      </c>
      <c r="AI232" s="1781" t="s">
        <v>457</v>
      </c>
      <c r="AJ232" s="1826">
        <v>2013</v>
      </c>
      <c r="AK232" s="1822" t="s">
        <v>25</v>
      </c>
      <c r="AL232" s="1822">
        <v>8</v>
      </c>
      <c r="AM232" s="1823">
        <v>31212475</v>
      </c>
      <c r="AN232" s="1824">
        <v>3.6999999999999998E-2</v>
      </c>
      <c r="AP232" s="1781" t="s">
        <v>3</v>
      </c>
      <c r="AQ232" s="1781" t="s">
        <v>498</v>
      </c>
      <c r="AR232" s="1822" t="s">
        <v>54</v>
      </c>
      <c r="AS232" s="1822">
        <v>7</v>
      </c>
      <c r="AT232" s="1823">
        <v>100771927.95999998</v>
      </c>
      <c r="AU232" s="1825">
        <v>3.9330272197794773E-2</v>
      </c>
      <c r="AV232" s="1781">
        <v>2008</v>
      </c>
      <c r="EA232" s="169"/>
      <c r="EB232" s="169"/>
      <c r="EC232" s="169"/>
      <c r="ED232" s="169"/>
      <c r="EE232" s="169"/>
      <c r="EF232" s="169"/>
      <c r="EG232" s="169"/>
      <c r="EH232" s="169"/>
      <c r="EI232" s="169"/>
      <c r="EJ232" s="169"/>
      <c r="EK232" s="169"/>
      <c r="EL232" s="169"/>
      <c r="EM232" s="169"/>
      <c r="EN232" s="169"/>
      <c r="EO232" s="169"/>
      <c r="EP232" s="169"/>
      <c r="EQ232" s="169"/>
      <c r="ER232" s="169"/>
      <c r="ES232" s="169"/>
      <c r="ET232" s="169"/>
      <c r="EU232" s="169"/>
      <c r="EV232" s="169"/>
      <c r="EW232" s="169"/>
      <c r="EX232" s="169"/>
    </row>
    <row r="233" spans="1:154">
      <c r="A233" s="333">
        <f t="shared" si="6"/>
        <v>1989</v>
      </c>
      <c r="B233" s="333">
        <f t="shared" si="7"/>
        <v>3</v>
      </c>
      <c r="C233" s="1175">
        <v>32752</v>
      </c>
      <c r="D233" s="1158">
        <v>325.95999999999998</v>
      </c>
      <c r="E233" s="1159">
        <v>470.25</v>
      </c>
      <c r="F233" s="1159">
        <v>361.86</v>
      </c>
      <c r="G233" s="1160"/>
      <c r="H233" s="1161"/>
      <c r="I233" s="1160"/>
      <c r="J233" s="1160"/>
      <c r="K233" s="1677">
        <v>11075</v>
      </c>
      <c r="L233" s="1677">
        <v>14264.554353426069</v>
      </c>
      <c r="M233" s="1681"/>
      <c r="N233" s="1162">
        <v>3717.03</v>
      </c>
      <c r="O233" s="1162">
        <v>938.75579598145293</v>
      </c>
      <c r="P233" s="1162">
        <v>2147.2179289026276</v>
      </c>
      <c r="Q233" s="1163">
        <v>9.6</v>
      </c>
      <c r="R233" s="1164">
        <v>750</v>
      </c>
      <c r="S233" s="1164">
        <v>550</v>
      </c>
      <c r="T233" s="1164">
        <v>2931.8390474278681</v>
      </c>
      <c r="U233" s="1165"/>
      <c r="V233" s="1166"/>
      <c r="W233" s="1166"/>
      <c r="X233" s="635">
        <v>0.77639999999999998</v>
      </c>
      <c r="AI233" s="1781" t="s">
        <v>457</v>
      </c>
      <c r="AJ233" s="1826">
        <v>2013</v>
      </c>
      <c r="AK233" s="1822" t="s">
        <v>23</v>
      </c>
      <c r="AL233" s="1822">
        <v>9</v>
      </c>
      <c r="AM233" s="1823">
        <v>24921572</v>
      </c>
      <c r="AN233" s="1824">
        <v>2.9000000000000001E-2</v>
      </c>
      <c r="AP233" s="1781" t="s">
        <v>3</v>
      </c>
      <c r="AQ233" s="1781" t="s">
        <v>498</v>
      </c>
      <c r="AR233" s="1822" t="s">
        <v>385</v>
      </c>
      <c r="AS233" s="1822">
        <v>8</v>
      </c>
      <c r="AT233" s="1823">
        <v>89570929.170000017</v>
      </c>
      <c r="AU233" s="1825">
        <v>3.4958634776381801E-2</v>
      </c>
      <c r="AV233" s="1781">
        <v>2008</v>
      </c>
      <c r="EA233" s="169"/>
      <c r="EB233" s="169"/>
      <c r="EC233" s="169"/>
      <c r="ED233" s="169"/>
      <c r="EE233" s="169"/>
      <c r="EF233" s="169"/>
      <c r="EG233" s="169"/>
      <c r="EH233" s="169"/>
      <c r="EI233" s="169"/>
      <c r="EJ233" s="169"/>
      <c r="EK233" s="169"/>
      <c r="EL233" s="169"/>
      <c r="EM233" s="169"/>
      <c r="EN233" s="169"/>
      <c r="EO233" s="169"/>
      <c r="EP233" s="169"/>
      <c r="EQ233" s="169"/>
      <c r="ER233" s="169"/>
      <c r="ES233" s="169"/>
      <c r="ET233" s="169"/>
      <c r="EU233" s="169"/>
      <c r="EV233" s="169"/>
      <c r="EW233" s="169"/>
      <c r="EX233" s="169"/>
    </row>
    <row r="234" spans="1:154">
      <c r="A234" s="333">
        <f t="shared" si="6"/>
        <v>1989</v>
      </c>
      <c r="B234" s="333">
        <f t="shared" si="7"/>
        <v>4</v>
      </c>
      <c r="C234" s="1175">
        <v>32782</v>
      </c>
      <c r="D234" s="1167">
        <v>297.25</v>
      </c>
      <c r="E234" s="1168">
        <v>476.01</v>
      </c>
      <c r="F234" s="1168">
        <v>367.18</v>
      </c>
      <c r="G234" s="1168"/>
      <c r="H234" s="1167"/>
      <c r="I234" s="1168"/>
      <c r="J234" s="1168"/>
      <c r="K234" s="1678">
        <v>10357.5</v>
      </c>
      <c r="L234" s="1678">
        <v>13226.280168560848</v>
      </c>
      <c r="M234" s="1682"/>
      <c r="N234" s="1169">
        <v>3650.24</v>
      </c>
      <c r="O234" s="1169">
        <v>959.18784318733231</v>
      </c>
      <c r="P234" s="1169">
        <v>2082.2372621631976</v>
      </c>
      <c r="Q234" s="1167">
        <v>9.4</v>
      </c>
      <c r="R234" s="1167">
        <v>750</v>
      </c>
      <c r="S234" s="1167">
        <v>550</v>
      </c>
      <c r="T234" s="1167">
        <v>2894.6321048742088</v>
      </c>
      <c r="U234" s="1167"/>
      <c r="V234" s="1167"/>
      <c r="W234" s="1167"/>
      <c r="X234" s="344">
        <v>0.78310000000000002</v>
      </c>
      <c r="AI234" s="1781" t="s">
        <v>457</v>
      </c>
      <c r="AJ234" s="1826">
        <v>2013</v>
      </c>
      <c r="AK234" s="1822" t="s">
        <v>32</v>
      </c>
      <c r="AL234" s="1822">
        <v>10</v>
      </c>
      <c r="AM234" s="1823">
        <v>23450586</v>
      </c>
      <c r="AN234" s="1824">
        <v>2.8000000000000001E-2</v>
      </c>
      <c r="AP234" s="1781" t="s">
        <v>3</v>
      </c>
      <c r="AQ234" s="1781" t="s">
        <v>498</v>
      </c>
      <c r="AR234" s="1822" t="s">
        <v>56</v>
      </c>
      <c r="AS234" s="1822">
        <v>9</v>
      </c>
      <c r="AT234" s="1823">
        <v>85419740.810000002</v>
      </c>
      <c r="AU234" s="1825">
        <v>3.333846761824303E-2</v>
      </c>
      <c r="AV234" s="1781">
        <v>2008</v>
      </c>
      <c r="EA234" s="169"/>
      <c r="EB234" s="169"/>
      <c r="EC234" s="169"/>
      <c r="ED234" s="169"/>
      <c r="EE234" s="169"/>
      <c r="EF234" s="169"/>
      <c r="EG234" s="169"/>
      <c r="EH234" s="169"/>
      <c r="EI234" s="169"/>
      <c r="EJ234" s="169"/>
      <c r="EK234" s="169"/>
      <c r="EL234" s="169"/>
      <c r="EM234" s="169"/>
      <c r="EN234" s="169"/>
      <c r="EO234" s="169"/>
      <c r="EP234" s="169"/>
      <c r="EQ234" s="169"/>
      <c r="ER234" s="169"/>
      <c r="ES234" s="169"/>
      <c r="ET234" s="169"/>
      <c r="EU234" s="169"/>
      <c r="EV234" s="169"/>
      <c r="EW234" s="169"/>
      <c r="EX234" s="169"/>
    </row>
    <row r="235" spans="1:154">
      <c r="A235" s="333">
        <f t="shared" si="6"/>
        <v>1989</v>
      </c>
      <c r="B235" s="333">
        <f t="shared" si="7"/>
        <v>4</v>
      </c>
      <c r="C235" s="1175">
        <v>32813</v>
      </c>
      <c r="D235" s="1158">
        <v>322.31</v>
      </c>
      <c r="E235" s="1159">
        <v>505.15</v>
      </c>
      <c r="F235" s="1159">
        <v>394.51</v>
      </c>
      <c r="G235" s="1160"/>
      <c r="H235" s="1161"/>
      <c r="I235" s="1160"/>
      <c r="J235" s="1160"/>
      <c r="K235" s="1677">
        <v>9896.9</v>
      </c>
      <c r="L235" s="1677">
        <v>12663.979526551504</v>
      </c>
      <c r="M235" s="1681"/>
      <c r="N235" s="1162">
        <v>3314.01</v>
      </c>
      <c r="O235" s="1162">
        <v>886.56429942418436</v>
      </c>
      <c r="P235" s="1162">
        <v>1855.5342290467049</v>
      </c>
      <c r="Q235" s="1163">
        <v>9.1999999999999993</v>
      </c>
      <c r="R235" s="1164">
        <v>750</v>
      </c>
      <c r="S235" s="1164">
        <v>550</v>
      </c>
      <c r="T235" s="1164">
        <v>2886.7657142770404</v>
      </c>
      <c r="U235" s="1165"/>
      <c r="V235" s="1166"/>
      <c r="W235" s="1166"/>
      <c r="X235" s="635">
        <v>0.78149999999999997</v>
      </c>
      <c r="AI235" s="1781" t="s">
        <v>457</v>
      </c>
      <c r="AJ235" s="1826">
        <v>2013</v>
      </c>
      <c r="AK235" s="1822" t="s">
        <v>39</v>
      </c>
      <c r="AL235" s="1822"/>
      <c r="AM235" s="1823">
        <v>105014211</v>
      </c>
      <c r="AN235" s="1824">
        <v>0.123</v>
      </c>
      <c r="AP235" s="1781" t="s">
        <v>3</v>
      </c>
      <c r="AQ235" s="1781" t="s">
        <v>498</v>
      </c>
      <c r="AR235" s="1822" t="s">
        <v>39</v>
      </c>
      <c r="AS235" s="1822"/>
      <c r="AT235" s="1823">
        <v>93825828.680000305</v>
      </c>
      <c r="AU235" s="1825">
        <v>3.6619279355584462E-2</v>
      </c>
      <c r="AV235" s="1781">
        <v>2008</v>
      </c>
      <c r="EA235" s="169"/>
      <c r="EB235" s="169"/>
      <c r="EC235" s="169"/>
      <c r="ED235" s="169"/>
      <c r="EE235" s="169"/>
      <c r="EF235" s="169"/>
      <c r="EG235" s="169"/>
      <c r="EH235" s="169"/>
      <c r="EI235" s="169"/>
      <c r="EJ235" s="169"/>
      <c r="EK235" s="169"/>
      <c r="EL235" s="169"/>
      <c r="EM235" s="169"/>
      <c r="EN235" s="169"/>
      <c r="EO235" s="169"/>
      <c r="EP235" s="169"/>
      <c r="EQ235" s="169"/>
      <c r="ER235" s="169"/>
      <c r="ES235" s="169"/>
      <c r="ET235" s="169"/>
      <c r="EU235" s="169"/>
      <c r="EV235" s="169"/>
      <c r="EW235" s="169"/>
      <c r="EX235" s="169"/>
    </row>
    <row r="236" spans="1:154">
      <c r="A236" s="333">
        <f t="shared" si="6"/>
        <v>1989</v>
      </c>
      <c r="B236" s="333">
        <f t="shared" si="7"/>
        <v>4</v>
      </c>
      <c r="C236" s="1175">
        <v>32843</v>
      </c>
      <c r="D236" s="1167">
        <v>332.36</v>
      </c>
      <c r="E236" s="1168">
        <v>523.1</v>
      </c>
      <c r="F236" s="1168">
        <v>409.74</v>
      </c>
      <c r="G236" s="1168"/>
      <c r="H236" s="1167"/>
      <c r="I236" s="1168"/>
      <c r="J236" s="1168"/>
      <c r="K236" s="1678">
        <v>8838.1</v>
      </c>
      <c r="L236" s="1678">
        <v>11149.362936798285</v>
      </c>
      <c r="M236" s="1682"/>
      <c r="N236" s="1169">
        <v>2757.29</v>
      </c>
      <c r="O236" s="1169">
        <v>900.0378453387159</v>
      </c>
      <c r="P236" s="1169">
        <v>1876.4980446574998</v>
      </c>
      <c r="Q236" s="1167">
        <v>9</v>
      </c>
      <c r="R236" s="1167">
        <v>750</v>
      </c>
      <c r="S236" s="1167">
        <v>550</v>
      </c>
      <c r="T236" s="1167">
        <v>3412.0669052435042</v>
      </c>
      <c r="U236" s="1167"/>
      <c r="V236" s="1167"/>
      <c r="W236" s="1167"/>
      <c r="X236" s="344">
        <v>0.79269999999999996</v>
      </c>
      <c r="AI236" s="1781" t="s">
        <v>457</v>
      </c>
      <c r="AJ236" s="1826">
        <v>2013</v>
      </c>
      <c r="AK236" s="1822" t="s">
        <v>386</v>
      </c>
      <c r="AL236" s="1822"/>
      <c r="AM236" s="1823">
        <v>850856127</v>
      </c>
      <c r="AN236" s="1824"/>
      <c r="AP236" s="1781" t="s">
        <v>3</v>
      </c>
      <c r="AQ236" s="1781" t="s">
        <v>498</v>
      </c>
      <c r="AR236" s="1822" t="s">
        <v>386</v>
      </c>
      <c r="AS236" s="1822"/>
      <c r="AT236" s="1823">
        <v>2562197572.73</v>
      </c>
      <c r="AU236" s="1825"/>
      <c r="AV236" s="1781">
        <v>2008</v>
      </c>
      <c r="EA236" s="169"/>
      <c r="EB236" s="169"/>
      <c r="EC236" s="169"/>
      <c r="ED236" s="169"/>
      <c r="EE236" s="169"/>
      <c r="EF236" s="169"/>
      <c r="EG236" s="169"/>
      <c r="EH236" s="169"/>
      <c r="EI236" s="169"/>
      <c r="EJ236" s="169"/>
      <c r="EK236" s="169"/>
      <c r="EL236" s="169"/>
      <c r="EM236" s="169"/>
      <c r="EN236" s="169"/>
      <c r="EO236" s="169"/>
      <c r="EP236" s="169"/>
      <c r="EQ236" s="169"/>
      <c r="ER236" s="169"/>
      <c r="ES236" s="169"/>
      <c r="ET236" s="169"/>
      <c r="EU236" s="169"/>
      <c r="EV236" s="169"/>
      <c r="EW236" s="169"/>
      <c r="EX236" s="169"/>
    </row>
    <row r="237" spans="1:154">
      <c r="A237" s="333">
        <f t="shared" si="6"/>
        <v>1990</v>
      </c>
      <c r="B237" s="333">
        <f t="shared" si="7"/>
        <v>1</v>
      </c>
      <c r="C237" s="1175">
        <v>32874</v>
      </c>
      <c r="D237" s="1158">
        <v>331.66</v>
      </c>
      <c r="E237" s="1159">
        <v>523.67999999999995</v>
      </c>
      <c r="F237" s="1159">
        <v>409.37</v>
      </c>
      <c r="G237" s="1160"/>
      <c r="H237" s="1161"/>
      <c r="I237" s="1160"/>
      <c r="J237" s="1160"/>
      <c r="K237" s="1677">
        <v>7208.8</v>
      </c>
      <c r="L237" s="1677">
        <v>9352.3611831863</v>
      </c>
      <c r="M237" s="1681"/>
      <c r="N237" s="1162">
        <v>3073.69</v>
      </c>
      <c r="O237" s="1162">
        <v>918.77270368448364</v>
      </c>
      <c r="P237" s="1162">
        <v>1681.8889465490399</v>
      </c>
      <c r="Q237" s="1163">
        <v>8.85</v>
      </c>
      <c r="R237" s="1164">
        <v>750</v>
      </c>
      <c r="S237" s="1164">
        <v>550</v>
      </c>
      <c r="T237" s="1164">
        <v>3026.6356297451744</v>
      </c>
      <c r="U237" s="1165"/>
      <c r="V237" s="1166"/>
      <c r="W237" s="1166"/>
      <c r="X237" s="635">
        <v>0.77080000000000004</v>
      </c>
      <c r="AI237" s="1781" t="s">
        <v>457</v>
      </c>
      <c r="AJ237" s="1826">
        <v>2012</v>
      </c>
      <c r="AK237" s="1822" t="s">
        <v>18</v>
      </c>
      <c r="AL237" s="1822">
        <v>1</v>
      </c>
      <c r="AM237" s="1823">
        <v>309596224</v>
      </c>
      <c r="AN237" s="1824">
        <v>0.26900000000000002</v>
      </c>
      <c r="AP237" s="1781" t="s">
        <v>3</v>
      </c>
      <c r="AQ237" s="1781" t="s">
        <v>497</v>
      </c>
      <c r="AR237" s="1822" t="s">
        <v>18</v>
      </c>
      <c r="AS237" s="1822">
        <v>1</v>
      </c>
      <c r="AT237" s="1823">
        <v>1687573968.4100001</v>
      </c>
      <c r="AU237" s="1825">
        <v>0.33308314254469773</v>
      </c>
      <c r="AV237" s="1781">
        <v>2007</v>
      </c>
      <c r="EA237" s="169"/>
      <c r="EB237" s="169"/>
      <c r="EC237" s="169"/>
      <c r="ED237" s="169"/>
      <c r="EE237" s="169"/>
      <c r="EF237" s="169"/>
      <c r="EG237" s="169"/>
      <c r="EH237" s="169"/>
      <c r="EI237" s="169"/>
      <c r="EJ237" s="169"/>
      <c r="EK237" s="169"/>
      <c r="EL237" s="169"/>
      <c r="EM237" s="169"/>
      <c r="EN237" s="169"/>
      <c r="EO237" s="169"/>
      <c r="EP237" s="169"/>
      <c r="EQ237" s="169"/>
      <c r="ER237" s="169"/>
      <c r="ES237" s="169"/>
      <c r="ET237" s="169"/>
      <c r="EU237" s="169"/>
      <c r="EV237" s="169"/>
      <c r="EW237" s="169"/>
      <c r="EX237" s="169"/>
    </row>
    <row r="238" spans="1:154">
      <c r="A238" s="333">
        <f t="shared" si="6"/>
        <v>1990</v>
      </c>
      <c r="B238" s="333">
        <f t="shared" si="7"/>
        <v>1</v>
      </c>
      <c r="C238" s="1175">
        <v>32905</v>
      </c>
      <c r="D238" s="1167">
        <v>337.35</v>
      </c>
      <c r="E238" s="1168">
        <v>550.19000000000005</v>
      </c>
      <c r="F238" s="1168">
        <v>417.14</v>
      </c>
      <c r="G238" s="1168"/>
      <c r="H238" s="1167"/>
      <c r="I238" s="1168"/>
      <c r="J238" s="1168"/>
      <c r="K238" s="1678">
        <v>6770</v>
      </c>
      <c r="L238" s="1678">
        <v>8914.9328417171455</v>
      </c>
      <c r="M238" s="1682"/>
      <c r="N238" s="1169">
        <v>3107.58</v>
      </c>
      <c r="O238" s="1169">
        <v>1026.8633131419542</v>
      </c>
      <c r="P238" s="1169">
        <v>1835.1329997366342</v>
      </c>
      <c r="Q238" s="1167">
        <v>8.6999999999999993</v>
      </c>
      <c r="R238" s="1167">
        <v>750</v>
      </c>
      <c r="S238" s="1167">
        <v>550</v>
      </c>
      <c r="T238" s="1167">
        <v>3003.1197386061349</v>
      </c>
      <c r="U238" s="1167"/>
      <c r="V238" s="1167"/>
      <c r="W238" s="1167"/>
      <c r="X238" s="344">
        <v>0.75939999999999996</v>
      </c>
      <c r="AI238" s="1781" t="s">
        <v>457</v>
      </c>
      <c r="AJ238" s="1826">
        <v>2012</v>
      </c>
      <c r="AK238" s="1822" t="s">
        <v>758</v>
      </c>
      <c r="AL238" s="1822">
        <v>2</v>
      </c>
      <c r="AM238" s="1823">
        <v>242214929</v>
      </c>
      <c r="AN238" s="1824">
        <v>0.21099999999999999</v>
      </c>
      <c r="AP238" s="1781" t="s">
        <v>3</v>
      </c>
      <c r="AQ238" s="1781" t="s">
        <v>497</v>
      </c>
      <c r="AR238" s="1822" t="s">
        <v>57</v>
      </c>
      <c r="AS238" s="1822">
        <v>2</v>
      </c>
      <c r="AT238" s="1823">
        <v>995377094.42999983</v>
      </c>
      <c r="AU238" s="1825">
        <v>0.19646151033138326</v>
      </c>
      <c r="AV238" s="1781">
        <v>2007</v>
      </c>
      <c r="EA238" s="169"/>
      <c r="EB238" s="169"/>
      <c r="EC238" s="169"/>
      <c r="ED238" s="169"/>
      <c r="EE238" s="169"/>
      <c r="EF238" s="169"/>
      <c r="EG238" s="169"/>
      <c r="EH238" s="169"/>
      <c r="EI238" s="169"/>
      <c r="EJ238" s="169"/>
      <c r="EK238" s="169"/>
      <c r="EL238" s="169"/>
      <c r="EM238" s="169"/>
      <c r="EN238" s="169"/>
      <c r="EO238" s="169"/>
      <c r="EP238" s="169"/>
      <c r="EQ238" s="169"/>
      <c r="ER238" s="169"/>
      <c r="ES238" s="169"/>
      <c r="ET238" s="169"/>
      <c r="EU238" s="169"/>
      <c r="EV238" s="169"/>
      <c r="EW238" s="169"/>
      <c r="EX238" s="169"/>
    </row>
    <row r="239" spans="1:154">
      <c r="A239" s="333">
        <f t="shared" si="6"/>
        <v>1990</v>
      </c>
      <c r="B239" s="333">
        <f t="shared" si="7"/>
        <v>1</v>
      </c>
      <c r="C239" s="1175">
        <v>32933</v>
      </c>
      <c r="D239" s="1158">
        <v>342.24</v>
      </c>
      <c r="E239" s="1159">
        <v>522.61</v>
      </c>
      <c r="F239" s="1159">
        <v>393.86</v>
      </c>
      <c r="G239" s="1160"/>
      <c r="H239" s="1161"/>
      <c r="I239" s="1160"/>
      <c r="J239" s="1160"/>
      <c r="K239" s="1677">
        <v>9196</v>
      </c>
      <c r="L239" s="1677">
        <v>12193.052240784938</v>
      </c>
      <c r="M239" s="1681"/>
      <c r="N239" s="1162">
        <v>3481.44</v>
      </c>
      <c r="O239" s="1162">
        <v>1407.5841951736938</v>
      </c>
      <c r="P239" s="1162">
        <v>2210.5542296473086</v>
      </c>
      <c r="Q239" s="1163">
        <v>8.8000000000000007</v>
      </c>
      <c r="R239" s="1164">
        <v>925</v>
      </c>
      <c r="S239" s="1164">
        <v>605</v>
      </c>
      <c r="T239" s="1164">
        <v>2941.8655851177009</v>
      </c>
      <c r="U239" s="1165"/>
      <c r="V239" s="1166"/>
      <c r="W239" s="1166"/>
      <c r="X239" s="635">
        <v>0.75419999999999998</v>
      </c>
      <c r="AI239" s="1781" t="s">
        <v>457</v>
      </c>
      <c r="AJ239" s="1826">
        <v>2012</v>
      </c>
      <c r="AK239" s="1822" t="s">
        <v>27</v>
      </c>
      <c r="AL239" s="1822">
        <v>3</v>
      </c>
      <c r="AM239" s="1823">
        <v>140002097</v>
      </c>
      <c r="AN239" s="1824">
        <v>0.122</v>
      </c>
      <c r="AP239" s="1781" t="s">
        <v>3</v>
      </c>
      <c r="AQ239" s="1781" t="s">
        <v>497</v>
      </c>
      <c r="AR239" s="1822" t="s">
        <v>27</v>
      </c>
      <c r="AS239" s="1822">
        <v>3</v>
      </c>
      <c r="AT239" s="1823">
        <v>664375540.18999982</v>
      </c>
      <c r="AU239" s="1825">
        <v>0.1311304256279881</v>
      </c>
      <c r="AV239" s="1781">
        <v>2007</v>
      </c>
      <c r="EA239" s="169"/>
      <c r="EB239" s="169"/>
      <c r="EC239" s="169"/>
      <c r="ED239" s="169"/>
      <c r="EE239" s="169"/>
      <c r="EF239" s="169"/>
      <c r="EG239" s="169"/>
      <c r="EH239" s="169"/>
      <c r="EI239" s="169"/>
      <c r="EJ239" s="169"/>
      <c r="EK239" s="169"/>
      <c r="EL239" s="169"/>
      <c r="EM239" s="169"/>
      <c r="EN239" s="169"/>
      <c r="EO239" s="169"/>
      <c r="EP239" s="169"/>
      <c r="EQ239" s="169"/>
      <c r="ER239" s="169"/>
      <c r="ES239" s="169"/>
      <c r="ET239" s="169"/>
      <c r="EU239" s="169"/>
      <c r="EV239" s="169"/>
      <c r="EW239" s="169"/>
      <c r="EX239" s="169"/>
    </row>
    <row r="240" spans="1:154">
      <c r="A240" s="333">
        <f t="shared" si="6"/>
        <v>1990</v>
      </c>
      <c r="B240" s="333">
        <f t="shared" si="7"/>
        <v>2</v>
      </c>
      <c r="C240" s="1175">
        <v>32964</v>
      </c>
      <c r="D240" s="1167">
        <v>342.87</v>
      </c>
      <c r="E240" s="1168">
        <v>492.31</v>
      </c>
      <c r="F240" s="1168">
        <v>374.59</v>
      </c>
      <c r="G240" s="1168"/>
      <c r="H240" s="1167"/>
      <c r="I240" s="1168"/>
      <c r="J240" s="1168"/>
      <c r="K240" s="1678">
        <v>8927.5</v>
      </c>
      <c r="L240" s="1678">
        <v>11889.066453589026</v>
      </c>
      <c r="M240" s="1682"/>
      <c r="N240" s="1169">
        <v>3593.29</v>
      </c>
      <c r="O240" s="1169">
        <v>1108.5896923691571</v>
      </c>
      <c r="P240" s="1169">
        <v>2243.9738979890799</v>
      </c>
      <c r="Q240" s="1167">
        <v>8.8000000000000007</v>
      </c>
      <c r="R240" s="1167">
        <v>925</v>
      </c>
      <c r="S240" s="1167">
        <v>605</v>
      </c>
      <c r="T240" s="1167">
        <v>2891.6615044247787</v>
      </c>
      <c r="U240" s="1167"/>
      <c r="V240" s="1167"/>
      <c r="W240" s="1167"/>
      <c r="X240" s="344">
        <v>0.75090000000000001</v>
      </c>
      <c r="AI240" s="1781" t="s">
        <v>457</v>
      </c>
      <c r="AJ240" s="1826">
        <v>2012</v>
      </c>
      <c r="AK240" s="1822" t="s">
        <v>23</v>
      </c>
      <c r="AL240" s="1822">
        <v>4</v>
      </c>
      <c r="AM240" s="1823">
        <v>67532476</v>
      </c>
      <c r="AN240" s="1824">
        <v>5.8999999999999997E-2</v>
      </c>
      <c r="AP240" s="1781" t="s">
        <v>3</v>
      </c>
      <c r="AQ240" s="1781" t="s">
        <v>497</v>
      </c>
      <c r="AR240" s="1822" t="s">
        <v>23</v>
      </c>
      <c r="AS240" s="1822">
        <v>4</v>
      </c>
      <c r="AT240" s="1823">
        <v>396739027.13</v>
      </c>
      <c r="AU240" s="1825">
        <v>7.8305949487412957E-2</v>
      </c>
      <c r="AV240" s="1781">
        <v>2007</v>
      </c>
      <c r="EA240" s="169"/>
      <c r="EB240" s="169"/>
      <c r="EC240" s="169"/>
      <c r="ED240" s="169"/>
      <c r="EE240" s="169"/>
      <c r="EF240" s="169"/>
      <c r="EG240" s="169"/>
      <c r="EH240" s="169"/>
      <c r="EI240" s="169"/>
      <c r="EJ240" s="169"/>
      <c r="EK240" s="169"/>
      <c r="EL240" s="169"/>
      <c r="EM240" s="169"/>
      <c r="EN240" s="169"/>
      <c r="EO240" s="169"/>
      <c r="EP240" s="169"/>
      <c r="EQ240" s="169"/>
      <c r="ER240" s="169"/>
      <c r="ES240" s="169"/>
      <c r="ET240" s="169"/>
      <c r="EU240" s="169"/>
      <c r="EV240" s="169"/>
      <c r="EW240" s="169"/>
      <c r="EX240" s="169"/>
    </row>
    <row r="241" spans="1:154">
      <c r="A241" s="333">
        <f t="shared" si="6"/>
        <v>1990</v>
      </c>
      <c r="B241" s="333">
        <f t="shared" si="7"/>
        <v>2</v>
      </c>
      <c r="C241" s="1175">
        <v>32994</v>
      </c>
      <c r="D241" s="1158">
        <v>362.04</v>
      </c>
      <c r="E241" s="1159">
        <v>490.37</v>
      </c>
      <c r="F241" s="1159">
        <v>369.9</v>
      </c>
      <c r="G241" s="1160"/>
      <c r="H241" s="1161"/>
      <c r="I241" s="1160"/>
      <c r="J241" s="1160"/>
      <c r="K241" s="1677">
        <v>8834.4</v>
      </c>
      <c r="L241" s="1677">
        <v>11486.672734364842</v>
      </c>
      <c r="M241" s="1681"/>
      <c r="N241" s="1162">
        <v>3566.12</v>
      </c>
      <c r="O241" s="1162">
        <v>1072.5913405278898</v>
      </c>
      <c r="P241" s="1162">
        <v>2304.3817448966324</v>
      </c>
      <c r="Q241" s="1163">
        <v>8.8000000000000007</v>
      </c>
      <c r="R241" s="1164">
        <v>1025</v>
      </c>
      <c r="S241" s="1164">
        <v>605</v>
      </c>
      <c r="T241" s="1164">
        <v>2918.5196563264899</v>
      </c>
      <c r="U241" s="1165"/>
      <c r="V241" s="1166"/>
      <c r="W241" s="1166"/>
      <c r="X241" s="635">
        <v>0.76910000000000001</v>
      </c>
      <c r="AI241" s="1781" t="s">
        <v>457</v>
      </c>
      <c r="AJ241" s="1826">
        <v>2012</v>
      </c>
      <c r="AK241" s="1822" t="s">
        <v>25</v>
      </c>
      <c r="AL241" s="1822">
        <v>5</v>
      </c>
      <c r="AM241" s="1823">
        <v>48647201</v>
      </c>
      <c r="AN241" s="1824">
        <v>4.2000000000000003E-2</v>
      </c>
      <c r="AP241" s="1781" t="s">
        <v>3</v>
      </c>
      <c r="AQ241" s="1781" t="s">
        <v>497</v>
      </c>
      <c r="AR241" s="1822" t="s">
        <v>138</v>
      </c>
      <c r="AS241" s="1822">
        <v>5</v>
      </c>
      <c r="AT241" s="1823">
        <v>325244859.28999996</v>
      </c>
      <c r="AU241" s="1825">
        <v>6.4194863073700426E-2</v>
      </c>
      <c r="AV241" s="1781">
        <v>2007</v>
      </c>
      <c r="EA241" s="169"/>
      <c r="EB241" s="169"/>
      <c r="EC241" s="169"/>
      <c r="ED241" s="169"/>
      <c r="EE241" s="169"/>
      <c r="EF241" s="169"/>
      <c r="EG241" s="169"/>
      <c r="EH241" s="169"/>
      <c r="EI241" s="169"/>
      <c r="EJ241" s="169"/>
      <c r="EK241" s="169"/>
      <c r="EL241" s="169"/>
      <c r="EM241" s="169"/>
      <c r="EN241" s="169"/>
      <c r="EO241" s="169"/>
      <c r="EP241" s="169"/>
      <c r="EQ241" s="169"/>
      <c r="ER241" s="169"/>
      <c r="ES241" s="169"/>
      <c r="ET241" s="169"/>
      <c r="EU241" s="169"/>
      <c r="EV241" s="169"/>
      <c r="EW241" s="169"/>
      <c r="EX241" s="169"/>
    </row>
    <row r="242" spans="1:154">
      <c r="A242" s="333">
        <f t="shared" si="6"/>
        <v>1990</v>
      </c>
      <c r="B242" s="333">
        <f t="shared" si="7"/>
        <v>2</v>
      </c>
      <c r="C242" s="1175">
        <v>33025</v>
      </c>
      <c r="D242" s="1167">
        <v>348.78</v>
      </c>
      <c r="E242" s="1168">
        <v>454.68</v>
      </c>
      <c r="F242" s="1168">
        <v>352.91</v>
      </c>
      <c r="G242" s="1168"/>
      <c r="H242" s="1167"/>
      <c r="I242" s="1168"/>
      <c r="J242" s="1168"/>
      <c r="K242" s="1678">
        <v>8392.5</v>
      </c>
      <c r="L242" s="1678">
        <v>10636.882129277566</v>
      </c>
      <c r="M242" s="1682"/>
      <c r="N242" s="1169">
        <v>3274.4</v>
      </c>
      <c r="O242" s="1169">
        <v>1061.8757921419519</v>
      </c>
      <c r="P242" s="1169">
        <v>2174.5247148288972</v>
      </c>
      <c r="Q242" s="1167">
        <v>11.6</v>
      </c>
      <c r="R242" s="1167">
        <v>1025</v>
      </c>
      <c r="S242" s="1167">
        <v>605</v>
      </c>
      <c r="T242" s="1167">
        <v>2765.4475817523744</v>
      </c>
      <c r="U242" s="1167"/>
      <c r="V242" s="1167"/>
      <c r="W242" s="1167"/>
      <c r="X242" s="344">
        <v>0.78900000000000003</v>
      </c>
      <c r="AI242" s="1781" t="s">
        <v>457</v>
      </c>
      <c r="AJ242" s="1826">
        <v>2012</v>
      </c>
      <c r="AK242" s="1822" t="s">
        <v>63</v>
      </c>
      <c r="AL242" s="1822">
        <v>6</v>
      </c>
      <c r="AM242" s="1823">
        <v>47358418</v>
      </c>
      <c r="AN242" s="1824">
        <v>4.1000000000000002E-2</v>
      </c>
      <c r="AP242" s="1781" t="s">
        <v>3</v>
      </c>
      <c r="AQ242" s="1781" t="s">
        <v>497</v>
      </c>
      <c r="AR242" s="1822" t="s">
        <v>54</v>
      </c>
      <c r="AS242" s="1822">
        <v>6</v>
      </c>
      <c r="AT242" s="1823">
        <v>228784102.14000002</v>
      </c>
      <c r="AU242" s="1825">
        <v>4.5156022273119309E-2</v>
      </c>
      <c r="AV242" s="1781">
        <v>2007</v>
      </c>
      <c r="EA242" s="169"/>
      <c r="EB242" s="169"/>
      <c r="EC242" s="169"/>
      <c r="ED242" s="169"/>
      <c r="EE242" s="169"/>
      <c r="EF242" s="169"/>
      <c r="EG242" s="169"/>
      <c r="EH242" s="169"/>
      <c r="EI242" s="169"/>
      <c r="EJ242" s="169"/>
      <c r="EK242" s="169"/>
      <c r="EL242" s="169"/>
      <c r="EM242" s="169"/>
      <c r="EN242" s="169"/>
      <c r="EO242" s="169"/>
      <c r="EP242" s="169"/>
      <c r="EQ242" s="169"/>
      <c r="ER242" s="169"/>
      <c r="ES242" s="169"/>
      <c r="ET242" s="169"/>
      <c r="EU242" s="169"/>
      <c r="EV242" s="169"/>
      <c r="EW242" s="169"/>
      <c r="EX242" s="169"/>
    </row>
    <row r="243" spans="1:154">
      <c r="A243" s="333">
        <f t="shared" si="6"/>
        <v>1990</v>
      </c>
      <c r="B243" s="333">
        <f t="shared" si="7"/>
        <v>3</v>
      </c>
      <c r="C243" s="1175">
        <v>33055</v>
      </c>
      <c r="D243" s="1158">
        <v>326.12</v>
      </c>
      <c r="E243" s="1159">
        <v>458.28</v>
      </c>
      <c r="F243" s="1159">
        <v>362.28</v>
      </c>
      <c r="G243" s="1160"/>
      <c r="H243" s="1161"/>
      <c r="I243" s="1160"/>
      <c r="J243" s="1160"/>
      <c r="K243" s="1677">
        <v>9234.4</v>
      </c>
      <c r="L243" s="1677">
        <v>11687.634476648525</v>
      </c>
      <c r="M243" s="1681"/>
      <c r="N243" s="1162">
        <v>3506.39</v>
      </c>
      <c r="O243" s="1162">
        <v>1104.9107707885078</v>
      </c>
      <c r="P243" s="1162">
        <v>2074.2943931147956</v>
      </c>
      <c r="Q243" s="1163">
        <v>11.6</v>
      </c>
      <c r="R243" s="1164">
        <v>786</v>
      </c>
      <c r="S243" s="1164">
        <v>629</v>
      </c>
      <c r="T243" s="1164">
        <v>2612.6680527233621</v>
      </c>
      <c r="U243" s="1165"/>
      <c r="V243" s="1166"/>
      <c r="W243" s="1166"/>
      <c r="X243" s="635">
        <v>0.79010000000000002</v>
      </c>
      <c r="AI243" s="1781" t="s">
        <v>457</v>
      </c>
      <c r="AJ243" s="1826">
        <v>2012</v>
      </c>
      <c r="AK243" s="1822" t="s">
        <v>54</v>
      </c>
      <c r="AL243" s="1822">
        <v>7</v>
      </c>
      <c r="AM243" s="1823">
        <v>42498341</v>
      </c>
      <c r="AN243" s="1824">
        <v>3.6999999999999998E-2</v>
      </c>
      <c r="AP243" s="1781" t="s">
        <v>3</v>
      </c>
      <c r="AQ243" s="1781" t="s">
        <v>497</v>
      </c>
      <c r="AR243" s="1822" t="s">
        <v>59</v>
      </c>
      <c r="AS243" s="1822">
        <v>7</v>
      </c>
      <c r="AT243" s="1823">
        <v>130666627.83000001</v>
      </c>
      <c r="AU243" s="1825">
        <v>2.5790188660199147E-2</v>
      </c>
      <c r="AV243" s="1781">
        <v>2007</v>
      </c>
      <c r="EA243" s="169"/>
      <c r="EB243" s="169"/>
      <c r="EC243" s="169"/>
      <c r="ED243" s="169"/>
      <c r="EE243" s="169"/>
      <c r="EF243" s="169"/>
      <c r="EG243" s="169"/>
      <c r="EH243" s="169"/>
      <c r="EI243" s="169"/>
      <c r="EJ243" s="169"/>
      <c r="EK243" s="169"/>
      <c r="EL243" s="169"/>
      <c r="EM243" s="169"/>
      <c r="EN243" s="169"/>
      <c r="EO243" s="169"/>
      <c r="EP243" s="169"/>
      <c r="EQ243" s="169"/>
      <c r="ER243" s="169"/>
      <c r="ES243" s="169"/>
      <c r="ET243" s="169"/>
      <c r="EU243" s="169"/>
      <c r="EV243" s="169"/>
      <c r="EW243" s="169"/>
      <c r="EX243" s="169"/>
    </row>
    <row r="244" spans="1:154">
      <c r="A244" s="333">
        <f t="shared" si="6"/>
        <v>1990</v>
      </c>
      <c r="B244" s="333">
        <f t="shared" si="7"/>
        <v>3</v>
      </c>
      <c r="C244" s="1175">
        <v>33086</v>
      </c>
      <c r="D244" s="1167">
        <v>328.23</v>
      </c>
      <c r="E244" s="1168">
        <v>490.13</v>
      </c>
      <c r="F244" s="1168">
        <v>394.15</v>
      </c>
      <c r="G244" s="1168"/>
      <c r="H244" s="1167"/>
      <c r="I244" s="1168"/>
      <c r="J244" s="1168"/>
      <c r="K244" s="1678">
        <v>10915</v>
      </c>
      <c r="L244" s="1678">
        <v>13372.94780691007</v>
      </c>
      <c r="M244" s="1682"/>
      <c r="N244" s="1169">
        <v>3618.35</v>
      </c>
      <c r="O244" s="1169">
        <v>1073.9279588336192</v>
      </c>
      <c r="P244" s="1169">
        <v>1981.377113452585</v>
      </c>
      <c r="Q244" s="1167">
        <v>11.4</v>
      </c>
      <c r="R244" s="1167">
        <v>786</v>
      </c>
      <c r="S244" s="1167">
        <v>629</v>
      </c>
      <c r="T244" s="1167">
        <v>2602.681822742376</v>
      </c>
      <c r="U244" s="1167"/>
      <c r="V244" s="1167"/>
      <c r="W244" s="1167"/>
      <c r="X244" s="344">
        <v>0.81620000000000004</v>
      </c>
      <c r="AI244" s="1781" t="s">
        <v>457</v>
      </c>
      <c r="AJ244" s="1826">
        <v>2012</v>
      </c>
      <c r="AK244" s="1822" t="s">
        <v>537</v>
      </c>
      <c r="AL244" s="1822">
        <v>8</v>
      </c>
      <c r="AM244" s="1823">
        <v>42436740</v>
      </c>
      <c r="AN244" s="1824">
        <v>3.6999999999999998E-2</v>
      </c>
      <c r="AP244" s="1781" t="s">
        <v>3</v>
      </c>
      <c r="AQ244" s="1781" t="s">
        <v>497</v>
      </c>
      <c r="AR244" s="1822" t="s">
        <v>385</v>
      </c>
      <c r="AS244" s="1822">
        <v>8</v>
      </c>
      <c r="AT244" s="1823">
        <v>126192126.90000001</v>
      </c>
      <c r="AU244" s="1825">
        <v>2.4907038730784332E-2</v>
      </c>
      <c r="AV244" s="1781">
        <v>2007</v>
      </c>
      <c r="EA244" s="169"/>
      <c r="EB244" s="169"/>
      <c r="EC244" s="169"/>
      <c r="ED244" s="169"/>
      <c r="EE244" s="169"/>
      <c r="EF244" s="169"/>
      <c r="EG244" s="169"/>
      <c r="EH244" s="169"/>
      <c r="EI244" s="169"/>
      <c r="EJ244" s="169"/>
      <c r="EK244" s="169"/>
      <c r="EL244" s="169"/>
      <c r="EM244" s="169"/>
      <c r="EN244" s="169"/>
      <c r="EO244" s="169"/>
      <c r="EP244" s="169"/>
      <c r="EQ244" s="169"/>
      <c r="ER244" s="169"/>
      <c r="ES244" s="169"/>
      <c r="ET244" s="169"/>
      <c r="EU244" s="169"/>
      <c r="EV244" s="169"/>
      <c r="EW244" s="169"/>
      <c r="EX244" s="169"/>
    </row>
    <row r="245" spans="1:154">
      <c r="A245" s="333">
        <f t="shared" si="6"/>
        <v>1990</v>
      </c>
      <c r="B245" s="333">
        <f t="shared" si="7"/>
        <v>3</v>
      </c>
      <c r="C245" s="1175">
        <v>33117</v>
      </c>
      <c r="D245" s="1158">
        <v>329.1</v>
      </c>
      <c r="E245" s="1159">
        <v>474.36</v>
      </c>
      <c r="F245" s="1159">
        <v>389.95</v>
      </c>
      <c r="G245" s="1160"/>
      <c r="H245" s="1161"/>
      <c r="I245" s="1160"/>
      <c r="J245" s="1160"/>
      <c r="K245" s="1677">
        <v>10812</v>
      </c>
      <c r="L245" s="1677">
        <v>13081.669691470055</v>
      </c>
      <c r="M245" s="1681"/>
      <c r="N245" s="1162">
        <v>3671.75</v>
      </c>
      <c r="O245" s="1162">
        <v>1014.3496672716274</v>
      </c>
      <c r="P245" s="1162">
        <v>1862.0689655172414</v>
      </c>
      <c r="Q245" s="1163">
        <v>10.1</v>
      </c>
      <c r="R245" s="1164">
        <v>786</v>
      </c>
      <c r="S245" s="1164">
        <v>629</v>
      </c>
      <c r="T245" s="1164">
        <v>2438.4338741009083</v>
      </c>
      <c r="U245" s="1165"/>
      <c r="V245" s="1166"/>
      <c r="W245" s="1166"/>
      <c r="X245" s="635">
        <v>0.82650000000000001</v>
      </c>
      <c r="AI245" s="1781" t="s">
        <v>457</v>
      </c>
      <c r="AJ245" s="1826">
        <v>2012</v>
      </c>
      <c r="AK245" s="1822" t="s">
        <v>21</v>
      </c>
      <c r="AL245" s="1822">
        <v>9</v>
      </c>
      <c r="AM245" s="1823">
        <v>35454652</v>
      </c>
      <c r="AN245" s="1824">
        <v>3.1E-2</v>
      </c>
      <c r="AP245" s="1781" t="s">
        <v>3</v>
      </c>
      <c r="AQ245" s="1781" t="s">
        <v>497</v>
      </c>
      <c r="AR245" s="1822" t="s">
        <v>63</v>
      </c>
      <c r="AS245" s="1822">
        <v>9</v>
      </c>
      <c r="AT245" s="1823">
        <v>125557708.87</v>
      </c>
      <c r="AU245" s="1825">
        <v>2.4781821137318777E-2</v>
      </c>
      <c r="AV245" s="1781">
        <v>2007</v>
      </c>
      <c r="EA245" s="169"/>
      <c r="EB245" s="169"/>
      <c r="EC245" s="169"/>
      <c r="ED245" s="169"/>
      <c r="EE245" s="169"/>
      <c r="EF245" s="169"/>
      <c r="EG245" s="169"/>
      <c r="EH245" s="169"/>
      <c r="EI245" s="169"/>
      <c r="EJ245" s="169"/>
      <c r="EK245" s="169"/>
      <c r="EL245" s="169"/>
      <c r="EM245" s="169"/>
      <c r="EN245" s="169"/>
      <c r="EO245" s="169"/>
      <c r="EP245" s="169"/>
      <c r="EQ245" s="169"/>
      <c r="ER245" s="169"/>
      <c r="ES245" s="169"/>
      <c r="ET245" s="169"/>
      <c r="EU245" s="169"/>
      <c r="EV245" s="169"/>
      <c r="EW245" s="169"/>
      <c r="EX245" s="169"/>
    </row>
    <row r="246" spans="1:154">
      <c r="A246" s="333">
        <f t="shared" si="6"/>
        <v>1990</v>
      </c>
      <c r="B246" s="333">
        <f t="shared" si="7"/>
        <v>4</v>
      </c>
      <c r="C246" s="1175">
        <v>33147</v>
      </c>
      <c r="D246" s="1167">
        <v>325.72000000000003</v>
      </c>
      <c r="E246" s="1168">
        <v>475.67</v>
      </c>
      <c r="F246" s="1168">
        <v>379.98</v>
      </c>
      <c r="G246" s="1168"/>
      <c r="H246" s="1167"/>
      <c r="I246" s="1168"/>
      <c r="J246" s="1168"/>
      <c r="K246" s="1678">
        <v>9140</v>
      </c>
      <c r="L246" s="1678">
        <v>11647.763476487831</v>
      </c>
      <c r="M246" s="1682"/>
      <c r="N246" s="1169">
        <v>3501.21</v>
      </c>
      <c r="O246" s="1169">
        <v>971.0972346119537</v>
      </c>
      <c r="P246" s="1169">
        <v>1724.7355677328917</v>
      </c>
      <c r="Q246" s="1167">
        <v>8.35</v>
      </c>
      <c r="R246" s="1167">
        <v>789</v>
      </c>
      <c r="S246" s="1167">
        <v>495</v>
      </c>
      <c r="T246" s="1167">
        <v>2614.0218481429606</v>
      </c>
      <c r="U246" s="1167"/>
      <c r="V246" s="1167"/>
      <c r="W246" s="1167"/>
      <c r="X246" s="344">
        <v>0.78469999999999995</v>
      </c>
      <c r="AI246" s="1781" t="s">
        <v>457</v>
      </c>
      <c r="AJ246" s="1826">
        <v>2012</v>
      </c>
      <c r="AK246" s="1822" t="s">
        <v>31</v>
      </c>
      <c r="AL246" s="1822">
        <v>10</v>
      </c>
      <c r="AM246" s="1823">
        <v>34189181</v>
      </c>
      <c r="AN246" s="1824">
        <v>0.03</v>
      </c>
      <c r="AP246" s="1781" t="s">
        <v>3</v>
      </c>
      <c r="AQ246" s="1781" t="s">
        <v>497</v>
      </c>
      <c r="AR246" s="1822" t="s">
        <v>56</v>
      </c>
      <c r="AS246" s="1822">
        <v>10</v>
      </c>
      <c r="AT246" s="1823">
        <v>44814173.819999993</v>
      </c>
      <c r="AU246" s="1825">
        <v>8.845150568762155E-3</v>
      </c>
      <c r="AV246" s="1781">
        <v>2007</v>
      </c>
      <c r="EA246" s="169"/>
      <c r="EB246" s="169"/>
      <c r="EC246" s="169"/>
      <c r="ED246" s="169"/>
      <c r="EE246" s="169"/>
      <c r="EF246" s="169"/>
      <c r="EG246" s="169"/>
      <c r="EH246" s="169"/>
      <c r="EI246" s="169"/>
      <c r="EJ246" s="169"/>
      <c r="EK246" s="169"/>
      <c r="EL246" s="169"/>
      <c r="EM246" s="169"/>
      <c r="EN246" s="169"/>
      <c r="EO246" s="169"/>
      <c r="EP246" s="169"/>
      <c r="EQ246" s="169"/>
      <c r="ER246" s="169"/>
      <c r="ES246" s="169"/>
      <c r="ET246" s="169"/>
      <c r="EU246" s="169"/>
      <c r="EV246" s="169"/>
      <c r="EW246" s="169"/>
      <c r="EX246" s="169"/>
    </row>
    <row r="247" spans="1:154">
      <c r="A247" s="333">
        <f t="shared" si="6"/>
        <v>1990</v>
      </c>
      <c r="B247" s="333">
        <f t="shared" si="7"/>
        <v>4</v>
      </c>
      <c r="C247" s="1175">
        <v>33178</v>
      </c>
      <c r="D247" s="1158">
        <v>340.86</v>
      </c>
      <c r="E247" s="1159">
        <v>494.64</v>
      </c>
      <c r="F247" s="1159">
        <v>382.14</v>
      </c>
      <c r="G247" s="1160"/>
      <c r="H247" s="1161"/>
      <c r="I247" s="1160"/>
      <c r="J247" s="1160"/>
      <c r="K247" s="1677">
        <v>8571</v>
      </c>
      <c r="L247" s="1677">
        <v>11066.494512588768</v>
      </c>
      <c r="M247" s="1681"/>
      <c r="N247" s="1162">
        <v>3336.99</v>
      </c>
      <c r="O247" s="1162">
        <v>904.76436410587485</v>
      </c>
      <c r="P247" s="1162">
        <v>1651.0006455777923</v>
      </c>
      <c r="Q247" s="1163">
        <v>9.8000000000000007</v>
      </c>
      <c r="R247" s="1164">
        <v>789</v>
      </c>
      <c r="S247" s="1164">
        <v>495</v>
      </c>
      <c r="T247" s="1164">
        <v>2564.9045876898585</v>
      </c>
      <c r="U247" s="1165"/>
      <c r="V247" s="1166"/>
      <c r="W247" s="1166"/>
      <c r="X247" s="635">
        <v>0.77449999999999997</v>
      </c>
      <c r="AI247" s="1781" t="s">
        <v>457</v>
      </c>
      <c r="AJ247" s="1826">
        <v>2012</v>
      </c>
      <c r="AK247" s="1822" t="s">
        <v>39</v>
      </c>
      <c r="AL247" s="1822"/>
      <c r="AM247" s="1823">
        <v>140423081</v>
      </c>
      <c r="AN247" s="1824">
        <v>0.122</v>
      </c>
      <c r="AP247" s="1781" t="s">
        <v>3</v>
      </c>
      <c r="AQ247" s="1781" t="s">
        <v>497</v>
      </c>
      <c r="AR247" s="1822" t="s">
        <v>39</v>
      </c>
      <c r="AS247" s="1822"/>
      <c r="AT247" s="1823">
        <v>466757178.51999938</v>
      </c>
      <c r="AU247" s="1825">
        <v>9.2125708701952636E-2</v>
      </c>
      <c r="AV247" s="1781">
        <v>2007</v>
      </c>
      <c r="EA247" s="169"/>
      <c r="EB247" s="169"/>
      <c r="EC247" s="169"/>
      <c r="ED247" s="169"/>
      <c r="EE247" s="169"/>
      <c r="EF247" s="169"/>
      <c r="EG247" s="169"/>
      <c r="EH247" s="169"/>
      <c r="EI247" s="169"/>
      <c r="EJ247" s="169"/>
      <c r="EK247" s="169"/>
      <c r="EL247" s="169"/>
      <c r="EM247" s="169"/>
      <c r="EN247" s="169"/>
      <c r="EO247" s="169"/>
      <c r="EP247" s="169"/>
      <c r="EQ247" s="169"/>
      <c r="ER247" s="169"/>
      <c r="ES247" s="169"/>
      <c r="ET247" s="169"/>
      <c r="EU247" s="169"/>
      <c r="EV247" s="169"/>
      <c r="EW247" s="169"/>
      <c r="EX247" s="169"/>
    </row>
    <row r="248" spans="1:154">
      <c r="A248" s="333">
        <f t="shared" si="6"/>
        <v>1990</v>
      </c>
      <c r="B248" s="333">
        <f t="shared" si="7"/>
        <v>4</v>
      </c>
      <c r="C248" s="1175">
        <v>33208</v>
      </c>
      <c r="D248" s="1167">
        <v>339.4</v>
      </c>
      <c r="E248" s="1168">
        <v>492.36</v>
      </c>
      <c r="F248" s="1168">
        <v>377.78</v>
      </c>
      <c r="G248" s="1168"/>
      <c r="H248" s="1167"/>
      <c r="I248" s="1168"/>
      <c r="J248" s="1168"/>
      <c r="K248" s="1678">
        <v>8195.6</v>
      </c>
      <c r="L248" s="1678">
        <v>10598.215440320704</v>
      </c>
      <c r="M248" s="1682"/>
      <c r="N248" s="1169">
        <v>3220.48</v>
      </c>
      <c r="O248" s="1169">
        <v>804.17690417690415</v>
      </c>
      <c r="P248" s="1169">
        <v>1634.8118453381612</v>
      </c>
      <c r="Q248" s="1167">
        <v>9.6999999999999993</v>
      </c>
      <c r="R248" s="1167">
        <v>789</v>
      </c>
      <c r="S248" s="1167">
        <v>495</v>
      </c>
      <c r="T248" s="1167">
        <v>2483.3571013659921</v>
      </c>
      <c r="U248" s="1167"/>
      <c r="V248" s="1167"/>
      <c r="W248" s="1167"/>
      <c r="X248" s="344">
        <v>0.77329999999999999</v>
      </c>
      <c r="AI248" s="1781" t="s">
        <v>457</v>
      </c>
      <c r="AJ248" s="1826">
        <v>2012</v>
      </c>
      <c r="AK248" s="1822" t="s">
        <v>386</v>
      </c>
      <c r="AL248" s="1822"/>
      <c r="AM248" s="1823">
        <v>1150353341</v>
      </c>
      <c r="AN248" s="1824"/>
      <c r="AP248" s="1781" t="s">
        <v>3</v>
      </c>
      <c r="AQ248" s="1781" t="s">
        <v>497</v>
      </c>
      <c r="AR248" s="1822" t="s">
        <v>386</v>
      </c>
      <c r="AS248" s="1822"/>
      <c r="AT248" s="1823">
        <v>5192082407.5299988</v>
      </c>
      <c r="AU248" s="1825"/>
      <c r="AV248" s="1781">
        <v>2007</v>
      </c>
      <c r="EA248" s="169"/>
      <c r="EB248" s="169"/>
      <c r="EC248" s="169"/>
      <c r="ED248" s="169"/>
      <c r="EE248" s="169"/>
      <c r="EF248" s="169"/>
      <c r="EG248" s="169"/>
      <c r="EH248" s="169"/>
      <c r="EI248" s="169"/>
      <c r="EJ248" s="169"/>
      <c r="EK248" s="169"/>
      <c r="EL248" s="169"/>
      <c r="EM248" s="169"/>
      <c r="EN248" s="169"/>
      <c r="EO248" s="169"/>
      <c r="EP248" s="169"/>
      <c r="EQ248" s="169"/>
      <c r="ER248" s="169"/>
      <c r="ES248" s="169"/>
      <c r="ET248" s="169"/>
      <c r="EU248" s="169"/>
      <c r="EV248" s="169"/>
      <c r="EW248" s="169"/>
      <c r="EX248" s="169"/>
    </row>
    <row r="249" spans="1:154">
      <c r="A249" s="333">
        <f t="shared" si="6"/>
        <v>1991</v>
      </c>
      <c r="B249" s="333">
        <f t="shared" si="7"/>
        <v>1</v>
      </c>
      <c r="C249" s="1175">
        <v>33239</v>
      </c>
      <c r="D249" s="1158">
        <v>298.81</v>
      </c>
      <c r="E249" s="1159">
        <v>498.04</v>
      </c>
      <c r="F249" s="1159">
        <v>386.57</v>
      </c>
      <c r="G249" s="1160"/>
      <c r="H249" s="1161"/>
      <c r="I249" s="1160"/>
      <c r="J249" s="1160"/>
      <c r="K249" s="1677">
        <v>8511.8799999999992</v>
      </c>
      <c r="L249" s="1677">
        <v>10844.540705822395</v>
      </c>
      <c r="M249" s="1681"/>
      <c r="N249" s="1162">
        <v>3125.75</v>
      </c>
      <c r="O249" s="1162">
        <v>766.04663014396726</v>
      </c>
      <c r="P249" s="1162">
        <v>1540.8332271626959</v>
      </c>
      <c r="Q249" s="1163">
        <v>9.1</v>
      </c>
      <c r="R249" s="1164">
        <v>741</v>
      </c>
      <c r="S249" s="1164">
        <v>482</v>
      </c>
      <c r="T249" s="1164">
        <v>2476.9137815566492</v>
      </c>
      <c r="U249" s="1165"/>
      <c r="V249" s="1166"/>
      <c r="W249" s="1166"/>
      <c r="X249" s="635">
        <v>0.78490000000000004</v>
      </c>
      <c r="AI249" s="1781" t="s">
        <v>457</v>
      </c>
      <c r="AJ249" s="1826">
        <v>2011</v>
      </c>
      <c r="AK249" s="1822" t="s">
        <v>18</v>
      </c>
      <c r="AL249" s="1822">
        <v>1</v>
      </c>
      <c r="AM249" s="1823">
        <v>257661911.24999997</v>
      </c>
      <c r="AN249" s="1824">
        <v>0.27677527780839778</v>
      </c>
      <c r="AP249" s="1781" t="s">
        <v>3</v>
      </c>
      <c r="AQ249" s="1781" t="s">
        <v>496</v>
      </c>
      <c r="AR249" s="1822" t="s">
        <v>18</v>
      </c>
      <c r="AS249" s="1822">
        <v>1</v>
      </c>
      <c r="AT249" s="1823">
        <v>3195107458.9328957</v>
      </c>
      <c r="AU249" s="1825">
        <v>0.40018278338624153</v>
      </c>
      <c r="AV249" s="1781">
        <v>2006</v>
      </c>
      <c r="EA249" s="169"/>
      <c r="EB249" s="169"/>
      <c r="EC249" s="169"/>
      <c r="ED249" s="169"/>
      <c r="EE249" s="169"/>
      <c r="EF249" s="169"/>
      <c r="EG249" s="169"/>
      <c r="EH249" s="169"/>
      <c r="EI249" s="169"/>
      <c r="EJ249" s="169"/>
      <c r="EK249" s="169"/>
      <c r="EL249" s="169"/>
      <c r="EM249" s="169"/>
      <c r="EN249" s="169"/>
      <c r="EO249" s="169"/>
      <c r="EP249" s="169"/>
      <c r="EQ249" s="169"/>
      <c r="ER249" s="169"/>
      <c r="ES249" s="169"/>
      <c r="ET249" s="169"/>
      <c r="EU249" s="169"/>
      <c r="EV249" s="169"/>
      <c r="EW249" s="169"/>
      <c r="EX249" s="169"/>
    </row>
    <row r="250" spans="1:154">
      <c r="A250" s="333">
        <f t="shared" si="6"/>
        <v>1991</v>
      </c>
      <c r="B250" s="333">
        <f t="shared" si="7"/>
        <v>1</v>
      </c>
      <c r="C250" s="1175">
        <v>33270</v>
      </c>
      <c r="D250" s="1167">
        <v>289.24</v>
      </c>
      <c r="E250" s="1168">
        <v>466.07</v>
      </c>
      <c r="F250" s="1168">
        <v>364.04</v>
      </c>
      <c r="G250" s="1168"/>
      <c r="H250" s="1167"/>
      <c r="I250" s="1168"/>
      <c r="J250" s="1168"/>
      <c r="K250" s="1678">
        <v>8623.1299999999992</v>
      </c>
      <c r="L250" s="1678">
        <v>10983.479811488982</v>
      </c>
      <c r="M250" s="1682"/>
      <c r="N250" s="1169">
        <v>3120.62</v>
      </c>
      <c r="O250" s="1169">
        <v>754.10775697363385</v>
      </c>
      <c r="P250" s="1169">
        <v>1517.3863202139853</v>
      </c>
      <c r="Q250" s="1167">
        <v>9.5</v>
      </c>
      <c r="R250" s="1167">
        <v>741</v>
      </c>
      <c r="S250" s="1167">
        <v>482</v>
      </c>
      <c r="T250" s="1167">
        <v>2363.9877839601727</v>
      </c>
      <c r="U250" s="1167"/>
      <c r="V250" s="1167"/>
      <c r="W250" s="1167"/>
      <c r="X250" s="344">
        <v>0.78510000000000002</v>
      </c>
      <c r="AI250" s="1781" t="s">
        <v>457</v>
      </c>
      <c r="AJ250" s="1826">
        <v>2011</v>
      </c>
      <c r="AK250" s="1822" t="s">
        <v>758</v>
      </c>
      <c r="AL250" s="1822">
        <v>2</v>
      </c>
      <c r="AM250" s="1823">
        <v>169969730.33000001</v>
      </c>
      <c r="AN250" s="1824">
        <v>0.18257808887189264</v>
      </c>
      <c r="AP250" s="1781" t="s">
        <v>3</v>
      </c>
      <c r="AQ250" s="1781" t="s">
        <v>496</v>
      </c>
      <c r="AR250" s="1822" t="s">
        <v>57</v>
      </c>
      <c r="AS250" s="1822">
        <v>2</v>
      </c>
      <c r="AT250" s="1823">
        <v>1790361050.6323795</v>
      </c>
      <c r="AU250" s="1825">
        <v>0.22424024159352346</v>
      </c>
      <c r="AV250" s="1781">
        <v>2006</v>
      </c>
      <c r="EA250" s="169"/>
      <c r="EB250" s="169"/>
      <c r="EC250" s="169"/>
      <c r="ED250" s="169"/>
      <c r="EE250" s="169"/>
      <c r="EF250" s="169"/>
      <c r="EG250" s="169"/>
      <c r="EH250" s="169"/>
      <c r="EI250" s="169"/>
      <c r="EJ250" s="169"/>
      <c r="EK250" s="169"/>
      <c r="EL250" s="169"/>
      <c r="EM250" s="169"/>
      <c r="EN250" s="169"/>
      <c r="EO250" s="169"/>
      <c r="EP250" s="169"/>
      <c r="EQ250" s="169"/>
      <c r="ER250" s="169"/>
      <c r="ES250" s="169"/>
      <c r="ET250" s="169"/>
      <c r="EU250" s="169"/>
      <c r="EV250" s="169"/>
      <c r="EW250" s="169"/>
      <c r="EX250" s="169"/>
    </row>
    <row r="251" spans="1:154">
      <c r="A251" s="333">
        <f t="shared" si="6"/>
        <v>1991</v>
      </c>
      <c r="B251" s="333">
        <f t="shared" si="7"/>
        <v>1</v>
      </c>
      <c r="C251" s="1175">
        <v>33298</v>
      </c>
      <c r="D251" s="1158">
        <v>281.17</v>
      </c>
      <c r="E251" s="1159">
        <v>473.36</v>
      </c>
      <c r="F251" s="1159">
        <v>363.66</v>
      </c>
      <c r="G251" s="1160"/>
      <c r="H251" s="1161"/>
      <c r="I251" s="1160"/>
      <c r="J251" s="1160"/>
      <c r="K251" s="1677">
        <v>8711</v>
      </c>
      <c r="L251" s="1677">
        <v>11237.100103199175</v>
      </c>
      <c r="M251" s="1681"/>
      <c r="N251" s="1162">
        <v>3123.97</v>
      </c>
      <c r="O251" s="1162">
        <v>782.1078431372548</v>
      </c>
      <c r="P251" s="1162">
        <v>1548.7616099071206</v>
      </c>
      <c r="Q251" s="1163">
        <v>9.3000000000000007</v>
      </c>
      <c r="R251" s="1164">
        <v>741</v>
      </c>
      <c r="S251" s="1164">
        <v>482</v>
      </c>
      <c r="T251" s="1164">
        <v>2093.0195446681637</v>
      </c>
      <c r="U251" s="1165"/>
      <c r="V251" s="1166"/>
      <c r="W251" s="1166"/>
      <c r="X251" s="635">
        <v>0.7752</v>
      </c>
      <c r="AI251" s="1781" t="s">
        <v>457</v>
      </c>
      <c r="AJ251" s="1826">
        <v>2011</v>
      </c>
      <c r="AK251" s="1822" t="s">
        <v>27</v>
      </c>
      <c r="AL251" s="1822">
        <v>3</v>
      </c>
      <c r="AM251" s="1823">
        <v>101503781.13999997</v>
      </c>
      <c r="AN251" s="1824">
        <v>0.10903333398147454</v>
      </c>
      <c r="AP251" s="1781" t="s">
        <v>3</v>
      </c>
      <c r="AQ251" s="1781" t="s">
        <v>496</v>
      </c>
      <c r="AR251" s="1822" t="s">
        <v>23</v>
      </c>
      <c r="AS251" s="1822">
        <v>3</v>
      </c>
      <c r="AT251" s="1823">
        <v>1246926532.082185</v>
      </c>
      <c r="AU251" s="1825">
        <v>0.15617582090758797</v>
      </c>
      <c r="AV251" s="1781">
        <v>2006</v>
      </c>
      <c r="EA251" s="169"/>
      <c r="EB251" s="169"/>
      <c r="EC251" s="169"/>
      <c r="ED251" s="169"/>
      <c r="EE251" s="169"/>
      <c r="EF251" s="169"/>
      <c r="EG251" s="169"/>
      <c r="EH251" s="169"/>
      <c r="EI251" s="169"/>
      <c r="EJ251" s="169"/>
      <c r="EK251" s="169"/>
      <c r="EL251" s="169"/>
      <c r="EM251" s="169"/>
      <c r="EN251" s="169"/>
      <c r="EO251" s="169"/>
      <c r="EP251" s="169"/>
      <c r="EQ251" s="169"/>
      <c r="ER251" s="169"/>
      <c r="ES251" s="169"/>
      <c r="ET251" s="169"/>
      <c r="EU251" s="169"/>
      <c r="EV251" s="169"/>
      <c r="EW251" s="169"/>
      <c r="EX251" s="169"/>
    </row>
    <row r="252" spans="1:154">
      <c r="A252" s="333">
        <f t="shared" si="6"/>
        <v>1991</v>
      </c>
      <c r="B252" s="333">
        <f t="shared" si="7"/>
        <v>2</v>
      </c>
      <c r="C252" s="1175">
        <v>33329</v>
      </c>
      <c r="D252" s="1167">
        <v>281.60000000000002</v>
      </c>
      <c r="E252" s="1168">
        <v>462.02</v>
      </c>
      <c r="F252" s="1168">
        <v>358.77</v>
      </c>
      <c r="G252" s="1168"/>
      <c r="H252" s="1167"/>
      <c r="I252" s="1168"/>
      <c r="J252" s="1168"/>
      <c r="K252" s="1678">
        <v>9004.3799999999992</v>
      </c>
      <c r="L252" s="1678">
        <v>11518.971472431878</v>
      </c>
      <c r="M252" s="1682"/>
      <c r="N252" s="1169">
        <v>3159.4</v>
      </c>
      <c r="O252" s="1169">
        <v>767.6730203402841</v>
      </c>
      <c r="P252" s="1169">
        <v>1594.3456569016248</v>
      </c>
      <c r="Q252" s="1167">
        <v>9.1</v>
      </c>
      <c r="R252" s="1167">
        <v>704</v>
      </c>
      <c r="S252" s="1167">
        <v>435</v>
      </c>
      <c r="T252" s="1167">
        <v>2192.353159278759</v>
      </c>
      <c r="U252" s="1167"/>
      <c r="V252" s="1167"/>
      <c r="W252" s="1167"/>
      <c r="X252" s="344">
        <v>0.78169999999999995</v>
      </c>
      <c r="AI252" s="1781" t="s">
        <v>457</v>
      </c>
      <c r="AJ252" s="1826">
        <v>2011</v>
      </c>
      <c r="AK252" s="1822" t="s">
        <v>70</v>
      </c>
      <c r="AL252" s="1822">
        <v>4</v>
      </c>
      <c r="AM252" s="1823">
        <v>91865617.050000012</v>
      </c>
      <c r="AN252" s="1824">
        <v>9.8680210655519005E-2</v>
      </c>
      <c r="AP252" s="1781" t="s">
        <v>3</v>
      </c>
      <c r="AQ252" s="1781" t="s">
        <v>496</v>
      </c>
      <c r="AR252" s="1822" t="s">
        <v>27</v>
      </c>
      <c r="AS252" s="1822">
        <v>4</v>
      </c>
      <c r="AT252" s="1823">
        <v>443782098.31849658</v>
      </c>
      <c r="AU252" s="1825">
        <v>5.5583093089894266E-2</v>
      </c>
      <c r="AV252" s="1781">
        <v>2006</v>
      </c>
      <c r="EA252" s="169"/>
      <c r="EB252" s="169"/>
      <c r="EC252" s="169"/>
      <c r="ED252" s="169"/>
      <c r="EE252" s="169"/>
      <c r="EF252" s="169"/>
      <c r="EG252" s="169"/>
      <c r="EH252" s="169"/>
      <c r="EI252" s="169"/>
      <c r="EJ252" s="169"/>
      <c r="EK252" s="169"/>
      <c r="EL252" s="169"/>
      <c r="EM252" s="169"/>
      <c r="EN252" s="169"/>
      <c r="EO252" s="169"/>
      <c r="EP252" s="169"/>
      <c r="EQ252" s="169"/>
      <c r="ER252" s="169"/>
      <c r="ES252" s="169"/>
      <c r="ET252" s="169"/>
      <c r="EU252" s="169"/>
      <c r="EV252" s="169"/>
      <c r="EW252" s="169"/>
      <c r="EX252" s="169"/>
    </row>
    <row r="253" spans="1:154">
      <c r="A253" s="333">
        <f t="shared" si="6"/>
        <v>1991</v>
      </c>
      <c r="B253" s="333">
        <f t="shared" si="7"/>
        <v>2</v>
      </c>
      <c r="C253" s="1175">
        <v>33359</v>
      </c>
      <c r="D253" s="1158">
        <v>266.66000000000003</v>
      </c>
      <c r="E253" s="1159">
        <v>462.98</v>
      </c>
      <c r="F253" s="1159">
        <v>357.14</v>
      </c>
      <c r="G253" s="1160"/>
      <c r="H253" s="1161"/>
      <c r="I253" s="1160"/>
      <c r="J253" s="1160"/>
      <c r="K253" s="1677">
        <v>8426.5</v>
      </c>
      <c r="L253" s="1677">
        <v>11074.385596004731</v>
      </c>
      <c r="M253" s="1681"/>
      <c r="N253" s="1162">
        <v>3059.93</v>
      </c>
      <c r="O253" s="1162">
        <v>734.15691943750824</v>
      </c>
      <c r="P253" s="1162">
        <v>1436.851097384676</v>
      </c>
      <c r="Q253" s="1163">
        <v>9.1999999999999993</v>
      </c>
      <c r="R253" s="1164">
        <v>704</v>
      </c>
      <c r="S253" s="1164">
        <v>435</v>
      </c>
      <c r="T253" s="1164">
        <v>2135.4573993949057</v>
      </c>
      <c r="U253" s="1165"/>
      <c r="V253" s="1166"/>
      <c r="W253" s="1166"/>
      <c r="X253" s="635">
        <v>0.76090000000000002</v>
      </c>
      <c r="AI253" s="1781" t="s">
        <v>457</v>
      </c>
      <c r="AJ253" s="1826">
        <v>2011</v>
      </c>
      <c r="AK253" s="1822" t="s">
        <v>63</v>
      </c>
      <c r="AL253" s="1822">
        <v>5</v>
      </c>
      <c r="AM253" s="1823">
        <v>56477506.440000005</v>
      </c>
      <c r="AN253" s="1824">
        <v>6.0667009178899653E-2</v>
      </c>
      <c r="AP253" s="1781" t="s">
        <v>3</v>
      </c>
      <c r="AQ253" s="1781" t="s">
        <v>496</v>
      </c>
      <c r="AR253" s="1822" t="s">
        <v>138</v>
      </c>
      <c r="AS253" s="1822">
        <v>5</v>
      </c>
      <c r="AT253" s="1823">
        <v>308903069.50406635</v>
      </c>
      <c r="AU253" s="1825">
        <v>3.8689681564568354E-2</v>
      </c>
      <c r="AV253" s="1781">
        <v>2006</v>
      </c>
      <c r="EA253" s="169"/>
      <c r="EB253" s="169"/>
      <c r="EC253" s="169"/>
      <c r="ED253" s="169"/>
      <c r="EE253" s="169"/>
      <c r="EF253" s="169"/>
      <c r="EG253" s="169"/>
      <c r="EH253" s="169"/>
      <c r="EI253" s="169"/>
      <c r="EJ253" s="169"/>
      <c r="EK253" s="169"/>
      <c r="EL253" s="169"/>
      <c r="EM253" s="169"/>
      <c r="EN253" s="169"/>
      <c r="EO253" s="169"/>
      <c r="EP253" s="169"/>
      <c r="EQ253" s="169"/>
      <c r="ER253" s="169"/>
      <c r="ES253" s="169"/>
      <c r="ET253" s="169"/>
      <c r="EU253" s="169"/>
      <c r="EV253" s="169"/>
      <c r="EW253" s="169"/>
      <c r="EX253" s="169"/>
    </row>
    <row r="254" spans="1:154">
      <c r="A254" s="333">
        <f t="shared" si="6"/>
        <v>1991</v>
      </c>
      <c r="B254" s="333">
        <f t="shared" si="7"/>
        <v>2</v>
      </c>
      <c r="C254" s="1175">
        <v>33390</v>
      </c>
      <c r="D254" s="1167">
        <v>281.74</v>
      </c>
      <c r="E254" s="1168">
        <v>483.83</v>
      </c>
      <c r="F254" s="1168">
        <v>366.49</v>
      </c>
      <c r="G254" s="1168"/>
      <c r="H254" s="1167"/>
      <c r="I254" s="1168"/>
      <c r="J254" s="1168"/>
      <c r="K254" s="1678">
        <v>8296.25</v>
      </c>
      <c r="L254" s="1678">
        <v>10801.002473636245</v>
      </c>
      <c r="M254" s="1682"/>
      <c r="N254" s="1169">
        <v>2889.47</v>
      </c>
      <c r="O254" s="1169">
        <v>715.37560213513871</v>
      </c>
      <c r="P254" s="1169">
        <v>1383.1532352558261</v>
      </c>
      <c r="Q254" s="1167">
        <v>9.0500000000000007</v>
      </c>
      <c r="R254" s="1167">
        <v>704</v>
      </c>
      <c r="S254" s="1167">
        <v>435</v>
      </c>
      <c r="T254" s="1167">
        <v>2143.6010158415374</v>
      </c>
      <c r="U254" s="1167"/>
      <c r="V254" s="1167"/>
      <c r="W254" s="1167"/>
      <c r="X254" s="344">
        <v>0.7681</v>
      </c>
      <c r="AI254" s="1781" t="s">
        <v>457</v>
      </c>
      <c r="AJ254" s="1826">
        <v>2011</v>
      </c>
      <c r="AK254" s="1822" t="s">
        <v>23</v>
      </c>
      <c r="AL254" s="1822">
        <v>6</v>
      </c>
      <c r="AM254" s="1823">
        <v>34798913.290000007</v>
      </c>
      <c r="AN254" s="1824">
        <v>3.7380297485742953E-2</v>
      </c>
      <c r="AP254" s="1781" t="s">
        <v>3</v>
      </c>
      <c r="AQ254" s="1781" t="s">
        <v>496</v>
      </c>
      <c r="AR254" s="1822" t="s">
        <v>54</v>
      </c>
      <c r="AS254" s="1822">
        <v>6</v>
      </c>
      <c r="AT254" s="1823">
        <v>253738823.90317833</v>
      </c>
      <c r="AU254" s="1825">
        <v>3.1780436216263704E-2</v>
      </c>
      <c r="AV254" s="1781">
        <v>2006</v>
      </c>
      <c r="EA254" s="169"/>
      <c r="EB254" s="169"/>
      <c r="EC254" s="169"/>
      <c r="ED254" s="169"/>
      <c r="EE254" s="169"/>
      <c r="EF254" s="169"/>
      <c r="EG254" s="169"/>
      <c r="EH254" s="169"/>
      <c r="EI254" s="169"/>
      <c r="EJ254" s="169"/>
      <c r="EK254" s="169"/>
      <c r="EL254" s="169"/>
      <c r="EM254" s="169"/>
      <c r="EN254" s="169"/>
      <c r="EO254" s="169"/>
      <c r="EP254" s="169"/>
      <c r="EQ254" s="169"/>
      <c r="ER254" s="169"/>
      <c r="ES254" s="169"/>
      <c r="ET254" s="169"/>
      <c r="EU254" s="169"/>
      <c r="EV254" s="169"/>
      <c r="EW254" s="169"/>
      <c r="EX254" s="169"/>
    </row>
    <row r="255" spans="1:154">
      <c r="A255" s="333">
        <f t="shared" si="6"/>
        <v>1991</v>
      </c>
      <c r="B255" s="333">
        <f t="shared" si="7"/>
        <v>3</v>
      </c>
      <c r="C255" s="1175">
        <v>33420</v>
      </c>
      <c r="D255" s="1158">
        <v>262.97000000000003</v>
      </c>
      <c r="E255" s="1159">
        <v>479</v>
      </c>
      <c r="F255" s="1159">
        <v>368</v>
      </c>
      <c r="G255" s="1160"/>
      <c r="H255" s="1161"/>
      <c r="I255" s="1160"/>
      <c r="J255" s="1160"/>
      <c r="K255" s="1677">
        <v>8541.2999999999993</v>
      </c>
      <c r="L255" s="1677">
        <v>10985.594855305466</v>
      </c>
      <c r="M255" s="1681"/>
      <c r="N255" s="1162">
        <v>2869.84</v>
      </c>
      <c r="O255" s="1162">
        <v>703.48553054662386</v>
      </c>
      <c r="P255" s="1162">
        <v>1368.6173633440515</v>
      </c>
      <c r="Q255" s="1163">
        <v>8.5500000000000007</v>
      </c>
      <c r="R255" s="1164">
        <v>655</v>
      </c>
      <c r="S255" s="1164">
        <v>374</v>
      </c>
      <c r="T255" s="1164">
        <v>2108.164197605814</v>
      </c>
      <c r="U255" s="1165"/>
      <c r="V255" s="1166"/>
      <c r="W255" s="1166"/>
      <c r="X255" s="635">
        <v>0.77749999999999997</v>
      </c>
      <c r="AI255" s="1781" t="s">
        <v>457</v>
      </c>
      <c r="AJ255" s="1826">
        <v>2011</v>
      </c>
      <c r="AK255" s="1822" t="s">
        <v>25</v>
      </c>
      <c r="AL255" s="1822">
        <v>7</v>
      </c>
      <c r="AM255" s="1823">
        <v>29775230.719999995</v>
      </c>
      <c r="AN255" s="1824">
        <v>3.1983958026070645E-2</v>
      </c>
      <c r="AP255" s="1781" t="s">
        <v>3</v>
      </c>
      <c r="AQ255" s="1781" t="s">
        <v>496</v>
      </c>
      <c r="AR255" s="1822" t="s">
        <v>59</v>
      </c>
      <c r="AS255" s="1822">
        <v>7</v>
      </c>
      <c r="AT255" s="1823">
        <v>145024295.43139207</v>
      </c>
      <c r="AU255" s="1825">
        <v>1.8164092115933419E-2</v>
      </c>
      <c r="AV255" s="1781">
        <v>2006</v>
      </c>
      <c r="EA255" s="169"/>
      <c r="EB255" s="169"/>
      <c r="EC255" s="169"/>
      <c r="ED255" s="169"/>
      <c r="EE255" s="169"/>
      <c r="EF255" s="169"/>
      <c r="EG255" s="169"/>
      <c r="EH255" s="169"/>
      <c r="EI255" s="169"/>
      <c r="EJ255" s="169"/>
      <c r="EK255" s="169"/>
      <c r="EL255" s="169"/>
      <c r="EM255" s="169"/>
      <c r="EN255" s="169"/>
      <c r="EO255" s="169"/>
      <c r="EP255" s="169"/>
      <c r="EQ255" s="169"/>
      <c r="ER255" s="169"/>
      <c r="ES255" s="169"/>
      <c r="ET255" s="169"/>
      <c r="EU255" s="169"/>
      <c r="EV255" s="169"/>
      <c r="EW255" s="169"/>
      <c r="EX255" s="169"/>
    </row>
    <row r="256" spans="1:154">
      <c r="A256" s="333">
        <f t="shared" si="6"/>
        <v>1991</v>
      </c>
      <c r="B256" s="333">
        <f t="shared" si="7"/>
        <v>3</v>
      </c>
      <c r="C256" s="1175">
        <v>33451</v>
      </c>
      <c r="D256" s="1167">
        <v>256.29000000000002</v>
      </c>
      <c r="E256" s="1168">
        <v>458.42</v>
      </c>
      <c r="F256" s="1168">
        <v>357.21</v>
      </c>
      <c r="G256" s="1168"/>
      <c r="H256" s="1167"/>
      <c r="I256" s="1168"/>
      <c r="J256" s="1168"/>
      <c r="K256" s="1678">
        <v>8144.71</v>
      </c>
      <c r="L256" s="1678">
        <v>10383.363080061194</v>
      </c>
      <c r="M256" s="1682"/>
      <c r="N256" s="1169">
        <v>2844.72</v>
      </c>
      <c r="O256" s="1169">
        <v>686.33350331463544</v>
      </c>
      <c r="P256" s="1169">
        <v>1333.7582865884754</v>
      </c>
      <c r="Q256" s="1167">
        <v>8.75</v>
      </c>
      <c r="R256" s="1167">
        <v>655</v>
      </c>
      <c r="S256" s="1167">
        <v>374</v>
      </c>
      <c r="T256" s="1167">
        <v>2059.9114412929571</v>
      </c>
      <c r="U256" s="1167"/>
      <c r="V256" s="1167"/>
      <c r="W256" s="1167"/>
      <c r="X256" s="344">
        <v>0.78439999999999999</v>
      </c>
      <c r="AI256" s="1781" t="s">
        <v>457</v>
      </c>
      <c r="AJ256" s="1826">
        <v>2011</v>
      </c>
      <c r="AK256" s="1822" t="s">
        <v>537</v>
      </c>
      <c r="AL256" s="1822">
        <v>8</v>
      </c>
      <c r="AM256" s="1823">
        <v>27238459.690000005</v>
      </c>
      <c r="AN256" s="1824">
        <v>2.9259009262171638E-2</v>
      </c>
      <c r="AP256" s="1781" t="s">
        <v>3</v>
      </c>
      <c r="AQ256" s="1781" t="s">
        <v>496</v>
      </c>
      <c r="AR256" s="1822" t="s">
        <v>56</v>
      </c>
      <c r="AS256" s="1822">
        <v>8</v>
      </c>
      <c r="AT256" s="1823">
        <v>123012672.22183648</v>
      </c>
      <c r="AU256" s="1825">
        <v>1.5407166799314779E-2</v>
      </c>
      <c r="AV256" s="1781">
        <v>2006</v>
      </c>
      <c r="EA256" s="169"/>
      <c r="EB256" s="169"/>
      <c r="EC256" s="169"/>
      <c r="ED256" s="169"/>
      <c r="EE256" s="169"/>
      <c r="EF256" s="169"/>
      <c r="EG256" s="169"/>
      <c r="EH256" s="169"/>
      <c r="EI256" s="169"/>
      <c r="EJ256" s="169"/>
      <c r="EK256" s="169"/>
      <c r="EL256" s="169"/>
      <c r="EM256" s="169"/>
      <c r="EN256" s="169"/>
      <c r="EO256" s="169"/>
      <c r="EP256" s="169"/>
      <c r="EQ256" s="169"/>
      <c r="ER256" s="169"/>
      <c r="ES256" s="169"/>
      <c r="ET256" s="169"/>
      <c r="EU256" s="169"/>
      <c r="EV256" s="169"/>
      <c r="EW256" s="169"/>
      <c r="EX256" s="169"/>
    </row>
    <row r="257" spans="1:154">
      <c r="A257" s="333">
        <f t="shared" si="6"/>
        <v>1991</v>
      </c>
      <c r="B257" s="333">
        <f t="shared" si="7"/>
        <v>3</v>
      </c>
      <c r="C257" s="1175">
        <v>33482</v>
      </c>
      <c r="D257" s="1158">
        <v>258.74</v>
      </c>
      <c r="E257" s="1159">
        <v>441.66</v>
      </c>
      <c r="F257" s="1159">
        <v>348.56</v>
      </c>
      <c r="G257" s="1160"/>
      <c r="H257" s="1161"/>
      <c r="I257" s="1160"/>
      <c r="J257" s="1160"/>
      <c r="K257" s="1677">
        <v>7688.75</v>
      </c>
      <c r="L257" s="1677">
        <v>9635.0250626566412</v>
      </c>
      <c r="M257" s="1681"/>
      <c r="N257" s="1162">
        <v>2910.4</v>
      </c>
      <c r="O257" s="1162">
        <v>675.86466165413538</v>
      </c>
      <c r="P257" s="1162">
        <v>1282.7067669172932</v>
      </c>
      <c r="Q257" s="1163">
        <v>8.4</v>
      </c>
      <c r="R257" s="1164">
        <v>655</v>
      </c>
      <c r="S257" s="1164">
        <v>374</v>
      </c>
      <c r="T257" s="1164">
        <v>2032.775049589434</v>
      </c>
      <c r="U257" s="1165"/>
      <c r="V257" s="1166"/>
      <c r="W257" s="1166"/>
      <c r="X257" s="635">
        <v>0.79800000000000004</v>
      </c>
      <c r="AI257" s="1781" t="s">
        <v>457</v>
      </c>
      <c r="AJ257" s="1826">
        <v>2011</v>
      </c>
      <c r="AK257" s="1822" t="s">
        <v>59</v>
      </c>
      <c r="AL257" s="1822">
        <v>9</v>
      </c>
      <c r="AM257" s="1823">
        <v>26375176.350000001</v>
      </c>
      <c r="AN257" s="1824">
        <v>2.8331687543968469E-2</v>
      </c>
      <c r="AP257" s="1781" t="s">
        <v>3</v>
      </c>
      <c r="AQ257" s="1781" t="s">
        <v>496</v>
      </c>
      <c r="AR257" s="1822" t="s">
        <v>385</v>
      </c>
      <c r="AS257" s="1822">
        <v>9</v>
      </c>
      <c r="AT257" s="1823">
        <v>121713774.95107523</v>
      </c>
      <c r="AU257" s="1825">
        <v>1.5244481715377216E-2</v>
      </c>
      <c r="AV257" s="1781">
        <v>2006</v>
      </c>
      <c r="EA257" s="169"/>
      <c r="EB257" s="169"/>
      <c r="EC257" s="169"/>
      <c r="ED257" s="169"/>
      <c r="EE257" s="169"/>
      <c r="EF257" s="169"/>
      <c r="EG257" s="169"/>
      <c r="EH257" s="169"/>
      <c r="EI257" s="169"/>
      <c r="EJ257" s="169"/>
      <c r="EK257" s="169"/>
      <c r="EL257" s="169"/>
      <c r="EM257" s="169"/>
      <c r="EN257" s="169"/>
      <c r="EO257" s="169"/>
      <c r="EP257" s="169"/>
      <c r="EQ257" s="169"/>
      <c r="ER257" s="169"/>
      <c r="ES257" s="169"/>
      <c r="ET257" s="169"/>
      <c r="EU257" s="169"/>
      <c r="EV257" s="169"/>
      <c r="EW257" s="169"/>
      <c r="EX257" s="169"/>
    </row>
    <row r="258" spans="1:154">
      <c r="A258" s="333">
        <f t="shared" si="6"/>
        <v>1991</v>
      </c>
      <c r="B258" s="333">
        <f t="shared" si="7"/>
        <v>4</v>
      </c>
      <c r="C258" s="1175">
        <v>33512</v>
      </c>
      <c r="D258" s="1167">
        <v>246.35</v>
      </c>
      <c r="E258" s="1168">
        <v>453.87</v>
      </c>
      <c r="F258" s="1168">
        <v>358.95</v>
      </c>
      <c r="G258" s="1168"/>
      <c r="H258" s="1167"/>
      <c r="I258" s="1168"/>
      <c r="J258" s="1168"/>
      <c r="K258" s="1678">
        <v>7444.8</v>
      </c>
      <c r="L258" s="1678">
        <v>9503.1912177687009</v>
      </c>
      <c r="M258" s="1682"/>
      <c r="N258" s="1169">
        <v>3013.66</v>
      </c>
      <c r="O258" s="1169">
        <v>666.07097268317591</v>
      </c>
      <c r="P258" s="1169">
        <v>1266.3900944600459</v>
      </c>
      <c r="Q258" s="1167">
        <v>7.25</v>
      </c>
      <c r="R258" s="1167">
        <v>651</v>
      </c>
      <c r="S258" s="1167">
        <v>312</v>
      </c>
      <c r="T258" s="1167">
        <v>2008.0610531366199</v>
      </c>
      <c r="U258" s="1167"/>
      <c r="V258" s="1167"/>
      <c r="W258" s="1167"/>
      <c r="X258" s="344">
        <v>0.78339999999999999</v>
      </c>
      <c r="AI258" s="1781" t="s">
        <v>457</v>
      </c>
      <c r="AJ258" s="1826">
        <v>2011</v>
      </c>
      <c r="AK258" s="1822" t="s">
        <v>21</v>
      </c>
      <c r="AL258" s="1822">
        <v>10</v>
      </c>
      <c r="AM258" s="1823">
        <v>25441316.079999998</v>
      </c>
      <c r="AN258" s="1824">
        <v>2.7328553497459388E-2</v>
      </c>
      <c r="AP258" s="1781" t="s">
        <v>3</v>
      </c>
      <c r="AQ258" s="1781" t="s">
        <v>496</v>
      </c>
      <c r="AR258" s="1822" t="s">
        <v>537</v>
      </c>
      <c r="AS258" s="1822">
        <v>10</v>
      </c>
      <c r="AT258" s="1823">
        <v>72627375.023722231</v>
      </c>
      <c r="AU258" s="1825">
        <v>9.0964781186847633E-3</v>
      </c>
      <c r="AV258" s="1781">
        <v>2006</v>
      </c>
      <c r="EA258" s="169"/>
      <c r="EB258" s="169"/>
      <c r="EC258" s="169"/>
      <c r="ED258" s="169"/>
      <c r="EE258" s="169"/>
      <c r="EF258" s="169"/>
      <c r="EG258" s="169"/>
      <c r="EH258" s="169"/>
      <c r="EI258" s="169"/>
      <c r="EJ258" s="169"/>
      <c r="EK258" s="169"/>
      <c r="EL258" s="169"/>
      <c r="EM258" s="169"/>
      <c r="EN258" s="169"/>
      <c r="EO258" s="169"/>
      <c r="EP258" s="169"/>
      <c r="EQ258" s="169"/>
      <c r="ER258" s="169"/>
      <c r="ES258" s="169"/>
      <c r="ET258" s="169"/>
      <c r="EU258" s="169"/>
      <c r="EV258" s="169"/>
      <c r="EW258" s="169"/>
      <c r="EX258" s="169"/>
    </row>
    <row r="259" spans="1:154">
      <c r="A259" s="333">
        <f t="shared" si="6"/>
        <v>1991</v>
      </c>
      <c r="B259" s="333">
        <f t="shared" si="7"/>
        <v>4</v>
      </c>
      <c r="C259" s="1175">
        <v>33543</v>
      </c>
      <c r="D259" s="1158">
        <v>246.67</v>
      </c>
      <c r="E259" s="1159">
        <v>459.82</v>
      </c>
      <c r="F259" s="1159">
        <v>359.81</v>
      </c>
      <c r="G259" s="1160"/>
      <c r="H259" s="1161"/>
      <c r="I259" s="1160"/>
      <c r="J259" s="1160"/>
      <c r="K259" s="1677">
        <v>7260.8</v>
      </c>
      <c r="L259" s="1677">
        <v>9256.5017848036714</v>
      </c>
      <c r="M259" s="1681"/>
      <c r="N259" s="1162">
        <v>3030.72</v>
      </c>
      <c r="O259" s="1162">
        <v>645.78021417644061</v>
      </c>
      <c r="P259" s="1162">
        <v>1394.3141254462009</v>
      </c>
      <c r="Q259" s="1163">
        <v>7.4</v>
      </c>
      <c r="R259" s="1164">
        <v>651</v>
      </c>
      <c r="S259" s="1164">
        <v>312</v>
      </c>
      <c r="T259" s="1164">
        <v>2075.9085581790514</v>
      </c>
      <c r="U259" s="1165"/>
      <c r="V259" s="1166"/>
      <c r="W259" s="1166"/>
      <c r="X259" s="635">
        <v>0.78439999999999999</v>
      </c>
      <c r="AI259" s="1781" t="s">
        <v>457</v>
      </c>
      <c r="AJ259" s="1826">
        <v>2011</v>
      </c>
      <c r="AK259" s="1822" t="s">
        <v>66</v>
      </c>
      <c r="AL259" s="1822">
        <v>11</v>
      </c>
      <c r="AM259" s="1823">
        <v>21942313.099999998</v>
      </c>
      <c r="AN259" s="1824">
        <v>2.3569994395170216E-2</v>
      </c>
      <c r="AP259" s="1781" t="s">
        <v>3</v>
      </c>
      <c r="AQ259" s="1781" t="s">
        <v>496</v>
      </c>
      <c r="AR259" s="1822" t="s">
        <v>39</v>
      </c>
      <c r="AS259" s="1822"/>
      <c r="AT259" s="1823">
        <v>282923084.99877071</v>
      </c>
      <c r="AU259" s="1825">
        <v>3.5435724492610302E-2</v>
      </c>
      <c r="AV259" s="1781">
        <v>2006</v>
      </c>
      <c r="EA259" s="169"/>
      <c r="EB259" s="169"/>
      <c r="EC259" s="169"/>
      <c r="ED259" s="169"/>
      <c r="EE259" s="169"/>
      <c r="EF259" s="169"/>
      <c r="EG259" s="169"/>
      <c r="EH259" s="169"/>
      <c r="EI259" s="169"/>
      <c r="EJ259" s="169"/>
      <c r="EK259" s="169"/>
      <c r="EL259" s="169"/>
      <c r="EM259" s="169"/>
      <c r="EN259" s="169"/>
      <c r="EO259" s="169"/>
      <c r="EP259" s="169"/>
      <c r="EQ259" s="169"/>
      <c r="ER259" s="169"/>
      <c r="ES259" s="169"/>
      <c r="ET259" s="169"/>
      <c r="EU259" s="169"/>
      <c r="EV259" s="169"/>
      <c r="EW259" s="169"/>
      <c r="EX259" s="169"/>
    </row>
    <row r="260" spans="1:154">
      <c r="A260" s="333">
        <f t="shared" si="6"/>
        <v>1991</v>
      </c>
      <c r="B260" s="333">
        <f t="shared" si="7"/>
        <v>4</v>
      </c>
      <c r="C260" s="1175">
        <v>33573</v>
      </c>
      <c r="D260" s="1167">
        <v>253.57</v>
      </c>
      <c r="E260" s="1168">
        <v>470.01</v>
      </c>
      <c r="F260" s="1168">
        <v>361.72</v>
      </c>
      <c r="G260" s="1168"/>
      <c r="H260" s="1167"/>
      <c r="I260" s="1168"/>
      <c r="J260" s="1168"/>
      <c r="K260" s="1678">
        <v>7123.75</v>
      </c>
      <c r="L260" s="1678">
        <v>9134.1838697268868</v>
      </c>
      <c r="M260" s="1682"/>
      <c r="N260" s="1169">
        <v>2835.36</v>
      </c>
      <c r="O260" s="1169">
        <v>683.58763944095392</v>
      </c>
      <c r="P260" s="1169">
        <v>1520.0666752147711</v>
      </c>
      <c r="Q260" s="1167">
        <v>8.75</v>
      </c>
      <c r="R260" s="1167">
        <v>651</v>
      </c>
      <c r="S260" s="1167">
        <v>312</v>
      </c>
      <c r="T260" s="1167">
        <v>2117.4861353500096</v>
      </c>
      <c r="U260" s="1167"/>
      <c r="V260" s="1167"/>
      <c r="W260" s="1167"/>
      <c r="X260" s="344">
        <v>0.77990000000000004</v>
      </c>
      <c r="AI260" s="1781" t="s">
        <v>457</v>
      </c>
      <c r="AJ260" s="1826">
        <v>2011</v>
      </c>
      <c r="AK260" s="1822" t="s">
        <v>385</v>
      </c>
      <c r="AL260" s="1822">
        <v>12</v>
      </c>
      <c r="AM260" s="1823">
        <v>15986432.130000003</v>
      </c>
      <c r="AN260" s="1824">
        <v>1.7172306036544033E-2</v>
      </c>
      <c r="AP260" s="1781" t="s">
        <v>3</v>
      </c>
      <c r="AQ260" s="1781" t="s">
        <v>496</v>
      </c>
      <c r="AR260" s="1822" t="s">
        <v>386</v>
      </c>
      <c r="AS260" s="1822"/>
      <c r="AT260" s="1823">
        <v>7984120235.9999981</v>
      </c>
      <c r="AU260" s="1825"/>
      <c r="AV260" s="1781">
        <v>2006</v>
      </c>
      <c r="EA260" s="169"/>
      <c r="EB260" s="169"/>
      <c r="EC260" s="169"/>
      <c r="ED260" s="169"/>
      <c r="EE260" s="169"/>
      <c r="EF260" s="169"/>
      <c r="EG260" s="169"/>
      <c r="EH260" s="169"/>
      <c r="EI260" s="169"/>
      <c r="EJ260" s="169"/>
      <c r="EK260" s="169"/>
      <c r="EL260" s="169"/>
      <c r="EM260" s="169"/>
      <c r="EN260" s="169"/>
      <c r="EO260" s="169"/>
      <c r="EP260" s="169"/>
      <c r="EQ260" s="169"/>
      <c r="ER260" s="169"/>
      <c r="ES260" s="169"/>
      <c r="ET260" s="169"/>
      <c r="EU260" s="169"/>
      <c r="EV260" s="169"/>
      <c r="EW260" s="169"/>
      <c r="EX260" s="169"/>
    </row>
    <row r="261" spans="1:154">
      <c r="A261" s="333">
        <f t="shared" si="6"/>
        <v>1992</v>
      </c>
      <c r="B261" s="333">
        <f t="shared" si="7"/>
        <v>1</v>
      </c>
      <c r="C261" s="1175">
        <v>33604</v>
      </c>
      <c r="D261" s="1158">
        <v>240.82</v>
      </c>
      <c r="E261" s="1159">
        <v>475.18</v>
      </c>
      <c r="F261" s="1159">
        <v>354.4</v>
      </c>
      <c r="G261" s="1160"/>
      <c r="H261" s="1161"/>
      <c r="I261" s="1160"/>
      <c r="J261" s="1160"/>
      <c r="K261" s="1677">
        <v>7486.4</v>
      </c>
      <c r="L261" s="1677">
        <v>10003.206841261357</v>
      </c>
      <c r="M261" s="1681">
        <v>20.22</v>
      </c>
      <c r="N261" s="1162">
        <v>2856.89</v>
      </c>
      <c r="O261" s="1162">
        <v>688.93639764831653</v>
      </c>
      <c r="P261" s="1162">
        <v>1543.6932121859968</v>
      </c>
      <c r="Q261" s="1163">
        <v>8</v>
      </c>
      <c r="R261" s="1164">
        <v>611</v>
      </c>
      <c r="S261" s="1164">
        <v>255</v>
      </c>
      <c r="T261" s="1164">
        <v>2204.6476996629831</v>
      </c>
      <c r="U261" s="1165"/>
      <c r="V261" s="1166"/>
      <c r="W261" s="1166"/>
      <c r="X261" s="635">
        <v>0.74839999999999995</v>
      </c>
      <c r="AI261" s="1781" t="s">
        <v>457</v>
      </c>
      <c r="AJ261" s="1826">
        <v>2011</v>
      </c>
      <c r="AK261" s="1822" t="s">
        <v>39</v>
      </c>
      <c r="AL261" s="1822"/>
      <c r="AM261" s="1823">
        <v>71906264.859999895</v>
      </c>
      <c r="AN261" s="1824">
        <v>7.7240273256688821E-2</v>
      </c>
      <c r="AP261" s="1781" t="s">
        <v>3</v>
      </c>
      <c r="AQ261" s="1781" t="s">
        <v>495</v>
      </c>
      <c r="AR261" s="1822" t="s">
        <v>18</v>
      </c>
      <c r="AS261" s="1822">
        <v>1</v>
      </c>
      <c r="AT261" s="1823">
        <v>670589913.6869092</v>
      </c>
      <c r="AU261" s="1825">
        <v>0.22617286576121345</v>
      </c>
      <c r="AV261" s="1781">
        <v>2005</v>
      </c>
      <c r="EA261" s="169"/>
      <c r="EB261" s="169"/>
      <c r="EC261" s="169"/>
      <c r="ED261" s="169"/>
      <c r="EE261" s="169"/>
      <c r="EF261" s="169"/>
      <c r="EG261" s="169"/>
      <c r="EH261" s="169"/>
      <c r="EI261" s="169"/>
      <c r="EJ261" s="169"/>
      <c r="EK261" s="169"/>
      <c r="EL261" s="169"/>
      <c r="EM261" s="169"/>
      <c r="EN261" s="169"/>
      <c r="EO261" s="169"/>
      <c r="EP261" s="169"/>
      <c r="EQ261" s="169"/>
      <c r="ER261" s="169"/>
      <c r="ES261" s="169"/>
      <c r="ET261" s="169"/>
      <c r="EU261" s="169"/>
      <c r="EV261" s="169"/>
      <c r="EW261" s="169"/>
      <c r="EX261" s="169"/>
    </row>
    <row r="262" spans="1:154">
      <c r="A262" s="333">
        <f t="shared" si="6"/>
        <v>1992</v>
      </c>
      <c r="B262" s="333">
        <f t="shared" si="7"/>
        <v>1</v>
      </c>
      <c r="C262" s="1175">
        <v>33635</v>
      </c>
      <c r="D262" s="1167">
        <v>229.53</v>
      </c>
      <c r="E262" s="1168">
        <v>473.18</v>
      </c>
      <c r="F262" s="1168">
        <v>354.42</v>
      </c>
      <c r="G262" s="1168"/>
      <c r="H262" s="1167"/>
      <c r="I262" s="1168"/>
      <c r="J262" s="1168"/>
      <c r="K262" s="1678">
        <v>7796.13</v>
      </c>
      <c r="L262" s="1678">
        <v>10334.212619300106</v>
      </c>
      <c r="M262" s="1682">
        <v>19.29</v>
      </c>
      <c r="N262" s="1169">
        <v>2922.19</v>
      </c>
      <c r="O262" s="1169">
        <v>669.08801696712624</v>
      </c>
      <c r="P262" s="1169">
        <v>1499.3372216330858</v>
      </c>
      <c r="Q262" s="1167">
        <v>8</v>
      </c>
      <c r="R262" s="1167">
        <v>611</v>
      </c>
      <c r="S262" s="1167">
        <v>255</v>
      </c>
      <c r="T262" s="1167">
        <v>2163.5185157961278</v>
      </c>
      <c r="U262" s="1167"/>
      <c r="V262" s="1167"/>
      <c r="W262" s="1167"/>
      <c r="X262" s="344">
        <v>0.75439999999999996</v>
      </c>
      <c r="AI262" s="1781" t="s">
        <v>457</v>
      </c>
      <c r="AJ262" s="1826">
        <v>2011</v>
      </c>
      <c r="AK262" s="1822" t="s">
        <v>386</v>
      </c>
      <c r="AL262" s="1822"/>
      <c r="AM262" s="1823">
        <v>930942652.43000007</v>
      </c>
      <c r="AN262" s="1824"/>
      <c r="AP262" s="1781" t="s">
        <v>3</v>
      </c>
      <c r="AQ262" s="1781" t="s">
        <v>495</v>
      </c>
      <c r="AR262" s="1822" t="s">
        <v>56</v>
      </c>
      <c r="AS262" s="1822">
        <v>2</v>
      </c>
      <c r="AT262" s="1823">
        <v>534556422.10000002</v>
      </c>
      <c r="AU262" s="1825">
        <v>0.1802922403540142</v>
      </c>
      <c r="AV262" s="1781">
        <v>2005</v>
      </c>
      <c r="EA262" s="169"/>
      <c r="EB262" s="169"/>
      <c r="EC262" s="169"/>
      <c r="ED262" s="169"/>
      <c r="EE262" s="169"/>
      <c r="EF262" s="169"/>
      <c r="EG262" s="169"/>
      <c r="EH262" s="169"/>
      <c r="EI262" s="169"/>
      <c r="EJ262" s="169"/>
      <c r="EK262" s="169"/>
      <c r="EL262" s="169"/>
      <c r="EM262" s="169"/>
      <c r="EN262" s="169"/>
      <c r="EO262" s="169"/>
      <c r="EP262" s="169"/>
      <c r="EQ262" s="169"/>
      <c r="ER262" s="169"/>
      <c r="ES262" s="169"/>
      <c r="ET262" s="169"/>
      <c r="EU262" s="169"/>
      <c r="EV262" s="169"/>
      <c r="EW262" s="169"/>
      <c r="EX262" s="169"/>
    </row>
    <row r="263" spans="1:154">
      <c r="A263" s="333">
        <f t="shared" si="6"/>
        <v>1992</v>
      </c>
      <c r="B263" s="333">
        <f t="shared" si="7"/>
        <v>1</v>
      </c>
      <c r="C263" s="1175">
        <v>33664</v>
      </c>
      <c r="D263" s="1158">
        <v>225.43</v>
      </c>
      <c r="E263" s="1159">
        <v>456.4</v>
      </c>
      <c r="F263" s="1159">
        <v>344.8</v>
      </c>
      <c r="G263" s="1160"/>
      <c r="H263" s="1161"/>
      <c r="I263" s="1160"/>
      <c r="J263" s="1160"/>
      <c r="K263" s="1677">
        <v>7394.75</v>
      </c>
      <c r="L263" s="1677">
        <v>9623.5684539302456</v>
      </c>
      <c r="M263" s="1681">
        <v>18.399999999999999</v>
      </c>
      <c r="N263" s="1162">
        <v>2900.57</v>
      </c>
      <c r="O263" s="1162">
        <v>678.78709005726193</v>
      </c>
      <c r="P263" s="1162">
        <v>1581.0775637688705</v>
      </c>
      <c r="Q263" s="1163">
        <v>7.85</v>
      </c>
      <c r="R263" s="1164">
        <v>611</v>
      </c>
      <c r="S263" s="1164">
        <v>255</v>
      </c>
      <c r="T263" s="1164">
        <v>2256.7059548435368</v>
      </c>
      <c r="U263" s="1165"/>
      <c r="V263" s="1166"/>
      <c r="W263" s="1166"/>
      <c r="X263" s="635">
        <v>0.76839999999999997</v>
      </c>
      <c r="AI263" s="1781" t="s">
        <v>457</v>
      </c>
      <c r="AJ263" s="1826">
        <v>2010</v>
      </c>
      <c r="AK263" s="1822" t="s">
        <v>18</v>
      </c>
      <c r="AL263" s="1822">
        <v>1</v>
      </c>
      <c r="AM263" s="1823">
        <v>174050973</v>
      </c>
      <c r="AN263" s="1824">
        <v>0.26300000000000001</v>
      </c>
      <c r="AP263" s="1781" t="s">
        <v>3</v>
      </c>
      <c r="AQ263" s="1781" t="s">
        <v>495</v>
      </c>
      <c r="AR263" s="1822" t="s">
        <v>388</v>
      </c>
      <c r="AS263" s="1822">
        <v>3</v>
      </c>
      <c r="AT263" s="1823">
        <v>477572114.13000005</v>
      </c>
      <c r="AU263" s="1825">
        <v>0.16107288740232059</v>
      </c>
      <c r="AV263" s="1781">
        <v>2005</v>
      </c>
      <c r="EA263" s="169"/>
      <c r="EB263" s="169"/>
      <c r="EC263" s="169"/>
      <c r="ED263" s="169"/>
      <c r="EE263" s="169"/>
      <c r="EF263" s="169"/>
      <c r="EG263" s="169"/>
      <c r="EH263" s="169"/>
      <c r="EI263" s="169"/>
      <c r="EJ263" s="169"/>
      <c r="EK263" s="169"/>
      <c r="EL263" s="169"/>
      <c r="EM263" s="169"/>
      <c r="EN263" s="169"/>
      <c r="EO263" s="169"/>
      <c r="EP263" s="169"/>
      <c r="EQ263" s="169"/>
      <c r="ER263" s="169"/>
      <c r="ES263" s="169"/>
      <c r="ET263" s="169"/>
      <c r="EU263" s="169"/>
      <c r="EV263" s="169"/>
      <c r="EW263" s="169"/>
      <c r="EX263" s="169"/>
    </row>
    <row r="264" spans="1:154">
      <c r="A264" s="333">
        <f t="shared" si="6"/>
        <v>1992</v>
      </c>
      <c r="B264" s="333">
        <f t="shared" si="7"/>
        <v>2</v>
      </c>
      <c r="C264" s="1175">
        <v>33695</v>
      </c>
      <c r="D264" s="1167">
        <v>223.68</v>
      </c>
      <c r="E264" s="1168">
        <v>446.01</v>
      </c>
      <c r="F264" s="1168">
        <v>339.07</v>
      </c>
      <c r="G264" s="1168"/>
      <c r="H264" s="1167"/>
      <c r="I264" s="1168"/>
      <c r="J264" s="1168"/>
      <c r="K264" s="1678">
        <v>7418.63</v>
      </c>
      <c r="L264" s="1678">
        <v>9770.3542736731197</v>
      </c>
      <c r="M264" s="1682">
        <v>18.86</v>
      </c>
      <c r="N264" s="1169">
        <v>2916.11</v>
      </c>
      <c r="O264" s="1169">
        <v>701.19847227709727</v>
      </c>
      <c r="P264" s="1169">
        <v>1718.0297642565522</v>
      </c>
      <c r="Q264" s="1167">
        <v>7.75</v>
      </c>
      <c r="R264" s="1167">
        <v>569</v>
      </c>
      <c r="S264" s="1167">
        <v>227</v>
      </c>
      <c r="T264" s="1167">
        <v>2139.9010206679854</v>
      </c>
      <c r="U264" s="1167"/>
      <c r="V264" s="1167"/>
      <c r="W264" s="1167"/>
      <c r="X264" s="344">
        <v>0.75929999999999997</v>
      </c>
      <c r="AI264" s="1781" t="s">
        <v>457</v>
      </c>
      <c r="AJ264" s="1826">
        <v>2010</v>
      </c>
      <c r="AK264" s="1822" t="s">
        <v>758</v>
      </c>
      <c r="AL264" s="1822">
        <v>2</v>
      </c>
      <c r="AM264" s="1823">
        <v>112624882</v>
      </c>
      <c r="AN264" s="1824">
        <v>0.17</v>
      </c>
      <c r="AP264" s="1781" t="s">
        <v>3</v>
      </c>
      <c r="AQ264" s="1781" t="s">
        <v>495</v>
      </c>
      <c r="AR264" s="1822" t="s">
        <v>57</v>
      </c>
      <c r="AS264" s="1822">
        <v>4</v>
      </c>
      <c r="AT264" s="1823">
        <v>447970713.64971399</v>
      </c>
      <c r="AU264" s="1825">
        <v>0.15108909038938567</v>
      </c>
      <c r="AV264" s="1781">
        <v>2005</v>
      </c>
      <c r="EA264" s="169"/>
      <c r="EB264" s="169"/>
      <c r="EC264" s="169"/>
      <c r="ED264" s="169"/>
      <c r="EE264" s="169"/>
      <c r="EF264" s="169"/>
      <c r="EG264" s="169"/>
      <c r="EH264" s="169"/>
      <c r="EI264" s="169"/>
      <c r="EJ264" s="169"/>
      <c r="EK264" s="169"/>
      <c r="EL264" s="169"/>
      <c r="EM264" s="169"/>
      <c r="EN264" s="169"/>
      <c r="EO264" s="169"/>
      <c r="EP264" s="169"/>
      <c r="EQ264" s="169"/>
      <c r="ER264" s="169"/>
      <c r="ES264" s="169"/>
      <c r="ET264" s="169"/>
      <c r="EU264" s="169"/>
      <c r="EV264" s="169"/>
      <c r="EW264" s="169"/>
      <c r="EX264" s="169"/>
    </row>
    <row r="265" spans="1:154">
      <c r="A265" s="333">
        <f t="shared" ref="A265:A328" si="8">YEAR(C265)</f>
        <v>1992</v>
      </c>
      <c r="B265" s="333">
        <f t="shared" ref="B265:B328" si="9">IF(OR(MONTH(C265)=1,MONTH(C265)=2,MONTH(C265)=3),1,IF(OR(MONTH(C265)=4,MONTH(C265)=5,MONTH(C265)=6),2,IF(OR(MONTH(C265)=7,MONTH(C265)=8,MONTH(C265)=9),3,4)))</f>
        <v>2</v>
      </c>
      <c r="C265" s="1175">
        <v>33725</v>
      </c>
      <c r="D265" s="1158">
        <v>237.17</v>
      </c>
      <c r="E265" s="1159">
        <v>447.75</v>
      </c>
      <c r="F265" s="1159">
        <v>337.3</v>
      </c>
      <c r="G265" s="1160"/>
      <c r="H265" s="1161"/>
      <c r="I265" s="1160"/>
      <c r="J265" s="1160"/>
      <c r="K265" s="1677">
        <v>7352.7</v>
      </c>
      <c r="L265" s="1677">
        <v>9695.0158227848096</v>
      </c>
      <c r="M265" s="1681">
        <v>20.329999999999998</v>
      </c>
      <c r="N265" s="1162">
        <v>2926.42</v>
      </c>
      <c r="O265" s="1162">
        <v>686.56381856540099</v>
      </c>
      <c r="P265" s="1162">
        <v>1811.0495780590718</v>
      </c>
      <c r="Q265" s="1163">
        <v>7.75</v>
      </c>
      <c r="R265" s="1164">
        <v>569</v>
      </c>
      <c r="S265" s="1164">
        <v>227</v>
      </c>
      <c r="T265" s="1164">
        <v>2124.70740465577</v>
      </c>
      <c r="U265" s="1165"/>
      <c r="V265" s="1166"/>
      <c r="W265" s="1166"/>
      <c r="X265" s="635">
        <v>0.75839999999999996</v>
      </c>
      <c r="AI265" s="1781" t="s">
        <v>457</v>
      </c>
      <c r="AJ265" s="1826">
        <v>2010</v>
      </c>
      <c r="AK265" s="1822" t="s">
        <v>27</v>
      </c>
      <c r="AL265" s="1822">
        <v>3</v>
      </c>
      <c r="AM265" s="1823">
        <v>63363439</v>
      </c>
      <c r="AN265" s="1824">
        <v>9.6000000000000002E-2</v>
      </c>
      <c r="AP265" s="1781" t="s">
        <v>3</v>
      </c>
      <c r="AQ265" s="1781" t="s">
        <v>495</v>
      </c>
      <c r="AR265" s="1822" t="s">
        <v>23</v>
      </c>
      <c r="AS265" s="1822">
        <v>5</v>
      </c>
      <c r="AT265" s="1823">
        <v>210501410.90205574</v>
      </c>
      <c r="AU265" s="1825">
        <v>7.0996754318504579E-2</v>
      </c>
      <c r="AV265" s="1781">
        <v>2005</v>
      </c>
      <c r="EA265" s="169"/>
      <c r="EB265" s="169"/>
      <c r="EC265" s="169"/>
      <c r="ED265" s="169"/>
      <c r="EE265" s="169"/>
      <c r="EF265" s="169"/>
      <c r="EG265" s="169"/>
      <c r="EH265" s="169"/>
      <c r="EI265" s="169"/>
      <c r="EJ265" s="169"/>
      <c r="EK265" s="169"/>
      <c r="EL265" s="169"/>
      <c r="EM265" s="169"/>
      <c r="EN265" s="169"/>
      <c r="EO265" s="169"/>
      <c r="EP265" s="169"/>
      <c r="EQ265" s="169"/>
      <c r="ER265" s="169"/>
      <c r="ES265" s="169"/>
      <c r="ET265" s="169"/>
      <c r="EU265" s="169"/>
      <c r="EV265" s="169"/>
      <c r="EW265" s="169"/>
      <c r="EX265" s="169"/>
    </row>
    <row r="266" spans="1:154">
      <c r="A266" s="333">
        <f t="shared" si="8"/>
        <v>1992</v>
      </c>
      <c r="B266" s="333">
        <f t="shared" si="9"/>
        <v>2</v>
      </c>
      <c r="C266" s="1175">
        <v>33756</v>
      </c>
      <c r="D266" s="1167">
        <v>223.86</v>
      </c>
      <c r="E266" s="1168">
        <v>453.09</v>
      </c>
      <c r="F266" s="1168">
        <v>340.89</v>
      </c>
      <c r="G266" s="1168"/>
      <c r="H266" s="1167"/>
      <c r="I266" s="1168"/>
      <c r="J266" s="1168"/>
      <c r="K266" s="1678">
        <v>7178.3</v>
      </c>
      <c r="L266" s="1678">
        <v>9591.5285943345807</v>
      </c>
      <c r="M266" s="1682">
        <v>22.5</v>
      </c>
      <c r="N266" s="1169">
        <v>3073.76</v>
      </c>
      <c r="O266" s="1169">
        <v>732.69641902725823</v>
      </c>
      <c r="P266" s="1169">
        <v>1851.9508284339927</v>
      </c>
      <c r="Q266" s="1167">
        <v>7.75</v>
      </c>
      <c r="R266" s="1167">
        <v>569</v>
      </c>
      <c r="S266" s="1167">
        <v>227</v>
      </c>
      <c r="T266" s="1167">
        <v>2124.7886947218258</v>
      </c>
      <c r="U266" s="1167"/>
      <c r="V266" s="1167"/>
      <c r="W266" s="1167"/>
      <c r="X266" s="344">
        <v>0.74839999999999995</v>
      </c>
      <c r="AI266" s="1781" t="s">
        <v>457</v>
      </c>
      <c r="AJ266" s="1826">
        <v>2010</v>
      </c>
      <c r="AK266" s="1822" t="s">
        <v>537</v>
      </c>
      <c r="AL266" s="1822">
        <v>4</v>
      </c>
      <c r="AM266" s="1823">
        <v>45342680</v>
      </c>
      <c r="AN266" s="1824">
        <v>6.9000000000000006E-2</v>
      </c>
      <c r="AP266" s="1781" t="s">
        <v>3</v>
      </c>
      <c r="AQ266" s="1781" t="s">
        <v>495</v>
      </c>
      <c r="AR266" s="1822" t="s">
        <v>385</v>
      </c>
      <c r="AS266" s="1822">
        <v>6</v>
      </c>
      <c r="AT266" s="1823">
        <v>186489750.94</v>
      </c>
      <c r="AU266" s="1825">
        <v>6.2898234143270476E-2</v>
      </c>
      <c r="AV266" s="1781">
        <v>2005</v>
      </c>
      <c r="EA266" s="169"/>
      <c r="EB266" s="169"/>
      <c r="EC266" s="169"/>
      <c r="ED266" s="169"/>
      <c r="EE266" s="169"/>
      <c r="EF266" s="169"/>
      <c r="EG266" s="169"/>
      <c r="EH266" s="169"/>
      <c r="EI266" s="169"/>
      <c r="EJ266" s="169"/>
      <c r="EK266" s="169"/>
      <c r="EL266" s="169"/>
      <c r="EM266" s="169"/>
      <c r="EN266" s="169"/>
      <c r="EO266" s="169"/>
      <c r="EP266" s="169"/>
      <c r="EQ266" s="169"/>
      <c r="ER266" s="169"/>
      <c r="ES266" s="169"/>
      <c r="ET266" s="169"/>
      <c r="EU266" s="169"/>
      <c r="EV266" s="169"/>
      <c r="EW266" s="169"/>
      <c r="EX266" s="169"/>
    </row>
    <row r="267" spans="1:154">
      <c r="A267" s="333">
        <f t="shared" si="8"/>
        <v>1992</v>
      </c>
      <c r="B267" s="333">
        <f t="shared" si="9"/>
        <v>3</v>
      </c>
      <c r="C267" s="1175">
        <v>33786</v>
      </c>
      <c r="D267" s="1158">
        <v>237.46</v>
      </c>
      <c r="E267" s="1159">
        <v>475.17</v>
      </c>
      <c r="F267" s="1159">
        <v>352.45</v>
      </c>
      <c r="G267" s="1160"/>
      <c r="H267" s="1161"/>
      <c r="I267" s="1160"/>
      <c r="J267" s="1160"/>
      <c r="K267" s="1677">
        <v>7522</v>
      </c>
      <c r="L267" s="1677">
        <v>10107.497984412792</v>
      </c>
      <c r="M267" s="1681">
        <v>22.92</v>
      </c>
      <c r="N267" s="1162">
        <v>3390.08</v>
      </c>
      <c r="O267" s="1162">
        <v>842.20639613007256</v>
      </c>
      <c r="P267" s="1162">
        <v>1774.5229776941683</v>
      </c>
      <c r="Q267" s="1163">
        <v>7.75</v>
      </c>
      <c r="R267" s="1164">
        <v>561</v>
      </c>
      <c r="S267" s="1164">
        <v>209</v>
      </c>
      <c r="T267" s="1164">
        <v>2281.7524927812001</v>
      </c>
      <c r="U267" s="1165"/>
      <c r="V267" s="1166"/>
      <c r="W267" s="1166"/>
      <c r="X267" s="635">
        <v>0.74419999999999997</v>
      </c>
      <c r="AI267" s="1781" t="s">
        <v>457</v>
      </c>
      <c r="AJ267" s="1826">
        <v>2010</v>
      </c>
      <c r="AK267" s="1822" t="s">
        <v>63</v>
      </c>
      <c r="AL267" s="1822">
        <v>5</v>
      </c>
      <c r="AM267" s="1823">
        <v>35138410</v>
      </c>
      <c r="AN267" s="1824">
        <v>5.2999999999999999E-2</v>
      </c>
      <c r="AP267" s="1781" t="s">
        <v>3</v>
      </c>
      <c r="AQ267" s="1781" t="s">
        <v>495</v>
      </c>
      <c r="AR267" s="1822" t="s">
        <v>537</v>
      </c>
      <c r="AS267" s="1822">
        <v>7</v>
      </c>
      <c r="AT267" s="1823">
        <v>165285113.75999999</v>
      </c>
      <c r="AU267" s="1825">
        <v>5.5746451122766327E-2</v>
      </c>
      <c r="AV267" s="1781">
        <v>2005</v>
      </c>
      <c r="EA267" s="169"/>
      <c r="EB267" s="169"/>
      <c r="EC267" s="169"/>
      <c r="ED267" s="169"/>
      <c r="EE267" s="169"/>
      <c r="EF267" s="169"/>
      <c r="EG267" s="169"/>
      <c r="EH267" s="169"/>
      <c r="EI267" s="169"/>
      <c r="EJ267" s="169"/>
      <c r="EK267" s="169"/>
      <c r="EL267" s="169"/>
      <c r="EM267" s="169"/>
      <c r="EN267" s="169"/>
      <c r="EO267" s="169"/>
      <c r="EP267" s="169"/>
      <c r="EQ267" s="169"/>
      <c r="ER267" s="169"/>
      <c r="ES267" s="169"/>
      <c r="ET267" s="169"/>
      <c r="EU267" s="169"/>
      <c r="EV267" s="169"/>
      <c r="EW267" s="169"/>
      <c r="EX267" s="169"/>
    </row>
    <row r="268" spans="1:154">
      <c r="A268" s="333">
        <f t="shared" si="8"/>
        <v>1992</v>
      </c>
      <c r="B268" s="333">
        <f t="shared" si="9"/>
        <v>3</v>
      </c>
      <c r="C268" s="1175">
        <v>33817</v>
      </c>
      <c r="D268" s="1167">
        <v>234.58</v>
      </c>
      <c r="E268" s="1168">
        <v>475.5</v>
      </c>
      <c r="F268" s="1168">
        <v>343.6</v>
      </c>
      <c r="G268" s="1168"/>
      <c r="H268" s="1167"/>
      <c r="I268" s="1168"/>
      <c r="J268" s="1168"/>
      <c r="K268" s="1678">
        <v>7272.88</v>
      </c>
      <c r="L268" s="1678">
        <v>10194.673395009811</v>
      </c>
      <c r="M268" s="1682">
        <v>22.39</v>
      </c>
      <c r="N268" s="1169">
        <v>3709.7</v>
      </c>
      <c r="O268" s="1169">
        <v>964.55004205214459</v>
      </c>
      <c r="P268" s="1169">
        <v>2006.5881693299691</v>
      </c>
      <c r="Q268" s="1167">
        <v>8.0500000000000007</v>
      </c>
      <c r="R268" s="1167">
        <v>561</v>
      </c>
      <c r="S268" s="1167">
        <v>209</v>
      </c>
      <c r="T268" s="1167">
        <v>2209.6880840275262</v>
      </c>
      <c r="U268" s="1167"/>
      <c r="V268" s="1167"/>
      <c r="W268" s="1167"/>
      <c r="X268" s="344">
        <v>0.71340000000000003</v>
      </c>
      <c r="AI268" s="1781" t="s">
        <v>457</v>
      </c>
      <c r="AJ268" s="1826">
        <v>2010</v>
      </c>
      <c r="AK268" s="1822" t="s">
        <v>70</v>
      </c>
      <c r="AL268" s="1822">
        <v>6</v>
      </c>
      <c r="AM268" s="1823">
        <v>30226497</v>
      </c>
      <c r="AN268" s="1824">
        <v>4.5999999999999999E-2</v>
      </c>
      <c r="AP268" s="1781" t="s">
        <v>3</v>
      </c>
      <c r="AQ268" s="1781" t="s">
        <v>495</v>
      </c>
      <c r="AR268" s="1822" t="s">
        <v>138</v>
      </c>
      <c r="AS268" s="1822">
        <v>8</v>
      </c>
      <c r="AT268" s="1823">
        <v>147979653.22</v>
      </c>
      <c r="AU268" s="1825">
        <v>4.9909760883675124E-2</v>
      </c>
      <c r="AV268" s="1781">
        <v>2005</v>
      </c>
      <c r="EA268" s="169"/>
      <c r="EB268" s="169"/>
      <c r="EC268" s="169"/>
      <c r="ED268" s="169"/>
      <c r="EE268" s="169"/>
      <c r="EF268" s="169"/>
      <c r="EG268" s="169"/>
      <c r="EH268" s="169"/>
      <c r="EI268" s="169"/>
      <c r="EJ268" s="169"/>
      <c r="EK268" s="169"/>
      <c r="EL268" s="169"/>
      <c r="EM268" s="169"/>
      <c r="EN268" s="169"/>
      <c r="EO268" s="169"/>
      <c r="EP268" s="169"/>
      <c r="EQ268" s="169"/>
      <c r="ER268" s="169"/>
      <c r="ES268" s="169"/>
      <c r="ET268" s="169"/>
      <c r="EU268" s="169"/>
      <c r="EV268" s="169"/>
      <c r="EW268" s="169"/>
      <c r="EX268" s="169"/>
    </row>
    <row r="269" spans="1:154">
      <c r="A269" s="333">
        <f t="shared" si="8"/>
        <v>1992</v>
      </c>
      <c r="B269" s="333">
        <f t="shared" si="9"/>
        <v>3</v>
      </c>
      <c r="C269" s="1175">
        <v>33848</v>
      </c>
      <c r="D269" s="1158">
        <v>240.52</v>
      </c>
      <c r="E269" s="1159">
        <v>480.16</v>
      </c>
      <c r="F269" s="1159">
        <v>345.3</v>
      </c>
      <c r="G269" s="1160"/>
      <c r="H269" s="1161"/>
      <c r="I269" s="1160"/>
      <c r="J269" s="1160"/>
      <c r="K269" s="1677">
        <v>6945.67</v>
      </c>
      <c r="L269" s="1677">
        <v>9727.8291316526611</v>
      </c>
      <c r="M269" s="1681">
        <v>21.69</v>
      </c>
      <c r="N269" s="1162">
        <v>3540.9</v>
      </c>
      <c r="O269" s="1162">
        <v>912.42296918767511</v>
      </c>
      <c r="P269" s="1162">
        <v>2000.8403361344538</v>
      </c>
      <c r="Q269" s="1163">
        <v>8.75</v>
      </c>
      <c r="R269" s="1164">
        <v>561</v>
      </c>
      <c r="S269" s="1164">
        <v>209</v>
      </c>
      <c r="T269" s="1164">
        <v>2203.4104355735949</v>
      </c>
      <c r="U269" s="1165"/>
      <c r="V269" s="1166"/>
      <c r="W269" s="1166"/>
      <c r="X269" s="635">
        <v>0.71399999999999997</v>
      </c>
      <c r="AI269" s="1781" t="s">
        <v>457</v>
      </c>
      <c r="AJ269" s="1826">
        <v>2010</v>
      </c>
      <c r="AK269" s="1822" t="s">
        <v>21</v>
      </c>
      <c r="AL269" s="1822">
        <v>7</v>
      </c>
      <c r="AM269" s="1823">
        <v>28431387</v>
      </c>
      <c r="AN269" s="1824">
        <v>4.2999999999999997E-2</v>
      </c>
      <c r="AP269" s="1781" t="s">
        <v>3</v>
      </c>
      <c r="AQ269" s="1781" t="s">
        <v>495</v>
      </c>
      <c r="AR269" s="1822" t="s">
        <v>39</v>
      </c>
      <c r="AS269" s="1822"/>
      <c r="AT269" s="1823">
        <v>123999050.8</v>
      </c>
      <c r="AU269" s="1825">
        <v>4.1821715624849501E-2</v>
      </c>
      <c r="AV269" s="1781">
        <v>2005</v>
      </c>
      <c r="EA269" s="169"/>
      <c r="EB269" s="169"/>
      <c r="EC269" s="169"/>
      <c r="ED269" s="169"/>
      <c r="EE269" s="169"/>
      <c r="EF269" s="169"/>
      <c r="EG269" s="169"/>
      <c r="EH269" s="169"/>
      <c r="EI269" s="169"/>
      <c r="EJ269" s="169"/>
      <c r="EK269" s="169"/>
      <c r="EL269" s="169"/>
      <c r="EM269" s="169"/>
      <c r="EN269" s="169"/>
      <c r="EO269" s="169"/>
      <c r="EP269" s="169"/>
      <c r="EQ269" s="169"/>
      <c r="ER269" s="169"/>
      <c r="ES269" s="169"/>
      <c r="ET269" s="169"/>
      <c r="EU269" s="169"/>
      <c r="EV269" s="169"/>
      <c r="EW269" s="169"/>
      <c r="EX269" s="169"/>
    </row>
    <row r="270" spans="1:154">
      <c r="A270" s="333">
        <f t="shared" si="8"/>
        <v>1992</v>
      </c>
      <c r="B270" s="333">
        <f t="shared" si="9"/>
        <v>4</v>
      </c>
      <c r="C270" s="1175">
        <v>33878</v>
      </c>
      <c r="D270" s="1167">
        <v>238.02</v>
      </c>
      <c r="E270" s="1168">
        <v>482.75</v>
      </c>
      <c r="F270" s="1168">
        <v>344.27</v>
      </c>
      <c r="G270" s="1168"/>
      <c r="H270" s="1167"/>
      <c r="I270" s="1168"/>
      <c r="J270" s="1168"/>
      <c r="K270" s="1678">
        <v>6338.5</v>
      </c>
      <c r="L270" s="1678">
        <v>9114.8979004889261</v>
      </c>
      <c r="M270" s="1682">
        <v>21.65</v>
      </c>
      <c r="N270" s="1169">
        <v>3234.97</v>
      </c>
      <c r="O270" s="1169">
        <v>774.0293356341673</v>
      </c>
      <c r="P270" s="1169">
        <v>1673.8567730802415</v>
      </c>
      <c r="Q270" s="1167">
        <v>8</v>
      </c>
      <c r="R270" s="1167">
        <v>518</v>
      </c>
      <c r="S270" s="1167">
        <v>176</v>
      </c>
      <c r="T270" s="1167">
        <v>2316.8372059515937</v>
      </c>
      <c r="U270" s="1167"/>
      <c r="V270" s="1167"/>
      <c r="W270" s="1167"/>
      <c r="X270" s="344">
        <v>0.69540000000000002</v>
      </c>
      <c r="AI270" s="1781" t="s">
        <v>457</v>
      </c>
      <c r="AJ270" s="1826">
        <v>2010</v>
      </c>
      <c r="AK270" s="1822" t="s">
        <v>25</v>
      </c>
      <c r="AL270" s="1822">
        <v>8</v>
      </c>
      <c r="AM270" s="1823">
        <v>26061563</v>
      </c>
      <c r="AN270" s="1824">
        <v>3.9E-2</v>
      </c>
      <c r="AP270" s="1781" t="s">
        <v>3</v>
      </c>
      <c r="AQ270" s="1781" t="s">
        <v>495</v>
      </c>
      <c r="AR270" s="1822" t="s">
        <v>386</v>
      </c>
      <c r="AS270" s="1822"/>
      <c r="AT270" s="1823">
        <v>2964944143.1886792</v>
      </c>
      <c r="AU270" s="1825"/>
      <c r="AV270" s="1781">
        <v>2005</v>
      </c>
      <c r="EA270" s="169"/>
      <c r="EB270" s="169"/>
      <c r="EC270" s="169"/>
      <c r="ED270" s="169"/>
      <c r="EE270" s="169"/>
      <c r="EF270" s="169"/>
      <c r="EG270" s="169"/>
      <c r="EH270" s="169"/>
      <c r="EI270" s="169"/>
      <c r="EJ270" s="169"/>
      <c r="EK270" s="169"/>
      <c r="EL270" s="169"/>
      <c r="EM270" s="169"/>
      <c r="EN270" s="169"/>
      <c r="EO270" s="169"/>
      <c r="EP270" s="169"/>
      <c r="EQ270" s="169"/>
      <c r="ER270" s="169"/>
      <c r="ES270" s="169"/>
      <c r="ET270" s="169"/>
      <c r="EU270" s="169"/>
      <c r="EV270" s="169"/>
      <c r="EW270" s="169"/>
      <c r="EX270" s="169"/>
    </row>
    <row r="271" spans="1:154">
      <c r="A271" s="333">
        <f t="shared" si="8"/>
        <v>1992</v>
      </c>
      <c r="B271" s="333">
        <f t="shared" si="9"/>
        <v>4</v>
      </c>
      <c r="C271" s="1175">
        <v>33909</v>
      </c>
      <c r="D271" s="1158">
        <v>240.94</v>
      </c>
      <c r="E271" s="1159">
        <v>485.91</v>
      </c>
      <c r="F271" s="1159">
        <v>334.92</v>
      </c>
      <c r="G271" s="1160"/>
      <c r="H271" s="1161"/>
      <c r="I271" s="1160"/>
      <c r="J271" s="1160"/>
      <c r="K271" s="1677">
        <v>5671.63</v>
      </c>
      <c r="L271" s="1677">
        <v>8312.5164883482339</v>
      </c>
      <c r="M271" s="1681">
        <v>21.02</v>
      </c>
      <c r="N271" s="1162">
        <v>3163.56</v>
      </c>
      <c r="O271" s="1162">
        <v>674.89374175582589</v>
      </c>
      <c r="P271" s="1162">
        <v>1534.9552982558992</v>
      </c>
      <c r="Q271" s="1163">
        <v>10.3</v>
      </c>
      <c r="R271" s="1164">
        <v>518</v>
      </c>
      <c r="S271" s="1164">
        <v>176</v>
      </c>
      <c r="T271" s="1164">
        <v>2313.4861365021329</v>
      </c>
      <c r="U271" s="1165"/>
      <c r="V271" s="1166"/>
      <c r="W271" s="1166"/>
      <c r="X271" s="635">
        <v>0.68230000000000002</v>
      </c>
      <c r="AI271" s="1781" t="s">
        <v>457</v>
      </c>
      <c r="AJ271" s="1826">
        <v>2010</v>
      </c>
      <c r="AK271" s="1822" t="s">
        <v>61</v>
      </c>
      <c r="AL271" s="1822">
        <v>9</v>
      </c>
      <c r="AM271" s="1823">
        <v>21340156</v>
      </c>
      <c r="AN271" s="1824">
        <v>3.2000000000000001E-2</v>
      </c>
      <c r="AP271" s="1781" t="s">
        <v>3</v>
      </c>
      <c r="AQ271" s="1781" t="s">
        <v>471</v>
      </c>
      <c r="AR271" s="1822" t="s">
        <v>56</v>
      </c>
      <c r="AS271" s="1822">
        <v>1</v>
      </c>
      <c r="AT271" s="1823">
        <v>676007499.02399993</v>
      </c>
      <c r="AU271" s="1825">
        <v>0.22348479180077857</v>
      </c>
      <c r="AV271" s="1781">
        <v>2004</v>
      </c>
      <c r="EA271" s="169"/>
      <c r="EB271" s="169"/>
      <c r="EC271" s="169"/>
      <c r="ED271" s="169"/>
      <c r="EE271" s="169"/>
      <c r="EF271" s="169"/>
      <c r="EG271" s="169"/>
      <c r="EH271" s="169"/>
      <c r="EI271" s="169"/>
      <c r="EJ271" s="169"/>
      <c r="EK271" s="169"/>
      <c r="EL271" s="169"/>
      <c r="EM271" s="169"/>
      <c r="EN271" s="169"/>
      <c r="EO271" s="169"/>
      <c r="EP271" s="169"/>
      <c r="EQ271" s="169"/>
      <c r="ER271" s="169"/>
      <c r="ES271" s="169"/>
      <c r="ET271" s="169"/>
      <c r="EU271" s="169"/>
      <c r="EV271" s="169"/>
      <c r="EW271" s="169"/>
      <c r="EX271" s="169"/>
    </row>
    <row r="272" spans="1:154">
      <c r="A272" s="333">
        <f t="shared" si="8"/>
        <v>1992</v>
      </c>
      <c r="B272" s="333">
        <f t="shared" si="9"/>
        <v>4</v>
      </c>
      <c r="C272" s="1175">
        <v>33939</v>
      </c>
      <c r="D272" s="1167">
        <v>244.61</v>
      </c>
      <c r="E272" s="1168">
        <v>486.08</v>
      </c>
      <c r="F272" s="1168">
        <v>334.65</v>
      </c>
      <c r="G272" s="1168"/>
      <c r="H272" s="1167"/>
      <c r="I272" s="1168"/>
      <c r="J272" s="1168"/>
      <c r="K272" s="1678">
        <v>5686.08</v>
      </c>
      <c r="L272" s="1678">
        <v>8264.6511627906984</v>
      </c>
      <c r="M272" s="1682">
        <v>19.98</v>
      </c>
      <c r="N272" s="1169">
        <v>3211.05</v>
      </c>
      <c r="O272" s="1169">
        <v>660.11627906976753</v>
      </c>
      <c r="P272" s="1169">
        <v>1538.372093023256</v>
      </c>
      <c r="Q272" s="1167">
        <v>9.9499999999999993</v>
      </c>
      <c r="R272" s="1167">
        <v>518</v>
      </c>
      <c r="S272" s="1167">
        <v>176</v>
      </c>
      <c r="T272" s="1167">
        <v>2140.947922081757</v>
      </c>
      <c r="U272" s="1167"/>
      <c r="V272" s="1167"/>
      <c r="W272" s="1167"/>
      <c r="X272" s="344">
        <v>0.68799999999999994</v>
      </c>
      <c r="AI272" s="1781" t="s">
        <v>457</v>
      </c>
      <c r="AJ272" s="1826">
        <v>2010</v>
      </c>
      <c r="AK272" s="1822" t="s">
        <v>66</v>
      </c>
      <c r="AL272" s="1822">
        <v>10</v>
      </c>
      <c r="AM272" s="1823">
        <v>20559499</v>
      </c>
      <c r="AN272" s="1824">
        <v>3.1E-2</v>
      </c>
      <c r="AP272" s="1781" t="s">
        <v>3</v>
      </c>
      <c r="AQ272" s="1781" t="s">
        <v>471</v>
      </c>
      <c r="AR272" s="1822" t="s">
        <v>57</v>
      </c>
      <c r="AS272" s="1822">
        <v>2</v>
      </c>
      <c r="AT272" s="1823">
        <v>593087715.92404997</v>
      </c>
      <c r="AU272" s="1825">
        <v>0.19607191474096342</v>
      </c>
      <c r="AV272" s="1781">
        <v>2004</v>
      </c>
      <c r="EA272" s="169"/>
      <c r="EB272" s="169"/>
      <c r="EC272" s="169"/>
      <c r="ED272" s="169"/>
      <c r="EE272" s="169"/>
      <c r="EF272" s="169"/>
      <c r="EG272" s="169"/>
      <c r="EH272" s="169"/>
      <c r="EI272" s="169"/>
      <c r="EJ272" s="169"/>
      <c r="EK272" s="169"/>
      <c r="EL272" s="169"/>
      <c r="EM272" s="169"/>
      <c r="EN272" s="169"/>
      <c r="EO272" s="169"/>
      <c r="EP272" s="169"/>
      <c r="EQ272" s="169"/>
      <c r="ER272" s="169"/>
      <c r="ES272" s="169"/>
      <c r="ET272" s="169"/>
      <c r="EU272" s="169"/>
      <c r="EV272" s="169"/>
      <c r="EW272" s="169"/>
      <c r="EX272" s="169"/>
    </row>
    <row r="273" spans="1:154">
      <c r="A273" s="333">
        <f t="shared" si="8"/>
        <v>1993</v>
      </c>
      <c r="B273" s="333">
        <f t="shared" si="9"/>
        <v>1</v>
      </c>
      <c r="C273" s="1175">
        <v>33970</v>
      </c>
      <c r="D273" s="1158">
        <v>252.84</v>
      </c>
      <c r="E273" s="1159">
        <v>489.16</v>
      </c>
      <c r="F273" s="1159">
        <v>328.99</v>
      </c>
      <c r="G273" s="1160"/>
      <c r="H273" s="1161"/>
      <c r="I273" s="1160"/>
      <c r="J273" s="1160"/>
      <c r="K273" s="1677">
        <v>5845.75</v>
      </c>
      <c r="L273" s="1677">
        <v>8616.9663915094334</v>
      </c>
      <c r="M273" s="1681">
        <v>18.920000000000002</v>
      </c>
      <c r="N273" s="1162">
        <v>3329.45</v>
      </c>
      <c r="O273" s="1162">
        <v>644.53125</v>
      </c>
      <c r="P273" s="1162">
        <v>1564.2688679245284</v>
      </c>
      <c r="Q273" s="1163">
        <v>9.6999999999999993</v>
      </c>
      <c r="R273" s="1164">
        <v>554</v>
      </c>
      <c r="S273" s="1164">
        <v>185</v>
      </c>
      <c r="T273" s="1164">
        <v>2266.1141521943282</v>
      </c>
      <c r="U273" s="1165"/>
      <c r="V273" s="1166"/>
      <c r="W273" s="1166"/>
      <c r="X273" s="635">
        <v>0.6784</v>
      </c>
      <c r="AI273" s="1781" t="s">
        <v>457</v>
      </c>
      <c r="AJ273" s="1826">
        <v>2010</v>
      </c>
      <c r="AK273" s="1822" t="s">
        <v>39</v>
      </c>
      <c r="AL273" s="1822"/>
      <c r="AM273" s="1823">
        <v>104483885</v>
      </c>
      <c r="AN273" s="1824">
        <v>0.158</v>
      </c>
      <c r="AP273" s="1781" t="s">
        <v>3</v>
      </c>
      <c r="AQ273" s="1781" t="s">
        <v>471</v>
      </c>
      <c r="AR273" s="1822" t="s">
        <v>23</v>
      </c>
      <c r="AS273" s="1822">
        <v>3</v>
      </c>
      <c r="AT273" s="1823">
        <v>453335315.47582501</v>
      </c>
      <c r="AU273" s="1825">
        <v>0.14987045075879868</v>
      </c>
      <c r="AV273" s="1781">
        <v>2004</v>
      </c>
      <c r="EA273" s="169"/>
      <c r="EB273" s="169"/>
      <c r="EC273" s="169"/>
      <c r="ED273" s="169"/>
      <c r="EE273" s="169"/>
      <c r="EF273" s="169"/>
      <c r="EG273" s="169"/>
      <c r="EH273" s="169"/>
      <c r="EI273" s="169"/>
      <c r="EJ273" s="169"/>
      <c r="EK273" s="169"/>
      <c r="EL273" s="169"/>
      <c r="EM273" s="169"/>
      <c r="EN273" s="169"/>
      <c r="EO273" s="169"/>
      <c r="EP273" s="169"/>
      <c r="EQ273" s="169"/>
      <c r="ER273" s="169"/>
      <c r="ES273" s="169"/>
      <c r="ET273" s="169"/>
      <c r="EU273" s="169"/>
      <c r="EV273" s="169"/>
      <c r="EW273" s="169"/>
      <c r="EX273" s="169"/>
    </row>
    <row r="274" spans="1:154">
      <c r="A274" s="333">
        <f t="shared" si="8"/>
        <v>1993</v>
      </c>
      <c r="B274" s="333">
        <f t="shared" si="9"/>
        <v>1</v>
      </c>
      <c r="C274" s="1175">
        <v>34001</v>
      </c>
      <c r="D274" s="1167">
        <v>257.99</v>
      </c>
      <c r="E274" s="1168">
        <v>483.92</v>
      </c>
      <c r="F274" s="1168">
        <v>329.31</v>
      </c>
      <c r="G274" s="1168"/>
      <c r="H274" s="1167"/>
      <c r="I274" s="1168"/>
      <c r="J274" s="1168"/>
      <c r="K274" s="1678">
        <v>6052.38</v>
      </c>
      <c r="L274" s="1678">
        <v>8703.4512510785153</v>
      </c>
      <c r="M274" s="1682">
        <v>19.649999999999999</v>
      </c>
      <c r="N274" s="1169">
        <v>3179.47</v>
      </c>
      <c r="O274" s="1169">
        <v>594.92378487201609</v>
      </c>
      <c r="P274" s="1169">
        <v>1542.2778257118205</v>
      </c>
      <c r="Q274" s="1167">
        <v>10</v>
      </c>
      <c r="R274" s="1167">
        <v>554</v>
      </c>
      <c r="S274" s="1167">
        <v>185</v>
      </c>
      <c r="T274" s="1167">
        <v>2243.893205251562</v>
      </c>
      <c r="U274" s="1167"/>
      <c r="V274" s="1167"/>
      <c r="W274" s="1167"/>
      <c r="X274" s="344">
        <v>0.69540000000000002</v>
      </c>
      <c r="AI274" s="1781" t="s">
        <v>457</v>
      </c>
      <c r="AJ274" s="1826">
        <v>2010</v>
      </c>
      <c r="AK274" s="1822" t="s">
        <v>386</v>
      </c>
      <c r="AL274" s="1822"/>
      <c r="AM274" s="1823">
        <v>661623371</v>
      </c>
      <c r="AN274" s="1824"/>
      <c r="AP274" s="1781" t="s">
        <v>3</v>
      </c>
      <c r="AQ274" s="1781" t="s">
        <v>471</v>
      </c>
      <c r="AR274" s="1822" t="s">
        <v>388</v>
      </c>
      <c r="AS274" s="1822">
        <v>4</v>
      </c>
      <c r="AT274" s="1823">
        <v>446530529.08579999</v>
      </c>
      <c r="AU274" s="1825">
        <v>0.14762082146945033</v>
      </c>
      <c r="AV274" s="1781">
        <v>2004</v>
      </c>
      <c r="EA274" s="169"/>
      <c r="EB274" s="169"/>
      <c r="EC274" s="169"/>
      <c r="ED274" s="169"/>
      <c r="EE274" s="169"/>
      <c r="EF274" s="169"/>
      <c r="EG274" s="169"/>
      <c r="EH274" s="169"/>
      <c r="EI274" s="169"/>
      <c r="EJ274" s="169"/>
      <c r="EK274" s="169"/>
      <c r="EL274" s="169"/>
      <c r="EM274" s="169"/>
      <c r="EN274" s="169"/>
      <c r="EO274" s="169"/>
      <c r="EP274" s="169"/>
      <c r="EQ274" s="169"/>
      <c r="ER274" s="169"/>
      <c r="ES274" s="169"/>
      <c r="ET274" s="169"/>
      <c r="EU274" s="169"/>
      <c r="EV274" s="169"/>
      <c r="EW274" s="169"/>
      <c r="EX274" s="169"/>
    </row>
    <row r="275" spans="1:154">
      <c r="A275" s="333">
        <f t="shared" si="8"/>
        <v>1993</v>
      </c>
      <c r="B275" s="333">
        <f t="shared" si="9"/>
        <v>1</v>
      </c>
      <c r="C275" s="1175">
        <v>34029</v>
      </c>
      <c r="D275" s="1158">
        <v>234.95</v>
      </c>
      <c r="E275" s="1159">
        <v>467.03</v>
      </c>
      <c r="F275" s="1159">
        <v>329.97</v>
      </c>
      <c r="G275" s="1160"/>
      <c r="H275" s="1161"/>
      <c r="I275" s="1160"/>
      <c r="J275" s="1160"/>
      <c r="K275" s="1677">
        <v>5982.42</v>
      </c>
      <c r="L275" s="1677">
        <v>8480.8902750212637</v>
      </c>
      <c r="M275" s="1681">
        <v>20.81</v>
      </c>
      <c r="N275" s="1162">
        <v>3051.6</v>
      </c>
      <c r="O275" s="1162">
        <v>575.33314431528208</v>
      </c>
      <c r="P275" s="1162">
        <v>1412.5177204423021</v>
      </c>
      <c r="Q275" s="1163">
        <v>10</v>
      </c>
      <c r="R275" s="1164">
        <v>554</v>
      </c>
      <c r="S275" s="1164">
        <v>185</v>
      </c>
      <c r="T275" s="1164">
        <v>2282.7220126704256</v>
      </c>
      <c r="U275" s="1165"/>
      <c r="V275" s="1166"/>
      <c r="W275" s="1166"/>
      <c r="X275" s="635">
        <v>0.70540000000000003</v>
      </c>
      <c r="AI275" s="1781" t="s">
        <v>457</v>
      </c>
      <c r="AJ275" s="1826">
        <v>2009</v>
      </c>
      <c r="AK275" s="1822" t="s">
        <v>18</v>
      </c>
      <c r="AL275" s="1822">
        <v>1</v>
      </c>
      <c r="AM275" s="1823">
        <v>209836492</v>
      </c>
      <c r="AN275" s="1824">
        <v>0.29699999999999999</v>
      </c>
      <c r="AP275" s="1781" t="s">
        <v>3</v>
      </c>
      <c r="AQ275" s="1781" t="s">
        <v>471</v>
      </c>
      <c r="AR275" s="1822" t="s">
        <v>18</v>
      </c>
      <c r="AS275" s="1822">
        <v>5</v>
      </c>
      <c r="AT275" s="1823">
        <v>253224077.28597003</v>
      </c>
      <c r="AU275" s="1825">
        <v>8.3714648540001074E-2</v>
      </c>
      <c r="AV275" s="1781">
        <v>2004</v>
      </c>
      <c r="EA275" s="169"/>
      <c r="EB275" s="169"/>
      <c r="EC275" s="169"/>
      <c r="ED275" s="169"/>
      <c r="EE275" s="169"/>
      <c r="EF275" s="169"/>
      <c r="EG275" s="169"/>
      <c r="EH275" s="169"/>
      <c r="EI275" s="169"/>
      <c r="EJ275" s="169"/>
      <c r="EK275" s="169"/>
      <c r="EL275" s="169"/>
      <c r="EM275" s="169"/>
      <c r="EN275" s="169"/>
      <c r="EO275" s="169"/>
      <c r="EP275" s="169"/>
      <c r="EQ275" s="169"/>
      <c r="ER275" s="169"/>
      <c r="ES275" s="169"/>
      <c r="ET275" s="169"/>
      <c r="EU275" s="169"/>
      <c r="EV275" s="169"/>
      <c r="EW275" s="169"/>
      <c r="EX275" s="169"/>
    </row>
    <row r="276" spans="1:154">
      <c r="A276" s="333">
        <f t="shared" si="8"/>
        <v>1993</v>
      </c>
      <c r="B276" s="333">
        <f t="shared" si="9"/>
        <v>2</v>
      </c>
      <c r="C276" s="1175">
        <v>34060</v>
      </c>
      <c r="D276" s="1167">
        <v>238.92</v>
      </c>
      <c r="E276" s="1168">
        <v>480.75</v>
      </c>
      <c r="F276" s="1168">
        <v>341.94</v>
      </c>
      <c r="G276" s="1168"/>
      <c r="H276" s="1167"/>
      <c r="I276" s="1168"/>
      <c r="J276" s="1168"/>
      <c r="K276" s="1678">
        <v>5975.88</v>
      </c>
      <c r="L276" s="1678">
        <v>8400.1686814731511</v>
      </c>
      <c r="M276" s="1682">
        <v>20.69</v>
      </c>
      <c r="N276" s="1169">
        <v>2755.55</v>
      </c>
      <c r="O276" s="1169">
        <v>594.74276075344392</v>
      </c>
      <c r="P276" s="1169">
        <v>1411.5827944897385</v>
      </c>
      <c r="Q276" s="1167">
        <v>10</v>
      </c>
      <c r="R276" s="1167">
        <v>523</v>
      </c>
      <c r="S276" s="1167">
        <v>157</v>
      </c>
      <c r="T276" s="1167">
        <v>2240.5716018568196</v>
      </c>
      <c r="U276" s="1167"/>
      <c r="V276" s="1167"/>
      <c r="W276" s="1167"/>
      <c r="X276" s="344">
        <v>0.71140000000000003</v>
      </c>
      <c r="AI276" s="1781" t="s">
        <v>457</v>
      </c>
      <c r="AJ276" s="1826">
        <v>2009</v>
      </c>
      <c r="AK276" s="1822" t="s">
        <v>758</v>
      </c>
      <c r="AL276" s="1822">
        <v>2</v>
      </c>
      <c r="AM276" s="1823">
        <v>99411560</v>
      </c>
      <c r="AN276" s="1824">
        <v>0.14099999999999999</v>
      </c>
      <c r="AP276" s="1781" t="s">
        <v>3</v>
      </c>
      <c r="AQ276" s="1781" t="s">
        <v>471</v>
      </c>
      <c r="AR276" s="1822" t="s">
        <v>138</v>
      </c>
      <c r="AS276" s="1822">
        <v>6</v>
      </c>
      <c r="AT276" s="1823">
        <v>205715736.69999999</v>
      </c>
      <c r="AU276" s="1825">
        <v>6.800862217197251E-2</v>
      </c>
      <c r="AV276" s="1781">
        <v>2004</v>
      </c>
      <c r="EA276" s="169"/>
      <c r="EB276" s="169"/>
      <c r="EC276" s="169"/>
      <c r="ED276" s="169"/>
      <c r="EE276" s="169"/>
      <c r="EF276" s="169"/>
      <c r="EG276" s="169"/>
      <c r="EH276" s="169"/>
      <c r="EI276" s="169"/>
      <c r="EJ276" s="169"/>
      <c r="EK276" s="169"/>
      <c r="EL276" s="169"/>
      <c r="EM276" s="169"/>
      <c r="EN276" s="169"/>
      <c r="EO276" s="169"/>
      <c r="EP276" s="169"/>
      <c r="EQ276" s="169"/>
      <c r="ER276" s="169"/>
      <c r="ES276" s="169"/>
      <c r="ET276" s="169"/>
      <c r="EU276" s="169"/>
      <c r="EV276" s="169"/>
      <c r="EW276" s="169"/>
      <c r="EX276" s="169"/>
    </row>
    <row r="277" spans="1:154">
      <c r="A277" s="333">
        <f t="shared" si="8"/>
        <v>1993</v>
      </c>
      <c r="B277" s="333">
        <f t="shared" si="9"/>
        <v>2</v>
      </c>
      <c r="C277" s="1175">
        <v>34090</v>
      </c>
      <c r="D277" s="1158">
        <v>239.43</v>
      </c>
      <c r="E277" s="1159">
        <v>525.61</v>
      </c>
      <c r="F277" s="1159">
        <v>367.04</v>
      </c>
      <c r="G277" s="1160"/>
      <c r="H277" s="1161"/>
      <c r="I277" s="1160"/>
      <c r="J277" s="1160"/>
      <c r="K277" s="1677">
        <v>5788.13</v>
      </c>
      <c r="L277" s="1677">
        <v>8359.5176198729059</v>
      </c>
      <c r="M277" s="1681">
        <v>20.260000000000002</v>
      </c>
      <c r="N277" s="1162">
        <v>2595.1799999999998</v>
      </c>
      <c r="O277" s="1162">
        <v>588.18601964182551</v>
      </c>
      <c r="P277" s="1162">
        <v>1416.0167533217793</v>
      </c>
      <c r="Q277" s="1163">
        <v>10</v>
      </c>
      <c r="R277" s="1164">
        <v>523</v>
      </c>
      <c r="S277" s="1164">
        <v>157</v>
      </c>
      <c r="T277" s="1164">
        <v>2168.0717872022219</v>
      </c>
      <c r="U277" s="1165"/>
      <c r="V277" s="1166"/>
      <c r="W277" s="1166"/>
      <c r="X277" s="635">
        <v>0.69240000000000002</v>
      </c>
      <c r="AI277" s="1781" t="s">
        <v>457</v>
      </c>
      <c r="AJ277" s="1826">
        <v>2009</v>
      </c>
      <c r="AK277" s="1822" t="s">
        <v>31</v>
      </c>
      <c r="AL277" s="1822">
        <v>3</v>
      </c>
      <c r="AM277" s="1823">
        <v>70198914</v>
      </c>
      <c r="AN277" s="1824">
        <v>9.9000000000000005E-2</v>
      </c>
      <c r="AP277" s="1781" t="s">
        <v>3</v>
      </c>
      <c r="AQ277" s="1781" t="s">
        <v>471</v>
      </c>
      <c r="AR277" s="1822" t="s">
        <v>537</v>
      </c>
      <c r="AS277" s="1822">
        <v>7</v>
      </c>
      <c r="AT277" s="1823">
        <v>168121515.56709999</v>
      </c>
      <c r="AU277" s="1825">
        <v>5.5580155483468646E-2</v>
      </c>
      <c r="AV277" s="1781">
        <v>2004</v>
      </c>
      <c r="EA277" s="169"/>
      <c r="EB277" s="169"/>
      <c r="EC277" s="169"/>
      <c r="ED277" s="169"/>
      <c r="EE277" s="169"/>
      <c r="EF277" s="169"/>
      <c r="EG277" s="169"/>
      <c r="EH277" s="169"/>
      <c r="EI277" s="169"/>
      <c r="EJ277" s="169"/>
      <c r="EK277" s="169"/>
      <c r="EL277" s="169"/>
      <c r="EM277" s="169"/>
      <c r="EN277" s="169"/>
      <c r="EO277" s="169"/>
      <c r="EP277" s="169"/>
      <c r="EQ277" s="169"/>
      <c r="ER277" s="169"/>
      <c r="ES277" s="169"/>
      <c r="ET277" s="169"/>
      <c r="EU277" s="169"/>
      <c r="EV277" s="169"/>
      <c r="EW277" s="169"/>
      <c r="EX277" s="169"/>
    </row>
    <row r="278" spans="1:154">
      <c r="A278" s="333">
        <f t="shared" si="8"/>
        <v>1993</v>
      </c>
      <c r="B278" s="333">
        <f t="shared" si="9"/>
        <v>2</v>
      </c>
      <c r="C278" s="1175">
        <v>34121</v>
      </c>
      <c r="D278" s="1167">
        <v>248.8</v>
      </c>
      <c r="E278" s="1168">
        <v>551.71</v>
      </c>
      <c r="F278" s="1168">
        <v>371.91</v>
      </c>
      <c r="G278" s="1168"/>
      <c r="H278" s="1167"/>
      <c r="I278" s="1168"/>
      <c r="J278" s="1168"/>
      <c r="K278" s="1678">
        <v>5548.25</v>
      </c>
      <c r="L278" s="1678">
        <v>8251.4128494943488</v>
      </c>
      <c r="M278" s="1682">
        <v>19.13</v>
      </c>
      <c r="N278" s="1169">
        <v>2757.73</v>
      </c>
      <c r="O278" s="1169">
        <v>586.3325401546698</v>
      </c>
      <c r="P278" s="1169">
        <v>1377.6621058893516</v>
      </c>
      <c r="Q278" s="1167">
        <v>10</v>
      </c>
      <c r="R278" s="1167">
        <v>523</v>
      </c>
      <c r="S278" s="1167">
        <v>157</v>
      </c>
      <c r="T278" s="1167">
        <v>2237.9980833484419</v>
      </c>
      <c r="U278" s="1167"/>
      <c r="V278" s="1167"/>
      <c r="W278" s="1167"/>
      <c r="X278" s="344">
        <v>0.6724</v>
      </c>
      <c r="AI278" s="1781" t="s">
        <v>457</v>
      </c>
      <c r="AJ278" s="1826">
        <v>2009</v>
      </c>
      <c r="AK278" s="1822" t="s">
        <v>66</v>
      </c>
      <c r="AL278" s="1822">
        <v>4</v>
      </c>
      <c r="AM278" s="1823">
        <v>50286074</v>
      </c>
      <c r="AN278" s="1824">
        <v>7.0999999999999994E-2</v>
      </c>
      <c r="AP278" s="1781" t="s">
        <v>3</v>
      </c>
      <c r="AQ278" s="1781" t="s">
        <v>471</v>
      </c>
      <c r="AR278" s="1822" t="s">
        <v>385</v>
      </c>
      <c r="AS278" s="1822">
        <v>8</v>
      </c>
      <c r="AT278" s="1823">
        <v>132393526.52408001</v>
      </c>
      <c r="AU278" s="1825">
        <v>4.3768656048524743E-2</v>
      </c>
      <c r="AV278" s="1781">
        <v>2004</v>
      </c>
      <c r="EA278" s="169"/>
      <c r="EB278" s="169"/>
      <c r="EC278" s="169"/>
      <c r="ED278" s="169"/>
      <c r="EE278" s="169"/>
      <c r="EF278" s="169"/>
      <c r="EG278" s="169"/>
      <c r="EH278" s="169"/>
      <c r="EI278" s="169"/>
      <c r="EJ278" s="169"/>
      <c r="EK278" s="169"/>
      <c r="EL278" s="169"/>
      <c r="EM278" s="169"/>
      <c r="EN278" s="169"/>
      <c r="EO278" s="169"/>
      <c r="EP278" s="169"/>
      <c r="EQ278" s="169"/>
      <c r="ER278" s="169"/>
      <c r="ES278" s="169"/>
      <c r="ET278" s="169"/>
      <c r="EU278" s="169"/>
      <c r="EV278" s="169"/>
      <c r="EW278" s="169"/>
      <c r="EX278" s="169"/>
    </row>
    <row r="279" spans="1:154">
      <c r="A279" s="333">
        <f t="shared" si="8"/>
        <v>1993</v>
      </c>
      <c r="B279" s="333">
        <f t="shared" si="9"/>
        <v>3</v>
      </c>
      <c r="C279" s="1175">
        <v>34151</v>
      </c>
      <c r="D279" s="1158">
        <v>246.59</v>
      </c>
      <c r="E279" s="1159">
        <v>578.71</v>
      </c>
      <c r="F279" s="1159">
        <v>392.03</v>
      </c>
      <c r="G279" s="1160"/>
      <c r="H279" s="1161"/>
      <c r="I279" s="1160"/>
      <c r="J279" s="1160"/>
      <c r="K279" s="1677">
        <v>5039</v>
      </c>
      <c r="L279" s="1677">
        <v>7373.4269827333919</v>
      </c>
      <c r="M279" s="1681">
        <v>18.760000000000002</v>
      </c>
      <c r="N279" s="1162">
        <v>2820.02</v>
      </c>
      <c r="O279" s="1162">
        <v>568.11530582382204</v>
      </c>
      <c r="P279" s="1162">
        <v>1357.7846063798654</v>
      </c>
      <c r="Q279" s="1163">
        <v>9.9</v>
      </c>
      <c r="R279" s="1164">
        <v>525</v>
      </c>
      <c r="S279" s="1164">
        <v>160</v>
      </c>
      <c r="T279" s="1164">
        <v>2310.6652799610079</v>
      </c>
      <c r="U279" s="1165"/>
      <c r="V279" s="1166"/>
      <c r="W279" s="1166"/>
      <c r="X279" s="635">
        <v>0.68340000000000001</v>
      </c>
      <c r="AI279" s="1781" t="s">
        <v>457</v>
      </c>
      <c r="AJ279" s="1826">
        <v>2009</v>
      </c>
      <c r="AK279" s="1822" t="s">
        <v>23</v>
      </c>
      <c r="AL279" s="1822">
        <v>5</v>
      </c>
      <c r="AM279" s="1823">
        <v>41974327</v>
      </c>
      <c r="AN279" s="1824">
        <v>5.8999999999999997E-2</v>
      </c>
      <c r="AP279" s="1781" t="s">
        <v>3</v>
      </c>
      <c r="AQ279" s="1781" t="s">
        <v>471</v>
      </c>
      <c r="AR279" s="1822" t="s">
        <v>39</v>
      </c>
      <c r="AS279" s="1822"/>
      <c r="AT279" s="1823">
        <v>96431965.9039855</v>
      </c>
      <c r="AU279" s="1825">
        <v>3.1879938986042022E-2</v>
      </c>
      <c r="AV279" s="1781">
        <v>2004</v>
      </c>
      <c r="EA279" s="169"/>
      <c r="EB279" s="169"/>
      <c r="EC279" s="169"/>
      <c r="ED279" s="169"/>
      <c r="EE279" s="169"/>
      <c r="EF279" s="169"/>
      <c r="EG279" s="169"/>
      <c r="EH279" s="169"/>
      <c r="EI279" s="169"/>
      <c r="EJ279" s="169"/>
      <c r="EK279" s="169"/>
      <c r="EL279" s="169"/>
      <c r="EM279" s="169"/>
      <c r="EN279" s="169"/>
      <c r="EO279" s="169"/>
      <c r="EP279" s="169"/>
      <c r="EQ279" s="169"/>
      <c r="ER279" s="169"/>
      <c r="ES279" s="169"/>
      <c r="ET279" s="169"/>
      <c r="EU279" s="169"/>
      <c r="EV279" s="169"/>
      <c r="EW279" s="169"/>
      <c r="EX279" s="169"/>
    </row>
    <row r="280" spans="1:154">
      <c r="A280" s="333">
        <f t="shared" si="8"/>
        <v>1993</v>
      </c>
      <c r="B280" s="333">
        <f t="shared" si="9"/>
        <v>3</v>
      </c>
      <c r="C280" s="1175">
        <v>34182</v>
      </c>
      <c r="D280" s="1167">
        <v>242.47</v>
      </c>
      <c r="E280" s="1168">
        <v>559.66999999999996</v>
      </c>
      <c r="F280" s="1168">
        <v>379.79</v>
      </c>
      <c r="G280" s="1168"/>
      <c r="H280" s="1167"/>
      <c r="I280" s="1168"/>
      <c r="J280" s="1168"/>
      <c r="K280" s="1678">
        <v>4723</v>
      </c>
      <c r="L280" s="1678">
        <v>7040.8467501490759</v>
      </c>
      <c r="M280" s="1682">
        <v>19.05</v>
      </c>
      <c r="N280" s="1169">
        <v>2904.29</v>
      </c>
      <c r="O280" s="1169">
        <v>578.68217054263573</v>
      </c>
      <c r="P280" s="1169">
        <v>1317.9636255217652</v>
      </c>
      <c r="Q280" s="1167">
        <v>10</v>
      </c>
      <c r="R280" s="1167">
        <v>525</v>
      </c>
      <c r="S280" s="1167">
        <v>160</v>
      </c>
      <c r="T280" s="1167">
        <v>2326.6604932573864</v>
      </c>
      <c r="U280" s="1167"/>
      <c r="V280" s="1167"/>
      <c r="W280" s="1167"/>
      <c r="X280" s="344">
        <v>0.67079999999999995</v>
      </c>
      <c r="AI280" s="1781" t="s">
        <v>457</v>
      </c>
      <c r="AJ280" s="1826">
        <v>2009</v>
      </c>
      <c r="AK280" s="1822" t="s">
        <v>27</v>
      </c>
      <c r="AL280" s="1822">
        <v>6</v>
      </c>
      <c r="AM280" s="1823">
        <v>33689089</v>
      </c>
      <c r="AN280" s="1824">
        <v>4.8000000000000001E-2</v>
      </c>
      <c r="AP280" s="1781" t="s">
        <v>3</v>
      </c>
      <c r="AQ280" s="1781" t="s">
        <v>471</v>
      </c>
      <c r="AR280" s="1822" t="s">
        <v>386</v>
      </c>
      <c r="AS280" s="1822"/>
      <c r="AT280" s="1823">
        <v>3024847881.4908104</v>
      </c>
      <c r="AU280" s="1825"/>
      <c r="AV280" s="1781">
        <v>2004</v>
      </c>
      <c r="EA280" s="169"/>
      <c r="EB280" s="169"/>
      <c r="EC280" s="169"/>
      <c r="ED280" s="169"/>
      <c r="EE280" s="169"/>
      <c r="EF280" s="169"/>
      <c r="EG280" s="169"/>
      <c r="EH280" s="169"/>
      <c r="EI280" s="169"/>
      <c r="EJ280" s="169"/>
      <c r="EK280" s="169"/>
      <c r="EL280" s="169"/>
      <c r="EM280" s="169"/>
      <c r="EN280" s="169"/>
      <c r="EO280" s="169"/>
      <c r="EP280" s="169"/>
      <c r="EQ280" s="169"/>
      <c r="ER280" s="169"/>
      <c r="ES280" s="169"/>
      <c r="ET280" s="169"/>
      <c r="EU280" s="169"/>
      <c r="EV280" s="169"/>
      <c r="EW280" s="169"/>
      <c r="EX280" s="169"/>
    </row>
    <row r="281" spans="1:154">
      <c r="A281" s="333">
        <f t="shared" si="8"/>
        <v>1993</v>
      </c>
      <c r="B281" s="333">
        <f t="shared" si="9"/>
        <v>3</v>
      </c>
      <c r="C281" s="1175">
        <v>34213</v>
      </c>
      <c r="D281" s="1158">
        <v>249.68</v>
      </c>
      <c r="E281" s="1159">
        <v>545.63</v>
      </c>
      <c r="F281" s="1159">
        <v>355.56</v>
      </c>
      <c r="G281" s="1160"/>
      <c r="H281" s="1161"/>
      <c r="I281" s="1160"/>
      <c r="J281" s="1160"/>
      <c r="K281" s="1677">
        <v>4355</v>
      </c>
      <c r="L281" s="1677">
        <v>6748.7990082132346</v>
      </c>
      <c r="M281" s="1681">
        <v>18.420000000000002</v>
      </c>
      <c r="N281" s="1162">
        <v>2885.32</v>
      </c>
      <c r="O281" s="1162">
        <v>582.25631489229818</v>
      </c>
      <c r="P281" s="1162">
        <v>1355.2611188594451</v>
      </c>
      <c r="Q281" s="1163">
        <v>10</v>
      </c>
      <c r="R281" s="1164">
        <v>525</v>
      </c>
      <c r="S281" s="1164">
        <v>160</v>
      </c>
      <c r="T281" s="1164">
        <v>2365.7057420827882</v>
      </c>
      <c r="U281" s="1165"/>
      <c r="V281" s="1166"/>
      <c r="W281" s="1166"/>
      <c r="X281" s="635">
        <v>0.64529999999999998</v>
      </c>
      <c r="AI281" s="1781" t="s">
        <v>457</v>
      </c>
      <c r="AJ281" s="1826">
        <v>2009</v>
      </c>
      <c r="AK281" s="1822" t="s">
        <v>63</v>
      </c>
      <c r="AL281" s="1822">
        <v>7</v>
      </c>
      <c r="AM281" s="1823">
        <v>33671932</v>
      </c>
      <c r="AN281" s="1824">
        <v>4.8000000000000001E-2</v>
      </c>
      <c r="AP281" s="1781" t="s">
        <v>457</v>
      </c>
      <c r="AQ281" s="1781" t="s">
        <v>505</v>
      </c>
      <c r="AR281" s="1822" t="s">
        <v>18</v>
      </c>
      <c r="AS281" s="1822">
        <v>1</v>
      </c>
      <c r="AT281" s="1823">
        <v>180417494</v>
      </c>
      <c r="AU281" s="1825">
        <v>0.214</v>
      </c>
      <c r="AV281" s="1781">
        <v>2015</v>
      </c>
      <c r="EA281" s="169"/>
      <c r="EB281" s="169"/>
      <c r="EC281" s="169"/>
      <c r="ED281" s="169"/>
      <c r="EE281" s="169"/>
      <c r="EF281" s="169"/>
      <c r="EG281" s="169"/>
      <c r="EH281" s="169"/>
      <c r="EI281" s="169"/>
      <c r="EJ281" s="169"/>
      <c r="EK281" s="169"/>
      <c r="EL281" s="169"/>
      <c r="EM281" s="169"/>
      <c r="EN281" s="169"/>
      <c r="EO281" s="169"/>
      <c r="EP281" s="169"/>
      <c r="EQ281" s="169"/>
      <c r="ER281" s="169"/>
      <c r="ES281" s="169"/>
      <c r="ET281" s="169"/>
      <c r="EU281" s="169"/>
      <c r="EV281" s="169"/>
      <c r="EW281" s="169"/>
      <c r="EX281" s="169"/>
    </row>
    <row r="282" spans="1:154">
      <c r="A282" s="333">
        <f t="shared" si="8"/>
        <v>1993</v>
      </c>
      <c r="B282" s="333">
        <f t="shared" si="9"/>
        <v>4</v>
      </c>
      <c r="C282" s="1175">
        <v>34243</v>
      </c>
      <c r="D282" s="1167">
        <v>245.93</v>
      </c>
      <c r="E282" s="1168">
        <v>551.63</v>
      </c>
      <c r="F282" s="1168">
        <v>364</v>
      </c>
      <c r="G282" s="1168"/>
      <c r="H282" s="1167"/>
      <c r="I282" s="1168"/>
      <c r="J282" s="1168"/>
      <c r="K282" s="1678">
        <v>4451</v>
      </c>
      <c r="L282" s="1678">
        <v>6682.1798528749432</v>
      </c>
      <c r="M282" s="1682">
        <v>18.23</v>
      </c>
      <c r="N282" s="1169">
        <v>2471.6999999999998</v>
      </c>
      <c r="O282" s="1169">
        <v>576.9403993394385</v>
      </c>
      <c r="P282" s="1169">
        <v>1373.967872691788</v>
      </c>
      <c r="Q282" s="1167">
        <v>10.15</v>
      </c>
      <c r="R282" s="1167">
        <v>544</v>
      </c>
      <c r="S282" s="1167">
        <v>175</v>
      </c>
      <c r="T282" s="1167">
        <v>2222.6381453056647</v>
      </c>
      <c r="U282" s="1167"/>
      <c r="V282" s="1167"/>
      <c r="W282" s="1167"/>
      <c r="X282" s="344">
        <v>0.66610000000000003</v>
      </c>
      <c r="AI282" s="1781" t="s">
        <v>457</v>
      </c>
      <c r="AJ282" s="1826">
        <v>2009</v>
      </c>
      <c r="AK282" s="1822" t="s">
        <v>25</v>
      </c>
      <c r="AL282" s="1822">
        <v>8</v>
      </c>
      <c r="AM282" s="1823">
        <v>31465232</v>
      </c>
      <c r="AN282" s="1824">
        <v>4.4999999999999998E-2</v>
      </c>
      <c r="AP282" s="1781" t="s">
        <v>457</v>
      </c>
      <c r="AQ282" s="1781" t="s">
        <v>505</v>
      </c>
      <c r="AR282" s="1822" t="s">
        <v>758</v>
      </c>
      <c r="AS282" s="1822">
        <v>2</v>
      </c>
      <c r="AT282" s="1823">
        <v>147808693</v>
      </c>
      <c r="AU282" s="1825">
        <v>0.17599999999999999</v>
      </c>
      <c r="AV282" s="1781">
        <v>2015</v>
      </c>
      <c r="EA282" s="169"/>
      <c r="EB282" s="169"/>
      <c r="EC282" s="169"/>
      <c r="ED282" s="169"/>
      <c r="EE282" s="169"/>
      <c r="EF282" s="169"/>
      <c r="EG282" s="169"/>
      <c r="EH282" s="169"/>
      <c r="EI282" s="169"/>
      <c r="EJ282" s="169"/>
      <c r="EK282" s="169"/>
      <c r="EL282" s="169"/>
      <c r="EM282" s="169"/>
      <c r="EN282" s="169"/>
      <c r="EO282" s="169"/>
      <c r="EP282" s="169"/>
      <c r="EQ282" s="169"/>
      <c r="ER282" s="169"/>
      <c r="ES282" s="169"/>
      <c r="ET282" s="169"/>
      <c r="EU282" s="169"/>
      <c r="EV282" s="169"/>
      <c r="EW282" s="169"/>
      <c r="EX282" s="169"/>
    </row>
    <row r="283" spans="1:154">
      <c r="A283" s="333">
        <f t="shared" si="8"/>
        <v>1993</v>
      </c>
      <c r="B283" s="333">
        <f t="shared" si="9"/>
        <v>4</v>
      </c>
      <c r="C283" s="1175">
        <v>34274</v>
      </c>
      <c r="D283" s="1158">
        <v>244.33</v>
      </c>
      <c r="E283" s="1159">
        <v>563.12</v>
      </c>
      <c r="F283" s="1159">
        <v>373.93</v>
      </c>
      <c r="G283" s="1160"/>
      <c r="H283" s="1161"/>
      <c r="I283" s="1160"/>
      <c r="J283" s="1160"/>
      <c r="K283" s="1677">
        <v>4633.8900000000003</v>
      </c>
      <c r="L283" s="1677">
        <v>7035.9702399028247</v>
      </c>
      <c r="M283" s="1681">
        <v>17.11</v>
      </c>
      <c r="N283" s="1162">
        <v>2474.9499999999998</v>
      </c>
      <c r="O283" s="1162">
        <v>607.72851503188588</v>
      </c>
      <c r="P283" s="1162">
        <v>1410.1882781658064</v>
      </c>
      <c r="Q283" s="1163">
        <v>9.9</v>
      </c>
      <c r="R283" s="1164">
        <v>544</v>
      </c>
      <c r="S283" s="1164">
        <v>175</v>
      </c>
      <c r="T283" s="1164">
        <v>2270.3278746758551</v>
      </c>
      <c r="U283" s="1165"/>
      <c r="V283" s="1166"/>
      <c r="W283" s="1166"/>
      <c r="X283" s="635">
        <v>0.65859999999999996</v>
      </c>
      <c r="AI283" s="1781" t="s">
        <v>457</v>
      </c>
      <c r="AJ283" s="1826">
        <v>2009</v>
      </c>
      <c r="AK283" s="1822" t="s">
        <v>537</v>
      </c>
      <c r="AL283" s="1822">
        <v>9</v>
      </c>
      <c r="AM283" s="1823">
        <v>27556065</v>
      </c>
      <c r="AN283" s="1824">
        <v>3.9E-2</v>
      </c>
      <c r="AP283" s="1781" t="s">
        <v>457</v>
      </c>
      <c r="AQ283" s="1781" t="s">
        <v>505</v>
      </c>
      <c r="AR283" s="1822" t="s">
        <v>63</v>
      </c>
      <c r="AS283" s="1822">
        <v>3</v>
      </c>
      <c r="AT283" s="1823">
        <v>92891709</v>
      </c>
      <c r="AU283" s="1825">
        <v>0.11</v>
      </c>
      <c r="AV283" s="1781">
        <v>2015</v>
      </c>
      <c r="EA283" s="169"/>
      <c r="EB283" s="169"/>
      <c r="EC283" s="169"/>
      <c r="ED283" s="169"/>
      <c r="EE283" s="169"/>
      <c r="EF283" s="169"/>
      <c r="EG283" s="169"/>
      <c r="EH283" s="169"/>
      <c r="EI283" s="169"/>
      <c r="EJ283" s="169"/>
      <c r="EK283" s="169"/>
      <c r="EL283" s="169"/>
      <c r="EM283" s="169"/>
      <c r="EN283" s="169"/>
      <c r="EO283" s="169"/>
      <c r="EP283" s="169"/>
      <c r="EQ283" s="169"/>
      <c r="ER283" s="169"/>
      <c r="ES283" s="169"/>
      <c r="ET283" s="169"/>
      <c r="EU283" s="169"/>
      <c r="EV283" s="169"/>
      <c r="EW283" s="169"/>
      <c r="EX283" s="169"/>
    </row>
    <row r="284" spans="1:154">
      <c r="A284" s="333">
        <f t="shared" si="8"/>
        <v>1993</v>
      </c>
      <c r="B284" s="333">
        <f t="shared" si="9"/>
        <v>4</v>
      </c>
      <c r="C284" s="1175">
        <v>34304</v>
      </c>
      <c r="D284" s="1167">
        <v>235.47</v>
      </c>
      <c r="E284" s="1168">
        <v>570.38</v>
      </c>
      <c r="F284" s="1168">
        <v>383.24</v>
      </c>
      <c r="G284" s="1168"/>
      <c r="H284" s="1167"/>
      <c r="I284" s="1168"/>
      <c r="J284" s="1168"/>
      <c r="K284" s="1678">
        <v>5119.12</v>
      </c>
      <c r="L284" s="1678">
        <v>7560.3603603603597</v>
      </c>
      <c r="M284" s="1682">
        <v>15.64</v>
      </c>
      <c r="N284" s="1169">
        <v>2553.2399999999998</v>
      </c>
      <c r="O284" s="1169">
        <v>682.12967065426074</v>
      </c>
      <c r="P284" s="1169">
        <v>1440.998375424605</v>
      </c>
      <c r="Q284" s="1167">
        <v>9.85</v>
      </c>
      <c r="R284" s="1167">
        <v>544</v>
      </c>
      <c r="S284" s="1167">
        <v>175</v>
      </c>
      <c r="T284" s="1167">
        <v>2178.2582448583585</v>
      </c>
      <c r="U284" s="1167"/>
      <c r="V284" s="1167"/>
      <c r="W284" s="1167"/>
      <c r="X284" s="344">
        <v>0.67710000000000004</v>
      </c>
      <c r="AI284" s="1781" t="s">
        <v>457</v>
      </c>
      <c r="AJ284" s="1826">
        <v>2009</v>
      </c>
      <c r="AK284" s="1822" t="s">
        <v>21</v>
      </c>
      <c r="AL284" s="1822">
        <v>10</v>
      </c>
      <c r="AM284" s="1823">
        <v>19569631</v>
      </c>
      <c r="AN284" s="1824">
        <v>2.8000000000000001E-2</v>
      </c>
      <c r="AP284" s="1781" t="s">
        <v>457</v>
      </c>
      <c r="AQ284" s="1781" t="s">
        <v>505</v>
      </c>
      <c r="AR284" s="1822" t="s">
        <v>27</v>
      </c>
      <c r="AS284" s="1822">
        <v>4</v>
      </c>
      <c r="AT284" s="1823">
        <v>83218121</v>
      </c>
      <c r="AU284" s="1825">
        <v>9.9000000000000005E-2</v>
      </c>
      <c r="AV284" s="1781">
        <v>2015</v>
      </c>
      <c r="EA284" s="169"/>
      <c r="EB284" s="169"/>
      <c r="EC284" s="169"/>
      <c r="ED284" s="169"/>
      <c r="EE284" s="169"/>
      <c r="EF284" s="169"/>
      <c r="EG284" s="169"/>
      <c r="EH284" s="169"/>
      <c r="EI284" s="169"/>
      <c r="EJ284" s="169"/>
      <c r="EK284" s="169"/>
      <c r="EL284" s="169"/>
      <c r="EM284" s="169"/>
      <c r="EN284" s="169"/>
      <c r="EO284" s="169"/>
      <c r="EP284" s="169"/>
      <c r="EQ284" s="169"/>
      <c r="ER284" s="169"/>
      <c r="ES284" s="169"/>
      <c r="ET284" s="169"/>
      <c r="EU284" s="169"/>
      <c r="EV284" s="169"/>
      <c r="EW284" s="169"/>
      <c r="EX284" s="169"/>
    </row>
    <row r="285" spans="1:154">
      <c r="A285" s="333">
        <f t="shared" si="8"/>
        <v>1994</v>
      </c>
      <c r="B285" s="333">
        <f t="shared" si="9"/>
        <v>1</v>
      </c>
      <c r="C285" s="1175">
        <v>34335</v>
      </c>
      <c r="D285" s="1158">
        <v>217.72</v>
      </c>
      <c r="E285" s="1159">
        <v>544.3053993250843</v>
      </c>
      <c r="F285" s="1159">
        <v>387.11</v>
      </c>
      <c r="G285" s="1160"/>
      <c r="H285" s="1161"/>
      <c r="I285" s="1160"/>
      <c r="J285" s="1160"/>
      <c r="K285" s="1677">
        <v>5580</v>
      </c>
      <c r="L285" s="1677">
        <v>7845.8942632170974</v>
      </c>
      <c r="M285" s="1681">
        <v>16.23</v>
      </c>
      <c r="N285" s="1162">
        <v>2535.29</v>
      </c>
      <c r="O285" s="1162">
        <v>688.30146231721028</v>
      </c>
      <c r="P285" s="1162">
        <v>1402.4606299212596</v>
      </c>
      <c r="Q285" s="1163">
        <v>9.5</v>
      </c>
      <c r="R285" s="1164">
        <v>351</v>
      </c>
      <c r="S285" s="1164">
        <v>204</v>
      </c>
      <c r="T285" s="1164">
        <v>2370</v>
      </c>
      <c r="U285" s="1165"/>
      <c r="V285" s="1166"/>
      <c r="W285" s="1166"/>
      <c r="X285" s="635">
        <v>0.71120000000000005</v>
      </c>
      <c r="AI285" s="1781" t="s">
        <v>457</v>
      </c>
      <c r="AJ285" s="1826">
        <v>2009</v>
      </c>
      <c r="AK285" s="1822" t="s">
        <v>39</v>
      </c>
      <c r="AL285" s="1822"/>
      <c r="AM285" s="1823">
        <v>87941336</v>
      </c>
      <c r="AN285" s="1824">
        <v>0.125</v>
      </c>
      <c r="AP285" s="1781" t="s">
        <v>457</v>
      </c>
      <c r="AQ285" s="1781" t="s">
        <v>505</v>
      </c>
      <c r="AR285" s="1822" t="s">
        <v>31</v>
      </c>
      <c r="AS285" s="1822">
        <v>5</v>
      </c>
      <c r="AT285" s="1823">
        <v>81449096</v>
      </c>
      <c r="AU285" s="1825">
        <v>9.7000000000000003E-2</v>
      </c>
      <c r="AV285" s="1781">
        <v>2015</v>
      </c>
      <c r="EA285" s="169"/>
      <c r="EB285" s="169"/>
      <c r="EC285" s="169"/>
      <c r="ED285" s="169"/>
      <c r="EE285" s="169"/>
      <c r="EF285" s="169"/>
      <c r="EG285" s="169"/>
      <c r="EH285" s="169"/>
      <c r="EI285" s="169"/>
      <c r="EJ285" s="169"/>
      <c r="EK285" s="169"/>
      <c r="EL285" s="169"/>
      <c r="EM285" s="169"/>
      <c r="EN285" s="169"/>
      <c r="EO285" s="169"/>
      <c r="EP285" s="169"/>
      <c r="EQ285" s="169"/>
      <c r="ER285" s="169"/>
      <c r="ES285" s="169"/>
      <c r="ET285" s="169"/>
      <c r="EU285" s="169"/>
      <c r="EV285" s="169"/>
      <c r="EW285" s="169"/>
      <c r="EX285" s="169"/>
    </row>
    <row r="286" spans="1:154">
      <c r="A286" s="333">
        <f t="shared" si="8"/>
        <v>1994</v>
      </c>
      <c r="B286" s="333">
        <f t="shared" si="9"/>
        <v>1</v>
      </c>
      <c r="C286" s="1175">
        <v>34366</v>
      </c>
      <c r="D286" s="1167">
        <v>198.55</v>
      </c>
      <c r="E286" s="1168">
        <v>531.70799665645029</v>
      </c>
      <c r="F286" s="1168">
        <v>381.66</v>
      </c>
      <c r="G286" s="1168"/>
      <c r="H286" s="1167"/>
      <c r="I286" s="1168"/>
      <c r="J286" s="1168"/>
      <c r="K286" s="1678">
        <v>5824.95</v>
      </c>
      <c r="L286" s="1678">
        <v>8115.0041794371691</v>
      </c>
      <c r="M286" s="1682">
        <v>16.649999999999999</v>
      </c>
      <c r="N286" s="1169">
        <v>2600.17</v>
      </c>
      <c r="O286" s="1169">
        <v>676.27472833658408</v>
      </c>
      <c r="P286" s="1169">
        <v>1350.2368347729173</v>
      </c>
      <c r="Q286" s="1167">
        <v>9.4499999999999993</v>
      </c>
      <c r="R286" s="1167">
        <v>351</v>
      </c>
      <c r="S286" s="1167">
        <v>204</v>
      </c>
      <c r="T286" s="1167">
        <v>2370</v>
      </c>
      <c r="U286" s="1167"/>
      <c r="V286" s="1167"/>
      <c r="W286" s="1167"/>
      <c r="X286" s="344">
        <v>0.71779999999999999</v>
      </c>
      <c r="AI286" s="1781" t="s">
        <v>457</v>
      </c>
      <c r="AJ286" s="1826">
        <v>2009</v>
      </c>
      <c r="AK286" s="1822" t="s">
        <v>386</v>
      </c>
      <c r="AL286" s="1822"/>
      <c r="AM286" s="1823">
        <v>705600652</v>
      </c>
      <c r="AN286" s="1824">
        <v>1</v>
      </c>
      <c r="AP286" s="1781" t="s">
        <v>457</v>
      </c>
      <c r="AQ286" s="1781" t="s">
        <v>505</v>
      </c>
      <c r="AR286" s="1822" t="s">
        <v>70</v>
      </c>
      <c r="AS286" s="1822">
        <v>6</v>
      </c>
      <c r="AT286" s="1823">
        <v>56969116</v>
      </c>
      <c r="AU286" s="1825">
        <v>6.8000000000000005E-2</v>
      </c>
      <c r="AV286" s="1781">
        <v>2015</v>
      </c>
      <c r="EA286" s="169"/>
      <c r="EB286" s="169"/>
      <c r="EC286" s="169"/>
      <c r="ED286" s="169"/>
      <c r="EE286" s="169"/>
      <c r="EF286" s="169"/>
      <c r="EG286" s="169"/>
      <c r="EH286" s="169"/>
      <c r="EI286" s="169"/>
      <c r="EJ286" s="169"/>
      <c r="EK286" s="169"/>
      <c r="EL286" s="169"/>
      <c r="EM286" s="169"/>
      <c r="EN286" s="169"/>
      <c r="EO286" s="169"/>
      <c r="EP286" s="169"/>
      <c r="EQ286" s="169"/>
      <c r="ER286" s="169"/>
      <c r="ES286" s="169"/>
      <c r="ET286" s="169"/>
      <c r="EU286" s="169"/>
      <c r="EV286" s="169"/>
      <c r="EW286" s="169"/>
      <c r="EX286" s="169"/>
    </row>
    <row r="287" spans="1:154">
      <c r="A287" s="333">
        <f t="shared" si="8"/>
        <v>1994</v>
      </c>
      <c r="B287" s="333">
        <f t="shared" si="9"/>
        <v>1</v>
      </c>
      <c r="C287" s="1175">
        <v>34394</v>
      </c>
      <c r="D287" s="1158">
        <v>204.75</v>
      </c>
      <c r="E287" s="1159">
        <v>547.94520547945206</v>
      </c>
      <c r="F287" s="1159">
        <v>384</v>
      </c>
      <c r="G287" s="1160"/>
      <c r="H287" s="1161"/>
      <c r="I287" s="1160"/>
      <c r="J287" s="1160"/>
      <c r="K287" s="1677">
        <v>5587.54</v>
      </c>
      <c r="L287" s="1677">
        <v>7973.0878995433795</v>
      </c>
      <c r="M287" s="1681">
        <v>15.84</v>
      </c>
      <c r="N287" s="1162">
        <v>2732.31</v>
      </c>
      <c r="O287" s="1162">
        <v>644.20662100456616</v>
      </c>
      <c r="P287" s="1162">
        <v>1335.9303652968038</v>
      </c>
      <c r="Q287" s="1163">
        <v>9.4499999999999993</v>
      </c>
      <c r="R287" s="1164">
        <v>351</v>
      </c>
      <c r="S287" s="1164">
        <v>204</v>
      </c>
      <c r="T287" s="1164">
        <v>2370</v>
      </c>
      <c r="U287" s="1165"/>
      <c r="V287" s="1166"/>
      <c r="W287" s="1166"/>
      <c r="X287" s="635">
        <v>0.70079999999999998</v>
      </c>
      <c r="AI287" s="1781" t="s">
        <v>457</v>
      </c>
      <c r="AJ287" s="1826">
        <v>2008</v>
      </c>
      <c r="AK287" s="1822" t="s">
        <v>18</v>
      </c>
      <c r="AL287" s="1822">
        <v>1</v>
      </c>
      <c r="AM287" s="1823">
        <v>149292229.32000002</v>
      </c>
      <c r="AN287" s="1824">
        <v>0.16082568528040042</v>
      </c>
      <c r="AP287" s="1781" t="s">
        <v>457</v>
      </c>
      <c r="AQ287" s="1781" t="s">
        <v>505</v>
      </c>
      <c r="AR287" s="1822" t="s">
        <v>21</v>
      </c>
      <c r="AS287" s="1822">
        <v>7</v>
      </c>
      <c r="AT287" s="1823">
        <v>43508105</v>
      </c>
      <c r="AU287" s="1825">
        <v>5.1999999999999998E-2</v>
      </c>
      <c r="AV287" s="1781">
        <v>2015</v>
      </c>
      <c r="EA287" s="169"/>
      <c r="EB287" s="169"/>
      <c r="EC287" s="169"/>
      <c r="ED287" s="169"/>
      <c r="EE287" s="169"/>
      <c r="EF287" s="169"/>
      <c r="EG287" s="169"/>
      <c r="EH287" s="169"/>
      <c r="EI287" s="169"/>
      <c r="EJ287" s="169"/>
      <c r="EK287" s="169"/>
      <c r="EL287" s="169"/>
      <c r="EM287" s="169"/>
      <c r="EN287" s="169"/>
      <c r="EO287" s="169"/>
      <c r="EP287" s="169"/>
      <c r="EQ287" s="169"/>
      <c r="ER287" s="169"/>
      <c r="ES287" s="169"/>
      <c r="ET287" s="169"/>
      <c r="EU287" s="169"/>
      <c r="EV287" s="169"/>
      <c r="EW287" s="169"/>
      <c r="EX287" s="169"/>
    </row>
    <row r="288" spans="1:154">
      <c r="A288" s="333">
        <f t="shared" si="8"/>
        <v>1994</v>
      </c>
      <c r="B288" s="333">
        <f t="shared" si="9"/>
        <v>2</v>
      </c>
      <c r="C288" s="1175">
        <v>34425</v>
      </c>
      <c r="D288" s="1167">
        <v>207.23</v>
      </c>
      <c r="E288" s="1168">
        <v>530.48848961257715</v>
      </c>
      <c r="F288" s="1168">
        <v>377.92</v>
      </c>
      <c r="G288" s="1168"/>
      <c r="H288" s="1167"/>
      <c r="I288" s="1168"/>
      <c r="J288" s="1168"/>
      <c r="K288" s="1678">
        <v>5407.97</v>
      </c>
      <c r="L288" s="1678">
        <v>7591.1987647389105</v>
      </c>
      <c r="M288" s="1682">
        <v>15.99</v>
      </c>
      <c r="N288" s="1169">
        <v>2642.62</v>
      </c>
      <c r="O288" s="1169">
        <v>618.22010106681637</v>
      </c>
      <c r="P288" s="1169">
        <v>1298.9191465468837</v>
      </c>
      <c r="Q288" s="1167">
        <v>9.3000000000000007</v>
      </c>
      <c r="R288" s="1167">
        <v>521</v>
      </c>
      <c r="S288" s="1167">
        <v>230</v>
      </c>
      <c r="T288" s="1167">
        <v>2660</v>
      </c>
      <c r="U288" s="1167"/>
      <c r="V288" s="1167"/>
      <c r="W288" s="1167"/>
      <c r="X288" s="344">
        <v>0.71240000000000003</v>
      </c>
      <c r="AI288" s="1781" t="s">
        <v>457</v>
      </c>
      <c r="AJ288" s="1826">
        <v>2008</v>
      </c>
      <c r="AK288" s="1822" t="s">
        <v>758</v>
      </c>
      <c r="AL288" s="1822">
        <v>2</v>
      </c>
      <c r="AM288" s="1823">
        <v>143673284.38</v>
      </c>
      <c r="AN288" s="1824">
        <v>0.15477265308546032</v>
      </c>
      <c r="AP288" s="1781" t="s">
        <v>457</v>
      </c>
      <c r="AQ288" s="1781" t="s">
        <v>505</v>
      </c>
      <c r="AR288" s="1822" t="s">
        <v>25</v>
      </c>
      <c r="AS288" s="1822">
        <v>8</v>
      </c>
      <c r="AT288" s="1823">
        <v>30288335</v>
      </c>
      <c r="AU288" s="1825">
        <v>3.5999999999999997E-2</v>
      </c>
      <c r="AV288" s="1781">
        <v>2015</v>
      </c>
      <c r="EA288" s="169"/>
      <c r="EB288" s="169"/>
      <c r="EC288" s="169"/>
      <c r="ED288" s="169"/>
      <c r="EE288" s="169"/>
      <c r="EF288" s="169"/>
      <c r="EG288" s="169"/>
      <c r="EH288" s="169"/>
      <c r="EI288" s="169"/>
      <c r="EJ288" s="169"/>
      <c r="EK288" s="169"/>
      <c r="EL288" s="169"/>
      <c r="EM288" s="169"/>
      <c r="EN288" s="169"/>
      <c r="EO288" s="169"/>
      <c r="EP288" s="169"/>
      <c r="EQ288" s="169"/>
      <c r="ER288" s="169"/>
      <c r="ES288" s="169"/>
      <c r="ET288" s="169"/>
      <c r="EU288" s="169"/>
      <c r="EV288" s="169"/>
      <c r="EW288" s="169"/>
      <c r="EX288" s="169"/>
    </row>
    <row r="289" spans="1:154">
      <c r="A289" s="333">
        <f t="shared" si="8"/>
        <v>1994</v>
      </c>
      <c r="B289" s="333">
        <f t="shared" si="9"/>
        <v>2</v>
      </c>
      <c r="C289" s="1175">
        <v>34455</v>
      </c>
      <c r="D289" s="1158">
        <v>205.4</v>
      </c>
      <c r="E289" s="1159">
        <v>518.05461214508898</v>
      </c>
      <c r="F289" s="1159">
        <v>381.34</v>
      </c>
      <c r="G289" s="1160"/>
      <c r="H289" s="1161"/>
      <c r="I289" s="1160"/>
      <c r="J289" s="1160"/>
      <c r="K289" s="1677">
        <v>6086.65</v>
      </c>
      <c r="L289" s="1677">
        <v>8268.7814155685373</v>
      </c>
      <c r="M289" s="1681">
        <v>16.670000000000002</v>
      </c>
      <c r="N289" s="1162">
        <v>2911.83</v>
      </c>
      <c r="O289" s="1162">
        <v>642.65724765656842</v>
      </c>
      <c r="P289" s="1162">
        <v>1296.6580627632115</v>
      </c>
      <c r="Q289" s="1163">
        <v>9.25</v>
      </c>
      <c r="R289" s="1164">
        <v>521</v>
      </c>
      <c r="S289" s="1164">
        <v>230</v>
      </c>
      <c r="T289" s="1164">
        <v>2660</v>
      </c>
      <c r="U289" s="1165"/>
      <c r="V289" s="1166"/>
      <c r="W289" s="1166"/>
      <c r="X289" s="635">
        <v>0.73609999999999998</v>
      </c>
      <c r="AI289" s="1781" t="s">
        <v>457</v>
      </c>
      <c r="AJ289" s="1826">
        <v>2008</v>
      </c>
      <c r="AK289" s="1822" t="s">
        <v>63</v>
      </c>
      <c r="AL289" s="1822">
        <v>3</v>
      </c>
      <c r="AM289" s="1823">
        <v>88634117.160000011</v>
      </c>
      <c r="AN289" s="1824">
        <v>9.5481477478149432E-2</v>
      </c>
      <c r="AP289" s="1781" t="s">
        <v>457</v>
      </c>
      <c r="AQ289" s="1781" t="s">
        <v>505</v>
      </c>
      <c r="AR289" s="1822" t="s">
        <v>54</v>
      </c>
      <c r="AS289" s="1822">
        <v>9</v>
      </c>
      <c r="AT289" s="1823">
        <v>22709081</v>
      </c>
      <c r="AU289" s="1825">
        <v>2.7E-2</v>
      </c>
      <c r="AV289" s="1781">
        <v>2015</v>
      </c>
      <c r="EA289" s="169"/>
      <c r="EB289" s="169"/>
      <c r="EC289" s="169"/>
      <c r="ED289" s="169"/>
      <c r="EE289" s="169"/>
      <c r="EF289" s="169"/>
      <c r="EG289" s="169"/>
      <c r="EH289" s="169"/>
      <c r="EI289" s="169"/>
      <c r="EJ289" s="169"/>
      <c r="EK289" s="169"/>
      <c r="EL289" s="169"/>
      <c r="EM289" s="169"/>
      <c r="EN289" s="169"/>
      <c r="EO289" s="169"/>
      <c r="EP289" s="169"/>
      <c r="EQ289" s="169"/>
      <c r="ER289" s="169"/>
      <c r="ES289" s="169"/>
      <c r="ET289" s="169"/>
      <c r="EU289" s="169"/>
      <c r="EV289" s="169"/>
      <c r="EW289" s="169"/>
      <c r="EX289" s="169"/>
    </row>
    <row r="290" spans="1:154">
      <c r="A290" s="333">
        <f t="shared" si="8"/>
        <v>1994</v>
      </c>
      <c r="B290" s="333">
        <f t="shared" si="9"/>
        <v>2</v>
      </c>
      <c r="C290" s="1175">
        <v>34486</v>
      </c>
      <c r="D290" s="1167">
        <v>204.95</v>
      </c>
      <c r="E290" s="1168">
        <v>529.28267727335071</v>
      </c>
      <c r="F290" s="1168">
        <v>385.9</v>
      </c>
      <c r="G290" s="1168"/>
      <c r="H290" s="1167"/>
      <c r="I290" s="1168"/>
      <c r="J290" s="1168"/>
      <c r="K290" s="1678">
        <v>6281.84</v>
      </c>
      <c r="L290" s="1678">
        <v>8615.8825949801121</v>
      </c>
      <c r="M290" s="1682">
        <v>17.63</v>
      </c>
      <c r="N290" s="1169">
        <v>3249.9</v>
      </c>
      <c r="O290" s="1169">
        <v>721.58825949801133</v>
      </c>
      <c r="P290" s="1169">
        <v>1325.2365930599369</v>
      </c>
      <c r="Q290" s="1167">
        <v>9.25</v>
      </c>
      <c r="R290" s="1167">
        <v>521</v>
      </c>
      <c r="S290" s="1167">
        <v>230</v>
      </c>
      <c r="T290" s="1167">
        <v>2660</v>
      </c>
      <c r="U290" s="1167"/>
      <c r="V290" s="1167"/>
      <c r="W290" s="1167"/>
      <c r="X290" s="344">
        <v>0.72909999999999997</v>
      </c>
      <c r="AI290" s="1781" t="s">
        <v>457</v>
      </c>
      <c r="AJ290" s="1826">
        <v>2008</v>
      </c>
      <c r="AK290" s="1822" t="s">
        <v>23</v>
      </c>
      <c r="AL290" s="1822">
        <v>4</v>
      </c>
      <c r="AM290" s="1823">
        <v>74598607.569999993</v>
      </c>
      <c r="AN290" s="1824">
        <v>8.0361665426625664E-2</v>
      </c>
      <c r="AP290" s="1781" t="s">
        <v>457</v>
      </c>
      <c r="AQ290" s="1781" t="s">
        <v>505</v>
      </c>
      <c r="AR290" s="1822" t="s">
        <v>24</v>
      </c>
      <c r="AS290" s="1822">
        <v>10</v>
      </c>
      <c r="AT290" s="1823">
        <v>16973993</v>
      </c>
      <c r="AU290" s="1825">
        <v>0.02</v>
      </c>
      <c r="AV290" s="1781">
        <v>2015</v>
      </c>
      <c r="EA290" s="169"/>
      <c r="EB290" s="169"/>
      <c r="EC290" s="169"/>
      <c r="ED290" s="169"/>
      <c r="EE290" s="169"/>
      <c r="EF290" s="169"/>
      <c r="EG290" s="169"/>
      <c r="EH290" s="169"/>
      <c r="EI290" s="169"/>
      <c r="EJ290" s="169"/>
      <c r="EK290" s="169"/>
      <c r="EL290" s="169"/>
      <c r="EM290" s="169"/>
      <c r="EN290" s="169"/>
      <c r="EO290" s="169"/>
      <c r="EP290" s="169"/>
      <c r="EQ290" s="169"/>
      <c r="ER290" s="169"/>
      <c r="ES290" s="169"/>
      <c r="ET290" s="169"/>
      <c r="EU290" s="169"/>
      <c r="EV290" s="169"/>
      <c r="EW290" s="169"/>
      <c r="EX290" s="169"/>
    </row>
    <row r="291" spans="1:154">
      <c r="A291" s="333">
        <f t="shared" si="8"/>
        <v>1994</v>
      </c>
      <c r="B291" s="333">
        <f t="shared" si="9"/>
        <v>3</v>
      </c>
      <c r="C291" s="1175">
        <v>34516</v>
      </c>
      <c r="D291" s="1158">
        <v>203.62</v>
      </c>
      <c r="E291" s="1159">
        <v>521.34451508183417</v>
      </c>
      <c r="F291" s="1159">
        <v>385.43</v>
      </c>
      <c r="G291" s="1160"/>
      <c r="H291" s="1161"/>
      <c r="I291" s="1160"/>
      <c r="J291" s="1160"/>
      <c r="K291" s="1677">
        <v>6226.76</v>
      </c>
      <c r="L291" s="1677">
        <v>8422.5077776274866</v>
      </c>
      <c r="M291" s="1681">
        <v>18.690000000000001</v>
      </c>
      <c r="N291" s="1162">
        <v>3324.9</v>
      </c>
      <c r="O291" s="1162">
        <v>784.71527120248891</v>
      </c>
      <c r="P291" s="1162">
        <v>1304.4772081698904</v>
      </c>
      <c r="Q291" s="1163">
        <v>9.25</v>
      </c>
      <c r="R291" s="1164">
        <v>347</v>
      </c>
      <c r="S291" s="1164">
        <v>241</v>
      </c>
      <c r="T291" s="1164">
        <v>2740</v>
      </c>
      <c r="U291" s="1165"/>
      <c r="V291" s="1166"/>
      <c r="W291" s="1166"/>
      <c r="X291" s="635">
        <v>0.73929999999999996</v>
      </c>
      <c r="AI291" s="1781" t="s">
        <v>457</v>
      </c>
      <c r="AJ291" s="1826">
        <v>2008</v>
      </c>
      <c r="AK291" s="1822" t="s">
        <v>59</v>
      </c>
      <c r="AL291" s="1822">
        <v>5</v>
      </c>
      <c r="AM291" s="1823">
        <v>69070542.060000002</v>
      </c>
      <c r="AN291" s="1824">
        <v>7.440653348191438E-2</v>
      </c>
      <c r="AP291" s="1781" t="s">
        <v>457</v>
      </c>
      <c r="AQ291" s="1781" t="s">
        <v>505</v>
      </c>
      <c r="AR291" s="1822" t="s">
        <v>39</v>
      </c>
      <c r="AS291" s="1822"/>
      <c r="AT291" s="1823">
        <v>84899598</v>
      </c>
      <c r="AU291" s="1825">
        <v>0.10100000000000001</v>
      </c>
      <c r="AV291" s="1781">
        <v>2015</v>
      </c>
      <c r="EA291" s="169"/>
      <c r="EB291" s="169"/>
      <c r="EC291" s="169"/>
      <c r="ED291" s="169"/>
      <c r="EE291" s="169"/>
      <c r="EF291" s="169"/>
      <c r="EG291" s="169"/>
      <c r="EH291" s="169"/>
      <c r="EI291" s="169"/>
      <c r="EJ291" s="169"/>
      <c r="EK291" s="169"/>
      <c r="EL291" s="169"/>
      <c r="EM291" s="169"/>
      <c r="EN291" s="169"/>
      <c r="EO291" s="169"/>
      <c r="EP291" s="169"/>
      <c r="EQ291" s="169"/>
      <c r="ER291" s="169"/>
      <c r="ES291" s="169"/>
      <c r="ET291" s="169"/>
      <c r="EU291" s="169"/>
      <c r="EV291" s="169"/>
      <c r="EW291" s="169"/>
      <c r="EX291" s="169"/>
    </row>
    <row r="292" spans="1:154">
      <c r="A292" s="333">
        <f t="shared" si="8"/>
        <v>1994</v>
      </c>
      <c r="B292" s="333">
        <f t="shared" si="9"/>
        <v>3</v>
      </c>
      <c r="C292" s="1175">
        <v>34547</v>
      </c>
      <c r="D292" s="1167">
        <v>211.35</v>
      </c>
      <c r="E292" s="1168">
        <v>512.13468013468014</v>
      </c>
      <c r="F292" s="1168">
        <v>380.26</v>
      </c>
      <c r="G292" s="1168"/>
      <c r="H292" s="1167"/>
      <c r="I292" s="1168"/>
      <c r="J292" s="1168"/>
      <c r="K292" s="1678">
        <v>5859.5</v>
      </c>
      <c r="L292" s="1678">
        <v>7891.5824915824915</v>
      </c>
      <c r="M292" s="1682">
        <v>18.71</v>
      </c>
      <c r="N292" s="1169">
        <v>3240.54</v>
      </c>
      <c r="O292" s="1169">
        <v>768.95622895622898</v>
      </c>
      <c r="P292" s="1169">
        <v>1274.3434343434344</v>
      </c>
      <c r="Q292" s="1167">
        <v>9.1</v>
      </c>
      <c r="R292" s="1167">
        <v>347</v>
      </c>
      <c r="S292" s="1167">
        <v>241</v>
      </c>
      <c r="T292" s="1167">
        <v>2740</v>
      </c>
      <c r="U292" s="1167"/>
      <c r="V292" s="1167"/>
      <c r="W292" s="1167"/>
      <c r="X292" s="344">
        <v>0.74250000000000005</v>
      </c>
      <c r="AI292" s="1781" t="s">
        <v>457</v>
      </c>
      <c r="AJ292" s="1826">
        <v>2008</v>
      </c>
      <c r="AK292" s="1822" t="s">
        <v>27</v>
      </c>
      <c r="AL292" s="1822">
        <v>6</v>
      </c>
      <c r="AM292" s="1823">
        <v>66171521.980000004</v>
      </c>
      <c r="AN292" s="1824">
        <v>7.1283551842941814E-2</v>
      </c>
      <c r="AP292" s="1781" t="s">
        <v>457</v>
      </c>
      <c r="AQ292" s="1781" t="s">
        <v>505</v>
      </c>
      <c r="AR292" s="1822" t="s">
        <v>386</v>
      </c>
      <c r="AS292" s="1822"/>
      <c r="AT292" s="1823">
        <v>841133341</v>
      </c>
      <c r="AU292" s="1825"/>
      <c r="AV292" s="1781">
        <v>2015</v>
      </c>
      <c r="EA292" s="169"/>
      <c r="EB292" s="169"/>
      <c r="EC292" s="169"/>
      <c r="ED292" s="169"/>
      <c r="EE292" s="169"/>
      <c r="EF292" s="169"/>
      <c r="EG292" s="169"/>
      <c r="EH292" s="169"/>
      <c r="EI292" s="169"/>
      <c r="EJ292" s="169"/>
      <c r="EK292" s="169"/>
      <c r="EL292" s="169"/>
      <c r="EM292" s="169"/>
      <c r="EN292" s="169"/>
      <c r="EO292" s="169"/>
      <c r="EP292" s="169"/>
      <c r="EQ292" s="169"/>
      <c r="ER292" s="169"/>
      <c r="ES292" s="169"/>
      <c r="ET292" s="169"/>
      <c r="EU292" s="169"/>
      <c r="EV292" s="169"/>
      <c r="EW292" s="169"/>
      <c r="EX292" s="169"/>
    </row>
    <row r="293" spans="1:154">
      <c r="A293" s="333">
        <f t="shared" si="8"/>
        <v>1994</v>
      </c>
      <c r="B293" s="333">
        <f t="shared" si="9"/>
        <v>3</v>
      </c>
      <c r="C293" s="1175">
        <v>34578</v>
      </c>
      <c r="D293" s="1158">
        <v>210.25</v>
      </c>
      <c r="E293" s="1159">
        <v>447.70403085242214</v>
      </c>
      <c r="F293" s="1159">
        <v>391.35</v>
      </c>
      <c r="G293" s="1160"/>
      <c r="H293" s="1161"/>
      <c r="I293" s="1160"/>
      <c r="J293" s="1160"/>
      <c r="K293" s="1677">
        <v>6364.75</v>
      </c>
      <c r="L293" s="1677">
        <v>8610.32196969697</v>
      </c>
      <c r="M293" s="1681">
        <v>17.57</v>
      </c>
      <c r="N293" s="1162">
        <v>3390.96</v>
      </c>
      <c r="O293" s="1162">
        <v>831.00649350649348</v>
      </c>
      <c r="P293" s="1162">
        <v>1343.7905844155846</v>
      </c>
      <c r="Q293" s="1163">
        <v>9.0500000000000007</v>
      </c>
      <c r="R293" s="1164">
        <v>347</v>
      </c>
      <c r="S293" s="1164">
        <v>241</v>
      </c>
      <c r="T293" s="1164">
        <v>2740</v>
      </c>
      <c r="U293" s="1165"/>
      <c r="V293" s="1166"/>
      <c r="W293" s="1166"/>
      <c r="X293" s="635">
        <v>0.73919999999999997</v>
      </c>
      <c r="AI293" s="1781" t="s">
        <v>457</v>
      </c>
      <c r="AJ293" s="1826">
        <v>2008</v>
      </c>
      <c r="AK293" s="1822" t="s">
        <v>31</v>
      </c>
      <c r="AL293" s="1822">
        <v>7</v>
      </c>
      <c r="AM293" s="1823">
        <v>64614850.18</v>
      </c>
      <c r="AN293" s="1824">
        <v>6.9606620564388419E-2</v>
      </c>
      <c r="AP293" s="1781" t="s">
        <v>457</v>
      </c>
      <c r="AQ293" s="1781" t="s">
        <v>504</v>
      </c>
      <c r="AR293" s="1822" t="s">
        <v>758</v>
      </c>
      <c r="AS293" s="1822">
        <v>1</v>
      </c>
      <c r="AT293" s="1823">
        <v>219174301</v>
      </c>
      <c r="AU293" s="1825">
        <v>0.32600000000000001</v>
      </c>
      <c r="AV293" s="1781">
        <v>2014</v>
      </c>
      <c r="EA293" s="169"/>
      <c r="EB293" s="169"/>
      <c r="EC293" s="169"/>
      <c r="ED293" s="169"/>
      <c r="EE293" s="169"/>
      <c r="EF293" s="169"/>
      <c r="EG293" s="169"/>
      <c r="EH293" s="169"/>
      <c r="EI293" s="169"/>
      <c r="EJ293" s="169"/>
      <c r="EK293" s="169"/>
      <c r="EL293" s="169"/>
      <c r="EM293" s="169"/>
      <c r="EN293" s="169"/>
      <c r="EO293" s="169"/>
      <c r="EP293" s="169"/>
      <c r="EQ293" s="169"/>
      <c r="ER293" s="169"/>
      <c r="ES293" s="169"/>
      <c r="ET293" s="169"/>
      <c r="EU293" s="169"/>
      <c r="EV293" s="169"/>
      <c r="EW293" s="169"/>
      <c r="EX293" s="169"/>
    </row>
    <row r="294" spans="1:154">
      <c r="A294" s="333">
        <f t="shared" si="8"/>
        <v>1994</v>
      </c>
      <c r="B294" s="333">
        <f t="shared" si="9"/>
        <v>4</v>
      </c>
      <c r="C294" s="1175">
        <v>34608</v>
      </c>
      <c r="D294" s="1167">
        <v>205.7</v>
      </c>
      <c r="E294" s="1168">
        <v>440.49825974569677</v>
      </c>
      <c r="F294" s="1168">
        <v>390.16</v>
      </c>
      <c r="G294" s="1168"/>
      <c r="H294" s="1167"/>
      <c r="I294" s="1168"/>
      <c r="J294" s="1168"/>
      <c r="K294" s="1678">
        <v>6748.29</v>
      </c>
      <c r="L294" s="1678">
        <v>9092.2797089733231</v>
      </c>
      <c r="M294" s="1682">
        <v>17.54</v>
      </c>
      <c r="N294" s="1169">
        <v>3432.5</v>
      </c>
      <c r="O294" s="1169">
        <v>864.76690918889801</v>
      </c>
      <c r="P294" s="1169">
        <v>1426.7043923470765</v>
      </c>
      <c r="Q294" s="1167">
        <v>9.0500000000000007</v>
      </c>
      <c r="R294" s="1167">
        <v>551</v>
      </c>
      <c r="S294" s="1167">
        <v>263</v>
      </c>
      <c r="T294" s="1167">
        <v>2690</v>
      </c>
      <c r="U294" s="1167"/>
      <c r="V294" s="1167"/>
      <c r="W294" s="1167"/>
      <c r="X294" s="344">
        <v>0.74219999999999997</v>
      </c>
      <c r="AI294" s="1781" t="s">
        <v>457</v>
      </c>
      <c r="AJ294" s="1826">
        <v>2008</v>
      </c>
      <c r="AK294" s="1822" t="s">
        <v>388</v>
      </c>
      <c r="AL294" s="1822">
        <v>8</v>
      </c>
      <c r="AM294" s="1823">
        <v>55218097.929999985</v>
      </c>
      <c r="AN294" s="1824">
        <v>5.9483929471222843E-2</v>
      </c>
      <c r="AP294" s="1781" t="s">
        <v>457</v>
      </c>
      <c r="AQ294" s="1781" t="s">
        <v>504</v>
      </c>
      <c r="AR294" s="1822" t="s">
        <v>18</v>
      </c>
      <c r="AS294" s="1822">
        <v>2</v>
      </c>
      <c r="AT294" s="1823">
        <v>140776205</v>
      </c>
      <c r="AU294" s="1825">
        <v>0.20899999999999999</v>
      </c>
      <c r="AV294" s="1781">
        <v>2014</v>
      </c>
      <c r="EA294" s="169"/>
      <c r="EB294" s="169"/>
      <c r="EC294" s="169"/>
      <c r="ED294" s="169"/>
      <c r="EE294" s="169"/>
      <c r="EF294" s="169"/>
      <c r="EG294" s="169"/>
      <c r="EH294" s="169"/>
      <c r="EI294" s="169"/>
      <c r="EJ294" s="169"/>
      <c r="EK294" s="169"/>
      <c r="EL294" s="169"/>
      <c r="EM294" s="169"/>
      <c r="EN294" s="169"/>
      <c r="EO294" s="169"/>
      <c r="EP294" s="169"/>
      <c r="EQ294" s="169"/>
      <c r="ER294" s="169"/>
      <c r="ES294" s="169"/>
      <c r="ET294" s="169"/>
      <c r="EU294" s="169"/>
      <c r="EV294" s="169"/>
      <c r="EW294" s="169"/>
      <c r="EX294" s="169"/>
    </row>
    <row r="295" spans="1:154">
      <c r="A295" s="333">
        <f t="shared" si="8"/>
        <v>1994</v>
      </c>
      <c r="B295" s="333">
        <f t="shared" si="9"/>
        <v>4</v>
      </c>
      <c r="C295" s="1175">
        <v>34639</v>
      </c>
      <c r="D295" s="1158">
        <v>214.56</v>
      </c>
      <c r="E295" s="1159">
        <v>431.31593784679563</v>
      </c>
      <c r="F295" s="1159">
        <v>384.38</v>
      </c>
      <c r="G295" s="1160"/>
      <c r="H295" s="1161"/>
      <c r="I295" s="1160"/>
      <c r="J295" s="1160"/>
      <c r="K295" s="1677">
        <v>7561.78</v>
      </c>
      <c r="L295" s="1677">
        <v>9853.7633567891589</v>
      </c>
      <c r="M295" s="1681">
        <v>17.43</v>
      </c>
      <c r="N295" s="1162">
        <v>3651.81</v>
      </c>
      <c r="O295" s="1162">
        <v>869.40317956737033</v>
      </c>
      <c r="P295" s="1162">
        <v>1501.1727912431588</v>
      </c>
      <c r="Q295" s="1163">
        <v>9.4499999999999993</v>
      </c>
      <c r="R295" s="1164">
        <v>551</v>
      </c>
      <c r="S295" s="1164">
        <v>263</v>
      </c>
      <c r="T295" s="1164">
        <v>2690</v>
      </c>
      <c r="U295" s="1165"/>
      <c r="V295" s="1166"/>
      <c r="W295" s="1166"/>
      <c r="X295" s="635">
        <v>0.76739999999999997</v>
      </c>
      <c r="AI295" s="1781" t="s">
        <v>457</v>
      </c>
      <c r="AJ295" s="1826">
        <v>2008</v>
      </c>
      <c r="AK295" s="1822" t="s">
        <v>537</v>
      </c>
      <c r="AL295" s="1822">
        <v>9</v>
      </c>
      <c r="AM295" s="1823">
        <v>44761978.759999998</v>
      </c>
      <c r="AN295" s="1824">
        <v>4.8220030884215129E-2</v>
      </c>
      <c r="AP295" s="1781" t="s">
        <v>457</v>
      </c>
      <c r="AQ295" s="1781" t="s">
        <v>504</v>
      </c>
      <c r="AR295" s="1822" t="s">
        <v>27</v>
      </c>
      <c r="AS295" s="1822">
        <v>3</v>
      </c>
      <c r="AT295" s="1823">
        <v>66026579</v>
      </c>
      <c r="AU295" s="1825">
        <v>9.8000000000000004E-2</v>
      </c>
      <c r="AV295" s="1781">
        <v>2014</v>
      </c>
      <c r="EA295" s="169"/>
      <c r="EB295" s="169"/>
      <c r="EC295" s="169"/>
      <c r="ED295" s="169"/>
      <c r="EE295" s="169"/>
      <c r="EF295" s="169"/>
      <c r="EG295" s="169"/>
      <c r="EH295" s="169"/>
      <c r="EI295" s="169"/>
      <c r="EJ295" s="169"/>
      <c r="EK295" s="169"/>
      <c r="EL295" s="169"/>
      <c r="EM295" s="169"/>
      <c r="EN295" s="169"/>
      <c r="EO295" s="169"/>
      <c r="EP295" s="169"/>
      <c r="EQ295" s="169"/>
      <c r="ER295" s="169"/>
      <c r="ES295" s="169"/>
      <c r="ET295" s="169"/>
      <c r="EU295" s="169"/>
      <c r="EV295" s="169"/>
      <c r="EW295" s="169"/>
      <c r="EX295" s="169"/>
    </row>
    <row r="296" spans="1:154">
      <c r="A296" s="333">
        <f t="shared" si="8"/>
        <v>1994</v>
      </c>
      <c r="B296" s="333">
        <f t="shared" si="9"/>
        <v>4</v>
      </c>
      <c r="C296" s="1175">
        <v>34669</v>
      </c>
      <c r="D296" s="1167">
        <v>205.93</v>
      </c>
      <c r="E296" s="1168">
        <v>418.79159390667354</v>
      </c>
      <c r="F296" s="1168">
        <v>379.5</v>
      </c>
      <c r="G296" s="1168"/>
      <c r="H296" s="1167"/>
      <c r="I296" s="1168"/>
      <c r="J296" s="1168"/>
      <c r="K296" s="1678">
        <v>8553.85</v>
      </c>
      <c r="L296" s="1678">
        <v>11011.647785787847</v>
      </c>
      <c r="M296" s="1682">
        <v>17.07</v>
      </c>
      <c r="N296" s="1169">
        <v>3843.59</v>
      </c>
      <c r="O296" s="1169">
        <v>817.22451081359429</v>
      </c>
      <c r="P296" s="1169">
        <v>1433.9598352214211</v>
      </c>
      <c r="Q296" s="1167">
        <v>9.6</v>
      </c>
      <c r="R296" s="1167">
        <v>551</v>
      </c>
      <c r="S296" s="1167">
        <v>263</v>
      </c>
      <c r="T296" s="1167">
        <v>2690</v>
      </c>
      <c r="U296" s="1167"/>
      <c r="V296" s="1167"/>
      <c r="W296" s="1167"/>
      <c r="X296" s="344">
        <v>0.77680000000000005</v>
      </c>
      <c r="AI296" s="1781" t="s">
        <v>457</v>
      </c>
      <c r="AJ296" s="1826">
        <v>2008</v>
      </c>
      <c r="AK296" s="1822" t="s">
        <v>390</v>
      </c>
      <c r="AL296" s="1822">
        <v>10</v>
      </c>
      <c r="AM296" s="1823">
        <v>35841945.059999995</v>
      </c>
      <c r="AN296" s="1824">
        <v>3.8610886864724067E-2</v>
      </c>
      <c r="AP296" s="1781" t="s">
        <v>457</v>
      </c>
      <c r="AQ296" s="1781" t="s">
        <v>504</v>
      </c>
      <c r="AR296" s="1822" t="s">
        <v>63</v>
      </c>
      <c r="AS296" s="1822">
        <v>4</v>
      </c>
      <c r="AT296" s="1823">
        <v>61145279</v>
      </c>
      <c r="AU296" s="1825">
        <v>9.0999999999999998E-2</v>
      </c>
      <c r="AV296" s="1781">
        <v>2014</v>
      </c>
      <c r="EA296" s="169"/>
      <c r="EB296" s="169"/>
      <c r="EC296" s="169"/>
      <c r="ED296" s="169"/>
      <c r="EE296" s="169"/>
      <c r="EF296" s="169"/>
      <c r="EG296" s="169"/>
      <c r="EH296" s="169"/>
      <c r="EI296" s="169"/>
      <c r="EJ296" s="169"/>
      <c r="EK296" s="169"/>
      <c r="EL296" s="169"/>
      <c r="EM296" s="169"/>
      <c r="EN296" s="169"/>
      <c r="EO296" s="169"/>
      <c r="EP296" s="169"/>
      <c r="EQ296" s="169"/>
      <c r="ER296" s="169"/>
      <c r="ES296" s="169"/>
      <c r="ET296" s="169"/>
      <c r="EU296" s="169"/>
      <c r="EV296" s="169"/>
      <c r="EW296" s="169"/>
      <c r="EX296" s="169"/>
    </row>
    <row r="297" spans="1:154">
      <c r="A297" s="333">
        <f t="shared" si="8"/>
        <v>1995</v>
      </c>
      <c r="B297" s="333">
        <f t="shared" si="9"/>
        <v>1</v>
      </c>
      <c r="C297" s="1175">
        <v>34700</v>
      </c>
      <c r="D297" s="1158">
        <v>209.79</v>
      </c>
      <c r="E297" s="1159">
        <v>499.4593168930503</v>
      </c>
      <c r="F297" s="1159">
        <v>378.74</v>
      </c>
      <c r="G297" s="1160"/>
      <c r="H297" s="1161"/>
      <c r="I297" s="1160"/>
      <c r="J297" s="1160"/>
      <c r="K297" s="1677">
        <v>9592.5499999999993</v>
      </c>
      <c r="L297" s="1677">
        <v>12650.072530660687</v>
      </c>
      <c r="M297" s="1681">
        <v>18.5</v>
      </c>
      <c r="N297" s="1162">
        <v>3969.8</v>
      </c>
      <c r="O297" s="1162">
        <v>878.18805222207561</v>
      </c>
      <c r="P297" s="1162">
        <v>1524.1988658842147</v>
      </c>
      <c r="Q297" s="1163">
        <v>9.65</v>
      </c>
      <c r="R297" s="1164">
        <v>567</v>
      </c>
      <c r="S297" s="1164">
        <v>285</v>
      </c>
      <c r="T297" s="1164">
        <v>2550</v>
      </c>
      <c r="U297" s="1165">
        <v>87059</v>
      </c>
      <c r="V297" s="1166"/>
      <c r="W297" s="1166"/>
      <c r="X297" s="635">
        <v>0.75829999999999997</v>
      </c>
      <c r="AI297" s="1781" t="s">
        <v>457</v>
      </c>
      <c r="AJ297" s="1826">
        <v>2008</v>
      </c>
      <c r="AK297" s="1822" t="s">
        <v>70</v>
      </c>
      <c r="AL297" s="1822">
        <v>11</v>
      </c>
      <c r="AM297" s="1823">
        <v>33437899.27</v>
      </c>
      <c r="AN297" s="1824">
        <v>3.6021118372530914E-2</v>
      </c>
      <c r="AP297" s="1781" t="s">
        <v>457</v>
      </c>
      <c r="AQ297" s="1781" t="s">
        <v>504</v>
      </c>
      <c r="AR297" s="1822" t="s">
        <v>21</v>
      </c>
      <c r="AS297" s="1822">
        <v>5</v>
      </c>
      <c r="AT297" s="1823">
        <v>39026663</v>
      </c>
      <c r="AU297" s="1825">
        <v>5.8000000000000003E-2</v>
      </c>
      <c r="AV297" s="1781">
        <v>2014</v>
      </c>
      <c r="EA297" s="169"/>
      <c r="EB297" s="169"/>
      <c r="EC297" s="169"/>
      <c r="ED297" s="169"/>
      <c r="EE297" s="169"/>
      <c r="EF297" s="169"/>
      <c r="EG297" s="169"/>
      <c r="EH297" s="169"/>
      <c r="EI297" s="169"/>
      <c r="EJ297" s="169"/>
      <c r="EK297" s="169"/>
      <c r="EL297" s="169"/>
      <c r="EM297" s="169"/>
      <c r="EN297" s="169"/>
      <c r="EO297" s="169"/>
      <c r="EP297" s="169"/>
      <c r="EQ297" s="169"/>
      <c r="ER297" s="169"/>
      <c r="ES297" s="169"/>
      <c r="ET297" s="169"/>
      <c r="EU297" s="169"/>
      <c r="EV297" s="169"/>
      <c r="EW297" s="169"/>
      <c r="EX297" s="169"/>
    </row>
    <row r="298" spans="1:154">
      <c r="A298" s="333">
        <f t="shared" si="8"/>
        <v>1995</v>
      </c>
      <c r="B298" s="333">
        <f t="shared" si="9"/>
        <v>1</v>
      </c>
      <c r="C298" s="1175">
        <v>34731</v>
      </c>
      <c r="D298" s="1167">
        <v>217.94</v>
      </c>
      <c r="E298" s="1168">
        <v>508.99256254225821</v>
      </c>
      <c r="F298" s="1168">
        <v>376.4</v>
      </c>
      <c r="G298" s="1168"/>
      <c r="H298" s="1167"/>
      <c r="I298" s="1168"/>
      <c r="J298" s="1168"/>
      <c r="K298" s="1678">
        <v>8505.4500000000007</v>
      </c>
      <c r="L298" s="1678">
        <v>11501.622718052738</v>
      </c>
      <c r="M298" s="1682">
        <v>18.88</v>
      </c>
      <c r="N298" s="1169">
        <v>3891.28</v>
      </c>
      <c r="O298" s="1169">
        <v>784.11088573360382</v>
      </c>
      <c r="P298" s="1169">
        <v>1396.3488843813386</v>
      </c>
      <c r="Q298" s="1167">
        <v>10.4</v>
      </c>
      <c r="R298" s="1167">
        <v>567</v>
      </c>
      <c r="S298" s="1167">
        <v>285</v>
      </c>
      <c r="T298" s="1167">
        <v>2550</v>
      </c>
      <c r="U298" s="1167">
        <v>89257</v>
      </c>
      <c r="V298" s="1167"/>
      <c r="W298" s="1167"/>
      <c r="X298" s="344">
        <v>0.73950000000000005</v>
      </c>
      <c r="AI298" s="1781" t="s">
        <v>457</v>
      </c>
      <c r="AJ298" s="1826">
        <v>2008</v>
      </c>
      <c r="AK298" s="1822" t="s">
        <v>25</v>
      </c>
      <c r="AL298" s="1822">
        <v>12</v>
      </c>
      <c r="AM298" s="1823">
        <v>32033099.390000004</v>
      </c>
      <c r="AN298" s="1824">
        <v>3.450779176195054E-2</v>
      </c>
      <c r="AP298" s="1781" t="s">
        <v>457</v>
      </c>
      <c r="AQ298" s="1781" t="s">
        <v>504</v>
      </c>
      <c r="AR298" s="1822" t="s">
        <v>31</v>
      </c>
      <c r="AS298" s="1822">
        <v>6</v>
      </c>
      <c r="AT298" s="1823">
        <v>24561816</v>
      </c>
      <c r="AU298" s="1825">
        <v>3.6999999999999998E-2</v>
      </c>
      <c r="AV298" s="1781">
        <v>2014</v>
      </c>
      <c r="EA298" s="169"/>
      <c r="EB298" s="169"/>
      <c r="EC298" s="169"/>
      <c r="ED298" s="169"/>
      <c r="EE298" s="169"/>
      <c r="EF298" s="169"/>
      <c r="EG298" s="169"/>
      <c r="EH298" s="169"/>
      <c r="EI298" s="169"/>
      <c r="EJ298" s="169"/>
      <c r="EK298" s="169"/>
      <c r="EL298" s="169"/>
      <c r="EM298" s="169"/>
      <c r="EN298" s="169"/>
      <c r="EO298" s="169"/>
      <c r="EP298" s="169"/>
      <c r="EQ298" s="169"/>
      <c r="ER298" s="169"/>
      <c r="ES298" s="169"/>
      <c r="ET298" s="169"/>
      <c r="EU298" s="169"/>
      <c r="EV298" s="169"/>
      <c r="EW298" s="169"/>
      <c r="EX298" s="169"/>
    </row>
    <row r="299" spans="1:154">
      <c r="A299" s="333">
        <f t="shared" si="8"/>
        <v>1995</v>
      </c>
      <c r="B299" s="333">
        <f t="shared" si="9"/>
        <v>1</v>
      </c>
      <c r="C299" s="1175">
        <v>34759</v>
      </c>
      <c r="D299" s="1158">
        <v>211.32</v>
      </c>
      <c r="E299" s="1159">
        <v>529.35439560439568</v>
      </c>
      <c r="F299" s="1159">
        <v>385.37</v>
      </c>
      <c r="G299" s="1160"/>
      <c r="H299" s="1161"/>
      <c r="I299" s="1160"/>
      <c r="J299" s="1160"/>
      <c r="K299" s="1677">
        <v>7531.91</v>
      </c>
      <c r="L299" s="1677">
        <v>10346.030219780219</v>
      </c>
      <c r="M299" s="1681">
        <v>18.489999999999998</v>
      </c>
      <c r="N299" s="1162">
        <v>4016.48</v>
      </c>
      <c r="O299" s="1162">
        <v>804.34065934065927</v>
      </c>
      <c r="P299" s="1162">
        <v>1404.6703296703297</v>
      </c>
      <c r="Q299" s="1163">
        <v>11.15</v>
      </c>
      <c r="R299" s="1164">
        <v>567</v>
      </c>
      <c r="S299" s="1164">
        <v>285</v>
      </c>
      <c r="T299" s="1164">
        <v>2550</v>
      </c>
      <c r="U299" s="1165">
        <v>86549</v>
      </c>
      <c r="V299" s="1166"/>
      <c r="W299" s="1166"/>
      <c r="X299" s="635">
        <v>0.72799999999999998</v>
      </c>
      <c r="AI299" s="1781" t="s">
        <v>457</v>
      </c>
      <c r="AJ299" s="1826">
        <v>2008</v>
      </c>
      <c r="AK299" s="1822" t="s">
        <v>39</v>
      </c>
      <c r="AL299" s="1822"/>
      <c r="AM299" s="1823">
        <v>70937809.740000248</v>
      </c>
      <c r="AN299" s="1824">
        <v>7.6418055485476241E-2</v>
      </c>
      <c r="AP299" s="1781" t="s">
        <v>457</v>
      </c>
      <c r="AQ299" s="1781" t="s">
        <v>504</v>
      </c>
      <c r="AR299" s="1822" t="s">
        <v>537</v>
      </c>
      <c r="AS299" s="1822">
        <v>7</v>
      </c>
      <c r="AT299" s="1823">
        <v>22232225</v>
      </c>
      <c r="AU299" s="1825">
        <v>3.3000000000000002E-2</v>
      </c>
      <c r="AV299" s="1781">
        <v>2014</v>
      </c>
      <c r="EA299" s="169"/>
      <c r="EB299" s="169"/>
      <c r="EC299" s="169"/>
      <c r="ED299" s="169"/>
      <c r="EE299" s="169"/>
      <c r="EF299" s="169"/>
      <c r="EG299" s="169"/>
      <c r="EH299" s="169"/>
      <c r="EI299" s="169"/>
      <c r="EJ299" s="169"/>
      <c r="EK299" s="169"/>
      <c r="EL299" s="169"/>
      <c r="EM299" s="169"/>
      <c r="EN299" s="169"/>
      <c r="EO299" s="169"/>
      <c r="EP299" s="169"/>
      <c r="EQ299" s="169"/>
      <c r="ER299" s="169"/>
      <c r="ES299" s="169"/>
      <c r="ET299" s="169"/>
      <c r="EU299" s="169"/>
      <c r="EV299" s="169"/>
      <c r="EW299" s="169"/>
      <c r="EX299" s="169"/>
    </row>
    <row r="300" spans="1:154">
      <c r="A300" s="333">
        <f t="shared" si="8"/>
        <v>1995</v>
      </c>
      <c r="B300" s="333">
        <f t="shared" si="9"/>
        <v>2</v>
      </c>
      <c r="C300" s="1175">
        <v>34790</v>
      </c>
      <c r="D300" s="1167">
        <v>226.74</v>
      </c>
      <c r="E300" s="1168">
        <v>534.25126729688998</v>
      </c>
      <c r="F300" s="1168">
        <v>389.95</v>
      </c>
      <c r="G300" s="1168"/>
      <c r="H300" s="1167"/>
      <c r="I300" s="1168"/>
      <c r="J300" s="1168"/>
      <c r="K300" s="1678">
        <v>7397.83</v>
      </c>
      <c r="L300" s="1678">
        <v>10135.402109878065</v>
      </c>
      <c r="M300" s="1682">
        <v>19.07</v>
      </c>
      <c r="N300" s="1169">
        <v>3982.19</v>
      </c>
      <c r="O300" s="1169">
        <v>832.99082066036442</v>
      </c>
      <c r="P300" s="1169">
        <v>1452.2537333881353</v>
      </c>
      <c r="Q300" s="1167">
        <v>11.6</v>
      </c>
      <c r="R300" s="1167">
        <v>578</v>
      </c>
      <c r="S300" s="1167">
        <v>321</v>
      </c>
      <c r="T300" s="1167">
        <v>2664</v>
      </c>
      <c r="U300" s="1167">
        <v>83061</v>
      </c>
      <c r="V300" s="1167"/>
      <c r="W300" s="1167"/>
      <c r="X300" s="344">
        <v>0.72989999999999999</v>
      </c>
      <c r="AI300" s="1781" t="s">
        <v>457</v>
      </c>
      <c r="AJ300" s="1826">
        <v>2008</v>
      </c>
      <c r="AK300" s="1822" t="s">
        <v>386</v>
      </c>
      <c r="AL300" s="1822"/>
      <c r="AM300" s="1823">
        <v>928285982.80000007</v>
      </c>
      <c r="AN300" s="1824"/>
      <c r="AP300" s="1781" t="s">
        <v>457</v>
      </c>
      <c r="AQ300" s="1781" t="s">
        <v>504</v>
      </c>
      <c r="AR300" s="1822" t="s">
        <v>25</v>
      </c>
      <c r="AS300" s="1822">
        <v>8</v>
      </c>
      <c r="AT300" s="1823">
        <v>15818131</v>
      </c>
      <c r="AU300" s="1825">
        <v>2.4E-2</v>
      </c>
      <c r="AV300" s="1781">
        <v>2014</v>
      </c>
      <c r="EA300" s="169"/>
      <c r="EB300" s="169"/>
      <c r="EC300" s="169"/>
      <c r="ED300" s="169"/>
      <c r="EE300" s="169"/>
      <c r="EF300" s="169"/>
      <c r="EG300" s="169"/>
      <c r="EH300" s="169"/>
      <c r="EI300" s="169"/>
      <c r="EJ300" s="169"/>
      <c r="EK300" s="169"/>
      <c r="EL300" s="169"/>
      <c r="EM300" s="169"/>
      <c r="EN300" s="169"/>
      <c r="EO300" s="169"/>
      <c r="EP300" s="169"/>
      <c r="EQ300" s="169"/>
      <c r="ER300" s="169"/>
      <c r="ES300" s="169"/>
      <c r="ET300" s="169"/>
      <c r="EU300" s="169"/>
      <c r="EV300" s="169"/>
      <c r="EW300" s="169"/>
      <c r="EX300" s="169"/>
    </row>
    <row r="301" spans="1:154">
      <c r="A301" s="333">
        <f t="shared" si="8"/>
        <v>1995</v>
      </c>
      <c r="B301" s="333">
        <f t="shared" si="9"/>
        <v>2</v>
      </c>
      <c r="C301" s="1175">
        <v>34820</v>
      </c>
      <c r="D301" s="1158">
        <v>234.88</v>
      </c>
      <c r="E301" s="1159">
        <v>538.38610254973389</v>
      </c>
      <c r="F301" s="1159">
        <v>384.3</v>
      </c>
      <c r="G301" s="1160"/>
      <c r="H301" s="1161"/>
      <c r="I301" s="1160"/>
      <c r="J301" s="1160"/>
      <c r="K301" s="1677">
        <v>7232</v>
      </c>
      <c r="L301" s="1677">
        <v>10131.689548893248</v>
      </c>
      <c r="M301" s="1681">
        <v>19.309999999999999</v>
      </c>
      <c r="N301" s="1162">
        <v>3886.38</v>
      </c>
      <c r="O301" s="1162">
        <v>836.31269263098909</v>
      </c>
      <c r="P301" s="1162">
        <v>1452.0874194452228</v>
      </c>
      <c r="Q301" s="1163">
        <v>12</v>
      </c>
      <c r="R301" s="1164">
        <v>578</v>
      </c>
      <c r="S301" s="1164">
        <v>321</v>
      </c>
      <c r="T301" s="1164">
        <v>2664</v>
      </c>
      <c r="U301" s="1165">
        <v>89043</v>
      </c>
      <c r="V301" s="1166"/>
      <c r="W301" s="1166"/>
      <c r="X301" s="635">
        <v>0.71379999999999999</v>
      </c>
      <c r="AI301" s="1828" t="s">
        <v>1</v>
      </c>
      <c r="AJ301" s="1829">
        <v>2002</v>
      </c>
      <c r="AK301" s="1828" t="s">
        <v>63</v>
      </c>
      <c r="AL301" s="1828">
        <v>1</v>
      </c>
      <c r="AM301" s="1830">
        <v>1029318000</v>
      </c>
      <c r="AN301" s="1831">
        <v>0.26879031588381191</v>
      </c>
      <c r="AP301" s="1781" t="s">
        <v>457</v>
      </c>
      <c r="AQ301" s="1781" t="s">
        <v>504</v>
      </c>
      <c r="AR301" s="1822" t="s">
        <v>23</v>
      </c>
      <c r="AS301" s="1822">
        <v>9</v>
      </c>
      <c r="AT301" s="1823">
        <v>15358603</v>
      </c>
      <c r="AU301" s="1825">
        <v>2.3E-2</v>
      </c>
      <c r="AV301" s="1781">
        <v>2014</v>
      </c>
      <c r="EA301" s="169"/>
      <c r="EB301" s="169"/>
      <c r="EC301" s="169"/>
      <c r="ED301" s="169"/>
      <c r="EE301" s="169"/>
      <c r="EF301" s="169"/>
      <c r="EG301" s="169"/>
      <c r="EH301" s="169"/>
      <c r="EI301" s="169"/>
      <c r="EJ301" s="169"/>
      <c r="EK301" s="169"/>
      <c r="EL301" s="169"/>
      <c r="EM301" s="169"/>
      <c r="EN301" s="169"/>
      <c r="EO301" s="169"/>
      <c r="EP301" s="169"/>
      <c r="EQ301" s="169"/>
      <c r="ER301" s="169"/>
      <c r="ES301" s="169"/>
      <c r="ET301" s="169"/>
      <c r="EU301" s="169"/>
      <c r="EV301" s="169"/>
      <c r="EW301" s="169"/>
      <c r="EX301" s="169"/>
    </row>
    <row r="302" spans="1:154">
      <c r="A302" s="333">
        <f t="shared" si="8"/>
        <v>1995</v>
      </c>
      <c r="B302" s="333">
        <f t="shared" si="9"/>
        <v>2</v>
      </c>
      <c r="C302" s="1175">
        <v>34851</v>
      </c>
      <c r="D302" s="1167">
        <v>242.8</v>
      </c>
      <c r="E302" s="1168">
        <v>547.02229748800448</v>
      </c>
      <c r="F302" s="1168">
        <v>387.62</v>
      </c>
      <c r="G302" s="1168"/>
      <c r="H302" s="1167"/>
      <c r="I302" s="1168"/>
      <c r="J302" s="1168"/>
      <c r="K302" s="1678">
        <v>7874.3</v>
      </c>
      <c r="L302" s="1678">
        <v>11112.475303415185</v>
      </c>
      <c r="M302" s="1682">
        <v>18.28</v>
      </c>
      <c r="N302" s="1169">
        <v>4226.08</v>
      </c>
      <c r="O302" s="1169">
        <v>863.39260513688953</v>
      </c>
      <c r="P302" s="1169">
        <v>1425.3457521874118</v>
      </c>
      <c r="Q302" s="1167">
        <v>11.9</v>
      </c>
      <c r="R302" s="1167">
        <v>578</v>
      </c>
      <c r="S302" s="1167">
        <v>321</v>
      </c>
      <c r="T302" s="1167">
        <v>2664</v>
      </c>
      <c r="U302" s="1167">
        <v>88156</v>
      </c>
      <c r="V302" s="1167"/>
      <c r="W302" s="1167"/>
      <c r="X302" s="344">
        <v>0.70860000000000001</v>
      </c>
      <c r="AI302" s="1828" t="s">
        <v>1</v>
      </c>
      <c r="AJ302" s="1829">
        <v>2002</v>
      </c>
      <c r="AK302" s="1828" t="s">
        <v>371</v>
      </c>
      <c r="AL302" s="1828">
        <v>2</v>
      </c>
      <c r="AM302" s="1830">
        <v>875472000</v>
      </c>
      <c r="AN302" s="1831">
        <v>0.22861583633768434</v>
      </c>
      <c r="AP302" s="1781" t="s">
        <v>457</v>
      </c>
      <c r="AQ302" s="1781" t="s">
        <v>504</v>
      </c>
      <c r="AR302" s="1822" t="s">
        <v>33</v>
      </c>
      <c r="AS302" s="1822">
        <v>10</v>
      </c>
      <c r="AT302" s="1823">
        <v>14679500</v>
      </c>
      <c r="AU302" s="1825">
        <v>2.1999999999999999E-2</v>
      </c>
      <c r="AV302" s="1781">
        <v>2014</v>
      </c>
      <c r="EA302" s="169"/>
      <c r="EB302" s="169"/>
      <c r="EC302" s="169"/>
      <c r="ED302" s="169"/>
      <c r="EE302" s="169"/>
      <c r="EF302" s="169"/>
      <c r="EG302" s="169"/>
      <c r="EH302" s="169"/>
      <c r="EI302" s="169"/>
      <c r="EJ302" s="169"/>
      <c r="EK302" s="169"/>
      <c r="EL302" s="169"/>
      <c r="EM302" s="169"/>
      <c r="EN302" s="169"/>
      <c r="EO302" s="169"/>
      <c r="EP302" s="169"/>
      <c r="EQ302" s="169"/>
      <c r="ER302" s="169"/>
      <c r="ES302" s="169"/>
      <c r="ET302" s="169"/>
      <c r="EU302" s="169"/>
      <c r="EV302" s="169"/>
      <c r="EW302" s="169"/>
      <c r="EX302" s="169"/>
    </row>
    <row r="303" spans="1:154">
      <c r="A303" s="333">
        <f t="shared" si="8"/>
        <v>1995</v>
      </c>
      <c r="B303" s="333">
        <f t="shared" si="9"/>
        <v>3</v>
      </c>
      <c r="C303" s="1175">
        <v>34881</v>
      </c>
      <c r="D303" s="1158">
        <v>254.42</v>
      </c>
      <c r="E303" s="1159">
        <v>522.58763026119902</v>
      </c>
      <c r="F303" s="1159">
        <v>386.14</v>
      </c>
      <c r="G303" s="1160"/>
      <c r="H303" s="1161"/>
      <c r="I303" s="1160"/>
      <c r="J303" s="1160"/>
      <c r="K303" s="1677">
        <v>8596.57</v>
      </c>
      <c r="L303" s="1677">
        <v>11634.280687508459</v>
      </c>
      <c r="M303" s="1681">
        <v>17.260000000000002</v>
      </c>
      <c r="N303" s="1162">
        <v>4162.3999999999996</v>
      </c>
      <c r="O303" s="1162">
        <v>841.65651644336174</v>
      </c>
      <c r="P303" s="1162">
        <v>1389.9039112193802</v>
      </c>
      <c r="Q303" s="1163">
        <v>11.85</v>
      </c>
      <c r="R303" s="1164">
        <v>571</v>
      </c>
      <c r="S303" s="1164">
        <v>374</v>
      </c>
      <c r="T303" s="1164">
        <v>2735</v>
      </c>
      <c r="U303" s="1165">
        <v>81602</v>
      </c>
      <c r="V303" s="1166"/>
      <c r="W303" s="1166"/>
      <c r="X303" s="635">
        <v>0.7389</v>
      </c>
      <c r="AI303" s="1828" t="s">
        <v>1</v>
      </c>
      <c r="AJ303" s="1829">
        <v>2002</v>
      </c>
      <c r="AK303" s="1828" t="s">
        <v>61</v>
      </c>
      <c r="AL303" s="1828">
        <v>3</v>
      </c>
      <c r="AM303" s="1830">
        <v>579074000</v>
      </c>
      <c r="AN303" s="1831">
        <v>0.15121612891264166</v>
      </c>
      <c r="AP303" s="1781" t="s">
        <v>457</v>
      </c>
      <c r="AQ303" s="1781" t="s">
        <v>504</v>
      </c>
      <c r="AR303" s="1822" t="s">
        <v>39</v>
      </c>
      <c r="AS303" s="1822"/>
      <c r="AT303" s="1823">
        <v>53700797</v>
      </c>
      <c r="AU303" s="1825">
        <v>0.08</v>
      </c>
      <c r="AV303" s="1781">
        <v>2014</v>
      </c>
      <c r="EA303" s="169"/>
      <c r="EB303" s="169"/>
      <c r="EC303" s="169"/>
      <c r="ED303" s="169"/>
      <c r="EE303" s="169"/>
      <c r="EF303" s="169"/>
      <c r="EG303" s="169"/>
      <c r="EH303" s="169"/>
      <c r="EI303" s="169"/>
      <c r="EJ303" s="169"/>
      <c r="EK303" s="169"/>
      <c r="EL303" s="169"/>
      <c r="EM303" s="169"/>
      <c r="EN303" s="169"/>
      <c r="EO303" s="169"/>
      <c r="EP303" s="169"/>
      <c r="EQ303" s="169"/>
      <c r="ER303" s="169"/>
      <c r="ES303" s="169"/>
      <c r="ET303" s="169"/>
      <c r="EU303" s="169"/>
      <c r="EV303" s="169"/>
      <c r="EW303" s="169"/>
      <c r="EX303" s="169"/>
    </row>
    <row r="304" spans="1:154">
      <c r="A304" s="333">
        <f t="shared" si="8"/>
        <v>1995</v>
      </c>
      <c r="B304" s="333">
        <f t="shared" si="9"/>
        <v>3</v>
      </c>
      <c r="C304" s="1175">
        <v>34912</v>
      </c>
      <c r="D304" s="1167">
        <v>240.84</v>
      </c>
      <c r="E304" s="1168">
        <v>503.3</v>
      </c>
      <c r="F304" s="1168">
        <v>383.5</v>
      </c>
      <c r="G304" s="1168"/>
      <c r="H304" s="1167"/>
      <c r="I304" s="1168"/>
      <c r="J304" s="1168"/>
      <c r="K304" s="1678">
        <v>8944.73</v>
      </c>
      <c r="L304" s="1678">
        <v>11888.264221158957</v>
      </c>
      <c r="M304" s="1682">
        <v>17.45</v>
      </c>
      <c r="N304" s="1169">
        <v>4037.21</v>
      </c>
      <c r="O304" s="1169">
        <v>829.02711323763958</v>
      </c>
      <c r="P304" s="1169">
        <v>1348.3519404572037</v>
      </c>
      <c r="Q304" s="1167">
        <v>11.7</v>
      </c>
      <c r="R304" s="1167">
        <v>571</v>
      </c>
      <c r="S304" s="1167">
        <v>374</v>
      </c>
      <c r="T304" s="1167">
        <v>2735</v>
      </c>
      <c r="U304" s="1167">
        <v>82218</v>
      </c>
      <c r="V304" s="1167"/>
      <c r="W304" s="1167"/>
      <c r="X304" s="344">
        <v>0.75239999999999996</v>
      </c>
      <c r="AI304" s="1828" t="s">
        <v>1</v>
      </c>
      <c r="AJ304" s="1829">
        <v>2002</v>
      </c>
      <c r="AK304" s="1828" t="s">
        <v>23</v>
      </c>
      <c r="AL304" s="1828">
        <v>4</v>
      </c>
      <c r="AM304" s="1830">
        <v>314995000</v>
      </c>
      <c r="AN304" s="1831">
        <v>8.2256023456134392E-2</v>
      </c>
      <c r="AP304" s="1781" t="s">
        <v>457</v>
      </c>
      <c r="AQ304" s="1781" t="s">
        <v>504</v>
      </c>
      <c r="AR304" s="1822" t="s">
        <v>386</v>
      </c>
      <c r="AS304" s="1822"/>
      <c r="AT304" s="1823">
        <v>672500097</v>
      </c>
      <c r="AU304" s="1825"/>
      <c r="AV304" s="1781">
        <v>2014</v>
      </c>
      <c r="EA304" s="169"/>
      <c r="EB304" s="169"/>
      <c r="EC304" s="169"/>
      <c r="ED304" s="169"/>
      <c r="EE304" s="169"/>
      <c r="EF304" s="169"/>
      <c r="EG304" s="169"/>
      <c r="EH304" s="169"/>
      <c r="EI304" s="169"/>
      <c r="EJ304" s="169"/>
      <c r="EK304" s="169"/>
      <c r="EL304" s="169"/>
      <c r="EM304" s="169"/>
      <c r="EN304" s="169"/>
      <c r="EO304" s="169"/>
      <c r="EP304" s="169"/>
      <c r="EQ304" s="169"/>
      <c r="ER304" s="169"/>
      <c r="ES304" s="169"/>
      <c r="ET304" s="169"/>
      <c r="EU304" s="169"/>
      <c r="EV304" s="169"/>
      <c r="EW304" s="169"/>
      <c r="EX304" s="169"/>
    </row>
    <row r="305" spans="1:154">
      <c r="A305" s="333">
        <f t="shared" si="8"/>
        <v>1995</v>
      </c>
      <c r="B305" s="333">
        <f t="shared" si="9"/>
        <v>3</v>
      </c>
      <c r="C305" s="1175">
        <v>34943</v>
      </c>
      <c r="D305" s="1158">
        <v>239.36</v>
      </c>
      <c r="E305" s="1159">
        <v>510.4</v>
      </c>
      <c r="F305" s="1159">
        <v>382.93</v>
      </c>
      <c r="G305" s="1160"/>
      <c r="H305" s="1161"/>
      <c r="I305" s="1160"/>
      <c r="J305" s="1160"/>
      <c r="K305" s="1677">
        <v>8408</v>
      </c>
      <c r="L305" s="1677">
        <v>11136.423841059603</v>
      </c>
      <c r="M305" s="1681">
        <v>17.5</v>
      </c>
      <c r="N305" s="1162">
        <v>3861.59</v>
      </c>
      <c r="O305" s="1162">
        <v>785.04635761589407</v>
      </c>
      <c r="P305" s="1162">
        <v>1306.7152317880796</v>
      </c>
      <c r="Q305" s="1163">
        <v>11.7</v>
      </c>
      <c r="R305" s="1164">
        <v>571</v>
      </c>
      <c r="S305" s="1164">
        <v>374</v>
      </c>
      <c r="T305" s="1164">
        <v>2735</v>
      </c>
      <c r="U305" s="1165">
        <v>84417</v>
      </c>
      <c r="V305" s="1166"/>
      <c r="W305" s="1166"/>
      <c r="X305" s="635">
        <v>0.755</v>
      </c>
      <c r="AI305" s="1828" t="s">
        <v>1</v>
      </c>
      <c r="AJ305" s="1829">
        <v>2002</v>
      </c>
      <c r="AK305" s="1828" t="s">
        <v>370</v>
      </c>
      <c r="AL305" s="1828">
        <v>5</v>
      </c>
      <c r="AM305" s="1830">
        <v>293728000</v>
      </c>
      <c r="AN305" s="1831">
        <v>7.6702478635290852E-2</v>
      </c>
      <c r="AP305" s="1781" t="s">
        <v>457</v>
      </c>
      <c r="AQ305" s="1781" t="s">
        <v>503</v>
      </c>
      <c r="AR305" s="1822" t="s">
        <v>18</v>
      </c>
      <c r="AS305" s="1822">
        <v>1</v>
      </c>
      <c r="AT305" s="1823">
        <v>194756189</v>
      </c>
      <c r="AU305" s="1825">
        <v>0.28799999999999998</v>
      </c>
      <c r="AV305" s="1781">
        <v>2013</v>
      </c>
      <c r="EA305" s="169"/>
      <c r="EB305" s="169"/>
      <c r="EC305" s="169"/>
      <c r="ED305" s="169"/>
      <c r="EE305" s="169"/>
      <c r="EF305" s="169"/>
      <c r="EG305" s="169"/>
      <c r="EH305" s="169"/>
      <c r="EI305" s="169"/>
      <c r="EJ305" s="169"/>
      <c r="EK305" s="169"/>
      <c r="EL305" s="169"/>
      <c r="EM305" s="169"/>
      <c r="EN305" s="169"/>
      <c r="EO305" s="169"/>
      <c r="EP305" s="169"/>
      <c r="EQ305" s="169"/>
      <c r="ER305" s="169"/>
      <c r="ES305" s="169"/>
      <c r="ET305" s="169"/>
      <c r="EU305" s="169"/>
      <c r="EV305" s="169"/>
      <c r="EW305" s="169"/>
      <c r="EX305" s="169"/>
    </row>
    <row r="306" spans="1:154">
      <c r="A306" s="333">
        <f t="shared" si="8"/>
        <v>1995</v>
      </c>
      <c r="B306" s="333">
        <f t="shared" si="9"/>
        <v>4</v>
      </c>
      <c r="C306" s="1175">
        <v>34973</v>
      </c>
      <c r="D306" s="1167">
        <v>229.38</v>
      </c>
      <c r="E306" s="1168">
        <v>503.6</v>
      </c>
      <c r="F306" s="1168">
        <v>383.2</v>
      </c>
      <c r="G306" s="1168"/>
      <c r="H306" s="1167"/>
      <c r="I306" s="1168"/>
      <c r="J306" s="1168"/>
      <c r="K306" s="1678">
        <v>8064.8</v>
      </c>
      <c r="L306" s="1678">
        <v>10659.265133491937</v>
      </c>
      <c r="M306" s="1682">
        <v>17.29</v>
      </c>
      <c r="N306" s="1169">
        <v>3718.61</v>
      </c>
      <c r="O306" s="1169">
        <v>844.68675654242668</v>
      </c>
      <c r="P306" s="1169">
        <v>1294.6074544012688</v>
      </c>
      <c r="Q306" s="1167">
        <v>11.7</v>
      </c>
      <c r="R306" s="1167">
        <v>593</v>
      </c>
      <c r="S306" s="1167">
        <v>429</v>
      </c>
      <c r="T306" s="1167">
        <v>2688</v>
      </c>
      <c r="U306" s="1167">
        <v>86715</v>
      </c>
      <c r="V306" s="1167"/>
      <c r="W306" s="1167"/>
      <c r="X306" s="344">
        <v>0.75660000000000005</v>
      </c>
      <c r="AI306" s="1828" t="s">
        <v>1</v>
      </c>
      <c r="AJ306" s="1829">
        <v>2002</v>
      </c>
      <c r="AK306" s="1828" t="s">
        <v>21</v>
      </c>
      <c r="AL306" s="1828">
        <v>6</v>
      </c>
      <c r="AM306" s="1830">
        <v>247070000</v>
      </c>
      <c r="AN306" s="1831">
        <v>6.4518470817972101E-2</v>
      </c>
      <c r="AP306" s="1781" t="s">
        <v>457</v>
      </c>
      <c r="AQ306" s="1781" t="s">
        <v>503</v>
      </c>
      <c r="AR306" s="1822" t="s">
        <v>758</v>
      </c>
      <c r="AS306" s="1822">
        <v>2</v>
      </c>
      <c r="AT306" s="1823">
        <v>149251517</v>
      </c>
      <c r="AU306" s="1825">
        <v>0.221</v>
      </c>
      <c r="AV306" s="1781">
        <v>2013</v>
      </c>
      <c r="EA306" s="169"/>
      <c r="EB306" s="169"/>
      <c r="EC306" s="169"/>
      <c r="ED306" s="169"/>
      <c r="EE306" s="169"/>
      <c r="EF306" s="169"/>
      <c r="EG306" s="169"/>
      <c r="EH306" s="169"/>
      <c r="EI306" s="169"/>
      <c r="EJ306" s="169"/>
      <c r="EK306" s="169"/>
      <c r="EL306" s="169"/>
      <c r="EM306" s="169"/>
      <c r="EN306" s="169"/>
      <c r="EO306" s="169"/>
      <c r="EP306" s="169"/>
      <c r="EQ306" s="169"/>
      <c r="ER306" s="169"/>
      <c r="ES306" s="169"/>
      <c r="ET306" s="169"/>
      <c r="EU306" s="169"/>
      <c r="EV306" s="169"/>
      <c r="EW306" s="169"/>
      <c r="EX306" s="169"/>
    </row>
    <row r="307" spans="1:154">
      <c r="A307" s="333">
        <f t="shared" si="8"/>
        <v>1995</v>
      </c>
      <c r="B307" s="333">
        <f t="shared" si="9"/>
        <v>4</v>
      </c>
      <c r="C307" s="1175">
        <v>35004</v>
      </c>
      <c r="D307" s="1158">
        <v>243.33</v>
      </c>
      <c r="E307" s="1159">
        <v>519.6</v>
      </c>
      <c r="F307" s="1159">
        <v>385.21</v>
      </c>
      <c r="G307" s="1160"/>
      <c r="H307" s="1161"/>
      <c r="I307" s="1160"/>
      <c r="J307" s="1160"/>
      <c r="K307" s="1677">
        <v>8509</v>
      </c>
      <c r="L307" s="1677">
        <v>11392.422010978711</v>
      </c>
      <c r="M307" s="1681">
        <v>18.21</v>
      </c>
      <c r="N307" s="1162">
        <v>3986.21</v>
      </c>
      <c r="O307" s="1162">
        <v>955.40232962913376</v>
      </c>
      <c r="P307" s="1162">
        <v>1380.3722051144732</v>
      </c>
      <c r="Q307" s="1163">
        <v>11.9</v>
      </c>
      <c r="R307" s="1164">
        <v>593</v>
      </c>
      <c r="S307" s="1164">
        <v>429</v>
      </c>
      <c r="T307" s="1164">
        <v>2688</v>
      </c>
      <c r="U307" s="1165">
        <v>93376</v>
      </c>
      <c r="V307" s="1166"/>
      <c r="W307" s="1166"/>
      <c r="X307" s="635">
        <v>0.74690000000000001</v>
      </c>
      <c r="AI307" s="1828" t="s">
        <v>1</v>
      </c>
      <c r="AJ307" s="1829">
        <v>2002</v>
      </c>
      <c r="AK307" s="1828" t="s">
        <v>537</v>
      </c>
      <c r="AL307" s="1828">
        <v>7</v>
      </c>
      <c r="AM307" s="1830">
        <v>184127000</v>
      </c>
      <c r="AN307" s="1831">
        <v>4.8081889651923539E-2</v>
      </c>
      <c r="AP307" s="1781" t="s">
        <v>457</v>
      </c>
      <c r="AQ307" s="1781" t="s">
        <v>503</v>
      </c>
      <c r="AR307" s="1822" t="s">
        <v>27</v>
      </c>
      <c r="AS307" s="1822">
        <v>3</v>
      </c>
      <c r="AT307" s="1823">
        <v>74636151</v>
      </c>
      <c r="AU307" s="1825">
        <v>0.111</v>
      </c>
      <c r="AV307" s="1781">
        <v>2013</v>
      </c>
      <c r="EA307" s="169"/>
      <c r="EB307" s="169"/>
      <c r="EC307" s="169"/>
      <c r="ED307" s="169"/>
      <c r="EE307" s="169"/>
      <c r="EF307" s="169"/>
      <c r="EG307" s="169"/>
      <c r="EH307" s="169"/>
      <c r="EI307" s="169"/>
      <c r="EJ307" s="169"/>
      <c r="EK307" s="169"/>
      <c r="EL307" s="169"/>
      <c r="EM307" s="169"/>
      <c r="EN307" s="169"/>
      <c r="EO307" s="169"/>
      <c r="EP307" s="169"/>
      <c r="EQ307" s="169"/>
      <c r="ER307" s="169"/>
      <c r="ES307" s="169"/>
      <c r="ET307" s="169"/>
      <c r="EU307" s="169"/>
      <c r="EV307" s="169"/>
      <c r="EW307" s="169"/>
      <c r="EX307" s="169"/>
    </row>
    <row r="308" spans="1:154">
      <c r="A308" s="333">
        <f t="shared" si="8"/>
        <v>1995</v>
      </c>
      <c r="B308" s="333">
        <f t="shared" si="9"/>
        <v>4</v>
      </c>
      <c r="C308" s="1175">
        <v>35034</v>
      </c>
      <c r="D308" s="1167">
        <v>239.45</v>
      </c>
      <c r="E308" s="1168">
        <v>520.6</v>
      </c>
      <c r="F308" s="1168">
        <v>387.46</v>
      </c>
      <c r="G308" s="1168"/>
      <c r="H308" s="1167"/>
      <c r="I308" s="1168"/>
      <c r="J308" s="1168"/>
      <c r="K308" s="1678">
        <v>8146</v>
      </c>
      <c r="L308" s="1678">
        <v>10934.228187919463</v>
      </c>
      <c r="M308" s="1682">
        <v>19.61</v>
      </c>
      <c r="N308" s="1169">
        <v>3938.26</v>
      </c>
      <c r="O308" s="1169">
        <v>1014.765100671141</v>
      </c>
      <c r="P308" s="1169">
        <v>1373.1543624161075</v>
      </c>
      <c r="Q308" s="1167">
        <v>11.9</v>
      </c>
      <c r="R308" s="1167">
        <v>593</v>
      </c>
      <c r="S308" s="1167">
        <v>429</v>
      </c>
      <c r="T308" s="1167">
        <v>2688</v>
      </c>
      <c r="U308" s="1167">
        <v>96440</v>
      </c>
      <c r="V308" s="1167"/>
      <c r="W308" s="1167"/>
      <c r="X308" s="344">
        <v>0.745</v>
      </c>
      <c r="AI308" s="1828" t="s">
        <v>1</v>
      </c>
      <c r="AJ308" s="1829">
        <v>2002</v>
      </c>
      <c r="AK308" s="1828" t="s">
        <v>33</v>
      </c>
      <c r="AL308" s="1828">
        <v>8</v>
      </c>
      <c r="AM308" s="1830">
        <v>172653000</v>
      </c>
      <c r="AN308" s="1831">
        <v>4.508563379663795E-2</v>
      </c>
      <c r="AP308" s="1781" t="s">
        <v>457</v>
      </c>
      <c r="AQ308" s="1781" t="s">
        <v>503</v>
      </c>
      <c r="AR308" s="1822" t="s">
        <v>70</v>
      </c>
      <c r="AS308" s="1822">
        <v>4</v>
      </c>
      <c r="AT308" s="1823">
        <v>39929734</v>
      </c>
      <c r="AU308" s="1825">
        <v>5.8999999999999997E-2</v>
      </c>
      <c r="AV308" s="1781">
        <v>2013</v>
      </c>
      <c r="EA308" s="169"/>
      <c r="EB308" s="169"/>
      <c r="EC308" s="169"/>
      <c r="ED308" s="169"/>
      <c r="EE308" s="169"/>
      <c r="EF308" s="169"/>
      <c r="EG308" s="169"/>
      <c r="EH308" s="169"/>
      <c r="EI308" s="169"/>
      <c r="EJ308" s="169"/>
      <c r="EK308" s="169"/>
      <c r="EL308" s="169"/>
      <c r="EM308" s="169"/>
      <c r="EN308" s="169"/>
      <c r="EO308" s="169"/>
      <c r="EP308" s="169"/>
      <c r="EQ308" s="169"/>
      <c r="ER308" s="169"/>
      <c r="ES308" s="169"/>
      <c r="ET308" s="169"/>
      <c r="EU308" s="169"/>
      <c r="EV308" s="169"/>
      <c r="EW308" s="169"/>
      <c r="EX308" s="169"/>
    </row>
    <row r="309" spans="1:154">
      <c r="A309" s="333">
        <f t="shared" si="8"/>
        <v>1996</v>
      </c>
      <c r="B309" s="333">
        <f t="shared" si="9"/>
        <v>1</v>
      </c>
      <c r="C309" s="1175">
        <v>35065</v>
      </c>
      <c r="D309" s="1158">
        <v>265.69</v>
      </c>
      <c r="E309" s="1159">
        <v>544.1</v>
      </c>
      <c r="F309" s="1159">
        <v>398.7</v>
      </c>
      <c r="G309" s="1160"/>
      <c r="H309" s="1161"/>
      <c r="I309" s="1160"/>
      <c r="J309" s="1160"/>
      <c r="K309" s="1677">
        <v>7863.4</v>
      </c>
      <c r="L309" s="1677">
        <v>10559.1513361085</v>
      </c>
      <c r="M309" s="1681">
        <v>20.38</v>
      </c>
      <c r="N309" s="1162">
        <v>3523.84</v>
      </c>
      <c r="O309" s="1162">
        <v>953.0549214448771</v>
      </c>
      <c r="P309" s="1162">
        <v>1367.7991137370752</v>
      </c>
      <c r="Q309" s="1163">
        <v>13</v>
      </c>
      <c r="R309" s="1164">
        <v>707</v>
      </c>
      <c r="S309" s="1164">
        <v>540</v>
      </c>
      <c r="T309" s="1164">
        <v>2546</v>
      </c>
      <c r="U309" s="1165">
        <v>96183</v>
      </c>
      <c r="V309" s="1166"/>
      <c r="W309" s="1166"/>
      <c r="X309" s="635">
        <v>0.74470000000000003</v>
      </c>
      <c r="AI309" s="1828" t="s">
        <v>1</v>
      </c>
      <c r="AJ309" s="1829">
        <v>2002</v>
      </c>
      <c r="AK309" s="1828" t="s">
        <v>34</v>
      </c>
      <c r="AL309" s="1828">
        <v>9</v>
      </c>
      <c r="AM309" s="1830">
        <v>60342000</v>
      </c>
      <c r="AN309" s="1831">
        <v>1.5757370648391437E-2</v>
      </c>
      <c r="AP309" s="1781" t="s">
        <v>457</v>
      </c>
      <c r="AQ309" s="1781" t="s">
        <v>503</v>
      </c>
      <c r="AR309" s="1822" t="s">
        <v>21</v>
      </c>
      <c r="AS309" s="1822">
        <v>5</v>
      </c>
      <c r="AT309" s="1823">
        <v>38625442</v>
      </c>
      <c r="AU309" s="1825">
        <v>5.7000000000000002E-2</v>
      </c>
      <c r="AV309" s="1781">
        <v>2013</v>
      </c>
      <c r="EA309" s="169"/>
      <c r="EB309" s="169"/>
      <c r="EC309" s="169"/>
      <c r="ED309" s="169"/>
      <c r="EE309" s="169"/>
      <c r="EF309" s="169"/>
      <c r="EG309" s="169"/>
      <c r="EH309" s="169"/>
      <c r="EI309" s="169"/>
      <c r="EJ309" s="169"/>
      <c r="EK309" s="169"/>
      <c r="EL309" s="169"/>
      <c r="EM309" s="169"/>
      <c r="EN309" s="169"/>
      <c r="EO309" s="169"/>
      <c r="EP309" s="169"/>
      <c r="EQ309" s="169"/>
      <c r="ER309" s="169"/>
      <c r="ES309" s="169"/>
      <c r="ET309" s="169"/>
      <c r="EU309" s="169"/>
      <c r="EV309" s="169"/>
      <c r="EW309" s="169"/>
      <c r="EX309" s="169"/>
    </row>
    <row r="310" spans="1:154">
      <c r="A310" s="333">
        <f t="shared" si="8"/>
        <v>1996</v>
      </c>
      <c r="B310" s="333">
        <f t="shared" si="9"/>
        <v>1</v>
      </c>
      <c r="C310" s="1175">
        <v>35096</v>
      </c>
      <c r="D310" s="1167">
        <v>260.57</v>
      </c>
      <c r="E310" s="1168">
        <v>525.54999999999995</v>
      </c>
      <c r="F310" s="1168">
        <v>404.92</v>
      </c>
      <c r="G310" s="1168"/>
      <c r="H310" s="1167"/>
      <c r="I310" s="1168"/>
      <c r="J310" s="1168"/>
      <c r="K310" s="1678">
        <v>8218.6</v>
      </c>
      <c r="L310" s="1678">
        <v>10764.374590700721</v>
      </c>
      <c r="M310" s="1682">
        <v>20.38</v>
      </c>
      <c r="N310" s="1169">
        <v>3323.77</v>
      </c>
      <c r="O310" s="1169">
        <v>1008.0812049770792</v>
      </c>
      <c r="P310" s="1169">
        <v>1357.0399476096923</v>
      </c>
      <c r="Q310" s="1167">
        <v>15.4</v>
      </c>
      <c r="R310" s="1167">
        <v>707</v>
      </c>
      <c r="S310" s="1167">
        <v>540</v>
      </c>
      <c r="T310" s="1167">
        <v>2546</v>
      </c>
      <c r="U310" s="1167">
        <v>89541</v>
      </c>
      <c r="V310" s="1167"/>
      <c r="W310" s="1167"/>
      <c r="X310" s="344">
        <v>0.76349999999999996</v>
      </c>
      <c r="AI310" s="1828" t="s">
        <v>1</v>
      </c>
      <c r="AJ310" s="1829">
        <v>2002</v>
      </c>
      <c r="AK310" s="1828" t="s">
        <v>31</v>
      </c>
      <c r="AL310" s="1828">
        <v>10</v>
      </c>
      <c r="AM310" s="1830">
        <v>35869000</v>
      </c>
      <c r="AN310" s="1831">
        <v>9.3666290110893322E-3</v>
      </c>
      <c r="AP310" s="1781" t="s">
        <v>457</v>
      </c>
      <c r="AQ310" s="1781" t="s">
        <v>503</v>
      </c>
      <c r="AR310" s="1822" t="s">
        <v>63</v>
      </c>
      <c r="AS310" s="1822">
        <v>6</v>
      </c>
      <c r="AT310" s="1823">
        <v>37228553</v>
      </c>
      <c r="AU310" s="1825">
        <v>5.5E-2</v>
      </c>
      <c r="AV310" s="1781">
        <v>2013</v>
      </c>
      <c r="EA310" s="169"/>
      <c r="EB310" s="169"/>
      <c r="EC310" s="169"/>
      <c r="ED310" s="169"/>
      <c r="EE310" s="169"/>
      <c r="EF310" s="169"/>
      <c r="EG310" s="169"/>
      <c r="EH310" s="169"/>
      <c r="EI310" s="169"/>
      <c r="EJ310" s="169"/>
      <c r="EK310" s="169"/>
      <c r="EL310" s="169"/>
      <c r="EM310" s="169"/>
      <c r="EN310" s="169"/>
      <c r="EO310" s="169"/>
      <c r="EP310" s="169"/>
      <c r="EQ310" s="169"/>
      <c r="ER310" s="169"/>
      <c r="ES310" s="169"/>
      <c r="ET310" s="169"/>
      <c r="EU310" s="169"/>
      <c r="EV310" s="169"/>
      <c r="EW310" s="169"/>
      <c r="EX310" s="169"/>
    </row>
    <row r="311" spans="1:154">
      <c r="A311" s="333">
        <f t="shared" si="8"/>
        <v>1996</v>
      </c>
      <c r="B311" s="333">
        <f t="shared" si="9"/>
        <v>1</v>
      </c>
      <c r="C311" s="1175">
        <v>35125</v>
      </c>
      <c r="D311" s="1158">
        <v>253.17</v>
      </c>
      <c r="E311" s="1159">
        <v>524.54999999999995</v>
      </c>
      <c r="F311" s="1159">
        <v>396.51</v>
      </c>
      <c r="G311" s="1160"/>
      <c r="H311" s="1161"/>
      <c r="I311" s="1160"/>
      <c r="J311" s="1160"/>
      <c r="K311" s="1677">
        <v>8024.2</v>
      </c>
      <c r="L311" s="1677">
        <v>10296.676504555369</v>
      </c>
      <c r="M311" s="1681">
        <v>20.96</v>
      </c>
      <c r="N311" s="1162">
        <v>3286.28</v>
      </c>
      <c r="O311" s="1162">
        <v>1049.5701270370846</v>
      </c>
      <c r="P311" s="1162">
        <v>1365.5844989092777</v>
      </c>
      <c r="Q311" s="1163">
        <v>15.5</v>
      </c>
      <c r="R311" s="1164">
        <v>707</v>
      </c>
      <c r="S311" s="1164">
        <v>540</v>
      </c>
      <c r="T311" s="1164">
        <v>2546</v>
      </c>
      <c r="U311" s="1165">
        <v>82817</v>
      </c>
      <c r="V311" s="1166"/>
      <c r="W311" s="1166"/>
      <c r="X311" s="635">
        <v>0.77929999999999999</v>
      </c>
      <c r="AI311" s="1828" t="s">
        <v>1</v>
      </c>
      <c r="AJ311" s="1829">
        <v>2002</v>
      </c>
      <c r="AK311" s="1828" t="s">
        <v>39</v>
      </c>
      <c r="AL311" s="1828"/>
      <c r="AM311" s="1830">
        <v>36798000</v>
      </c>
      <c r="AN311" s="1831">
        <v>9.6092228484224614E-3</v>
      </c>
      <c r="AP311" s="1781" t="s">
        <v>457</v>
      </c>
      <c r="AQ311" s="1781" t="s">
        <v>503</v>
      </c>
      <c r="AR311" s="1822" t="s">
        <v>25</v>
      </c>
      <c r="AS311" s="1822">
        <v>7</v>
      </c>
      <c r="AT311" s="1823">
        <v>21112495</v>
      </c>
      <c r="AU311" s="1825">
        <v>3.1E-2</v>
      </c>
      <c r="AV311" s="1781">
        <v>2013</v>
      </c>
      <c r="EA311" s="169"/>
      <c r="EB311" s="169"/>
      <c r="EC311" s="169"/>
      <c r="ED311" s="169"/>
      <c r="EE311" s="169"/>
      <c r="EF311" s="169"/>
      <c r="EG311" s="169"/>
      <c r="EH311" s="169"/>
      <c r="EI311" s="169"/>
      <c r="EJ311" s="169"/>
      <c r="EK311" s="169"/>
      <c r="EL311" s="169"/>
      <c r="EM311" s="169"/>
      <c r="EN311" s="169"/>
      <c r="EO311" s="169"/>
      <c r="EP311" s="169"/>
      <c r="EQ311" s="169"/>
      <c r="ER311" s="169"/>
      <c r="ES311" s="169"/>
      <c r="ET311" s="169"/>
      <c r="EU311" s="169"/>
      <c r="EV311" s="169"/>
      <c r="EW311" s="169"/>
      <c r="EX311" s="169"/>
    </row>
    <row r="312" spans="1:154">
      <c r="A312" s="333">
        <f t="shared" si="8"/>
        <v>1996</v>
      </c>
      <c r="B312" s="333">
        <f t="shared" si="9"/>
        <v>2</v>
      </c>
      <c r="C312" s="1175">
        <v>35156</v>
      </c>
      <c r="D312" s="1167">
        <v>248.29</v>
      </c>
      <c r="E312" s="1168">
        <v>496.45</v>
      </c>
      <c r="F312" s="1168">
        <v>392.87</v>
      </c>
      <c r="G312" s="1168"/>
      <c r="H312" s="1167"/>
      <c r="I312" s="1168"/>
      <c r="J312" s="1168"/>
      <c r="K312" s="1678">
        <v>8044.1</v>
      </c>
      <c r="L312" s="1678">
        <v>10242.042271454036</v>
      </c>
      <c r="M312" s="1682">
        <v>20.61</v>
      </c>
      <c r="N312" s="1169">
        <v>3292.46</v>
      </c>
      <c r="O312" s="1169">
        <v>1038.1461675579324</v>
      </c>
      <c r="P312" s="1169">
        <v>1332.1874204227145</v>
      </c>
      <c r="Q312" s="1167">
        <v>16</v>
      </c>
      <c r="R312" s="1167">
        <v>667</v>
      </c>
      <c r="S312" s="1167">
        <v>568</v>
      </c>
      <c r="T312" s="1167">
        <v>2324</v>
      </c>
      <c r="U312" s="1167">
        <v>80560</v>
      </c>
      <c r="V312" s="1167"/>
      <c r="W312" s="1167"/>
      <c r="X312" s="344">
        <v>0.78539999999999999</v>
      </c>
      <c r="AI312" s="1828" t="s">
        <v>1</v>
      </c>
      <c r="AJ312" s="1829">
        <v>2002</v>
      </c>
      <c r="AK312" s="1828" t="s">
        <v>386</v>
      </c>
      <c r="AL312" s="1828"/>
      <c r="AM312" s="1830">
        <v>3829446000</v>
      </c>
      <c r="AN312" s="1831">
        <v>1</v>
      </c>
      <c r="AP312" s="1781" t="s">
        <v>457</v>
      </c>
      <c r="AQ312" s="1781" t="s">
        <v>503</v>
      </c>
      <c r="AR312" s="1822" t="s">
        <v>537</v>
      </c>
      <c r="AS312" s="1822">
        <v>8</v>
      </c>
      <c r="AT312" s="1823">
        <v>20134229</v>
      </c>
      <c r="AU312" s="1825">
        <v>0.03</v>
      </c>
      <c r="AV312" s="1781">
        <v>2013</v>
      </c>
      <c r="EA312" s="169"/>
      <c r="EB312" s="169"/>
      <c r="EC312" s="169"/>
      <c r="ED312" s="169"/>
      <c r="EE312" s="169"/>
      <c r="EF312" s="169"/>
      <c r="EG312" s="169"/>
      <c r="EH312" s="169"/>
      <c r="EI312" s="169"/>
      <c r="EJ312" s="169"/>
      <c r="EK312" s="169"/>
      <c r="EL312" s="169"/>
      <c r="EM312" s="169"/>
      <c r="EN312" s="169"/>
      <c r="EO312" s="169"/>
      <c r="EP312" s="169"/>
      <c r="EQ312" s="169"/>
      <c r="ER312" s="169"/>
      <c r="ES312" s="169"/>
      <c r="ET312" s="169"/>
      <c r="EU312" s="169"/>
      <c r="EV312" s="169"/>
      <c r="EW312" s="169"/>
      <c r="EX312" s="169"/>
    </row>
    <row r="313" spans="1:154">
      <c r="A313" s="333">
        <f t="shared" si="8"/>
        <v>1996</v>
      </c>
      <c r="B313" s="333">
        <f t="shared" si="9"/>
        <v>2</v>
      </c>
      <c r="C313" s="1175">
        <v>35186</v>
      </c>
      <c r="D313" s="1158">
        <v>250.54</v>
      </c>
      <c r="E313" s="1159">
        <v>490.95</v>
      </c>
      <c r="F313" s="1159">
        <v>391.99</v>
      </c>
      <c r="G313" s="1160"/>
      <c r="H313" s="1161"/>
      <c r="I313" s="1160"/>
      <c r="J313" s="1160"/>
      <c r="K313" s="1677">
        <v>8019.6</v>
      </c>
      <c r="L313" s="1677">
        <v>10045.847425779782</v>
      </c>
      <c r="M313" s="1681">
        <v>20.16</v>
      </c>
      <c r="N313" s="1162">
        <v>3328.2</v>
      </c>
      <c r="O313" s="1162">
        <v>1051.6973568833773</v>
      </c>
      <c r="P313" s="1162">
        <v>1298.3840661405486</v>
      </c>
      <c r="Q313" s="1163">
        <v>16.5</v>
      </c>
      <c r="R313" s="1164">
        <v>667</v>
      </c>
      <c r="S313" s="1164">
        <v>568</v>
      </c>
      <c r="T313" s="1164">
        <v>2324</v>
      </c>
      <c r="U313" s="1165">
        <v>77795</v>
      </c>
      <c r="V313" s="1166"/>
      <c r="W313" s="1166"/>
      <c r="X313" s="635">
        <v>0.79830000000000001</v>
      </c>
      <c r="AI313" s="1832" t="s">
        <v>1</v>
      </c>
      <c r="AJ313" s="1833">
        <v>2003</v>
      </c>
      <c r="AK313" s="1832" t="s">
        <v>63</v>
      </c>
      <c r="AL313" s="1832">
        <v>1</v>
      </c>
      <c r="AM313" s="1834">
        <v>2650957000</v>
      </c>
      <c r="AN313" s="1831">
        <v>0.46160148188493871</v>
      </c>
      <c r="AP313" s="1781" t="s">
        <v>457</v>
      </c>
      <c r="AQ313" s="1781" t="s">
        <v>503</v>
      </c>
      <c r="AR313" s="1822" t="s">
        <v>66</v>
      </c>
      <c r="AS313" s="1822">
        <v>9</v>
      </c>
      <c r="AT313" s="1823">
        <v>16076908</v>
      </c>
      <c r="AU313" s="1825">
        <v>2.4E-2</v>
      </c>
      <c r="AV313" s="1781">
        <v>2013</v>
      </c>
      <c r="EA313" s="169"/>
      <c r="EB313" s="169"/>
      <c r="EC313" s="169"/>
      <c r="ED313" s="169"/>
      <c r="EE313" s="169"/>
      <c r="EF313" s="169"/>
      <c r="EG313" s="169"/>
      <c r="EH313" s="169"/>
      <c r="EI313" s="169"/>
      <c r="EJ313" s="169"/>
      <c r="EK313" s="169"/>
      <c r="EL313" s="169"/>
      <c r="EM313" s="169"/>
      <c r="EN313" s="169"/>
      <c r="EO313" s="169"/>
      <c r="EP313" s="169"/>
      <c r="EQ313" s="169"/>
      <c r="ER313" s="169"/>
      <c r="ES313" s="169"/>
      <c r="ET313" s="169"/>
      <c r="EU313" s="169"/>
      <c r="EV313" s="169"/>
      <c r="EW313" s="169"/>
      <c r="EX313" s="169"/>
    </row>
    <row r="314" spans="1:154">
      <c r="A314" s="333">
        <f t="shared" si="8"/>
        <v>1996</v>
      </c>
      <c r="B314" s="333">
        <f t="shared" si="9"/>
        <v>2</v>
      </c>
      <c r="C314" s="1175">
        <v>35217</v>
      </c>
      <c r="D314" s="1167">
        <v>246.02</v>
      </c>
      <c r="E314" s="1168">
        <v>484.95</v>
      </c>
      <c r="F314" s="1168">
        <v>385.24</v>
      </c>
      <c r="G314" s="1168"/>
      <c r="H314" s="1167"/>
      <c r="I314" s="1168"/>
      <c r="J314" s="1168"/>
      <c r="K314" s="1678">
        <v>7791.9</v>
      </c>
      <c r="L314" s="1678">
        <v>9875.6653992395422</v>
      </c>
      <c r="M314" s="1682">
        <v>20.49</v>
      </c>
      <c r="N314" s="1169">
        <v>2754.63</v>
      </c>
      <c r="O314" s="1169">
        <v>1009.5057034220532</v>
      </c>
      <c r="P314" s="1169">
        <v>1278.5804816223067</v>
      </c>
      <c r="Q314" s="1167">
        <v>16.5</v>
      </c>
      <c r="R314" s="1167">
        <v>667</v>
      </c>
      <c r="S314" s="1167">
        <v>568</v>
      </c>
      <c r="T314" s="1167">
        <v>2324</v>
      </c>
      <c r="U314" s="1167">
        <v>74018</v>
      </c>
      <c r="V314" s="1167"/>
      <c r="W314" s="1167"/>
      <c r="X314" s="344">
        <v>0.78900000000000003</v>
      </c>
      <c r="AI314" s="1832" t="s">
        <v>1</v>
      </c>
      <c r="AJ314" s="1833">
        <v>2003</v>
      </c>
      <c r="AK314" s="1832" t="s">
        <v>21</v>
      </c>
      <c r="AL314" s="1832">
        <v>2</v>
      </c>
      <c r="AM314" s="1834">
        <v>1152565000</v>
      </c>
      <c r="AN314" s="1831">
        <v>0.20069194331281662</v>
      </c>
      <c r="AP314" s="1781" t="s">
        <v>457</v>
      </c>
      <c r="AQ314" s="1781" t="s">
        <v>503</v>
      </c>
      <c r="AR314" s="1822" t="s">
        <v>24</v>
      </c>
      <c r="AS314" s="1822">
        <v>10</v>
      </c>
      <c r="AT314" s="1823">
        <v>11445493</v>
      </c>
      <c r="AU314" s="1825">
        <v>1.7000000000000001E-2</v>
      </c>
      <c r="AV314" s="1781">
        <v>2013</v>
      </c>
      <c r="EA314" s="169"/>
      <c r="EB314" s="169"/>
      <c r="EC314" s="169"/>
      <c r="ED314" s="169"/>
      <c r="EE314" s="169"/>
      <c r="EF314" s="169"/>
      <c r="EG314" s="169"/>
      <c r="EH314" s="169"/>
      <c r="EI314" s="169"/>
      <c r="EJ314" s="169"/>
      <c r="EK314" s="169"/>
      <c r="EL314" s="169"/>
      <c r="EM314" s="169"/>
      <c r="EN314" s="169"/>
      <c r="EO314" s="169"/>
      <c r="EP314" s="169"/>
      <c r="EQ314" s="169"/>
      <c r="ER314" s="169"/>
      <c r="ES314" s="169"/>
      <c r="ET314" s="169"/>
      <c r="EU314" s="169"/>
      <c r="EV314" s="169"/>
      <c r="EW314" s="169"/>
      <c r="EX314" s="169"/>
    </row>
    <row r="315" spans="1:154">
      <c r="A315" s="333">
        <f t="shared" si="8"/>
        <v>1996</v>
      </c>
      <c r="B315" s="333">
        <f t="shared" si="9"/>
        <v>3</v>
      </c>
      <c r="C315" s="1175">
        <v>35247</v>
      </c>
      <c r="D315" s="1158">
        <v>234.4</v>
      </c>
      <c r="E315" s="1159">
        <v>494.09</v>
      </c>
      <c r="F315" s="1159">
        <v>384.45</v>
      </c>
      <c r="G315" s="1160"/>
      <c r="H315" s="1161"/>
      <c r="I315" s="1160"/>
      <c r="J315" s="1160"/>
      <c r="K315" s="1677">
        <v>7206.5</v>
      </c>
      <c r="L315" s="1677">
        <v>9321.5625404216789</v>
      </c>
      <c r="M315" s="1681">
        <v>20.73</v>
      </c>
      <c r="N315" s="1162">
        <v>2568.23</v>
      </c>
      <c r="O315" s="1162">
        <v>1013.4264648816453</v>
      </c>
      <c r="P315" s="1162">
        <v>1293.8817746733928</v>
      </c>
      <c r="Q315" s="1163">
        <v>16.5</v>
      </c>
      <c r="R315" s="1164">
        <v>744</v>
      </c>
      <c r="S315" s="1164">
        <v>569</v>
      </c>
      <c r="T315" s="1164">
        <v>2112</v>
      </c>
      <c r="U315" s="1165">
        <v>64875</v>
      </c>
      <c r="V315" s="1166"/>
      <c r="W315" s="1166"/>
      <c r="X315" s="635">
        <v>0.77310000000000001</v>
      </c>
      <c r="AI315" s="1832" t="s">
        <v>1</v>
      </c>
      <c r="AJ315" s="1833">
        <v>2003</v>
      </c>
      <c r="AK315" s="1832" t="s">
        <v>371</v>
      </c>
      <c r="AL315" s="1832">
        <v>3</v>
      </c>
      <c r="AM315" s="1834">
        <v>793707000</v>
      </c>
      <c r="AN315" s="1831">
        <v>0.13820530751062693</v>
      </c>
      <c r="AP315" s="1781" t="s">
        <v>457</v>
      </c>
      <c r="AQ315" s="1781" t="s">
        <v>503</v>
      </c>
      <c r="AR315" s="1822" t="s">
        <v>39</v>
      </c>
      <c r="AS315" s="1822"/>
      <c r="AT315" s="1823">
        <v>72193928</v>
      </c>
      <c r="AU315" s="1825">
        <v>0.107</v>
      </c>
      <c r="AV315" s="1781">
        <v>2013</v>
      </c>
      <c r="EA315" s="169"/>
      <c r="EB315" s="169"/>
      <c r="EC315" s="169"/>
      <c r="ED315" s="169"/>
      <c r="EE315" s="169"/>
      <c r="EF315" s="169"/>
      <c r="EG315" s="169"/>
      <c r="EH315" s="169"/>
      <c r="EI315" s="169"/>
      <c r="EJ315" s="169"/>
      <c r="EK315" s="169"/>
      <c r="EL315" s="169"/>
      <c r="EM315" s="169"/>
      <c r="EN315" s="169"/>
      <c r="EO315" s="169"/>
      <c r="EP315" s="169"/>
      <c r="EQ315" s="169"/>
      <c r="ER315" s="169"/>
      <c r="ES315" s="169"/>
      <c r="ET315" s="169"/>
      <c r="EU315" s="169"/>
      <c r="EV315" s="169"/>
      <c r="EW315" s="169"/>
      <c r="EX315" s="169"/>
    </row>
    <row r="316" spans="1:154">
      <c r="A316" s="333">
        <f t="shared" si="8"/>
        <v>1996</v>
      </c>
      <c r="B316" s="333">
        <f t="shared" si="9"/>
        <v>3</v>
      </c>
      <c r="C316" s="1175">
        <v>35278</v>
      </c>
      <c r="D316" s="1167">
        <v>240.85</v>
      </c>
      <c r="E316" s="1168">
        <v>489.65</v>
      </c>
      <c r="F316" s="1168">
        <v>387.51</v>
      </c>
      <c r="G316" s="1168"/>
      <c r="H316" s="1167"/>
      <c r="I316" s="1168"/>
      <c r="J316" s="1168"/>
      <c r="K316" s="1678">
        <v>7068.5</v>
      </c>
      <c r="L316" s="1678">
        <v>8937.2866354785674</v>
      </c>
      <c r="M316" s="1682">
        <v>21.16</v>
      </c>
      <c r="N316" s="1169">
        <v>2537.2399999999998</v>
      </c>
      <c r="O316" s="1169">
        <v>1031.3313946137312</v>
      </c>
      <c r="P316" s="1169">
        <v>1273.1065874320393</v>
      </c>
      <c r="Q316" s="1167">
        <v>16.350000000000001</v>
      </c>
      <c r="R316" s="1167">
        <v>744</v>
      </c>
      <c r="S316" s="1167">
        <v>569</v>
      </c>
      <c r="T316" s="1167">
        <v>2112</v>
      </c>
      <c r="U316" s="1167">
        <v>60014</v>
      </c>
      <c r="V316" s="1167"/>
      <c r="W316" s="1167"/>
      <c r="X316" s="344">
        <v>0.79090000000000005</v>
      </c>
      <c r="AI316" s="1832" t="s">
        <v>1</v>
      </c>
      <c r="AJ316" s="1833">
        <v>2003</v>
      </c>
      <c r="AK316" s="1832" t="s">
        <v>61</v>
      </c>
      <c r="AL316" s="1832">
        <v>4</v>
      </c>
      <c r="AM316" s="1834">
        <v>366265000</v>
      </c>
      <c r="AN316" s="1831">
        <v>6.3776389719858551E-2</v>
      </c>
      <c r="AP316" s="1781" t="s">
        <v>457</v>
      </c>
      <c r="AQ316" s="1781" t="s">
        <v>503</v>
      </c>
      <c r="AR316" s="1822" t="s">
        <v>386</v>
      </c>
      <c r="AS316" s="1822"/>
      <c r="AT316" s="1823">
        <v>675390639</v>
      </c>
      <c r="AU316" s="1825"/>
      <c r="AV316" s="1781">
        <v>2013</v>
      </c>
      <c r="EA316" s="169"/>
      <c r="EB316" s="169"/>
      <c r="EC316" s="169"/>
      <c r="ED316" s="169"/>
      <c r="EE316" s="169"/>
      <c r="EF316" s="169"/>
      <c r="EG316" s="169"/>
      <c r="EH316" s="169"/>
      <c r="EI316" s="169"/>
      <c r="EJ316" s="169"/>
      <c r="EK316" s="169"/>
      <c r="EL316" s="169"/>
      <c r="EM316" s="169"/>
      <c r="EN316" s="169"/>
      <c r="EO316" s="169"/>
      <c r="EP316" s="169"/>
      <c r="EQ316" s="169"/>
      <c r="ER316" s="169"/>
      <c r="ES316" s="169"/>
      <c r="ET316" s="169"/>
      <c r="EU316" s="169"/>
      <c r="EV316" s="169"/>
      <c r="EW316" s="169"/>
      <c r="EX316" s="169"/>
    </row>
    <row r="317" spans="1:154">
      <c r="A317" s="333">
        <f t="shared" si="8"/>
        <v>1996</v>
      </c>
      <c r="B317" s="333">
        <f t="shared" si="9"/>
        <v>3</v>
      </c>
      <c r="C317" s="1175">
        <v>35309</v>
      </c>
      <c r="D317" s="1158">
        <v>239.1</v>
      </c>
      <c r="E317" s="1159">
        <v>481.82</v>
      </c>
      <c r="F317" s="1159">
        <v>383.29</v>
      </c>
      <c r="G317" s="1160"/>
      <c r="H317" s="1161"/>
      <c r="I317" s="1160"/>
      <c r="J317" s="1160"/>
      <c r="K317" s="1677">
        <v>7320.6</v>
      </c>
      <c r="L317" s="1677">
        <v>9238.515901060071</v>
      </c>
      <c r="M317" s="1681">
        <v>22.96</v>
      </c>
      <c r="N317" s="1162">
        <v>2450.0300000000002</v>
      </c>
      <c r="O317" s="1162">
        <v>1005.3255931347804</v>
      </c>
      <c r="P317" s="1162">
        <v>1262.746087834427</v>
      </c>
      <c r="Q317" s="1163">
        <v>16.149999999999999</v>
      </c>
      <c r="R317" s="1164">
        <v>744</v>
      </c>
      <c r="S317" s="1164">
        <v>569</v>
      </c>
      <c r="T317" s="1164">
        <v>2112</v>
      </c>
      <c r="U317" s="1165">
        <v>64477</v>
      </c>
      <c r="V317" s="1166"/>
      <c r="W317" s="1166"/>
      <c r="X317" s="635">
        <v>0.79239999999999999</v>
      </c>
      <c r="AI317" s="1832" t="s">
        <v>1</v>
      </c>
      <c r="AJ317" s="1833">
        <v>2003</v>
      </c>
      <c r="AK317" s="1832" t="s">
        <v>370</v>
      </c>
      <c r="AL317" s="1832">
        <v>5</v>
      </c>
      <c r="AM317" s="1834">
        <v>207320000</v>
      </c>
      <c r="AN317" s="1831">
        <v>3.609987609168519E-2</v>
      </c>
      <c r="AP317" s="1781" t="s">
        <v>457</v>
      </c>
      <c r="AQ317" s="1781" t="s">
        <v>502</v>
      </c>
      <c r="AR317" s="1822" t="s">
        <v>18</v>
      </c>
      <c r="AS317" s="1822">
        <v>1</v>
      </c>
      <c r="AT317" s="1823">
        <v>246575715</v>
      </c>
      <c r="AU317" s="1825">
        <v>0.28100000000000003</v>
      </c>
      <c r="AV317" s="1781">
        <v>2012</v>
      </c>
      <c r="EA317" s="169"/>
      <c r="EB317" s="169"/>
      <c r="EC317" s="169"/>
      <c r="ED317" s="169"/>
      <c r="EE317" s="169"/>
      <c r="EF317" s="169"/>
      <c r="EG317" s="169"/>
      <c r="EH317" s="169"/>
      <c r="EI317" s="169"/>
      <c r="EJ317" s="169"/>
      <c r="EK317" s="169"/>
      <c r="EL317" s="169"/>
      <c r="EM317" s="169"/>
      <c r="EN317" s="169"/>
      <c r="EO317" s="169"/>
      <c r="EP317" s="169"/>
      <c r="EQ317" s="169"/>
      <c r="ER317" s="169"/>
      <c r="ES317" s="169"/>
      <c r="ET317" s="169"/>
      <c r="EU317" s="169"/>
      <c r="EV317" s="169"/>
      <c r="EW317" s="169"/>
      <c r="EX317" s="169"/>
    </row>
    <row r="318" spans="1:154">
      <c r="A318" s="333">
        <f t="shared" si="8"/>
        <v>1996</v>
      </c>
      <c r="B318" s="333">
        <f t="shared" si="9"/>
        <v>4</v>
      </c>
      <c r="C318" s="1175">
        <v>35339</v>
      </c>
      <c r="D318" s="1167">
        <v>227.75</v>
      </c>
      <c r="E318" s="1168">
        <v>480.81</v>
      </c>
      <c r="F318" s="1168">
        <v>380.91</v>
      </c>
      <c r="G318" s="1168"/>
      <c r="H318" s="1167"/>
      <c r="I318" s="1168"/>
      <c r="J318" s="1168"/>
      <c r="K318" s="1678">
        <v>7304</v>
      </c>
      <c r="L318" s="1678">
        <v>9223.3867912615224</v>
      </c>
      <c r="M318" s="1682">
        <v>25.73</v>
      </c>
      <c r="N318" s="1169">
        <v>2476.4499999999998</v>
      </c>
      <c r="O318" s="1169">
        <v>936.68392473797189</v>
      </c>
      <c r="P318" s="1169">
        <v>1267.0791766637201</v>
      </c>
      <c r="Q318" s="1167">
        <v>15.4</v>
      </c>
      <c r="R318" s="1167">
        <v>653</v>
      </c>
      <c r="S318" s="1167">
        <v>581</v>
      </c>
      <c r="T318" s="1167">
        <v>1927</v>
      </c>
      <c r="U318" s="1167">
        <v>61261</v>
      </c>
      <c r="V318" s="1167"/>
      <c r="W318" s="1167"/>
      <c r="X318" s="344">
        <v>0.79190000000000005</v>
      </c>
      <c r="AI318" s="1832" t="s">
        <v>1</v>
      </c>
      <c r="AJ318" s="1833">
        <v>2003</v>
      </c>
      <c r="AK318" s="1832" t="s">
        <v>33</v>
      </c>
      <c r="AL318" s="1832">
        <v>6</v>
      </c>
      <c r="AM318" s="1834">
        <v>201248000</v>
      </c>
      <c r="AN318" s="1831">
        <v>3.5042580859055858E-2</v>
      </c>
      <c r="AP318" s="1781" t="s">
        <v>457</v>
      </c>
      <c r="AQ318" s="1781" t="s">
        <v>502</v>
      </c>
      <c r="AR318" s="1822" t="s">
        <v>758</v>
      </c>
      <c r="AS318" s="1822">
        <v>2</v>
      </c>
      <c r="AT318" s="1823">
        <v>232201911</v>
      </c>
      <c r="AU318" s="1825">
        <v>0.26400000000000001</v>
      </c>
      <c r="AV318" s="1781">
        <v>2012</v>
      </c>
      <c r="EA318" s="169"/>
      <c r="EB318" s="169"/>
      <c r="EC318" s="169"/>
      <c r="ED318" s="169"/>
      <c r="EE318" s="169"/>
      <c r="EF318" s="169"/>
      <c r="EG318" s="169"/>
      <c r="EH318" s="169"/>
      <c r="EI318" s="169"/>
      <c r="EJ318" s="169"/>
      <c r="EK318" s="169"/>
      <c r="EL318" s="169"/>
      <c r="EM318" s="169"/>
      <c r="EN318" s="169"/>
      <c r="EO318" s="169"/>
      <c r="EP318" s="169"/>
      <c r="EQ318" s="169"/>
      <c r="ER318" s="169"/>
      <c r="ES318" s="169"/>
      <c r="ET318" s="169"/>
      <c r="EU318" s="169"/>
      <c r="EV318" s="169"/>
      <c r="EW318" s="169"/>
      <c r="EX318" s="169"/>
    </row>
    <row r="319" spans="1:154">
      <c r="A319" s="333">
        <f t="shared" si="8"/>
        <v>1996</v>
      </c>
      <c r="B319" s="333">
        <f t="shared" si="9"/>
        <v>4</v>
      </c>
      <c r="C319" s="1175">
        <v>35370</v>
      </c>
      <c r="D319" s="1158">
        <v>222.5</v>
      </c>
      <c r="E319" s="1159">
        <v>460.19</v>
      </c>
      <c r="F319" s="1159">
        <v>377.87</v>
      </c>
      <c r="G319" s="1160"/>
      <c r="H319" s="1161"/>
      <c r="I319" s="1160"/>
      <c r="J319" s="1160"/>
      <c r="K319" s="1677">
        <v>6945.6</v>
      </c>
      <c r="L319" s="1677">
        <v>8579.05138339921</v>
      </c>
      <c r="M319" s="1681">
        <v>24.76</v>
      </c>
      <c r="N319" s="1162">
        <v>2755.43</v>
      </c>
      <c r="O319" s="1162">
        <v>885.98073122529638</v>
      </c>
      <c r="P319" s="1162">
        <v>1292.98418972332</v>
      </c>
      <c r="Q319" s="1163">
        <v>15</v>
      </c>
      <c r="R319" s="1164">
        <v>653</v>
      </c>
      <c r="S319" s="1164">
        <v>581</v>
      </c>
      <c r="T319" s="1164">
        <v>1927</v>
      </c>
      <c r="U319" s="1165">
        <v>58247</v>
      </c>
      <c r="V319" s="1166"/>
      <c r="W319" s="1166"/>
      <c r="X319" s="635">
        <v>0.80959999999999999</v>
      </c>
      <c r="AI319" s="1832" t="s">
        <v>1</v>
      </c>
      <c r="AJ319" s="1833">
        <v>2003</v>
      </c>
      <c r="AK319" s="1832" t="s">
        <v>23</v>
      </c>
      <c r="AL319" s="1832">
        <v>7</v>
      </c>
      <c r="AM319" s="1834">
        <v>153579000</v>
      </c>
      <c r="AN319" s="1831">
        <v>2.6742151602763456E-2</v>
      </c>
      <c r="AP319" s="1781" t="s">
        <v>457</v>
      </c>
      <c r="AQ319" s="1781" t="s">
        <v>502</v>
      </c>
      <c r="AR319" s="1822" t="s">
        <v>27</v>
      </c>
      <c r="AS319" s="1822">
        <v>3</v>
      </c>
      <c r="AT319" s="1823">
        <v>101341646</v>
      </c>
      <c r="AU319" s="1825">
        <v>0.115</v>
      </c>
      <c r="AV319" s="1781">
        <v>2012</v>
      </c>
      <c r="EA319" s="169"/>
      <c r="EB319" s="169"/>
      <c r="EC319" s="169"/>
      <c r="ED319" s="169"/>
      <c r="EE319" s="169"/>
      <c r="EF319" s="169"/>
      <c r="EG319" s="169"/>
      <c r="EH319" s="169"/>
      <c r="EI319" s="169"/>
      <c r="EJ319" s="169"/>
      <c r="EK319" s="169"/>
      <c r="EL319" s="169"/>
      <c r="EM319" s="169"/>
      <c r="EN319" s="169"/>
      <c r="EO319" s="169"/>
      <c r="EP319" s="169"/>
      <c r="EQ319" s="169"/>
      <c r="ER319" s="169"/>
      <c r="ES319" s="169"/>
      <c r="ET319" s="169"/>
      <c r="EU319" s="169"/>
      <c r="EV319" s="169"/>
      <c r="EW319" s="169"/>
      <c r="EX319" s="169"/>
    </row>
    <row r="320" spans="1:154">
      <c r="A320" s="333">
        <f t="shared" si="8"/>
        <v>1996</v>
      </c>
      <c r="B320" s="333">
        <f t="shared" si="9"/>
        <v>4</v>
      </c>
      <c r="C320" s="1175">
        <v>35400</v>
      </c>
      <c r="D320" s="1167">
        <v>229.61</v>
      </c>
      <c r="E320" s="1168">
        <v>464.45</v>
      </c>
      <c r="F320" s="1168">
        <v>369.34</v>
      </c>
      <c r="G320" s="1168"/>
      <c r="H320" s="1167"/>
      <c r="I320" s="1168"/>
      <c r="J320" s="1168"/>
      <c r="K320" s="1678">
        <v>6570.5</v>
      </c>
      <c r="L320" s="1678">
        <v>8249.2153170119273</v>
      </c>
      <c r="M320" s="1682">
        <v>25.4</v>
      </c>
      <c r="N320" s="1169">
        <v>2843.31</v>
      </c>
      <c r="O320" s="1169">
        <v>868.08537350910228</v>
      </c>
      <c r="P320" s="1169">
        <v>1302.9504080351537</v>
      </c>
      <c r="Q320" s="1167">
        <v>14.6</v>
      </c>
      <c r="R320" s="1167">
        <v>653</v>
      </c>
      <c r="S320" s="1167">
        <v>581</v>
      </c>
      <c r="T320" s="1167">
        <v>1927</v>
      </c>
      <c r="U320" s="1167">
        <v>60270</v>
      </c>
      <c r="V320" s="1167"/>
      <c r="W320" s="1167"/>
      <c r="X320" s="344">
        <v>0.79649999999999999</v>
      </c>
      <c r="AI320" s="1832" t="s">
        <v>1</v>
      </c>
      <c r="AJ320" s="1833">
        <v>2003</v>
      </c>
      <c r="AK320" s="1832" t="s">
        <v>537</v>
      </c>
      <c r="AL320" s="1832">
        <v>8</v>
      </c>
      <c r="AM320" s="1834">
        <v>123002000</v>
      </c>
      <c r="AN320" s="1831">
        <v>2.1417890020400645E-2</v>
      </c>
      <c r="AP320" s="1781" t="s">
        <v>457</v>
      </c>
      <c r="AQ320" s="1781" t="s">
        <v>502</v>
      </c>
      <c r="AR320" s="1822" t="s">
        <v>537</v>
      </c>
      <c r="AS320" s="1822">
        <v>4</v>
      </c>
      <c r="AT320" s="1823">
        <v>62073281</v>
      </c>
      <c r="AU320" s="1825">
        <v>7.0999999999999994E-2</v>
      </c>
      <c r="AV320" s="1781">
        <v>2012</v>
      </c>
      <c r="EA320" s="169"/>
      <c r="EB320" s="169"/>
      <c r="EC320" s="169"/>
      <c r="ED320" s="169"/>
      <c r="EE320" s="169"/>
      <c r="EF320" s="169"/>
      <c r="EG320" s="169"/>
      <c r="EH320" s="169"/>
      <c r="EI320" s="169"/>
      <c r="EJ320" s="169"/>
      <c r="EK320" s="169"/>
      <c r="EL320" s="169"/>
      <c r="EM320" s="169"/>
      <c r="EN320" s="169"/>
      <c r="EO320" s="169"/>
      <c r="EP320" s="169"/>
      <c r="EQ320" s="169"/>
      <c r="ER320" s="169"/>
      <c r="ES320" s="169"/>
      <c r="ET320" s="169"/>
      <c r="EU320" s="169"/>
      <c r="EV320" s="169"/>
      <c r="EW320" s="169"/>
      <c r="EX320" s="169"/>
    </row>
    <row r="321" spans="1:154">
      <c r="A321" s="333">
        <f t="shared" si="8"/>
        <v>1997</v>
      </c>
      <c r="B321" s="333">
        <f t="shared" si="9"/>
        <v>1</v>
      </c>
      <c r="C321" s="1175">
        <v>35431</v>
      </c>
      <c r="D321" s="1158">
        <v>231.12</v>
      </c>
      <c r="E321" s="1159">
        <v>452.26</v>
      </c>
      <c r="F321" s="1159">
        <v>355.02</v>
      </c>
      <c r="G321" s="1160"/>
      <c r="H321" s="1161"/>
      <c r="I321" s="1160"/>
      <c r="J321" s="1160"/>
      <c r="K321" s="1677">
        <v>7042.3</v>
      </c>
      <c r="L321" s="1677">
        <v>9241.8635170603684</v>
      </c>
      <c r="M321" s="1681">
        <v>26.01</v>
      </c>
      <c r="N321" s="1162">
        <v>3182.94</v>
      </c>
      <c r="O321" s="1162">
        <v>908.98950131233596</v>
      </c>
      <c r="P321" s="1162">
        <v>1424.0157480314958</v>
      </c>
      <c r="Q321" s="1163">
        <v>14.25</v>
      </c>
      <c r="R321" s="1164">
        <v>710</v>
      </c>
      <c r="S321" s="1164">
        <v>594</v>
      </c>
      <c r="T321" s="1164">
        <v>1899</v>
      </c>
      <c r="U321" s="1165">
        <v>61422</v>
      </c>
      <c r="V321" s="1166"/>
      <c r="W321" s="1166"/>
      <c r="X321" s="635">
        <v>0.76200000000000001</v>
      </c>
      <c r="AI321" s="1832" t="s">
        <v>1</v>
      </c>
      <c r="AJ321" s="1833">
        <v>2003</v>
      </c>
      <c r="AK321" s="1832" t="s">
        <v>372</v>
      </c>
      <c r="AL321" s="1832">
        <v>9</v>
      </c>
      <c r="AM321" s="1834">
        <v>59570000</v>
      </c>
      <c r="AN321" s="1831">
        <v>1.0372707017083189E-2</v>
      </c>
      <c r="AP321" s="1781" t="s">
        <v>457</v>
      </c>
      <c r="AQ321" s="1781" t="s">
        <v>502</v>
      </c>
      <c r="AR321" s="1822" t="s">
        <v>23</v>
      </c>
      <c r="AS321" s="1822">
        <v>5</v>
      </c>
      <c r="AT321" s="1823">
        <v>38089165</v>
      </c>
      <c r="AU321" s="1825">
        <v>4.2999999999999997E-2</v>
      </c>
      <c r="AV321" s="1781">
        <v>2012</v>
      </c>
      <c r="EA321" s="169"/>
      <c r="EB321" s="169"/>
      <c r="EC321" s="169"/>
      <c r="ED321" s="169"/>
      <c r="EE321" s="169"/>
      <c r="EF321" s="169"/>
      <c r="EG321" s="169"/>
      <c r="EH321" s="169"/>
      <c r="EI321" s="169"/>
      <c r="EJ321" s="169"/>
      <c r="EK321" s="169"/>
      <c r="EL321" s="169"/>
      <c r="EM321" s="169"/>
      <c r="EN321" s="169"/>
      <c r="EO321" s="169"/>
      <c r="EP321" s="169"/>
      <c r="EQ321" s="169"/>
      <c r="ER321" s="169"/>
      <c r="ES321" s="169"/>
      <c r="ET321" s="169"/>
      <c r="EU321" s="169"/>
      <c r="EV321" s="169"/>
      <c r="EW321" s="169"/>
      <c r="EX321" s="169"/>
    </row>
    <row r="322" spans="1:154">
      <c r="A322" s="333">
        <f t="shared" si="8"/>
        <v>1997</v>
      </c>
      <c r="B322" s="333">
        <f t="shared" si="9"/>
        <v>1</v>
      </c>
      <c r="C322" s="1175">
        <v>35462</v>
      </c>
      <c r="D322" s="1167">
        <v>237.79</v>
      </c>
      <c r="E322" s="1168">
        <v>463.44</v>
      </c>
      <c r="F322" s="1168">
        <v>346.4</v>
      </c>
      <c r="G322" s="1168"/>
      <c r="H322" s="1167"/>
      <c r="I322" s="1168"/>
      <c r="J322" s="1168"/>
      <c r="K322" s="1678">
        <v>7737.3</v>
      </c>
      <c r="L322" s="1678">
        <v>9973.3178654292333</v>
      </c>
      <c r="M322" s="1682">
        <v>23.56</v>
      </c>
      <c r="N322" s="1169">
        <v>3101.06</v>
      </c>
      <c r="O322" s="1169">
        <v>851.01830368651713</v>
      </c>
      <c r="P322" s="1169">
        <v>1520.6238721319928</v>
      </c>
      <c r="Q322" s="1167">
        <v>13.75</v>
      </c>
      <c r="R322" s="1167">
        <v>710</v>
      </c>
      <c r="S322" s="1167">
        <v>594</v>
      </c>
      <c r="T322" s="1167">
        <v>1899</v>
      </c>
      <c r="U322" s="1167">
        <v>56863</v>
      </c>
      <c r="V322" s="1167"/>
      <c r="W322" s="1167"/>
      <c r="X322" s="344">
        <v>0.77580000000000005</v>
      </c>
      <c r="AI322" s="1832" t="s">
        <v>1</v>
      </c>
      <c r="AJ322" s="1833">
        <v>2003</v>
      </c>
      <c r="AK322" s="1832" t="s">
        <v>34</v>
      </c>
      <c r="AL322" s="1832">
        <v>10</v>
      </c>
      <c r="AM322" s="1834">
        <v>14674000</v>
      </c>
      <c r="AN322" s="1831">
        <v>2.555130145520878E-3</v>
      </c>
      <c r="AP322" s="1781" t="s">
        <v>457</v>
      </c>
      <c r="AQ322" s="1781" t="s">
        <v>502</v>
      </c>
      <c r="AR322" s="1822" t="s">
        <v>21</v>
      </c>
      <c r="AS322" s="1822">
        <v>6</v>
      </c>
      <c r="AT322" s="1823">
        <v>37677938</v>
      </c>
      <c r="AU322" s="1825">
        <v>4.2999999999999997E-2</v>
      </c>
      <c r="AV322" s="1781">
        <v>2012</v>
      </c>
      <c r="EA322" s="169"/>
      <c r="EB322" s="169"/>
      <c r="EC322" s="169"/>
      <c r="ED322" s="169"/>
      <c r="EE322" s="169"/>
      <c r="EF322" s="169"/>
      <c r="EG322" s="169"/>
      <c r="EH322" s="169"/>
      <c r="EI322" s="169"/>
      <c r="EJ322" s="169"/>
      <c r="EK322" s="169"/>
      <c r="EL322" s="169"/>
      <c r="EM322" s="169"/>
      <c r="EN322" s="169"/>
      <c r="EO322" s="169"/>
      <c r="EP322" s="169"/>
      <c r="EQ322" s="169"/>
      <c r="ER322" s="169"/>
      <c r="ES322" s="169"/>
      <c r="ET322" s="169"/>
      <c r="EU322" s="169"/>
      <c r="EV322" s="169"/>
      <c r="EW322" s="169"/>
      <c r="EX322" s="169"/>
    </row>
    <row r="323" spans="1:154">
      <c r="A323" s="333">
        <f t="shared" si="8"/>
        <v>1997</v>
      </c>
      <c r="B323" s="333">
        <f t="shared" si="9"/>
        <v>1</v>
      </c>
      <c r="C323" s="1175">
        <v>35490</v>
      </c>
      <c r="D323" s="1158">
        <v>233.46</v>
      </c>
      <c r="E323" s="1159">
        <v>446.91</v>
      </c>
      <c r="F323" s="1159">
        <v>352.31</v>
      </c>
      <c r="G323" s="1160"/>
      <c r="H323" s="1161"/>
      <c r="I323" s="1160"/>
      <c r="J323" s="1160"/>
      <c r="K323" s="1677">
        <v>7869.1</v>
      </c>
      <c r="L323" s="1677">
        <v>10005.212968849333</v>
      </c>
      <c r="M323" s="1681">
        <v>22.97</v>
      </c>
      <c r="N323" s="1162">
        <v>3077.43</v>
      </c>
      <c r="O323" s="1162">
        <v>883.29307056579796</v>
      </c>
      <c r="P323" s="1162">
        <v>1596.3127781309599</v>
      </c>
      <c r="Q323" s="1163">
        <v>13.5</v>
      </c>
      <c r="R323" s="1164">
        <v>710</v>
      </c>
      <c r="S323" s="1164">
        <v>594</v>
      </c>
      <c r="T323" s="1164">
        <v>1899</v>
      </c>
      <c r="U323" s="1165">
        <v>55346</v>
      </c>
      <c r="V323" s="1166"/>
      <c r="W323" s="1166"/>
      <c r="X323" s="635">
        <v>0.78649999999999998</v>
      </c>
      <c r="AI323" s="1832" t="s">
        <v>1</v>
      </c>
      <c r="AJ323" s="1833">
        <v>2003</v>
      </c>
      <c r="AK323" s="1832" t="s">
        <v>39</v>
      </c>
      <c r="AL323" s="1832"/>
      <c r="AM323" s="1834">
        <v>20069000</v>
      </c>
      <c r="AN323" s="1831">
        <v>3.4945418352500001E-3</v>
      </c>
      <c r="AP323" s="1781" t="s">
        <v>457</v>
      </c>
      <c r="AQ323" s="1781" t="s">
        <v>502</v>
      </c>
      <c r="AR323" s="1822" t="s">
        <v>54</v>
      </c>
      <c r="AS323" s="1822">
        <v>7</v>
      </c>
      <c r="AT323" s="1823">
        <v>29113728</v>
      </c>
      <c r="AU323" s="1825">
        <v>3.3000000000000002E-2</v>
      </c>
      <c r="AV323" s="1781">
        <v>2012</v>
      </c>
      <c r="EA323" s="169"/>
      <c r="EB323" s="169"/>
      <c r="EC323" s="169"/>
      <c r="ED323" s="169"/>
      <c r="EE323" s="169"/>
      <c r="EF323" s="169"/>
      <c r="EG323" s="169"/>
      <c r="EH323" s="169"/>
      <c r="EI323" s="169"/>
      <c r="EJ323" s="169"/>
      <c r="EK323" s="169"/>
      <c r="EL323" s="169"/>
      <c r="EM323" s="169"/>
      <c r="EN323" s="169"/>
      <c r="EO323" s="169"/>
      <c r="EP323" s="169"/>
      <c r="EQ323" s="169"/>
      <c r="ER323" s="169"/>
      <c r="ES323" s="169"/>
      <c r="ET323" s="169"/>
      <c r="EU323" s="169"/>
      <c r="EV323" s="169"/>
      <c r="EW323" s="169"/>
      <c r="EX323" s="169"/>
    </row>
    <row r="324" spans="1:154">
      <c r="A324" s="333">
        <f t="shared" si="8"/>
        <v>1997</v>
      </c>
      <c r="B324" s="333">
        <f t="shared" si="9"/>
        <v>2</v>
      </c>
      <c r="C324" s="1175">
        <v>35521</v>
      </c>
      <c r="D324" s="1167">
        <v>242.84</v>
      </c>
      <c r="E324" s="1168">
        <v>435.09</v>
      </c>
      <c r="F324" s="1168">
        <v>344.71</v>
      </c>
      <c r="G324" s="1168"/>
      <c r="H324" s="1167"/>
      <c r="I324" s="1168"/>
      <c r="J324" s="1168"/>
      <c r="K324" s="1678">
        <v>7317.9</v>
      </c>
      <c r="L324" s="1678">
        <v>9368.7107924721531</v>
      </c>
      <c r="M324" s="1682">
        <v>20.84</v>
      </c>
      <c r="N324" s="1169">
        <v>3061.32</v>
      </c>
      <c r="O324" s="1169">
        <v>822.58353603891942</v>
      </c>
      <c r="P324" s="1169">
        <v>1588.4009729868135</v>
      </c>
      <c r="Q324" s="1167">
        <v>12.45</v>
      </c>
      <c r="R324" s="1167">
        <v>645</v>
      </c>
      <c r="S324" s="1167">
        <v>582</v>
      </c>
      <c r="T324" s="1167">
        <v>1947</v>
      </c>
      <c r="U324" s="1167">
        <v>66384</v>
      </c>
      <c r="V324" s="1167"/>
      <c r="W324" s="1167"/>
      <c r="X324" s="344">
        <v>0.78110000000000002</v>
      </c>
      <c r="AI324" s="1832" t="s">
        <v>1</v>
      </c>
      <c r="AJ324" s="1833">
        <v>2003</v>
      </c>
      <c r="AK324" s="1832" t="s">
        <v>386</v>
      </c>
      <c r="AL324" s="1832"/>
      <c r="AM324" s="1834">
        <v>5742956000</v>
      </c>
      <c r="AN324" s="1831">
        <v>1</v>
      </c>
      <c r="AP324" s="1781" t="s">
        <v>457</v>
      </c>
      <c r="AQ324" s="1781" t="s">
        <v>502</v>
      </c>
      <c r="AR324" s="1822" t="s">
        <v>25</v>
      </c>
      <c r="AS324" s="1822">
        <v>8</v>
      </c>
      <c r="AT324" s="1823">
        <v>25055807</v>
      </c>
      <c r="AU324" s="1825">
        <v>2.9000000000000001E-2</v>
      </c>
      <c r="AV324" s="1781">
        <v>2012</v>
      </c>
      <c r="EA324" s="169"/>
      <c r="EB324" s="169"/>
      <c r="EC324" s="169"/>
      <c r="ED324" s="169"/>
      <c r="EE324" s="169"/>
      <c r="EF324" s="169"/>
      <c r="EG324" s="169"/>
      <c r="EH324" s="169"/>
      <c r="EI324" s="169"/>
      <c r="EJ324" s="169"/>
      <c r="EK324" s="169"/>
      <c r="EL324" s="169"/>
      <c r="EM324" s="169"/>
      <c r="EN324" s="169"/>
      <c r="EO324" s="169"/>
      <c r="EP324" s="169"/>
      <c r="EQ324" s="169"/>
      <c r="ER324" s="169"/>
      <c r="ES324" s="169"/>
      <c r="ET324" s="169"/>
      <c r="EU324" s="169"/>
      <c r="EV324" s="169"/>
      <c r="EW324" s="169"/>
      <c r="EX324" s="169"/>
    </row>
    <row r="325" spans="1:154">
      <c r="A325" s="333">
        <f t="shared" si="8"/>
        <v>1997</v>
      </c>
      <c r="B325" s="333">
        <f t="shared" si="9"/>
        <v>2</v>
      </c>
      <c r="C325" s="1175">
        <v>35551</v>
      </c>
      <c r="D325" s="1158">
        <v>242.3</v>
      </c>
      <c r="E325" s="1159">
        <v>451.47</v>
      </c>
      <c r="F325" s="1159">
        <v>344.1</v>
      </c>
      <c r="G325" s="1160"/>
      <c r="H325" s="1161"/>
      <c r="I325" s="1160"/>
      <c r="J325" s="1160"/>
      <c r="K325" s="1677">
        <v>7472.7</v>
      </c>
      <c r="L325" s="1677">
        <v>9815.7099697885205</v>
      </c>
      <c r="M325" s="1681">
        <v>21.2</v>
      </c>
      <c r="N325" s="1162">
        <v>3300.01</v>
      </c>
      <c r="O325" s="1162">
        <v>812.57060291606467</v>
      </c>
      <c r="P325" s="1162">
        <v>1719.690003940628</v>
      </c>
      <c r="Q325" s="1163">
        <v>11.8</v>
      </c>
      <c r="R325" s="1164">
        <v>645</v>
      </c>
      <c r="S325" s="1164">
        <v>582</v>
      </c>
      <c r="T325" s="1164">
        <v>1947</v>
      </c>
      <c r="U325" s="1165">
        <v>72570</v>
      </c>
      <c r="V325" s="1166"/>
      <c r="W325" s="1166"/>
      <c r="X325" s="635">
        <v>0.76129999999999998</v>
      </c>
      <c r="AI325" s="1835" t="s">
        <v>1</v>
      </c>
      <c r="AJ325" s="1836">
        <v>2004</v>
      </c>
      <c r="AK325" s="1835" t="s">
        <v>21</v>
      </c>
      <c r="AL325" s="1835">
        <v>1</v>
      </c>
      <c r="AM325" s="1837">
        <v>2869654000</v>
      </c>
      <c r="AN325" s="1831">
        <v>0.51182475575702835</v>
      </c>
      <c r="AP325" s="1781" t="s">
        <v>457</v>
      </c>
      <c r="AQ325" s="1781" t="s">
        <v>502</v>
      </c>
      <c r="AR325" s="1822" t="s">
        <v>32</v>
      </c>
      <c r="AS325" s="1822">
        <v>9</v>
      </c>
      <c r="AT325" s="1823">
        <v>15430241</v>
      </c>
      <c r="AU325" s="1825">
        <v>1.7999999999999999E-2</v>
      </c>
      <c r="AV325" s="1781">
        <v>2012</v>
      </c>
      <c r="EA325" s="169"/>
      <c r="EB325" s="169"/>
      <c r="EC325" s="169"/>
      <c r="ED325" s="169"/>
      <c r="EE325" s="169"/>
      <c r="EF325" s="169"/>
      <c r="EG325" s="169"/>
      <c r="EH325" s="169"/>
      <c r="EI325" s="169"/>
      <c r="EJ325" s="169"/>
      <c r="EK325" s="169"/>
      <c r="EL325" s="169"/>
      <c r="EM325" s="169"/>
      <c r="EN325" s="169"/>
      <c r="EO325" s="169"/>
      <c r="EP325" s="169"/>
      <c r="EQ325" s="169"/>
      <c r="ER325" s="169"/>
      <c r="ES325" s="169"/>
      <c r="ET325" s="169"/>
      <c r="EU325" s="169"/>
      <c r="EV325" s="169"/>
      <c r="EW325" s="169"/>
      <c r="EX325" s="169"/>
    </row>
    <row r="326" spans="1:154">
      <c r="A326" s="333">
        <f t="shared" si="8"/>
        <v>1997</v>
      </c>
      <c r="B326" s="333">
        <f t="shared" si="9"/>
        <v>2</v>
      </c>
      <c r="C326" s="1175">
        <v>35582</v>
      </c>
      <c r="D326" s="1167">
        <v>253.78</v>
      </c>
      <c r="E326" s="1168">
        <v>450.34</v>
      </c>
      <c r="F326" s="1168">
        <v>340.8</v>
      </c>
      <c r="G326" s="1168"/>
      <c r="H326" s="1167"/>
      <c r="I326" s="1168"/>
      <c r="J326" s="1168"/>
      <c r="K326" s="1678">
        <v>7064.9</v>
      </c>
      <c r="L326" s="1678">
        <v>9476.7270288397031</v>
      </c>
      <c r="M326" s="1682">
        <v>19.920000000000002</v>
      </c>
      <c r="N326" s="1169">
        <v>2900.87</v>
      </c>
      <c r="O326" s="1169">
        <v>824.84238765928899</v>
      </c>
      <c r="P326" s="1169">
        <v>1816.9014084507041</v>
      </c>
      <c r="Q326" s="1167">
        <v>10.7</v>
      </c>
      <c r="R326" s="1167">
        <v>645</v>
      </c>
      <c r="S326" s="1167">
        <v>582</v>
      </c>
      <c r="T326" s="1167">
        <v>1947</v>
      </c>
      <c r="U326" s="1167">
        <v>68903</v>
      </c>
      <c r="V326" s="1167"/>
      <c r="W326" s="1167"/>
      <c r="X326" s="344">
        <v>0.74550000000000005</v>
      </c>
      <c r="AI326" s="1835" t="s">
        <v>1</v>
      </c>
      <c r="AJ326" s="1836">
        <v>2004</v>
      </c>
      <c r="AK326" s="1835" t="s">
        <v>63</v>
      </c>
      <c r="AL326" s="1835">
        <v>2</v>
      </c>
      <c r="AM326" s="1837">
        <v>1005103000</v>
      </c>
      <c r="AN326" s="1831">
        <v>0.17926781329235389</v>
      </c>
      <c r="AP326" s="1781" t="s">
        <v>457</v>
      </c>
      <c r="AQ326" s="1781" t="s">
        <v>502</v>
      </c>
      <c r="AR326" s="1822" t="s">
        <v>61</v>
      </c>
      <c r="AS326" s="1822">
        <v>10</v>
      </c>
      <c r="AT326" s="1823">
        <v>13544293</v>
      </c>
      <c r="AU326" s="1825">
        <v>1.4999999999999999E-2</v>
      </c>
      <c r="AV326" s="1781">
        <v>2012</v>
      </c>
      <c r="EA326" s="169"/>
      <c r="EB326" s="169"/>
      <c r="EC326" s="169"/>
      <c r="ED326" s="169"/>
      <c r="EE326" s="169"/>
      <c r="EF326" s="169"/>
      <c r="EG326" s="169"/>
      <c r="EH326" s="169"/>
      <c r="EI326" s="169"/>
      <c r="EJ326" s="169"/>
      <c r="EK326" s="169"/>
      <c r="EL326" s="169"/>
      <c r="EM326" s="169"/>
      <c r="EN326" s="169"/>
      <c r="EO326" s="169"/>
      <c r="EP326" s="169"/>
      <c r="EQ326" s="169"/>
      <c r="ER326" s="169"/>
      <c r="ES326" s="169"/>
      <c r="ET326" s="169"/>
      <c r="EU326" s="169"/>
      <c r="EV326" s="169"/>
      <c r="EW326" s="169"/>
      <c r="EX326" s="169"/>
    </row>
    <row r="327" spans="1:154">
      <c r="A327" s="333">
        <f t="shared" si="8"/>
        <v>1997</v>
      </c>
      <c r="B327" s="333">
        <f t="shared" si="9"/>
        <v>3</v>
      </c>
      <c r="C327" s="1175">
        <v>35612</v>
      </c>
      <c r="D327" s="1158">
        <v>245.23</v>
      </c>
      <c r="E327" s="1159">
        <v>438.87</v>
      </c>
      <c r="F327" s="1159">
        <v>324.05</v>
      </c>
      <c r="G327" s="1160"/>
      <c r="H327" s="1161"/>
      <c r="I327" s="1160"/>
      <c r="J327" s="1160"/>
      <c r="K327" s="1677">
        <v>6838.2</v>
      </c>
      <c r="L327" s="1677">
        <v>9176.3285024154593</v>
      </c>
      <c r="M327" s="1681">
        <v>18.97</v>
      </c>
      <c r="N327" s="1162">
        <v>3463.23</v>
      </c>
      <c r="O327" s="1162">
        <v>851.20772946859915</v>
      </c>
      <c r="P327" s="1162">
        <v>2038.1105743424584</v>
      </c>
      <c r="Q327" s="1163">
        <v>10.7</v>
      </c>
      <c r="R327" s="1164">
        <v>688</v>
      </c>
      <c r="S327" s="1164">
        <v>568</v>
      </c>
      <c r="T327" s="1164">
        <v>2173</v>
      </c>
      <c r="U327" s="1165">
        <v>67481</v>
      </c>
      <c r="V327" s="1166"/>
      <c r="W327" s="1166"/>
      <c r="X327" s="635">
        <v>0.74519999999999997</v>
      </c>
      <c r="AI327" s="1835" t="s">
        <v>1</v>
      </c>
      <c r="AJ327" s="1836">
        <v>2004</v>
      </c>
      <c r="AK327" s="1835" t="s">
        <v>371</v>
      </c>
      <c r="AL327" s="1835">
        <v>3</v>
      </c>
      <c r="AM327" s="1837">
        <v>598923000</v>
      </c>
      <c r="AN327" s="1831">
        <v>0.10682250131627949</v>
      </c>
      <c r="AP327" s="1781" t="s">
        <v>457</v>
      </c>
      <c r="AQ327" s="1781" t="s">
        <v>502</v>
      </c>
      <c r="AR327" s="1822" t="s">
        <v>39</v>
      </c>
      <c r="AS327" s="1822"/>
      <c r="AT327" s="1823">
        <v>77867599</v>
      </c>
      <c r="AU327" s="1825">
        <v>8.8999999999999996E-2</v>
      </c>
      <c r="AV327" s="1781">
        <v>2012</v>
      </c>
      <c r="EA327" s="169"/>
      <c r="EB327" s="169"/>
      <c r="EC327" s="169"/>
      <c r="ED327" s="169"/>
      <c r="EE327" s="169"/>
      <c r="EF327" s="169"/>
      <c r="EG327" s="169"/>
      <c r="EH327" s="169"/>
      <c r="EI327" s="169"/>
      <c r="EJ327" s="169"/>
      <c r="EK327" s="169"/>
      <c r="EL327" s="169"/>
      <c r="EM327" s="169"/>
      <c r="EN327" s="169"/>
      <c r="EO327" s="169"/>
      <c r="EP327" s="169"/>
      <c r="EQ327" s="169"/>
      <c r="ER327" s="169"/>
      <c r="ES327" s="169"/>
      <c r="ET327" s="169"/>
      <c r="EU327" s="169"/>
      <c r="EV327" s="169"/>
      <c r="EW327" s="169"/>
      <c r="EX327" s="169"/>
    </row>
    <row r="328" spans="1:154">
      <c r="A328" s="333">
        <f t="shared" si="8"/>
        <v>1997</v>
      </c>
      <c r="B328" s="333">
        <f t="shared" si="9"/>
        <v>3</v>
      </c>
      <c r="C328" s="1175">
        <v>35643</v>
      </c>
      <c r="D328" s="1167">
        <v>254.6</v>
      </c>
      <c r="E328" s="1168">
        <v>440.53</v>
      </c>
      <c r="F328" s="1168">
        <v>324.01</v>
      </c>
      <c r="G328" s="1168"/>
      <c r="H328" s="1167"/>
      <c r="I328" s="1168"/>
      <c r="J328" s="1168"/>
      <c r="K328" s="1678">
        <v>6763</v>
      </c>
      <c r="L328" s="1678">
        <v>9208.8779956427006</v>
      </c>
      <c r="M328" s="1682">
        <v>20.14</v>
      </c>
      <c r="N328" s="1169">
        <v>3065.36</v>
      </c>
      <c r="O328" s="1169">
        <v>827.99564270152507</v>
      </c>
      <c r="P328" s="1169">
        <v>2252.7233115468407</v>
      </c>
      <c r="Q328" s="1167">
        <v>10.3</v>
      </c>
      <c r="R328" s="1167">
        <v>688</v>
      </c>
      <c r="S328" s="1167">
        <v>568</v>
      </c>
      <c r="T328" s="1167">
        <v>2173</v>
      </c>
      <c r="U328" s="1167">
        <v>68564</v>
      </c>
      <c r="V328" s="1167"/>
      <c r="W328" s="1167"/>
      <c r="X328" s="344">
        <v>0.73440000000000005</v>
      </c>
      <c r="AI328" s="1835" t="s">
        <v>1</v>
      </c>
      <c r="AJ328" s="1836">
        <v>2004</v>
      </c>
      <c r="AK328" s="1835" t="s">
        <v>33</v>
      </c>
      <c r="AL328" s="1835">
        <v>4</v>
      </c>
      <c r="AM328" s="1837">
        <v>494200000</v>
      </c>
      <c r="AN328" s="1831">
        <v>8.8144352697267128E-2</v>
      </c>
      <c r="AP328" s="1781" t="s">
        <v>457</v>
      </c>
      <c r="AQ328" s="1781" t="s">
        <v>502</v>
      </c>
      <c r="AR328" s="1822" t="s">
        <v>386</v>
      </c>
      <c r="AS328" s="1822"/>
      <c r="AT328" s="1823">
        <v>878971325</v>
      </c>
      <c r="AU328" s="1825"/>
      <c r="AV328" s="1781">
        <v>2012</v>
      </c>
      <c r="EA328" s="169"/>
      <c r="EB328" s="169"/>
      <c r="EC328" s="169"/>
      <c r="ED328" s="169"/>
      <c r="EE328" s="169"/>
      <c r="EF328" s="169"/>
      <c r="EG328" s="169"/>
      <c r="EH328" s="169"/>
      <c r="EI328" s="169"/>
      <c r="EJ328" s="169"/>
      <c r="EK328" s="169"/>
      <c r="EL328" s="169"/>
      <c r="EM328" s="169"/>
      <c r="EN328" s="169"/>
      <c r="EO328" s="169"/>
      <c r="EP328" s="169"/>
      <c r="EQ328" s="169"/>
      <c r="ER328" s="169"/>
      <c r="ES328" s="169"/>
      <c r="ET328" s="169"/>
      <c r="EU328" s="169"/>
      <c r="EV328" s="169"/>
      <c r="EW328" s="169"/>
      <c r="EX328" s="169"/>
    </row>
    <row r="329" spans="1:154">
      <c r="A329" s="333">
        <f t="shared" ref="A329:A392" si="10">YEAR(C329)</f>
        <v>1997</v>
      </c>
      <c r="B329" s="333">
        <f t="shared" ref="B329:B392" si="11">IF(OR(MONTH(C329)=1,MONTH(C329)=2,MONTH(C329)=3),1,IF(OR(MONTH(C329)=4,MONTH(C329)=5,MONTH(C329)=6),2,IF(OR(MONTH(C329)=7,MONTH(C329)=8,MONTH(C329)=9),3,4)))</f>
        <v>3</v>
      </c>
      <c r="C329" s="1175">
        <v>35674</v>
      </c>
      <c r="D329" s="1158">
        <v>258.56</v>
      </c>
      <c r="E329" s="1159">
        <v>457.2</v>
      </c>
      <c r="F329" s="1159">
        <v>322.82</v>
      </c>
      <c r="G329" s="1160"/>
      <c r="H329" s="1161"/>
      <c r="I329" s="1160"/>
      <c r="J329" s="1160"/>
      <c r="K329" s="1677">
        <v>6506.5</v>
      </c>
      <c r="L329" s="1677">
        <v>9039.3164767991111</v>
      </c>
      <c r="M329" s="1681">
        <v>19.38</v>
      </c>
      <c r="N329" s="1162">
        <v>2927.62</v>
      </c>
      <c r="O329" s="1162">
        <v>881.14754098360652</v>
      </c>
      <c r="P329" s="1162">
        <v>2280.7724367879969</v>
      </c>
      <c r="Q329" s="1163">
        <v>10</v>
      </c>
      <c r="R329" s="1164">
        <v>688</v>
      </c>
      <c r="S329" s="1164">
        <v>568</v>
      </c>
      <c r="T329" s="1164">
        <v>2173</v>
      </c>
      <c r="U329" s="1165">
        <v>74564</v>
      </c>
      <c r="V329" s="1166"/>
      <c r="W329" s="1166"/>
      <c r="X329" s="635">
        <v>0.7198</v>
      </c>
      <c r="AI329" s="1835" t="s">
        <v>1</v>
      </c>
      <c r="AJ329" s="1836">
        <v>2004</v>
      </c>
      <c r="AK329" s="1835" t="s">
        <v>61</v>
      </c>
      <c r="AL329" s="1835">
        <v>5</v>
      </c>
      <c r="AM329" s="1837">
        <v>268635000</v>
      </c>
      <c r="AN329" s="1831">
        <v>4.7913108431465713E-2</v>
      </c>
      <c r="AP329" s="1781" t="s">
        <v>457</v>
      </c>
      <c r="AQ329" s="1781" t="s">
        <v>501</v>
      </c>
      <c r="AR329" s="1822" t="s">
        <v>18</v>
      </c>
      <c r="AS329" s="1822">
        <v>1</v>
      </c>
      <c r="AT329" s="1823">
        <v>354677085.05000013</v>
      </c>
      <c r="AU329" s="1825">
        <v>12475.451461484352</v>
      </c>
      <c r="AV329" s="1781">
        <v>2011</v>
      </c>
      <c r="EA329" s="169"/>
      <c r="EB329" s="169"/>
      <c r="EC329" s="169"/>
      <c r="ED329" s="169"/>
      <c r="EE329" s="169"/>
      <c r="EF329" s="169"/>
      <c r="EG329" s="169"/>
      <c r="EH329" s="169"/>
      <c r="EI329" s="169"/>
      <c r="EJ329" s="169"/>
      <c r="EK329" s="169"/>
      <c r="EL329" s="169"/>
      <c r="EM329" s="169"/>
      <c r="EN329" s="169"/>
      <c r="EO329" s="169"/>
      <c r="EP329" s="169"/>
      <c r="EQ329" s="169"/>
      <c r="ER329" s="169"/>
      <c r="ES329" s="169"/>
      <c r="ET329" s="169"/>
      <c r="EU329" s="169"/>
      <c r="EV329" s="169"/>
      <c r="EW329" s="169"/>
      <c r="EX329" s="169"/>
    </row>
    <row r="330" spans="1:154">
      <c r="A330" s="333">
        <f t="shared" si="10"/>
        <v>1997</v>
      </c>
      <c r="B330" s="333">
        <f t="shared" si="11"/>
        <v>4</v>
      </c>
      <c r="C330" s="1175">
        <v>35704</v>
      </c>
      <c r="D330" s="1167">
        <v>258.61</v>
      </c>
      <c r="E330" s="1168">
        <v>452.88</v>
      </c>
      <c r="F330" s="1168">
        <v>324.87</v>
      </c>
      <c r="G330" s="1168"/>
      <c r="H330" s="1167"/>
      <c r="I330" s="1168"/>
      <c r="J330" s="1168"/>
      <c r="K330" s="1678">
        <v>6383.2</v>
      </c>
      <c r="L330" s="1678">
        <v>9072.2001137009665</v>
      </c>
      <c r="M330" s="1682">
        <v>21.2</v>
      </c>
      <c r="N330" s="1169">
        <v>2916.71</v>
      </c>
      <c r="O330" s="1169">
        <v>853.12677657760094</v>
      </c>
      <c r="P330" s="1169">
        <v>1819.9260943718023</v>
      </c>
      <c r="Q330" s="1167">
        <v>11.55</v>
      </c>
      <c r="R330" s="1167">
        <v>743</v>
      </c>
      <c r="S330" s="1167">
        <v>552</v>
      </c>
      <c r="T330" s="1167">
        <v>2493</v>
      </c>
      <c r="U330" s="1167">
        <v>73743</v>
      </c>
      <c r="V330" s="1167"/>
      <c r="W330" s="1167"/>
      <c r="X330" s="344">
        <v>0.7036</v>
      </c>
      <c r="AI330" s="1835" t="s">
        <v>1</v>
      </c>
      <c r="AJ330" s="1836">
        <v>2004</v>
      </c>
      <c r="AK330" s="1835" t="s">
        <v>23</v>
      </c>
      <c r="AL330" s="1835">
        <v>6</v>
      </c>
      <c r="AM330" s="1837">
        <v>165666000</v>
      </c>
      <c r="AN330" s="1831">
        <v>2.9547799137890442E-2</v>
      </c>
      <c r="AP330" s="1781" t="s">
        <v>457</v>
      </c>
      <c r="AQ330" s="1781" t="s">
        <v>501</v>
      </c>
      <c r="AR330" s="1822" t="s">
        <v>758</v>
      </c>
      <c r="AS330" s="1822">
        <v>2</v>
      </c>
      <c r="AT330" s="1823">
        <v>227760544.41</v>
      </c>
      <c r="AU330" s="1825">
        <v>8011.2748649314108</v>
      </c>
      <c r="AV330" s="1781">
        <v>2011</v>
      </c>
      <c r="EA330" s="169"/>
      <c r="EB330" s="169"/>
      <c r="EC330" s="169"/>
      <c r="ED330" s="169"/>
      <c r="EE330" s="169"/>
      <c r="EF330" s="169"/>
      <c r="EG330" s="169"/>
      <c r="EH330" s="169"/>
      <c r="EI330" s="169"/>
      <c r="EJ330" s="169"/>
      <c r="EK330" s="169"/>
      <c r="EL330" s="169"/>
      <c r="EM330" s="169"/>
      <c r="EN330" s="169"/>
      <c r="EO330" s="169"/>
      <c r="EP330" s="169"/>
      <c r="EQ330" s="169"/>
      <c r="ER330" s="169"/>
      <c r="ES330" s="169"/>
      <c r="ET330" s="169"/>
      <c r="EU330" s="169"/>
      <c r="EV330" s="169"/>
      <c r="EW330" s="169"/>
      <c r="EX330" s="169"/>
    </row>
    <row r="331" spans="1:154">
      <c r="A331" s="333">
        <f t="shared" si="10"/>
        <v>1997</v>
      </c>
      <c r="B331" s="333">
        <f t="shared" si="11"/>
        <v>4</v>
      </c>
      <c r="C331" s="1175">
        <v>35735</v>
      </c>
      <c r="D331" s="1158">
        <v>271.41000000000003</v>
      </c>
      <c r="E331" s="1159">
        <v>437.59</v>
      </c>
      <c r="F331" s="1159">
        <v>306.04000000000002</v>
      </c>
      <c r="G331" s="1160"/>
      <c r="H331" s="1161"/>
      <c r="I331" s="1160"/>
      <c r="J331" s="1160"/>
      <c r="K331" s="1677">
        <v>6142.2</v>
      </c>
      <c r="L331" s="1677">
        <v>8850.4322766570604</v>
      </c>
      <c r="M331" s="1681">
        <v>20.81</v>
      </c>
      <c r="N331" s="1162">
        <v>2762.82</v>
      </c>
      <c r="O331" s="1162">
        <v>811.81556195965425</v>
      </c>
      <c r="P331" s="1162">
        <v>1690.6340057636887</v>
      </c>
      <c r="Q331" s="1163">
        <v>13.1</v>
      </c>
      <c r="R331" s="1164">
        <v>743</v>
      </c>
      <c r="S331" s="1164">
        <v>552</v>
      </c>
      <c r="T331" s="1164">
        <v>2493</v>
      </c>
      <c r="U331" s="1165">
        <v>79718</v>
      </c>
      <c r="V331" s="1166"/>
      <c r="W331" s="1166"/>
      <c r="X331" s="635">
        <v>0.69399999999999995</v>
      </c>
      <c r="AI331" s="1835" t="s">
        <v>1</v>
      </c>
      <c r="AJ331" s="1836">
        <v>2004</v>
      </c>
      <c r="AK331" s="1835" t="s">
        <v>25</v>
      </c>
      <c r="AL331" s="1835">
        <v>7</v>
      </c>
      <c r="AM331" s="1837">
        <v>68460000</v>
      </c>
      <c r="AN331" s="1831">
        <v>1.2210365005372132E-2</v>
      </c>
      <c r="AP331" s="1781" t="s">
        <v>457</v>
      </c>
      <c r="AQ331" s="1781" t="s">
        <v>501</v>
      </c>
      <c r="AR331" s="1822" t="s">
        <v>27</v>
      </c>
      <c r="AS331" s="1822">
        <v>3</v>
      </c>
      <c r="AT331" s="1823">
        <v>147509859.25999999</v>
      </c>
      <c r="AU331" s="1825">
        <v>5188.528289131199</v>
      </c>
      <c r="AV331" s="1781">
        <v>2011</v>
      </c>
      <c r="EA331" s="169"/>
      <c r="EB331" s="169"/>
      <c r="EC331" s="169"/>
      <c r="ED331" s="169"/>
      <c r="EE331" s="169"/>
      <c r="EF331" s="169"/>
      <c r="EG331" s="169"/>
      <c r="EH331" s="169"/>
      <c r="EI331" s="169"/>
      <c r="EJ331" s="169"/>
      <c r="EK331" s="169"/>
      <c r="EL331" s="169"/>
      <c r="EM331" s="169"/>
      <c r="EN331" s="169"/>
      <c r="EO331" s="169"/>
      <c r="EP331" s="169"/>
      <c r="EQ331" s="169"/>
      <c r="ER331" s="169"/>
      <c r="ES331" s="169"/>
      <c r="ET331" s="169"/>
      <c r="EU331" s="169"/>
      <c r="EV331" s="169"/>
      <c r="EW331" s="169"/>
      <c r="EX331" s="169"/>
    </row>
    <row r="332" spans="1:154">
      <c r="A332" s="333">
        <f t="shared" si="10"/>
        <v>1997</v>
      </c>
      <c r="B332" s="333">
        <f t="shared" si="11"/>
        <v>4</v>
      </c>
      <c r="C332" s="1175">
        <v>35765</v>
      </c>
      <c r="D332" s="1167">
        <v>282.37</v>
      </c>
      <c r="E332" s="1168">
        <v>444.79</v>
      </c>
      <c r="F332" s="1168">
        <v>288.89</v>
      </c>
      <c r="G332" s="1168"/>
      <c r="H332" s="1167"/>
      <c r="I332" s="1168"/>
      <c r="J332" s="1168"/>
      <c r="K332" s="1678">
        <v>5952.5</v>
      </c>
      <c r="L332" s="1678">
        <v>9119.8100199172677</v>
      </c>
      <c r="M332" s="1682">
        <v>18.32</v>
      </c>
      <c r="N332" s="1169">
        <v>2702.77</v>
      </c>
      <c r="O332" s="1169">
        <v>806.08242684234722</v>
      </c>
      <c r="P332" s="1169">
        <v>1689.9034778611922</v>
      </c>
      <c r="Q332" s="1167">
        <v>12.35</v>
      </c>
      <c r="R332" s="1167">
        <v>743</v>
      </c>
      <c r="S332" s="1167">
        <v>552</v>
      </c>
      <c r="T332" s="1167">
        <v>2493</v>
      </c>
      <c r="U332" s="1167">
        <v>85995</v>
      </c>
      <c r="V332" s="1167"/>
      <c r="W332" s="1167"/>
      <c r="X332" s="344">
        <v>0.65269999999999995</v>
      </c>
      <c r="AI332" s="1835" t="s">
        <v>1</v>
      </c>
      <c r="AJ332" s="1836">
        <v>2004</v>
      </c>
      <c r="AK332" s="1835" t="s">
        <v>71</v>
      </c>
      <c r="AL332" s="1835">
        <v>8</v>
      </c>
      <c r="AM332" s="1837">
        <v>51591000</v>
      </c>
      <c r="AN332" s="1831">
        <v>9.2016497369581309E-3</v>
      </c>
      <c r="AP332" s="1781" t="s">
        <v>457</v>
      </c>
      <c r="AQ332" s="1781" t="s">
        <v>501</v>
      </c>
      <c r="AR332" s="1822" t="s">
        <v>70</v>
      </c>
      <c r="AS332" s="1822">
        <v>4</v>
      </c>
      <c r="AT332" s="1823">
        <v>93166319.269999996</v>
      </c>
      <c r="AU332" s="1825">
        <v>3277.0425349982411</v>
      </c>
      <c r="AV332" s="1781">
        <v>2011</v>
      </c>
      <c r="EA332" s="169"/>
      <c r="EB332" s="169"/>
      <c r="EC332" s="169"/>
      <c r="ED332" s="169"/>
      <c r="EE332" s="169"/>
      <c r="EF332" s="169"/>
      <c r="EG332" s="169"/>
      <c r="EH332" s="169"/>
      <c r="EI332" s="169"/>
      <c r="EJ332" s="169"/>
      <c r="EK332" s="169"/>
      <c r="EL332" s="169"/>
      <c r="EM332" s="169"/>
      <c r="EN332" s="169"/>
      <c r="EO332" s="169"/>
      <c r="EP332" s="169"/>
      <c r="EQ332" s="169"/>
      <c r="ER332" s="169"/>
      <c r="ES332" s="169"/>
      <c r="ET332" s="169"/>
      <c r="EU332" s="169"/>
      <c r="EV332" s="169"/>
      <c r="EW332" s="169"/>
      <c r="EX332" s="169"/>
    </row>
    <row r="333" spans="1:154">
      <c r="A333" s="333">
        <f t="shared" si="10"/>
        <v>1998</v>
      </c>
      <c r="B333" s="333">
        <f t="shared" si="11"/>
        <v>1</v>
      </c>
      <c r="C333" s="1175">
        <v>35796</v>
      </c>
      <c r="D333" s="1158">
        <v>291.99274008118869</v>
      </c>
      <c r="E333" s="1159">
        <v>451.63</v>
      </c>
      <c r="F333" s="1159">
        <v>289.14999999999998</v>
      </c>
      <c r="G333" s="1160"/>
      <c r="H333" s="1161"/>
      <c r="I333" s="1160"/>
      <c r="J333" s="1160"/>
      <c r="K333" s="1677">
        <v>5494.5</v>
      </c>
      <c r="L333" s="1677">
        <v>8209.3231734648143</v>
      </c>
      <c r="M333" s="1681">
        <v>15.93</v>
      </c>
      <c r="N333" s="1162">
        <v>2522.71</v>
      </c>
      <c r="O333" s="1162">
        <v>794.23278051695809</v>
      </c>
      <c r="P333" s="1162">
        <v>1639.3246675631258</v>
      </c>
      <c r="Q333" s="1163">
        <v>11.9</v>
      </c>
      <c r="R333" s="1164">
        <v>784</v>
      </c>
      <c r="S333" s="1164">
        <v>553</v>
      </c>
      <c r="T333" s="1164">
        <v>2632</v>
      </c>
      <c r="U333" s="1165">
        <v>82347</v>
      </c>
      <c r="V333" s="1166"/>
      <c r="W333" s="1166"/>
      <c r="X333" s="635">
        <v>0.66930000000000001</v>
      </c>
      <c r="AI333" s="1835" t="s">
        <v>1</v>
      </c>
      <c r="AJ333" s="1836">
        <v>2004</v>
      </c>
      <c r="AK333" s="1835" t="s">
        <v>527</v>
      </c>
      <c r="AL333" s="1835">
        <v>9</v>
      </c>
      <c r="AM333" s="1837">
        <v>20993000</v>
      </c>
      <c r="AN333" s="1831">
        <v>3.7442622342649312E-3</v>
      </c>
      <c r="AP333" s="1781" t="s">
        <v>457</v>
      </c>
      <c r="AQ333" s="1781" t="s">
        <v>501</v>
      </c>
      <c r="AR333" s="1822" t="s">
        <v>63</v>
      </c>
      <c r="AS333" s="1822">
        <v>5</v>
      </c>
      <c r="AT333" s="1823">
        <v>79586212.359999999</v>
      </c>
      <c r="AU333" s="1825">
        <v>2799.3743355610272</v>
      </c>
      <c r="AV333" s="1781">
        <v>2011</v>
      </c>
      <c r="EA333" s="169"/>
      <c r="EB333" s="169"/>
      <c r="EC333" s="169"/>
      <c r="ED333" s="169"/>
      <c r="EE333" s="169"/>
      <c r="EF333" s="169"/>
      <c r="EG333" s="169"/>
      <c r="EH333" s="169"/>
      <c r="EI333" s="169"/>
      <c r="EJ333" s="169"/>
      <c r="EK333" s="169"/>
      <c r="EL333" s="169"/>
      <c r="EM333" s="169"/>
      <c r="EN333" s="169"/>
      <c r="EO333" s="169"/>
      <c r="EP333" s="169"/>
      <c r="EQ333" s="169"/>
      <c r="ER333" s="169"/>
      <c r="ES333" s="169"/>
      <c r="ET333" s="169"/>
      <c r="EU333" s="169"/>
      <c r="EV333" s="169"/>
      <c r="EW333" s="169"/>
      <c r="EX333" s="169"/>
    </row>
    <row r="334" spans="1:154">
      <c r="A334" s="333">
        <f t="shared" si="10"/>
        <v>1998</v>
      </c>
      <c r="B334" s="333">
        <f t="shared" si="11"/>
        <v>1</v>
      </c>
      <c r="C334" s="1175">
        <v>35827</v>
      </c>
      <c r="D334" s="1167">
        <v>279.56635612413879</v>
      </c>
      <c r="E334" s="1168">
        <v>438.82</v>
      </c>
      <c r="F334" s="1168">
        <v>297.49</v>
      </c>
      <c r="G334" s="1168"/>
      <c r="H334" s="1167"/>
      <c r="I334" s="1168"/>
      <c r="J334" s="1168"/>
      <c r="K334" s="1678">
        <v>5389.5</v>
      </c>
      <c r="L334" s="1678">
        <v>7990.3632320237211</v>
      </c>
      <c r="M334" s="1682">
        <v>15.02</v>
      </c>
      <c r="N334" s="1169">
        <v>2468.1999999999998</v>
      </c>
      <c r="O334" s="1169">
        <v>765.57449962935505</v>
      </c>
      <c r="P334" s="1169">
        <v>1547.8131949592291</v>
      </c>
      <c r="Q334" s="1167">
        <v>12</v>
      </c>
      <c r="R334" s="1167">
        <v>784</v>
      </c>
      <c r="S334" s="1167">
        <v>553</v>
      </c>
      <c r="T334" s="1167">
        <v>2632</v>
      </c>
      <c r="U334" s="1167">
        <v>81304</v>
      </c>
      <c r="V334" s="1167"/>
      <c r="W334" s="1167"/>
      <c r="X334" s="344">
        <v>0.67449999999999999</v>
      </c>
      <c r="AI334" s="1835" t="s">
        <v>1</v>
      </c>
      <c r="AJ334" s="1836">
        <v>2004</v>
      </c>
      <c r="AK334" s="1835" t="s">
        <v>370</v>
      </c>
      <c r="AL334" s="1835">
        <v>10</v>
      </c>
      <c r="AM334" s="1837">
        <v>18600000</v>
      </c>
      <c r="AN334" s="1831">
        <v>3.317452367804874E-3</v>
      </c>
      <c r="AP334" s="1781" t="s">
        <v>457</v>
      </c>
      <c r="AQ334" s="1781" t="s">
        <v>501</v>
      </c>
      <c r="AR334" s="1822" t="s">
        <v>23</v>
      </c>
      <c r="AS334" s="1822">
        <v>6</v>
      </c>
      <c r="AT334" s="1823">
        <v>74762318.540000021</v>
      </c>
      <c r="AU334" s="1825">
        <v>2629.698154766093</v>
      </c>
      <c r="AV334" s="1781">
        <v>2011</v>
      </c>
      <c r="EA334" s="169"/>
      <c r="EB334" s="169"/>
      <c r="EC334" s="169"/>
      <c r="ED334" s="169"/>
      <c r="EE334" s="169"/>
      <c r="EF334" s="169"/>
      <c r="EG334" s="169"/>
      <c r="EH334" s="169"/>
      <c r="EI334" s="169"/>
      <c r="EJ334" s="169"/>
      <c r="EK334" s="169"/>
      <c r="EL334" s="169"/>
      <c r="EM334" s="169"/>
      <c r="EN334" s="169"/>
      <c r="EO334" s="169"/>
      <c r="EP334" s="169"/>
      <c r="EQ334" s="169"/>
      <c r="ER334" s="169"/>
      <c r="ES334" s="169"/>
      <c r="ET334" s="169"/>
      <c r="EU334" s="169"/>
      <c r="EV334" s="169"/>
      <c r="EW334" s="169"/>
      <c r="EX334" s="169"/>
    </row>
    <row r="335" spans="1:154">
      <c r="A335" s="333">
        <f t="shared" si="10"/>
        <v>1998</v>
      </c>
      <c r="B335" s="333">
        <f t="shared" si="11"/>
        <v>1</v>
      </c>
      <c r="C335" s="1175">
        <v>35855</v>
      </c>
      <c r="D335" s="1158">
        <v>276.23</v>
      </c>
      <c r="E335" s="1159">
        <v>455.16</v>
      </c>
      <c r="F335" s="1159">
        <v>295.94</v>
      </c>
      <c r="G335" s="1160"/>
      <c r="H335" s="1161"/>
      <c r="I335" s="1160"/>
      <c r="J335" s="1160"/>
      <c r="K335" s="1677">
        <v>5398.86</v>
      </c>
      <c r="L335" s="1677">
        <v>8138.1670183901115</v>
      </c>
      <c r="M335" s="1681">
        <v>13.29</v>
      </c>
      <c r="N335" s="1162">
        <v>2634.88</v>
      </c>
      <c r="O335" s="1162">
        <v>843.86493819716623</v>
      </c>
      <c r="P335" s="1162">
        <v>1579.198070545674</v>
      </c>
      <c r="Q335" s="1163">
        <v>10.65</v>
      </c>
      <c r="R335" s="1164">
        <v>784</v>
      </c>
      <c r="S335" s="1164">
        <v>553</v>
      </c>
      <c r="T335" s="1164">
        <v>2632</v>
      </c>
      <c r="U335" s="1165">
        <v>82664</v>
      </c>
      <c r="V335" s="1166"/>
      <c r="W335" s="1166"/>
      <c r="X335" s="635">
        <v>0.66339999999999999</v>
      </c>
      <c r="AI335" s="1835" t="s">
        <v>1</v>
      </c>
      <c r="AJ335" s="1836">
        <v>2004</v>
      </c>
      <c r="AK335" s="1835" t="s">
        <v>39</v>
      </c>
      <c r="AL335" s="1835"/>
      <c r="AM335" s="1837">
        <v>44887000</v>
      </c>
      <c r="AN335" s="1831">
        <v>8.0059400233149121E-3</v>
      </c>
      <c r="AP335" s="1781" t="s">
        <v>457</v>
      </c>
      <c r="AQ335" s="1781" t="s">
        <v>501</v>
      </c>
      <c r="AR335" s="1822" t="s">
        <v>25</v>
      </c>
      <c r="AS335" s="1822">
        <v>7</v>
      </c>
      <c r="AT335" s="1823">
        <v>60557311.649999991</v>
      </c>
      <c r="AU335" s="1825">
        <v>2130.049653534998</v>
      </c>
      <c r="AV335" s="1781">
        <v>2011</v>
      </c>
      <c r="EA335" s="169"/>
      <c r="EB335" s="169"/>
      <c r="EC335" s="169"/>
      <c r="ED335" s="169"/>
      <c r="EE335" s="169"/>
      <c r="EF335" s="169"/>
      <c r="EG335" s="169"/>
      <c r="EH335" s="169"/>
      <c r="EI335" s="169"/>
      <c r="EJ335" s="169"/>
      <c r="EK335" s="169"/>
      <c r="EL335" s="169"/>
      <c r="EM335" s="169"/>
      <c r="EN335" s="169"/>
      <c r="EO335" s="169"/>
      <c r="EP335" s="169"/>
      <c r="EQ335" s="169"/>
      <c r="ER335" s="169"/>
      <c r="ES335" s="169"/>
      <c r="ET335" s="169"/>
      <c r="EU335" s="169"/>
      <c r="EV335" s="169"/>
      <c r="EW335" s="169"/>
      <c r="EX335" s="169"/>
    </row>
    <row r="336" spans="1:154">
      <c r="A336" s="333">
        <f t="shared" si="10"/>
        <v>1998</v>
      </c>
      <c r="B336" s="333">
        <f t="shared" si="11"/>
        <v>2</v>
      </c>
      <c r="C336" s="1175">
        <v>35886</v>
      </c>
      <c r="D336" s="1167">
        <v>282.94</v>
      </c>
      <c r="E336" s="1168">
        <v>477.83</v>
      </c>
      <c r="F336" s="1168">
        <v>308.29000000000002</v>
      </c>
      <c r="G336" s="1168"/>
      <c r="H336" s="1167"/>
      <c r="I336" s="1168"/>
      <c r="J336" s="1168"/>
      <c r="K336" s="1678">
        <v>5396.75</v>
      </c>
      <c r="L336" s="1678">
        <v>8303.9698415140792</v>
      </c>
      <c r="M336" s="1682">
        <v>14.88</v>
      </c>
      <c r="N336" s="1169">
        <v>2771.04</v>
      </c>
      <c r="O336" s="1169">
        <v>881.13555931681788</v>
      </c>
      <c r="P336" s="1169">
        <v>1687.8750577011847</v>
      </c>
      <c r="Q336" s="1167">
        <v>10.8</v>
      </c>
      <c r="R336" s="1167">
        <v>807</v>
      </c>
      <c r="S336" s="1167">
        <v>562</v>
      </c>
      <c r="T336" s="1167">
        <v>2869</v>
      </c>
      <c r="U336" s="1167">
        <v>83427</v>
      </c>
      <c r="V336" s="1167"/>
      <c r="W336" s="1167"/>
      <c r="X336" s="344">
        <v>0.64990000000000003</v>
      </c>
      <c r="AI336" s="1835" t="s">
        <v>1</v>
      </c>
      <c r="AJ336" s="1836">
        <v>2004</v>
      </c>
      <c r="AK336" s="1835" t="s">
        <v>386</v>
      </c>
      <c r="AL336" s="1835"/>
      <c r="AM336" s="1837">
        <v>5606712000</v>
      </c>
      <c r="AN336" s="1831">
        <v>1</v>
      </c>
      <c r="AP336" s="1781" t="s">
        <v>457</v>
      </c>
      <c r="AQ336" s="1781" t="s">
        <v>501</v>
      </c>
      <c r="AR336" s="1822" t="s">
        <v>54</v>
      </c>
      <c r="AS336" s="1822">
        <v>8</v>
      </c>
      <c r="AT336" s="1823">
        <v>42665001.829999998</v>
      </c>
      <c r="AU336" s="1825">
        <v>1500.7035466056982</v>
      </c>
      <c r="AV336" s="1781">
        <v>2011</v>
      </c>
      <c r="EA336" s="169"/>
      <c r="EB336" s="169"/>
      <c r="EC336" s="169"/>
      <c r="ED336" s="169"/>
      <c r="EE336" s="169"/>
      <c r="EF336" s="169"/>
      <c r="EG336" s="169"/>
      <c r="EH336" s="169"/>
      <c r="EI336" s="169"/>
      <c r="EJ336" s="169"/>
      <c r="EK336" s="169"/>
      <c r="EL336" s="169"/>
      <c r="EM336" s="169"/>
      <c r="EN336" s="169"/>
      <c r="EO336" s="169"/>
      <c r="EP336" s="169"/>
      <c r="EQ336" s="169"/>
      <c r="ER336" s="169"/>
      <c r="ES336" s="169"/>
      <c r="ET336" s="169"/>
      <c r="EU336" s="169"/>
      <c r="EV336" s="169"/>
      <c r="EW336" s="169"/>
      <c r="EX336" s="169"/>
    </row>
    <row r="337" spans="1:154">
      <c r="A337" s="333">
        <f t="shared" si="10"/>
        <v>1998</v>
      </c>
      <c r="B337" s="333">
        <f t="shared" si="11"/>
        <v>2</v>
      </c>
      <c r="C337" s="1175">
        <v>35916</v>
      </c>
      <c r="D337" s="1158">
        <v>302.51</v>
      </c>
      <c r="E337" s="1159">
        <v>471.39</v>
      </c>
      <c r="F337" s="1159">
        <v>299.10000000000002</v>
      </c>
      <c r="G337" s="1160"/>
      <c r="H337" s="1161"/>
      <c r="I337" s="1160"/>
      <c r="J337" s="1160"/>
      <c r="K337" s="1677">
        <v>5023.16</v>
      </c>
      <c r="L337" s="1677">
        <v>7960.6339144215526</v>
      </c>
      <c r="M337" s="1681">
        <v>14.49</v>
      </c>
      <c r="N337" s="1162">
        <v>2745.69</v>
      </c>
      <c r="O337" s="1162">
        <v>861.28367670364503</v>
      </c>
      <c r="P337" s="1162">
        <v>1681.632329635499</v>
      </c>
      <c r="Q337" s="1163">
        <v>10.8</v>
      </c>
      <c r="R337" s="1164">
        <v>807</v>
      </c>
      <c r="S337" s="1164">
        <v>562</v>
      </c>
      <c r="T337" s="1164">
        <v>2869</v>
      </c>
      <c r="U337" s="1165">
        <v>86013</v>
      </c>
      <c r="V337" s="1166"/>
      <c r="W337" s="1166"/>
      <c r="X337" s="635">
        <v>0.63100000000000001</v>
      </c>
      <c r="AI337" s="1838" t="s">
        <v>1</v>
      </c>
      <c r="AJ337" s="1839">
        <v>2005</v>
      </c>
      <c r="AK337" s="1838" t="s">
        <v>21</v>
      </c>
      <c r="AL337" s="1838">
        <v>1</v>
      </c>
      <c r="AM337" s="1840">
        <v>2989028000</v>
      </c>
      <c r="AN337" s="1831">
        <v>0.51649752639918711</v>
      </c>
      <c r="AP337" s="1781" t="s">
        <v>457</v>
      </c>
      <c r="AQ337" s="1781" t="s">
        <v>501</v>
      </c>
      <c r="AR337" s="1822" t="s">
        <v>61</v>
      </c>
      <c r="AS337" s="1822">
        <v>9</v>
      </c>
      <c r="AT337" s="1823">
        <v>36031278.690000005</v>
      </c>
      <c r="AU337" s="1825">
        <v>1267.3682268730217</v>
      </c>
      <c r="AV337" s="1781">
        <v>2011</v>
      </c>
      <c r="EA337" s="169"/>
      <c r="EB337" s="169"/>
      <c r="EC337" s="169"/>
      <c r="ED337" s="169"/>
      <c r="EE337" s="169"/>
      <c r="EF337" s="169"/>
      <c r="EG337" s="169"/>
      <c r="EH337" s="169"/>
      <c r="EI337" s="169"/>
      <c r="EJ337" s="169"/>
      <c r="EK337" s="169"/>
      <c r="EL337" s="169"/>
      <c r="EM337" s="169"/>
      <c r="EN337" s="169"/>
      <c r="EO337" s="169"/>
      <c r="EP337" s="169"/>
      <c r="EQ337" s="169"/>
      <c r="ER337" s="169"/>
      <c r="ES337" s="169"/>
      <c r="ET337" s="169"/>
      <c r="EU337" s="169"/>
      <c r="EV337" s="169"/>
      <c r="EW337" s="169"/>
      <c r="EX337" s="169"/>
    </row>
    <row r="338" spans="1:154">
      <c r="A338" s="333">
        <f t="shared" si="10"/>
        <v>1998</v>
      </c>
      <c r="B338" s="333">
        <f t="shared" si="11"/>
        <v>2</v>
      </c>
      <c r="C338" s="1175">
        <v>35947</v>
      </c>
      <c r="D338" s="1167">
        <v>298.99941186334513</v>
      </c>
      <c r="E338" s="1168">
        <v>483.85</v>
      </c>
      <c r="F338" s="1168">
        <v>292.25</v>
      </c>
      <c r="G338" s="1168"/>
      <c r="H338" s="1167"/>
      <c r="I338" s="1168"/>
      <c r="J338" s="1168"/>
      <c r="K338" s="1678">
        <v>4478.6400000000003</v>
      </c>
      <c r="L338" s="1678">
        <v>7414.9668874172194</v>
      </c>
      <c r="M338" s="1682">
        <v>13.7</v>
      </c>
      <c r="N338" s="1169">
        <v>2749.21</v>
      </c>
      <c r="O338" s="1169">
        <v>874.70198675496704</v>
      </c>
      <c r="P338" s="1169">
        <v>1671.8874172185431</v>
      </c>
      <c r="Q338" s="1167">
        <v>10.75</v>
      </c>
      <c r="R338" s="1167">
        <v>892.23149350649351</v>
      </c>
      <c r="S338" s="1167">
        <v>575.04002023139662</v>
      </c>
      <c r="T338" s="1167">
        <v>3006.1634469696969</v>
      </c>
      <c r="U338" s="1167">
        <v>87999</v>
      </c>
      <c r="V338" s="1167"/>
      <c r="W338" s="1167"/>
      <c r="X338" s="344">
        <v>0.60399999999999998</v>
      </c>
      <c r="AI338" s="1838" t="s">
        <v>1</v>
      </c>
      <c r="AJ338" s="1839">
        <v>2005</v>
      </c>
      <c r="AK338" s="1838" t="s">
        <v>33</v>
      </c>
      <c r="AL338" s="1838">
        <v>2</v>
      </c>
      <c r="AM338" s="1840">
        <v>1014756000</v>
      </c>
      <c r="AN338" s="1831">
        <v>0.17534762601713116</v>
      </c>
      <c r="AP338" s="1781" t="s">
        <v>457</v>
      </c>
      <c r="AQ338" s="1781" t="s">
        <v>501</v>
      </c>
      <c r="AR338" s="1822" t="s">
        <v>31</v>
      </c>
      <c r="AS338" s="1822">
        <v>10</v>
      </c>
      <c r="AT338" s="1823">
        <v>33679942.100000001</v>
      </c>
      <c r="AU338" s="1825">
        <v>1184.6620506507211</v>
      </c>
      <c r="AV338" s="1781">
        <v>2011</v>
      </c>
      <c r="EA338" s="169"/>
      <c r="EB338" s="169"/>
      <c r="EC338" s="169"/>
      <c r="ED338" s="169"/>
      <c r="EE338" s="169"/>
      <c r="EF338" s="169"/>
      <c r="EG338" s="169"/>
      <c r="EH338" s="169"/>
      <c r="EI338" s="169"/>
      <c r="EJ338" s="169"/>
      <c r="EK338" s="169"/>
      <c r="EL338" s="169"/>
      <c r="EM338" s="169"/>
      <c r="EN338" s="169"/>
      <c r="EO338" s="169"/>
      <c r="EP338" s="169"/>
      <c r="EQ338" s="169"/>
      <c r="ER338" s="169"/>
      <c r="ES338" s="169"/>
      <c r="ET338" s="169"/>
      <c r="EU338" s="169"/>
      <c r="EV338" s="169"/>
      <c r="EW338" s="169"/>
      <c r="EX338" s="169"/>
    </row>
    <row r="339" spans="1:154">
      <c r="A339" s="333">
        <f t="shared" si="10"/>
        <v>1998</v>
      </c>
      <c r="B339" s="333">
        <f t="shared" si="11"/>
        <v>3</v>
      </c>
      <c r="C339" s="1175">
        <v>35977</v>
      </c>
      <c r="D339" s="1158">
        <v>277.91614666591113</v>
      </c>
      <c r="E339" s="1159">
        <v>475.01</v>
      </c>
      <c r="F339" s="1159">
        <v>292.77999999999997</v>
      </c>
      <c r="G339" s="1160"/>
      <c r="H339" s="1161"/>
      <c r="I339" s="1160"/>
      <c r="J339" s="1160"/>
      <c r="K339" s="1677">
        <v>4328.91</v>
      </c>
      <c r="L339" s="1677">
        <v>7004.7087378640772</v>
      </c>
      <c r="M339" s="1681">
        <v>13.82</v>
      </c>
      <c r="N339" s="1162">
        <v>2671.59</v>
      </c>
      <c r="O339" s="1162">
        <v>883.81877022653725</v>
      </c>
      <c r="P339" s="1162">
        <v>1683.2686084142395</v>
      </c>
      <c r="Q339" s="1163">
        <v>10.6</v>
      </c>
      <c r="R339" s="1164">
        <v>789.34600301659123</v>
      </c>
      <c r="S339" s="1164">
        <v>542.3666345901496</v>
      </c>
      <c r="T339" s="1164">
        <v>2937.7358935255788</v>
      </c>
      <c r="U339" s="1165">
        <v>80465</v>
      </c>
      <c r="V339" s="1166"/>
      <c r="W339" s="1166"/>
      <c r="X339" s="635">
        <v>0.61799999999999999</v>
      </c>
      <c r="AI339" s="1838" t="s">
        <v>1</v>
      </c>
      <c r="AJ339" s="1839">
        <v>2005</v>
      </c>
      <c r="AK339" s="1838" t="s">
        <v>63</v>
      </c>
      <c r="AL339" s="1838">
        <v>3</v>
      </c>
      <c r="AM339" s="1840">
        <v>619169000</v>
      </c>
      <c r="AN339" s="1831">
        <v>0.10699105425678793</v>
      </c>
      <c r="AP339" s="1781" t="s">
        <v>457</v>
      </c>
      <c r="AQ339" s="1781" t="s">
        <v>501</v>
      </c>
      <c r="AR339" s="1822" t="s">
        <v>537</v>
      </c>
      <c r="AS339" s="1822">
        <v>11</v>
      </c>
      <c r="AT339" s="1823">
        <v>30709465.75</v>
      </c>
      <c r="AU339" s="1825">
        <v>1080.1781832571228</v>
      </c>
      <c r="AV339" s="1781">
        <v>2011</v>
      </c>
      <c r="EA339" s="169"/>
      <c r="EB339" s="169"/>
      <c r="EC339" s="169"/>
      <c r="ED339" s="169"/>
      <c r="EE339" s="169"/>
      <c r="EF339" s="169"/>
      <c r="EG339" s="169"/>
      <c r="EH339" s="169"/>
      <c r="EI339" s="169"/>
      <c r="EJ339" s="169"/>
      <c r="EK339" s="169"/>
      <c r="EL339" s="169"/>
      <c r="EM339" s="169"/>
      <c r="EN339" s="169"/>
      <c r="EO339" s="169"/>
      <c r="EP339" s="169"/>
      <c r="EQ339" s="169"/>
      <c r="ER339" s="169"/>
      <c r="ES339" s="169"/>
      <c r="ET339" s="169"/>
      <c r="EU339" s="169"/>
      <c r="EV339" s="169"/>
      <c r="EW339" s="169"/>
      <c r="EX339" s="169"/>
    </row>
    <row r="340" spans="1:154">
      <c r="A340" s="333">
        <f t="shared" si="10"/>
        <v>1998</v>
      </c>
      <c r="B340" s="333">
        <f t="shared" si="11"/>
        <v>3</v>
      </c>
      <c r="C340" s="1175">
        <v>36008</v>
      </c>
      <c r="D340" s="1167">
        <v>286.89341559319769</v>
      </c>
      <c r="E340" s="1168">
        <v>482.45</v>
      </c>
      <c r="F340" s="1168">
        <v>284.14999999999998</v>
      </c>
      <c r="G340" s="1168"/>
      <c r="H340" s="1167"/>
      <c r="I340" s="1168"/>
      <c r="J340" s="1168"/>
      <c r="K340" s="1678">
        <v>4084</v>
      </c>
      <c r="L340" s="1678">
        <v>6922.0338983050851</v>
      </c>
      <c r="M340" s="1682">
        <v>13.14</v>
      </c>
      <c r="N340" s="1169">
        <v>2747.33</v>
      </c>
      <c r="O340" s="1169">
        <v>910.16949152542372</v>
      </c>
      <c r="P340" s="1169">
        <v>1745.4237288135594</v>
      </c>
      <c r="Q340" s="1167">
        <v>10.35</v>
      </c>
      <c r="R340" s="1167">
        <v>890.78075709779182</v>
      </c>
      <c r="S340" s="1167">
        <v>550.79205404087884</v>
      </c>
      <c r="T340" s="1167">
        <v>2968.6186440677966</v>
      </c>
      <c r="U340" s="1167">
        <v>81645</v>
      </c>
      <c r="V340" s="1167"/>
      <c r="W340" s="1167"/>
      <c r="X340" s="344">
        <v>0.59</v>
      </c>
      <c r="AI340" s="1838" t="s">
        <v>1</v>
      </c>
      <c r="AJ340" s="1839">
        <v>2005</v>
      </c>
      <c r="AK340" s="1838" t="s">
        <v>23</v>
      </c>
      <c r="AL340" s="1838">
        <v>4</v>
      </c>
      <c r="AM340" s="1840">
        <v>334626000</v>
      </c>
      <c r="AN340" s="1831">
        <v>5.7822643772107322E-2</v>
      </c>
      <c r="AP340" s="1781" t="s">
        <v>457</v>
      </c>
      <c r="AQ340" s="1781" t="s">
        <v>501</v>
      </c>
      <c r="AR340" s="1822" t="s">
        <v>21</v>
      </c>
      <c r="AS340" s="1822">
        <v>12</v>
      </c>
      <c r="AT340" s="1823">
        <v>29012713.109999999</v>
      </c>
      <c r="AU340" s="1825">
        <v>1020.4964161097432</v>
      </c>
      <c r="AV340" s="1781">
        <v>2011</v>
      </c>
      <c r="EA340" s="169"/>
      <c r="EB340" s="169"/>
      <c r="EC340" s="169"/>
      <c r="ED340" s="169"/>
      <c r="EE340" s="169"/>
      <c r="EF340" s="169"/>
      <c r="EG340" s="169"/>
      <c r="EH340" s="169"/>
      <c r="EI340" s="169"/>
      <c r="EJ340" s="169"/>
      <c r="EK340" s="169"/>
      <c r="EL340" s="169"/>
      <c r="EM340" s="169"/>
      <c r="EN340" s="169"/>
      <c r="EO340" s="169"/>
      <c r="EP340" s="169"/>
      <c r="EQ340" s="169"/>
      <c r="ER340" s="169"/>
      <c r="ES340" s="169"/>
      <c r="ET340" s="169"/>
      <c r="EU340" s="169"/>
      <c r="EV340" s="169"/>
      <c r="EW340" s="169"/>
      <c r="EX340" s="169"/>
    </row>
    <row r="341" spans="1:154">
      <c r="A341" s="333">
        <f t="shared" si="10"/>
        <v>1998</v>
      </c>
      <c r="B341" s="333">
        <f t="shared" si="11"/>
        <v>3</v>
      </c>
      <c r="C341" s="1175">
        <v>36039</v>
      </c>
      <c r="D341" s="1158">
        <v>288.25540389465198</v>
      </c>
      <c r="E341" s="1159">
        <v>490.66</v>
      </c>
      <c r="F341" s="1159">
        <v>289.98888888888882</v>
      </c>
      <c r="G341" s="1160"/>
      <c r="H341" s="1161"/>
      <c r="I341" s="1160"/>
      <c r="J341" s="1160"/>
      <c r="K341" s="1677">
        <v>4105.68</v>
      </c>
      <c r="L341" s="1677">
        <v>6984.8247703300449</v>
      </c>
      <c r="M341" s="1681">
        <v>13.67</v>
      </c>
      <c r="N341" s="1162">
        <v>2803.06</v>
      </c>
      <c r="O341" s="1162">
        <v>884.92684586594078</v>
      </c>
      <c r="P341" s="1162">
        <v>1701.8713848247703</v>
      </c>
      <c r="Q341" s="1163">
        <v>10.1</v>
      </c>
      <c r="R341" s="1164">
        <v>777.10954911709246</v>
      </c>
      <c r="S341" s="1164">
        <v>598.64849203659776</v>
      </c>
      <c r="T341" s="1164">
        <v>3153.042969118897</v>
      </c>
      <c r="U341" s="1165">
        <v>77473</v>
      </c>
      <c r="V341" s="1166"/>
      <c r="W341" s="1166"/>
      <c r="X341" s="635">
        <v>0.58779999999999999</v>
      </c>
      <c r="AI341" s="1838" t="s">
        <v>1</v>
      </c>
      <c r="AJ341" s="1839">
        <v>2005</v>
      </c>
      <c r="AK341" s="1838" t="s">
        <v>61</v>
      </c>
      <c r="AL341" s="1838">
        <v>5</v>
      </c>
      <c r="AM341" s="1840">
        <v>279758000</v>
      </c>
      <c r="AN341" s="1831">
        <v>4.8341572909448759E-2</v>
      </c>
      <c r="AP341" s="1781" t="s">
        <v>457</v>
      </c>
      <c r="AQ341" s="1781" t="s">
        <v>501</v>
      </c>
      <c r="AR341" s="1822" t="s">
        <v>59</v>
      </c>
      <c r="AS341" s="1822">
        <v>13</v>
      </c>
      <c r="AT341" s="1823">
        <v>24654951.309999999</v>
      </c>
      <c r="AU341" s="1825">
        <v>867.21601512486802</v>
      </c>
      <c r="AV341" s="1781">
        <v>2011</v>
      </c>
      <c r="EA341" s="169"/>
      <c r="EB341" s="169"/>
      <c r="EC341" s="169"/>
      <c r="ED341" s="169"/>
      <c r="EE341" s="169"/>
      <c r="EF341" s="169"/>
      <c r="EG341" s="169"/>
      <c r="EH341" s="169"/>
      <c r="EI341" s="169"/>
      <c r="EJ341" s="169"/>
      <c r="EK341" s="169"/>
      <c r="EL341" s="169"/>
      <c r="EM341" s="169"/>
      <c r="EN341" s="169"/>
      <c r="EO341" s="169"/>
      <c r="EP341" s="169"/>
      <c r="EQ341" s="169"/>
      <c r="ER341" s="169"/>
      <c r="ES341" s="169"/>
      <c r="ET341" s="169"/>
      <c r="EU341" s="169"/>
      <c r="EV341" s="169"/>
      <c r="EW341" s="169"/>
      <c r="EX341" s="169"/>
    </row>
    <row r="342" spans="1:154">
      <c r="A342" s="333">
        <f t="shared" si="10"/>
        <v>1998</v>
      </c>
      <c r="B342" s="333">
        <f t="shared" si="11"/>
        <v>4</v>
      </c>
      <c r="C342" s="1175">
        <v>36069</v>
      </c>
      <c r="D342" s="1167">
        <v>268.82370601539628</v>
      </c>
      <c r="E342" s="1168">
        <v>472.16</v>
      </c>
      <c r="F342" s="1168">
        <v>296.31</v>
      </c>
      <c r="G342" s="1168"/>
      <c r="H342" s="1167"/>
      <c r="I342" s="1168"/>
      <c r="J342" s="1168"/>
      <c r="K342" s="1678">
        <v>3875</v>
      </c>
      <c r="L342" s="1678">
        <v>6268.1979941766422</v>
      </c>
      <c r="M342" s="1682">
        <v>14.42</v>
      </c>
      <c r="N342" s="1169">
        <v>2566.17</v>
      </c>
      <c r="O342" s="1169">
        <v>797.18214170171461</v>
      </c>
      <c r="P342" s="1169">
        <v>1521.2795211905534</v>
      </c>
      <c r="Q342" s="1167">
        <v>9.4499999999999993</v>
      </c>
      <c r="R342" s="1167">
        <v>814.94226904376012</v>
      </c>
      <c r="S342" s="1167">
        <v>521.02617150214212</v>
      </c>
      <c r="T342" s="1167">
        <v>2996.1967343725087</v>
      </c>
      <c r="U342" s="1167">
        <v>65706</v>
      </c>
      <c r="V342" s="1167"/>
      <c r="W342" s="1167"/>
      <c r="X342" s="344">
        <v>0.61819999999999997</v>
      </c>
      <c r="AI342" s="1838" t="s">
        <v>1</v>
      </c>
      <c r="AJ342" s="1839">
        <v>2005</v>
      </c>
      <c r="AK342" s="1838" t="s">
        <v>371</v>
      </c>
      <c r="AL342" s="1838">
        <v>6</v>
      </c>
      <c r="AM342" s="1840">
        <v>137918000</v>
      </c>
      <c r="AN342" s="1831">
        <v>2.3831929927027481E-2</v>
      </c>
      <c r="AP342" s="1781" t="s">
        <v>457</v>
      </c>
      <c r="AQ342" s="1781" t="s">
        <v>501</v>
      </c>
      <c r="AR342" s="1822" t="s">
        <v>39</v>
      </c>
      <c r="AS342" s="1822"/>
      <c r="AT342" s="1823">
        <v>91749656.140000105</v>
      </c>
      <c r="AU342" s="1825">
        <v>3227.2126676046469</v>
      </c>
      <c r="AV342" s="1781">
        <v>2011</v>
      </c>
      <c r="EA342" s="169"/>
      <c r="EB342" s="169"/>
      <c r="EC342" s="169"/>
      <c r="ED342" s="169"/>
      <c r="EE342" s="169"/>
      <c r="EF342" s="169"/>
      <c r="EG342" s="169"/>
      <c r="EH342" s="169"/>
      <c r="EI342" s="169"/>
      <c r="EJ342" s="169"/>
      <c r="EK342" s="169"/>
      <c r="EL342" s="169"/>
      <c r="EM342" s="169"/>
      <c r="EN342" s="169"/>
      <c r="EO342" s="169"/>
      <c r="EP342" s="169"/>
      <c r="EQ342" s="169"/>
      <c r="ER342" s="169"/>
      <c r="ES342" s="169"/>
      <c r="ET342" s="169"/>
      <c r="EU342" s="169"/>
      <c r="EV342" s="169"/>
      <c r="EW342" s="169"/>
      <c r="EX342" s="169"/>
    </row>
    <row r="343" spans="1:154">
      <c r="A343" s="333">
        <f t="shared" si="10"/>
        <v>1998</v>
      </c>
      <c r="B343" s="333">
        <f t="shared" si="11"/>
        <v>4</v>
      </c>
      <c r="C343" s="1175">
        <v>36100</v>
      </c>
      <c r="D343" s="1158">
        <v>302.64726487944836</v>
      </c>
      <c r="E343" s="1159">
        <v>464.51</v>
      </c>
      <c r="F343" s="1159">
        <v>294.72000000000003</v>
      </c>
      <c r="G343" s="1160"/>
      <c r="H343" s="1161"/>
      <c r="I343" s="1160"/>
      <c r="J343" s="1160"/>
      <c r="K343" s="1677">
        <v>4135.24</v>
      </c>
      <c r="L343" s="1677">
        <v>6518.3480453972261</v>
      </c>
      <c r="M343" s="1681">
        <v>12.96</v>
      </c>
      <c r="N343" s="1162">
        <v>2481.0100000000002</v>
      </c>
      <c r="O343" s="1162">
        <v>778.95649432534685</v>
      </c>
      <c r="P343" s="1162">
        <v>1524.4640605296345</v>
      </c>
      <c r="Q343" s="1163">
        <v>8.9600000000000009</v>
      </c>
      <c r="R343" s="1164">
        <v>824.23819898329702</v>
      </c>
      <c r="S343" s="1164">
        <v>542.49441713349336</v>
      </c>
      <c r="T343" s="1164">
        <v>2917.6051873198849</v>
      </c>
      <c r="U343" s="1165">
        <v>51670</v>
      </c>
      <c r="V343" s="1166"/>
      <c r="W343" s="1166"/>
      <c r="X343" s="635">
        <v>0.63439999999999996</v>
      </c>
      <c r="AI343" s="1838" t="s">
        <v>1</v>
      </c>
      <c r="AJ343" s="1839">
        <v>2005</v>
      </c>
      <c r="AK343" s="1838" t="s">
        <v>527</v>
      </c>
      <c r="AL343" s="1838">
        <v>7</v>
      </c>
      <c r="AM343" s="1840">
        <v>116184000</v>
      </c>
      <c r="AN343" s="1831">
        <v>2.0076342077479086E-2</v>
      </c>
      <c r="AP343" s="1781" t="s">
        <v>457</v>
      </c>
      <c r="AQ343" s="1781" t="s">
        <v>501</v>
      </c>
      <c r="AR343" s="1822" t="s">
        <v>386</v>
      </c>
      <c r="AS343" s="1822"/>
      <c r="AT343" s="1823">
        <v>1326522659.47</v>
      </c>
      <c r="AU343" s="1825"/>
      <c r="AV343" s="1781">
        <v>2011</v>
      </c>
      <c r="EA343" s="169"/>
      <c r="EB343" s="169"/>
      <c r="EC343" s="169"/>
      <c r="ED343" s="169"/>
      <c r="EE343" s="169"/>
      <c r="EF343" s="169"/>
      <c r="EG343" s="169"/>
      <c r="EH343" s="169"/>
      <c r="EI343" s="169"/>
      <c r="EJ343" s="169"/>
      <c r="EK343" s="169"/>
      <c r="EL343" s="169"/>
      <c r="EM343" s="169"/>
      <c r="EN343" s="169"/>
      <c r="EO343" s="169"/>
      <c r="EP343" s="169"/>
      <c r="EQ343" s="169"/>
      <c r="ER343" s="169"/>
      <c r="ES343" s="169"/>
      <c r="ET343" s="169"/>
      <c r="EU343" s="169"/>
      <c r="EV343" s="169"/>
      <c r="EW343" s="169"/>
      <c r="EX343" s="169"/>
    </row>
    <row r="344" spans="1:154">
      <c r="A344" s="333">
        <f t="shared" si="10"/>
        <v>1998</v>
      </c>
      <c r="B344" s="333">
        <f t="shared" si="11"/>
        <v>4</v>
      </c>
      <c r="C344" s="1175">
        <v>36130</v>
      </c>
      <c r="D344" s="1167">
        <v>275.94979490539851</v>
      </c>
      <c r="E344" s="1168">
        <v>471.37</v>
      </c>
      <c r="F344" s="1168">
        <v>291.64999999999998</v>
      </c>
      <c r="G344" s="1168"/>
      <c r="H344" s="1167"/>
      <c r="I344" s="1168"/>
      <c r="J344" s="1168"/>
      <c r="K344" s="1678">
        <v>3881.19</v>
      </c>
      <c r="L344" s="1678">
        <v>6276.1804657179828</v>
      </c>
      <c r="M344" s="1682">
        <v>11.11</v>
      </c>
      <c r="N344" s="1169">
        <v>2382.84</v>
      </c>
      <c r="O344" s="1169">
        <v>810.57891332470899</v>
      </c>
      <c r="P344" s="1169">
        <v>1551.0834411384219</v>
      </c>
      <c r="Q344" s="1167">
        <v>8.8000000000000007</v>
      </c>
      <c r="R344" s="1167">
        <v>781.21391095787737</v>
      </c>
      <c r="S344" s="1167">
        <v>555.02011080332409</v>
      </c>
      <c r="T344" s="1167">
        <v>3007.6375359587341</v>
      </c>
      <c r="U344" s="1167">
        <v>40886</v>
      </c>
      <c r="V344" s="1167"/>
      <c r="W344" s="1167"/>
      <c r="X344" s="344">
        <v>0.61839999999999995</v>
      </c>
      <c r="AI344" s="1838" t="s">
        <v>1</v>
      </c>
      <c r="AJ344" s="1839">
        <v>2005</v>
      </c>
      <c r="AK344" s="1838" t="s">
        <v>71</v>
      </c>
      <c r="AL344" s="1838">
        <v>8</v>
      </c>
      <c r="AM344" s="1840">
        <v>103428000</v>
      </c>
      <c r="AN344" s="1831">
        <v>1.7872133068146275E-2</v>
      </c>
      <c r="AP344" s="1781" t="s">
        <v>457</v>
      </c>
      <c r="AQ344" s="1781" t="s">
        <v>500</v>
      </c>
      <c r="AR344" s="1822" t="s">
        <v>18</v>
      </c>
      <c r="AS344" s="1822">
        <v>1</v>
      </c>
      <c r="AT344" s="1823">
        <v>220340382.1400001</v>
      </c>
      <c r="AU344" s="1825">
        <v>7620.279513747194</v>
      </c>
      <c r="AV344" s="1781">
        <v>2010</v>
      </c>
      <c r="EA344" s="169"/>
      <c r="EB344" s="169"/>
      <c r="EC344" s="169"/>
      <c r="ED344" s="169"/>
      <c r="EE344" s="169"/>
      <c r="EF344" s="169"/>
      <c r="EG344" s="169"/>
      <c r="EH344" s="169"/>
      <c r="EI344" s="169"/>
      <c r="EJ344" s="169"/>
      <c r="EK344" s="169"/>
      <c r="EL344" s="169"/>
      <c r="EM344" s="169"/>
      <c r="EN344" s="169"/>
      <c r="EO344" s="169"/>
      <c r="EP344" s="169"/>
      <c r="EQ344" s="169"/>
      <c r="ER344" s="169"/>
      <c r="ES344" s="169"/>
      <c r="ET344" s="169"/>
      <c r="EU344" s="169"/>
      <c r="EV344" s="169"/>
      <c r="EW344" s="169"/>
      <c r="EX344" s="169"/>
    </row>
    <row r="345" spans="1:154">
      <c r="A345" s="333">
        <f t="shared" si="10"/>
        <v>1999</v>
      </c>
      <c r="B345" s="333">
        <f t="shared" si="11"/>
        <v>1</v>
      </c>
      <c r="C345" s="1175">
        <v>36161</v>
      </c>
      <c r="D345" s="1158">
        <v>248.61</v>
      </c>
      <c r="E345" s="1159">
        <v>456</v>
      </c>
      <c r="F345" s="1159">
        <v>287.07</v>
      </c>
      <c r="G345" s="1160"/>
      <c r="H345" s="1161"/>
      <c r="I345" s="1160"/>
      <c r="J345" s="1160"/>
      <c r="K345" s="1677">
        <v>4272</v>
      </c>
      <c r="L345" s="1677">
        <v>6776.6497461928939</v>
      </c>
      <c r="M345" s="1681">
        <v>12.43</v>
      </c>
      <c r="N345" s="1162">
        <v>2270.2600000000002</v>
      </c>
      <c r="O345" s="1162">
        <v>780.93274111675134</v>
      </c>
      <c r="P345" s="1162">
        <v>1479.6161167512691</v>
      </c>
      <c r="Q345" s="1163">
        <v>9.75</v>
      </c>
      <c r="R345" s="1164">
        <v>812.4305239179954</v>
      </c>
      <c r="S345" s="1164">
        <v>506.71</v>
      </c>
      <c r="T345" s="1164">
        <v>2914.9457739791073</v>
      </c>
      <c r="U345" s="1165">
        <v>40064</v>
      </c>
      <c r="V345" s="1166"/>
      <c r="W345" s="1166"/>
      <c r="X345" s="635">
        <v>0.63039999999999996</v>
      </c>
      <c r="AI345" s="1838" t="s">
        <v>1</v>
      </c>
      <c r="AJ345" s="1839">
        <v>2005</v>
      </c>
      <c r="AK345" s="1838" t="s">
        <v>18</v>
      </c>
      <c r="AL345" s="1838">
        <v>9</v>
      </c>
      <c r="AM345" s="1840">
        <v>99045000</v>
      </c>
      <c r="AN345" s="1831">
        <v>1.7114760217103182E-2</v>
      </c>
      <c r="AP345" s="1781" t="s">
        <v>457</v>
      </c>
      <c r="AQ345" s="1781" t="s">
        <v>500</v>
      </c>
      <c r="AR345" s="1822" t="s">
        <v>758</v>
      </c>
      <c r="AS345" s="1822">
        <v>2</v>
      </c>
      <c r="AT345" s="1823">
        <v>102368804.53</v>
      </c>
      <c r="AU345" s="1825">
        <v>3540.3356226871865</v>
      </c>
      <c r="AV345" s="1781">
        <v>2010</v>
      </c>
      <c r="EA345" s="169"/>
      <c r="EB345" s="169"/>
      <c r="EC345" s="169"/>
      <c r="ED345" s="169"/>
      <c r="EE345" s="169"/>
      <c r="EF345" s="169"/>
      <c r="EG345" s="169"/>
      <c r="EH345" s="169"/>
      <c r="EI345" s="169"/>
      <c r="EJ345" s="169"/>
      <c r="EK345" s="169"/>
      <c r="EL345" s="169"/>
      <c r="EM345" s="169"/>
      <c r="EN345" s="169"/>
      <c r="EO345" s="169"/>
      <c r="EP345" s="169"/>
      <c r="EQ345" s="169"/>
      <c r="ER345" s="169"/>
      <c r="ES345" s="169"/>
      <c r="ET345" s="169"/>
      <c r="EU345" s="169"/>
      <c r="EV345" s="169"/>
      <c r="EW345" s="169"/>
      <c r="EX345" s="169"/>
    </row>
    <row r="346" spans="1:154">
      <c r="A346" s="333">
        <f t="shared" si="10"/>
        <v>1999</v>
      </c>
      <c r="B346" s="333">
        <f t="shared" si="11"/>
        <v>1</v>
      </c>
      <c r="C346" s="1175">
        <v>36192</v>
      </c>
      <c r="D346" s="1167">
        <v>245.04</v>
      </c>
      <c r="E346" s="1168">
        <v>449.28</v>
      </c>
      <c r="F346" s="1168">
        <v>287.26</v>
      </c>
      <c r="G346" s="1168"/>
      <c r="H346" s="1167"/>
      <c r="I346" s="1168"/>
      <c r="J346" s="1168"/>
      <c r="K346" s="1678">
        <v>4629.5</v>
      </c>
      <c r="L346" s="1678">
        <v>7240.3816077572728</v>
      </c>
      <c r="M346" s="1682">
        <v>11.45</v>
      </c>
      <c r="N346" s="1169">
        <v>2206.33</v>
      </c>
      <c r="O346" s="1169">
        <v>803.37034720050042</v>
      </c>
      <c r="P346" s="1169">
        <v>1591.061933062246</v>
      </c>
      <c r="Q346" s="1167">
        <v>10.5</v>
      </c>
      <c r="R346" s="1167">
        <v>782.12772965719171</v>
      </c>
      <c r="S346" s="1167">
        <v>480.81</v>
      </c>
      <c r="T346" s="1167">
        <v>2861.3165008291876</v>
      </c>
      <c r="U346" s="1167">
        <v>64433</v>
      </c>
      <c r="V346" s="1167"/>
      <c r="W346" s="1167"/>
      <c r="X346" s="344">
        <v>0.63939999999999997</v>
      </c>
      <c r="AI346" s="1838" t="s">
        <v>1</v>
      </c>
      <c r="AJ346" s="1839">
        <v>2005</v>
      </c>
      <c r="AK346" s="1838" t="s">
        <v>372</v>
      </c>
      <c r="AL346" s="1838">
        <v>10</v>
      </c>
      <c r="AM346" s="1840">
        <v>25420000</v>
      </c>
      <c r="AN346" s="1831">
        <v>4.3925206191000347E-3</v>
      </c>
      <c r="AP346" s="1781" t="s">
        <v>457</v>
      </c>
      <c r="AQ346" s="1781" t="s">
        <v>500</v>
      </c>
      <c r="AR346" s="1822" t="s">
        <v>27</v>
      </c>
      <c r="AS346" s="1822">
        <v>3</v>
      </c>
      <c r="AT346" s="1823">
        <v>68928689.790000007</v>
      </c>
      <c r="AU346" s="1825">
        <v>2383.838484869445</v>
      </c>
      <c r="AV346" s="1781">
        <v>2010</v>
      </c>
      <c r="EA346" s="169"/>
      <c r="EB346" s="169"/>
      <c r="EC346" s="169"/>
      <c r="ED346" s="169"/>
      <c r="EE346" s="169"/>
      <c r="EF346" s="169"/>
      <c r="EG346" s="169"/>
      <c r="EH346" s="169"/>
      <c r="EI346" s="169"/>
      <c r="EJ346" s="169"/>
      <c r="EK346" s="169"/>
      <c r="EL346" s="169"/>
      <c r="EM346" s="169"/>
      <c r="EN346" s="169"/>
      <c r="EO346" s="169"/>
      <c r="EP346" s="169"/>
      <c r="EQ346" s="169"/>
      <c r="ER346" s="169"/>
      <c r="ES346" s="169"/>
      <c r="ET346" s="169"/>
      <c r="EU346" s="169"/>
      <c r="EV346" s="169"/>
      <c r="EW346" s="169"/>
      <c r="EX346" s="169"/>
    </row>
    <row r="347" spans="1:154">
      <c r="A347" s="333">
        <f t="shared" si="10"/>
        <v>1999</v>
      </c>
      <c r="B347" s="333">
        <f t="shared" si="11"/>
        <v>1</v>
      </c>
      <c r="C347" s="1175">
        <v>36220</v>
      </c>
      <c r="D347" s="1158">
        <v>257.52</v>
      </c>
      <c r="E347" s="1159">
        <v>453.92</v>
      </c>
      <c r="F347" s="1159">
        <v>285.95999999999998</v>
      </c>
      <c r="G347" s="1160"/>
      <c r="H347" s="1161"/>
      <c r="I347" s="1160"/>
      <c r="J347" s="1160"/>
      <c r="K347" s="1677">
        <v>5015.17</v>
      </c>
      <c r="L347" s="1677">
        <v>7951.7583637228472</v>
      </c>
      <c r="M347" s="1681">
        <v>13.44</v>
      </c>
      <c r="N347" s="1162">
        <v>2185.39</v>
      </c>
      <c r="O347" s="1162">
        <v>805.17837323608683</v>
      </c>
      <c r="P347" s="1162">
        <v>1633.1060726177263</v>
      </c>
      <c r="Q347" s="1163">
        <v>10.5</v>
      </c>
      <c r="R347" s="1164">
        <v>755.64</v>
      </c>
      <c r="S347" s="1164">
        <v>448.26</v>
      </c>
      <c r="T347" s="1164">
        <v>2900.4014183155314</v>
      </c>
      <c r="U347" s="1165">
        <v>63814</v>
      </c>
      <c r="V347" s="1166"/>
      <c r="W347" s="1166"/>
      <c r="X347" s="635">
        <v>0.63070000000000004</v>
      </c>
      <c r="AI347" s="1838" t="s">
        <v>1</v>
      </c>
      <c r="AJ347" s="1839">
        <v>2005</v>
      </c>
      <c r="AK347" s="1838" t="s">
        <v>39</v>
      </c>
      <c r="AL347" s="1838"/>
      <c r="AM347" s="1840">
        <v>67778000</v>
      </c>
      <c r="AN347" s="1831">
        <v>1.1711890736481595E-2</v>
      </c>
      <c r="AP347" s="1781" t="s">
        <v>457</v>
      </c>
      <c r="AQ347" s="1781" t="s">
        <v>500</v>
      </c>
      <c r="AR347" s="1822" t="s">
        <v>70</v>
      </c>
      <c r="AS347" s="1822">
        <v>4</v>
      </c>
      <c r="AT347" s="1823">
        <v>45802689.499999993</v>
      </c>
      <c r="AU347" s="1825">
        <v>1584.0459795953655</v>
      </c>
      <c r="AV347" s="1781">
        <v>2010</v>
      </c>
      <c r="EA347" s="169"/>
      <c r="EB347" s="169"/>
      <c r="EC347" s="169"/>
      <c r="ED347" s="169"/>
      <c r="EE347" s="169"/>
      <c r="EF347" s="169"/>
      <c r="EG347" s="169"/>
      <c r="EH347" s="169"/>
      <c r="EI347" s="169"/>
      <c r="EJ347" s="169"/>
      <c r="EK347" s="169"/>
      <c r="EL347" s="169"/>
      <c r="EM347" s="169"/>
      <c r="EN347" s="169"/>
      <c r="EO347" s="169"/>
      <c r="EP347" s="169"/>
      <c r="EQ347" s="169"/>
      <c r="ER347" s="169"/>
      <c r="ES347" s="169"/>
      <c r="ET347" s="169"/>
      <c r="EU347" s="169"/>
      <c r="EV347" s="169"/>
      <c r="EW347" s="169"/>
      <c r="EX347" s="169"/>
    </row>
    <row r="348" spans="1:154">
      <c r="A348" s="333">
        <f t="shared" si="10"/>
        <v>1999</v>
      </c>
      <c r="B348" s="333">
        <f t="shared" si="11"/>
        <v>2</v>
      </c>
      <c r="C348" s="1175">
        <v>36251</v>
      </c>
      <c r="D348" s="1167">
        <v>243.30182496484363</v>
      </c>
      <c r="E348" s="1168">
        <v>441.23</v>
      </c>
      <c r="F348" s="1168">
        <v>282.89</v>
      </c>
      <c r="G348" s="1168"/>
      <c r="H348" s="1167"/>
      <c r="I348" s="1168"/>
      <c r="J348" s="1168"/>
      <c r="K348" s="1678">
        <v>5105.5</v>
      </c>
      <c r="L348" s="1678">
        <v>7956.2100670095051</v>
      </c>
      <c r="M348" s="1682">
        <v>16.34</v>
      </c>
      <c r="N348" s="1169">
        <v>2284.56</v>
      </c>
      <c r="O348" s="1169">
        <v>809.30341280972414</v>
      </c>
      <c r="P348" s="1169">
        <v>1587.9694561321489</v>
      </c>
      <c r="Q348" s="1167">
        <v>10.83</v>
      </c>
      <c r="R348" s="1167">
        <v>760.29052442043667</v>
      </c>
      <c r="S348" s="1167">
        <v>478.74420416187542</v>
      </c>
      <c r="T348" s="1167">
        <v>2839.6390478782391</v>
      </c>
      <c r="U348" s="1167">
        <v>54346</v>
      </c>
      <c r="V348" s="1167"/>
      <c r="W348" s="1167"/>
      <c r="X348" s="344">
        <v>0.64170000000000005</v>
      </c>
      <c r="AI348" s="1838" t="s">
        <v>1</v>
      </c>
      <c r="AJ348" s="1839">
        <v>2005</v>
      </c>
      <c r="AK348" s="1838" t="s">
        <v>386</v>
      </c>
      <c r="AL348" s="1838"/>
      <c r="AM348" s="1840">
        <v>5787110000</v>
      </c>
      <c r="AN348" s="1831">
        <v>1</v>
      </c>
      <c r="AP348" s="1781" t="s">
        <v>457</v>
      </c>
      <c r="AQ348" s="1781" t="s">
        <v>500</v>
      </c>
      <c r="AR348" s="1822" t="s">
        <v>63</v>
      </c>
      <c r="AS348" s="1822">
        <v>5</v>
      </c>
      <c r="AT348" s="1823">
        <v>35309075.43</v>
      </c>
      <c r="AU348" s="1825">
        <v>1221.1335095970949</v>
      </c>
      <c r="AV348" s="1781">
        <v>2010</v>
      </c>
      <c r="EA348" s="169"/>
      <c r="EB348" s="169"/>
      <c r="EC348" s="169"/>
      <c r="ED348" s="169"/>
      <c r="EE348" s="169"/>
      <c r="EF348" s="169"/>
      <c r="EG348" s="169"/>
      <c r="EH348" s="169"/>
      <c r="EI348" s="169"/>
      <c r="EJ348" s="169"/>
      <c r="EK348" s="169"/>
      <c r="EL348" s="169"/>
      <c r="EM348" s="169"/>
      <c r="EN348" s="169"/>
      <c r="EO348" s="169"/>
      <c r="EP348" s="169"/>
      <c r="EQ348" s="169"/>
      <c r="ER348" s="169"/>
      <c r="ES348" s="169"/>
      <c r="ET348" s="169"/>
      <c r="EU348" s="169"/>
      <c r="EV348" s="169"/>
      <c r="EW348" s="169"/>
      <c r="EX348" s="169"/>
    </row>
    <row r="349" spans="1:154">
      <c r="A349" s="333">
        <f t="shared" si="10"/>
        <v>1999</v>
      </c>
      <c r="B349" s="333">
        <f t="shared" si="11"/>
        <v>2</v>
      </c>
      <c r="C349" s="1175">
        <v>36281</v>
      </c>
      <c r="D349" s="1158">
        <v>247.55602772908395</v>
      </c>
      <c r="E349" s="1159">
        <v>420.26</v>
      </c>
      <c r="F349" s="1159">
        <v>276.44</v>
      </c>
      <c r="G349" s="1160"/>
      <c r="H349" s="1161"/>
      <c r="I349" s="1160"/>
      <c r="J349" s="1160"/>
      <c r="K349" s="1677">
        <v>5402.89</v>
      </c>
      <c r="L349" s="1677">
        <v>8162.6982927934732</v>
      </c>
      <c r="M349" s="1681">
        <v>16.670000000000002</v>
      </c>
      <c r="N349" s="1162">
        <v>2283.06</v>
      </c>
      <c r="O349" s="1162">
        <v>817.90300649644962</v>
      </c>
      <c r="P349" s="1162">
        <v>1572.3523190814321</v>
      </c>
      <c r="Q349" s="1163">
        <v>10.73</v>
      </c>
      <c r="R349" s="1164">
        <v>855.59492697924668</v>
      </c>
      <c r="S349" s="1164">
        <v>477.10781893004116</v>
      </c>
      <c r="T349" s="1164">
        <v>2784.2870450727328</v>
      </c>
      <c r="U349" s="1165">
        <v>52292</v>
      </c>
      <c r="V349" s="1166"/>
      <c r="W349" s="1166"/>
      <c r="X349" s="635">
        <v>0.66190000000000004</v>
      </c>
      <c r="AI349" s="1841" t="s">
        <v>1</v>
      </c>
      <c r="AJ349" s="1842">
        <v>2006</v>
      </c>
      <c r="AK349" s="1841" t="s">
        <v>21</v>
      </c>
      <c r="AL349" s="1841">
        <v>1</v>
      </c>
      <c r="AM349" s="1843">
        <v>3497594000</v>
      </c>
      <c r="AN349" s="1831">
        <v>0.38826262832581437</v>
      </c>
      <c r="AP349" s="1781" t="s">
        <v>457</v>
      </c>
      <c r="AQ349" s="1781" t="s">
        <v>500</v>
      </c>
      <c r="AR349" s="1822" t="s">
        <v>21</v>
      </c>
      <c r="AS349" s="1822">
        <v>6</v>
      </c>
      <c r="AT349" s="1823">
        <v>25125175.040000003</v>
      </c>
      <c r="AU349" s="1825">
        <v>868.93221649662814</v>
      </c>
      <c r="AV349" s="1781">
        <v>2010</v>
      </c>
      <c r="EA349" s="169"/>
      <c r="EB349" s="169"/>
      <c r="EC349" s="169"/>
      <c r="ED349" s="169"/>
      <c r="EE349" s="169"/>
      <c r="EF349" s="169"/>
      <c r="EG349" s="169"/>
      <c r="EH349" s="169"/>
      <c r="EI349" s="169"/>
      <c r="EJ349" s="169"/>
      <c r="EK349" s="169"/>
      <c r="EL349" s="169"/>
      <c r="EM349" s="169"/>
      <c r="EN349" s="169"/>
      <c r="EO349" s="169"/>
      <c r="EP349" s="169"/>
      <c r="EQ349" s="169"/>
      <c r="ER349" s="169"/>
      <c r="ES349" s="169"/>
      <c r="ET349" s="169"/>
      <c r="EU349" s="169"/>
      <c r="EV349" s="169"/>
      <c r="EW349" s="169"/>
      <c r="EX349" s="169"/>
    </row>
    <row r="350" spans="1:154">
      <c r="A350" s="333">
        <f t="shared" si="10"/>
        <v>1999</v>
      </c>
      <c r="B350" s="333">
        <f t="shared" si="11"/>
        <v>2</v>
      </c>
      <c r="C350" s="1175">
        <v>36312</v>
      </c>
      <c r="D350" s="1167">
        <v>241.47456114181264</v>
      </c>
      <c r="E350" s="1168">
        <v>399.54</v>
      </c>
      <c r="F350" s="1168">
        <v>261.31</v>
      </c>
      <c r="G350" s="1168"/>
      <c r="H350" s="1167"/>
      <c r="I350" s="1168"/>
      <c r="J350" s="1168"/>
      <c r="K350" s="1678">
        <v>5198.18</v>
      </c>
      <c r="L350" s="1678">
        <v>7916.8138897349991</v>
      </c>
      <c r="M350" s="1682">
        <v>17.05</v>
      </c>
      <c r="N350" s="1169">
        <v>2166.4299999999998</v>
      </c>
      <c r="O350" s="1169">
        <v>755.57416996649408</v>
      </c>
      <c r="P350" s="1169">
        <v>1523.728297289065</v>
      </c>
      <c r="Q350" s="1167">
        <v>10.55</v>
      </c>
      <c r="R350" s="1167">
        <v>748.16075607560754</v>
      </c>
      <c r="S350" s="1167">
        <v>497.0595701371011</v>
      </c>
      <c r="T350" s="1167">
        <v>2747.870358812273</v>
      </c>
      <c r="U350" s="1167">
        <v>72356</v>
      </c>
      <c r="V350" s="1167"/>
      <c r="W350" s="1167"/>
      <c r="X350" s="344">
        <v>0.65659999999999996</v>
      </c>
      <c r="AI350" s="1841" t="s">
        <v>1</v>
      </c>
      <c r="AJ350" s="1842">
        <v>2006</v>
      </c>
      <c r="AK350" s="1841" t="s">
        <v>63</v>
      </c>
      <c r="AL350" s="1841">
        <v>2</v>
      </c>
      <c r="AM350" s="1843">
        <v>2878194000</v>
      </c>
      <c r="AN350" s="1831">
        <v>0.3195039696635999</v>
      </c>
      <c r="AP350" s="1781" t="s">
        <v>457</v>
      </c>
      <c r="AQ350" s="1781" t="s">
        <v>500</v>
      </c>
      <c r="AR350" s="1822" t="s">
        <v>537</v>
      </c>
      <c r="AS350" s="1822">
        <v>7</v>
      </c>
      <c r="AT350" s="1823">
        <v>23246329.380000003</v>
      </c>
      <c r="AU350" s="1825">
        <v>803.95398167041333</v>
      </c>
      <c r="AV350" s="1781">
        <v>2010</v>
      </c>
      <c r="EA350" s="169"/>
      <c r="EB350" s="169"/>
      <c r="EC350" s="169"/>
      <c r="ED350" s="169"/>
      <c r="EE350" s="169"/>
      <c r="EF350" s="169"/>
      <c r="EG350" s="169"/>
      <c r="EH350" s="169"/>
      <c r="EI350" s="169"/>
      <c r="EJ350" s="169"/>
      <c r="EK350" s="169"/>
      <c r="EL350" s="169"/>
      <c r="EM350" s="169"/>
      <c r="EN350" s="169"/>
      <c r="EO350" s="169"/>
      <c r="EP350" s="169"/>
      <c r="EQ350" s="169"/>
      <c r="ER350" s="169"/>
      <c r="ES350" s="169"/>
      <c r="ET350" s="169"/>
      <c r="EU350" s="169"/>
      <c r="EV350" s="169"/>
      <c r="EW350" s="169"/>
      <c r="EX350" s="169"/>
    </row>
    <row r="351" spans="1:154">
      <c r="A351" s="333">
        <f t="shared" si="10"/>
        <v>1999</v>
      </c>
      <c r="B351" s="333">
        <f t="shared" si="11"/>
        <v>3</v>
      </c>
      <c r="C351" s="1175">
        <v>36342</v>
      </c>
      <c r="D351" s="1158">
        <v>254.74</v>
      </c>
      <c r="E351" s="1159">
        <v>390.68</v>
      </c>
      <c r="F351" s="1159">
        <v>256.08</v>
      </c>
      <c r="G351" s="1160"/>
      <c r="H351" s="1161"/>
      <c r="I351" s="1160"/>
      <c r="J351" s="1160"/>
      <c r="K351" s="1677">
        <v>5704.09</v>
      </c>
      <c r="L351" s="1677">
        <v>8679.3822276323808</v>
      </c>
      <c r="M351" s="1681">
        <v>19.73</v>
      </c>
      <c r="N351" s="1162">
        <v>2495.44</v>
      </c>
      <c r="O351" s="1162">
        <v>753.19537431527692</v>
      </c>
      <c r="P351" s="1162">
        <v>1631.3298843578818</v>
      </c>
      <c r="Q351" s="1163">
        <v>10.3</v>
      </c>
      <c r="R351" s="1164">
        <v>724.23</v>
      </c>
      <c r="S351" s="1164">
        <v>438</v>
      </c>
      <c r="T351" s="1164">
        <v>2739.22</v>
      </c>
      <c r="U351" s="1165">
        <v>69075</v>
      </c>
      <c r="V351" s="1166"/>
      <c r="W351" s="1166"/>
      <c r="X351" s="635">
        <v>0.65720000000000001</v>
      </c>
      <c r="AI351" s="1841" t="s">
        <v>1</v>
      </c>
      <c r="AJ351" s="1842">
        <v>2006</v>
      </c>
      <c r="AK351" s="1841" t="s">
        <v>527</v>
      </c>
      <c r="AL351" s="1841">
        <v>3</v>
      </c>
      <c r="AM351" s="1843">
        <v>761667000</v>
      </c>
      <c r="AN351" s="1831">
        <v>8.4551503498987601E-2</v>
      </c>
      <c r="AP351" s="1781" t="s">
        <v>457</v>
      </c>
      <c r="AQ351" s="1781" t="s">
        <v>500</v>
      </c>
      <c r="AR351" s="1822" t="s">
        <v>25</v>
      </c>
      <c r="AS351" s="1822">
        <v>8</v>
      </c>
      <c r="AT351" s="1823">
        <v>22224783.140000001</v>
      </c>
      <c r="AU351" s="1825">
        <v>768.62469790766045</v>
      </c>
      <c r="AV351" s="1781">
        <v>2010</v>
      </c>
      <c r="EA351" s="169"/>
      <c r="EB351" s="169"/>
      <c r="EC351" s="169"/>
      <c r="ED351" s="169"/>
      <c r="EE351" s="169"/>
      <c r="EF351" s="169"/>
      <c r="EG351" s="169"/>
      <c r="EH351" s="169"/>
      <c r="EI351" s="169"/>
      <c r="EJ351" s="169"/>
      <c r="EK351" s="169"/>
      <c r="EL351" s="169"/>
      <c r="EM351" s="169"/>
      <c r="EN351" s="169"/>
      <c r="EO351" s="169"/>
      <c r="EP351" s="169"/>
      <c r="EQ351" s="169"/>
      <c r="ER351" s="169"/>
      <c r="ES351" s="169"/>
      <c r="ET351" s="169"/>
      <c r="EU351" s="169"/>
      <c r="EV351" s="169"/>
      <c r="EW351" s="169"/>
      <c r="EX351" s="169"/>
    </row>
    <row r="352" spans="1:154">
      <c r="A352" s="333">
        <f t="shared" si="10"/>
        <v>1999</v>
      </c>
      <c r="B352" s="333">
        <f t="shared" si="11"/>
        <v>3</v>
      </c>
      <c r="C352" s="1175">
        <v>36373</v>
      </c>
      <c r="D352" s="1167">
        <v>260.36</v>
      </c>
      <c r="E352" s="1168">
        <v>398.59</v>
      </c>
      <c r="F352" s="1168">
        <v>256.73095238095237</v>
      </c>
      <c r="G352" s="1168"/>
      <c r="H352" s="1167"/>
      <c r="I352" s="1168"/>
      <c r="J352" s="1168"/>
      <c r="K352" s="1678">
        <v>6451.67</v>
      </c>
      <c r="L352" s="1678">
        <v>10008.796152652809</v>
      </c>
      <c r="M352" s="1682">
        <v>21.71</v>
      </c>
      <c r="N352" s="1169">
        <v>2556.0300000000002</v>
      </c>
      <c r="O352" s="1169">
        <v>780.43748060812914</v>
      </c>
      <c r="P352" s="1169">
        <v>1753.9559416692523</v>
      </c>
      <c r="Q352" s="1167">
        <v>10.1</v>
      </c>
      <c r="R352" s="1167">
        <v>776.33431372549023</v>
      </c>
      <c r="S352" s="1167">
        <v>448.5</v>
      </c>
      <c r="T352" s="1167">
        <v>2789.1</v>
      </c>
      <c r="U352" s="1167">
        <v>66179</v>
      </c>
      <c r="V352" s="1167"/>
      <c r="W352" s="1167"/>
      <c r="X352" s="344">
        <v>0.64459999999999995</v>
      </c>
      <c r="AI352" s="1841" t="s">
        <v>1</v>
      </c>
      <c r="AJ352" s="1842">
        <v>2006</v>
      </c>
      <c r="AK352" s="1841" t="s">
        <v>33</v>
      </c>
      <c r="AL352" s="1841">
        <v>4</v>
      </c>
      <c r="AM352" s="1843">
        <v>562242000</v>
      </c>
      <c r="AN352" s="1831">
        <v>6.2413635394835E-2</v>
      </c>
      <c r="AP352" s="1781" t="s">
        <v>457</v>
      </c>
      <c r="AQ352" s="1781" t="s">
        <v>500</v>
      </c>
      <c r="AR352" s="1822" t="s">
        <v>61</v>
      </c>
      <c r="AS352" s="1822">
        <v>9</v>
      </c>
      <c r="AT352" s="1823">
        <v>21040902.43</v>
      </c>
      <c r="AU352" s="1825">
        <v>727.68121839875494</v>
      </c>
      <c r="AV352" s="1781">
        <v>2010</v>
      </c>
      <c r="EA352" s="169"/>
      <c r="EB352" s="169"/>
      <c r="EC352" s="169"/>
      <c r="ED352" s="169"/>
      <c r="EE352" s="169"/>
      <c r="EF352" s="169"/>
      <c r="EG352" s="169"/>
      <c r="EH352" s="169"/>
      <c r="EI352" s="169"/>
      <c r="EJ352" s="169"/>
      <c r="EK352" s="169"/>
      <c r="EL352" s="169"/>
      <c r="EM352" s="169"/>
      <c r="EN352" s="169"/>
      <c r="EO352" s="169"/>
      <c r="EP352" s="169"/>
      <c r="EQ352" s="169"/>
      <c r="ER352" s="169"/>
      <c r="ES352" s="169"/>
      <c r="ET352" s="169"/>
      <c r="EU352" s="169"/>
      <c r="EV352" s="169"/>
      <c r="EW352" s="169"/>
      <c r="EX352" s="169"/>
    </row>
    <row r="353" spans="1:154">
      <c r="A353" s="333">
        <f t="shared" si="10"/>
        <v>1999</v>
      </c>
      <c r="B353" s="333">
        <f t="shared" si="11"/>
        <v>3</v>
      </c>
      <c r="C353" s="1175">
        <v>36404</v>
      </c>
      <c r="D353" s="1158">
        <v>262.69</v>
      </c>
      <c r="E353" s="1159">
        <v>406.46</v>
      </c>
      <c r="F353" s="1159">
        <v>264.74318181818177</v>
      </c>
      <c r="G353" s="1160"/>
      <c r="H353" s="1161"/>
      <c r="I353" s="1160"/>
      <c r="J353" s="1160"/>
      <c r="K353" s="1677">
        <v>7031.36</v>
      </c>
      <c r="L353" s="1677">
        <v>10837.484586929715</v>
      </c>
      <c r="M353" s="1681">
        <v>23.79</v>
      </c>
      <c r="N353" s="1162">
        <v>2697.81</v>
      </c>
      <c r="O353" s="1162">
        <v>781.93588162762012</v>
      </c>
      <c r="P353" s="1162">
        <v>1839.9352651048086</v>
      </c>
      <c r="Q353" s="1163">
        <v>9.9</v>
      </c>
      <c r="R353" s="1164">
        <v>785.58</v>
      </c>
      <c r="S353" s="1164">
        <v>623.27</v>
      </c>
      <c r="T353" s="1164">
        <v>2836.16</v>
      </c>
      <c r="U353" s="1165">
        <v>62565</v>
      </c>
      <c r="V353" s="1166"/>
      <c r="W353" s="1166"/>
      <c r="X353" s="635">
        <v>0.64880000000000004</v>
      </c>
      <c r="AI353" s="1841" t="s">
        <v>1</v>
      </c>
      <c r="AJ353" s="1842">
        <v>2006</v>
      </c>
      <c r="AK353" s="1841" t="s">
        <v>61</v>
      </c>
      <c r="AL353" s="1841">
        <v>5</v>
      </c>
      <c r="AM353" s="1843">
        <v>383393000</v>
      </c>
      <c r="AN353" s="1831">
        <v>4.2559877979467871E-2</v>
      </c>
      <c r="AP353" s="1781" t="s">
        <v>457</v>
      </c>
      <c r="AQ353" s="1781" t="s">
        <v>500</v>
      </c>
      <c r="AR353" s="1822" t="s">
        <v>66</v>
      </c>
      <c r="AS353" s="1822">
        <v>10</v>
      </c>
      <c r="AT353" s="1823">
        <v>20433783.539999999</v>
      </c>
      <c r="AU353" s="1825">
        <v>706.68454227909388</v>
      </c>
      <c r="AV353" s="1781">
        <v>2010</v>
      </c>
      <c r="EA353" s="169"/>
      <c r="EB353" s="169"/>
      <c r="EC353" s="169"/>
      <c r="ED353" s="169"/>
      <c r="EE353" s="169"/>
      <c r="EF353" s="169"/>
      <c r="EG353" s="169"/>
      <c r="EH353" s="169"/>
      <c r="EI353" s="169"/>
      <c r="EJ353" s="169"/>
      <c r="EK353" s="169"/>
      <c r="EL353" s="169"/>
      <c r="EM353" s="169"/>
      <c r="EN353" s="169"/>
      <c r="EO353" s="169"/>
      <c r="EP353" s="169"/>
      <c r="EQ353" s="169"/>
      <c r="ER353" s="169"/>
      <c r="ES353" s="169"/>
      <c r="ET353" s="169"/>
      <c r="EU353" s="169"/>
      <c r="EV353" s="169"/>
      <c r="EW353" s="169"/>
      <c r="EX353" s="169"/>
    </row>
    <row r="354" spans="1:154">
      <c r="A354" s="333">
        <f t="shared" si="10"/>
        <v>1999</v>
      </c>
      <c r="B354" s="333">
        <f t="shared" si="11"/>
        <v>4</v>
      </c>
      <c r="C354" s="1175">
        <v>36434</v>
      </c>
      <c r="D354" s="1167">
        <v>279.05</v>
      </c>
      <c r="E354" s="1168">
        <v>479.01</v>
      </c>
      <c r="F354" s="1168">
        <v>310.72000000000003</v>
      </c>
      <c r="G354" s="1168"/>
      <c r="H354" s="1167"/>
      <c r="I354" s="1168"/>
      <c r="J354" s="1168"/>
      <c r="K354" s="1678">
        <v>7324.76</v>
      </c>
      <c r="L354" s="1678">
        <v>11232.571691458365</v>
      </c>
      <c r="M354" s="1682">
        <v>23.6</v>
      </c>
      <c r="N354" s="1169">
        <v>2643.95</v>
      </c>
      <c r="O354" s="1169">
        <v>762.30639472473547</v>
      </c>
      <c r="P354" s="1169">
        <v>1761.6009814445638</v>
      </c>
      <c r="Q354" s="1167">
        <v>9.6999999999999993</v>
      </c>
      <c r="R354" s="1167">
        <v>803.87</v>
      </c>
      <c r="S354" s="1167">
        <v>570.51</v>
      </c>
      <c r="T354" s="1167">
        <v>2849.72</v>
      </c>
      <c r="U354" s="1167">
        <v>53078</v>
      </c>
      <c r="V354" s="1167"/>
      <c r="W354" s="1167"/>
      <c r="X354" s="344">
        <v>0.65210000000000001</v>
      </c>
      <c r="AI354" s="1841" t="s">
        <v>1</v>
      </c>
      <c r="AJ354" s="1842">
        <v>2006</v>
      </c>
      <c r="AK354" s="1841" t="s">
        <v>23</v>
      </c>
      <c r="AL354" s="1841">
        <v>6</v>
      </c>
      <c r="AM354" s="1843">
        <v>285130000</v>
      </c>
      <c r="AN354" s="1831">
        <v>3.1651850733544103E-2</v>
      </c>
      <c r="AP354" s="1781" t="s">
        <v>457</v>
      </c>
      <c r="AQ354" s="1781" t="s">
        <v>500</v>
      </c>
      <c r="AR354" s="1822" t="s">
        <v>23</v>
      </c>
      <c r="AS354" s="1822">
        <v>11</v>
      </c>
      <c r="AT354" s="1823">
        <v>20409669.099999998</v>
      </c>
      <c r="AU354" s="1825">
        <v>705.85056545045813</v>
      </c>
      <c r="AV354" s="1781">
        <v>2010</v>
      </c>
      <c r="EA354" s="169"/>
      <c r="EB354" s="169"/>
      <c r="EC354" s="169"/>
      <c r="ED354" s="169"/>
      <c r="EE354" s="169"/>
      <c r="EF354" s="169"/>
      <c r="EG354" s="169"/>
      <c r="EH354" s="169"/>
      <c r="EI354" s="169"/>
      <c r="EJ354" s="169"/>
      <c r="EK354" s="169"/>
      <c r="EL354" s="169"/>
      <c r="EM354" s="169"/>
      <c r="EN354" s="169"/>
      <c r="EO354" s="169"/>
      <c r="EP354" s="169"/>
      <c r="EQ354" s="169"/>
      <c r="ER354" s="169"/>
      <c r="ES354" s="169"/>
      <c r="ET354" s="169"/>
      <c r="EU354" s="169"/>
      <c r="EV354" s="169"/>
      <c r="EW354" s="169"/>
      <c r="EX354" s="169"/>
    </row>
    <row r="355" spans="1:154">
      <c r="A355" s="333">
        <f t="shared" si="10"/>
        <v>1999</v>
      </c>
      <c r="B355" s="333">
        <f t="shared" si="11"/>
        <v>4</v>
      </c>
      <c r="C355" s="1175">
        <v>36465</v>
      </c>
      <c r="D355" s="1158">
        <v>287.83999999999997</v>
      </c>
      <c r="E355" s="1159">
        <v>461.13</v>
      </c>
      <c r="F355" s="1159">
        <v>297.73</v>
      </c>
      <c r="G355" s="1160"/>
      <c r="H355" s="1161"/>
      <c r="I355" s="1160"/>
      <c r="J355" s="1160"/>
      <c r="K355" s="1677">
        <v>7952.73</v>
      </c>
      <c r="L355" s="1677">
        <v>12449.483406386975</v>
      </c>
      <c r="M355" s="1681">
        <v>24.89</v>
      </c>
      <c r="N355" s="1162">
        <v>2704.37</v>
      </c>
      <c r="O355" s="1162">
        <v>748.77896055103315</v>
      </c>
      <c r="P355" s="1162">
        <v>1795.8046336881653</v>
      </c>
      <c r="Q355" s="1163">
        <v>9.6999999999999993</v>
      </c>
      <c r="R355" s="1164">
        <v>803.99</v>
      </c>
      <c r="S355" s="1164">
        <v>549.6</v>
      </c>
      <c r="T355" s="1164">
        <v>2899.81</v>
      </c>
      <c r="U355" s="1165">
        <v>49294</v>
      </c>
      <c r="V355" s="1166"/>
      <c r="W355" s="1166"/>
      <c r="X355" s="635">
        <v>0.63880000000000003</v>
      </c>
      <c r="AI355" s="1841" t="s">
        <v>1</v>
      </c>
      <c r="AJ355" s="1842">
        <v>2006</v>
      </c>
      <c r="AK355" s="1841" t="s">
        <v>372</v>
      </c>
      <c r="AL355" s="1841">
        <v>7</v>
      </c>
      <c r="AM355" s="1843">
        <v>205756000</v>
      </c>
      <c r="AN355" s="1831">
        <v>2.2840662853895067E-2</v>
      </c>
      <c r="AP355" s="1781" t="s">
        <v>457</v>
      </c>
      <c r="AQ355" s="1781" t="s">
        <v>500</v>
      </c>
      <c r="AR355" s="1822" t="s">
        <v>39</v>
      </c>
      <c r="AS355" s="1822"/>
      <c r="AT355" s="1823">
        <v>90066413.050000072</v>
      </c>
      <c r="AU355" s="1825">
        <v>3114.8681670413307</v>
      </c>
      <c r="AV355" s="1781">
        <v>2010</v>
      </c>
      <c r="EA355" s="169"/>
      <c r="EB355" s="169"/>
      <c r="EC355" s="169"/>
      <c r="ED355" s="169"/>
      <c r="EE355" s="169"/>
      <c r="EF355" s="169"/>
      <c r="EG355" s="169"/>
      <c r="EH355" s="169"/>
      <c r="EI355" s="169"/>
      <c r="EJ355" s="169"/>
      <c r="EK355" s="169"/>
      <c r="EL355" s="169"/>
      <c r="EM355" s="169"/>
      <c r="EN355" s="169"/>
      <c r="EO355" s="169"/>
      <c r="EP355" s="169"/>
      <c r="EQ355" s="169"/>
      <c r="ER355" s="169"/>
      <c r="ES355" s="169"/>
      <c r="ET355" s="169"/>
      <c r="EU355" s="169"/>
      <c r="EV355" s="169"/>
      <c r="EW355" s="169"/>
      <c r="EX355" s="169"/>
    </row>
    <row r="356" spans="1:154">
      <c r="A356" s="333">
        <f t="shared" si="10"/>
        <v>1999</v>
      </c>
      <c r="B356" s="333">
        <f t="shared" si="11"/>
        <v>4</v>
      </c>
      <c r="C356" s="1175">
        <v>36495</v>
      </c>
      <c r="D356" s="1167">
        <v>289.27999999999997</v>
      </c>
      <c r="E356" s="1168">
        <v>445.3</v>
      </c>
      <c r="F356" s="1168">
        <v>283.07</v>
      </c>
      <c r="G356" s="1168"/>
      <c r="H356" s="1167"/>
      <c r="I356" s="1168"/>
      <c r="J356" s="1168"/>
      <c r="K356" s="1678">
        <v>8087.25</v>
      </c>
      <c r="L356" s="1678">
        <v>12612.67935121647</v>
      </c>
      <c r="M356" s="1682">
        <v>25.19</v>
      </c>
      <c r="N356" s="1169">
        <v>2752.26</v>
      </c>
      <c r="O356" s="1169">
        <v>747.1147847785403</v>
      </c>
      <c r="P356" s="1169">
        <v>1846.1478477854023</v>
      </c>
      <c r="Q356" s="1167">
        <v>9.6</v>
      </c>
      <c r="R356" s="1167">
        <v>798.8</v>
      </c>
      <c r="S356" s="1167">
        <v>617.15</v>
      </c>
      <c r="T356" s="1167">
        <v>2946.56</v>
      </c>
      <c r="U356" s="1167">
        <v>50349</v>
      </c>
      <c r="V356" s="1167"/>
      <c r="W356" s="1167"/>
      <c r="X356" s="344">
        <v>0.64119999999999999</v>
      </c>
      <c r="AI356" s="1841" t="s">
        <v>1</v>
      </c>
      <c r="AJ356" s="1842">
        <v>2006</v>
      </c>
      <c r="AK356" s="1841" t="s">
        <v>34</v>
      </c>
      <c r="AL356" s="1841">
        <v>8</v>
      </c>
      <c r="AM356" s="1843">
        <v>200634000</v>
      </c>
      <c r="AN356" s="1831">
        <v>2.2272077368477142E-2</v>
      </c>
      <c r="AP356" s="1781" t="s">
        <v>457</v>
      </c>
      <c r="AQ356" s="1781" t="s">
        <v>500</v>
      </c>
      <c r="AR356" s="1822" t="s">
        <v>386</v>
      </c>
      <c r="AS356" s="1822"/>
      <c r="AT356" s="1823">
        <v>695296697.07000005</v>
      </c>
      <c r="AU356" s="1825"/>
      <c r="AV356" s="1781">
        <v>2010</v>
      </c>
      <c r="EA356" s="169"/>
      <c r="EB356" s="169"/>
      <c r="EC356" s="169"/>
      <c r="ED356" s="169"/>
      <c r="EE356" s="169"/>
      <c r="EF356" s="169"/>
      <c r="EG356" s="169"/>
      <c r="EH356" s="169"/>
      <c r="EI356" s="169"/>
      <c r="EJ356" s="169"/>
      <c r="EK356" s="169"/>
      <c r="EL356" s="169"/>
      <c r="EM356" s="169"/>
      <c r="EN356" s="169"/>
      <c r="EO356" s="169"/>
      <c r="EP356" s="169"/>
      <c r="EQ356" s="169"/>
      <c r="ER356" s="169"/>
      <c r="ES356" s="169"/>
      <c r="ET356" s="169"/>
      <c r="EU356" s="169"/>
      <c r="EV356" s="169"/>
      <c r="EW356" s="169"/>
      <c r="EX356" s="169"/>
    </row>
    <row r="357" spans="1:154">
      <c r="A357" s="333">
        <f t="shared" si="10"/>
        <v>2000</v>
      </c>
      <c r="B357" s="333">
        <f t="shared" si="11"/>
        <v>1</v>
      </c>
      <c r="C357" s="1175">
        <v>36526</v>
      </c>
      <c r="D357" s="1158">
        <v>291.86</v>
      </c>
      <c r="E357" s="1159">
        <v>434.08</v>
      </c>
      <c r="F357" s="1159">
        <v>284.35000000000002</v>
      </c>
      <c r="G357" s="1160"/>
      <c r="H357" s="1161"/>
      <c r="I357" s="1160"/>
      <c r="J357" s="1160"/>
      <c r="K357" s="1677">
        <v>8313.75</v>
      </c>
      <c r="L357" s="1677">
        <v>12661.818458726775</v>
      </c>
      <c r="M357" s="1681">
        <v>27.26</v>
      </c>
      <c r="N357" s="1162">
        <v>2808.38</v>
      </c>
      <c r="O357" s="1162">
        <v>718.97654584221755</v>
      </c>
      <c r="P357" s="1162">
        <v>1795.3091684434969</v>
      </c>
      <c r="Q357" s="1163">
        <v>9.6</v>
      </c>
      <c r="R357" s="1164">
        <v>760.34</v>
      </c>
      <c r="S357" s="1164">
        <v>548.78</v>
      </c>
      <c r="T357" s="1164">
        <v>2854.31</v>
      </c>
      <c r="U357" s="1165">
        <v>49168</v>
      </c>
      <c r="V357" s="1166"/>
      <c r="W357" s="1166"/>
      <c r="X357" s="635">
        <v>0.65659999999999996</v>
      </c>
      <c r="AI357" s="1841" t="s">
        <v>1</v>
      </c>
      <c r="AJ357" s="1842">
        <v>2006</v>
      </c>
      <c r="AK357" s="1841" t="s">
        <v>371</v>
      </c>
      <c r="AL357" s="1841">
        <v>9</v>
      </c>
      <c r="AM357" s="1843">
        <v>160018000</v>
      </c>
      <c r="AN357" s="1831">
        <v>1.7763356541508294E-2</v>
      </c>
      <c r="AP357" s="1781" t="s">
        <v>457</v>
      </c>
      <c r="AQ357" s="1781" t="s">
        <v>499</v>
      </c>
      <c r="AR357" s="1822" t="s">
        <v>18</v>
      </c>
      <c r="AS357" s="1822">
        <v>1</v>
      </c>
      <c r="AT357" s="1823">
        <v>215957965</v>
      </c>
      <c r="AU357" s="1825">
        <v>0.29299999999999998</v>
      </c>
      <c r="AV357" s="1781">
        <v>2009</v>
      </c>
      <c r="EA357" s="169"/>
      <c r="EB357" s="169"/>
      <c r="EC357" s="169"/>
      <c r="ED357" s="169"/>
      <c r="EE357" s="169"/>
      <c r="EF357" s="169"/>
      <c r="EG357" s="169"/>
      <c r="EH357" s="169"/>
      <c r="EI357" s="169"/>
      <c r="EJ357" s="169"/>
      <c r="EK357" s="169"/>
      <c r="EL357" s="169"/>
      <c r="EM357" s="169"/>
      <c r="EN357" s="169"/>
      <c r="EO357" s="169"/>
      <c r="EP357" s="169"/>
      <c r="EQ357" s="169"/>
      <c r="ER357" s="169"/>
      <c r="ES357" s="169"/>
      <c r="ET357" s="169"/>
      <c r="EU357" s="169"/>
      <c r="EV357" s="169"/>
      <c r="EW357" s="169"/>
      <c r="EX357" s="169"/>
    </row>
    <row r="358" spans="1:154">
      <c r="A358" s="333">
        <f t="shared" si="10"/>
        <v>2000</v>
      </c>
      <c r="B358" s="333">
        <f t="shared" si="11"/>
        <v>1</v>
      </c>
      <c r="C358" s="1175">
        <v>36557</v>
      </c>
      <c r="D358" s="1167">
        <v>323.73</v>
      </c>
      <c r="E358" s="1168">
        <v>478.41</v>
      </c>
      <c r="F358" s="1168">
        <v>299.94</v>
      </c>
      <c r="G358" s="1168"/>
      <c r="H358" s="1167"/>
      <c r="I358" s="1168"/>
      <c r="J358" s="1168"/>
      <c r="K358" s="1678">
        <v>9657.6200000000008</v>
      </c>
      <c r="L358" s="1678">
        <v>15383.274928321121</v>
      </c>
      <c r="M358" s="1682">
        <v>27.59</v>
      </c>
      <c r="N358" s="1169">
        <v>2868.48</v>
      </c>
      <c r="O358" s="1169">
        <v>720.57980248486774</v>
      </c>
      <c r="P358" s="1169">
        <v>1743.994902835298</v>
      </c>
      <c r="Q358" s="1167">
        <v>9.4</v>
      </c>
      <c r="R358" s="1167">
        <v>727.74</v>
      </c>
      <c r="S358" s="1167">
        <v>514.77</v>
      </c>
      <c r="T358" s="1167">
        <v>2999.12</v>
      </c>
      <c r="U358" s="1167">
        <v>49865</v>
      </c>
      <c r="V358" s="1167"/>
      <c r="W358" s="1167"/>
      <c r="X358" s="344">
        <v>0.62780000000000002</v>
      </c>
      <c r="AI358" s="1841" t="s">
        <v>1</v>
      </c>
      <c r="AJ358" s="1842">
        <v>2006</v>
      </c>
      <c r="AK358" s="1841" t="s">
        <v>71</v>
      </c>
      <c r="AL358" s="1841">
        <v>10</v>
      </c>
      <c r="AM358" s="1843">
        <v>47630000</v>
      </c>
      <c r="AN358" s="1831">
        <v>5.2873343753330254E-3</v>
      </c>
      <c r="AP358" s="1781" t="s">
        <v>457</v>
      </c>
      <c r="AQ358" s="1781" t="s">
        <v>499</v>
      </c>
      <c r="AR358" s="1822" t="s">
        <v>758</v>
      </c>
      <c r="AS358" s="1822">
        <v>2</v>
      </c>
      <c r="AT358" s="1823">
        <v>116067615</v>
      </c>
      <c r="AU358" s="1825">
        <v>0.157</v>
      </c>
      <c r="AV358" s="1781">
        <v>2009</v>
      </c>
      <c r="EA358" s="169"/>
      <c r="EB358" s="169"/>
      <c r="EC358" s="169"/>
      <c r="ED358" s="169"/>
      <c r="EE358" s="169"/>
      <c r="EF358" s="169"/>
      <c r="EG358" s="169"/>
      <c r="EH358" s="169"/>
      <c r="EI358" s="169"/>
      <c r="EJ358" s="169"/>
      <c r="EK358" s="169"/>
      <c r="EL358" s="169"/>
      <c r="EM358" s="169"/>
      <c r="EN358" s="169"/>
      <c r="EO358" s="169"/>
      <c r="EP358" s="169"/>
      <c r="EQ358" s="169"/>
      <c r="ER358" s="169"/>
      <c r="ES358" s="169"/>
      <c r="ET358" s="169"/>
      <c r="EU358" s="169"/>
      <c r="EV358" s="169"/>
      <c r="EW358" s="169"/>
      <c r="EX358" s="169"/>
    </row>
    <row r="359" spans="1:154">
      <c r="A359" s="333">
        <f t="shared" si="10"/>
        <v>2000</v>
      </c>
      <c r="B359" s="333">
        <f t="shared" si="11"/>
        <v>1</v>
      </c>
      <c r="C359" s="1175">
        <v>36586</v>
      </c>
      <c r="D359" s="1158">
        <v>327.91</v>
      </c>
      <c r="E359" s="1159">
        <v>470.93</v>
      </c>
      <c r="F359" s="1159">
        <v>286.39</v>
      </c>
      <c r="G359" s="1160"/>
      <c r="H359" s="1161"/>
      <c r="I359" s="1160"/>
      <c r="J359" s="1160"/>
      <c r="K359" s="1677">
        <v>10284.35</v>
      </c>
      <c r="L359" s="1677">
        <v>16870.652887139106</v>
      </c>
      <c r="M359" s="1681">
        <v>28.42</v>
      </c>
      <c r="N359" s="1162">
        <v>2853.33</v>
      </c>
      <c r="O359" s="1162">
        <v>723.91732283464569</v>
      </c>
      <c r="P359" s="1162">
        <v>1831.3156167979</v>
      </c>
      <c r="Q359" s="1163">
        <v>9.4</v>
      </c>
      <c r="R359" s="1164">
        <v>818.28</v>
      </c>
      <c r="S359" s="1164">
        <v>584.74</v>
      </c>
      <c r="T359" s="1164">
        <v>3092.74</v>
      </c>
      <c r="U359" s="1165">
        <v>55355</v>
      </c>
      <c r="V359" s="1166"/>
      <c r="W359" s="1166"/>
      <c r="X359" s="635">
        <v>0.60960000000000003</v>
      </c>
      <c r="AI359" s="1841" t="s">
        <v>1</v>
      </c>
      <c r="AJ359" s="1842">
        <v>2006</v>
      </c>
      <c r="AK359" s="1841" t="s">
        <v>39</v>
      </c>
      <c r="AL359" s="1841"/>
      <c r="AM359" s="1843">
        <v>26062000</v>
      </c>
      <c r="AN359" s="1831">
        <v>2.8931032645376719E-3</v>
      </c>
      <c r="AP359" s="1781" t="s">
        <v>457</v>
      </c>
      <c r="AQ359" s="1781" t="s">
        <v>499</v>
      </c>
      <c r="AR359" s="1822" t="s">
        <v>27</v>
      </c>
      <c r="AS359" s="1822">
        <v>3</v>
      </c>
      <c r="AT359" s="1823">
        <v>57472757</v>
      </c>
      <c r="AU359" s="1825">
        <v>7.8E-2</v>
      </c>
      <c r="AV359" s="1781">
        <v>2009</v>
      </c>
      <c r="EA359" s="169"/>
      <c r="EB359" s="169"/>
      <c r="EC359" s="169"/>
      <c r="ED359" s="169"/>
      <c r="EE359" s="169"/>
      <c r="EF359" s="169"/>
      <c r="EG359" s="169"/>
      <c r="EH359" s="169"/>
      <c r="EI359" s="169"/>
      <c r="EJ359" s="169"/>
      <c r="EK359" s="169"/>
      <c r="EL359" s="169"/>
      <c r="EM359" s="169"/>
      <c r="EN359" s="169"/>
      <c r="EO359" s="169"/>
      <c r="EP359" s="169"/>
      <c r="EQ359" s="169"/>
      <c r="ER359" s="169"/>
      <c r="ES359" s="169"/>
      <c r="ET359" s="169"/>
      <c r="EU359" s="169"/>
      <c r="EV359" s="169"/>
      <c r="EW359" s="169"/>
      <c r="EX359" s="169"/>
    </row>
    <row r="360" spans="1:154">
      <c r="A360" s="333">
        <f t="shared" si="10"/>
        <v>2000</v>
      </c>
      <c r="B360" s="333">
        <f t="shared" si="11"/>
        <v>2</v>
      </c>
      <c r="C360" s="1175">
        <v>36617</v>
      </c>
      <c r="D360" s="1167">
        <v>351.3</v>
      </c>
      <c r="E360" s="1168">
        <v>470.05</v>
      </c>
      <c r="F360" s="1168">
        <v>279.95999999999998</v>
      </c>
      <c r="G360" s="1168"/>
      <c r="H360" s="1167"/>
      <c r="I360" s="1168"/>
      <c r="J360" s="1168"/>
      <c r="K360" s="1678">
        <v>9731.39</v>
      </c>
      <c r="L360" s="1678">
        <v>16333.316549177576</v>
      </c>
      <c r="M360" s="1682">
        <v>25.46</v>
      </c>
      <c r="N360" s="1169">
        <v>2817.64</v>
      </c>
      <c r="O360" s="1169">
        <v>706.84793554884186</v>
      </c>
      <c r="P360" s="1169">
        <v>1892.6485397784493</v>
      </c>
      <c r="Q360" s="1167">
        <v>9</v>
      </c>
      <c r="R360" s="1167">
        <v>795.06</v>
      </c>
      <c r="S360" s="1167">
        <v>605.84</v>
      </c>
      <c r="T360" s="1167">
        <v>3145.79</v>
      </c>
      <c r="U360" s="1167">
        <v>62256</v>
      </c>
      <c r="V360" s="1167"/>
      <c r="W360" s="1167"/>
      <c r="X360" s="344">
        <v>0.5958</v>
      </c>
      <c r="AI360" s="1841" t="s">
        <v>1</v>
      </c>
      <c r="AJ360" s="1842">
        <v>2006</v>
      </c>
      <c r="AK360" s="1841" t="s">
        <v>386</v>
      </c>
      <c r="AL360" s="1841"/>
      <c r="AM360" s="1843">
        <v>9008320000</v>
      </c>
      <c r="AN360" s="1831">
        <v>1</v>
      </c>
      <c r="AP360" s="1781" t="s">
        <v>457</v>
      </c>
      <c r="AQ360" s="1781" t="s">
        <v>499</v>
      </c>
      <c r="AR360" s="1822" t="s">
        <v>537</v>
      </c>
      <c r="AS360" s="1822">
        <v>4</v>
      </c>
      <c r="AT360" s="1823">
        <v>50650036</v>
      </c>
      <c r="AU360" s="1825">
        <v>6.9000000000000006E-2</v>
      </c>
      <c r="AV360" s="1781">
        <v>2009</v>
      </c>
      <c r="EA360" s="169"/>
      <c r="EB360" s="169"/>
      <c r="EC360" s="169"/>
      <c r="ED360" s="169"/>
      <c r="EE360" s="169"/>
      <c r="EF360" s="169"/>
      <c r="EG360" s="169"/>
      <c r="EH360" s="169"/>
      <c r="EI360" s="169"/>
      <c r="EJ360" s="169"/>
      <c r="EK360" s="169"/>
      <c r="EL360" s="169"/>
      <c r="EM360" s="169"/>
      <c r="EN360" s="169"/>
      <c r="EO360" s="169"/>
      <c r="EP360" s="169"/>
      <c r="EQ360" s="169"/>
      <c r="ER360" s="169"/>
      <c r="ES360" s="169"/>
      <c r="ET360" s="169"/>
      <c r="EU360" s="169"/>
      <c r="EV360" s="169"/>
      <c r="EW360" s="169"/>
      <c r="EX360" s="169"/>
    </row>
    <row r="361" spans="1:154">
      <c r="A361" s="333">
        <f t="shared" si="10"/>
        <v>2000</v>
      </c>
      <c r="B361" s="333">
        <f t="shared" si="11"/>
        <v>2</v>
      </c>
      <c r="C361" s="1175">
        <v>36647</v>
      </c>
      <c r="D361" s="1158">
        <v>340.58</v>
      </c>
      <c r="E361" s="1159">
        <v>476.7</v>
      </c>
      <c r="F361" s="1159">
        <v>275.18</v>
      </c>
      <c r="G361" s="1160"/>
      <c r="H361" s="1161"/>
      <c r="I361" s="1160"/>
      <c r="J361" s="1160"/>
      <c r="K361" s="1677">
        <v>10134.290000000001</v>
      </c>
      <c r="L361" s="1677">
        <v>17533.373702422148</v>
      </c>
      <c r="M361" s="1681">
        <v>28.78</v>
      </c>
      <c r="N361" s="1162">
        <v>3089.31</v>
      </c>
      <c r="O361" s="1162">
        <v>713.01038062283737</v>
      </c>
      <c r="P361" s="1162">
        <v>2001.5224913494812</v>
      </c>
      <c r="Q361" s="1163">
        <v>8.4499999999999993</v>
      </c>
      <c r="R361" s="1164">
        <v>845.63</v>
      </c>
      <c r="S361" s="1164">
        <v>653.29999999999995</v>
      </c>
      <c r="T361" s="1164">
        <v>3293.72</v>
      </c>
      <c r="U361" s="1165">
        <v>63530</v>
      </c>
      <c r="V361" s="1166"/>
      <c r="W361" s="1166"/>
      <c r="X361" s="635">
        <v>0.57799999999999996</v>
      </c>
      <c r="AI361" s="1844" t="s">
        <v>1</v>
      </c>
      <c r="AJ361" s="1845">
        <v>2007</v>
      </c>
      <c r="AK361" s="1844" t="s">
        <v>21</v>
      </c>
      <c r="AL361" s="1844">
        <v>1</v>
      </c>
      <c r="AM361" s="1846">
        <v>4143081000</v>
      </c>
      <c r="AN361" s="1831">
        <v>0.36679472211925473</v>
      </c>
      <c r="AP361" s="1781" t="s">
        <v>457</v>
      </c>
      <c r="AQ361" s="1781" t="s">
        <v>499</v>
      </c>
      <c r="AR361" s="1822" t="s">
        <v>63</v>
      </c>
      <c r="AS361" s="1822">
        <v>5</v>
      </c>
      <c r="AT361" s="1823">
        <v>39822260</v>
      </c>
      <c r="AU361" s="1825">
        <v>5.3999999999999999E-2</v>
      </c>
      <c r="AV361" s="1781">
        <v>2009</v>
      </c>
      <c r="EA361" s="169"/>
      <c r="EB361" s="169"/>
      <c r="EC361" s="169"/>
      <c r="ED361" s="169"/>
      <c r="EE361" s="169"/>
      <c r="EF361" s="169"/>
      <c r="EG361" s="169"/>
      <c r="EH361" s="169"/>
      <c r="EI361" s="169"/>
      <c r="EJ361" s="169"/>
      <c r="EK361" s="169"/>
      <c r="EL361" s="169"/>
      <c r="EM361" s="169"/>
      <c r="EN361" s="169"/>
      <c r="EO361" s="169"/>
      <c r="EP361" s="169"/>
      <c r="EQ361" s="169"/>
      <c r="ER361" s="169"/>
      <c r="ES361" s="169"/>
      <c r="ET361" s="169"/>
      <c r="EU361" s="169"/>
      <c r="EV361" s="169"/>
      <c r="EW361" s="169"/>
      <c r="EX361" s="169"/>
    </row>
    <row r="362" spans="1:154">
      <c r="A362" s="333">
        <f t="shared" si="10"/>
        <v>2000</v>
      </c>
      <c r="B362" s="333">
        <f t="shared" si="11"/>
        <v>2</v>
      </c>
      <c r="C362" s="1175">
        <v>36678</v>
      </c>
      <c r="D362" s="1167">
        <v>331.22</v>
      </c>
      <c r="E362" s="1168">
        <v>481.74</v>
      </c>
      <c r="F362" s="1168">
        <v>285.73</v>
      </c>
      <c r="G362" s="1168"/>
      <c r="H362" s="1167"/>
      <c r="I362" s="1168"/>
      <c r="J362" s="1168"/>
      <c r="K362" s="1678">
        <v>8415.4500000000007</v>
      </c>
      <c r="L362" s="1678">
        <v>14155.508830950379</v>
      </c>
      <c r="M362" s="1682">
        <v>30.66</v>
      </c>
      <c r="N362" s="1169">
        <v>2949</v>
      </c>
      <c r="O362" s="1169">
        <v>705.78637510513033</v>
      </c>
      <c r="P362" s="1169">
        <v>1880.4541631623213</v>
      </c>
      <c r="Q362" s="1167">
        <v>8.15</v>
      </c>
      <c r="R362" s="1167">
        <v>804.49</v>
      </c>
      <c r="S362" s="1167">
        <v>626.19000000000005</v>
      </c>
      <c r="T362" s="1167">
        <v>3207.6</v>
      </c>
      <c r="U362" s="1167">
        <v>58993</v>
      </c>
      <c r="V362" s="1167"/>
      <c r="W362" s="1167"/>
      <c r="X362" s="344">
        <v>0.59450000000000003</v>
      </c>
      <c r="AI362" s="1844" t="s">
        <v>1</v>
      </c>
      <c r="AJ362" s="1845">
        <v>2007</v>
      </c>
      <c r="AK362" s="1844" t="s">
        <v>63</v>
      </c>
      <c r="AL362" s="1844">
        <v>2</v>
      </c>
      <c r="AM362" s="1846">
        <v>2745002000</v>
      </c>
      <c r="AN362" s="1831">
        <v>0.24302016924284089</v>
      </c>
      <c r="AP362" s="1781" t="s">
        <v>457</v>
      </c>
      <c r="AQ362" s="1781" t="s">
        <v>499</v>
      </c>
      <c r="AR362" s="1822" t="s">
        <v>25</v>
      </c>
      <c r="AS362" s="1822">
        <v>6</v>
      </c>
      <c r="AT362" s="1823">
        <v>37139119</v>
      </c>
      <c r="AU362" s="1825">
        <v>0.05</v>
      </c>
      <c r="AV362" s="1781">
        <v>2009</v>
      </c>
      <c r="EA362" s="169"/>
      <c r="EB362" s="169"/>
      <c r="EC362" s="169"/>
      <c r="ED362" s="169"/>
      <c r="EE362" s="169"/>
      <c r="EF362" s="169"/>
      <c r="EG362" s="169"/>
      <c r="EH362" s="169"/>
      <c r="EI362" s="169"/>
      <c r="EJ362" s="169"/>
      <c r="EK362" s="169"/>
      <c r="EL362" s="169"/>
      <c r="EM362" s="169"/>
      <c r="EN362" s="169"/>
      <c r="EO362" s="169"/>
      <c r="EP362" s="169"/>
      <c r="EQ362" s="169"/>
      <c r="ER362" s="169"/>
      <c r="ES362" s="169"/>
      <c r="ET362" s="169"/>
      <c r="EU362" s="169"/>
      <c r="EV362" s="169"/>
      <c r="EW362" s="169"/>
      <c r="EX362" s="169"/>
    </row>
    <row r="363" spans="1:154">
      <c r="A363" s="333">
        <f t="shared" si="10"/>
        <v>2000</v>
      </c>
      <c r="B363" s="333">
        <f t="shared" si="11"/>
        <v>3</v>
      </c>
      <c r="C363" s="1175">
        <v>36708</v>
      </c>
      <c r="D363" s="1158">
        <v>337.88</v>
      </c>
      <c r="E363" s="1159">
        <v>480.72</v>
      </c>
      <c r="F363" s="1159">
        <v>278.73</v>
      </c>
      <c r="G363" s="1160"/>
      <c r="H363" s="1161"/>
      <c r="I363" s="1160"/>
      <c r="J363" s="1160"/>
      <c r="K363" s="1677">
        <v>8167.86</v>
      </c>
      <c r="L363" s="1677">
        <v>13905.107252298261</v>
      </c>
      <c r="M363" s="1681">
        <v>30.91</v>
      </c>
      <c r="N363" s="1162">
        <v>3063.26</v>
      </c>
      <c r="O363" s="1162">
        <v>769.69696969696963</v>
      </c>
      <c r="P363" s="1162">
        <v>1934.3037112700033</v>
      </c>
      <c r="Q363" s="1163">
        <v>8.0500000000000007</v>
      </c>
      <c r="R363" s="1164">
        <v>835.9</v>
      </c>
      <c r="S363" s="1164">
        <v>646.95000000000005</v>
      </c>
      <c r="T363" s="1164">
        <v>3306.85</v>
      </c>
      <c r="U363" s="1165">
        <v>50855</v>
      </c>
      <c r="V363" s="1166"/>
      <c r="W363" s="1166"/>
      <c r="X363" s="635">
        <v>0.58740000000000003</v>
      </c>
      <c r="AI363" s="1844" t="s">
        <v>1</v>
      </c>
      <c r="AJ363" s="1845">
        <v>2007</v>
      </c>
      <c r="AK363" s="1844" t="s">
        <v>372</v>
      </c>
      <c r="AL363" s="1844">
        <v>3</v>
      </c>
      <c r="AM363" s="1846">
        <v>1477179000</v>
      </c>
      <c r="AN363" s="1831">
        <v>0.13077742405359649</v>
      </c>
      <c r="AP363" s="1781" t="s">
        <v>457</v>
      </c>
      <c r="AQ363" s="1781" t="s">
        <v>499</v>
      </c>
      <c r="AR363" s="1822" t="s">
        <v>31</v>
      </c>
      <c r="AS363" s="1822">
        <v>7</v>
      </c>
      <c r="AT363" s="1823">
        <v>35348964</v>
      </c>
      <c r="AU363" s="1825">
        <v>4.8000000000000001E-2</v>
      </c>
      <c r="AV363" s="1781">
        <v>2009</v>
      </c>
      <c r="EA363" s="169"/>
      <c r="EB363" s="169"/>
      <c r="EC363" s="169"/>
      <c r="ED363" s="169"/>
      <c r="EE363" s="169"/>
      <c r="EF363" s="169"/>
      <c r="EG363" s="169"/>
      <c r="EH363" s="169"/>
      <c r="EI363" s="169"/>
      <c r="EJ363" s="169"/>
      <c r="EK363" s="169"/>
      <c r="EL363" s="169"/>
      <c r="EM363" s="169"/>
      <c r="EN363" s="169"/>
      <c r="EO363" s="169"/>
      <c r="EP363" s="169"/>
      <c r="EQ363" s="169"/>
      <c r="ER363" s="169"/>
      <c r="ES363" s="169"/>
      <c r="ET363" s="169"/>
      <c r="EU363" s="169"/>
      <c r="EV363" s="169"/>
      <c r="EW363" s="169"/>
      <c r="EX363" s="169"/>
    </row>
    <row r="364" spans="1:154">
      <c r="A364" s="333">
        <f t="shared" si="10"/>
        <v>2000</v>
      </c>
      <c r="B364" s="333">
        <f t="shared" si="11"/>
        <v>3</v>
      </c>
      <c r="C364" s="1175">
        <v>36739</v>
      </c>
      <c r="D364" s="1167">
        <v>340.76</v>
      </c>
      <c r="E364" s="1168">
        <v>473.36</v>
      </c>
      <c r="F364" s="1168">
        <v>274.74</v>
      </c>
      <c r="G364" s="1168"/>
      <c r="H364" s="1167"/>
      <c r="I364" s="1168"/>
      <c r="J364" s="1168"/>
      <c r="K364" s="1678">
        <v>8010.45</v>
      </c>
      <c r="L364" s="1678">
        <v>13787.349397590362</v>
      </c>
      <c r="M364" s="1682">
        <v>32.119999999999997</v>
      </c>
      <c r="N364" s="1169">
        <v>3194.25</v>
      </c>
      <c r="O364" s="1169">
        <v>814.26850258175557</v>
      </c>
      <c r="P364" s="1169">
        <v>2012.4096385542171</v>
      </c>
      <c r="Q364" s="1167">
        <v>7.8</v>
      </c>
      <c r="R364" s="1167">
        <v>826.7</v>
      </c>
      <c r="S364" s="1167">
        <v>641.64</v>
      </c>
      <c r="T364" s="1167">
        <v>3324.67</v>
      </c>
      <c r="U364" s="1167">
        <v>55731</v>
      </c>
      <c r="V364" s="1167"/>
      <c r="W364" s="1167"/>
      <c r="X364" s="344">
        <v>0.58099999999999996</v>
      </c>
      <c r="AI364" s="1844" t="s">
        <v>1</v>
      </c>
      <c r="AJ364" s="1845">
        <v>2007</v>
      </c>
      <c r="AK364" s="1844" t="s">
        <v>34</v>
      </c>
      <c r="AL364" s="1844">
        <v>4</v>
      </c>
      <c r="AM364" s="1846">
        <v>1064866000</v>
      </c>
      <c r="AN364" s="1831">
        <v>9.4274581782070474E-2</v>
      </c>
      <c r="AP364" s="1781" t="s">
        <v>457</v>
      </c>
      <c r="AQ364" s="1781" t="s">
        <v>499</v>
      </c>
      <c r="AR364" s="1822" t="s">
        <v>66</v>
      </c>
      <c r="AS364" s="1822">
        <v>8</v>
      </c>
      <c r="AT364" s="1823">
        <v>31647484</v>
      </c>
      <c r="AU364" s="1825">
        <v>4.2999999999999997E-2</v>
      </c>
      <c r="AV364" s="1781">
        <v>2009</v>
      </c>
      <c r="EA364" s="169"/>
      <c r="EB364" s="169"/>
      <c r="EC364" s="169"/>
      <c r="ED364" s="169"/>
      <c r="EE364" s="169"/>
      <c r="EF364" s="169"/>
      <c r="EG364" s="169"/>
      <c r="EH364" s="169"/>
      <c r="EI364" s="169"/>
      <c r="EJ364" s="169"/>
      <c r="EK364" s="169"/>
      <c r="EL364" s="169"/>
      <c r="EM364" s="169"/>
      <c r="EN364" s="169"/>
      <c r="EO364" s="169"/>
      <c r="EP364" s="169"/>
      <c r="EQ364" s="169"/>
      <c r="ER364" s="169"/>
      <c r="ES364" s="169"/>
      <c r="ET364" s="169"/>
      <c r="EU364" s="169"/>
      <c r="EV364" s="169"/>
      <c r="EW364" s="169"/>
      <c r="EX364" s="169"/>
    </row>
    <row r="365" spans="1:154">
      <c r="A365" s="333">
        <f t="shared" si="10"/>
        <v>2000</v>
      </c>
      <c r="B365" s="333">
        <f t="shared" si="11"/>
        <v>3</v>
      </c>
      <c r="C365" s="1175">
        <v>36770</v>
      </c>
      <c r="D365" s="1158">
        <v>360.45</v>
      </c>
      <c r="E365" s="1159">
        <v>494.74</v>
      </c>
      <c r="F365" s="1159">
        <v>273.69</v>
      </c>
      <c r="G365" s="1160"/>
      <c r="H365" s="1161"/>
      <c r="I365" s="1160"/>
      <c r="J365" s="1160"/>
      <c r="K365" s="1677">
        <v>8642.14</v>
      </c>
      <c r="L365" s="1677">
        <v>15630.566105986616</v>
      </c>
      <c r="M365" s="1681">
        <v>34.36</v>
      </c>
      <c r="N365" s="1162">
        <v>3545.67</v>
      </c>
      <c r="O365" s="1162">
        <v>880.90070537167674</v>
      </c>
      <c r="P365" s="1162">
        <v>2214.505335503708</v>
      </c>
      <c r="Q365" s="1163">
        <v>7.45</v>
      </c>
      <c r="R365" s="1164">
        <v>987.5</v>
      </c>
      <c r="S365" s="1164">
        <v>669.59</v>
      </c>
      <c r="T365" s="1164">
        <v>3426.7</v>
      </c>
      <c r="U365" s="1165">
        <v>63817</v>
      </c>
      <c r="V365" s="1166"/>
      <c r="W365" s="1166"/>
      <c r="X365" s="635">
        <v>0.55289999999999995</v>
      </c>
      <c r="AI365" s="1844" t="s">
        <v>1</v>
      </c>
      <c r="AJ365" s="1845">
        <v>2007</v>
      </c>
      <c r="AK365" s="1844" t="s">
        <v>33</v>
      </c>
      <c r="AL365" s="1844">
        <v>5</v>
      </c>
      <c r="AM365" s="1846">
        <v>537729000</v>
      </c>
      <c r="AN365" s="1831">
        <v>4.7606155691975301E-2</v>
      </c>
      <c r="AP365" s="1781" t="s">
        <v>457</v>
      </c>
      <c r="AQ365" s="1781" t="s">
        <v>499</v>
      </c>
      <c r="AR365" s="1822" t="s">
        <v>21</v>
      </c>
      <c r="AS365" s="1822">
        <v>9</v>
      </c>
      <c r="AT365" s="1823">
        <v>30620002</v>
      </c>
      <c r="AU365" s="1825">
        <v>4.1000000000000002E-2</v>
      </c>
      <c r="AV365" s="1781">
        <v>2009</v>
      </c>
      <c r="EA365" s="169"/>
      <c r="EB365" s="169"/>
      <c r="EC365" s="169"/>
      <c r="ED365" s="169"/>
      <c r="EE365" s="169"/>
      <c r="EF365" s="169"/>
      <c r="EG365" s="169"/>
      <c r="EH365" s="169"/>
      <c r="EI365" s="169"/>
      <c r="EJ365" s="169"/>
      <c r="EK365" s="169"/>
      <c r="EL365" s="169"/>
      <c r="EM365" s="169"/>
      <c r="EN365" s="169"/>
      <c r="EO365" s="169"/>
      <c r="EP365" s="169"/>
      <c r="EQ365" s="169"/>
      <c r="ER365" s="169"/>
      <c r="ES365" s="169"/>
      <c r="ET365" s="169"/>
      <c r="EU365" s="169"/>
      <c r="EV365" s="169"/>
      <c r="EW365" s="169"/>
      <c r="EX365" s="169"/>
    </row>
    <row r="366" spans="1:154">
      <c r="A366" s="333">
        <f t="shared" si="10"/>
        <v>2000</v>
      </c>
      <c r="B366" s="333">
        <f t="shared" si="11"/>
        <v>4</v>
      </c>
      <c r="C366" s="1175">
        <v>36800</v>
      </c>
      <c r="D366" s="1167">
        <v>370.15</v>
      </c>
      <c r="E366" s="1168">
        <v>488.3</v>
      </c>
      <c r="F366" s="1168">
        <v>270.08</v>
      </c>
      <c r="G366" s="1168"/>
      <c r="H366" s="1167"/>
      <c r="I366" s="1168"/>
      <c r="J366" s="1168"/>
      <c r="K366" s="1678">
        <v>7682.5</v>
      </c>
      <c r="L366" s="1678">
        <v>14539.174867524604</v>
      </c>
      <c r="M366" s="1682">
        <v>31.6</v>
      </c>
      <c r="N366" s="1169">
        <v>3593.09</v>
      </c>
      <c r="O366" s="1169">
        <v>920.02271006813021</v>
      </c>
      <c r="P366" s="1169">
        <v>2073.9212717638152</v>
      </c>
      <c r="Q366" s="1167">
        <v>7.25</v>
      </c>
      <c r="R366" s="1167">
        <v>941.87</v>
      </c>
      <c r="S366" s="1167">
        <v>714.07</v>
      </c>
      <c r="T366" s="1167">
        <v>3664.73</v>
      </c>
      <c r="U366" s="1167">
        <v>72492</v>
      </c>
      <c r="V366" s="1167"/>
      <c r="W366" s="1167"/>
      <c r="X366" s="344">
        <v>0.52839999999999998</v>
      </c>
      <c r="AI366" s="1844" t="s">
        <v>1</v>
      </c>
      <c r="AJ366" s="1845">
        <v>2007</v>
      </c>
      <c r="AK366" s="1844" t="s">
        <v>61</v>
      </c>
      <c r="AL366" s="1844">
        <v>6</v>
      </c>
      <c r="AM366" s="1846">
        <v>457223000</v>
      </c>
      <c r="AN366" s="1831">
        <v>4.0478808700947923E-2</v>
      </c>
      <c r="AP366" s="1781" t="s">
        <v>457</v>
      </c>
      <c r="AQ366" s="1781" t="s">
        <v>499</v>
      </c>
      <c r="AR366" s="1822" t="s">
        <v>23</v>
      </c>
      <c r="AS366" s="1822">
        <v>10</v>
      </c>
      <c r="AT366" s="1823">
        <v>26078352</v>
      </c>
      <c r="AU366" s="1825">
        <v>3.5000000000000003E-2</v>
      </c>
      <c r="AV366" s="1781">
        <v>2009</v>
      </c>
      <c r="EA366" s="169"/>
      <c r="EB366" s="169"/>
      <c r="EC366" s="169"/>
      <c r="ED366" s="169"/>
      <c r="EE366" s="169"/>
      <c r="EF366" s="169"/>
      <c r="EG366" s="169"/>
      <c r="EH366" s="169"/>
      <c r="EI366" s="169"/>
      <c r="EJ366" s="169"/>
      <c r="EK366" s="169"/>
      <c r="EL366" s="169"/>
      <c r="EM366" s="169"/>
      <c r="EN366" s="169"/>
      <c r="EO366" s="169"/>
      <c r="EP366" s="169"/>
      <c r="EQ366" s="169"/>
      <c r="ER366" s="169"/>
      <c r="ES366" s="169"/>
      <c r="ET366" s="169"/>
      <c r="EU366" s="169"/>
      <c r="EV366" s="169"/>
      <c r="EW366" s="169"/>
      <c r="EX366" s="169"/>
    </row>
    <row r="367" spans="1:154">
      <c r="A367" s="333">
        <f t="shared" si="10"/>
        <v>2000</v>
      </c>
      <c r="B367" s="333">
        <f t="shared" si="11"/>
        <v>4</v>
      </c>
      <c r="C367" s="1175">
        <v>36831</v>
      </c>
      <c r="D367" s="1158">
        <v>377.94</v>
      </c>
      <c r="E367" s="1159">
        <v>510.71</v>
      </c>
      <c r="F367" s="1159">
        <v>265.81</v>
      </c>
      <c r="G367" s="1160"/>
      <c r="H367" s="1161"/>
      <c r="I367" s="1160"/>
      <c r="J367" s="1160"/>
      <c r="K367" s="1677">
        <v>7344.09</v>
      </c>
      <c r="L367" s="1677">
        <v>14058.365237366004</v>
      </c>
      <c r="M367" s="1681">
        <v>32.630000000000003</v>
      </c>
      <c r="N367" s="1162">
        <v>3436.27</v>
      </c>
      <c r="O367" s="1162">
        <v>895.82695252679946</v>
      </c>
      <c r="P367" s="1162">
        <v>2027.2779479326186</v>
      </c>
      <c r="Q367" s="1163">
        <v>7.1</v>
      </c>
      <c r="R367" s="1164">
        <v>914.77</v>
      </c>
      <c r="S367" s="1164">
        <v>675.86</v>
      </c>
      <c r="T367" s="1164">
        <v>3680.09</v>
      </c>
      <c r="U367" s="1165">
        <v>61851</v>
      </c>
      <c r="V367" s="1166"/>
      <c r="W367" s="1166"/>
      <c r="X367" s="635">
        <v>0.52239999999999998</v>
      </c>
      <c r="AI367" s="1844" t="s">
        <v>1</v>
      </c>
      <c r="AJ367" s="1845">
        <v>2007</v>
      </c>
      <c r="AK367" s="1844" t="s">
        <v>527</v>
      </c>
      <c r="AL367" s="1844">
        <v>7</v>
      </c>
      <c r="AM367" s="1846">
        <v>380827000</v>
      </c>
      <c r="AN367" s="1831">
        <v>3.3715327709139507E-2</v>
      </c>
      <c r="AP367" s="1781" t="s">
        <v>457</v>
      </c>
      <c r="AQ367" s="1781" t="s">
        <v>499</v>
      </c>
      <c r="AR367" s="1822" t="s">
        <v>39</v>
      </c>
      <c r="AS367" s="1822"/>
      <c r="AT367" s="1823">
        <v>97194344</v>
      </c>
      <c r="AU367" s="1825">
        <v>0.13200000000000001</v>
      </c>
      <c r="AV367" s="1781">
        <v>2009</v>
      </c>
      <c r="EA367" s="169"/>
      <c r="EB367" s="169"/>
      <c r="EC367" s="169"/>
      <c r="ED367" s="169"/>
      <c r="EE367" s="169"/>
      <c r="EF367" s="169"/>
      <c r="EG367" s="169"/>
      <c r="EH367" s="169"/>
      <c r="EI367" s="169"/>
      <c r="EJ367" s="169"/>
      <c r="EK367" s="169"/>
      <c r="EL367" s="169"/>
      <c r="EM367" s="169"/>
      <c r="EN367" s="169"/>
      <c r="EO367" s="169"/>
      <c r="EP367" s="169"/>
      <c r="EQ367" s="169"/>
      <c r="ER367" s="169"/>
      <c r="ES367" s="169"/>
      <c r="ET367" s="169"/>
      <c r="EU367" s="169"/>
      <c r="EV367" s="169"/>
      <c r="EW367" s="169"/>
      <c r="EX367" s="169"/>
    </row>
    <row r="368" spans="1:154">
      <c r="A368" s="333">
        <f t="shared" si="10"/>
        <v>2000</v>
      </c>
      <c r="B368" s="333">
        <f t="shared" si="11"/>
        <v>4</v>
      </c>
      <c r="C368" s="1175">
        <v>36861</v>
      </c>
      <c r="D368" s="1167">
        <v>354.92</v>
      </c>
      <c r="E368" s="1168">
        <v>499.46</v>
      </c>
      <c r="F368" s="1168">
        <v>271.64</v>
      </c>
      <c r="G368" s="1168"/>
      <c r="H368" s="1167"/>
      <c r="I368" s="1168"/>
      <c r="J368" s="1168"/>
      <c r="K368" s="1678">
        <v>7318.68</v>
      </c>
      <c r="L368" s="1678">
        <v>13355.255474452555</v>
      </c>
      <c r="M368" s="1682">
        <v>27.84</v>
      </c>
      <c r="N368" s="1169">
        <v>3376.92</v>
      </c>
      <c r="O368" s="1169">
        <v>843.68613138686123</v>
      </c>
      <c r="P368" s="1169">
        <v>1933.9233576642334</v>
      </c>
      <c r="Q368" s="1167">
        <v>7.1</v>
      </c>
      <c r="R368" s="1167">
        <v>896.19</v>
      </c>
      <c r="S368" s="1167">
        <v>676.38</v>
      </c>
      <c r="T368" s="1167">
        <v>3491.93</v>
      </c>
      <c r="U368" s="1167">
        <v>57403</v>
      </c>
      <c r="V368" s="1167"/>
      <c r="W368" s="1167"/>
      <c r="X368" s="344">
        <v>0.54800000000000004</v>
      </c>
      <c r="AI368" s="1844" t="s">
        <v>1</v>
      </c>
      <c r="AJ368" s="1845">
        <v>2007</v>
      </c>
      <c r="AK368" s="1844" t="s">
        <v>371</v>
      </c>
      <c r="AL368" s="1844">
        <v>8</v>
      </c>
      <c r="AM368" s="1846">
        <v>173979000</v>
      </c>
      <c r="AN368" s="1831">
        <v>1.5402686782996958E-2</v>
      </c>
      <c r="AP368" s="1781" t="s">
        <v>457</v>
      </c>
      <c r="AQ368" s="1781" t="s">
        <v>499</v>
      </c>
      <c r="AR368" s="1822" t="s">
        <v>114</v>
      </c>
      <c r="AS368" s="1822"/>
      <c r="AT368" s="1823">
        <v>737998898</v>
      </c>
      <c r="AU368" s="1825">
        <v>1</v>
      </c>
      <c r="AV368" s="1781">
        <v>2009</v>
      </c>
      <c r="EA368" s="169"/>
      <c r="EB368" s="169"/>
      <c r="EC368" s="169"/>
      <c r="ED368" s="169"/>
      <c r="EE368" s="169"/>
      <c r="EF368" s="169"/>
      <c r="EG368" s="169"/>
      <c r="EH368" s="169"/>
      <c r="EI368" s="169"/>
      <c r="EJ368" s="169"/>
      <c r="EK368" s="169"/>
      <c r="EL368" s="169"/>
      <c r="EM368" s="169"/>
      <c r="EN368" s="169"/>
      <c r="EO368" s="169"/>
      <c r="EP368" s="169"/>
      <c r="EQ368" s="169"/>
      <c r="ER368" s="169"/>
      <c r="ES368" s="169"/>
      <c r="ET368" s="169"/>
      <c r="EU368" s="169"/>
      <c r="EV368" s="169"/>
      <c r="EW368" s="169"/>
      <c r="EX368" s="169"/>
    </row>
    <row r="369" spans="1:154">
      <c r="A369" s="333">
        <f t="shared" si="10"/>
        <v>2001</v>
      </c>
      <c r="B369" s="333">
        <f t="shared" si="11"/>
        <v>1</v>
      </c>
      <c r="C369" s="1175">
        <v>36892</v>
      </c>
      <c r="D369" s="1158">
        <v>341.74</v>
      </c>
      <c r="E369" s="1159">
        <v>479.64</v>
      </c>
      <c r="F369" s="1159">
        <v>264.49</v>
      </c>
      <c r="G369" s="1160"/>
      <c r="H369" s="1161"/>
      <c r="I369" s="1160"/>
      <c r="J369" s="1160"/>
      <c r="K369" s="1677">
        <v>6999.09</v>
      </c>
      <c r="L369" s="1677">
        <v>12601.890529348218</v>
      </c>
      <c r="M369" s="1681">
        <v>25.82</v>
      </c>
      <c r="N369" s="1162">
        <v>3218.4</v>
      </c>
      <c r="O369" s="1162">
        <v>860.73100468131076</v>
      </c>
      <c r="P369" s="1162">
        <v>1860.5689593086063</v>
      </c>
      <c r="Q369" s="1163">
        <v>7.25</v>
      </c>
      <c r="R369" s="1164">
        <v>902.59</v>
      </c>
      <c r="S369" s="1164">
        <v>719.99</v>
      </c>
      <c r="T369" s="1164">
        <v>3366.85</v>
      </c>
      <c r="U369" s="1165">
        <v>53612</v>
      </c>
      <c r="V369" s="1166"/>
      <c r="W369" s="1166"/>
      <c r="X369" s="635">
        <v>0.5554</v>
      </c>
      <c r="AI369" s="1844" t="s">
        <v>1</v>
      </c>
      <c r="AJ369" s="1845">
        <v>2007</v>
      </c>
      <c r="AK369" s="1844" t="s">
        <v>23</v>
      </c>
      <c r="AL369" s="1844">
        <v>9</v>
      </c>
      <c r="AM369" s="1846">
        <v>173557000</v>
      </c>
      <c r="AN369" s="1831">
        <v>1.5365326332468879E-2</v>
      </c>
      <c r="AP369" s="1781" t="s">
        <v>457</v>
      </c>
      <c r="AQ369" s="1781" t="s">
        <v>498</v>
      </c>
      <c r="AR369" s="1822" t="s">
        <v>18</v>
      </c>
      <c r="AS369" s="1822">
        <v>1</v>
      </c>
      <c r="AT369" s="1823">
        <v>140393135</v>
      </c>
      <c r="AU369" s="1825">
        <v>0.18</v>
      </c>
      <c r="AV369" s="1781">
        <v>2008</v>
      </c>
      <c r="EA369" s="169"/>
      <c r="EB369" s="169"/>
      <c r="EC369" s="169"/>
      <c r="ED369" s="169"/>
      <c r="EE369" s="169"/>
      <c r="EF369" s="169"/>
      <c r="EG369" s="169"/>
      <c r="EH369" s="169"/>
      <c r="EI369" s="169"/>
      <c r="EJ369" s="169"/>
      <c r="EK369" s="169"/>
      <c r="EL369" s="169"/>
      <c r="EM369" s="169"/>
      <c r="EN369" s="169"/>
      <c r="EO369" s="169"/>
      <c r="EP369" s="169"/>
      <c r="EQ369" s="169"/>
      <c r="ER369" s="169"/>
      <c r="ES369" s="169"/>
      <c r="ET369" s="169"/>
      <c r="EU369" s="169"/>
      <c r="EV369" s="169"/>
      <c r="EW369" s="169"/>
      <c r="EX369" s="169"/>
    </row>
    <row r="370" spans="1:154">
      <c r="A370" s="333">
        <f t="shared" si="10"/>
        <v>2001</v>
      </c>
      <c r="B370" s="333">
        <f t="shared" si="11"/>
        <v>1</v>
      </c>
      <c r="C370" s="1175">
        <v>36923</v>
      </c>
      <c r="D370" s="1167">
        <v>346.79</v>
      </c>
      <c r="E370" s="1168">
        <v>491.19</v>
      </c>
      <c r="F370" s="1168">
        <v>261.87</v>
      </c>
      <c r="G370" s="1168"/>
      <c r="H370" s="1167"/>
      <c r="I370" s="1168"/>
      <c r="J370" s="1168"/>
      <c r="K370" s="1678">
        <v>6528</v>
      </c>
      <c r="L370" s="1678">
        <v>12231.590781337831</v>
      </c>
      <c r="M370" s="1682">
        <v>27.93</v>
      </c>
      <c r="N370" s="1169">
        <v>3308.32</v>
      </c>
      <c r="O370" s="1169">
        <v>940.22859284242099</v>
      </c>
      <c r="P370" s="1169">
        <v>1936.2188495409405</v>
      </c>
      <c r="Q370" s="1167">
        <v>7.9</v>
      </c>
      <c r="R370" s="1167">
        <v>902.59</v>
      </c>
      <c r="S370" s="1167">
        <v>690.69</v>
      </c>
      <c r="T370" s="1167">
        <v>3563.52</v>
      </c>
      <c r="U370" s="1167">
        <v>57805</v>
      </c>
      <c r="V370" s="1167"/>
      <c r="W370" s="1167"/>
      <c r="X370" s="344">
        <v>0.53369999999999995</v>
      </c>
      <c r="AI370" s="1844" t="s">
        <v>1</v>
      </c>
      <c r="AJ370" s="1845">
        <v>2007</v>
      </c>
      <c r="AK370" s="1844" t="s">
        <v>71</v>
      </c>
      <c r="AL370" s="1844">
        <v>10</v>
      </c>
      <c r="AM370" s="1846">
        <v>69154000</v>
      </c>
      <c r="AN370" s="1831">
        <v>6.1223331654473908E-3</v>
      </c>
      <c r="AP370" s="1781" t="s">
        <v>457</v>
      </c>
      <c r="AQ370" s="1781" t="s">
        <v>498</v>
      </c>
      <c r="AR370" s="1822" t="s">
        <v>758</v>
      </c>
      <c r="AS370" s="1822">
        <v>2</v>
      </c>
      <c r="AT370" s="1823">
        <v>112475605</v>
      </c>
      <c r="AU370" s="1825">
        <v>0.14399999999999999</v>
      </c>
      <c r="AV370" s="1781">
        <v>2008</v>
      </c>
      <c r="EA370" s="169"/>
      <c r="EB370" s="169"/>
      <c r="EC370" s="169"/>
      <c r="ED370" s="169"/>
      <c r="EE370" s="169"/>
      <c r="EF370" s="169"/>
      <c r="EG370" s="169"/>
      <c r="EH370" s="169"/>
      <c r="EI370" s="169"/>
      <c r="EJ370" s="169"/>
      <c r="EK370" s="169"/>
      <c r="EL370" s="169"/>
      <c r="EM370" s="169"/>
      <c r="EN370" s="169"/>
      <c r="EO370" s="169"/>
      <c r="EP370" s="169"/>
      <c r="EQ370" s="169"/>
      <c r="ER370" s="169"/>
      <c r="ES370" s="169"/>
      <c r="ET370" s="169"/>
      <c r="EU370" s="169"/>
      <c r="EV370" s="169"/>
      <c r="EW370" s="169"/>
      <c r="EX370" s="169"/>
    </row>
    <row r="371" spans="1:154">
      <c r="A371" s="333">
        <f t="shared" si="10"/>
        <v>2001</v>
      </c>
      <c r="B371" s="333">
        <f t="shared" si="11"/>
        <v>1</v>
      </c>
      <c r="C371" s="1175">
        <v>36951</v>
      </c>
      <c r="D371" s="1158">
        <v>374.74</v>
      </c>
      <c r="E371" s="1159">
        <v>524.17999999999995</v>
      </c>
      <c r="F371" s="1159">
        <v>263.02999999999997</v>
      </c>
      <c r="G371" s="1160"/>
      <c r="H371" s="1161"/>
      <c r="I371" s="1160"/>
      <c r="J371" s="1160"/>
      <c r="K371" s="1677">
        <v>6137.73</v>
      </c>
      <c r="L371" s="1677">
        <v>12185.288862418105</v>
      </c>
      <c r="M371" s="1681">
        <v>26.84</v>
      </c>
      <c r="N371" s="1162">
        <v>3452</v>
      </c>
      <c r="O371" s="1162">
        <v>989.45801072066695</v>
      </c>
      <c r="P371" s="1162">
        <v>1994.6992257296008</v>
      </c>
      <c r="Q371" s="1163">
        <v>8.1999999999999993</v>
      </c>
      <c r="R371" s="1164">
        <v>981.49</v>
      </c>
      <c r="S371" s="1164">
        <v>802.86</v>
      </c>
      <c r="T371" s="1164">
        <v>3793.31</v>
      </c>
      <c r="U371" s="1165">
        <v>62151</v>
      </c>
      <c r="V371" s="1166"/>
      <c r="W371" s="1166"/>
      <c r="X371" s="635">
        <v>0.50370000000000004</v>
      </c>
      <c r="AI371" s="1844" t="s">
        <v>1</v>
      </c>
      <c r="AJ371" s="1845">
        <v>2007</v>
      </c>
      <c r="AK371" s="1844" t="s">
        <v>39</v>
      </c>
      <c r="AL371" s="1844"/>
      <c r="AM371" s="1846">
        <v>72770000</v>
      </c>
      <c r="AN371" s="1831">
        <v>6.4424644192614547E-3</v>
      </c>
      <c r="AP371" s="1781" t="s">
        <v>457</v>
      </c>
      <c r="AQ371" s="1781" t="s">
        <v>498</v>
      </c>
      <c r="AR371" s="1822" t="s">
        <v>63</v>
      </c>
      <c r="AS371" s="1822">
        <v>3</v>
      </c>
      <c r="AT371" s="1823">
        <v>72241297</v>
      </c>
      <c r="AU371" s="1825">
        <v>9.2999999999999999E-2</v>
      </c>
      <c r="AV371" s="1781">
        <v>2008</v>
      </c>
      <c r="EA371" s="169"/>
      <c r="EB371" s="169"/>
      <c r="EC371" s="169"/>
      <c r="ED371" s="169"/>
      <c r="EE371" s="169"/>
      <c r="EF371" s="169"/>
      <c r="EG371" s="169"/>
      <c r="EH371" s="169"/>
      <c r="EI371" s="169"/>
      <c r="EJ371" s="169"/>
      <c r="EK371" s="169"/>
      <c r="EL371" s="169"/>
      <c r="EM371" s="169"/>
      <c r="EN371" s="169"/>
      <c r="EO371" s="169"/>
      <c r="EP371" s="169"/>
      <c r="EQ371" s="169"/>
      <c r="ER371" s="169"/>
      <c r="ES371" s="169"/>
      <c r="ET371" s="169"/>
      <c r="EU371" s="169"/>
      <c r="EV371" s="169"/>
      <c r="EW371" s="169"/>
      <c r="EX371" s="169"/>
    </row>
    <row r="372" spans="1:154">
      <c r="A372" s="333">
        <f t="shared" si="10"/>
        <v>2001</v>
      </c>
      <c r="B372" s="333">
        <f t="shared" si="11"/>
        <v>2</v>
      </c>
      <c r="C372" s="1175">
        <v>36982</v>
      </c>
      <c r="D372" s="1167">
        <v>373.93</v>
      </c>
      <c r="E372" s="1168">
        <v>522.22</v>
      </c>
      <c r="F372" s="1168">
        <v>260.60000000000002</v>
      </c>
      <c r="G372" s="1168"/>
      <c r="H372" s="1167"/>
      <c r="I372" s="1168"/>
      <c r="J372" s="1168"/>
      <c r="K372" s="1678">
        <v>6333.68</v>
      </c>
      <c r="L372" s="1678">
        <v>12609.356957993232</v>
      </c>
      <c r="M372" s="1682">
        <v>27.88</v>
      </c>
      <c r="N372" s="1169">
        <v>3313.08</v>
      </c>
      <c r="O372" s="1169">
        <v>950.6271152697592</v>
      </c>
      <c r="P372" s="1169">
        <v>1930.0218992633886</v>
      </c>
      <c r="Q372" s="1167">
        <v>8.6</v>
      </c>
      <c r="R372" s="1167">
        <v>934.77</v>
      </c>
      <c r="S372" s="1167">
        <v>811.48</v>
      </c>
      <c r="T372" s="1167">
        <v>3716.87</v>
      </c>
      <c r="U372" s="1167">
        <v>53711</v>
      </c>
      <c r="V372" s="1167"/>
      <c r="W372" s="1167"/>
      <c r="X372" s="344">
        <v>0.50229999999999997</v>
      </c>
      <c r="AI372" s="1844" t="s">
        <v>1</v>
      </c>
      <c r="AJ372" s="1845">
        <v>2007</v>
      </c>
      <c r="AK372" s="1844" t="s">
        <v>386</v>
      </c>
      <c r="AL372" s="1844"/>
      <c r="AM372" s="1846">
        <v>11295367000</v>
      </c>
      <c r="AN372" s="1831">
        <v>1</v>
      </c>
      <c r="AP372" s="1781" t="s">
        <v>457</v>
      </c>
      <c r="AQ372" s="1781" t="s">
        <v>498</v>
      </c>
      <c r="AR372" s="1822" t="s">
        <v>31</v>
      </c>
      <c r="AS372" s="1822">
        <v>4</v>
      </c>
      <c r="AT372" s="1823">
        <v>71893378</v>
      </c>
      <c r="AU372" s="1825">
        <v>9.1999999999999998E-2</v>
      </c>
      <c r="AV372" s="1781">
        <v>2008</v>
      </c>
      <c r="EA372" s="169"/>
      <c r="EB372" s="169"/>
      <c r="EC372" s="169"/>
      <c r="ED372" s="169"/>
      <c r="EE372" s="169"/>
      <c r="EF372" s="169"/>
      <c r="EG372" s="169"/>
      <c r="EH372" s="169"/>
      <c r="EI372" s="169"/>
      <c r="EJ372" s="169"/>
      <c r="EK372" s="169"/>
      <c r="EL372" s="169"/>
      <c r="EM372" s="169"/>
      <c r="EN372" s="169"/>
      <c r="EO372" s="169"/>
      <c r="EP372" s="169"/>
      <c r="EQ372" s="169"/>
      <c r="ER372" s="169"/>
      <c r="ES372" s="169"/>
      <c r="ET372" s="169"/>
      <c r="EU372" s="169"/>
      <c r="EV372" s="169"/>
      <c r="EW372" s="169"/>
      <c r="EX372" s="169"/>
    </row>
    <row r="373" spans="1:154">
      <c r="A373" s="333">
        <f t="shared" si="10"/>
        <v>2001</v>
      </c>
      <c r="B373" s="333">
        <f t="shared" si="11"/>
        <v>2</v>
      </c>
      <c r="C373" s="1175">
        <v>37012</v>
      </c>
      <c r="D373" s="1158">
        <v>350.13</v>
      </c>
      <c r="E373" s="1159">
        <v>524.45000000000005</v>
      </c>
      <c r="F373" s="1159">
        <v>272.60000000000002</v>
      </c>
      <c r="G373" s="1160"/>
      <c r="H373" s="1161"/>
      <c r="I373" s="1160"/>
      <c r="J373" s="1160"/>
      <c r="K373" s="1677">
        <v>7064.76</v>
      </c>
      <c r="L373" s="1677">
        <v>13586.076923076924</v>
      </c>
      <c r="M373" s="1681">
        <v>28.92</v>
      </c>
      <c r="N373" s="1162">
        <v>3235.02</v>
      </c>
      <c r="O373" s="1162">
        <v>897.48076923076917</v>
      </c>
      <c r="P373" s="1162">
        <v>1803.75</v>
      </c>
      <c r="Q373" s="1163">
        <v>8.9</v>
      </c>
      <c r="R373" s="1164">
        <v>984</v>
      </c>
      <c r="S373" s="1164">
        <v>772.46</v>
      </c>
      <c r="T373" s="1164">
        <v>3611.43</v>
      </c>
      <c r="U373" s="1165">
        <v>52995</v>
      </c>
      <c r="V373" s="1166"/>
      <c r="W373" s="1166"/>
      <c r="X373" s="635">
        <v>0.52</v>
      </c>
      <c r="AI373" s="1847" t="s">
        <v>1</v>
      </c>
      <c r="AJ373" s="1848">
        <v>2008</v>
      </c>
      <c r="AK373" s="1847" t="s">
        <v>21</v>
      </c>
      <c r="AL373" s="1847">
        <v>1</v>
      </c>
      <c r="AM373" s="1849">
        <v>5008483000</v>
      </c>
      <c r="AN373" s="1831">
        <v>0.35101159453015762</v>
      </c>
      <c r="AP373" s="1781" t="s">
        <v>457</v>
      </c>
      <c r="AQ373" s="1781" t="s">
        <v>498</v>
      </c>
      <c r="AR373" s="1822" t="s">
        <v>23</v>
      </c>
      <c r="AS373" s="1822">
        <v>5</v>
      </c>
      <c r="AT373" s="1823">
        <v>58021004</v>
      </c>
      <c r="AU373" s="1825">
        <v>7.3999999999999996E-2</v>
      </c>
      <c r="AV373" s="1781">
        <v>2008</v>
      </c>
      <c r="EA373" s="169"/>
      <c r="EB373" s="169"/>
      <c r="EC373" s="169"/>
      <c r="ED373" s="169"/>
      <c r="EE373" s="169"/>
      <c r="EF373" s="169"/>
      <c r="EG373" s="169"/>
      <c r="EH373" s="169"/>
      <c r="EI373" s="169"/>
      <c r="EJ373" s="169"/>
      <c r="EK373" s="169"/>
      <c r="EL373" s="169"/>
      <c r="EM373" s="169"/>
      <c r="EN373" s="169"/>
      <c r="EO373" s="169"/>
      <c r="EP373" s="169"/>
      <c r="EQ373" s="169"/>
      <c r="ER373" s="169"/>
      <c r="ES373" s="169"/>
      <c r="ET373" s="169"/>
      <c r="EU373" s="169"/>
      <c r="EV373" s="169"/>
      <c r="EW373" s="169"/>
      <c r="EX373" s="169"/>
    </row>
    <row r="374" spans="1:154">
      <c r="A374" s="333">
        <f t="shared" si="10"/>
        <v>2001</v>
      </c>
      <c r="B374" s="333">
        <f t="shared" si="11"/>
        <v>2</v>
      </c>
      <c r="C374" s="1175">
        <v>37043</v>
      </c>
      <c r="D374" s="1167">
        <v>356.12</v>
      </c>
      <c r="E374" s="1168">
        <v>524.19000000000005</v>
      </c>
      <c r="F374" s="1168">
        <v>270.47000000000003</v>
      </c>
      <c r="G374" s="1168"/>
      <c r="H374" s="1167"/>
      <c r="I374" s="1168"/>
      <c r="J374" s="1168"/>
      <c r="K374" s="1678">
        <v>6644.76</v>
      </c>
      <c r="L374" s="1678">
        <v>12827.722007722008</v>
      </c>
      <c r="M374" s="1682">
        <v>28.12</v>
      </c>
      <c r="N374" s="1169">
        <v>3105.12</v>
      </c>
      <c r="O374" s="1169">
        <v>857.41312741312731</v>
      </c>
      <c r="P374" s="1169">
        <v>1727.6640926640925</v>
      </c>
      <c r="Q374" s="1167">
        <v>8.9</v>
      </c>
      <c r="R374" s="1167">
        <v>971.24</v>
      </c>
      <c r="S374" s="1167">
        <v>795.63</v>
      </c>
      <c r="T374" s="1167">
        <v>3599.05</v>
      </c>
      <c r="U374" s="1167">
        <v>47135</v>
      </c>
      <c r="V374" s="1167"/>
      <c r="W374" s="1167"/>
      <c r="X374" s="344">
        <v>0.51800000000000002</v>
      </c>
      <c r="AI374" s="1847" t="s">
        <v>1</v>
      </c>
      <c r="AJ374" s="1848">
        <v>2008</v>
      </c>
      <c r="AK374" s="1847" t="s">
        <v>63</v>
      </c>
      <c r="AL374" s="1847">
        <v>2</v>
      </c>
      <c r="AM374" s="1849">
        <v>4826735000</v>
      </c>
      <c r="AN374" s="1831">
        <v>0.33827407395103876</v>
      </c>
      <c r="AP374" s="1781" t="s">
        <v>457</v>
      </c>
      <c r="AQ374" s="1781" t="s">
        <v>498</v>
      </c>
      <c r="AR374" s="1822" t="s">
        <v>66</v>
      </c>
      <c r="AS374" s="1822">
        <v>6</v>
      </c>
      <c r="AT374" s="1823">
        <v>53337255</v>
      </c>
      <c r="AU374" s="1825">
        <v>6.8000000000000005E-2</v>
      </c>
      <c r="AV374" s="1781">
        <v>2008</v>
      </c>
      <c r="EA374" s="169"/>
      <c r="EB374" s="169"/>
      <c r="EC374" s="169"/>
      <c r="ED374" s="169"/>
      <c r="EE374" s="169"/>
      <c r="EF374" s="169"/>
      <c r="EG374" s="169"/>
      <c r="EH374" s="169"/>
      <c r="EI374" s="169"/>
      <c r="EJ374" s="169"/>
      <c r="EK374" s="169"/>
      <c r="EL374" s="169"/>
      <c r="EM374" s="169"/>
      <c r="EN374" s="169"/>
      <c r="EO374" s="169"/>
      <c r="EP374" s="169"/>
      <c r="EQ374" s="169"/>
      <c r="ER374" s="169"/>
      <c r="ES374" s="169"/>
      <c r="ET374" s="169"/>
      <c r="EU374" s="169"/>
      <c r="EV374" s="169"/>
      <c r="EW374" s="169"/>
      <c r="EX374" s="169"/>
    </row>
    <row r="375" spans="1:154">
      <c r="A375" s="333">
        <f t="shared" si="10"/>
        <v>2001</v>
      </c>
      <c r="B375" s="333">
        <f t="shared" si="11"/>
        <v>3</v>
      </c>
      <c r="C375" s="1175">
        <v>37073</v>
      </c>
      <c r="D375" s="1158">
        <v>346.31</v>
      </c>
      <c r="E375" s="1159">
        <v>526.83000000000004</v>
      </c>
      <c r="F375" s="1159">
        <v>267.52999999999997</v>
      </c>
      <c r="G375" s="1160"/>
      <c r="H375" s="1161"/>
      <c r="I375" s="1160"/>
      <c r="J375" s="1160"/>
      <c r="K375" s="1677">
        <v>5952.86</v>
      </c>
      <c r="L375" s="1677">
        <v>11679.144594859719</v>
      </c>
      <c r="M375" s="1681">
        <v>25.96</v>
      </c>
      <c r="N375" s="1162">
        <v>2997.61</v>
      </c>
      <c r="O375" s="1162">
        <v>903.19795958406905</v>
      </c>
      <c r="P375" s="1162">
        <v>1673.8081224249556</v>
      </c>
      <c r="Q375" s="1163">
        <v>8.9</v>
      </c>
      <c r="R375" s="1164">
        <v>963.06</v>
      </c>
      <c r="S375" s="1164">
        <v>774.39</v>
      </c>
      <c r="T375" s="1164">
        <v>3559.72</v>
      </c>
      <c r="U375" s="1165">
        <v>41306</v>
      </c>
      <c r="V375" s="1166"/>
      <c r="W375" s="1166"/>
      <c r="X375" s="635">
        <v>0.50970000000000004</v>
      </c>
      <c r="AI375" s="1847" t="s">
        <v>1</v>
      </c>
      <c r="AJ375" s="1848">
        <v>2008</v>
      </c>
      <c r="AK375" s="1847" t="s">
        <v>34</v>
      </c>
      <c r="AL375" s="1847">
        <v>3</v>
      </c>
      <c r="AM375" s="1849">
        <v>1535923000</v>
      </c>
      <c r="AN375" s="1831">
        <v>0.10764272960605901</v>
      </c>
      <c r="AP375" s="1781" t="s">
        <v>457</v>
      </c>
      <c r="AQ375" s="1781" t="s">
        <v>498</v>
      </c>
      <c r="AR375" s="1822" t="s">
        <v>27</v>
      </c>
      <c r="AS375" s="1822">
        <v>7</v>
      </c>
      <c r="AT375" s="1823">
        <v>36995195</v>
      </c>
      <c r="AU375" s="1825">
        <v>4.7E-2</v>
      </c>
      <c r="AV375" s="1781">
        <v>2008</v>
      </c>
      <c r="EA375" s="169"/>
      <c r="EB375" s="169"/>
      <c r="EC375" s="169"/>
      <c r="ED375" s="169"/>
      <c r="EE375" s="169"/>
      <c r="EF375" s="169"/>
      <c r="EG375" s="169"/>
      <c r="EH375" s="169"/>
      <c r="EI375" s="169"/>
      <c r="EJ375" s="169"/>
      <c r="EK375" s="169"/>
      <c r="EL375" s="169"/>
      <c r="EM375" s="169"/>
      <c r="EN375" s="169"/>
      <c r="EO375" s="169"/>
      <c r="EP375" s="169"/>
      <c r="EQ375" s="169"/>
      <c r="ER375" s="169"/>
      <c r="ES375" s="169"/>
      <c r="ET375" s="169"/>
      <c r="EU375" s="169"/>
      <c r="EV375" s="169"/>
      <c r="EW375" s="169"/>
      <c r="EX375" s="169"/>
    </row>
    <row r="376" spans="1:154">
      <c r="A376" s="333">
        <f t="shared" si="10"/>
        <v>2001</v>
      </c>
      <c r="B376" s="333">
        <f t="shared" si="11"/>
        <v>3</v>
      </c>
      <c r="C376" s="1175">
        <v>37104</v>
      </c>
      <c r="D376" s="1167">
        <v>340.27</v>
      </c>
      <c r="E376" s="1168">
        <v>521.45000000000005</v>
      </c>
      <c r="F376" s="1168">
        <v>272.49</v>
      </c>
      <c r="G376" s="1168"/>
      <c r="H376" s="1167"/>
      <c r="I376" s="1168"/>
      <c r="J376" s="1168"/>
      <c r="K376" s="1678">
        <v>5524.55</v>
      </c>
      <c r="L376" s="1678">
        <v>10532.98379408961</v>
      </c>
      <c r="M376" s="1682">
        <v>25.4</v>
      </c>
      <c r="N376" s="1169">
        <v>2792.05</v>
      </c>
      <c r="O376" s="1169">
        <v>920.78169685414684</v>
      </c>
      <c r="P376" s="1169">
        <v>1578.7797902764539</v>
      </c>
      <c r="Q376" s="1167">
        <v>9.1</v>
      </c>
      <c r="R376" s="1167">
        <v>992.24</v>
      </c>
      <c r="S376" s="1167">
        <v>828.02</v>
      </c>
      <c r="T376" s="1167">
        <v>3434.73</v>
      </c>
      <c r="U376" s="1167">
        <v>41948</v>
      </c>
      <c r="V376" s="1167"/>
      <c r="W376" s="1167"/>
      <c r="X376" s="344">
        <v>0.52449999999999997</v>
      </c>
      <c r="AI376" s="1847" t="s">
        <v>1</v>
      </c>
      <c r="AJ376" s="1848">
        <v>2008</v>
      </c>
      <c r="AK376" s="1847" t="s">
        <v>33</v>
      </c>
      <c r="AL376" s="1847">
        <v>4</v>
      </c>
      <c r="AM376" s="1849">
        <v>1131318000</v>
      </c>
      <c r="AN376" s="1831">
        <v>7.9286629324821278E-2</v>
      </c>
      <c r="AP376" s="1781" t="s">
        <v>457</v>
      </c>
      <c r="AQ376" s="1781" t="s">
        <v>498</v>
      </c>
      <c r="AR376" s="1822" t="s">
        <v>59</v>
      </c>
      <c r="AS376" s="1822">
        <v>8</v>
      </c>
      <c r="AT376" s="1823">
        <v>35298620</v>
      </c>
      <c r="AU376" s="1825">
        <v>4.4999999999999998E-2</v>
      </c>
      <c r="AV376" s="1781">
        <v>2008</v>
      </c>
      <c r="EA376" s="169"/>
      <c r="EB376" s="169"/>
      <c r="EC376" s="169"/>
      <c r="ED376" s="169"/>
      <c r="EE376" s="169"/>
      <c r="EF376" s="169"/>
      <c r="EG376" s="169"/>
      <c r="EH376" s="169"/>
      <c r="EI376" s="169"/>
      <c r="EJ376" s="169"/>
      <c r="EK376" s="169"/>
      <c r="EL376" s="169"/>
      <c r="EM376" s="169"/>
      <c r="EN376" s="169"/>
      <c r="EO376" s="169"/>
      <c r="EP376" s="169"/>
      <c r="EQ376" s="169"/>
      <c r="ER376" s="169"/>
      <c r="ES376" s="169"/>
      <c r="ET376" s="169"/>
      <c r="EU376" s="169"/>
      <c r="EV376" s="169"/>
      <c r="EW376" s="169"/>
      <c r="EX376" s="169"/>
    </row>
    <row r="377" spans="1:154">
      <c r="A377" s="333">
        <f t="shared" si="10"/>
        <v>2001</v>
      </c>
      <c r="B377" s="333">
        <f t="shared" si="11"/>
        <v>3</v>
      </c>
      <c r="C377" s="1175">
        <v>37135</v>
      </c>
      <c r="D377" s="1158">
        <v>341.07</v>
      </c>
      <c r="E377" s="1159">
        <v>560.6</v>
      </c>
      <c r="F377" s="1159">
        <v>283.42</v>
      </c>
      <c r="G377" s="1160"/>
      <c r="H377" s="1161"/>
      <c r="I377" s="1160"/>
      <c r="J377" s="1160"/>
      <c r="K377" s="1677">
        <v>5030.25</v>
      </c>
      <c r="L377" s="1677">
        <v>9941.205533596838</v>
      </c>
      <c r="M377" s="1681">
        <v>25.9</v>
      </c>
      <c r="N377" s="1162">
        <v>2818.83</v>
      </c>
      <c r="O377" s="1162">
        <v>918.57707509881425</v>
      </c>
      <c r="P377" s="1162">
        <v>1578.1620553359683</v>
      </c>
      <c r="Q377" s="1163">
        <v>9.3000000000000007</v>
      </c>
      <c r="R377" s="1164">
        <v>982.95</v>
      </c>
      <c r="S377" s="1164">
        <v>850.47</v>
      </c>
      <c r="T377" s="1164">
        <v>3525.7730000000001</v>
      </c>
      <c r="U377" s="1165">
        <v>42262</v>
      </c>
      <c r="V377" s="1166"/>
      <c r="W377" s="1166"/>
      <c r="X377" s="635">
        <v>0.50600000000000001</v>
      </c>
      <c r="AI377" s="1847" t="s">
        <v>1</v>
      </c>
      <c r="AJ377" s="1848">
        <v>2008</v>
      </c>
      <c r="AK377" s="1847" t="s">
        <v>61</v>
      </c>
      <c r="AL377" s="1847">
        <v>5</v>
      </c>
      <c r="AM377" s="1849">
        <v>719732000</v>
      </c>
      <c r="AN377" s="1831">
        <v>5.0441276720791385E-2</v>
      </c>
      <c r="AP377" s="1781" t="s">
        <v>457</v>
      </c>
      <c r="AQ377" s="1781" t="s">
        <v>498</v>
      </c>
      <c r="AR377" s="1822" t="s">
        <v>537</v>
      </c>
      <c r="AS377" s="1822">
        <v>9</v>
      </c>
      <c r="AT377" s="1823">
        <v>34438406</v>
      </c>
      <c r="AU377" s="1825">
        <v>4.3999999999999997E-2</v>
      </c>
      <c r="AV377" s="1781">
        <v>2008</v>
      </c>
      <c r="EA377" s="169"/>
      <c r="EB377" s="169"/>
      <c r="EC377" s="169"/>
      <c r="ED377" s="169"/>
      <c r="EE377" s="169"/>
      <c r="EF377" s="169"/>
      <c r="EG377" s="169"/>
      <c r="EH377" s="169"/>
      <c r="EI377" s="169"/>
      <c r="EJ377" s="169"/>
      <c r="EK377" s="169"/>
      <c r="EL377" s="169"/>
      <c r="EM377" s="169"/>
      <c r="EN377" s="169"/>
      <c r="EO377" s="169"/>
      <c r="EP377" s="169"/>
      <c r="EQ377" s="169"/>
      <c r="ER377" s="169"/>
      <c r="ES377" s="169"/>
      <c r="ET377" s="169"/>
      <c r="EU377" s="169"/>
      <c r="EV377" s="169"/>
      <c r="EW377" s="169"/>
      <c r="EX377" s="169"/>
    </row>
    <row r="378" spans="1:154">
      <c r="A378" s="333">
        <f t="shared" si="10"/>
        <v>2001</v>
      </c>
      <c r="B378" s="333">
        <f t="shared" si="11"/>
        <v>4</v>
      </c>
      <c r="C378" s="1175">
        <v>37165</v>
      </c>
      <c r="D378" s="1167">
        <v>327.33999999999997</v>
      </c>
      <c r="E378" s="1168">
        <v>562.38</v>
      </c>
      <c r="F378" s="1168">
        <v>279.67</v>
      </c>
      <c r="G378" s="1168"/>
      <c r="H378" s="1167"/>
      <c r="I378" s="1168"/>
      <c r="J378" s="1168"/>
      <c r="K378" s="1678">
        <v>4828.4799999999996</v>
      </c>
      <c r="L378" s="1678">
        <v>9570.8225966303271</v>
      </c>
      <c r="M378" s="1682">
        <v>21.55</v>
      </c>
      <c r="N378" s="1169">
        <v>2729.99</v>
      </c>
      <c r="O378" s="1169">
        <v>927.8691774033698</v>
      </c>
      <c r="P378" s="1169">
        <v>1509.4152626362736</v>
      </c>
      <c r="Q378" s="1167">
        <v>9.4499999999999993</v>
      </c>
      <c r="R378" s="1167">
        <v>1025.75</v>
      </c>
      <c r="S378" s="1167">
        <v>905.24</v>
      </c>
      <c r="T378" s="1167">
        <v>3437.01</v>
      </c>
      <c r="U378" s="1167">
        <v>35177</v>
      </c>
      <c r="V378" s="1167"/>
      <c r="W378" s="1167"/>
      <c r="X378" s="344">
        <v>0.50449999999999995</v>
      </c>
      <c r="AI378" s="1847" t="s">
        <v>1</v>
      </c>
      <c r="AJ378" s="1848">
        <v>2008</v>
      </c>
      <c r="AK378" s="1847" t="s">
        <v>527</v>
      </c>
      <c r="AL378" s="1847">
        <v>6</v>
      </c>
      <c r="AM378" s="1849">
        <v>413689000</v>
      </c>
      <c r="AN378" s="1831">
        <v>2.8992738026581377E-2</v>
      </c>
      <c r="AP378" s="1781" t="s">
        <v>457</v>
      </c>
      <c r="AQ378" s="1781" t="s">
        <v>498</v>
      </c>
      <c r="AR378" s="1822" t="s">
        <v>54</v>
      </c>
      <c r="AS378" s="1822">
        <v>10</v>
      </c>
      <c r="AT378" s="1823">
        <v>25806488</v>
      </c>
      <c r="AU378" s="1825">
        <v>3.3000000000000002E-2</v>
      </c>
      <c r="AV378" s="1781">
        <v>2008</v>
      </c>
      <c r="EA378" s="169"/>
      <c r="EB378" s="169"/>
      <c r="EC378" s="169"/>
      <c r="ED378" s="169"/>
      <c r="EE378" s="169"/>
      <c r="EF378" s="169"/>
      <c r="EG378" s="169"/>
      <c r="EH378" s="169"/>
      <c r="EI378" s="169"/>
      <c r="EJ378" s="169"/>
      <c r="EK378" s="169"/>
      <c r="EL378" s="169"/>
      <c r="EM378" s="169"/>
      <c r="EN378" s="169"/>
      <c r="EO378" s="169"/>
      <c r="EP378" s="169"/>
      <c r="EQ378" s="169"/>
      <c r="ER378" s="169"/>
      <c r="ES378" s="169"/>
      <c r="ET378" s="169"/>
      <c r="EU378" s="169"/>
      <c r="EV378" s="169"/>
      <c r="EW378" s="169"/>
      <c r="EX378" s="169"/>
    </row>
    <row r="379" spans="1:154">
      <c r="A379" s="333">
        <f t="shared" si="10"/>
        <v>2001</v>
      </c>
      <c r="B379" s="333">
        <f t="shared" si="11"/>
        <v>4</v>
      </c>
      <c r="C379" s="1175">
        <v>37196</v>
      </c>
      <c r="D379" s="1158">
        <v>309.49</v>
      </c>
      <c r="E379" s="1159">
        <v>536.12</v>
      </c>
      <c r="F379" s="1159">
        <v>276.19</v>
      </c>
      <c r="G379" s="1160"/>
      <c r="H379" s="1161"/>
      <c r="I379" s="1160"/>
      <c r="J379" s="1160"/>
      <c r="K379" s="1677">
        <v>5081.82</v>
      </c>
      <c r="L379" s="1677">
        <v>9823.7386429537983</v>
      </c>
      <c r="M379" s="1681">
        <v>19.920000000000002</v>
      </c>
      <c r="N379" s="1162">
        <v>2759.97</v>
      </c>
      <c r="O379" s="1162">
        <v>940.42141890585742</v>
      </c>
      <c r="P379" s="1162">
        <v>1494.1233326889619</v>
      </c>
      <c r="Q379" s="1163">
        <v>9.5</v>
      </c>
      <c r="R379" s="1164">
        <v>988.6</v>
      </c>
      <c r="S379" s="1164">
        <v>822.51</v>
      </c>
      <c r="T379" s="1164">
        <v>3329.47</v>
      </c>
      <c r="U379" s="1165">
        <v>30898</v>
      </c>
      <c r="V379" s="1166"/>
      <c r="W379" s="1166"/>
      <c r="X379" s="635">
        <v>0.51729999999999998</v>
      </c>
      <c r="AI379" s="1847" t="s">
        <v>1</v>
      </c>
      <c r="AJ379" s="1848">
        <v>2008</v>
      </c>
      <c r="AK379" s="1847" t="s">
        <v>372</v>
      </c>
      <c r="AL379" s="1847">
        <v>7</v>
      </c>
      <c r="AM379" s="1849">
        <v>207399000</v>
      </c>
      <c r="AN379" s="1831">
        <v>1.4535230267120836E-2</v>
      </c>
      <c r="AP379" s="1781" t="s">
        <v>457</v>
      </c>
      <c r="AQ379" s="1781" t="s">
        <v>498</v>
      </c>
      <c r="AR379" s="1822" t="s">
        <v>39</v>
      </c>
      <c r="AS379" s="1822"/>
      <c r="AT379" s="1823">
        <v>139649770</v>
      </c>
      <c r="AU379" s="1825">
        <v>0.17899999999999999</v>
      </c>
      <c r="AV379" s="1781">
        <v>2008</v>
      </c>
      <c r="EA379" s="169"/>
      <c r="EB379" s="169"/>
      <c r="EC379" s="169"/>
      <c r="ED379" s="169"/>
      <c r="EE379" s="169"/>
      <c r="EF379" s="169"/>
      <c r="EG379" s="169"/>
      <c r="EH379" s="169"/>
      <c r="EI379" s="169"/>
      <c r="EJ379" s="169"/>
      <c r="EK379" s="169"/>
      <c r="EL379" s="169"/>
      <c r="EM379" s="169"/>
      <c r="EN379" s="169"/>
      <c r="EO379" s="169"/>
      <c r="EP379" s="169"/>
      <c r="EQ379" s="169"/>
      <c r="ER379" s="169"/>
      <c r="ES379" s="169"/>
      <c r="ET379" s="169"/>
      <c r="EU379" s="169"/>
      <c r="EV379" s="169"/>
      <c r="EW379" s="169"/>
      <c r="EX379" s="169"/>
    </row>
    <row r="380" spans="1:154">
      <c r="A380" s="333">
        <f t="shared" si="10"/>
        <v>2001</v>
      </c>
      <c r="B380" s="333">
        <f t="shared" si="11"/>
        <v>4</v>
      </c>
      <c r="C380" s="1175">
        <v>37226</v>
      </c>
      <c r="D380" s="1167">
        <v>313.68</v>
      </c>
      <c r="E380" s="1168">
        <v>537.72</v>
      </c>
      <c r="F380" s="1168">
        <v>275.85000000000002</v>
      </c>
      <c r="G380" s="1168"/>
      <c r="H380" s="1167"/>
      <c r="I380" s="1168"/>
      <c r="J380" s="1168"/>
      <c r="K380" s="1678">
        <v>5267.94</v>
      </c>
      <c r="L380" s="1678">
        <v>10250.904845300642</v>
      </c>
      <c r="M380" s="1682">
        <v>19.59</v>
      </c>
      <c r="N380" s="1169">
        <v>2863.86</v>
      </c>
      <c r="O380" s="1169">
        <v>940.37750535123564</v>
      </c>
      <c r="P380" s="1169">
        <v>1468.5347343841213</v>
      </c>
      <c r="Q380" s="1167">
        <v>9.6</v>
      </c>
      <c r="R380" s="1167">
        <v>964.05</v>
      </c>
      <c r="S380" s="1167">
        <v>859.48</v>
      </c>
      <c r="T380" s="1167">
        <v>3224.51</v>
      </c>
      <c r="U380" s="1167">
        <v>31585</v>
      </c>
      <c r="V380" s="1167"/>
      <c r="W380" s="1167"/>
      <c r="X380" s="344">
        <v>0.51390000000000002</v>
      </c>
      <c r="AI380" s="1847" t="s">
        <v>1</v>
      </c>
      <c r="AJ380" s="1848">
        <v>2008</v>
      </c>
      <c r="AK380" s="1847" t="s">
        <v>371</v>
      </c>
      <c r="AL380" s="1847">
        <v>8</v>
      </c>
      <c r="AM380" s="1849">
        <v>205301000</v>
      </c>
      <c r="AN380" s="1831">
        <v>1.438819526164627E-2</v>
      </c>
      <c r="AP380" s="1781" t="s">
        <v>457</v>
      </c>
      <c r="AQ380" s="1781" t="s">
        <v>498</v>
      </c>
      <c r="AR380" s="1822" t="s">
        <v>114</v>
      </c>
      <c r="AS380" s="1822"/>
      <c r="AT380" s="1823">
        <v>780550154</v>
      </c>
      <c r="AU380" s="1825">
        <v>1</v>
      </c>
      <c r="AV380" s="1781">
        <v>2008</v>
      </c>
      <c r="EA380" s="169"/>
      <c r="EB380" s="169"/>
      <c r="EC380" s="169"/>
      <c r="ED380" s="169"/>
      <c r="EE380" s="169"/>
      <c r="EF380" s="169"/>
      <c r="EG380" s="169"/>
      <c r="EH380" s="169"/>
      <c r="EI380" s="169"/>
      <c r="EJ380" s="169"/>
      <c r="EK380" s="169"/>
      <c r="EL380" s="169"/>
      <c r="EM380" s="169"/>
      <c r="EN380" s="169"/>
      <c r="EO380" s="169"/>
      <c r="EP380" s="169"/>
      <c r="EQ380" s="169"/>
      <c r="ER380" s="169"/>
      <c r="ES380" s="169"/>
      <c r="ET380" s="169"/>
      <c r="EU380" s="169"/>
      <c r="EV380" s="169"/>
      <c r="EW380" s="169"/>
      <c r="EX380" s="169"/>
    </row>
    <row r="381" spans="1:154">
      <c r="A381" s="333">
        <f t="shared" si="10"/>
        <v>2002</v>
      </c>
      <c r="B381" s="333">
        <f t="shared" si="11"/>
        <v>1</v>
      </c>
      <c r="C381" s="1175">
        <v>37257</v>
      </c>
      <c r="D381" s="1158">
        <v>307.02</v>
      </c>
      <c r="E381" s="1159">
        <v>546.54</v>
      </c>
      <c r="F381" s="1159">
        <v>281.52999999999997</v>
      </c>
      <c r="G381" s="1160"/>
      <c r="H381" s="1161"/>
      <c r="I381" s="1160"/>
      <c r="J381" s="1160"/>
      <c r="K381" s="1677">
        <v>6047.27</v>
      </c>
      <c r="L381" s="1677">
        <v>11708.170377541144</v>
      </c>
      <c r="M381" s="1681">
        <v>20.2</v>
      </c>
      <c r="N381" s="1162">
        <v>2911.81</v>
      </c>
      <c r="O381" s="1162">
        <v>993.35914811229452</v>
      </c>
      <c r="P381" s="1162">
        <v>1535.7792836398839</v>
      </c>
      <c r="Q381" s="1163">
        <v>9.8000000000000007</v>
      </c>
      <c r="R381" s="1164">
        <v>951.17</v>
      </c>
      <c r="S381" s="1164">
        <v>883.35</v>
      </c>
      <c r="T381" s="1164">
        <v>3194.66</v>
      </c>
      <c r="U381" s="1165">
        <v>32013</v>
      </c>
      <c r="V381" s="1166"/>
      <c r="W381" s="1166"/>
      <c r="X381" s="635">
        <v>0.51649999999999996</v>
      </c>
      <c r="AI381" s="1847" t="s">
        <v>1</v>
      </c>
      <c r="AJ381" s="1848">
        <v>2008</v>
      </c>
      <c r="AK381" s="1847" t="s">
        <v>370</v>
      </c>
      <c r="AL381" s="1847">
        <v>9</v>
      </c>
      <c r="AM381" s="1849">
        <v>65019000</v>
      </c>
      <c r="AN381" s="1831">
        <v>4.5567535848192592E-3</v>
      </c>
      <c r="AP381" s="1781" t="s">
        <v>457</v>
      </c>
      <c r="AQ381" s="1781" t="s">
        <v>497</v>
      </c>
      <c r="AR381" s="1822" t="s">
        <v>758</v>
      </c>
      <c r="AS381" s="1822">
        <v>1</v>
      </c>
      <c r="AT381" s="1823">
        <v>140054952.82999998</v>
      </c>
      <c r="AU381" s="1825">
        <v>0.45121652867565121</v>
      </c>
      <c r="AV381" s="1781">
        <v>2007</v>
      </c>
      <c r="EA381" s="169"/>
      <c r="EB381" s="169"/>
      <c r="EC381" s="169"/>
      <c r="ED381" s="169"/>
      <c r="EE381" s="169"/>
      <c r="EF381" s="169"/>
      <c r="EG381" s="169"/>
      <c r="EH381" s="169"/>
      <c r="EI381" s="169"/>
      <c r="EJ381" s="169"/>
      <c r="EK381" s="169"/>
      <c r="EL381" s="169"/>
      <c r="EM381" s="169"/>
      <c r="EN381" s="169"/>
      <c r="EO381" s="169"/>
      <c r="EP381" s="169"/>
      <c r="EQ381" s="169"/>
      <c r="ER381" s="169"/>
      <c r="ES381" s="169"/>
      <c r="ET381" s="169"/>
      <c r="EU381" s="169"/>
      <c r="EV381" s="169"/>
      <c r="EW381" s="169"/>
      <c r="EX381" s="169"/>
    </row>
    <row r="382" spans="1:154">
      <c r="A382" s="333">
        <f t="shared" si="10"/>
        <v>2002</v>
      </c>
      <c r="B382" s="333">
        <f t="shared" si="11"/>
        <v>1</v>
      </c>
      <c r="C382" s="1175">
        <v>37288</v>
      </c>
      <c r="D382" s="1167">
        <v>315.12</v>
      </c>
      <c r="E382" s="1168">
        <v>577.78</v>
      </c>
      <c r="F382" s="1168">
        <v>295.60000000000002</v>
      </c>
      <c r="G382" s="1168"/>
      <c r="H382" s="1167"/>
      <c r="I382" s="1168"/>
      <c r="J382" s="1168"/>
      <c r="K382" s="1678">
        <v>6032.5</v>
      </c>
      <c r="L382" s="1678">
        <v>11763.845553822151</v>
      </c>
      <c r="M382" s="1682">
        <v>20.29</v>
      </c>
      <c r="N382" s="1169">
        <v>3045.83</v>
      </c>
      <c r="O382" s="1169">
        <v>935.93993759750379</v>
      </c>
      <c r="P382" s="1169">
        <v>1503.9976599063962</v>
      </c>
      <c r="Q382" s="1167">
        <v>9.9</v>
      </c>
      <c r="R382" s="1167">
        <v>992.35</v>
      </c>
      <c r="S382" s="1167">
        <v>866.99</v>
      </c>
      <c r="T382" s="1167">
        <v>3085.09</v>
      </c>
      <c r="U382" s="1167">
        <v>30819</v>
      </c>
      <c r="V382" s="1167"/>
      <c r="W382" s="1167"/>
      <c r="X382" s="344">
        <v>0.51280000000000003</v>
      </c>
      <c r="AI382" s="1847" t="s">
        <v>1</v>
      </c>
      <c r="AJ382" s="1848">
        <v>2008</v>
      </c>
      <c r="AK382" s="1847" t="s">
        <v>528</v>
      </c>
      <c r="AL382" s="1847">
        <v>10</v>
      </c>
      <c r="AM382" s="1849">
        <v>36565000</v>
      </c>
      <c r="AN382" s="1831">
        <v>2.5626000834973813E-3</v>
      </c>
      <c r="AP382" s="1781" t="s">
        <v>457</v>
      </c>
      <c r="AQ382" s="1781" t="s">
        <v>497</v>
      </c>
      <c r="AR382" s="1822" t="s">
        <v>18</v>
      </c>
      <c r="AS382" s="1822">
        <v>2</v>
      </c>
      <c r="AT382" s="1823">
        <v>115981906.39999998</v>
      </c>
      <c r="AU382" s="1825">
        <v>0.37366013937768067</v>
      </c>
      <c r="AV382" s="1781">
        <v>2007</v>
      </c>
      <c r="EA382" s="169"/>
      <c r="EB382" s="169"/>
      <c r="EC382" s="169"/>
      <c r="ED382" s="169"/>
      <c r="EE382" s="169"/>
      <c r="EF382" s="169"/>
      <c r="EG382" s="169"/>
      <c r="EH382" s="169"/>
      <c r="EI382" s="169"/>
      <c r="EJ382" s="169"/>
      <c r="EK382" s="169"/>
      <c r="EL382" s="169"/>
      <c r="EM382" s="169"/>
      <c r="EN382" s="169"/>
      <c r="EO382" s="169"/>
      <c r="EP382" s="169"/>
      <c r="EQ382" s="169"/>
      <c r="ER382" s="169"/>
      <c r="ES382" s="169"/>
      <c r="ET382" s="169"/>
      <c r="EU382" s="169"/>
      <c r="EV382" s="169"/>
      <c r="EW382" s="169"/>
      <c r="EX382" s="169"/>
    </row>
    <row r="383" spans="1:154">
      <c r="A383" s="333">
        <f t="shared" si="10"/>
        <v>2002</v>
      </c>
      <c r="B383" s="333">
        <f t="shared" si="11"/>
        <v>1</v>
      </c>
      <c r="C383" s="1175">
        <v>37316</v>
      </c>
      <c r="D383" s="1158">
        <v>302.73</v>
      </c>
      <c r="E383" s="1159">
        <v>561.91999999999996</v>
      </c>
      <c r="F383" s="1159">
        <v>294.06</v>
      </c>
      <c r="G383" s="1160"/>
      <c r="H383" s="1161"/>
      <c r="I383" s="1160"/>
      <c r="J383" s="1160"/>
      <c r="K383" s="1677">
        <v>6541</v>
      </c>
      <c r="L383" s="1677">
        <v>12454.303122619955</v>
      </c>
      <c r="M383" s="1681">
        <v>23.6</v>
      </c>
      <c r="N383" s="1162">
        <v>3055.75</v>
      </c>
      <c r="O383" s="1162">
        <v>914.22315308453915</v>
      </c>
      <c r="P383" s="1162">
        <v>1559.9771515613099</v>
      </c>
      <c r="Q383" s="1163">
        <v>9.9</v>
      </c>
      <c r="R383" s="1164">
        <v>900.72</v>
      </c>
      <c r="S383" s="1164">
        <v>845.35</v>
      </c>
      <c r="T383" s="1164">
        <v>3004.7</v>
      </c>
      <c r="U383" s="1165">
        <v>28922</v>
      </c>
      <c r="V383" s="1166"/>
      <c r="W383" s="1166"/>
      <c r="X383" s="635">
        <v>0.5252</v>
      </c>
      <c r="AI383" s="1847" t="s">
        <v>1</v>
      </c>
      <c r="AJ383" s="1848">
        <v>2008</v>
      </c>
      <c r="AK383" s="1847" t="s">
        <v>39</v>
      </c>
      <c r="AL383" s="1847"/>
      <c r="AM383" s="1849">
        <v>118547000</v>
      </c>
      <c r="AN383" s="1831">
        <v>8.308178643466814E-3</v>
      </c>
      <c r="AP383" s="1781" t="s">
        <v>457</v>
      </c>
      <c r="AQ383" s="1781" t="s">
        <v>497</v>
      </c>
      <c r="AR383" s="1822" t="s">
        <v>23</v>
      </c>
      <c r="AS383" s="1822">
        <v>3</v>
      </c>
      <c r="AT383" s="1823">
        <v>73841134.730000004</v>
      </c>
      <c r="AU383" s="1825">
        <v>0.23789476782576754</v>
      </c>
      <c r="AV383" s="1781">
        <v>2007</v>
      </c>
      <c r="EA383" s="169"/>
      <c r="EB383" s="169"/>
      <c r="EC383" s="169"/>
      <c r="ED383" s="169"/>
      <c r="EE383" s="169"/>
      <c r="EF383" s="169"/>
      <c r="EG383" s="169"/>
      <c r="EH383" s="169"/>
      <c r="EI383" s="169"/>
      <c r="EJ383" s="169"/>
      <c r="EK383" s="169"/>
      <c r="EL383" s="169"/>
      <c r="EM383" s="169"/>
      <c r="EN383" s="169"/>
      <c r="EO383" s="169"/>
      <c r="EP383" s="169"/>
      <c r="EQ383" s="169"/>
      <c r="ER383" s="169"/>
      <c r="ES383" s="169"/>
      <c r="ET383" s="169"/>
      <c r="EU383" s="169"/>
      <c r="EV383" s="169"/>
      <c r="EW383" s="169"/>
      <c r="EX383" s="169"/>
    </row>
    <row r="384" spans="1:154">
      <c r="A384" s="333">
        <f t="shared" si="10"/>
        <v>2002</v>
      </c>
      <c r="B384" s="333">
        <f t="shared" si="11"/>
        <v>2</v>
      </c>
      <c r="C384" s="1175">
        <v>37347</v>
      </c>
      <c r="D384" s="1167">
        <v>299.86</v>
      </c>
      <c r="E384" s="1168">
        <v>566.61</v>
      </c>
      <c r="F384" s="1168">
        <v>302.68</v>
      </c>
      <c r="G384" s="1168"/>
      <c r="H384" s="1167"/>
      <c r="I384" s="1168"/>
      <c r="J384" s="1168"/>
      <c r="K384" s="1678">
        <v>6958.3</v>
      </c>
      <c r="L384" s="1678">
        <v>12994.024276377218</v>
      </c>
      <c r="M384" s="1682">
        <v>26.09</v>
      </c>
      <c r="N384" s="1169">
        <v>2969</v>
      </c>
      <c r="O384" s="1169">
        <v>882.91316526610649</v>
      </c>
      <c r="P384" s="1169">
        <v>1509.0569561157797</v>
      </c>
      <c r="Q384" s="1167">
        <v>9.9</v>
      </c>
      <c r="R384" s="1167">
        <v>949.19</v>
      </c>
      <c r="S384" s="1167">
        <v>864.18</v>
      </c>
      <c r="T384" s="1167">
        <v>2921.5</v>
      </c>
      <c r="U384" s="1167">
        <v>29462</v>
      </c>
      <c r="V384" s="1167"/>
      <c r="W384" s="1167"/>
      <c r="X384" s="344">
        <v>0.53549999999999998</v>
      </c>
      <c r="AI384" s="1847" t="s">
        <v>1</v>
      </c>
      <c r="AJ384" s="1848">
        <v>2008</v>
      </c>
      <c r="AK384" s="1847" t="s">
        <v>386</v>
      </c>
      <c r="AL384" s="1847"/>
      <c r="AM384" s="1849">
        <v>14268711000</v>
      </c>
      <c r="AN384" s="1831">
        <v>1</v>
      </c>
      <c r="AP384" s="1781" t="s">
        <v>457</v>
      </c>
      <c r="AQ384" s="1781" t="s">
        <v>497</v>
      </c>
      <c r="AR384" s="1822" t="s">
        <v>63</v>
      </c>
      <c r="AS384" s="1822">
        <v>4</v>
      </c>
      <c r="AT384" s="1823">
        <v>71899286.060000002</v>
      </c>
      <c r="AU384" s="1825">
        <v>0.23163869334652823</v>
      </c>
      <c r="AV384" s="1781">
        <v>2007</v>
      </c>
      <c r="EA384" s="169"/>
      <c r="EB384" s="169"/>
      <c r="EC384" s="169"/>
      <c r="ED384" s="169"/>
      <c r="EE384" s="169"/>
      <c r="EF384" s="169"/>
      <c r="EG384" s="169"/>
      <c r="EH384" s="169"/>
      <c r="EI384" s="169"/>
      <c r="EJ384" s="169"/>
      <c r="EK384" s="169"/>
      <c r="EL384" s="169"/>
      <c r="EM384" s="169"/>
      <c r="EN384" s="169"/>
      <c r="EO384" s="169"/>
      <c r="EP384" s="169"/>
      <c r="EQ384" s="169"/>
      <c r="ER384" s="169"/>
      <c r="ES384" s="169"/>
      <c r="ET384" s="169"/>
      <c r="EU384" s="169"/>
      <c r="EV384" s="169"/>
      <c r="EW384" s="169"/>
      <c r="EX384" s="169"/>
    </row>
    <row r="385" spans="1:154">
      <c r="A385" s="333">
        <f t="shared" si="10"/>
        <v>2002</v>
      </c>
      <c r="B385" s="333">
        <f t="shared" si="11"/>
        <v>2</v>
      </c>
      <c r="C385" s="1175">
        <v>37377</v>
      </c>
      <c r="D385" s="1158">
        <v>291.49</v>
      </c>
      <c r="E385" s="1159">
        <v>573</v>
      </c>
      <c r="F385" s="1159">
        <v>314.49</v>
      </c>
      <c r="G385" s="1160"/>
      <c r="H385" s="1161"/>
      <c r="I385" s="1160"/>
      <c r="J385" s="1160"/>
      <c r="K385" s="1677">
        <v>6964.3</v>
      </c>
      <c r="L385" s="1677">
        <v>12664.666302964175</v>
      </c>
      <c r="M385" s="1681">
        <v>25.98</v>
      </c>
      <c r="N385" s="1162">
        <v>2901.8</v>
      </c>
      <c r="O385" s="1162">
        <v>821.78577923258763</v>
      </c>
      <c r="P385" s="1162">
        <v>1399.3453355155482</v>
      </c>
      <c r="Q385" s="1163">
        <v>9.9</v>
      </c>
      <c r="R385" s="1164">
        <v>912.91</v>
      </c>
      <c r="S385" s="1164">
        <v>844.35</v>
      </c>
      <c r="T385" s="1164">
        <v>2912.17</v>
      </c>
      <c r="U385" s="1165">
        <v>34017</v>
      </c>
      <c r="V385" s="1166"/>
      <c r="W385" s="1166"/>
      <c r="X385" s="635">
        <v>0.54990000000000006</v>
      </c>
      <c r="AI385" s="1850" t="s">
        <v>1</v>
      </c>
      <c r="AJ385" s="1851">
        <v>2009</v>
      </c>
      <c r="AK385" s="1850" t="s">
        <v>21</v>
      </c>
      <c r="AL385" s="1850">
        <v>1</v>
      </c>
      <c r="AM385" s="1852">
        <v>6715194000</v>
      </c>
      <c r="AN385" s="1831">
        <v>0.44851326655899543</v>
      </c>
      <c r="AP385" s="1781" t="s">
        <v>457</v>
      </c>
      <c r="AQ385" s="1781" t="s">
        <v>497</v>
      </c>
      <c r="AR385" s="1822" t="s">
        <v>389</v>
      </c>
      <c r="AS385" s="1822">
        <v>5</v>
      </c>
      <c r="AT385" s="1823">
        <v>70542693.929999992</v>
      </c>
      <c r="AU385" s="1825">
        <v>0.22726814607662693</v>
      </c>
      <c r="AV385" s="1781">
        <v>2007</v>
      </c>
      <c r="EA385" s="169"/>
      <c r="EB385" s="169"/>
      <c r="EC385" s="169"/>
      <c r="ED385" s="169"/>
      <c r="EE385" s="169"/>
      <c r="EF385" s="169"/>
      <c r="EG385" s="169"/>
      <c r="EH385" s="169"/>
      <c r="EI385" s="169"/>
      <c r="EJ385" s="169"/>
      <c r="EK385" s="169"/>
      <c r="EL385" s="169"/>
      <c r="EM385" s="169"/>
      <c r="EN385" s="169"/>
      <c r="EO385" s="169"/>
      <c r="EP385" s="169"/>
      <c r="EQ385" s="169"/>
      <c r="ER385" s="169"/>
      <c r="ES385" s="169"/>
      <c r="ET385" s="169"/>
      <c r="EU385" s="169"/>
      <c r="EV385" s="169"/>
      <c r="EW385" s="169"/>
      <c r="EX385" s="169"/>
    </row>
    <row r="386" spans="1:154">
      <c r="A386" s="333">
        <f t="shared" si="10"/>
        <v>2002</v>
      </c>
      <c r="B386" s="333">
        <f t="shared" si="11"/>
        <v>2</v>
      </c>
      <c r="C386" s="1175">
        <v>37408</v>
      </c>
      <c r="D386" s="1167">
        <v>282.51</v>
      </c>
      <c r="E386" s="1168">
        <v>566.91</v>
      </c>
      <c r="F386" s="1168">
        <v>321.18</v>
      </c>
      <c r="G386" s="1168"/>
      <c r="H386" s="1167"/>
      <c r="I386" s="1168"/>
      <c r="J386" s="1168"/>
      <c r="K386" s="1678">
        <v>7125.6</v>
      </c>
      <c r="L386" s="1678">
        <v>12514.225500526871</v>
      </c>
      <c r="M386" s="1682">
        <v>24.92</v>
      </c>
      <c r="N386" s="1169">
        <v>2892.69</v>
      </c>
      <c r="O386" s="1169">
        <v>772.04074464348435</v>
      </c>
      <c r="P386" s="1169">
        <v>1344.2219880576044</v>
      </c>
      <c r="Q386" s="1167">
        <v>9.9</v>
      </c>
      <c r="R386" s="1167">
        <v>927.18</v>
      </c>
      <c r="S386" s="1167">
        <v>828.69</v>
      </c>
      <c r="T386" s="1167">
        <v>2820.23</v>
      </c>
      <c r="U386" s="1167">
        <v>30878</v>
      </c>
      <c r="V386" s="1167"/>
      <c r="W386" s="1167"/>
      <c r="X386" s="344">
        <v>0.56940000000000002</v>
      </c>
      <c r="AI386" s="1850" t="s">
        <v>1</v>
      </c>
      <c r="AJ386" s="1851">
        <v>2009</v>
      </c>
      <c r="AK386" s="1850" t="s">
        <v>63</v>
      </c>
      <c r="AL386" s="1850">
        <v>2</v>
      </c>
      <c r="AM386" s="1852">
        <v>5594390000</v>
      </c>
      <c r="AN386" s="1831">
        <v>0.37365385621100128</v>
      </c>
      <c r="AP386" s="1781" t="s">
        <v>457</v>
      </c>
      <c r="AQ386" s="1781" t="s">
        <v>497</v>
      </c>
      <c r="AR386" s="1822" t="s">
        <v>27</v>
      </c>
      <c r="AS386" s="1822">
        <v>6</v>
      </c>
      <c r="AT386" s="1823">
        <v>54781947.75</v>
      </c>
      <c r="AU386" s="1825">
        <v>0.17649158275644472</v>
      </c>
      <c r="AV386" s="1781">
        <v>2007</v>
      </c>
      <c r="EA386" s="169"/>
      <c r="EB386" s="169"/>
      <c r="EC386" s="169"/>
      <c r="ED386" s="169"/>
      <c r="EE386" s="169"/>
      <c r="EF386" s="169"/>
      <c r="EG386" s="169"/>
      <c r="EH386" s="169"/>
      <c r="EI386" s="169"/>
      <c r="EJ386" s="169"/>
      <c r="EK386" s="169"/>
      <c r="EL386" s="169"/>
      <c r="EM386" s="169"/>
      <c r="EN386" s="169"/>
      <c r="EO386" s="169"/>
      <c r="EP386" s="169"/>
      <c r="EQ386" s="169"/>
      <c r="ER386" s="169"/>
      <c r="ES386" s="169"/>
      <c r="ET386" s="169"/>
      <c r="EU386" s="169"/>
      <c r="EV386" s="169"/>
      <c r="EW386" s="169"/>
      <c r="EX386" s="169"/>
    </row>
    <row r="387" spans="1:154">
      <c r="A387" s="333">
        <f t="shared" si="10"/>
        <v>2002</v>
      </c>
      <c r="B387" s="333">
        <f t="shared" si="11"/>
        <v>3</v>
      </c>
      <c r="C387" s="1175">
        <v>37438</v>
      </c>
      <c r="D387" s="1158">
        <v>286.62</v>
      </c>
      <c r="E387" s="1159">
        <v>568.16999999999996</v>
      </c>
      <c r="F387" s="1159">
        <v>313.41000000000003</v>
      </c>
      <c r="G387" s="1160"/>
      <c r="H387" s="1161"/>
      <c r="I387" s="1160"/>
      <c r="J387" s="1160"/>
      <c r="K387" s="1677">
        <v>7161.59</v>
      </c>
      <c r="L387" s="1677">
        <v>12934.061766299441</v>
      </c>
      <c r="M387" s="1681">
        <v>26.38</v>
      </c>
      <c r="N387" s="1162">
        <v>2877.1</v>
      </c>
      <c r="O387" s="1162">
        <v>807.04352537475177</v>
      </c>
      <c r="P387" s="1162">
        <v>1438.631027632292</v>
      </c>
      <c r="Q387" s="1163">
        <v>9.85</v>
      </c>
      <c r="R387" s="1164">
        <v>948.66</v>
      </c>
      <c r="S387" s="1164">
        <v>785.48</v>
      </c>
      <c r="T387" s="1164">
        <v>2950</v>
      </c>
      <c r="U387" s="1165">
        <v>28170</v>
      </c>
      <c r="V387" s="1166"/>
      <c r="W387" s="1166"/>
      <c r="X387" s="635">
        <v>0.55369999999999997</v>
      </c>
      <c r="AI387" s="1850" t="s">
        <v>1</v>
      </c>
      <c r="AJ387" s="1851">
        <v>2009</v>
      </c>
      <c r="AK387" s="1850" t="s">
        <v>33</v>
      </c>
      <c r="AL387" s="1850">
        <v>3</v>
      </c>
      <c r="AM387" s="1852">
        <v>1191251000</v>
      </c>
      <c r="AN387" s="1831">
        <v>7.9564622749792466E-2</v>
      </c>
      <c r="AP387" s="1781" t="s">
        <v>457</v>
      </c>
      <c r="AQ387" s="1781" t="s">
        <v>497</v>
      </c>
      <c r="AR387" s="1822" t="s">
        <v>537</v>
      </c>
      <c r="AS387" s="1822">
        <v>7</v>
      </c>
      <c r="AT387" s="1823">
        <v>51427691.280000001</v>
      </c>
      <c r="AU387" s="1825">
        <v>0.16568513907059848</v>
      </c>
      <c r="AV387" s="1781">
        <v>2007</v>
      </c>
      <c r="EA387" s="169"/>
      <c r="EB387" s="169"/>
      <c r="EC387" s="169"/>
      <c r="ED387" s="169"/>
      <c r="EE387" s="169"/>
      <c r="EF387" s="169"/>
      <c r="EG387" s="169"/>
      <c r="EH387" s="169"/>
      <c r="EI387" s="169"/>
      <c r="EJ387" s="169"/>
      <c r="EK387" s="169"/>
      <c r="EL387" s="169"/>
      <c r="EM387" s="169"/>
      <c r="EN387" s="169"/>
      <c r="EO387" s="169"/>
      <c r="EP387" s="169"/>
      <c r="EQ387" s="169"/>
      <c r="ER387" s="169"/>
      <c r="ES387" s="169"/>
      <c r="ET387" s="169"/>
      <c r="EU387" s="169"/>
      <c r="EV387" s="169"/>
      <c r="EW387" s="169"/>
      <c r="EX387" s="169"/>
    </row>
    <row r="388" spans="1:154">
      <c r="A388" s="333">
        <f t="shared" si="10"/>
        <v>2002</v>
      </c>
      <c r="B388" s="333">
        <f t="shared" si="11"/>
        <v>3</v>
      </c>
      <c r="C388" s="1175">
        <v>37469</v>
      </c>
      <c r="D388" s="1167">
        <v>294.66000000000003</v>
      </c>
      <c r="E388" s="1168">
        <v>573.91999999999996</v>
      </c>
      <c r="F388" s="1168">
        <v>310.13</v>
      </c>
      <c r="G388" s="1168"/>
      <c r="H388" s="1167"/>
      <c r="I388" s="1168"/>
      <c r="J388" s="1168"/>
      <c r="K388" s="1678">
        <v>6720.24</v>
      </c>
      <c r="L388" s="1678">
        <v>12405.833487170021</v>
      </c>
      <c r="M388" s="1682">
        <v>27.35</v>
      </c>
      <c r="N388" s="1169">
        <v>2731.31</v>
      </c>
      <c r="O388" s="1169">
        <v>781.31807273398567</v>
      </c>
      <c r="P388" s="1169">
        <v>1380.0996861731587</v>
      </c>
      <c r="Q388" s="1167">
        <v>9.85</v>
      </c>
      <c r="R388" s="1167">
        <v>928.76</v>
      </c>
      <c r="S388" s="1167">
        <v>804.4</v>
      </c>
      <c r="T388" s="1167">
        <v>2992.27</v>
      </c>
      <c r="U388" s="1167">
        <v>28163</v>
      </c>
      <c r="V388" s="1167"/>
      <c r="W388" s="1167"/>
      <c r="X388" s="344">
        <v>0.54169999999999996</v>
      </c>
      <c r="AI388" s="1850" t="s">
        <v>1</v>
      </c>
      <c r="AJ388" s="1851">
        <v>2009</v>
      </c>
      <c r="AK388" s="1850" t="s">
        <v>61</v>
      </c>
      <c r="AL388" s="1850">
        <v>4</v>
      </c>
      <c r="AM388" s="1852">
        <v>616096000</v>
      </c>
      <c r="AN388" s="1831">
        <v>4.1149552711944114E-2</v>
      </c>
      <c r="AP388" s="1781" t="s">
        <v>457</v>
      </c>
      <c r="AQ388" s="1781" t="s">
        <v>497</v>
      </c>
      <c r="AR388" s="1822" t="s">
        <v>31</v>
      </c>
      <c r="AS388" s="1822">
        <v>8</v>
      </c>
      <c r="AT388" s="1823">
        <v>50189431.959999993</v>
      </c>
      <c r="AU388" s="1825">
        <v>0.16169582587116557</v>
      </c>
      <c r="AV388" s="1781">
        <v>2007</v>
      </c>
      <c r="EA388" s="169"/>
      <c r="EB388" s="169"/>
      <c r="EC388" s="169"/>
      <c r="ED388" s="169"/>
      <c r="EE388" s="169"/>
      <c r="EF388" s="169"/>
      <c r="EG388" s="169"/>
      <c r="EH388" s="169"/>
      <c r="EI388" s="169"/>
      <c r="EJ388" s="169"/>
      <c r="EK388" s="169"/>
      <c r="EL388" s="169"/>
      <c r="EM388" s="169"/>
      <c r="EN388" s="169"/>
      <c r="EO388" s="169"/>
      <c r="EP388" s="169"/>
      <c r="EQ388" s="169"/>
      <c r="ER388" s="169"/>
      <c r="ES388" s="169"/>
      <c r="ET388" s="169"/>
      <c r="EU388" s="169"/>
      <c r="EV388" s="169"/>
      <c r="EW388" s="169"/>
      <c r="EX388" s="169"/>
    </row>
    <row r="389" spans="1:154">
      <c r="A389" s="333">
        <f t="shared" si="10"/>
        <v>2002</v>
      </c>
      <c r="B389" s="333">
        <f t="shared" si="11"/>
        <v>3</v>
      </c>
      <c r="C389" s="1175">
        <v>37500</v>
      </c>
      <c r="D389" s="1158">
        <v>290.14</v>
      </c>
      <c r="E389" s="1159">
        <v>583.26</v>
      </c>
      <c r="F389" s="1159">
        <v>319.14</v>
      </c>
      <c r="G389" s="1160"/>
      <c r="H389" s="1161"/>
      <c r="I389" s="1160"/>
      <c r="J389" s="1160"/>
      <c r="K389" s="1677">
        <v>6643.81</v>
      </c>
      <c r="L389" s="1677">
        <v>12148.125799963429</v>
      </c>
      <c r="M389" s="1681">
        <v>28.01</v>
      </c>
      <c r="N389" s="1162">
        <v>2703.8</v>
      </c>
      <c r="O389" s="1162">
        <v>770.26878771256168</v>
      </c>
      <c r="P389" s="1162">
        <v>1382.7756445419636</v>
      </c>
      <c r="Q389" s="1163">
        <v>9.75</v>
      </c>
      <c r="R389" s="1164">
        <v>896.95</v>
      </c>
      <c r="S389" s="1164">
        <v>821.87</v>
      </c>
      <c r="T389" s="1164">
        <v>3007.69</v>
      </c>
      <c r="U389" s="1165">
        <v>27546</v>
      </c>
      <c r="V389" s="1166"/>
      <c r="W389" s="1166"/>
      <c r="X389" s="635">
        <v>0.54690000000000005</v>
      </c>
      <c r="AI389" s="1850" t="s">
        <v>1</v>
      </c>
      <c r="AJ389" s="1851">
        <v>2009</v>
      </c>
      <c r="AK389" s="1850" t="s">
        <v>371</v>
      </c>
      <c r="AL389" s="1850">
        <v>5</v>
      </c>
      <c r="AM389" s="1852">
        <v>359668000</v>
      </c>
      <c r="AN389" s="1831">
        <v>2.4022518121850352E-2</v>
      </c>
      <c r="AP389" s="1781" t="s">
        <v>457</v>
      </c>
      <c r="AQ389" s="1781" t="s">
        <v>497</v>
      </c>
      <c r="AR389" s="1822" t="s">
        <v>388</v>
      </c>
      <c r="AS389" s="1822">
        <v>9</v>
      </c>
      <c r="AT389" s="1823">
        <v>47892877.800000004</v>
      </c>
      <c r="AU389" s="1825">
        <v>0.15429699294842969</v>
      </c>
      <c r="AV389" s="1781">
        <v>2007</v>
      </c>
      <c r="EA389" s="169"/>
      <c r="EB389" s="169"/>
      <c r="EC389" s="169"/>
      <c r="ED389" s="169"/>
      <c r="EE389" s="169"/>
      <c r="EF389" s="169"/>
      <c r="EG389" s="169"/>
      <c r="EH389" s="169"/>
      <c r="EI389" s="169"/>
      <c r="EJ389" s="169"/>
      <c r="EK389" s="169"/>
      <c r="EL389" s="169"/>
      <c r="EM389" s="169"/>
      <c r="EN389" s="169"/>
      <c r="EO389" s="169"/>
      <c r="EP389" s="169"/>
      <c r="EQ389" s="169"/>
      <c r="ER389" s="169"/>
      <c r="ES389" s="169"/>
      <c r="ET389" s="169"/>
      <c r="EU389" s="169"/>
      <c r="EV389" s="169"/>
      <c r="EW389" s="169"/>
      <c r="EX389" s="169"/>
    </row>
    <row r="390" spans="1:154">
      <c r="A390" s="333">
        <f t="shared" si="10"/>
        <v>2002</v>
      </c>
      <c r="B390" s="333">
        <f t="shared" si="11"/>
        <v>4</v>
      </c>
      <c r="C390" s="1175">
        <v>37530</v>
      </c>
      <c r="D390" s="1167">
        <v>284.55</v>
      </c>
      <c r="E390" s="1168">
        <v>577.46</v>
      </c>
      <c r="F390" s="1168">
        <v>316.56</v>
      </c>
      <c r="G390" s="1168"/>
      <c r="H390" s="1167"/>
      <c r="I390" s="1168"/>
      <c r="J390" s="1168"/>
      <c r="K390" s="1678">
        <v>6808.04</v>
      </c>
      <c r="L390" s="1678">
        <v>12373.754998182478</v>
      </c>
      <c r="M390" s="1682">
        <v>27.78</v>
      </c>
      <c r="N390" s="1169">
        <v>2696.76</v>
      </c>
      <c r="O390" s="1169">
        <v>759.99636495819698</v>
      </c>
      <c r="P390" s="1169">
        <v>1371.6284987277352</v>
      </c>
      <c r="Q390" s="1167">
        <v>9.9</v>
      </c>
      <c r="R390" s="1167">
        <v>925.76</v>
      </c>
      <c r="S390" s="1167">
        <v>813.83</v>
      </c>
      <c r="T390" s="1167">
        <v>2997.81</v>
      </c>
      <c r="U390" s="1167">
        <v>26526</v>
      </c>
      <c r="V390" s="1167"/>
      <c r="W390" s="1167"/>
      <c r="X390" s="344">
        <v>0.55020000000000002</v>
      </c>
      <c r="AI390" s="1850" t="s">
        <v>1</v>
      </c>
      <c r="AJ390" s="1851">
        <v>2009</v>
      </c>
      <c r="AK390" s="1850" t="s">
        <v>372</v>
      </c>
      <c r="AL390" s="1850">
        <v>6</v>
      </c>
      <c r="AM390" s="1852">
        <v>197867000</v>
      </c>
      <c r="AN390" s="1831">
        <v>1.3215697791341359E-2</v>
      </c>
      <c r="AP390" s="1781" t="s">
        <v>457</v>
      </c>
      <c r="AQ390" s="1781" t="s">
        <v>497</v>
      </c>
      <c r="AR390" s="1822" t="s">
        <v>59</v>
      </c>
      <c r="AS390" s="1822">
        <v>10</v>
      </c>
      <c r="AT390" s="1823">
        <v>37628339.5</v>
      </c>
      <c r="AU390" s="1825">
        <v>0.12122762091553868</v>
      </c>
      <c r="AV390" s="1781">
        <v>2007</v>
      </c>
      <c r="EA390" s="169"/>
      <c r="EB390" s="169"/>
      <c r="EC390" s="169"/>
      <c r="ED390" s="169"/>
      <c r="EE390" s="169"/>
      <c r="EF390" s="169"/>
      <c r="EG390" s="169"/>
      <c r="EH390" s="169"/>
      <c r="EI390" s="169"/>
      <c r="EJ390" s="169"/>
      <c r="EK390" s="169"/>
      <c r="EL390" s="169"/>
      <c r="EM390" s="169"/>
      <c r="EN390" s="169"/>
      <c r="EO390" s="169"/>
      <c r="EP390" s="169"/>
      <c r="EQ390" s="169"/>
      <c r="ER390" s="169"/>
      <c r="ES390" s="169"/>
      <c r="ET390" s="169"/>
      <c r="EU390" s="169"/>
      <c r="EV390" s="169"/>
      <c r="EW390" s="169"/>
      <c r="EX390" s="169"/>
    </row>
    <row r="391" spans="1:154">
      <c r="A391" s="333">
        <f t="shared" si="10"/>
        <v>2002</v>
      </c>
      <c r="B391" s="333">
        <f t="shared" si="11"/>
        <v>4</v>
      </c>
      <c r="C391" s="1175">
        <v>37561</v>
      </c>
      <c r="D391" s="1158">
        <v>281.89</v>
      </c>
      <c r="E391" s="1159">
        <v>569.72</v>
      </c>
      <c r="F391" s="1159">
        <v>319.07</v>
      </c>
      <c r="G391" s="1160"/>
      <c r="H391" s="1161"/>
      <c r="I391" s="1160"/>
      <c r="J391" s="1160"/>
      <c r="K391" s="1677">
        <v>7317.38</v>
      </c>
      <c r="L391" s="1677">
        <v>13029.522792022792</v>
      </c>
      <c r="M391" s="1681">
        <v>26.99</v>
      </c>
      <c r="N391" s="1162">
        <v>2817.47</v>
      </c>
      <c r="O391" s="1162">
        <v>787.33974358974365</v>
      </c>
      <c r="P391" s="1162">
        <v>1362.6424501424501</v>
      </c>
      <c r="Q391" s="1163">
        <v>9.9</v>
      </c>
      <c r="R391" s="1164">
        <v>867.13</v>
      </c>
      <c r="S391" s="1164">
        <v>779.55</v>
      </c>
      <c r="T391" s="1164">
        <v>3032.87</v>
      </c>
      <c r="U391" s="1165">
        <v>27715</v>
      </c>
      <c r="V391" s="1166"/>
      <c r="W391" s="1166"/>
      <c r="X391" s="635">
        <v>0.56159999999999999</v>
      </c>
      <c r="AI391" s="1850" t="s">
        <v>1</v>
      </c>
      <c r="AJ391" s="1851">
        <v>2009</v>
      </c>
      <c r="AK391" s="1850" t="s">
        <v>34</v>
      </c>
      <c r="AL391" s="1850">
        <v>7</v>
      </c>
      <c r="AM391" s="1852">
        <v>166148000</v>
      </c>
      <c r="AN391" s="1831">
        <v>1.1097159994520482E-2</v>
      </c>
      <c r="AP391" s="1781" t="s">
        <v>457</v>
      </c>
      <c r="AQ391" s="1781" t="s">
        <v>497</v>
      </c>
      <c r="AR391" s="1822" t="s">
        <v>70</v>
      </c>
      <c r="AS391" s="1822">
        <v>11</v>
      </c>
      <c r="AT391" s="1823">
        <v>33495076.539999999</v>
      </c>
      <c r="AU391" s="1825">
        <v>0.10791144374914745</v>
      </c>
      <c r="AV391" s="1781">
        <v>2007</v>
      </c>
      <c r="EA391" s="169"/>
      <c r="EB391" s="169"/>
      <c r="EC391" s="169"/>
      <c r="ED391" s="169"/>
      <c r="EE391" s="169"/>
      <c r="EF391" s="169"/>
      <c r="EG391" s="169"/>
      <c r="EH391" s="169"/>
      <c r="EI391" s="169"/>
      <c r="EJ391" s="169"/>
      <c r="EK391" s="169"/>
      <c r="EL391" s="169"/>
      <c r="EM391" s="169"/>
      <c r="EN391" s="169"/>
      <c r="EO391" s="169"/>
      <c r="EP391" s="169"/>
      <c r="EQ391" s="169"/>
      <c r="ER391" s="169"/>
      <c r="ES391" s="169"/>
      <c r="ET391" s="169"/>
      <c r="EU391" s="169"/>
      <c r="EV391" s="169"/>
      <c r="EW391" s="169"/>
      <c r="EX391" s="169"/>
    </row>
    <row r="392" spans="1:154">
      <c r="A392" s="333">
        <f t="shared" si="10"/>
        <v>2002</v>
      </c>
      <c r="B392" s="333">
        <f t="shared" si="11"/>
        <v>4</v>
      </c>
      <c r="C392" s="1175">
        <v>37591</v>
      </c>
      <c r="D392" s="1167">
        <v>271.63</v>
      </c>
      <c r="E392" s="1168">
        <v>592.69000000000005</v>
      </c>
      <c r="F392" s="1168">
        <v>331.92</v>
      </c>
      <c r="G392" s="1168"/>
      <c r="H392" s="1167"/>
      <c r="I392" s="1168"/>
      <c r="J392" s="1168"/>
      <c r="K392" s="1678">
        <v>7196.58</v>
      </c>
      <c r="L392" s="1678">
        <v>12768.949609652236</v>
      </c>
      <c r="M392" s="1682">
        <v>30.55</v>
      </c>
      <c r="N392" s="1169">
        <v>2831.23</v>
      </c>
      <c r="O392" s="1169">
        <v>787.10078069552878</v>
      </c>
      <c r="P392" s="1169">
        <v>1415.4364797728886</v>
      </c>
      <c r="Q392" s="1167">
        <v>10.199999999999999</v>
      </c>
      <c r="R392" s="1167">
        <v>861.08</v>
      </c>
      <c r="S392" s="1167">
        <v>785.48</v>
      </c>
      <c r="T392" s="1167">
        <v>3016.5</v>
      </c>
      <c r="U392" s="1167">
        <v>26795</v>
      </c>
      <c r="V392" s="1167"/>
      <c r="W392" s="1167"/>
      <c r="X392" s="344">
        <v>0.56359999999999999</v>
      </c>
      <c r="AI392" s="1850" t="s">
        <v>1</v>
      </c>
      <c r="AJ392" s="1851">
        <v>2009</v>
      </c>
      <c r="AK392" s="1850" t="s">
        <v>529</v>
      </c>
      <c r="AL392" s="1850">
        <v>8</v>
      </c>
      <c r="AM392" s="1852">
        <v>47306000</v>
      </c>
      <c r="AN392" s="1831">
        <v>3.1596061986950545E-3</v>
      </c>
      <c r="AP392" s="1781" t="s">
        <v>457</v>
      </c>
      <c r="AQ392" s="1781" t="s">
        <v>497</v>
      </c>
      <c r="AR392" s="1822" t="s">
        <v>390</v>
      </c>
      <c r="AS392" s="1822">
        <v>12</v>
      </c>
      <c r="AT392" s="1823">
        <v>29373214.029999997</v>
      </c>
      <c r="AU392" s="1825">
        <v>9.4631995533574417E-2</v>
      </c>
      <c r="AV392" s="1781">
        <v>2007</v>
      </c>
      <c r="EA392" s="169"/>
      <c r="EB392" s="169"/>
      <c r="EC392" s="169"/>
      <c r="ED392" s="169"/>
      <c r="EE392" s="169"/>
      <c r="EF392" s="169"/>
      <c r="EG392" s="169"/>
      <c r="EH392" s="169"/>
      <c r="EI392" s="169"/>
      <c r="EJ392" s="169"/>
      <c r="EK392" s="169"/>
      <c r="EL392" s="169"/>
      <c r="EM392" s="169"/>
      <c r="EN392" s="169"/>
      <c r="EO392" s="169"/>
      <c r="EP392" s="169"/>
      <c r="EQ392" s="169"/>
      <c r="ER392" s="169"/>
      <c r="ES392" s="169"/>
      <c r="ET392" s="169"/>
      <c r="EU392" s="169"/>
      <c r="EV392" s="169"/>
      <c r="EW392" s="169"/>
      <c r="EX392" s="169"/>
    </row>
    <row r="393" spans="1:154">
      <c r="A393" s="333">
        <f t="shared" ref="A393:A457" si="12">YEAR(C393)</f>
        <v>2003</v>
      </c>
      <c r="B393" s="333">
        <f t="shared" ref="B393:B456" si="13">IF(OR(MONTH(C393)=1,MONTH(C393)=2,MONTH(C393)=3),1,IF(OR(MONTH(C393)=4,MONTH(C393)=5,MONTH(C393)=6),2,IF(OR(MONTH(C393)=7,MONTH(C393)=8,MONTH(C393)=9),3,4)))</f>
        <v>1</v>
      </c>
      <c r="C393" s="1175">
        <v>37622</v>
      </c>
      <c r="D393" s="1158">
        <v>271.51</v>
      </c>
      <c r="E393" s="1159">
        <v>612.9</v>
      </c>
      <c r="F393" s="1159">
        <v>356.86</v>
      </c>
      <c r="G393" s="1160"/>
      <c r="H393" s="1161"/>
      <c r="I393" s="1160"/>
      <c r="J393" s="1160"/>
      <c r="K393" s="1677">
        <v>8030</v>
      </c>
      <c r="L393" s="1677">
        <v>13794.880604707096</v>
      </c>
      <c r="M393" s="1681">
        <v>31.82</v>
      </c>
      <c r="N393" s="1162">
        <v>2830.54</v>
      </c>
      <c r="O393" s="1162">
        <v>763.88936608830113</v>
      </c>
      <c r="P393" s="1162">
        <v>1342.3982133654013</v>
      </c>
      <c r="Q393" s="1163">
        <v>10.199999999999999</v>
      </c>
      <c r="R393" s="1164">
        <v>843.67</v>
      </c>
      <c r="S393" s="1164">
        <v>746.15</v>
      </c>
      <c r="T393" s="1164">
        <v>2945.28</v>
      </c>
      <c r="U393" s="1165">
        <v>30280</v>
      </c>
      <c r="V393" s="1166"/>
      <c r="W393" s="1166"/>
      <c r="X393" s="635">
        <v>0.58209999999999995</v>
      </c>
      <c r="AI393" s="1850" t="s">
        <v>1</v>
      </c>
      <c r="AJ393" s="1851">
        <v>2009</v>
      </c>
      <c r="AK393" s="1850" t="s">
        <v>370</v>
      </c>
      <c r="AL393" s="1850">
        <v>9</v>
      </c>
      <c r="AM393" s="1852">
        <v>41034000</v>
      </c>
      <c r="AN393" s="1831">
        <v>2.7406942197026351E-3</v>
      </c>
      <c r="AP393" s="1781" t="s">
        <v>457</v>
      </c>
      <c r="AQ393" s="1781" t="s">
        <v>497</v>
      </c>
      <c r="AR393" s="1822" t="s">
        <v>25</v>
      </c>
      <c r="AS393" s="1822"/>
      <c r="AT393" s="1823">
        <v>29104850.5</v>
      </c>
      <c r="AU393" s="1825">
        <v>9.3767405899413306E-2</v>
      </c>
      <c r="AV393" s="1781">
        <v>2007</v>
      </c>
      <c r="EA393" s="169"/>
      <c r="EB393" s="169"/>
      <c r="EC393" s="169"/>
      <c r="ED393" s="169"/>
      <c r="EE393" s="169"/>
      <c r="EF393" s="169"/>
      <c r="EG393" s="169"/>
      <c r="EH393" s="169"/>
      <c r="EI393" s="169"/>
      <c r="EJ393" s="169"/>
      <c r="EK393" s="169"/>
      <c r="EL393" s="169"/>
      <c r="EM393" s="169"/>
      <c r="EN393" s="169"/>
      <c r="EO393" s="169"/>
      <c r="EP393" s="169"/>
      <c r="EQ393" s="169"/>
      <c r="ER393" s="169"/>
      <c r="ES393" s="169"/>
      <c r="ET393" s="169"/>
      <c r="EU393" s="169"/>
      <c r="EV393" s="169"/>
      <c r="EW393" s="169"/>
      <c r="EX393" s="169"/>
    </row>
    <row r="394" spans="1:154">
      <c r="A394" s="333">
        <f t="shared" si="12"/>
        <v>2003</v>
      </c>
      <c r="B394" s="333">
        <f t="shared" si="13"/>
        <v>1</v>
      </c>
      <c r="C394" s="1175">
        <v>37653</v>
      </c>
      <c r="D394" s="1167">
        <v>277.81</v>
      </c>
      <c r="E394" s="1168">
        <v>604.77</v>
      </c>
      <c r="F394" s="1168">
        <v>358.97</v>
      </c>
      <c r="G394" s="1168"/>
      <c r="H394" s="1167"/>
      <c r="I394" s="1168"/>
      <c r="J394" s="1168"/>
      <c r="K394" s="1678">
        <v>8626.5</v>
      </c>
      <c r="L394" s="1678">
        <v>14495.88304486641</v>
      </c>
      <c r="M394" s="1682">
        <v>33.880000000000003</v>
      </c>
      <c r="N394" s="1169">
        <v>2829.44</v>
      </c>
      <c r="O394" s="1169">
        <v>799.57990253738865</v>
      </c>
      <c r="P394" s="1169">
        <v>1319.35809107713</v>
      </c>
      <c r="Q394" s="1167">
        <v>10.199999999999999</v>
      </c>
      <c r="R394" s="1167">
        <v>816.19</v>
      </c>
      <c r="S394" s="1167">
        <v>754.09</v>
      </c>
      <c r="T394" s="1167">
        <v>2892.14</v>
      </c>
      <c r="U394" s="1167">
        <v>28711</v>
      </c>
      <c r="V394" s="1167"/>
      <c r="W394" s="1167"/>
      <c r="X394" s="344">
        <v>0.59509999999999996</v>
      </c>
      <c r="AI394" s="1850" t="s">
        <v>1</v>
      </c>
      <c r="AJ394" s="1851">
        <v>2009</v>
      </c>
      <c r="AK394" s="1850" t="s">
        <v>527</v>
      </c>
      <c r="AL394" s="1850">
        <v>10</v>
      </c>
      <c r="AM394" s="1852">
        <v>19093000</v>
      </c>
      <c r="AN394" s="1831">
        <v>1.2752369921719164E-3</v>
      </c>
      <c r="AP394" s="1781" t="s">
        <v>457</v>
      </c>
      <c r="AQ394" s="1781" t="s">
        <v>497</v>
      </c>
      <c r="AR394" s="1822" t="s">
        <v>386</v>
      </c>
      <c r="AS394" s="1822"/>
      <c r="AT394" s="1823">
        <v>806213403.55999982</v>
      </c>
      <c r="AU394" s="1825"/>
      <c r="AV394" s="1781">
        <v>2007</v>
      </c>
      <c r="EA394" s="169"/>
      <c r="EB394" s="169"/>
      <c r="EC394" s="169"/>
      <c r="ED394" s="169"/>
      <c r="EE394" s="169"/>
      <c r="EF394" s="169"/>
      <c r="EG394" s="169"/>
      <c r="EH394" s="169"/>
      <c r="EI394" s="169"/>
      <c r="EJ394" s="169"/>
      <c r="EK394" s="169"/>
      <c r="EL394" s="169"/>
      <c r="EM394" s="169"/>
      <c r="EN394" s="169"/>
      <c r="EO394" s="169"/>
      <c r="EP394" s="169"/>
      <c r="EQ394" s="169"/>
      <c r="ER394" s="169"/>
      <c r="ES394" s="169"/>
      <c r="ET394" s="169"/>
      <c r="EU394" s="169"/>
      <c r="EV394" s="169"/>
      <c r="EW394" s="169"/>
      <c r="EX394" s="169"/>
    </row>
    <row r="395" spans="1:154">
      <c r="A395" s="333">
        <f t="shared" si="12"/>
        <v>2003</v>
      </c>
      <c r="B395" s="333">
        <f t="shared" si="13"/>
        <v>1</v>
      </c>
      <c r="C395" s="1175">
        <v>37681</v>
      </c>
      <c r="D395" s="1158">
        <v>279.07</v>
      </c>
      <c r="E395" s="1159">
        <v>567.21</v>
      </c>
      <c r="F395" s="1159">
        <v>340.55</v>
      </c>
      <c r="G395" s="1160"/>
      <c r="H395" s="1161"/>
      <c r="I395" s="1160"/>
      <c r="J395" s="1160"/>
      <c r="K395" s="1677">
        <v>8382.3799999999992</v>
      </c>
      <c r="L395" s="1677">
        <v>13914.973439575031</v>
      </c>
      <c r="M395" s="1681">
        <v>31.26</v>
      </c>
      <c r="N395" s="1162">
        <v>2753.95</v>
      </c>
      <c r="O395" s="1162">
        <v>758.08432934926952</v>
      </c>
      <c r="P395" s="1162">
        <v>1312.9980079681275</v>
      </c>
      <c r="Q395" s="1163">
        <v>10.1</v>
      </c>
      <c r="R395" s="1164">
        <v>785.51</v>
      </c>
      <c r="S395" s="1164">
        <v>736.47</v>
      </c>
      <c r="T395" s="1164">
        <v>2963.93</v>
      </c>
      <c r="U395" s="1165">
        <v>34928</v>
      </c>
      <c r="V395" s="1166"/>
      <c r="W395" s="1166"/>
      <c r="X395" s="635">
        <v>0.60240000000000005</v>
      </c>
      <c r="AI395" s="1850" t="s">
        <v>1</v>
      </c>
      <c r="AJ395" s="1851">
        <v>2009</v>
      </c>
      <c r="AK395" s="1850" t="s">
        <v>39</v>
      </c>
      <c r="AL395" s="1850"/>
      <c r="AM395" s="1852">
        <v>24072000</v>
      </c>
      <c r="AN395" s="1831">
        <v>1.6077884499849354E-3</v>
      </c>
      <c r="AP395" s="1781" t="s">
        <v>457</v>
      </c>
      <c r="AQ395" s="1781" t="s">
        <v>496</v>
      </c>
      <c r="AR395" s="1822" t="s">
        <v>18</v>
      </c>
      <c r="AS395" s="1822">
        <v>1</v>
      </c>
      <c r="AT395" s="1823">
        <v>310394109.98765945</v>
      </c>
      <c r="AU395" s="1825">
        <v>2.0534176722264399</v>
      </c>
      <c r="AV395" s="1781">
        <v>2006</v>
      </c>
      <c r="EA395" s="169"/>
      <c r="EB395" s="169"/>
      <c r="EC395" s="169"/>
      <c r="ED395" s="169"/>
      <c r="EE395" s="169"/>
      <c r="EF395" s="169"/>
      <c r="EG395" s="169"/>
      <c r="EH395" s="169"/>
      <c r="EI395" s="169"/>
      <c r="EJ395" s="169"/>
      <c r="EK395" s="169"/>
      <c r="EL395" s="169"/>
      <c r="EM395" s="169"/>
      <c r="EN395" s="169"/>
      <c r="EO395" s="169"/>
      <c r="EP395" s="169"/>
      <c r="EQ395" s="169"/>
      <c r="ER395" s="169"/>
      <c r="ES395" s="169"/>
      <c r="ET395" s="169"/>
      <c r="EU395" s="169"/>
      <c r="EV395" s="169"/>
      <c r="EW395" s="169"/>
      <c r="EX395" s="169"/>
    </row>
    <row r="396" spans="1:154">
      <c r="A396" s="333">
        <f t="shared" si="12"/>
        <v>2003</v>
      </c>
      <c r="B396" s="333">
        <f t="shared" si="13"/>
        <v>2</v>
      </c>
      <c r="C396" s="1175">
        <v>37712</v>
      </c>
      <c r="D396" s="1167">
        <v>283.14999999999998</v>
      </c>
      <c r="E396" s="1168">
        <v>541.45000000000005</v>
      </c>
      <c r="F396" s="1168">
        <v>328.18</v>
      </c>
      <c r="G396" s="1168"/>
      <c r="H396" s="1167"/>
      <c r="I396" s="1168"/>
      <c r="J396" s="1168"/>
      <c r="K396" s="1678">
        <v>7913.75</v>
      </c>
      <c r="L396" s="1678">
        <v>12984.003281378178</v>
      </c>
      <c r="M396" s="1682">
        <v>27.62</v>
      </c>
      <c r="N396" s="1169">
        <v>2604.56</v>
      </c>
      <c r="O396" s="1169">
        <v>717.60459392945029</v>
      </c>
      <c r="P396" s="1169">
        <v>1238.1460213289581</v>
      </c>
      <c r="Q396" s="1167">
        <v>10.75</v>
      </c>
      <c r="R396" s="1167">
        <v>802.21</v>
      </c>
      <c r="S396" s="1167">
        <v>729.27</v>
      </c>
      <c r="T396" s="1167">
        <v>2908.08</v>
      </c>
      <c r="U396" s="1167">
        <v>34521</v>
      </c>
      <c r="V396" s="1167"/>
      <c r="W396" s="1167"/>
      <c r="X396" s="344">
        <v>0.60950000000000004</v>
      </c>
      <c r="AI396" s="1850" t="s">
        <v>1</v>
      </c>
      <c r="AJ396" s="1851">
        <v>2009</v>
      </c>
      <c r="AK396" s="1850" t="s">
        <v>386</v>
      </c>
      <c r="AL396" s="1850"/>
      <c r="AM396" s="1852">
        <v>14972119000</v>
      </c>
      <c r="AN396" s="1831">
        <v>1</v>
      </c>
      <c r="AP396" s="1781" t="s">
        <v>457</v>
      </c>
      <c r="AQ396" s="1781" t="s">
        <v>496</v>
      </c>
      <c r="AR396" s="1822" t="s">
        <v>389</v>
      </c>
      <c r="AS396" s="1822">
        <v>2</v>
      </c>
      <c r="AT396" s="1823">
        <v>218404553.71602443</v>
      </c>
      <c r="AU396" s="1825">
        <v>1.4448591512031064</v>
      </c>
      <c r="AV396" s="1781">
        <v>2006</v>
      </c>
      <c r="EA396" s="169"/>
      <c r="EB396" s="169"/>
      <c r="EC396" s="169"/>
      <c r="ED396" s="169"/>
      <c r="EE396" s="169"/>
      <c r="EF396" s="169"/>
      <c r="EG396" s="169"/>
      <c r="EH396" s="169"/>
      <c r="EI396" s="169"/>
      <c r="EJ396" s="169"/>
      <c r="EK396" s="169"/>
      <c r="EL396" s="169"/>
      <c r="EM396" s="169"/>
      <c r="EN396" s="169"/>
      <c r="EO396" s="169"/>
      <c r="EP396" s="169"/>
      <c r="EQ396" s="169"/>
      <c r="ER396" s="169"/>
      <c r="ES396" s="169"/>
      <c r="ET396" s="169"/>
      <c r="EU396" s="169"/>
      <c r="EV396" s="169"/>
      <c r="EW396" s="169"/>
      <c r="EX396" s="169"/>
    </row>
    <row r="397" spans="1:154">
      <c r="A397" s="333">
        <f t="shared" si="12"/>
        <v>2003</v>
      </c>
      <c r="B397" s="333">
        <f t="shared" si="13"/>
        <v>2</v>
      </c>
      <c r="C397" s="1175">
        <v>37742</v>
      </c>
      <c r="D397" s="1158">
        <v>279.72000000000003</v>
      </c>
      <c r="E397" s="1159">
        <v>550.19000000000005</v>
      </c>
      <c r="F397" s="1159">
        <v>356.52</v>
      </c>
      <c r="G397" s="1160"/>
      <c r="H397" s="1161"/>
      <c r="I397" s="1160"/>
      <c r="J397" s="1160"/>
      <c r="K397" s="1677">
        <v>8333.75</v>
      </c>
      <c r="L397" s="1677">
        <v>12872.644423849244</v>
      </c>
      <c r="M397" s="1681">
        <v>26.79</v>
      </c>
      <c r="N397" s="1162">
        <v>2546</v>
      </c>
      <c r="O397" s="1162">
        <v>715.94068582020395</v>
      </c>
      <c r="P397" s="1162">
        <v>1198.1000926784059</v>
      </c>
      <c r="Q397" s="1163">
        <v>11</v>
      </c>
      <c r="R397" s="1164">
        <v>747.94</v>
      </c>
      <c r="S397" s="1164">
        <v>705.57</v>
      </c>
      <c r="T397" s="1164">
        <v>2797.22</v>
      </c>
      <c r="U397" s="1165">
        <v>35382</v>
      </c>
      <c r="V397" s="1166"/>
      <c r="W397" s="1166"/>
      <c r="X397" s="635">
        <v>0.64739999999999998</v>
      </c>
      <c r="AI397" s="1853" t="s">
        <v>1</v>
      </c>
      <c r="AJ397" s="1854">
        <v>2010</v>
      </c>
      <c r="AK397" s="1853" t="s">
        <v>21</v>
      </c>
      <c r="AL397" s="1853">
        <v>1</v>
      </c>
      <c r="AM397" s="1855">
        <v>5307039000</v>
      </c>
      <c r="AN397" s="1831">
        <v>0.3723641589466164</v>
      </c>
      <c r="AP397" s="1781" t="s">
        <v>457</v>
      </c>
      <c r="AQ397" s="1781" t="s">
        <v>496</v>
      </c>
      <c r="AR397" s="1822" t="s">
        <v>390</v>
      </c>
      <c r="AS397" s="1822">
        <v>3</v>
      </c>
      <c r="AT397" s="1823">
        <v>178580050.71683997</v>
      </c>
      <c r="AU397" s="1825">
        <v>1.1813994539510824</v>
      </c>
      <c r="AV397" s="1781">
        <v>2006</v>
      </c>
      <c r="EA397" s="169"/>
      <c r="EB397" s="169"/>
      <c r="EC397" s="169"/>
      <c r="ED397" s="169"/>
      <c r="EE397" s="169"/>
      <c r="EF397" s="169"/>
      <c r="EG397" s="169"/>
      <c r="EH397" s="169"/>
      <c r="EI397" s="169"/>
      <c r="EJ397" s="169"/>
      <c r="EK397" s="169"/>
      <c r="EL397" s="169"/>
      <c r="EM397" s="169"/>
      <c r="EN397" s="169"/>
      <c r="EO397" s="169"/>
      <c r="EP397" s="169"/>
      <c r="EQ397" s="169"/>
      <c r="ER397" s="169"/>
      <c r="ES397" s="169"/>
      <c r="ET397" s="169"/>
      <c r="EU397" s="169"/>
      <c r="EV397" s="169"/>
      <c r="EW397" s="169"/>
      <c r="EX397" s="169"/>
    </row>
    <row r="398" spans="1:154">
      <c r="A398" s="333">
        <f t="shared" si="12"/>
        <v>2003</v>
      </c>
      <c r="B398" s="333">
        <f t="shared" si="13"/>
        <v>2</v>
      </c>
      <c r="C398" s="1175">
        <v>37773</v>
      </c>
      <c r="D398" s="1167">
        <v>259.86</v>
      </c>
      <c r="E398" s="1168">
        <v>538.96</v>
      </c>
      <c r="F398" s="1168">
        <v>356.35</v>
      </c>
      <c r="G398" s="1168"/>
      <c r="H398" s="1167"/>
      <c r="I398" s="1168"/>
      <c r="J398" s="1168"/>
      <c r="K398" s="1678">
        <v>8877.86</v>
      </c>
      <c r="L398" s="1678">
        <v>13354.181708784599</v>
      </c>
      <c r="M398" s="1682">
        <v>27.2</v>
      </c>
      <c r="N398" s="1169">
        <v>2536.85</v>
      </c>
      <c r="O398" s="1169">
        <v>704.00120336943439</v>
      </c>
      <c r="P398" s="1169">
        <v>1189.3652226233455</v>
      </c>
      <c r="Q398" s="1167">
        <v>10.9</v>
      </c>
      <c r="R398" s="1167">
        <v>756.98</v>
      </c>
      <c r="S398" s="1167">
        <v>703.97</v>
      </c>
      <c r="T398" s="1167">
        <v>2624.7</v>
      </c>
      <c r="U398" s="1167">
        <v>37639</v>
      </c>
      <c r="V398" s="1167"/>
      <c r="W398" s="1167"/>
      <c r="X398" s="344">
        <v>0.66479999999999995</v>
      </c>
      <c r="AI398" s="1853" t="s">
        <v>1</v>
      </c>
      <c r="AJ398" s="1854">
        <v>2010</v>
      </c>
      <c r="AK398" s="1853" t="s">
        <v>63</v>
      </c>
      <c r="AL398" s="1853">
        <v>2</v>
      </c>
      <c r="AM398" s="1855">
        <v>5166965000</v>
      </c>
      <c r="AN398" s="1831">
        <v>0.36253597844892488</v>
      </c>
      <c r="AP398" s="1781" t="s">
        <v>457</v>
      </c>
      <c r="AQ398" s="1781" t="s">
        <v>496</v>
      </c>
      <c r="AR398" s="1822" t="s">
        <v>388</v>
      </c>
      <c r="AS398" s="1822">
        <v>4</v>
      </c>
      <c r="AT398" s="1823">
        <v>129193633.13769048</v>
      </c>
      <c r="AU398" s="1825">
        <v>0.85468274328601235</v>
      </c>
      <c r="AV398" s="1781">
        <v>2006</v>
      </c>
      <c r="EA398" s="169"/>
      <c r="EB398" s="169"/>
      <c r="EC398" s="169"/>
      <c r="ED398" s="169"/>
      <c r="EE398" s="169"/>
      <c r="EF398" s="169"/>
      <c r="EG398" s="169"/>
      <c r="EH398" s="169"/>
      <c r="EI398" s="169"/>
      <c r="EJ398" s="169"/>
      <c r="EK398" s="169"/>
      <c r="EL398" s="169"/>
      <c r="EM398" s="169"/>
      <c r="EN398" s="169"/>
      <c r="EO398" s="169"/>
      <c r="EP398" s="169"/>
      <c r="EQ398" s="169"/>
      <c r="ER398" s="169"/>
      <c r="ES398" s="169"/>
      <c r="ET398" s="169"/>
      <c r="EU398" s="169"/>
      <c r="EV398" s="169"/>
      <c r="EW398" s="169"/>
      <c r="EX398" s="169"/>
    </row>
    <row r="399" spans="1:154">
      <c r="A399" s="333">
        <f t="shared" si="12"/>
        <v>2003</v>
      </c>
      <c r="B399" s="333">
        <f t="shared" si="13"/>
        <v>3</v>
      </c>
      <c r="C399" s="1175">
        <v>37803</v>
      </c>
      <c r="D399" s="1158">
        <v>257.64999999999998</v>
      </c>
      <c r="E399" s="1159">
        <v>530.99</v>
      </c>
      <c r="F399" s="1159">
        <v>351.02</v>
      </c>
      <c r="G399" s="1160"/>
      <c r="H399" s="1161"/>
      <c r="I399" s="1160"/>
      <c r="J399" s="1160"/>
      <c r="K399" s="1677">
        <v>8801.2999999999993</v>
      </c>
      <c r="L399" s="1677">
        <v>13293.007098625583</v>
      </c>
      <c r="M399" s="1681">
        <v>28.56</v>
      </c>
      <c r="N399" s="1162">
        <v>2582.69</v>
      </c>
      <c r="O399" s="1162">
        <v>777.49584654885962</v>
      </c>
      <c r="P399" s="1162">
        <v>1249.8716206011175</v>
      </c>
      <c r="Q399" s="1163">
        <v>10.9</v>
      </c>
      <c r="R399" s="1164">
        <v>691.72</v>
      </c>
      <c r="S399" s="1164">
        <v>690.94</v>
      </c>
      <c r="T399" s="1164">
        <v>2601.7600000000002</v>
      </c>
      <c r="U399" s="1165">
        <v>36024</v>
      </c>
      <c r="V399" s="1166"/>
      <c r="W399" s="1166"/>
      <c r="X399" s="635">
        <v>0.66210000000000002</v>
      </c>
      <c r="AI399" s="1853" t="s">
        <v>1</v>
      </c>
      <c r="AJ399" s="1854">
        <v>2010</v>
      </c>
      <c r="AK399" s="1853" t="s">
        <v>33</v>
      </c>
      <c r="AL399" s="1853">
        <v>3</v>
      </c>
      <c r="AM399" s="1855">
        <v>1614868000</v>
      </c>
      <c r="AN399" s="1831">
        <v>0.11330592532480062</v>
      </c>
      <c r="AP399" s="1781" t="s">
        <v>457</v>
      </c>
      <c r="AQ399" s="1781" t="s">
        <v>496</v>
      </c>
      <c r="AR399" s="1822" t="s">
        <v>23</v>
      </c>
      <c r="AS399" s="1822">
        <v>5</v>
      </c>
      <c r="AT399" s="1823">
        <v>111479920.73463026</v>
      </c>
      <c r="AU399" s="1825">
        <v>0.737497368567959</v>
      </c>
      <c r="AV399" s="1781">
        <v>2006</v>
      </c>
      <c r="EA399" s="169"/>
      <c r="EB399" s="169"/>
      <c r="EC399" s="169"/>
      <c r="ED399" s="169"/>
      <c r="EE399" s="169"/>
      <c r="EF399" s="169"/>
      <c r="EG399" s="169"/>
      <c r="EH399" s="169"/>
      <c r="EI399" s="169"/>
      <c r="EJ399" s="169"/>
      <c r="EK399" s="169"/>
      <c r="EL399" s="169"/>
      <c r="EM399" s="169"/>
      <c r="EN399" s="169"/>
      <c r="EO399" s="169"/>
      <c r="EP399" s="169"/>
      <c r="EQ399" s="169"/>
      <c r="ER399" s="169"/>
      <c r="ES399" s="169"/>
      <c r="ET399" s="169"/>
      <c r="EU399" s="169"/>
      <c r="EV399" s="169"/>
      <c r="EW399" s="169"/>
      <c r="EX399" s="169"/>
    </row>
    <row r="400" spans="1:154">
      <c r="A400" s="333">
        <f t="shared" si="12"/>
        <v>2003</v>
      </c>
      <c r="B400" s="333">
        <f t="shared" si="13"/>
        <v>3</v>
      </c>
      <c r="C400" s="1175">
        <v>37834</v>
      </c>
      <c r="D400" s="1167">
        <v>274.27999999999997</v>
      </c>
      <c r="E400" s="1168">
        <v>553.16999999999996</v>
      </c>
      <c r="F400" s="1168">
        <v>359.77</v>
      </c>
      <c r="G400" s="1168"/>
      <c r="H400" s="1167"/>
      <c r="I400" s="1168"/>
      <c r="J400" s="1168"/>
      <c r="K400" s="1678">
        <v>9355</v>
      </c>
      <c r="L400" s="1678">
        <v>14184.988627748295</v>
      </c>
      <c r="M400" s="1682">
        <v>30.64</v>
      </c>
      <c r="N400" s="1169">
        <v>2669.11</v>
      </c>
      <c r="O400" s="1169">
        <v>752.88855193328277</v>
      </c>
      <c r="P400" s="1169">
        <v>1240.1516300227445</v>
      </c>
      <c r="Q400" s="1167">
        <v>11.3</v>
      </c>
      <c r="R400" s="1167">
        <v>715.83</v>
      </c>
      <c r="S400" s="1167">
        <v>723.62</v>
      </c>
      <c r="T400" s="1167">
        <v>2670.16</v>
      </c>
      <c r="U400" s="1167">
        <v>36187</v>
      </c>
      <c r="V400" s="1167"/>
      <c r="W400" s="1167"/>
      <c r="X400" s="344">
        <v>0.65949999999999998</v>
      </c>
      <c r="AI400" s="1853" t="s">
        <v>1</v>
      </c>
      <c r="AJ400" s="1854">
        <v>2010</v>
      </c>
      <c r="AK400" s="1853" t="s">
        <v>61</v>
      </c>
      <c r="AL400" s="1853">
        <v>4</v>
      </c>
      <c r="AM400" s="1855">
        <v>705352000</v>
      </c>
      <c r="AN400" s="1831">
        <v>4.94904605451955E-2</v>
      </c>
      <c r="AP400" s="1781" t="s">
        <v>457</v>
      </c>
      <c r="AQ400" s="1781" t="s">
        <v>496</v>
      </c>
      <c r="AR400" s="1822" t="s">
        <v>27</v>
      </c>
      <c r="AS400" s="1822">
        <v>6</v>
      </c>
      <c r="AT400" s="1823">
        <v>79607369.788687542</v>
      </c>
      <c r="AU400" s="1825">
        <v>0.52664394942950188</v>
      </c>
      <c r="AV400" s="1781">
        <v>2006</v>
      </c>
      <c r="EA400" s="169"/>
      <c r="EB400" s="169"/>
      <c r="EC400" s="169"/>
      <c r="ED400" s="169"/>
      <c r="EE400" s="169"/>
      <c r="EF400" s="169"/>
      <c r="EG400" s="169"/>
      <c r="EH400" s="169"/>
      <c r="EI400" s="169"/>
      <c r="EJ400" s="169"/>
      <c r="EK400" s="169"/>
      <c r="EL400" s="169"/>
      <c r="EM400" s="169"/>
      <c r="EN400" s="169"/>
      <c r="EO400" s="169"/>
      <c r="EP400" s="169"/>
      <c r="EQ400" s="169"/>
      <c r="ER400" s="169"/>
      <c r="ES400" s="169"/>
      <c r="ET400" s="169"/>
      <c r="EU400" s="169"/>
      <c r="EV400" s="169"/>
      <c r="EW400" s="169"/>
      <c r="EX400" s="169"/>
    </row>
    <row r="401" spans="1:154">
      <c r="A401" s="333">
        <f t="shared" si="12"/>
        <v>2003</v>
      </c>
      <c r="B401" s="333">
        <f t="shared" si="13"/>
        <v>3</v>
      </c>
      <c r="C401" s="1175">
        <v>37865</v>
      </c>
      <c r="D401" s="1158">
        <v>278.51</v>
      </c>
      <c r="E401" s="1159">
        <v>574.98</v>
      </c>
      <c r="F401" s="1159">
        <v>378.95</v>
      </c>
      <c r="G401" s="1160"/>
      <c r="H401" s="1161"/>
      <c r="I401" s="1160"/>
      <c r="J401" s="1160"/>
      <c r="K401" s="1677">
        <v>9968</v>
      </c>
      <c r="L401" s="1677">
        <v>15073.340390140633</v>
      </c>
      <c r="M401" s="1681">
        <v>29.42</v>
      </c>
      <c r="N401" s="1162">
        <v>2706.06</v>
      </c>
      <c r="O401" s="1162">
        <v>787.84212913957356</v>
      </c>
      <c r="P401" s="1162">
        <v>1237.2296990775744</v>
      </c>
      <c r="Q401" s="1163">
        <v>12.2</v>
      </c>
      <c r="R401" s="1164">
        <v>718.08</v>
      </c>
      <c r="S401" s="1164">
        <v>677.79</v>
      </c>
      <c r="T401" s="1164">
        <v>2587.36</v>
      </c>
      <c r="U401" s="1165">
        <v>35171</v>
      </c>
      <c r="V401" s="1166"/>
      <c r="W401" s="1166"/>
      <c r="X401" s="635">
        <v>0.6613</v>
      </c>
      <c r="AI401" s="1853" t="s">
        <v>1</v>
      </c>
      <c r="AJ401" s="1854">
        <v>2010</v>
      </c>
      <c r="AK401" s="1853" t="s">
        <v>370</v>
      </c>
      <c r="AL401" s="1853">
        <v>5</v>
      </c>
      <c r="AM401" s="1855">
        <v>501813000</v>
      </c>
      <c r="AN401" s="1831">
        <v>3.5209308937333685E-2</v>
      </c>
      <c r="AP401" s="1781" t="s">
        <v>457</v>
      </c>
      <c r="AQ401" s="1781" t="s">
        <v>496</v>
      </c>
      <c r="AR401" s="1822" t="s">
        <v>385</v>
      </c>
      <c r="AS401" s="1822">
        <v>7</v>
      </c>
      <c r="AT401" s="1823">
        <v>76776845.556884617</v>
      </c>
      <c r="AU401" s="1825">
        <v>0.50791856678780045</v>
      </c>
      <c r="AV401" s="1781">
        <v>2006</v>
      </c>
      <c r="EA401" s="169"/>
      <c r="EB401" s="169"/>
      <c r="EC401" s="169"/>
      <c r="ED401" s="169"/>
      <c r="EE401" s="169"/>
      <c r="EF401" s="169"/>
      <c r="EG401" s="169"/>
      <c r="EH401" s="169"/>
      <c r="EI401" s="169"/>
      <c r="EJ401" s="169"/>
      <c r="EK401" s="169"/>
      <c r="EL401" s="169"/>
      <c r="EM401" s="169"/>
      <c r="EN401" s="169"/>
      <c r="EO401" s="169"/>
      <c r="EP401" s="169"/>
      <c r="EQ401" s="169"/>
      <c r="ER401" s="169"/>
      <c r="ES401" s="169"/>
      <c r="ET401" s="169"/>
      <c r="EU401" s="169"/>
      <c r="EV401" s="169"/>
      <c r="EW401" s="169"/>
      <c r="EX401" s="169"/>
    </row>
    <row r="402" spans="1:154">
      <c r="A402" s="333">
        <f t="shared" si="12"/>
        <v>2003</v>
      </c>
      <c r="B402" s="333">
        <f t="shared" si="13"/>
        <v>4</v>
      </c>
      <c r="C402" s="1175">
        <v>37895</v>
      </c>
      <c r="D402" s="1167">
        <v>267.87</v>
      </c>
      <c r="E402" s="1168">
        <v>547.51</v>
      </c>
      <c r="F402" s="1168">
        <v>378.92</v>
      </c>
      <c r="G402" s="1168"/>
      <c r="H402" s="1167"/>
      <c r="I402" s="1168"/>
      <c r="J402" s="1168"/>
      <c r="K402" s="1678">
        <v>11051.52</v>
      </c>
      <c r="L402" s="1678">
        <v>15938.15979232766</v>
      </c>
      <c r="M402" s="1682">
        <v>31.72</v>
      </c>
      <c r="N402" s="1169">
        <v>2769.74</v>
      </c>
      <c r="O402" s="1169">
        <v>847.02913181424867</v>
      </c>
      <c r="P402" s="1169">
        <v>1295.0100951831555</v>
      </c>
      <c r="Q402" s="1167">
        <v>12.75</v>
      </c>
      <c r="R402" s="1167">
        <v>667.52</v>
      </c>
      <c r="S402" s="1167">
        <v>684.57</v>
      </c>
      <c r="T402" s="1167">
        <v>2495.56</v>
      </c>
      <c r="U402" s="1167">
        <v>35371</v>
      </c>
      <c r="V402" s="1167"/>
      <c r="W402" s="1167"/>
      <c r="X402" s="344">
        <v>0.69340000000000002</v>
      </c>
      <c r="AI402" s="1853" t="s">
        <v>1</v>
      </c>
      <c r="AJ402" s="1854">
        <v>2010</v>
      </c>
      <c r="AK402" s="1853" t="s">
        <v>371</v>
      </c>
      <c r="AL402" s="1853">
        <v>6</v>
      </c>
      <c r="AM402" s="1855">
        <v>465929000</v>
      </c>
      <c r="AN402" s="1831">
        <v>3.2691536695667406E-2</v>
      </c>
      <c r="AP402" s="1781" t="s">
        <v>457</v>
      </c>
      <c r="AQ402" s="1781" t="s">
        <v>496</v>
      </c>
      <c r="AR402" s="1822" t="s">
        <v>70</v>
      </c>
      <c r="AS402" s="1822">
        <v>8</v>
      </c>
      <c r="AT402" s="1823">
        <v>70589148.458777606</v>
      </c>
      <c r="AU402" s="1825">
        <v>0.46698374823682232</v>
      </c>
      <c r="AV402" s="1781">
        <v>2006</v>
      </c>
      <c r="EA402" s="169"/>
      <c r="EB402" s="169"/>
      <c r="EC402" s="169"/>
      <c r="ED402" s="169"/>
      <c r="EE402" s="169"/>
      <c r="EF402" s="169"/>
      <c r="EG402" s="169"/>
      <c r="EH402" s="169"/>
      <c r="EI402" s="169"/>
      <c r="EJ402" s="169"/>
      <c r="EK402" s="169"/>
      <c r="EL402" s="169"/>
      <c r="EM402" s="169"/>
      <c r="EN402" s="169"/>
      <c r="EO402" s="169"/>
      <c r="EP402" s="169"/>
      <c r="EQ402" s="169"/>
      <c r="ER402" s="169"/>
      <c r="ES402" s="169"/>
      <c r="ET402" s="169"/>
      <c r="EU402" s="169"/>
      <c r="EV402" s="169"/>
      <c r="EW402" s="169"/>
      <c r="EX402" s="169"/>
    </row>
    <row r="403" spans="1:154">
      <c r="A403" s="333">
        <f t="shared" si="12"/>
        <v>2003</v>
      </c>
      <c r="B403" s="333">
        <f t="shared" si="13"/>
        <v>4</v>
      </c>
      <c r="C403" s="1175">
        <v>37926</v>
      </c>
      <c r="D403" s="1158">
        <v>265.39999999999998</v>
      </c>
      <c r="E403" s="1159">
        <v>545.57000000000005</v>
      </c>
      <c r="F403" s="1159">
        <v>389.91</v>
      </c>
      <c r="G403" s="1160"/>
      <c r="H403" s="1161"/>
      <c r="I403" s="1160"/>
      <c r="J403" s="1160"/>
      <c r="K403" s="1677">
        <v>12090.75</v>
      </c>
      <c r="L403" s="1677">
        <v>16879.449951137791</v>
      </c>
      <c r="M403" s="1681">
        <v>30.7</v>
      </c>
      <c r="N403" s="1162">
        <v>2869.51</v>
      </c>
      <c r="O403" s="1162">
        <v>868.81195030015351</v>
      </c>
      <c r="P403" s="1162">
        <v>1276.7415887198101</v>
      </c>
      <c r="Q403" s="1163">
        <v>13.75</v>
      </c>
      <c r="R403" s="1164">
        <v>715.54</v>
      </c>
      <c r="S403" s="1164">
        <v>631.67999999999995</v>
      </c>
      <c r="T403" s="1164">
        <v>2414.3200000000002</v>
      </c>
      <c r="U403" s="1165">
        <v>47610</v>
      </c>
      <c r="V403" s="1166"/>
      <c r="W403" s="1166"/>
      <c r="X403" s="635">
        <v>0.71630000000000005</v>
      </c>
      <c r="AI403" s="1853" t="s">
        <v>1</v>
      </c>
      <c r="AJ403" s="1854">
        <v>2010</v>
      </c>
      <c r="AK403" s="1853" t="s">
        <v>18</v>
      </c>
      <c r="AL403" s="1853">
        <v>7</v>
      </c>
      <c r="AM403" s="1855">
        <v>219233000</v>
      </c>
      <c r="AN403" s="1831">
        <v>1.5382308601527811E-2</v>
      </c>
      <c r="AP403" s="1781" t="s">
        <v>457</v>
      </c>
      <c r="AQ403" s="1781" t="s">
        <v>496</v>
      </c>
      <c r="AR403" s="1822" t="s">
        <v>537</v>
      </c>
      <c r="AS403" s="1822">
        <v>9</v>
      </c>
      <c r="AT403" s="1823">
        <v>70087631.639891893</v>
      </c>
      <c r="AU403" s="1825">
        <v>0.46366595493571988</v>
      </c>
      <c r="AV403" s="1781">
        <v>2006</v>
      </c>
      <c r="EA403" s="169"/>
      <c r="EB403" s="169"/>
      <c r="EC403" s="169"/>
      <c r="ED403" s="169"/>
      <c r="EE403" s="169"/>
      <c r="EF403" s="169"/>
      <c r="EG403" s="169"/>
      <c r="EH403" s="169"/>
      <c r="EI403" s="169"/>
      <c r="EJ403" s="169"/>
      <c r="EK403" s="169"/>
      <c r="EL403" s="169"/>
      <c r="EM403" s="169"/>
      <c r="EN403" s="169"/>
      <c r="EO403" s="169"/>
      <c r="EP403" s="169"/>
      <c r="EQ403" s="169"/>
      <c r="ER403" s="169"/>
      <c r="ES403" s="169"/>
      <c r="ET403" s="169"/>
      <c r="EU403" s="169"/>
      <c r="EV403" s="169"/>
      <c r="EW403" s="169"/>
      <c r="EX403" s="169"/>
    </row>
    <row r="404" spans="1:154">
      <c r="A404" s="333">
        <f t="shared" si="12"/>
        <v>2003</v>
      </c>
      <c r="B404" s="333">
        <f t="shared" si="13"/>
        <v>4</v>
      </c>
      <c r="C404" s="1175">
        <v>37956</v>
      </c>
      <c r="D404" s="1167">
        <v>266.69</v>
      </c>
      <c r="E404" s="1168">
        <v>558.87</v>
      </c>
      <c r="F404" s="1168">
        <v>406.95</v>
      </c>
      <c r="G404" s="1168"/>
      <c r="H404" s="1167"/>
      <c r="I404" s="1168"/>
      <c r="J404" s="1168"/>
      <c r="K404" s="1678">
        <v>14169.52</v>
      </c>
      <c r="L404" s="1678">
        <v>19171.31646597213</v>
      </c>
      <c r="M404" s="1682">
        <v>31.32</v>
      </c>
      <c r="N404" s="1169">
        <v>2978.34</v>
      </c>
      <c r="O404" s="1169">
        <v>936.36855635232052</v>
      </c>
      <c r="P404" s="1169">
        <v>1322.9062373156542</v>
      </c>
      <c r="Q404" s="1167">
        <v>15.5</v>
      </c>
      <c r="R404" s="1167">
        <v>699.79</v>
      </c>
      <c r="S404" s="1167">
        <v>627.41</v>
      </c>
      <c r="T404" s="1167">
        <v>2291.42</v>
      </c>
      <c r="U404" s="1167">
        <v>59732</v>
      </c>
      <c r="V404" s="1167"/>
      <c r="W404" s="1167"/>
      <c r="X404" s="344">
        <v>0.73909999999999998</v>
      </c>
      <c r="AI404" s="1853" t="s">
        <v>1</v>
      </c>
      <c r="AJ404" s="1854">
        <v>2010</v>
      </c>
      <c r="AK404" s="1853" t="s">
        <v>758</v>
      </c>
      <c r="AL404" s="1853">
        <v>8</v>
      </c>
      <c r="AM404" s="1855">
        <v>153003000</v>
      </c>
      <c r="AN404" s="1831">
        <v>1.0735333471510036E-2</v>
      </c>
      <c r="AP404" s="1781" t="s">
        <v>457</v>
      </c>
      <c r="AQ404" s="1781" t="s">
        <v>496</v>
      </c>
      <c r="AR404" s="1822" t="s">
        <v>63</v>
      </c>
      <c r="AS404" s="1822">
        <v>10</v>
      </c>
      <c r="AT404" s="1823">
        <v>54329488.910289481</v>
      </c>
      <c r="AU404" s="1825">
        <v>0.35941768565084631</v>
      </c>
      <c r="AV404" s="1781">
        <v>2006</v>
      </c>
      <c r="EA404" s="169"/>
      <c r="EB404" s="169"/>
      <c r="EC404" s="169"/>
      <c r="ED404" s="169"/>
      <c r="EE404" s="169"/>
      <c r="EF404" s="169"/>
      <c r="EG404" s="169"/>
      <c r="EH404" s="169"/>
      <c r="EI404" s="169"/>
      <c r="EJ404" s="169"/>
      <c r="EK404" s="169"/>
      <c r="EL404" s="169"/>
      <c r="EM404" s="169"/>
      <c r="EN404" s="169"/>
      <c r="EO404" s="169"/>
      <c r="EP404" s="169"/>
      <c r="EQ404" s="169"/>
      <c r="ER404" s="169"/>
      <c r="ES404" s="169"/>
      <c r="ET404" s="169"/>
      <c r="EU404" s="169"/>
      <c r="EV404" s="169"/>
      <c r="EW404" s="169"/>
      <c r="EX404" s="169"/>
    </row>
    <row r="405" spans="1:154">
      <c r="A405" s="333">
        <f t="shared" si="12"/>
        <v>2004</v>
      </c>
      <c r="B405" s="333">
        <f t="shared" si="13"/>
        <v>1</v>
      </c>
      <c r="C405" s="1175">
        <v>37987</v>
      </c>
      <c r="D405" s="1158">
        <v>259.39999999999998</v>
      </c>
      <c r="E405" s="1159">
        <v>539.39</v>
      </c>
      <c r="F405" s="1159">
        <v>413.79</v>
      </c>
      <c r="G405" s="1160"/>
      <c r="H405" s="1161"/>
      <c r="I405" s="1160"/>
      <c r="J405" s="1160"/>
      <c r="K405" s="1677">
        <v>15337.14</v>
      </c>
      <c r="L405" s="1677">
        <v>19941.672084254322</v>
      </c>
      <c r="M405" s="1681">
        <v>33.46</v>
      </c>
      <c r="N405" s="1162">
        <v>3151.18</v>
      </c>
      <c r="O405" s="1162">
        <v>986.0616304771811</v>
      </c>
      <c r="P405" s="1162">
        <v>1322.3247952151867</v>
      </c>
      <c r="Q405" s="1163">
        <v>15.5</v>
      </c>
      <c r="R405" s="1164">
        <v>638.47</v>
      </c>
      <c r="S405" s="1164">
        <v>679.09</v>
      </c>
      <c r="T405" s="1164">
        <v>2261.5100000000002</v>
      </c>
      <c r="U405" s="1165">
        <v>76439</v>
      </c>
      <c r="V405" s="1166"/>
      <c r="W405" s="1166"/>
      <c r="X405" s="635">
        <v>0.76910000000000001</v>
      </c>
      <c r="AI405" s="1853" t="s">
        <v>1</v>
      </c>
      <c r="AJ405" s="1854">
        <v>2010</v>
      </c>
      <c r="AK405" s="1853" t="s">
        <v>58</v>
      </c>
      <c r="AL405" s="1853">
        <v>9</v>
      </c>
      <c r="AM405" s="1855">
        <v>29706000</v>
      </c>
      <c r="AN405" s="1831">
        <v>2.0842977987665413E-3</v>
      </c>
      <c r="AP405" s="1781" t="s">
        <v>457</v>
      </c>
      <c r="AQ405" s="1781" t="s">
        <v>496</v>
      </c>
      <c r="AR405" s="1822" t="s">
        <v>392</v>
      </c>
      <c r="AS405" s="1822">
        <v>11</v>
      </c>
      <c r="AT405" s="1823">
        <v>47146821.050734408</v>
      </c>
      <c r="AU405" s="1825">
        <v>0.31190062059722906</v>
      </c>
      <c r="AV405" s="1781">
        <v>2006</v>
      </c>
      <c r="EA405" s="169"/>
      <c r="EB405" s="169"/>
      <c r="EC405" s="169"/>
      <c r="ED405" s="169"/>
      <c r="EE405" s="169"/>
      <c r="EF405" s="169"/>
      <c r="EG405" s="169"/>
      <c r="EH405" s="169"/>
      <c r="EI405" s="169"/>
      <c r="EJ405" s="169"/>
      <c r="EK405" s="169"/>
      <c r="EL405" s="169"/>
      <c r="EM405" s="169"/>
      <c r="EN405" s="169"/>
      <c r="EO405" s="169"/>
      <c r="EP405" s="169"/>
      <c r="EQ405" s="169"/>
      <c r="ER405" s="169"/>
      <c r="ES405" s="169"/>
      <c r="ET405" s="169"/>
      <c r="EU405" s="169"/>
      <c r="EV405" s="169"/>
      <c r="EW405" s="169"/>
      <c r="EX405" s="169"/>
    </row>
    <row r="406" spans="1:154">
      <c r="A406" s="333">
        <f t="shared" si="12"/>
        <v>2004</v>
      </c>
      <c r="B406" s="333">
        <f t="shared" si="13"/>
        <v>1</v>
      </c>
      <c r="C406" s="1175">
        <v>38018</v>
      </c>
      <c r="D406" s="1167">
        <v>270.06</v>
      </c>
      <c r="E406" s="1168">
        <v>521.34</v>
      </c>
      <c r="F406" s="1168">
        <v>404.88</v>
      </c>
      <c r="G406" s="1168"/>
      <c r="H406" s="1167"/>
      <c r="I406" s="1168"/>
      <c r="J406" s="1168"/>
      <c r="K406" s="1678">
        <v>15152.5</v>
      </c>
      <c r="L406" s="1678">
        <v>19483.734087694484</v>
      </c>
      <c r="M406" s="1682">
        <v>34.31</v>
      </c>
      <c r="N406" s="1169">
        <v>3548.32</v>
      </c>
      <c r="O406" s="1169">
        <v>1142.4456731387424</v>
      </c>
      <c r="P406" s="1169">
        <v>1398.5855728429988</v>
      </c>
      <c r="Q406" s="1167">
        <v>16.5</v>
      </c>
      <c r="R406" s="1167">
        <v>673.56</v>
      </c>
      <c r="S406" s="1167">
        <v>746.2</v>
      </c>
      <c r="T406" s="1167">
        <v>2219.73</v>
      </c>
      <c r="U406" s="1167">
        <v>85753</v>
      </c>
      <c r="V406" s="1167"/>
      <c r="W406" s="1167"/>
      <c r="X406" s="344">
        <v>0.77769999999999995</v>
      </c>
      <c r="AI406" s="1853" t="s">
        <v>1</v>
      </c>
      <c r="AJ406" s="1854">
        <v>2010</v>
      </c>
      <c r="AK406" s="1853" t="s">
        <v>527</v>
      </c>
      <c r="AL406" s="1853">
        <v>10</v>
      </c>
      <c r="AM406" s="1855">
        <v>27416000</v>
      </c>
      <c r="AN406" s="1831">
        <v>1.9236217750953847E-3</v>
      </c>
      <c r="AP406" s="1781" t="s">
        <v>457</v>
      </c>
      <c r="AQ406" s="1781" t="s">
        <v>496</v>
      </c>
      <c r="AR406" s="1822" t="s">
        <v>59</v>
      </c>
      <c r="AS406" s="1822">
        <v>12</v>
      </c>
      <c r="AT406" s="1823">
        <v>44366943.154053465</v>
      </c>
      <c r="AU406" s="1825">
        <v>0.29351028967276899</v>
      </c>
      <c r="AV406" s="1781">
        <v>2006</v>
      </c>
      <c r="EA406" s="169"/>
      <c r="EB406" s="169"/>
      <c r="EC406" s="169"/>
      <c r="ED406" s="169"/>
      <c r="EE406" s="169"/>
      <c r="EF406" s="169"/>
      <c r="EG406" s="169"/>
      <c r="EH406" s="169"/>
      <c r="EI406" s="169"/>
      <c r="EJ406" s="169"/>
      <c r="EK406" s="169"/>
      <c r="EL406" s="169"/>
      <c r="EM406" s="169"/>
      <c r="EN406" s="169"/>
      <c r="EO406" s="169"/>
      <c r="EP406" s="169"/>
      <c r="EQ406" s="169"/>
      <c r="ER406" s="169"/>
      <c r="ES406" s="169"/>
      <c r="ET406" s="169"/>
      <c r="EU406" s="169"/>
      <c r="EV406" s="169"/>
      <c r="EW406" s="169"/>
      <c r="EX406" s="169"/>
    </row>
    <row r="407" spans="1:154">
      <c r="A407" s="333">
        <f t="shared" si="12"/>
        <v>2004</v>
      </c>
      <c r="B407" s="333">
        <f t="shared" si="13"/>
        <v>1</v>
      </c>
      <c r="C407" s="1175">
        <v>38047</v>
      </c>
      <c r="D407" s="1158">
        <v>293.98</v>
      </c>
      <c r="E407" s="1159">
        <v>543.39</v>
      </c>
      <c r="F407" s="1159">
        <v>406.67</v>
      </c>
      <c r="G407" s="1160"/>
      <c r="H407" s="1161"/>
      <c r="I407" s="1160"/>
      <c r="J407" s="1160"/>
      <c r="K407" s="1677">
        <v>13722.61</v>
      </c>
      <c r="L407" s="1677">
        <v>18311.462503336003</v>
      </c>
      <c r="M407" s="1681">
        <v>35.79</v>
      </c>
      <c r="N407" s="1162">
        <v>4014.84</v>
      </c>
      <c r="O407" s="1162">
        <v>1182.9196690685883</v>
      </c>
      <c r="P407" s="1162">
        <v>1475.5537763544169</v>
      </c>
      <c r="Q407" s="1163">
        <v>17.5</v>
      </c>
      <c r="R407" s="1164">
        <v>670.31</v>
      </c>
      <c r="S407" s="1164">
        <v>701.5</v>
      </c>
      <c r="T407" s="1164">
        <v>2307.71</v>
      </c>
      <c r="U407" s="1165">
        <v>88991</v>
      </c>
      <c r="V407" s="1166"/>
      <c r="W407" s="1166"/>
      <c r="X407" s="635">
        <v>0.74939999999999996</v>
      </c>
      <c r="AI407" s="1853" t="s">
        <v>1</v>
      </c>
      <c r="AJ407" s="1854">
        <v>2010</v>
      </c>
      <c r="AK407" s="1853" t="s">
        <v>39</v>
      </c>
      <c r="AL407" s="1853"/>
      <c r="AM407" s="1855">
        <v>60958000</v>
      </c>
      <c r="AN407" s="1831">
        <v>4.2770694545617325E-3</v>
      </c>
      <c r="AP407" s="1781" t="s">
        <v>457</v>
      </c>
      <c r="AQ407" s="1781" t="s">
        <v>496</v>
      </c>
      <c r="AR407" s="1822" t="s">
        <v>39</v>
      </c>
      <c r="AS407" s="1822"/>
      <c r="AT407" s="1823">
        <v>17694484.203707457</v>
      </c>
      <c r="AU407" s="1825">
        <v>0.11705817022838814</v>
      </c>
      <c r="AV407" s="1781">
        <v>2006</v>
      </c>
      <c r="EA407" s="169"/>
      <c r="EB407" s="169"/>
      <c r="EC407" s="169"/>
      <c r="ED407" s="169"/>
      <c r="EE407" s="169"/>
      <c r="EF407" s="169"/>
      <c r="EG407" s="169"/>
      <c r="EH407" s="169"/>
      <c r="EI407" s="169"/>
      <c r="EJ407" s="169"/>
      <c r="EK407" s="169"/>
      <c r="EL407" s="169"/>
      <c r="EM407" s="169"/>
      <c r="EN407" s="169"/>
      <c r="EO407" s="169"/>
      <c r="EP407" s="169"/>
      <c r="EQ407" s="169"/>
      <c r="ER407" s="169"/>
      <c r="ES407" s="169"/>
      <c r="ET407" s="169"/>
      <c r="EU407" s="169"/>
      <c r="EV407" s="169"/>
      <c r="EW407" s="169"/>
      <c r="EX407" s="169"/>
    </row>
    <row r="408" spans="1:154">
      <c r="A408" s="333">
        <f t="shared" si="12"/>
        <v>2004</v>
      </c>
      <c r="B408" s="333">
        <f t="shared" si="13"/>
        <v>2</v>
      </c>
      <c r="C408" s="1175">
        <v>38078</v>
      </c>
      <c r="D408" s="1167">
        <v>281.06</v>
      </c>
      <c r="E408" s="1168">
        <v>545.07000000000005</v>
      </c>
      <c r="F408" s="1168">
        <v>403.26</v>
      </c>
      <c r="G408" s="1168"/>
      <c r="H408" s="1167"/>
      <c r="I408" s="1168"/>
      <c r="J408" s="1168"/>
      <c r="K408" s="1678">
        <v>12853.25</v>
      </c>
      <c r="L408" s="1678">
        <v>17257.317400644468</v>
      </c>
      <c r="M408" s="1682">
        <v>35.11</v>
      </c>
      <c r="N408" s="1169">
        <v>3959.09</v>
      </c>
      <c r="O408" s="1169">
        <v>1011.922663802363</v>
      </c>
      <c r="P408" s="1169">
        <v>1386.5870032223415</v>
      </c>
      <c r="Q408" s="1167">
        <v>17.600000000000001</v>
      </c>
      <c r="R408" s="1167">
        <v>679.88</v>
      </c>
      <c r="S408" s="1167">
        <v>736.79</v>
      </c>
      <c r="T408" s="1167">
        <v>2302.1</v>
      </c>
      <c r="U408" s="1167">
        <v>87617</v>
      </c>
      <c r="V408" s="1167"/>
      <c r="W408" s="1167"/>
      <c r="X408" s="344">
        <v>0.74480000000000002</v>
      </c>
      <c r="AI408" s="1853" t="s">
        <v>1</v>
      </c>
      <c r="AJ408" s="1854">
        <v>2010</v>
      </c>
      <c r="AK408" s="1853" t="s">
        <v>386</v>
      </c>
      <c r="AL408" s="1853"/>
      <c r="AM408" s="1855">
        <v>14252282000</v>
      </c>
      <c r="AN408" s="1831">
        <v>1</v>
      </c>
      <c r="AP408" s="1781" t="s">
        <v>457</v>
      </c>
      <c r="AQ408" s="1781" t="s">
        <v>496</v>
      </c>
      <c r="AR408" s="1822" t="s">
        <v>386</v>
      </c>
      <c r="AS408" s="1822"/>
      <c r="AT408" s="1823">
        <v>1408651001.055871</v>
      </c>
      <c r="AU408" s="1825"/>
      <c r="AV408" s="1781">
        <v>2006</v>
      </c>
      <c r="EA408" s="169"/>
      <c r="EB408" s="169"/>
      <c r="EC408" s="169"/>
      <c r="ED408" s="169"/>
      <c r="EE408" s="169"/>
      <c r="EF408" s="169"/>
      <c r="EG408" s="169"/>
      <c r="EH408" s="169"/>
      <c r="EI408" s="169"/>
      <c r="EJ408" s="169"/>
      <c r="EK408" s="169"/>
      <c r="EL408" s="169"/>
      <c r="EM408" s="169"/>
      <c r="EN408" s="169"/>
      <c r="EO408" s="169"/>
      <c r="EP408" s="169"/>
      <c r="EQ408" s="169"/>
      <c r="ER408" s="169"/>
      <c r="ES408" s="169"/>
      <c r="ET408" s="169"/>
      <c r="EU408" s="169"/>
      <c r="EV408" s="169"/>
      <c r="EW408" s="169"/>
      <c r="EX408" s="169"/>
    </row>
    <row r="409" spans="1:154">
      <c r="A409" s="333">
        <f t="shared" si="12"/>
        <v>2004</v>
      </c>
      <c r="B409" s="333">
        <f t="shared" si="13"/>
        <v>2</v>
      </c>
      <c r="C409" s="1175">
        <v>38108</v>
      </c>
      <c r="D409" s="1158">
        <v>312.65602712448384</v>
      </c>
      <c r="E409" s="1159">
        <v>545.96</v>
      </c>
      <c r="F409" s="1159">
        <v>383.78</v>
      </c>
      <c r="G409" s="1160"/>
      <c r="H409" s="1161"/>
      <c r="I409" s="1160"/>
      <c r="J409" s="1160"/>
      <c r="K409" s="1677">
        <v>11123.42</v>
      </c>
      <c r="L409" s="1677">
        <v>15768.953785086474</v>
      </c>
      <c r="M409" s="1681">
        <v>39.72</v>
      </c>
      <c r="N409" s="1162">
        <v>3875.11</v>
      </c>
      <c r="O409" s="1162">
        <v>1146.7110859087043</v>
      </c>
      <c r="P409" s="1162">
        <v>1457.7402891976183</v>
      </c>
      <c r="Q409" s="1163">
        <v>17.850000000000001</v>
      </c>
      <c r="R409" s="1164">
        <v>765</v>
      </c>
      <c r="S409" s="1164">
        <v>794.09</v>
      </c>
      <c r="T409" s="1164">
        <v>2419.27</v>
      </c>
      <c r="U409" s="1165">
        <v>91221</v>
      </c>
      <c r="V409" s="1166"/>
      <c r="W409" s="1166"/>
      <c r="X409" s="635">
        <v>0.70540000000000003</v>
      </c>
      <c r="AI409" s="1856" t="s">
        <v>1</v>
      </c>
      <c r="AJ409" s="1857">
        <v>2011</v>
      </c>
      <c r="AK409" s="1856" t="s">
        <v>63</v>
      </c>
      <c r="AL409" s="1856">
        <v>1</v>
      </c>
      <c r="AM409" s="1858">
        <v>4246145000</v>
      </c>
      <c r="AN409" s="1831">
        <v>0.284837540815705</v>
      </c>
      <c r="AP409" s="1781" t="s">
        <v>457</v>
      </c>
      <c r="AQ409" s="1781" t="s">
        <v>495</v>
      </c>
      <c r="AR409" s="1822" t="s">
        <v>138</v>
      </c>
      <c r="AS409" s="1822">
        <v>1</v>
      </c>
      <c r="AT409" s="1823">
        <v>151159753.89999998</v>
      </c>
      <c r="AU409" s="1825">
        <v>1.3141292784930139</v>
      </c>
      <c r="AV409" s="1781">
        <v>2005</v>
      </c>
      <c r="EA409" s="169"/>
      <c r="EB409" s="169"/>
      <c r="EC409" s="169"/>
      <c r="ED409" s="169"/>
      <c r="EE409" s="169"/>
      <c r="EF409" s="169"/>
      <c r="EG409" s="169"/>
      <c r="EH409" s="169"/>
      <c r="EI409" s="169"/>
      <c r="EJ409" s="169"/>
      <c r="EK409" s="169"/>
      <c r="EL409" s="169"/>
      <c r="EM409" s="169"/>
      <c r="EN409" s="169"/>
      <c r="EO409" s="169"/>
      <c r="EP409" s="169"/>
      <c r="EQ409" s="169"/>
      <c r="ER409" s="169"/>
      <c r="ES409" s="169"/>
      <c r="ET409" s="169"/>
      <c r="EU409" s="169"/>
      <c r="EV409" s="169"/>
      <c r="EW409" s="169"/>
      <c r="EX409" s="169"/>
    </row>
    <row r="410" spans="1:154">
      <c r="A410" s="333">
        <f t="shared" si="12"/>
        <v>2004</v>
      </c>
      <c r="B410" s="333">
        <f t="shared" si="13"/>
        <v>2</v>
      </c>
      <c r="C410" s="1175">
        <v>38139</v>
      </c>
      <c r="D410" s="1167">
        <v>313.13989168059061</v>
      </c>
      <c r="E410" s="1168">
        <v>565.07000000000005</v>
      </c>
      <c r="F410" s="1168">
        <v>392.48</v>
      </c>
      <c r="G410" s="1168"/>
      <c r="H410" s="1167"/>
      <c r="I410" s="1168"/>
      <c r="J410" s="1168"/>
      <c r="K410" s="1678">
        <v>13539.55</v>
      </c>
      <c r="L410" s="1678">
        <v>19498.199884792626</v>
      </c>
      <c r="M410" s="1682">
        <v>38.200000000000003</v>
      </c>
      <c r="N410" s="1169">
        <v>3869.1</v>
      </c>
      <c r="O410" s="1169">
        <v>1253.3410138248848</v>
      </c>
      <c r="P410" s="1169">
        <v>1470.9821428571429</v>
      </c>
      <c r="Q410" s="1167">
        <v>18.5</v>
      </c>
      <c r="R410" s="1167">
        <v>823.79108216432871</v>
      </c>
      <c r="S410" s="1167">
        <v>758.69672727272723</v>
      </c>
      <c r="T410" s="1167">
        <v>2503.7073235855964</v>
      </c>
      <c r="U410" s="1167">
        <v>87110</v>
      </c>
      <c r="V410" s="1167"/>
      <c r="W410" s="1167"/>
      <c r="X410" s="344">
        <v>0.69440000000000002</v>
      </c>
      <c r="AI410" s="1856" t="s">
        <v>1</v>
      </c>
      <c r="AJ410" s="1857">
        <v>2011</v>
      </c>
      <c r="AK410" s="1856" t="s">
        <v>21</v>
      </c>
      <c r="AL410" s="1856">
        <v>2</v>
      </c>
      <c r="AM410" s="1858">
        <v>4042710000</v>
      </c>
      <c r="AN410" s="1831">
        <v>0.27119082712226239</v>
      </c>
      <c r="AP410" s="1781" t="s">
        <v>457</v>
      </c>
      <c r="AQ410" s="1781" t="s">
        <v>495</v>
      </c>
      <c r="AR410" s="1822" t="s">
        <v>18</v>
      </c>
      <c r="AS410" s="1822">
        <v>2</v>
      </c>
      <c r="AT410" s="1823">
        <v>80717187.300000012</v>
      </c>
      <c r="AU410" s="1825">
        <v>0.70172659303684193</v>
      </c>
      <c r="AV410" s="1781">
        <v>2005</v>
      </c>
      <c r="EA410" s="169"/>
      <c r="EB410" s="169"/>
      <c r="EC410" s="169"/>
      <c r="ED410" s="169"/>
      <c r="EE410" s="169"/>
      <c r="EF410" s="169"/>
      <c r="EG410" s="169"/>
      <c r="EH410" s="169"/>
      <c r="EI410" s="169"/>
      <c r="EJ410" s="169"/>
      <c r="EK410" s="169"/>
      <c r="EL410" s="169"/>
      <c r="EM410" s="169"/>
      <c r="EN410" s="169"/>
      <c r="EO410" s="169"/>
      <c r="EP410" s="169"/>
      <c r="EQ410" s="169"/>
      <c r="ER410" s="169"/>
      <c r="ES410" s="169"/>
      <c r="ET410" s="169"/>
      <c r="EU410" s="169"/>
      <c r="EV410" s="169"/>
      <c r="EW410" s="169"/>
      <c r="EX410" s="169"/>
    </row>
    <row r="411" spans="1:154">
      <c r="A411" s="333">
        <f t="shared" si="12"/>
        <v>2004</v>
      </c>
      <c r="B411" s="333">
        <f t="shared" si="13"/>
        <v>3</v>
      </c>
      <c r="C411" s="1175">
        <v>38169</v>
      </c>
      <c r="D411" s="1158">
        <v>305.80146586752761</v>
      </c>
      <c r="E411" s="1159">
        <v>557.38</v>
      </c>
      <c r="F411" s="1159">
        <v>399.58</v>
      </c>
      <c r="G411" s="1160"/>
      <c r="H411" s="1161"/>
      <c r="I411" s="1160"/>
      <c r="J411" s="1160"/>
      <c r="K411" s="1677">
        <v>15031.59</v>
      </c>
      <c r="L411" s="1677">
        <v>21609.531339850488</v>
      </c>
      <c r="M411" s="1681">
        <v>41.1</v>
      </c>
      <c r="N411" s="1162">
        <v>4037.42</v>
      </c>
      <c r="O411" s="1162">
        <v>1350.7619321449108</v>
      </c>
      <c r="P411" s="1162">
        <v>1420.8165612420933</v>
      </c>
      <c r="Q411" s="1163">
        <v>18.5</v>
      </c>
      <c r="R411" s="1164">
        <v>772.26432532347508</v>
      </c>
      <c r="S411" s="1164">
        <v>814.05307430402559</v>
      </c>
      <c r="T411" s="1164">
        <v>2432.1841969060902</v>
      </c>
      <c r="U411" s="1165">
        <v>82562</v>
      </c>
      <c r="V411" s="1166"/>
      <c r="W411" s="1166"/>
      <c r="X411" s="635">
        <v>0.6956</v>
      </c>
      <c r="AI411" s="1856" t="s">
        <v>1</v>
      </c>
      <c r="AJ411" s="1857">
        <v>2011</v>
      </c>
      <c r="AK411" s="1856" t="s">
        <v>33</v>
      </c>
      <c r="AL411" s="1856">
        <v>3</v>
      </c>
      <c r="AM411" s="1858">
        <v>2632482000</v>
      </c>
      <c r="AN411" s="1831">
        <v>0.1765906955889657</v>
      </c>
      <c r="AP411" s="1781" t="s">
        <v>457</v>
      </c>
      <c r="AQ411" s="1781" t="s">
        <v>495</v>
      </c>
      <c r="AR411" s="1822" t="s">
        <v>63</v>
      </c>
      <c r="AS411" s="1822">
        <v>3</v>
      </c>
      <c r="AT411" s="1823">
        <v>75309007.799999997</v>
      </c>
      <c r="AU411" s="1825">
        <v>0.65470979894363768</v>
      </c>
      <c r="AV411" s="1781">
        <v>2005</v>
      </c>
      <c r="EA411" s="169"/>
      <c r="EB411" s="169"/>
      <c r="EC411" s="169"/>
      <c r="ED411" s="169"/>
      <c r="EE411" s="169"/>
      <c r="EF411" s="169"/>
      <c r="EG411" s="169"/>
      <c r="EH411" s="169"/>
      <c r="EI411" s="169"/>
      <c r="EJ411" s="169"/>
      <c r="EK411" s="169"/>
      <c r="EL411" s="169"/>
      <c r="EM411" s="169"/>
      <c r="EN411" s="169"/>
      <c r="EO411" s="169"/>
      <c r="EP411" s="169"/>
      <c r="EQ411" s="169"/>
      <c r="ER411" s="169"/>
      <c r="ES411" s="169"/>
      <c r="ET411" s="169"/>
      <c r="EU411" s="169"/>
      <c r="EV411" s="169"/>
      <c r="EW411" s="169"/>
      <c r="EX411" s="169"/>
    </row>
    <row r="412" spans="1:154">
      <c r="A412" s="333">
        <f t="shared" si="12"/>
        <v>2004</v>
      </c>
      <c r="B412" s="333">
        <f t="shared" si="13"/>
        <v>3</v>
      </c>
      <c r="C412" s="1175">
        <v>38200</v>
      </c>
      <c r="D412" s="1167">
        <v>317.12463599734076</v>
      </c>
      <c r="E412" s="1168">
        <v>565.04</v>
      </c>
      <c r="F412" s="1168">
        <v>400.53</v>
      </c>
      <c r="G412" s="1168"/>
      <c r="H412" s="1167"/>
      <c r="I412" s="1168"/>
      <c r="J412" s="1168"/>
      <c r="K412" s="1678">
        <v>13685.95</v>
      </c>
      <c r="L412" s="1678">
        <v>19265.132319819819</v>
      </c>
      <c r="M412" s="1682">
        <v>47.03</v>
      </c>
      <c r="N412" s="1169">
        <v>4006.33</v>
      </c>
      <c r="O412" s="1169">
        <v>1297.5929054054052</v>
      </c>
      <c r="P412" s="1169">
        <v>1373.6064189189187</v>
      </c>
      <c r="Q412" s="1167">
        <v>19.25</v>
      </c>
      <c r="R412" s="1167">
        <v>785.52876693903625</v>
      </c>
      <c r="S412" s="1167">
        <v>817.64513621426806</v>
      </c>
      <c r="T412" s="1167">
        <v>2497.052978682646</v>
      </c>
      <c r="U412" s="1167">
        <v>78747</v>
      </c>
      <c r="V412" s="1167"/>
      <c r="W412" s="1167"/>
      <c r="X412" s="344">
        <v>0.71040000000000003</v>
      </c>
      <c r="AI412" s="1856" t="s">
        <v>1</v>
      </c>
      <c r="AJ412" s="1857">
        <v>2011</v>
      </c>
      <c r="AK412" s="1856" t="s">
        <v>530</v>
      </c>
      <c r="AL412" s="1856">
        <v>4</v>
      </c>
      <c r="AM412" s="1858">
        <v>1529407000</v>
      </c>
      <c r="AN412" s="1831">
        <v>0.10259483102586581</v>
      </c>
      <c r="AP412" s="1781" t="s">
        <v>457</v>
      </c>
      <c r="AQ412" s="1781" t="s">
        <v>495</v>
      </c>
      <c r="AR412" s="1822" t="s">
        <v>59</v>
      </c>
      <c r="AS412" s="1822">
        <v>4</v>
      </c>
      <c r="AT412" s="1823">
        <v>57440321</v>
      </c>
      <c r="AU412" s="1825">
        <v>0.49936577458358195</v>
      </c>
      <c r="AV412" s="1781">
        <v>2005</v>
      </c>
      <c r="EA412" s="169"/>
      <c r="EB412" s="169"/>
      <c r="EC412" s="169"/>
      <c r="ED412" s="169"/>
      <c r="EE412" s="169"/>
      <c r="EF412" s="169"/>
      <c r="EG412" s="169"/>
      <c r="EH412" s="169"/>
      <c r="EI412" s="169"/>
      <c r="EJ412" s="169"/>
      <c r="EK412" s="169"/>
      <c r="EL412" s="169"/>
      <c r="EM412" s="169"/>
      <c r="EN412" s="169"/>
      <c r="EO412" s="169"/>
      <c r="EP412" s="169"/>
      <c r="EQ412" s="169"/>
      <c r="ER412" s="169"/>
      <c r="ES412" s="169"/>
      <c r="ET412" s="169"/>
      <c r="EU412" s="169"/>
      <c r="EV412" s="169"/>
      <c r="EW412" s="169"/>
      <c r="EX412" s="169"/>
    </row>
    <row r="413" spans="1:154">
      <c r="A413" s="333">
        <f t="shared" si="12"/>
        <v>2004</v>
      </c>
      <c r="B413" s="333">
        <f t="shared" si="13"/>
        <v>3</v>
      </c>
      <c r="C413" s="1175">
        <v>38231</v>
      </c>
      <c r="D413" s="1158">
        <v>324.86142024539078</v>
      </c>
      <c r="E413" s="1159">
        <v>578.16</v>
      </c>
      <c r="F413" s="1159">
        <v>405.25</v>
      </c>
      <c r="G413" s="1160"/>
      <c r="H413" s="1161"/>
      <c r="I413" s="1160"/>
      <c r="J413" s="1160"/>
      <c r="K413" s="1677">
        <v>13277.27</v>
      </c>
      <c r="L413" s="1677">
        <v>18897.338457159123</v>
      </c>
      <c r="M413" s="1681">
        <v>47.97</v>
      </c>
      <c r="N413" s="1162">
        <v>4120.21</v>
      </c>
      <c r="O413" s="1162">
        <v>1331.4118986621122</v>
      </c>
      <c r="P413" s="1162">
        <v>1387.9590093936806</v>
      </c>
      <c r="Q413" s="1163">
        <v>20</v>
      </c>
      <c r="R413" s="1164">
        <v>754.7889295415489</v>
      </c>
      <c r="S413" s="1164">
        <v>821.04410107149488</v>
      </c>
      <c r="T413" s="1164">
        <v>2551.6129595006814</v>
      </c>
      <c r="U413" s="1165">
        <v>78347</v>
      </c>
      <c r="V413" s="1166"/>
      <c r="W413" s="1166"/>
      <c r="X413" s="635">
        <v>0.7026</v>
      </c>
      <c r="AI413" s="1856" t="s">
        <v>1</v>
      </c>
      <c r="AJ413" s="1857">
        <v>2011</v>
      </c>
      <c r="AK413" s="1856" t="s">
        <v>61</v>
      </c>
      <c r="AL413" s="1856">
        <v>5</v>
      </c>
      <c r="AM413" s="1858">
        <v>1170101000</v>
      </c>
      <c r="AN413" s="1831">
        <v>7.849206547256328E-2</v>
      </c>
      <c r="AP413" s="1781" t="s">
        <v>457</v>
      </c>
      <c r="AQ413" s="1781" t="s">
        <v>495</v>
      </c>
      <c r="AR413" s="1822" t="s">
        <v>70</v>
      </c>
      <c r="AS413" s="1822">
        <v>5</v>
      </c>
      <c r="AT413" s="1823">
        <v>53882912.099999994</v>
      </c>
      <c r="AU413" s="1825">
        <v>0.46843892355050654</v>
      </c>
      <c r="AV413" s="1781">
        <v>2005</v>
      </c>
      <c r="EA413" s="169"/>
      <c r="EB413" s="169"/>
      <c r="EC413" s="169"/>
      <c r="ED413" s="169"/>
      <c r="EE413" s="169"/>
      <c r="EF413" s="169"/>
      <c r="EG413" s="169"/>
      <c r="EH413" s="169"/>
      <c r="EI413" s="169"/>
      <c r="EJ413" s="169"/>
      <c r="EK413" s="169"/>
      <c r="EL413" s="169"/>
      <c r="EM413" s="169"/>
      <c r="EN413" s="169"/>
      <c r="EO413" s="169"/>
      <c r="EP413" s="169"/>
      <c r="EQ413" s="169"/>
      <c r="ER413" s="169"/>
      <c r="ES413" s="169"/>
      <c r="ET413" s="169"/>
      <c r="EU413" s="169"/>
      <c r="EV413" s="169"/>
      <c r="EW413" s="169"/>
      <c r="EX413" s="169"/>
    </row>
    <row r="414" spans="1:154">
      <c r="A414" s="333">
        <f t="shared" si="12"/>
        <v>2004</v>
      </c>
      <c r="B414" s="333">
        <f t="shared" si="13"/>
        <v>4</v>
      </c>
      <c r="C414" s="1175">
        <v>38261</v>
      </c>
      <c r="D414" s="1167">
        <v>300.92056502564304</v>
      </c>
      <c r="E414" s="1168">
        <v>575.25</v>
      </c>
      <c r="F414" s="1168">
        <v>420.46</v>
      </c>
      <c r="G414" s="1168"/>
      <c r="H414" s="1167"/>
      <c r="I414" s="1168"/>
      <c r="J414" s="1168"/>
      <c r="K414" s="1678">
        <v>14410.71</v>
      </c>
      <c r="L414" s="1678">
        <v>19673.324232081908</v>
      </c>
      <c r="M414" s="1682">
        <v>53.19</v>
      </c>
      <c r="N414" s="1169">
        <v>4112.2700000000004</v>
      </c>
      <c r="O414" s="1169">
        <v>1273.3924914675767</v>
      </c>
      <c r="P414" s="1169">
        <v>1453.8566552901025</v>
      </c>
      <c r="Q414" s="1167">
        <v>20.25</v>
      </c>
      <c r="R414" s="1167">
        <v>749.5683159328189</v>
      </c>
      <c r="S414" s="1167">
        <v>884.09047619047624</v>
      </c>
      <c r="T414" s="1167">
        <v>2405.4640249441377</v>
      </c>
      <c r="U414" s="1167">
        <v>69826</v>
      </c>
      <c r="V414" s="1167"/>
      <c r="W414" s="1167"/>
      <c r="X414" s="344">
        <v>0.73250000000000004</v>
      </c>
      <c r="AI414" s="1856" t="s">
        <v>1</v>
      </c>
      <c r="AJ414" s="1857">
        <v>2011</v>
      </c>
      <c r="AK414" s="1856" t="s">
        <v>527</v>
      </c>
      <c r="AL414" s="1856">
        <v>6</v>
      </c>
      <c r="AM414" s="1858">
        <v>383599000</v>
      </c>
      <c r="AN414" s="1831">
        <v>2.5732375088312723E-2</v>
      </c>
      <c r="AP414" s="1781" t="s">
        <v>457</v>
      </c>
      <c r="AQ414" s="1781" t="s">
        <v>495</v>
      </c>
      <c r="AR414" s="1822" t="s">
        <v>537</v>
      </c>
      <c r="AS414" s="1822">
        <v>6</v>
      </c>
      <c r="AT414" s="1823">
        <v>42472038.039999999</v>
      </c>
      <c r="AU414" s="1825">
        <v>0.36923683232877402</v>
      </c>
      <c r="AV414" s="1781">
        <v>2005</v>
      </c>
      <c r="EA414" s="169"/>
      <c r="EB414" s="169"/>
      <c r="EC414" s="169"/>
      <c r="ED414" s="169"/>
      <c r="EE414" s="169"/>
      <c r="EF414" s="169"/>
      <c r="EG414" s="169"/>
      <c r="EH414" s="169"/>
      <c r="EI414" s="169"/>
      <c r="EJ414" s="169"/>
      <c r="EK414" s="169"/>
      <c r="EL414" s="169"/>
      <c r="EM414" s="169"/>
      <c r="EN414" s="169"/>
      <c r="EO414" s="169"/>
      <c r="EP414" s="169"/>
      <c r="EQ414" s="169"/>
      <c r="ER414" s="169"/>
      <c r="ES414" s="169"/>
      <c r="ET414" s="169"/>
      <c r="EU414" s="169"/>
      <c r="EV414" s="169"/>
      <c r="EW414" s="169"/>
      <c r="EX414" s="169"/>
    </row>
    <row r="415" spans="1:154">
      <c r="A415" s="333">
        <f t="shared" si="12"/>
        <v>2004</v>
      </c>
      <c r="B415" s="333">
        <f t="shared" si="13"/>
        <v>4</v>
      </c>
      <c r="C415" s="1175">
        <v>38292</v>
      </c>
      <c r="D415" s="1158">
        <v>299.96954219967046</v>
      </c>
      <c r="E415" s="1159">
        <v>570.01</v>
      </c>
      <c r="F415" s="1159">
        <v>439.34</v>
      </c>
      <c r="G415" s="1160"/>
      <c r="H415" s="1161"/>
      <c r="I415" s="1160"/>
      <c r="J415" s="1160"/>
      <c r="K415" s="1677">
        <v>14053.41</v>
      </c>
      <c r="L415" s="1677">
        <v>18251.181818181816</v>
      </c>
      <c r="M415" s="1681">
        <v>47.02</v>
      </c>
      <c r="N415" s="1162">
        <v>4055.58</v>
      </c>
      <c r="O415" s="1162">
        <v>1256.8831168831168</v>
      </c>
      <c r="P415" s="1162">
        <v>1422.909090909091</v>
      </c>
      <c r="Q415" s="1163">
        <v>20.5</v>
      </c>
      <c r="R415" s="1164">
        <v>695.46671709531017</v>
      </c>
      <c r="S415" s="1164">
        <v>832.57957681692733</v>
      </c>
      <c r="T415" s="1164">
        <v>2341.5404137508731</v>
      </c>
      <c r="U415" s="1165">
        <v>49389</v>
      </c>
      <c r="V415" s="1166"/>
      <c r="W415" s="1166"/>
      <c r="X415" s="635">
        <v>0.77</v>
      </c>
      <c r="AI415" s="1856" t="s">
        <v>1</v>
      </c>
      <c r="AJ415" s="1857">
        <v>2011</v>
      </c>
      <c r="AK415" s="1856" t="s">
        <v>371</v>
      </c>
      <c r="AL415" s="1856">
        <v>7</v>
      </c>
      <c r="AM415" s="1858">
        <v>324588000</v>
      </c>
      <c r="AN415" s="1831">
        <v>2.1773831957761228E-2</v>
      </c>
      <c r="AP415" s="1781" t="s">
        <v>457</v>
      </c>
      <c r="AQ415" s="1781" t="s">
        <v>495</v>
      </c>
      <c r="AR415" s="1822" t="s">
        <v>27</v>
      </c>
      <c r="AS415" s="1822">
        <v>7</v>
      </c>
      <c r="AT415" s="1823">
        <v>40988402.799999997</v>
      </c>
      <c r="AU415" s="1825">
        <v>0.35633863385209591</v>
      </c>
      <c r="AV415" s="1781">
        <v>2005</v>
      </c>
      <c r="EA415" s="169"/>
      <c r="EB415" s="169"/>
      <c r="EC415" s="169"/>
      <c r="ED415" s="169"/>
      <c r="EE415" s="169"/>
      <c r="EF415" s="169"/>
      <c r="EG415" s="169"/>
      <c r="EH415" s="169"/>
      <c r="EI415" s="169"/>
      <c r="EJ415" s="169"/>
      <c r="EK415" s="169"/>
      <c r="EL415" s="169"/>
      <c r="EM415" s="169"/>
      <c r="EN415" s="169"/>
      <c r="EO415" s="169"/>
      <c r="EP415" s="169"/>
      <c r="EQ415" s="169"/>
      <c r="ER415" s="169"/>
      <c r="ES415" s="169"/>
      <c r="ET415" s="169"/>
      <c r="EU415" s="169"/>
      <c r="EV415" s="169"/>
      <c r="EW415" s="169"/>
      <c r="EX415" s="169"/>
    </row>
    <row r="416" spans="1:154">
      <c r="A416" s="333">
        <f t="shared" si="12"/>
        <v>2004</v>
      </c>
      <c r="B416" s="333">
        <f t="shared" si="13"/>
        <v>4</v>
      </c>
      <c r="C416" s="1175">
        <v>38322</v>
      </c>
      <c r="D416" s="1167">
        <v>311.97874770190788</v>
      </c>
      <c r="E416" s="1168">
        <v>578.58000000000004</v>
      </c>
      <c r="F416" s="1168">
        <v>442.08</v>
      </c>
      <c r="G416" s="1168"/>
      <c r="H416" s="1167"/>
      <c r="I416" s="1168"/>
      <c r="J416" s="1168"/>
      <c r="K416" s="1678">
        <v>13775.71</v>
      </c>
      <c r="L416" s="1678">
        <v>17941.794738213073</v>
      </c>
      <c r="M416" s="1682">
        <v>39.04</v>
      </c>
      <c r="N416" s="1169">
        <v>4096.7</v>
      </c>
      <c r="O416" s="1169">
        <v>1269.7317009637925</v>
      </c>
      <c r="P416" s="1169">
        <v>1537.1320656420942</v>
      </c>
      <c r="Q416" s="1167">
        <v>20.7</v>
      </c>
      <c r="R416" s="1167">
        <v>711.76</v>
      </c>
      <c r="S416" s="1167">
        <v>838.50684061163111</v>
      </c>
      <c r="T416" s="1167">
        <v>2366.9002274270524</v>
      </c>
      <c r="U416" s="1167">
        <v>55704</v>
      </c>
      <c r="V416" s="1167"/>
      <c r="W416" s="1167"/>
      <c r="X416" s="344">
        <v>0.76780000000000004</v>
      </c>
      <c r="AI416" s="1856" t="s">
        <v>1</v>
      </c>
      <c r="AJ416" s="1857">
        <v>2011</v>
      </c>
      <c r="AK416" s="1856" t="s">
        <v>758</v>
      </c>
      <c r="AL416" s="1856">
        <v>8</v>
      </c>
      <c r="AM416" s="1858">
        <v>322483000</v>
      </c>
      <c r="AN416" s="1831">
        <v>2.163262551676191E-2</v>
      </c>
      <c r="AP416" s="1781" t="s">
        <v>457</v>
      </c>
      <c r="AQ416" s="1781" t="s">
        <v>495</v>
      </c>
      <c r="AR416" s="1822" t="s">
        <v>31</v>
      </c>
      <c r="AS416" s="1822">
        <v>8</v>
      </c>
      <c r="AT416" s="1823">
        <v>35200458.400000006</v>
      </c>
      <c r="AU416" s="1825">
        <v>0.30602029843484257</v>
      </c>
      <c r="AV416" s="1781">
        <v>2005</v>
      </c>
      <c r="EA416" s="169"/>
      <c r="EB416" s="169"/>
      <c r="EC416" s="169"/>
      <c r="ED416" s="169"/>
      <c r="EE416" s="169"/>
      <c r="EF416" s="169"/>
      <c r="EG416" s="169"/>
      <c r="EH416" s="169"/>
      <c r="EI416" s="169"/>
      <c r="EJ416" s="169"/>
      <c r="EK416" s="169"/>
      <c r="EL416" s="169"/>
      <c r="EM416" s="169"/>
      <c r="EN416" s="169"/>
      <c r="EO416" s="169"/>
      <c r="EP416" s="169"/>
      <c r="EQ416" s="169"/>
      <c r="ER416" s="169"/>
      <c r="ES416" s="169"/>
      <c r="ET416" s="169"/>
      <c r="EU416" s="169"/>
      <c r="EV416" s="169"/>
      <c r="EW416" s="169"/>
      <c r="EX416" s="169"/>
    </row>
    <row r="417" spans="1:154">
      <c r="A417" s="333">
        <f t="shared" si="12"/>
        <v>2005</v>
      </c>
      <c r="B417" s="333">
        <f t="shared" si="13"/>
        <v>1</v>
      </c>
      <c r="C417" s="1175">
        <v>38353</v>
      </c>
      <c r="D417" s="1158">
        <v>302.56988283890593</v>
      </c>
      <c r="E417" s="1159">
        <v>554.91999999999996</v>
      </c>
      <c r="F417" s="1159">
        <v>424.03</v>
      </c>
      <c r="G417" s="1160"/>
      <c r="H417" s="1161"/>
      <c r="I417" s="1160"/>
      <c r="J417" s="1160"/>
      <c r="K417" s="1677">
        <v>14505</v>
      </c>
      <c r="L417" s="1677">
        <v>18950.875359289261</v>
      </c>
      <c r="M417" s="1681">
        <v>46.39</v>
      </c>
      <c r="N417" s="1162">
        <v>4141.63</v>
      </c>
      <c r="O417" s="1162">
        <v>1245.296576953227</v>
      </c>
      <c r="P417" s="1162">
        <v>1628.4034491769012</v>
      </c>
      <c r="Q417" s="1163">
        <v>21</v>
      </c>
      <c r="R417" s="1164">
        <v>784.87278287461777</v>
      </c>
      <c r="S417" s="1164">
        <v>906.8054837040869</v>
      </c>
      <c r="T417" s="1164">
        <v>2360.2355484043646</v>
      </c>
      <c r="U417" s="1165">
        <v>58327</v>
      </c>
      <c r="V417" s="1166"/>
      <c r="W417" s="1166"/>
      <c r="X417" s="635">
        <v>0.76539999999999997</v>
      </c>
      <c r="AI417" s="1856" t="s">
        <v>1</v>
      </c>
      <c r="AJ417" s="1857">
        <v>2011</v>
      </c>
      <c r="AK417" s="1856" t="s">
        <v>58</v>
      </c>
      <c r="AL417" s="1856">
        <v>9</v>
      </c>
      <c r="AM417" s="1858">
        <v>93559000</v>
      </c>
      <c r="AN417" s="1831">
        <v>6.2760728805013825E-3</v>
      </c>
      <c r="AP417" s="1781" t="s">
        <v>457</v>
      </c>
      <c r="AQ417" s="1781" t="s">
        <v>495</v>
      </c>
      <c r="AR417" s="1822" t="s">
        <v>23</v>
      </c>
      <c r="AS417" s="1822">
        <v>9</v>
      </c>
      <c r="AT417" s="1823">
        <v>33520985.699999999</v>
      </c>
      <c r="AU417" s="1825">
        <v>0.29141955855166046</v>
      </c>
      <c r="AV417" s="1781">
        <v>2005</v>
      </c>
      <c r="EA417" s="169"/>
      <c r="EB417" s="169"/>
      <c r="EC417" s="169"/>
      <c r="ED417" s="169"/>
      <c r="EE417" s="169"/>
      <c r="EF417" s="169"/>
      <c r="EG417" s="169"/>
      <c r="EH417" s="169"/>
      <c r="EI417" s="169"/>
      <c r="EJ417" s="169"/>
      <c r="EK417" s="169"/>
      <c r="EL417" s="169"/>
      <c r="EM417" s="169"/>
      <c r="EN417" s="169"/>
      <c r="EO417" s="169"/>
      <c r="EP417" s="169"/>
      <c r="EQ417" s="169"/>
      <c r="ER417" s="169"/>
      <c r="ES417" s="169"/>
      <c r="ET417" s="169"/>
      <c r="EU417" s="169"/>
      <c r="EV417" s="169"/>
      <c r="EW417" s="169"/>
      <c r="EX417" s="169"/>
    </row>
    <row r="418" spans="1:154">
      <c r="A418" s="333">
        <f t="shared" si="12"/>
        <v>2005</v>
      </c>
      <c r="B418" s="333">
        <f t="shared" si="13"/>
        <v>1</v>
      </c>
      <c r="C418" s="1175">
        <v>38384</v>
      </c>
      <c r="D418" s="1167">
        <v>295.40217391796699</v>
      </c>
      <c r="E418" s="1168">
        <v>544.32000000000005</v>
      </c>
      <c r="F418" s="1168">
        <v>423.35</v>
      </c>
      <c r="G418" s="1168"/>
      <c r="H418" s="1167"/>
      <c r="I418" s="1168"/>
      <c r="J418" s="1168"/>
      <c r="K418" s="1678">
        <v>15349.5</v>
      </c>
      <c r="L418" s="1678">
        <v>19663.720215219062</v>
      </c>
      <c r="M418" s="1682">
        <v>50.14</v>
      </c>
      <c r="N418" s="1169">
        <v>4168.2</v>
      </c>
      <c r="O418" s="1169">
        <v>1252.3059185242121</v>
      </c>
      <c r="P418" s="1169">
        <v>1698.9239046887012</v>
      </c>
      <c r="Q418" s="1167">
        <v>21.75</v>
      </c>
      <c r="R418" s="1167">
        <v>735.58519363098094</v>
      </c>
      <c r="S418" s="1167">
        <v>963.78898815137438</v>
      </c>
      <c r="T418" s="1167">
        <v>2355.1128562889348</v>
      </c>
      <c r="U418" s="1167">
        <v>54632</v>
      </c>
      <c r="V418" s="1167"/>
      <c r="W418" s="1167"/>
      <c r="X418" s="344">
        <v>0.78059999999999996</v>
      </c>
      <c r="AI418" s="1856" t="s">
        <v>1</v>
      </c>
      <c r="AJ418" s="1857">
        <v>2011</v>
      </c>
      <c r="AK418" s="1856" t="s">
        <v>71</v>
      </c>
      <c r="AL418" s="1856">
        <v>10</v>
      </c>
      <c r="AM418" s="1858">
        <v>64040000</v>
      </c>
      <c r="AN418" s="1831">
        <v>4.2958957157227902E-3</v>
      </c>
      <c r="AP418" s="1781" t="s">
        <v>457</v>
      </c>
      <c r="AQ418" s="1781" t="s">
        <v>495</v>
      </c>
      <c r="AR418" s="1822" t="s">
        <v>66</v>
      </c>
      <c r="AS418" s="1822">
        <v>10</v>
      </c>
      <c r="AT418" s="1823">
        <v>11990848.9</v>
      </c>
      <c r="AU418" s="1825">
        <v>0.10424418674232673</v>
      </c>
      <c r="AV418" s="1781">
        <v>2005</v>
      </c>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c r="EU418" s="169"/>
      <c r="EV418" s="169"/>
      <c r="EW418" s="169"/>
      <c r="EX418" s="169"/>
    </row>
    <row r="419" spans="1:154">
      <c r="A419" s="333">
        <f t="shared" si="12"/>
        <v>2005</v>
      </c>
      <c r="B419" s="333">
        <f t="shared" si="13"/>
        <v>1</v>
      </c>
      <c r="C419" s="1175">
        <v>38412</v>
      </c>
      <c r="D419" s="1158">
        <v>304.06974305038466</v>
      </c>
      <c r="E419" s="1159">
        <v>554.48</v>
      </c>
      <c r="F419" s="1159">
        <v>434.32</v>
      </c>
      <c r="G419" s="1160"/>
      <c r="H419" s="1161"/>
      <c r="I419" s="1160"/>
      <c r="J419" s="1160"/>
      <c r="K419" s="1677">
        <v>16190</v>
      </c>
      <c r="L419" s="1677">
        <v>20653.144533741546</v>
      </c>
      <c r="M419" s="1681">
        <v>57.06</v>
      </c>
      <c r="N419" s="1162">
        <v>4311.26</v>
      </c>
      <c r="O419" s="1162">
        <v>1283.1100905727772</v>
      </c>
      <c r="P419" s="1162">
        <v>1757.481821660926</v>
      </c>
      <c r="Q419" s="1163">
        <v>22.5</v>
      </c>
      <c r="R419" s="1164">
        <v>778.66208746622874</v>
      </c>
      <c r="S419" s="1164">
        <v>953.00532935408228</v>
      </c>
      <c r="T419" s="1164">
        <v>2371.0042108569587</v>
      </c>
      <c r="U419" s="1165">
        <v>46756</v>
      </c>
      <c r="V419" s="1166"/>
      <c r="W419" s="1166"/>
      <c r="X419" s="635">
        <v>0.78390000000000004</v>
      </c>
      <c r="AI419" s="1856" t="s">
        <v>1</v>
      </c>
      <c r="AJ419" s="1857">
        <v>2011</v>
      </c>
      <c r="AK419" s="1856" t="s">
        <v>39</v>
      </c>
      <c r="AL419" s="1856"/>
      <c r="AM419" s="1858">
        <v>98138000</v>
      </c>
      <c r="AN419" s="1831">
        <v>6.5832388155778144E-3</v>
      </c>
      <c r="AP419" s="1781" t="s">
        <v>457</v>
      </c>
      <c r="AQ419" s="1781" t="s">
        <v>495</v>
      </c>
      <c r="AR419" s="1822" t="s">
        <v>56</v>
      </c>
      <c r="AS419" s="1822">
        <v>11</v>
      </c>
      <c r="AT419" s="1823">
        <v>11968924.800000001</v>
      </c>
      <c r="AU419" s="1825">
        <v>0.10405358639420981</v>
      </c>
      <c r="AV419" s="1781">
        <v>2005</v>
      </c>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c r="EU419" s="169"/>
      <c r="EV419" s="169"/>
      <c r="EW419" s="169"/>
      <c r="EX419" s="169"/>
    </row>
    <row r="420" spans="1:154">
      <c r="A420" s="333">
        <f t="shared" si="12"/>
        <v>2005</v>
      </c>
      <c r="B420" s="333">
        <f t="shared" si="13"/>
        <v>2</v>
      </c>
      <c r="C420" s="1175">
        <v>38443</v>
      </c>
      <c r="D420" s="1167">
        <v>325.91213805197089</v>
      </c>
      <c r="E420" s="1168">
        <v>556.16999999999996</v>
      </c>
      <c r="F420" s="1168">
        <v>429.23</v>
      </c>
      <c r="G420" s="1168"/>
      <c r="H420" s="1167"/>
      <c r="I420" s="1168"/>
      <c r="J420" s="1168"/>
      <c r="K420" s="1678">
        <v>16141.9</v>
      </c>
      <c r="L420" s="1678">
        <v>20882.14747736093</v>
      </c>
      <c r="M420" s="1682">
        <v>57.49</v>
      </c>
      <c r="N420" s="1169">
        <v>4391.3100000000004</v>
      </c>
      <c r="O420" s="1169">
        <v>1275.2393272962483</v>
      </c>
      <c r="P420" s="1169">
        <v>1681.9404915912032</v>
      </c>
      <c r="Q420" s="1167">
        <v>24</v>
      </c>
      <c r="R420" s="1167">
        <v>881.0684530511146</v>
      </c>
      <c r="S420" s="1167">
        <v>980.17765206668571</v>
      </c>
      <c r="T420" s="1167">
        <v>2372.82020969001</v>
      </c>
      <c r="U420" s="1167">
        <v>51893</v>
      </c>
      <c r="V420" s="1167"/>
      <c r="W420" s="1167"/>
      <c r="X420" s="344">
        <v>0.77300000000000002</v>
      </c>
      <c r="AI420" s="1856" t="s">
        <v>1</v>
      </c>
      <c r="AJ420" s="1857">
        <v>2011</v>
      </c>
      <c r="AK420" s="1856" t="s">
        <v>386</v>
      </c>
      <c r="AL420" s="1856"/>
      <c r="AM420" s="1858">
        <v>14907252000</v>
      </c>
      <c r="AN420" s="1831">
        <v>1</v>
      </c>
      <c r="AP420" s="1781" t="s">
        <v>457</v>
      </c>
      <c r="AQ420" s="1781" t="s">
        <v>495</v>
      </c>
      <c r="AR420" s="1822" t="s">
        <v>54</v>
      </c>
      <c r="AS420" s="1822">
        <v>12</v>
      </c>
      <c r="AT420" s="1823">
        <v>11489762.9</v>
      </c>
      <c r="AU420" s="1825">
        <v>9.9887922811925142E-2</v>
      </c>
      <c r="AV420" s="1781">
        <v>2005</v>
      </c>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c r="EU420" s="169"/>
      <c r="EV420" s="169"/>
      <c r="EW420" s="169"/>
      <c r="EX420" s="169"/>
    </row>
    <row r="421" spans="1:154">
      <c r="A421" s="333">
        <f t="shared" si="12"/>
        <v>2005</v>
      </c>
      <c r="B421" s="333">
        <f t="shared" si="13"/>
        <v>2</v>
      </c>
      <c r="C421" s="1175">
        <v>38473</v>
      </c>
      <c r="D421" s="1158">
        <v>325.80305271343292</v>
      </c>
      <c r="E421" s="1159">
        <v>553.02</v>
      </c>
      <c r="F421" s="1159">
        <v>421.87</v>
      </c>
      <c r="G421" s="1160"/>
      <c r="H421" s="1161"/>
      <c r="I421" s="1160"/>
      <c r="J421" s="1160"/>
      <c r="K421" s="1677">
        <v>16931.5</v>
      </c>
      <c r="L421" s="1677">
        <v>22095.132454652226</v>
      </c>
      <c r="M421" s="1681">
        <v>50.78</v>
      </c>
      <c r="N421" s="1162">
        <v>4239.9799999999996</v>
      </c>
      <c r="O421" s="1162">
        <v>1289.416677541433</v>
      </c>
      <c r="P421" s="1162">
        <v>1622.9022576014618</v>
      </c>
      <c r="Q421" s="1163">
        <v>29</v>
      </c>
      <c r="R421" s="1164">
        <v>849.90584647060143</v>
      </c>
      <c r="S421" s="1164">
        <v>1004.6766069772419</v>
      </c>
      <c r="T421" s="1164">
        <v>2407.1190513300703</v>
      </c>
      <c r="U421" s="1165">
        <v>48369</v>
      </c>
      <c r="V421" s="1166"/>
      <c r="W421" s="1166"/>
      <c r="X421" s="635">
        <v>0.76629999999999998</v>
      </c>
      <c r="AI421" s="1859" t="s">
        <v>1</v>
      </c>
      <c r="AJ421" s="1860">
        <v>2012</v>
      </c>
      <c r="AK421" s="1859" t="s">
        <v>530</v>
      </c>
      <c r="AL421" s="1859">
        <v>1</v>
      </c>
      <c r="AM421" s="1861">
        <v>5538903000</v>
      </c>
      <c r="AN421" s="1831">
        <v>0.36515645009501552</v>
      </c>
      <c r="AP421" s="1781" t="s">
        <v>457</v>
      </c>
      <c r="AQ421" s="1781" t="s">
        <v>495</v>
      </c>
      <c r="AR421" s="1822" t="s">
        <v>385</v>
      </c>
      <c r="AS421" s="1822">
        <v>13</v>
      </c>
      <c r="AT421" s="1823">
        <v>10578677.1</v>
      </c>
      <c r="AU421" s="1825">
        <v>9.1967266062303168E-2</v>
      </c>
      <c r="AV421" s="1781">
        <v>2005</v>
      </c>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c r="EU421" s="169"/>
      <c r="EV421" s="169"/>
      <c r="EW421" s="169"/>
      <c r="EX421" s="169"/>
    </row>
    <row r="422" spans="1:154">
      <c r="A422" s="333">
        <f t="shared" si="12"/>
        <v>2005</v>
      </c>
      <c r="B422" s="333">
        <f t="shared" si="13"/>
        <v>2</v>
      </c>
      <c r="C422" s="1175">
        <v>38504</v>
      </c>
      <c r="D422" s="1167">
        <v>314.25623118850422</v>
      </c>
      <c r="E422" s="1168">
        <v>562.36</v>
      </c>
      <c r="F422" s="1168">
        <v>430.66</v>
      </c>
      <c r="G422" s="1168"/>
      <c r="H422" s="1167"/>
      <c r="I422" s="1168"/>
      <c r="J422" s="1168"/>
      <c r="K422" s="1678">
        <v>16159.55</v>
      </c>
      <c r="L422" s="1678">
        <v>21082.257012393999</v>
      </c>
      <c r="M422" s="1682">
        <v>55.7</v>
      </c>
      <c r="N422" s="1169">
        <v>4597.6099999999997</v>
      </c>
      <c r="O422" s="1169">
        <v>1286.457925636008</v>
      </c>
      <c r="P422" s="1169">
        <v>1664.3574690150033</v>
      </c>
      <c r="Q422" s="1167">
        <v>29</v>
      </c>
      <c r="R422" s="1167">
        <v>859.93574477645473</v>
      </c>
      <c r="S422" s="1167">
        <v>976.729247314291</v>
      </c>
      <c r="T422" s="1167">
        <v>2446.2709961825672</v>
      </c>
      <c r="U422" s="1167">
        <v>45984</v>
      </c>
      <c r="V422" s="1167"/>
      <c r="W422" s="1167"/>
      <c r="X422" s="344">
        <v>0.76649999999999996</v>
      </c>
      <c r="AI422" s="1859" t="s">
        <v>1</v>
      </c>
      <c r="AJ422" s="1860">
        <v>2012</v>
      </c>
      <c r="AK422" s="1859" t="s">
        <v>63</v>
      </c>
      <c r="AL422" s="1859">
        <v>2</v>
      </c>
      <c r="AM422" s="1861">
        <v>3711190000</v>
      </c>
      <c r="AN422" s="1831">
        <v>0.24466306162576248</v>
      </c>
      <c r="AP422" s="1781" t="s">
        <v>457</v>
      </c>
      <c r="AQ422" s="1781" t="s">
        <v>495</v>
      </c>
      <c r="AR422" s="1822" t="s">
        <v>39</v>
      </c>
      <c r="AS422" s="1822"/>
      <c r="AT422" s="1823">
        <v>66811903</v>
      </c>
      <c r="AU422" s="1825">
        <v>0.58083898404742795</v>
      </c>
      <c r="AV422" s="1781">
        <v>2005</v>
      </c>
      <c r="EA422" s="169"/>
      <c r="EB422" s="169"/>
      <c r="EC422" s="169"/>
      <c r="ED422" s="169"/>
      <c r="EE422" s="169"/>
      <c r="EF422" s="169"/>
      <c r="EG422" s="169"/>
      <c r="EH422" s="169"/>
      <c r="EI422" s="169"/>
      <c r="EJ422" s="169"/>
      <c r="EK422" s="169"/>
      <c r="EL422" s="169"/>
      <c r="EM422" s="169"/>
      <c r="EN422" s="169"/>
      <c r="EO422" s="169"/>
      <c r="EP422" s="169"/>
      <c r="EQ422" s="169"/>
      <c r="ER422" s="169"/>
      <c r="ES422" s="169"/>
      <c r="ET422" s="169"/>
      <c r="EU422" s="169"/>
      <c r="EV422" s="169"/>
      <c r="EW422" s="169"/>
      <c r="EX422" s="169"/>
    </row>
    <row r="423" spans="1:154">
      <c r="A423" s="333">
        <f t="shared" si="12"/>
        <v>2005</v>
      </c>
      <c r="B423" s="333">
        <f t="shared" si="13"/>
        <v>3</v>
      </c>
      <c r="C423" s="1175">
        <v>38534</v>
      </c>
      <c r="D423" s="1158">
        <v>333.98210730503536</v>
      </c>
      <c r="E423" s="1159">
        <v>565.51</v>
      </c>
      <c r="F423" s="1159">
        <v>424.48</v>
      </c>
      <c r="G423" s="1160"/>
      <c r="H423" s="1161"/>
      <c r="I423" s="1160"/>
      <c r="J423" s="1160"/>
      <c r="K423" s="1677">
        <v>14580.71</v>
      </c>
      <c r="L423" s="1677">
        <v>19386.664007445819</v>
      </c>
      <c r="M423" s="1681">
        <v>58.73</v>
      </c>
      <c r="N423" s="1162">
        <v>4805.49</v>
      </c>
      <c r="O423" s="1162">
        <v>1136.1255152240394</v>
      </c>
      <c r="P423" s="1162">
        <v>1588.1265789123788</v>
      </c>
      <c r="Q423" s="1163">
        <v>29.5</v>
      </c>
      <c r="R423" s="1164">
        <v>882.65026894120922</v>
      </c>
      <c r="S423" s="1164">
        <v>1034.4937330051005</v>
      </c>
      <c r="T423" s="1164">
        <v>2462.4418580545221</v>
      </c>
      <c r="U423" s="1165">
        <v>44160</v>
      </c>
      <c r="V423" s="1166"/>
      <c r="W423" s="1166"/>
      <c r="X423" s="635">
        <v>0.75209999999999999</v>
      </c>
      <c r="AI423" s="1859" t="s">
        <v>1</v>
      </c>
      <c r="AJ423" s="1860">
        <v>2012</v>
      </c>
      <c r="AK423" s="1859" t="s">
        <v>21</v>
      </c>
      <c r="AL423" s="1859">
        <v>3</v>
      </c>
      <c r="AM423" s="1861">
        <v>2975259000</v>
      </c>
      <c r="AN423" s="1831">
        <v>0.19614624313753928</v>
      </c>
      <c r="AP423" s="1781" t="s">
        <v>457</v>
      </c>
      <c r="AQ423" s="1781" t="s">
        <v>495</v>
      </c>
      <c r="AR423" s="1822" t="s">
        <v>386</v>
      </c>
      <c r="AS423" s="1822"/>
      <c r="AT423" s="1823">
        <v>646349477.08999991</v>
      </c>
      <c r="AU423" s="1825"/>
      <c r="AV423" s="1781">
        <v>2005</v>
      </c>
      <c r="EA423" s="169"/>
      <c r="EB423" s="169"/>
      <c r="EC423" s="169"/>
      <c r="ED423" s="169"/>
      <c r="EE423" s="169"/>
      <c r="EF423" s="169"/>
      <c r="EG423" s="169"/>
      <c r="EH423" s="169"/>
      <c r="EI423" s="169"/>
      <c r="EJ423" s="169"/>
      <c r="EK423" s="169"/>
      <c r="EL423" s="169"/>
      <c r="EM423" s="169"/>
      <c r="EN423" s="169"/>
      <c r="EO423" s="169"/>
      <c r="EP423" s="169"/>
      <c r="EQ423" s="169"/>
      <c r="ER423" s="169"/>
      <c r="ES423" s="169"/>
      <c r="ET423" s="169"/>
      <c r="EU423" s="169"/>
      <c r="EV423" s="169"/>
      <c r="EW423" s="169"/>
      <c r="EX423" s="169"/>
    </row>
    <row r="424" spans="1:154">
      <c r="A424" s="333">
        <f t="shared" si="12"/>
        <v>2005</v>
      </c>
      <c r="B424" s="333">
        <f t="shared" si="13"/>
        <v>3</v>
      </c>
      <c r="C424" s="1175">
        <v>38565</v>
      </c>
      <c r="D424" s="1167">
        <v>316.32990917532294</v>
      </c>
      <c r="E424" s="1168">
        <v>576.35</v>
      </c>
      <c r="F424" s="1168">
        <v>437.93</v>
      </c>
      <c r="G424" s="1168"/>
      <c r="H424" s="1167"/>
      <c r="I424" s="1168"/>
      <c r="J424" s="1168"/>
      <c r="K424" s="1678">
        <v>14892.73</v>
      </c>
      <c r="L424" s="1678">
        <v>19546.830292689327</v>
      </c>
      <c r="M424" s="1682">
        <v>67.67</v>
      </c>
      <c r="N424" s="1169">
        <v>4984.58</v>
      </c>
      <c r="O424" s="1169">
        <v>1164.2210263814147</v>
      </c>
      <c r="P424" s="1169">
        <v>1704.1475259220372</v>
      </c>
      <c r="Q424" s="1167">
        <v>30.2</v>
      </c>
      <c r="R424" s="1167">
        <v>856.05561841384224</v>
      </c>
      <c r="S424" s="1167">
        <v>1027.3821778344279</v>
      </c>
      <c r="T424" s="1167">
        <v>2439.6063175602794</v>
      </c>
      <c r="U424" s="1167">
        <v>50638</v>
      </c>
      <c r="V424" s="1167"/>
      <c r="W424" s="1167"/>
      <c r="X424" s="344">
        <v>0.76190000000000002</v>
      </c>
      <c r="AI424" s="1859" t="s">
        <v>1</v>
      </c>
      <c r="AJ424" s="1860">
        <v>2012</v>
      </c>
      <c r="AK424" s="1859" t="s">
        <v>61</v>
      </c>
      <c r="AL424" s="1859">
        <v>4</v>
      </c>
      <c r="AM424" s="1861">
        <v>1338426000</v>
      </c>
      <c r="AN424" s="1831">
        <v>8.823676581353225E-2</v>
      </c>
      <c r="AP424" s="1781" t="s">
        <v>457</v>
      </c>
      <c r="AQ424" s="1781" t="s">
        <v>471</v>
      </c>
      <c r="AR424" s="1822" t="s">
        <v>138</v>
      </c>
      <c r="AS424" s="1822">
        <v>1</v>
      </c>
      <c r="AT424" s="1823">
        <v>115026547.52000001</v>
      </c>
      <c r="AU424" s="1825">
        <v>5.7783411207394574E-2</v>
      </c>
      <c r="AV424" s="1781">
        <v>2004</v>
      </c>
      <c r="EA424" s="169"/>
      <c r="EB424" s="169"/>
      <c r="EC424" s="169"/>
      <c r="ED424" s="169"/>
      <c r="EE424" s="169"/>
      <c r="EF424" s="169"/>
      <c r="EG424" s="169"/>
      <c r="EH424" s="169"/>
      <c r="EI424" s="169"/>
      <c r="EJ424" s="169"/>
      <c r="EK424" s="169"/>
      <c r="EL424" s="169"/>
      <c r="EM424" s="169"/>
      <c r="EN424" s="169"/>
      <c r="EO424" s="169"/>
      <c r="EP424" s="169"/>
      <c r="EQ424" s="169"/>
      <c r="ER424" s="169"/>
      <c r="ES424" s="169"/>
      <c r="ET424" s="169"/>
      <c r="EU424" s="169"/>
      <c r="EV424" s="169"/>
      <c r="EW424" s="169"/>
      <c r="EX424" s="169"/>
    </row>
    <row r="425" spans="1:154">
      <c r="A425" s="333">
        <f t="shared" si="12"/>
        <v>2005</v>
      </c>
      <c r="B425" s="333">
        <f t="shared" si="13"/>
        <v>3</v>
      </c>
      <c r="C425" s="1175">
        <v>38596</v>
      </c>
      <c r="D425" s="1158">
        <v>331.73440924071286</v>
      </c>
      <c r="E425" s="1159">
        <v>594.91</v>
      </c>
      <c r="F425" s="1159">
        <v>456.04</v>
      </c>
      <c r="G425" s="1160"/>
      <c r="H425" s="1161"/>
      <c r="I425" s="1160"/>
      <c r="J425" s="1160"/>
      <c r="K425" s="1677">
        <v>14228.18</v>
      </c>
      <c r="L425" s="1677">
        <v>18586.779882429786</v>
      </c>
      <c r="M425" s="1681">
        <v>68.09</v>
      </c>
      <c r="N425" s="1162">
        <v>5039.63</v>
      </c>
      <c r="O425" s="1162">
        <v>1218.9026779882431</v>
      </c>
      <c r="P425" s="1162">
        <v>1825.6303069888961</v>
      </c>
      <c r="Q425" s="1163">
        <v>31.25</v>
      </c>
      <c r="R425" s="1164">
        <v>856.44130925507898</v>
      </c>
      <c r="S425" s="1164">
        <v>1040.9559768134106</v>
      </c>
      <c r="T425" s="1164">
        <v>2412.9304289277225</v>
      </c>
      <c r="U425" s="1165">
        <v>49320</v>
      </c>
      <c r="V425" s="1166"/>
      <c r="W425" s="1166"/>
      <c r="X425" s="635">
        <v>0.76549999999999996</v>
      </c>
      <c r="AI425" s="1859" t="s">
        <v>1</v>
      </c>
      <c r="AJ425" s="1860">
        <v>2012</v>
      </c>
      <c r="AK425" s="1859" t="s">
        <v>33</v>
      </c>
      <c r="AL425" s="1859">
        <v>5</v>
      </c>
      <c r="AM425" s="1861">
        <v>840048000</v>
      </c>
      <c r="AN425" s="1831">
        <v>5.538081197475702E-2</v>
      </c>
      <c r="AP425" s="1781" t="s">
        <v>457</v>
      </c>
      <c r="AQ425" s="1781" t="s">
        <v>471</v>
      </c>
      <c r="AR425" s="1822" t="s">
        <v>18</v>
      </c>
      <c r="AS425" s="1822">
        <v>2</v>
      </c>
      <c r="AT425" s="1823">
        <v>84621241.924999997</v>
      </c>
      <c r="AU425" s="1825">
        <v>4.2509352183960014E-2</v>
      </c>
      <c r="AV425" s="1781">
        <v>2004</v>
      </c>
      <c r="EA425" s="169"/>
      <c r="EB425" s="169"/>
      <c r="EC425" s="169"/>
      <c r="ED425" s="169"/>
      <c r="EE425" s="169"/>
      <c r="EF425" s="169"/>
      <c r="EG425" s="169"/>
      <c r="EH425" s="169"/>
      <c r="EI425" s="169"/>
      <c r="EJ425" s="169"/>
      <c r="EK425" s="169"/>
      <c r="EL425" s="169"/>
      <c r="EM425" s="169"/>
      <c r="EN425" s="169"/>
      <c r="EO425" s="169"/>
      <c r="EP425" s="169"/>
      <c r="EQ425" s="169"/>
      <c r="ER425" s="169"/>
      <c r="ES425" s="169"/>
      <c r="ET425" s="169"/>
      <c r="EU425" s="169"/>
      <c r="EV425" s="169"/>
      <c r="EW425" s="169"/>
      <c r="EX425" s="169"/>
    </row>
    <row r="426" spans="1:154">
      <c r="A426" s="333">
        <f t="shared" si="12"/>
        <v>2005</v>
      </c>
      <c r="B426" s="333">
        <f t="shared" si="13"/>
        <v>4</v>
      </c>
      <c r="C426" s="1175">
        <v>38626</v>
      </c>
      <c r="D426" s="1167">
        <v>325.55</v>
      </c>
      <c r="E426" s="1168">
        <v>624.08000000000004</v>
      </c>
      <c r="F426" s="1168">
        <v>469.9</v>
      </c>
      <c r="G426" s="1168"/>
      <c r="H426" s="1167"/>
      <c r="I426" s="1168"/>
      <c r="J426" s="1168"/>
      <c r="K426" s="1678">
        <v>12402.9</v>
      </c>
      <c r="L426" s="1678">
        <v>16440.747613997879</v>
      </c>
      <c r="M426" s="1682">
        <v>63.18</v>
      </c>
      <c r="N426" s="1169">
        <v>5381.5</v>
      </c>
      <c r="O426" s="1169">
        <v>1330.3287380699894</v>
      </c>
      <c r="P426" s="1169">
        <v>1972.9586426299047</v>
      </c>
      <c r="Q426" s="1167">
        <v>33.25</v>
      </c>
      <c r="R426" s="1167">
        <v>879.83012155351321</v>
      </c>
      <c r="S426" s="1167">
        <v>1116.4539462272332</v>
      </c>
      <c r="T426" s="1167">
        <v>2464.4611632360411</v>
      </c>
      <c r="U426" s="1167">
        <v>45479</v>
      </c>
      <c r="V426" s="1167"/>
      <c r="W426" s="1167"/>
      <c r="X426" s="344">
        <v>0.75439999999999996</v>
      </c>
      <c r="AI426" s="1859" t="s">
        <v>1</v>
      </c>
      <c r="AJ426" s="1860">
        <v>2012</v>
      </c>
      <c r="AK426" s="1859" t="s">
        <v>758</v>
      </c>
      <c r="AL426" s="1859">
        <v>6</v>
      </c>
      <c r="AM426" s="1861">
        <v>259987000</v>
      </c>
      <c r="AN426" s="1831">
        <v>1.7139843393331279E-2</v>
      </c>
      <c r="AP426" s="1781" t="s">
        <v>457</v>
      </c>
      <c r="AQ426" s="1781" t="s">
        <v>471</v>
      </c>
      <c r="AR426" s="1822" t="s">
        <v>537</v>
      </c>
      <c r="AS426" s="1822">
        <v>3</v>
      </c>
      <c r="AT426" s="1823">
        <v>67461605.292525053</v>
      </c>
      <c r="AU426" s="1825">
        <v>3.3889234819041547E-2</v>
      </c>
      <c r="AV426" s="1781">
        <v>2004</v>
      </c>
      <c r="EA426" s="169"/>
      <c r="EB426" s="169"/>
      <c r="EC426" s="169"/>
      <c r="ED426" s="169"/>
      <c r="EE426" s="169"/>
      <c r="EF426" s="169"/>
      <c r="EG426" s="169"/>
      <c r="EH426" s="169"/>
      <c r="EI426" s="169"/>
      <c r="EJ426" s="169"/>
      <c r="EK426" s="169"/>
      <c r="EL426" s="169"/>
      <c r="EM426" s="169"/>
      <c r="EN426" s="169"/>
      <c r="EO426" s="169"/>
      <c r="EP426" s="169"/>
      <c r="EQ426" s="169"/>
      <c r="ER426" s="169"/>
      <c r="ES426" s="169"/>
      <c r="ET426" s="169"/>
      <c r="EU426" s="169"/>
      <c r="EV426" s="169"/>
      <c r="EW426" s="169"/>
      <c r="EX426" s="169"/>
    </row>
    <row r="427" spans="1:154">
      <c r="A427" s="333">
        <f t="shared" si="12"/>
        <v>2005</v>
      </c>
      <c r="B427" s="333">
        <f t="shared" si="13"/>
        <v>4</v>
      </c>
      <c r="C427" s="1175">
        <v>38657</v>
      </c>
      <c r="D427" s="1158">
        <v>339.25</v>
      </c>
      <c r="E427" s="1159">
        <v>646.74</v>
      </c>
      <c r="F427" s="1159">
        <v>476.68</v>
      </c>
      <c r="G427" s="1160"/>
      <c r="H427" s="1161"/>
      <c r="I427" s="1160"/>
      <c r="J427" s="1160"/>
      <c r="K427" s="1677">
        <v>12115.7</v>
      </c>
      <c r="L427" s="1677">
        <v>16472.739632902787</v>
      </c>
      <c r="M427" s="1681">
        <v>57.12</v>
      </c>
      <c r="N427" s="1162">
        <v>5804.62</v>
      </c>
      <c r="O427" s="1162">
        <v>1383.2766825288918</v>
      </c>
      <c r="P427" s="1162">
        <v>2190.210740992522</v>
      </c>
      <c r="Q427" s="1163">
        <v>34.5</v>
      </c>
      <c r="R427" s="1164">
        <v>900.91</v>
      </c>
      <c r="S427" s="1164">
        <v>1139.31</v>
      </c>
      <c r="T427" s="1164">
        <v>2543.1</v>
      </c>
      <c r="U427" s="1165">
        <v>44493</v>
      </c>
      <c r="V427" s="1166"/>
      <c r="W427" s="1166"/>
      <c r="X427" s="635">
        <v>0.73550000000000004</v>
      </c>
      <c r="AI427" s="1859" t="s">
        <v>1</v>
      </c>
      <c r="AJ427" s="1860">
        <v>2012</v>
      </c>
      <c r="AK427" s="1859" t="s">
        <v>371</v>
      </c>
      <c r="AL427" s="1859">
        <v>7</v>
      </c>
      <c r="AM427" s="1861">
        <v>215270000</v>
      </c>
      <c r="AN427" s="1831">
        <v>1.419184069696725E-2</v>
      </c>
      <c r="AP427" s="1781" t="s">
        <v>457</v>
      </c>
      <c r="AQ427" s="1781" t="s">
        <v>471</v>
      </c>
      <c r="AR427" s="1822" t="s">
        <v>23</v>
      </c>
      <c r="AS427" s="1822">
        <v>4</v>
      </c>
      <c r="AT427" s="1823">
        <v>55387698.417999998</v>
      </c>
      <c r="AU427" s="1825">
        <v>2.7823926063346143E-2</v>
      </c>
      <c r="AV427" s="1781">
        <v>2004</v>
      </c>
      <c r="EA427" s="169"/>
      <c r="EB427" s="169"/>
      <c r="EC427" s="169"/>
      <c r="ED427" s="169"/>
      <c r="EE427" s="169"/>
      <c r="EF427" s="169"/>
      <c r="EG427" s="169"/>
      <c r="EH427" s="169"/>
      <c r="EI427" s="169"/>
      <c r="EJ427" s="169"/>
      <c r="EK427" s="169"/>
      <c r="EL427" s="169"/>
      <c r="EM427" s="169"/>
      <c r="EN427" s="169"/>
      <c r="EO427" s="169"/>
      <c r="EP427" s="169"/>
      <c r="EQ427" s="169"/>
      <c r="ER427" s="169"/>
      <c r="ES427" s="169"/>
      <c r="ET427" s="169"/>
      <c r="EU427" s="169"/>
      <c r="EV427" s="169"/>
      <c r="EW427" s="169"/>
      <c r="EX427" s="169"/>
    </row>
    <row r="428" spans="1:154">
      <c r="A428" s="333">
        <f t="shared" si="12"/>
        <v>2005</v>
      </c>
      <c r="B428" s="333">
        <f t="shared" si="13"/>
        <v>4</v>
      </c>
      <c r="C428" s="1175">
        <v>38687</v>
      </c>
      <c r="D428" s="1167">
        <v>363.85</v>
      </c>
      <c r="E428" s="1168">
        <v>685.16</v>
      </c>
      <c r="F428" s="1168">
        <v>510.1</v>
      </c>
      <c r="G428" s="1168"/>
      <c r="H428" s="1167"/>
      <c r="I428" s="1168"/>
      <c r="J428" s="1168"/>
      <c r="K428" s="1678">
        <v>13429.25</v>
      </c>
      <c r="L428" s="1678">
        <v>18106.040177969528</v>
      </c>
      <c r="M428" s="1682">
        <v>61.12</v>
      </c>
      <c r="N428" s="1169">
        <v>6170.66</v>
      </c>
      <c r="O428" s="1169">
        <v>1515.5453687474719</v>
      </c>
      <c r="P428" s="1169">
        <v>2456.2896049615747</v>
      </c>
      <c r="Q428" s="1167">
        <v>36.25</v>
      </c>
      <c r="R428" s="1167">
        <v>828.91</v>
      </c>
      <c r="S428" s="1167">
        <v>993.54</v>
      </c>
      <c r="T428" s="1167">
        <v>2514.21</v>
      </c>
      <c r="U428" s="1167">
        <v>52017</v>
      </c>
      <c r="V428" s="1167"/>
      <c r="W428" s="1167"/>
      <c r="X428" s="344">
        <v>0.74170000000000003</v>
      </c>
      <c r="AI428" s="1859" t="s">
        <v>1</v>
      </c>
      <c r="AJ428" s="1860">
        <v>2012</v>
      </c>
      <c r="AK428" s="1859" t="s">
        <v>71</v>
      </c>
      <c r="AL428" s="1859">
        <v>8</v>
      </c>
      <c r="AM428" s="1861">
        <v>195010000</v>
      </c>
      <c r="AN428" s="1831">
        <v>1.2856184578973305E-2</v>
      </c>
      <c r="AP428" s="1781" t="s">
        <v>457</v>
      </c>
      <c r="AQ428" s="1781" t="s">
        <v>471</v>
      </c>
      <c r="AR428" s="1822" t="s">
        <v>470</v>
      </c>
      <c r="AS428" s="1822">
        <v>5</v>
      </c>
      <c r="AT428" s="1823">
        <v>48155308.840000004</v>
      </c>
      <c r="AU428" s="1825">
        <v>2.4190746158290009E-2</v>
      </c>
      <c r="AV428" s="1781">
        <v>2004</v>
      </c>
      <c r="EA428" s="169"/>
      <c r="EB428" s="169"/>
      <c r="EC428" s="169"/>
      <c r="ED428" s="169"/>
      <c r="EE428" s="169"/>
      <c r="EF428" s="169"/>
      <c r="EG428" s="169"/>
      <c r="EH428" s="169"/>
      <c r="EI428" s="169"/>
      <c r="EJ428" s="169"/>
      <c r="EK428" s="169"/>
      <c r="EL428" s="169"/>
      <c r="EM428" s="169"/>
      <c r="EN428" s="169"/>
      <c r="EO428" s="169"/>
      <c r="EP428" s="169"/>
      <c r="EQ428" s="169"/>
      <c r="ER428" s="169"/>
      <c r="ES428" s="169"/>
      <c r="ET428" s="169"/>
      <c r="EU428" s="169"/>
      <c r="EV428" s="169"/>
      <c r="EW428" s="169"/>
      <c r="EX428" s="169"/>
    </row>
    <row r="429" spans="1:154">
      <c r="A429" s="333">
        <f t="shared" si="12"/>
        <v>2006</v>
      </c>
      <c r="B429" s="333">
        <f t="shared" si="13"/>
        <v>1</v>
      </c>
      <c r="C429" s="1175">
        <v>38718</v>
      </c>
      <c r="D429" s="1158">
        <v>363.59</v>
      </c>
      <c r="E429" s="1159">
        <v>735.1</v>
      </c>
      <c r="F429" s="1159">
        <v>549.84</v>
      </c>
      <c r="G429" s="1160"/>
      <c r="H429" s="1161"/>
      <c r="I429" s="1160"/>
      <c r="J429" s="1160"/>
      <c r="K429" s="1677">
        <v>14555.24</v>
      </c>
      <c r="L429" s="1677">
        <v>19419.933288859236</v>
      </c>
      <c r="M429" s="1681">
        <v>69.010000000000005</v>
      </c>
      <c r="N429" s="1162">
        <v>6316.65</v>
      </c>
      <c r="O429" s="1162">
        <v>1676.2241494329551</v>
      </c>
      <c r="P429" s="1162">
        <v>2788.9392928619077</v>
      </c>
      <c r="Q429" s="1163">
        <v>37.5</v>
      </c>
      <c r="R429" s="1164">
        <v>894.88</v>
      </c>
      <c r="S429" s="1164">
        <v>942.58</v>
      </c>
      <c r="T429" s="1164">
        <v>2473.14</v>
      </c>
      <c r="U429" s="1165">
        <v>44214</v>
      </c>
      <c r="V429" s="1166"/>
      <c r="W429" s="1166"/>
      <c r="X429" s="635">
        <v>0.74950000000000006</v>
      </c>
      <c r="AI429" s="1859" t="s">
        <v>1</v>
      </c>
      <c r="AJ429" s="1860">
        <v>2012</v>
      </c>
      <c r="AK429" s="1859" t="s">
        <v>58</v>
      </c>
      <c r="AL429" s="1859">
        <v>9</v>
      </c>
      <c r="AM429" s="1861">
        <v>67507000</v>
      </c>
      <c r="AN429" s="1831">
        <v>4.4504510146800213E-3</v>
      </c>
      <c r="AP429" s="1781" t="s">
        <v>457</v>
      </c>
      <c r="AQ429" s="1781" t="s">
        <v>471</v>
      </c>
      <c r="AR429" s="1822" t="s">
        <v>70</v>
      </c>
      <c r="AS429" s="1822">
        <v>6</v>
      </c>
      <c r="AT429" s="1823">
        <v>41548691.688000001</v>
      </c>
      <c r="AU429" s="1825">
        <v>2.0871922079722705E-2</v>
      </c>
      <c r="AV429" s="1781">
        <v>2004</v>
      </c>
      <c r="EA429" s="169"/>
      <c r="EB429" s="169"/>
      <c r="EC429" s="169"/>
      <c r="ED429" s="169"/>
      <c r="EE429" s="169"/>
      <c r="EF429" s="169"/>
      <c r="EG429" s="169"/>
      <c r="EH429" s="169"/>
      <c r="EI429" s="169"/>
      <c r="EJ429" s="169"/>
      <c r="EK429" s="169"/>
      <c r="EL429" s="169"/>
      <c r="EM429" s="169"/>
      <c r="EN429" s="169"/>
      <c r="EO429" s="169"/>
      <c r="EP429" s="169"/>
      <c r="EQ429" s="169"/>
      <c r="ER429" s="169"/>
      <c r="ES429" s="169"/>
      <c r="ET429" s="169"/>
      <c r="EU429" s="169"/>
      <c r="EV429" s="169"/>
      <c r="EW429" s="169"/>
      <c r="EX429" s="169"/>
    </row>
    <row r="430" spans="1:154">
      <c r="A430" s="333">
        <f t="shared" si="12"/>
        <v>2006</v>
      </c>
      <c r="B430" s="333">
        <f t="shared" si="13"/>
        <v>1</v>
      </c>
      <c r="C430" s="1175">
        <v>38749</v>
      </c>
      <c r="D430" s="1167">
        <v>373.45</v>
      </c>
      <c r="E430" s="1168">
        <v>748.65</v>
      </c>
      <c r="F430" s="1168">
        <v>555</v>
      </c>
      <c r="G430" s="1168"/>
      <c r="H430" s="1167"/>
      <c r="I430" s="1168"/>
      <c r="J430" s="1168"/>
      <c r="K430" s="1678">
        <v>14978.75</v>
      </c>
      <c r="L430" s="1678">
        <v>20192.437314640065</v>
      </c>
      <c r="M430" s="1682">
        <v>66.260000000000005</v>
      </c>
      <c r="N430" s="1169">
        <v>6716.64</v>
      </c>
      <c r="O430" s="1169">
        <v>1721.5556753842004</v>
      </c>
      <c r="P430" s="1169">
        <v>2991.884605014829</v>
      </c>
      <c r="Q430" s="1167">
        <v>38.5</v>
      </c>
      <c r="R430" s="1167">
        <v>889.21</v>
      </c>
      <c r="S430" s="1167">
        <v>1058.8800000000001</v>
      </c>
      <c r="T430" s="1167">
        <v>2501.17</v>
      </c>
      <c r="U430" s="1167">
        <v>41608</v>
      </c>
      <c r="V430" s="1167"/>
      <c r="W430" s="1167"/>
      <c r="X430" s="344">
        <v>0.74180000000000001</v>
      </c>
      <c r="AI430" s="1859" t="s">
        <v>1</v>
      </c>
      <c r="AJ430" s="1860">
        <v>2012</v>
      </c>
      <c r="AK430" s="1859" t="s">
        <v>372</v>
      </c>
      <c r="AL430" s="1859">
        <v>10</v>
      </c>
      <c r="AM430" s="1861">
        <v>16377000</v>
      </c>
      <c r="AN430" s="1831">
        <v>1.079666349673585E-3</v>
      </c>
      <c r="AP430" s="1781" t="s">
        <v>457</v>
      </c>
      <c r="AQ430" s="1781" t="s">
        <v>471</v>
      </c>
      <c r="AR430" s="1822" t="s">
        <v>20</v>
      </c>
      <c r="AS430" s="1822">
        <v>7</v>
      </c>
      <c r="AT430" s="1823">
        <v>26455487.732585624</v>
      </c>
      <c r="AU430" s="1825">
        <v>1.3289874027370771E-2</v>
      </c>
      <c r="AV430" s="1781">
        <v>2004</v>
      </c>
      <c r="EA430" s="169"/>
      <c r="EB430" s="169"/>
      <c r="EC430" s="169"/>
      <c r="ED430" s="169"/>
      <c r="EE430" s="169"/>
      <c r="EF430" s="169"/>
      <c r="EG430" s="169"/>
      <c r="EH430" s="169"/>
      <c r="EI430" s="169"/>
      <c r="EJ430" s="169"/>
      <c r="EK430" s="169"/>
      <c r="EL430" s="169"/>
      <c r="EM430" s="169"/>
      <c r="EN430" s="169"/>
      <c r="EO430" s="169"/>
      <c r="EP430" s="169"/>
      <c r="EQ430" s="169"/>
      <c r="ER430" s="169"/>
      <c r="ES430" s="169"/>
      <c r="ET430" s="169"/>
      <c r="EU430" s="169"/>
      <c r="EV430" s="169"/>
      <c r="EW430" s="169"/>
      <c r="EX430" s="169"/>
    </row>
    <row r="431" spans="1:154">
      <c r="A431" s="333">
        <f t="shared" si="12"/>
        <v>2006</v>
      </c>
      <c r="B431" s="333">
        <f t="shared" si="13"/>
        <v>1</v>
      </c>
      <c r="C431" s="1175">
        <v>38777</v>
      </c>
      <c r="D431" s="1158">
        <v>383.53</v>
      </c>
      <c r="E431" s="1159">
        <v>766.08</v>
      </c>
      <c r="F431" s="1159">
        <v>557.09</v>
      </c>
      <c r="G431" s="1160"/>
      <c r="H431" s="1161"/>
      <c r="I431" s="1160"/>
      <c r="J431" s="1160"/>
      <c r="K431" s="1677">
        <v>14897.39</v>
      </c>
      <c r="L431" s="1677">
        <v>20488.777334616971</v>
      </c>
      <c r="M431" s="1681">
        <v>66.44</v>
      </c>
      <c r="N431" s="1162">
        <v>7018.09</v>
      </c>
      <c r="O431" s="1162">
        <v>1639.5131343694127</v>
      </c>
      <c r="P431" s="1162">
        <v>3324.0407096685462</v>
      </c>
      <c r="Q431" s="1163">
        <v>40.5</v>
      </c>
      <c r="R431" s="1164">
        <v>916.52</v>
      </c>
      <c r="S431" s="1164">
        <v>1192.98</v>
      </c>
      <c r="T431" s="1164">
        <v>2543.16</v>
      </c>
      <c r="U431" s="1165">
        <v>45314</v>
      </c>
      <c r="V431" s="1166"/>
      <c r="W431" s="1166"/>
      <c r="X431" s="635">
        <v>0.72709999999999997</v>
      </c>
      <c r="AI431" s="1859" t="s">
        <v>1</v>
      </c>
      <c r="AJ431" s="1860">
        <v>2012</v>
      </c>
      <c r="AK431" s="1859" t="s">
        <v>39</v>
      </c>
      <c r="AL431" s="1859"/>
      <c r="AM431" s="1861">
        <v>10598000</v>
      </c>
      <c r="AN431" s="1831">
        <v>6.9868131976800725E-4</v>
      </c>
      <c r="AP431" s="1781" t="s">
        <v>457</v>
      </c>
      <c r="AQ431" s="1781" t="s">
        <v>471</v>
      </c>
      <c r="AR431" s="1822" t="s">
        <v>54</v>
      </c>
      <c r="AS431" s="1822">
        <v>8</v>
      </c>
      <c r="AT431" s="1823">
        <v>24321781.48</v>
      </c>
      <c r="AU431" s="1825">
        <v>1.2218009936452917E-2</v>
      </c>
      <c r="AV431" s="1781">
        <v>2004</v>
      </c>
      <c r="EA431" s="169"/>
      <c r="EB431" s="169"/>
      <c r="EC431" s="169"/>
      <c r="ED431" s="169"/>
      <c r="EE431" s="169"/>
      <c r="EF431" s="169"/>
      <c r="EG431" s="169"/>
      <c r="EH431" s="169"/>
      <c r="EI431" s="169"/>
      <c r="EJ431" s="169"/>
      <c r="EK431" s="169"/>
      <c r="EL431" s="169"/>
      <c r="EM431" s="169"/>
      <c r="EN431" s="169"/>
      <c r="EO431" s="169"/>
      <c r="EP431" s="169"/>
      <c r="EQ431" s="169"/>
      <c r="ER431" s="169"/>
      <c r="ES431" s="169"/>
      <c r="ET431" s="169"/>
      <c r="EU431" s="169"/>
      <c r="EV431" s="169"/>
      <c r="EW431" s="169"/>
      <c r="EX431" s="169"/>
    </row>
    <row r="432" spans="1:154">
      <c r="A432" s="333">
        <f t="shared" si="12"/>
        <v>2006</v>
      </c>
      <c r="B432" s="333">
        <f t="shared" si="13"/>
        <v>2</v>
      </c>
      <c r="C432" s="1175">
        <v>38808</v>
      </c>
      <c r="D432" s="1167">
        <v>412.23</v>
      </c>
      <c r="E432" s="1168">
        <v>828.08</v>
      </c>
      <c r="F432" s="1168">
        <v>610.65</v>
      </c>
      <c r="G432" s="1168"/>
      <c r="H432" s="1167"/>
      <c r="I432" s="1168"/>
      <c r="J432" s="1168"/>
      <c r="K432" s="1678">
        <v>17942.22</v>
      </c>
      <c r="L432" s="1678">
        <v>24394.588715159756</v>
      </c>
      <c r="M432" s="1682">
        <v>74.3</v>
      </c>
      <c r="N432" s="1169">
        <v>8684.9500000000007</v>
      </c>
      <c r="O432" s="1169">
        <v>1591.3256288239293</v>
      </c>
      <c r="P432" s="1169">
        <v>4194.126444595513</v>
      </c>
      <c r="Q432" s="1167">
        <v>41.6</v>
      </c>
      <c r="R432" s="1167">
        <v>967.92</v>
      </c>
      <c r="S432" s="1167">
        <v>1165.99</v>
      </c>
      <c r="T432" s="1167">
        <v>2549.21</v>
      </c>
      <c r="U432" s="1167">
        <v>49364</v>
      </c>
      <c r="V432" s="1167"/>
      <c r="W432" s="1167"/>
      <c r="X432" s="344">
        <v>0.73550000000000004</v>
      </c>
      <c r="AI432" s="1859" t="s">
        <v>1</v>
      </c>
      <c r="AJ432" s="1860">
        <v>2012</v>
      </c>
      <c r="AK432" s="1859" t="s">
        <v>386</v>
      </c>
      <c r="AL432" s="1859"/>
      <c r="AM432" s="1861">
        <v>15168575000</v>
      </c>
      <c r="AN432" s="1831">
        <v>1</v>
      </c>
      <c r="AP432" s="1781" t="s">
        <v>457</v>
      </c>
      <c r="AQ432" s="1781" t="s">
        <v>471</v>
      </c>
      <c r="AR432" s="1822" t="s">
        <v>31</v>
      </c>
      <c r="AS432" s="1822">
        <v>9</v>
      </c>
      <c r="AT432" s="1823">
        <v>20198596</v>
      </c>
      <c r="AU432" s="1825">
        <v>1.0146733981362871E-2</v>
      </c>
      <c r="AV432" s="1781">
        <v>2004</v>
      </c>
      <c r="EA432" s="169"/>
      <c r="EB432" s="169"/>
      <c r="EC432" s="169"/>
      <c r="ED432" s="169"/>
      <c r="EE432" s="169"/>
      <c r="EF432" s="169"/>
      <c r="EG432" s="169"/>
      <c r="EH432" s="169"/>
      <c r="EI432" s="169"/>
      <c r="EJ432" s="169"/>
      <c r="EK432" s="169"/>
      <c r="EL432" s="169"/>
      <c r="EM432" s="169"/>
      <c r="EN432" s="169"/>
      <c r="EO432" s="169"/>
      <c r="EP432" s="169"/>
      <c r="EQ432" s="169"/>
      <c r="ER432" s="169"/>
      <c r="ES432" s="169"/>
      <c r="ET432" s="169"/>
      <c r="EU432" s="169"/>
      <c r="EV432" s="169"/>
      <c r="EW432" s="169"/>
      <c r="EX432" s="169"/>
    </row>
    <row r="433" spans="1:154">
      <c r="A433" s="333">
        <f t="shared" si="12"/>
        <v>2006</v>
      </c>
      <c r="B433" s="333">
        <f t="shared" si="13"/>
        <v>2</v>
      </c>
      <c r="C433" s="1175">
        <v>38838</v>
      </c>
      <c r="D433" s="1158">
        <v>403.12</v>
      </c>
      <c r="E433" s="1159">
        <v>883.54</v>
      </c>
      <c r="F433" s="1159">
        <v>675.39</v>
      </c>
      <c r="G433" s="1160"/>
      <c r="H433" s="1161"/>
      <c r="I433" s="1160"/>
      <c r="J433" s="1160"/>
      <c r="K433" s="1677">
        <v>21077.14</v>
      </c>
      <c r="L433" s="1677">
        <v>27605.946299934512</v>
      </c>
      <c r="M433" s="1681">
        <v>74.680000000000007</v>
      </c>
      <c r="N433" s="1162">
        <v>10538.13</v>
      </c>
      <c r="O433" s="1162">
        <v>1528.3038637851996</v>
      </c>
      <c r="P433" s="1162">
        <v>4670.1899148657503</v>
      </c>
      <c r="Q433" s="1163">
        <v>43</v>
      </c>
      <c r="R433" s="1164">
        <v>932.34</v>
      </c>
      <c r="S433" s="1164">
        <v>1048.07</v>
      </c>
      <c r="T433" s="1164">
        <v>2447.35</v>
      </c>
      <c r="U433" s="1165">
        <v>48005</v>
      </c>
      <c r="V433" s="1166"/>
      <c r="W433" s="1166"/>
      <c r="X433" s="635">
        <v>0.76349999999999996</v>
      </c>
      <c r="AI433" s="1862" t="s">
        <v>1</v>
      </c>
      <c r="AJ433" s="1863">
        <v>2013</v>
      </c>
      <c r="AK433" s="1862" t="s">
        <v>530</v>
      </c>
      <c r="AL433" s="1862">
        <v>1</v>
      </c>
      <c r="AM433" s="1864">
        <v>8075169000</v>
      </c>
      <c r="AN433" s="1831">
        <v>0.60194251543195498</v>
      </c>
      <c r="AP433" s="1781" t="s">
        <v>457</v>
      </c>
      <c r="AQ433" s="1781" t="s">
        <v>471</v>
      </c>
      <c r="AR433" s="1822" t="s">
        <v>27</v>
      </c>
      <c r="AS433" s="1822">
        <v>10</v>
      </c>
      <c r="AT433" s="1823">
        <v>19528242.920000002</v>
      </c>
      <c r="AU433" s="1825">
        <v>9.8099831311380722E-3</v>
      </c>
      <c r="AV433" s="1781">
        <v>2004</v>
      </c>
      <c r="EA433" s="169"/>
      <c r="EB433" s="169"/>
      <c r="EC433" s="169"/>
      <c r="ED433" s="169"/>
      <c r="EE433" s="169"/>
      <c r="EF433" s="169"/>
      <c r="EG433" s="169"/>
      <c r="EH433" s="169"/>
      <c r="EI433" s="169"/>
      <c r="EJ433" s="169"/>
      <c r="EK433" s="169"/>
      <c r="EL433" s="169"/>
      <c r="EM433" s="169"/>
      <c r="EN433" s="169"/>
      <c r="EO433" s="169"/>
      <c r="EP433" s="169"/>
      <c r="EQ433" s="169"/>
      <c r="ER433" s="169"/>
      <c r="ES433" s="169"/>
      <c r="ET433" s="169"/>
      <c r="EU433" s="169"/>
      <c r="EV433" s="169"/>
      <c r="EW433" s="169"/>
      <c r="EX433" s="169"/>
    </row>
    <row r="434" spans="1:154">
      <c r="A434" s="333">
        <f t="shared" si="12"/>
        <v>2006</v>
      </c>
      <c r="B434" s="333">
        <f t="shared" si="13"/>
        <v>2</v>
      </c>
      <c r="C434" s="1175">
        <v>38869</v>
      </c>
      <c r="D434" s="1167">
        <v>431.47</v>
      </c>
      <c r="E434" s="1168">
        <v>808.66</v>
      </c>
      <c r="F434" s="1168">
        <v>596.15</v>
      </c>
      <c r="G434" s="1168"/>
      <c r="H434" s="1167"/>
      <c r="I434" s="1168"/>
      <c r="J434" s="1168"/>
      <c r="K434" s="1678">
        <v>20754.55</v>
      </c>
      <c r="L434" s="1678">
        <v>28035.32351749291</v>
      </c>
      <c r="M434" s="1682">
        <v>71.55</v>
      </c>
      <c r="N434" s="1169">
        <v>9722.56</v>
      </c>
      <c r="O434" s="1169">
        <v>1301.9856814804809</v>
      </c>
      <c r="P434" s="1169">
        <v>4357.2605700391732</v>
      </c>
      <c r="Q434" s="1167">
        <v>45.5</v>
      </c>
      <c r="R434" s="1167">
        <v>902.54</v>
      </c>
      <c r="S434" s="1167">
        <v>1133.3</v>
      </c>
      <c r="T434" s="1167">
        <v>2474.6</v>
      </c>
      <c r="U434" s="1167">
        <v>46904</v>
      </c>
      <c r="V434" s="1167"/>
      <c r="W434" s="1167"/>
      <c r="X434" s="344">
        <v>0.74029999999999996</v>
      </c>
      <c r="AI434" s="1862" t="s">
        <v>1</v>
      </c>
      <c r="AJ434" s="1863">
        <v>2013</v>
      </c>
      <c r="AK434" s="1862" t="s">
        <v>21</v>
      </c>
      <c r="AL434" s="1862">
        <v>2</v>
      </c>
      <c r="AM434" s="1864">
        <v>1371273000</v>
      </c>
      <c r="AN434" s="1831">
        <v>0.10221798688843828</v>
      </c>
      <c r="AP434" s="1781" t="s">
        <v>457</v>
      </c>
      <c r="AQ434" s="1781" t="s">
        <v>471</v>
      </c>
      <c r="AR434" s="1822" t="s">
        <v>385</v>
      </c>
      <c r="AS434" s="1822">
        <v>11</v>
      </c>
      <c r="AT434" s="1823">
        <v>15884585.199999999</v>
      </c>
      <c r="AU434" s="1825">
        <v>7.9795972169894244E-3</v>
      </c>
      <c r="AV434" s="1781">
        <v>2004</v>
      </c>
      <c r="EA434" s="169"/>
      <c r="EB434" s="169"/>
      <c r="EC434" s="169"/>
      <c r="ED434" s="169"/>
      <c r="EE434" s="169"/>
      <c r="EF434" s="169"/>
      <c r="EG434" s="169"/>
      <c r="EH434" s="169"/>
      <c r="EI434" s="169"/>
      <c r="EJ434" s="169"/>
      <c r="EK434" s="169"/>
      <c r="EL434" s="169"/>
      <c r="EM434" s="169"/>
      <c r="EN434" s="169"/>
      <c r="EO434" s="169"/>
      <c r="EP434" s="169"/>
      <c r="EQ434" s="169"/>
      <c r="ER434" s="169"/>
      <c r="ES434" s="169"/>
      <c r="ET434" s="169"/>
      <c r="EU434" s="169"/>
      <c r="EV434" s="169"/>
      <c r="EW434" s="169"/>
      <c r="EX434" s="169"/>
    </row>
    <row r="435" spans="1:154">
      <c r="A435" s="333">
        <f t="shared" si="12"/>
        <v>2006</v>
      </c>
      <c r="B435" s="333">
        <f t="shared" si="13"/>
        <v>3</v>
      </c>
      <c r="C435" s="1175">
        <v>38899</v>
      </c>
      <c r="D435" s="1158">
        <v>398.98</v>
      </c>
      <c r="E435" s="1159">
        <v>845.83</v>
      </c>
      <c r="F435" s="1159">
        <v>633.71</v>
      </c>
      <c r="G435" s="1160"/>
      <c r="H435" s="1161"/>
      <c r="I435" s="1160"/>
      <c r="J435" s="1160"/>
      <c r="K435" s="1677">
        <v>26586.19</v>
      </c>
      <c r="L435" s="1677">
        <v>35339.877708361026</v>
      </c>
      <c r="M435" s="1681">
        <v>76.739999999999995</v>
      </c>
      <c r="N435" s="1162">
        <v>10251.36</v>
      </c>
      <c r="O435" s="1162">
        <v>1398.8834241658915</v>
      </c>
      <c r="P435" s="1162">
        <v>4439.5321015552308</v>
      </c>
      <c r="Q435" s="1163">
        <v>47.25</v>
      </c>
      <c r="R435" s="1164">
        <v>898.18</v>
      </c>
      <c r="S435" s="1164">
        <v>1140.23</v>
      </c>
      <c r="T435" s="1164">
        <v>2486.16</v>
      </c>
      <c r="U435" s="1165">
        <v>44965</v>
      </c>
      <c r="V435" s="1166"/>
      <c r="W435" s="1166"/>
      <c r="X435" s="635">
        <v>0.75229999999999997</v>
      </c>
      <c r="AI435" s="1862" t="s">
        <v>1</v>
      </c>
      <c r="AJ435" s="1863">
        <v>2013</v>
      </c>
      <c r="AK435" s="1862" t="s">
        <v>33</v>
      </c>
      <c r="AL435" s="1862">
        <v>3</v>
      </c>
      <c r="AM435" s="1864">
        <v>1131055000</v>
      </c>
      <c r="AN435" s="1831">
        <v>8.4311559521774687E-2</v>
      </c>
      <c r="AP435" s="1781" t="s">
        <v>457</v>
      </c>
      <c r="AQ435" s="1781" t="s">
        <v>471</v>
      </c>
      <c r="AR435" s="1822" t="s">
        <v>66</v>
      </c>
      <c r="AS435" s="1822">
        <v>12</v>
      </c>
      <c r="AT435" s="1823">
        <v>13094795.16</v>
      </c>
      <c r="AU435" s="1825">
        <v>6.5781504332755635E-3</v>
      </c>
      <c r="AV435" s="1781">
        <v>2004</v>
      </c>
      <c r="EA435" s="169"/>
      <c r="EB435" s="169"/>
      <c r="EC435" s="169"/>
      <c r="ED435" s="169"/>
      <c r="EE435" s="169"/>
      <c r="EF435" s="169"/>
      <c r="EG435" s="169"/>
      <c r="EH435" s="169"/>
      <c r="EI435" s="169"/>
      <c r="EJ435" s="169"/>
      <c r="EK435" s="169"/>
      <c r="EL435" s="169"/>
      <c r="EM435" s="169"/>
      <c r="EN435" s="169"/>
      <c r="EO435" s="169"/>
      <c r="EP435" s="169"/>
      <c r="EQ435" s="169"/>
      <c r="ER435" s="169"/>
      <c r="ES435" s="169"/>
      <c r="ET435" s="169"/>
      <c r="EU435" s="169"/>
      <c r="EV435" s="169"/>
      <c r="EW435" s="169"/>
      <c r="EX435" s="169"/>
    </row>
    <row r="436" spans="1:154">
      <c r="A436" s="333">
        <f t="shared" si="12"/>
        <v>2006</v>
      </c>
      <c r="B436" s="333">
        <f t="shared" si="13"/>
        <v>3</v>
      </c>
      <c r="C436" s="1175">
        <v>38930</v>
      </c>
      <c r="D436" s="1167">
        <v>392.25749167780748</v>
      </c>
      <c r="E436" s="1168">
        <v>826.69</v>
      </c>
      <c r="F436" s="1168">
        <v>632.59</v>
      </c>
      <c r="G436" s="1168"/>
      <c r="H436" s="1167"/>
      <c r="I436" s="1168"/>
      <c r="J436" s="1168"/>
      <c r="K436" s="1678">
        <v>30743.64</v>
      </c>
      <c r="L436" s="1678">
        <v>40293.106159895149</v>
      </c>
      <c r="M436" s="1682">
        <v>78.77</v>
      </c>
      <c r="N436" s="1169">
        <v>10086.06</v>
      </c>
      <c r="O436" s="1169">
        <v>1538.8466579292269</v>
      </c>
      <c r="P436" s="1169">
        <v>4387.0249017038013</v>
      </c>
      <c r="Q436" s="1167">
        <v>48.5</v>
      </c>
      <c r="R436" s="1167">
        <v>917.13126362522473</v>
      </c>
      <c r="S436" s="1167">
        <v>1143.8677636199459</v>
      </c>
      <c r="T436" s="1167">
        <v>2449.5589553392056</v>
      </c>
      <c r="U436" s="1167">
        <v>53147</v>
      </c>
      <c r="V436" s="1167"/>
      <c r="W436" s="1167"/>
      <c r="X436" s="344">
        <v>0.76300000000000001</v>
      </c>
      <c r="AI436" s="1862" t="s">
        <v>1</v>
      </c>
      <c r="AJ436" s="1863">
        <v>2013</v>
      </c>
      <c r="AK436" s="1862" t="s">
        <v>61</v>
      </c>
      <c r="AL436" s="1862">
        <v>4</v>
      </c>
      <c r="AM436" s="1864">
        <v>897737000</v>
      </c>
      <c r="AN436" s="1831">
        <v>6.6919474747381386E-2</v>
      </c>
      <c r="AP436" s="1781" t="s">
        <v>457</v>
      </c>
      <c r="AQ436" s="1781" t="s">
        <v>471</v>
      </c>
      <c r="AR436" s="1822" t="s">
        <v>39</v>
      </c>
      <c r="AS436" s="1822"/>
      <c r="AT436" s="1823">
        <v>22575218.998999998</v>
      </c>
      <c r="AU436" s="1825">
        <v>1.1340626930399618E-2</v>
      </c>
      <c r="AV436" s="1781">
        <v>2004</v>
      </c>
      <c r="EA436" s="169"/>
      <c r="EB436" s="169"/>
      <c r="EC436" s="169"/>
      <c r="ED436" s="169"/>
      <c r="EE436" s="169"/>
      <c r="EF436" s="169"/>
      <c r="EG436" s="169"/>
      <c r="EH436" s="169"/>
      <c r="EI436" s="169"/>
      <c r="EJ436" s="169"/>
      <c r="EK436" s="169"/>
      <c r="EL436" s="169"/>
      <c r="EM436" s="169"/>
      <c r="EN436" s="169"/>
      <c r="EO436" s="169"/>
      <c r="EP436" s="169"/>
      <c r="EQ436" s="169"/>
      <c r="ER436" s="169"/>
      <c r="ES436" s="169"/>
      <c r="ET436" s="169"/>
      <c r="EU436" s="169"/>
      <c r="EV436" s="169"/>
      <c r="EW436" s="169"/>
      <c r="EX436" s="169"/>
    </row>
    <row r="437" spans="1:154">
      <c r="A437" s="333">
        <f t="shared" si="12"/>
        <v>2006</v>
      </c>
      <c r="B437" s="333">
        <f t="shared" si="13"/>
        <v>3</v>
      </c>
      <c r="C437" s="1175">
        <v>38961</v>
      </c>
      <c r="D437" s="1158">
        <v>399.63102339351019</v>
      </c>
      <c r="E437" s="1159">
        <v>795.58</v>
      </c>
      <c r="F437" s="1159">
        <v>598.19000000000005</v>
      </c>
      <c r="G437" s="1160"/>
      <c r="H437" s="1161"/>
      <c r="I437" s="1160"/>
      <c r="J437" s="1160"/>
      <c r="K437" s="1677">
        <v>31400</v>
      </c>
      <c r="L437" s="1677">
        <v>41556.379036527258</v>
      </c>
      <c r="M437" s="1681">
        <v>69.73</v>
      </c>
      <c r="N437" s="1162">
        <v>10065.51</v>
      </c>
      <c r="O437" s="1162">
        <v>1867.3901535203811</v>
      </c>
      <c r="P437" s="1162">
        <v>4501.0587612493382</v>
      </c>
      <c r="Q437" s="1163">
        <v>54</v>
      </c>
      <c r="R437" s="1164">
        <v>897.15104429421854</v>
      </c>
      <c r="S437" s="1164">
        <v>1110.0415290428209</v>
      </c>
      <c r="T437" s="1164">
        <v>2479.65</v>
      </c>
      <c r="U437" s="1165">
        <v>59157</v>
      </c>
      <c r="V437" s="1166"/>
      <c r="W437" s="1166"/>
      <c r="X437" s="635">
        <v>0.75560000000000005</v>
      </c>
      <c r="AI437" s="1862" t="s">
        <v>1</v>
      </c>
      <c r="AJ437" s="1863">
        <v>2013</v>
      </c>
      <c r="AK437" s="1862" t="s">
        <v>71</v>
      </c>
      <c r="AL437" s="1862">
        <v>5</v>
      </c>
      <c r="AM437" s="1864">
        <v>681104000</v>
      </c>
      <c r="AN437" s="1831">
        <v>5.0771129995021314E-2</v>
      </c>
      <c r="AP437" s="1781" t="s">
        <v>457</v>
      </c>
      <c r="AQ437" s="1781" t="s">
        <v>471</v>
      </c>
      <c r="AR437" s="1822" t="s">
        <v>386</v>
      </c>
      <c r="AS437" s="1822"/>
      <c r="AT437" s="1823">
        <v>554259801.17511058</v>
      </c>
      <c r="AU437" s="1825"/>
      <c r="AV437" s="1781">
        <v>2004</v>
      </c>
      <c r="EA437" s="169"/>
      <c r="EB437" s="169"/>
      <c r="EC437" s="169"/>
      <c r="ED437" s="169"/>
      <c r="EE437" s="169"/>
      <c r="EF437" s="169"/>
      <c r="EG437" s="169"/>
      <c r="EH437" s="169"/>
      <c r="EI437" s="169"/>
      <c r="EJ437" s="169"/>
      <c r="EK437" s="169"/>
      <c r="EL437" s="169"/>
      <c r="EM437" s="169"/>
      <c r="EN437" s="169"/>
      <c r="EO437" s="169"/>
      <c r="EP437" s="169"/>
      <c r="EQ437" s="169"/>
      <c r="ER437" s="169"/>
      <c r="ES437" s="169"/>
      <c r="ET437" s="169"/>
      <c r="EU437" s="169"/>
      <c r="EV437" s="169"/>
      <c r="EW437" s="169"/>
      <c r="EX437" s="169"/>
    </row>
    <row r="438" spans="1:154">
      <c r="A438" s="333">
        <f t="shared" si="12"/>
        <v>2006</v>
      </c>
      <c r="B438" s="333">
        <f t="shared" si="13"/>
        <v>4</v>
      </c>
      <c r="C438" s="1175">
        <v>38991</v>
      </c>
      <c r="D438" s="1167">
        <v>425.31</v>
      </c>
      <c r="E438" s="1168">
        <v>779.94</v>
      </c>
      <c r="F438" s="1168">
        <v>585.78</v>
      </c>
      <c r="G438" s="1168"/>
      <c r="H438" s="1167"/>
      <c r="I438" s="1168"/>
      <c r="J438" s="1168"/>
      <c r="K438" s="1678">
        <v>32702.95</v>
      </c>
      <c r="L438" s="1678">
        <v>43361.111111111117</v>
      </c>
      <c r="M438" s="1682">
        <v>63.52</v>
      </c>
      <c r="N438" s="1169">
        <v>9944.83</v>
      </c>
      <c r="O438" s="1169">
        <v>2030.1511535401753</v>
      </c>
      <c r="P438" s="1169">
        <v>5068.8809334394055</v>
      </c>
      <c r="Q438" s="1167">
        <v>60</v>
      </c>
      <c r="R438" s="1167">
        <v>889.23</v>
      </c>
      <c r="S438" s="1167">
        <v>1102.17</v>
      </c>
      <c r="T438" s="1167">
        <v>2500.92</v>
      </c>
      <c r="U438" s="1167">
        <v>57092</v>
      </c>
      <c r="V438" s="1167"/>
      <c r="W438" s="1167"/>
      <c r="X438" s="344">
        <v>0.75419999999999998</v>
      </c>
      <c r="AI438" s="1862" t="s">
        <v>1</v>
      </c>
      <c r="AJ438" s="1863">
        <v>2013</v>
      </c>
      <c r="AK438" s="1862" t="s">
        <v>63</v>
      </c>
      <c r="AL438" s="1862">
        <v>6</v>
      </c>
      <c r="AM438" s="1864">
        <v>667473000</v>
      </c>
      <c r="AN438" s="1831">
        <v>4.9755042476871167E-2</v>
      </c>
      <c r="AP438" s="1865" t="s">
        <v>1</v>
      </c>
      <c r="AQ438" s="1865" t="s">
        <v>493</v>
      </c>
      <c r="AR438" s="1865" t="s">
        <v>63</v>
      </c>
      <c r="AS438" s="1865">
        <v>1</v>
      </c>
      <c r="AT438" s="1866">
        <v>1990650000</v>
      </c>
      <c r="AU438" s="1867">
        <v>0.40179477009806447</v>
      </c>
      <c r="AV438" s="1781">
        <v>2002</v>
      </c>
      <c r="EA438" s="169"/>
      <c r="EB438" s="169"/>
      <c r="EC438" s="169"/>
      <c r="ED438" s="169"/>
      <c r="EE438" s="169"/>
      <c r="EF438" s="169"/>
      <c r="EG438" s="169"/>
      <c r="EH438" s="169"/>
      <c r="EI438" s="169"/>
      <c r="EJ438" s="169"/>
      <c r="EK438" s="169"/>
      <c r="EL438" s="169"/>
      <c r="EM438" s="169"/>
      <c r="EN438" s="169"/>
      <c r="EO438" s="169"/>
      <c r="EP438" s="169"/>
      <c r="EQ438" s="169"/>
      <c r="ER438" s="169"/>
      <c r="ES438" s="169"/>
      <c r="ET438" s="169"/>
      <c r="EU438" s="169"/>
      <c r="EV438" s="169"/>
      <c r="EW438" s="169"/>
      <c r="EX438" s="169"/>
    </row>
    <row r="439" spans="1:154">
      <c r="A439" s="333">
        <f t="shared" si="12"/>
        <v>2006</v>
      </c>
      <c r="B439" s="333">
        <f t="shared" si="13"/>
        <v>4</v>
      </c>
      <c r="C439" s="1175">
        <v>39022</v>
      </c>
      <c r="D439" s="1158">
        <v>414.03</v>
      </c>
      <c r="E439" s="1159">
        <v>812.86</v>
      </c>
      <c r="F439" s="1159">
        <v>627.83000000000004</v>
      </c>
      <c r="G439" s="1160"/>
      <c r="H439" s="1161"/>
      <c r="I439" s="1160"/>
      <c r="J439" s="1160"/>
      <c r="K439" s="1677">
        <v>32113.86</v>
      </c>
      <c r="L439" s="1677">
        <v>41560.579785168884</v>
      </c>
      <c r="M439" s="1681">
        <v>60.13</v>
      </c>
      <c r="N439" s="1162">
        <v>9096.91</v>
      </c>
      <c r="O439" s="1162">
        <v>2102.3942021483108</v>
      </c>
      <c r="P439" s="1162">
        <v>5671.3213407532021</v>
      </c>
      <c r="Q439" s="1163">
        <v>63</v>
      </c>
      <c r="R439" s="1164">
        <v>871.69</v>
      </c>
      <c r="S439" s="1164">
        <v>1158.22</v>
      </c>
      <c r="T439" s="1164">
        <v>2456.61</v>
      </c>
      <c r="U439" s="1165">
        <v>51089</v>
      </c>
      <c r="V439" s="1166"/>
      <c r="W439" s="1166"/>
      <c r="X439" s="635">
        <v>0.77270000000000005</v>
      </c>
      <c r="AI439" s="1862" t="s">
        <v>1</v>
      </c>
      <c r="AJ439" s="1863">
        <v>2013</v>
      </c>
      <c r="AK439" s="1862" t="s">
        <v>371</v>
      </c>
      <c r="AL439" s="1862">
        <v>7</v>
      </c>
      <c r="AM439" s="1864">
        <v>203966000</v>
      </c>
      <c r="AN439" s="1831">
        <v>1.5204116112318408E-2</v>
      </c>
      <c r="AP439" s="1865" t="s">
        <v>1</v>
      </c>
      <c r="AQ439" s="1865" t="s">
        <v>493</v>
      </c>
      <c r="AR439" s="1865" t="s">
        <v>371</v>
      </c>
      <c r="AS439" s="1865">
        <v>2</v>
      </c>
      <c r="AT439" s="1866">
        <v>904284000</v>
      </c>
      <c r="AU439" s="1867">
        <v>0.18252157932502355</v>
      </c>
      <c r="AV439" s="1781">
        <v>2002</v>
      </c>
      <c r="EA439" s="169"/>
      <c r="EB439" s="169"/>
      <c r="EC439" s="169"/>
      <c r="ED439" s="169"/>
      <c r="EE439" s="169"/>
      <c r="EF439" s="169"/>
      <c r="EG439" s="169"/>
      <c r="EH439" s="169"/>
      <c r="EI439" s="169"/>
      <c r="EJ439" s="169"/>
      <c r="EK439" s="169"/>
      <c r="EL439" s="169"/>
      <c r="EM439" s="169"/>
      <c r="EN439" s="169"/>
      <c r="EO439" s="169"/>
      <c r="EP439" s="169"/>
      <c r="EQ439" s="169"/>
      <c r="ER439" s="169"/>
      <c r="ES439" s="169"/>
      <c r="ET439" s="169"/>
      <c r="EU439" s="169"/>
      <c r="EV439" s="169"/>
      <c r="EW439" s="169"/>
      <c r="EX439" s="169"/>
    </row>
    <row r="440" spans="1:154">
      <c r="A440" s="333">
        <f t="shared" si="12"/>
        <v>2006</v>
      </c>
      <c r="B440" s="333">
        <f t="shared" si="13"/>
        <v>4</v>
      </c>
      <c r="C440" s="1175">
        <v>39052</v>
      </c>
      <c r="D440" s="1167">
        <v>417.05</v>
      </c>
      <c r="E440" s="1168">
        <v>802.12</v>
      </c>
      <c r="F440" s="1168">
        <v>629.79</v>
      </c>
      <c r="G440" s="1168"/>
      <c r="H440" s="1167"/>
      <c r="I440" s="1168"/>
      <c r="J440" s="1168"/>
      <c r="K440" s="1678">
        <v>34570.26</v>
      </c>
      <c r="L440" s="1678">
        <v>44021.724181841339</v>
      </c>
      <c r="M440" s="1682">
        <v>64.11</v>
      </c>
      <c r="N440" s="1169">
        <v>8500.08</v>
      </c>
      <c r="O440" s="1169">
        <v>2197.249458805552</v>
      </c>
      <c r="P440" s="1169">
        <v>5609.8179039857387</v>
      </c>
      <c r="Q440" s="1167">
        <v>72</v>
      </c>
      <c r="R440" s="1167">
        <v>848.17</v>
      </c>
      <c r="S440" s="1167">
        <v>1202.45</v>
      </c>
      <c r="T440" s="1167">
        <v>2400.9</v>
      </c>
      <c r="U440" s="1167">
        <v>76922</v>
      </c>
      <c r="V440" s="1167"/>
      <c r="W440" s="1167"/>
      <c r="X440" s="344">
        <v>0.7853</v>
      </c>
      <c r="AI440" s="1862" t="s">
        <v>1</v>
      </c>
      <c r="AJ440" s="1863">
        <v>2013</v>
      </c>
      <c r="AK440" s="1862" t="s">
        <v>758</v>
      </c>
      <c r="AL440" s="1862">
        <v>8</v>
      </c>
      <c r="AM440" s="1864">
        <v>166919000</v>
      </c>
      <c r="AN440" s="1831">
        <v>1.2442543646255142E-2</v>
      </c>
      <c r="AP440" s="1865" t="s">
        <v>1</v>
      </c>
      <c r="AQ440" s="1865" t="s">
        <v>493</v>
      </c>
      <c r="AR440" s="1865" t="s">
        <v>61</v>
      </c>
      <c r="AS440" s="1865">
        <v>3</v>
      </c>
      <c r="AT440" s="1866">
        <v>533104000</v>
      </c>
      <c r="AU440" s="1867">
        <v>0.10760224003132572</v>
      </c>
      <c r="AV440" s="1781">
        <v>2002</v>
      </c>
      <c r="EA440" s="169"/>
      <c r="EB440" s="169"/>
      <c r="EC440" s="169"/>
      <c r="ED440" s="169"/>
      <c r="EE440" s="169"/>
      <c r="EF440" s="169"/>
      <c r="EG440" s="169"/>
      <c r="EH440" s="169"/>
      <c r="EI440" s="169"/>
      <c r="EJ440" s="169"/>
      <c r="EK440" s="169"/>
      <c r="EL440" s="169"/>
      <c r="EM440" s="169"/>
      <c r="EN440" s="169"/>
      <c r="EO440" s="169"/>
      <c r="EP440" s="169"/>
      <c r="EQ440" s="169"/>
      <c r="ER440" s="169"/>
      <c r="ES440" s="169"/>
      <c r="ET440" s="169"/>
      <c r="EU440" s="169"/>
      <c r="EV440" s="169"/>
      <c r="EW440" s="169"/>
      <c r="EX440" s="169"/>
    </row>
    <row r="441" spans="1:154">
      <c r="A441" s="333">
        <f t="shared" si="12"/>
        <v>2007</v>
      </c>
      <c r="B441" s="333">
        <f t="shared" si="13"/>
        <v>1</v>
      </c>
      <c r="C441" s="1175">
        <v>39083</v>
      </c>
      <c r="D441" s="1158">
        <v>395.40590989293202</v>
      </c>
      <c r="E441" s="1159">
        <v>806.62</v>
      </c>
      <c r="F441" s="1159">
        <v>631.16999999999996</v>
      </c>
      <c r="G441" s="1160"/>
      <c r="H441" s="1161"/>
      <c r="I441" s="1160"/>
      <c r="J441" s="1160"/>
      <c r="K441" s="1677">
        <v>36811.14</v>
      </c>
      <c r="L441" s="1677">
        <v>47024.961676034742</v>
      </c>
      <c r="M441" s="1681">
        <v>59.14</v>
      </c>
      <c r="N441" s="1162">
        <v>7242.8</v>
      </c>
      <c r="O441" s="1162">
        <v>2128.3725089422583</v>
      </c>
      <c r="P441" s="1162">
        <v>4837.3530914665298</v>
      </c>
      <c r="Q441" s="1163">
        <v>75</v>
      </c>
      <c r="R441" s="1164">
        <v>938.06</v>
      </c>
      <c r="S441" s="1164">
        <v>1167.7</v>
      </c>
      <c r="T441" s="1164">
        <v>2424.1668449824383</v>
      </c>
      <c r="U441" s="1165">
        <v>65039</v>
      </c>
      <c r="V441" s="1166"/>
      <c r="W441" s="1166"/>
      <c r="X441" s="635">
        <v>0.78280000000000005</v>
      </c>
      <c r="AI441" s="1862" t="s">
        <v>1</v>
      </c>
      <c r="AJ441" s="1863">
        <v>2013</v>
      </c>
      <c r="AK441" s="1862" t="s">
        <v>58</v>
      </c>
      <c r="AL441" s="1862">
        <v>9</v>
      </c>
      <c r="AM441" s="1864">
        <v>81625000</v>
      </c>
      <c r="AN441" s="1831">
        <v>6.08452378174789E-3</v>
      </c>
      <c r="AP441" s="1865" t="s">
        <v>1</v>
      </c>
      <c r="AQ441" s="1865" t="s">
        <v>493</v>
      </c>
      <c r="AR441" s="1865" t="s">
        <v>23</v>
      </c>
      <c r="AS441" s="1865">
        <v>4</v>
      </c>
      <c r="AT441" s="1866">
        <v>274448000</v>
      </c>
      <c r="AU441" s="1867">
        <v>5.5394856486008885E-2</v>
      </c>
      <c r="AV441" s="1781">
        <v>2002</v>
      </c>
      <c r="EA441" s="169"/>
      <c r="EB441" s="169"/>
      <c r="EC441" s="169"/>
      <c r="ED441" s="169"/>
      <c r="EE441" s="169"/>
      <c r="EF441" s="169"/>
      <c r="EG441" s="169"/>
      <c r="EH441" s="169"/>
      <c r="EI441" s="169"/>
      <c r="EJ441" s="169"/>
      <c r="EK441" s="169"/>
      <c r="EL441" s="169"/>
      <c r="EM441" s="169"/>
      <c r="EN441" s="169"/>
      <c r="EO441" s="169"/>
      <c r="EP441" s="169"/>
      <c r="EQ441" s="169"/>
      <c r="ER441" s="169"/>
      <c r="ES441" s="169"/>
      <c r="ET441" s="169"/>
      <c r="EU441" s="169"/>
      <c r="EV441" s="169"/>
      <c r="EW441" s="169"/>
      <c r="EX441" s="169"/>
    </row>
    <row r="442" spans="1:154">
      <c r="A442" s="333">
        <f t="shared" si="12"/>
        <v>2007</v>
      </c>
      <c r="B442" s="333">
        <f t="shared" si="13"/>
        <v>1</v>
      </c>
      <c r="C442" s="1175">
        <v>39114</v>
      </c>
      <c r="D442" s="1167">
        <v>413.07340691144304</v>
      </c>
      <c r="E442" s="1168">
        <v>849.57</v>
      </c>
      <c r="F442" s="1168">
        <v>664.75</v>
      </c>
      <c r="G442" s="1168"/>
      <c r="H442" s="1167"/>
      <c r="I442" s="1168"/>
      <c r="J442" s="1168"/>
      <c r="K442" s="1678">
        <v>41184.25</v>
      </c>
      <c r="L442" s="1678">
        <v>52598.020434227328</v>
      </c>
      <c r="M442" s="1682">
        <v>64.14</v>
      </c>
      <c r="N442" s="1169">
        <v>7249.62</v>
      </c>
      <c r="O442" s="1169">
        <v>2272.7969348659003</v>
      </c>
      <c r="P442" s="1169">
        <v>4226.69220945083</v>
      </c>
      <c r="Q442" s="1167">
        <v>85</v>
      </c>
      <c r="R442" s="1167">
        <v>872.16738294503511</v>
      </c>
      <c r="S442" s="1167">
        <v>1118.3969873254082</v>
      </c>
      <c r="T442" s="1167">
        <v>2394.7351098008526</v>
      </c>
      <c r="U442" s="1167">
        <v>72238</v>
      </c>
      <c r="V442" s="1167"/>
      <c r="W442" s="1167"/>
      <c r="X442" s="344">
        <v>0.78300000000000003</v>
      </c>
      <c r="AI442" s="1862" t="s">
        <v>1</v>
      </c>
      <c r="AJ442" s="1863">
        <v>2013</v>
      </c>
      <c r="AK442" s="1862" t="s">
        <v>527</v>
      </c>
      <c r="AL442" s="1862">
        <v>10</v>
      </c>
      <c r="AM442" s="1864">
        <v>45445000</v>
      </c>
      <c r="AN442" s="1831">
        <v>3.3875795805394528E-3</v>
      </c>
      <c r="AP442" s="1865" t="s">
        <v>1</v>
      </c>
      <c r="AQ442" s="1865" t="s">
        <v>493</v>
      </c>
      <c r="AR442" s="1865" t="s">
        <v>370</v>
      </c>
      <c r="AS442" s="1865">
        <v>5</v>
      </c>
      <c r="AT442" s="1866">
        <v>253703000</v>
      </c>
      <c r="AU442" s="1867">
        <v>5.1207665113500236E-2</v>
      </c>
      <c r="AV442" s="1781">
        <v>2002</v>
      </c>
      <c r="EA442" s="169"/>
      <c r="EB442" s="169"/>
      <c r="EC442" s="169"/>
      <c r="ED442" s="169"/>
      <c r="EE442" s="169"/>
      <c r="EF442" s="169"/>
      <c r="EG442" s="169"/>
      <c r="EH442" s="169"/>
      <c r="EI442" s="169"/>
      <c r="EJ442" s="169"/>
      <c r="EK442" s="169"/>
      <c r="EL442" s="169"/>
      <c r="EM442" s="169"/>
      <c r="EN442" s="169"/>
      <c r="EO442" s="169"/>
      <c r="EP442" s="169"/>
      <c r="EQ442" s="169"/>
      <c r="ER442" s="169"/>
      <c r="ES442" s="169"/>
      <c r="ET442" s="169"/>
      <c r="EU442" s="169"/>
      <c r="EV442" s="169"/>
      <c r="EW442" s="169"/>
      <c r="EX442" s="169"/>
    </row>
    <row r="443" spans="1:154">
      <c r="A443" s="333">
        <f t="shared" si="12"/>
        <v>2007</v>
      </c>
      <c r="B443" s="333">
        <f t="shared" si="13"/>
        <v>1</v>
      </c>
      <c r="C443" s="1175">
        <v>39142</v>
      </c>
      <c r="D443" s="1158">
        <v>392.50375611962926</v>
      </c>
      <c r="E443" s="1159">
        <v>828.07</v>
      </c>
      <c r="F443" s="1159">
        <v>654.9</v>
      </c>
      <c r="G443" s="1160"/>
      <c r="H443" s="1161"/>
      <c r="I443" s="1160"/>
      <c r="J443" s="1160"/>
      <c r="K443" s="1677">
        <v>46324.77</v>
      </c>
      <c r="L443" s="1677">
        <v>58439.220386022454</v>
      </c>
      <c r="M443" s="1681">
        <v>67.31</v>
      </c>
      <c r="N443" s="1162">
        <v>8139.88</v>
      </c>
      <c r="O443" s="1162">
        <v>2414.5956856313865</v>
      </c>
      <c r="P443" s="1162">
        <v>4126.7818846978689</v>
      </c>
      <c r="Q443" s="1163">
        <v>95</v>
      </c>
      <c r="R443" s="1164">
        <v>861.20957095709571</v>
      </c>
      <c r="S443" s="1164">
        <v>1121.0938719445571</v>
      </c>
      <c r="T443" s="1164">
        <v>2390.2202276507096</v>
      </c>
      <c r="U443" s="1165">
        <v>82461</v>
      </c>
      <c r="V443" s="1166"/>
      <c r="W443" s="1166"/>
      <c r="X443" s="635">
        <v>0.79269999999999996</v>
      </c>
      <c r="AI443" s="1862" t="s">
        <v>1</v>
      </c>
      <c r="AJ443" s="1863">
        <v>2013</v>
      </c>
      <c r="AK443" s="1862" t="s">
        <v>39</v>
      </c>
      <c r="AL443" s="1862"/>
      <c r="AM443" s="1864">
        <v>93417000</v>
      </c>
      <c r="AN443" s="1831">
        <v>6.9635278176973063E-3</v>
      </c>
      <c r="AP443" s="1865" t="s">
        <v>1</v>
      </c>
      <c r="AQ443" s="1865" t="s">
        <v>493</v>
      </c>
      <c r="AR443" s="1865" t="s">
        <v>21</v>
      </c>
      <c r="AS443" s="1865">
        <v>6</v>
      </c>
      <c r="AT443" s="1866">
        <v>411938000</v>
      </c>
      <c r="AU443" s="1867">
        <v>8.3145974432801584E-2</v>
      </c>
      <c r="AV443" s="1781">
        <v>2002</v>
      </c>
      <c r="EA443" s="169"/>
      <c r="EB443" s="169"/>
      <c r="EC443" s="169"/>
      <c r="ED443" s="169"/>
      <c r="EE443" s="169"/>
      <c r="EF443" s="169"/>
      <c r="EG443" s="169"/>
      <c r="EH443" s="169"/>
      <c r="EI443" s="169"/>
      <c r="EJ443" s="169"/>
      <c r="EK443" s="169"/>
      <c r="EL443" s="169"/>
      <c r="EM443" s="169"/>
      <c r="EN443" s="169"/>
      <c r="EO443" s="169"/>
      <c r="EP443" s="169"/>
      <c r="EQ443" s="169"/>
      <c r="ER443" s="169"/>
      <c r="ES443" s="169"/>
      <c r="ET443" s="169"/>
      <c r="EU443" s="169"/>
      <c r="EV443" s="169"/>
      <c r="EW443" s="169"/>
      <c r="EX443" s="169"/>
    </row>
    <row r="444" spans="1:154">
      <c r="A444" s="333">
        <f t="shared" si="12"/>
        <v>2007</v>
      </c>
      <c r="B444" s="333">
        <f t="shared" si="13"/>
        <v>2</v>
      </c>
      <c r="C444" s="1175">
        <v>39173</v>
      </c>
      <c r="D444" s="1167">
        <v>403.07020771629061</v>
      </c>
      <c r="E444" s="1168">
        <v>821.42</v>
      </c>
      <c r="F444" s="1168">
        <v>679.37</v>
      </c>
      <c r="G444" s="1168"/>
      <c r="H444" s="1167"/>
      <c r="I444" s="1168"/>
      <c r="J444" s="1168"/>
      <c r="K444" s="1678">
        <v>50266.84</v>
      </c>
      <c r="L444" s="1678">
        <v>60826.28267182962</v>
      </c>
      <c r="M444" s="1682">
        <v>74.19</v>
      </c>
      <c r="N444" s="1169">
        <v>9397.9500000000007</v>
      </c>
      <c r="O444" s="1169">
        <v>2421.2850919651501</v>
      </c>
      <c r="P444" s="1169">
        <v>4304.7797676669888</v>
      </c>
      <c r="Q444" s="1167">
        <v>113</v>
      </c>
      <c r="R444" s="1167">
        <v>878.26861400894188</v>
      </c>
      <c r="S444" s="1167">
        <v>1051.0881213569387</v>
      </c>
      <c r="T444" s="1167">
        <v>2300.0523000037101</v>
      </c>
      <c r="U444" s="1167">
        <v>82033</v>
      </c>
      <c r="V444" s="1167"/>
      <c r="W444" s="1167"/>
      <c r="X444" s="344">
        <v>0.82640000000000002</v>
      </c>
      <c r="AI444" s="1862" t="s">
        <v>1</v>
      </c>
      <c r="AJ444" s="1863">
        <v>2013</v>
      </c>
      <c r="AK444" s="1862" t="s">
        <v>386</v>
      </c>
      <c r="AL444" s="1862"/>
      <c r="AM444" s="1864">
        <v>13415183000</v>
      </c>
      <c r="AN444" s="1831">
        <v>1</v>
      </c>
      <c r="AP444" s="1865" t="s">
        <v>1</v>
      </c>
      <c r="AQ444" s="1865" t="s">
        <v>493</v>
      </c>
      <c r="AR444" s="1865" t="s">
        <v>537</v>
      </c>
      <c r="AS444" s="1865">
        <v>7</v>
      </c>
      <c r="AT444" s="1866">
        <v>166503000</v>
      </c>
      <c r="AU444" s="1867">
        <v>3.360713063855425E-2</v>
      </c>
      <c r="AV444" s="1781">
        <v>2002</v>
      </c>
      <c r="EA444" s="169"/>
      <c r="EB444" s="169"/>
      <c r="EC444" s="169"/>
      <c r="ED444" s="169"/>
      <c r="EE444" s="169"/>
      <c r="EF444" s="169"/>
      <c r="EG444" s="169"/>
      <c r="EH444" s="169"/>
      <c r="EI444" s="169"/>
      <c r="EJ444" s="169"/>
      <c r="EK444" s="169"/>
      <c r="EL444" s="169"/>
      <c r="EM444" s="169"/>
      <c r="EN444" s="169"/>
      <c r="EO444" s="169"/>
      <c r="EP444" s="169"/>
      <c r="EQ444" s="169"/>
      <c r="ER444" s="169"/>
      <c r="ES444" s="169"/>
      <c r="ET444" s="169"/>
      <c r="EU444" s="169"/>
      <c r="EV444" s="169"/>
      <c r="EW444" s="169"/>
      <c r="EX444" s="169"/>
    </row>
    <row r="445" spans="1:154">
      <c r="A445" s="333">
        <f t="shared" si="12"/>
        <v>2007</v>
      </c>
      <c r="B445" s="333">
        <f t="shared" si="13"/>
        <v>2</v>
      </c>
      <c r="C445" s="1175">
        <v>39203</v>
      </c>
      <c r="D445" s="1158">
        <v>406.82015989211459</v>
      </c>
      <c r="E445" s="1159">
        <v>810.86</v>
      </c>
      <c r="F445" s="1159">
        <v>666.84</v>
      </c>
      <c r="G445" s="1160"/>
      <c r="H445" s="1161"/>
      <c r="I445" s="1160"/>
      <c r="J445" s="1160"/>
      <c r="K445" s="1677">
        <v>52179.05</v>
      </c>
      <c r="L445" s="1677">
        <v>63247.333333333343</v>
      </c>
      <c r="M445" s="1681">
        <v>75.87</v>
      </c>
      <c r="N445" s="1162">
        <v>9311.7199999999993</v>
      </c>
      <c r="O445" s="1162">
        <v>2546.2303030303028</v>
      </c>
      <c r="P445" s="1162">
        <v>4642.7757575757578</v>
      </c>
      <c r="Q445" s="1163">
        <v>125</v>
      </c>
      <c r="R445" s="1164">
        <v>803.37164908669922</v>
      </c>
      <c r="S445" s="1164">
        <v>1070.3289343459953</v>
      </c>
      <c r="T445" s="1164">
        <v>2271.8001656509205</v>
      </c>
      <c r="U445" s="1165">
        <v>78581</v>
      </c>
      <c r="V445" s="1166"/>
      <c r="W445" s="1166"/>
      <c r="X445" s="635">
        <v>0.82499999999999996</v>
      </c>
      <c r="AI445" s="1868" t="s">
        <v>1</v>
      </c>
      <c r="AJ445" s="1869">
        <v>2014</v>
      </c>
      <c r="AK445" s="1868" t="s">
        <v>530</v>
      </c>
      <c r="AL445" s="1868">
        <v>1</v>
      </c>
      <c r="AM445" s="1870">
        <v>7047955000</v>
      </c>
      <c r="AN445" s="1831">
        <v>0.54178576279702217</v>
      </c>
      <c r="AP445" s="1865" t="s">
        <v>1</v>
      </c>
      <c r="AQ445" s="1865" t="s">
        <v>493</v>
      </c>
      <c r="AR445" s="1865" t="s">
        <v>33</v>
      </c>
      <c r="AS445" s="1865">
        <v>8</v>
      </c>
      <c r="AT445" s="1866">
        <v>261687000</v>
      </c>
      <c r="AU445" s="1867">
        <v>5.2819163591114555E-2</v>
      </c>
      <c r="AV445" s="1781">
        <v>2002</v>
      </c>
      <c r="EA445" s="169"/>
      <c r="EB445" s="169"/>
      <c r="EC445" s="169"/>
      <c r="ED445" s="169"/>
      <c r="EE445" s="169"/>
      <c r="EF445" s="169"/>
      <c r="EG445" s="169"/>
      <c r="EH445" s="169"/>
      <c r="EI445" s="169"/>
      <c r="EJ445" s="169"/>
      <c r="EK445" s="169"/>
      <c r="EL445" s="169"/>
      <c r="EM445" s="169"/>
      <c r="EN445" s="169"/>
      <c r="EO445" s="169"/>
      <c r="EP445" s="169"/>
      <c r="EQ445" s="169"/>
      <c r="ER445" s="169"/>
      <c r="ES445" s="169"/>
      <c r="ET445" s="169"/>
      <c r="EU445" s="169"/>
      <c r="EV445" s="169"/>
      <c r="EW445" s="169"/>
      <c r="EX445" s="169"/>
    </row>
    <row r="446" spans="1:154">
      <c r="A446" s="333">
        <f t="shared" si="12"/>
        <v>2007</v>
      </c>
      <c r="B446" s="333">
        <f t="shared" si="13"/>
        <v>2</v>
      </c>
      <c r="C446" s="1175">
        <v>39234</v>
      </c>
      <c r="D446" s="1167">
        <v>393.08026301054508</v>
      </c>
      <c r="E446" s="1168">
        <v>781.62</v>
      </c>
      <c r="F446" s="1168">
        <v>655.49</v>
      </c>
      <c r="G446" s="1168"/>
      <c r="H446" s="1167"/>
      <c r="I446" s="1168"/>
      <c r="J446" s="1168"/>
      <c r="K446" s="1678">
        <v>41718.57</v>
      </c>
      <c r="L446" s="1678">
        <v>49529.34821322569</v>
      </c>
      <c r="M446" s="1682">
        <v>75.400000000000006</v>
      </c>
      <c r="N446" s="1169">
        <v>8875.56</v>
      </c>
      <c r="O446" s="1169">
        <v>2880.1852071708417</v>
      </c>
      <c r="P446" s="1169">
        <v>4277.8819897898611</v>
      </c>
      <c r="Q446" s="1167">
        <v>136</v>
      </c>
      <c r="R446" s="1167">
        <v>796.64587110083141</v>
      </c>
      <c r="S446" s="1167">
        <v>1049.9480984340046</v>
      </c>
      <c r="T446" s="1167">
        <v>2200.2687745042422</v>
      </c>
      <c r="U446" s="1167">
        <v>74006</v>
      </c>
      <c r="V446" s="1167"/>
      <c r="W446" s="1167"/>
      <c r="X446" s="344">
        <v>0.84230000000000005</v>
      </c>
      <c r="AI446" s="1868" t="s">
        <v>1</v>
      </c>
      <c r="AJ446" s="1869">
        <v>2014</v>
      </c>
      <c r="AK446" s="1868" t="s">
        <v>61</v>
      </c>
      <c r="AL446" s="1868">
        <v>2</v>
      </c>
      <c r="AM446" s="1870">
        <v>3165716000</v>
      </c>
      <c r="AN446" s="1831">
        <v>0.24335283892401952</v>
      </c>
      <c r="AP446" s="1865" t="s">
        <v>1</v>
      </c>
      <c r="AQ446" s="1865" t="s">
        <v>493</v>
      </c>
      <c r="AR446" s="1865" t="s">
        <v>34</v>
      </c>
      <c r="AS446" s="1865">
        <v>9</v>
      </c>
      <c r="AT446" s="1866">
        <v>53535000</v>
      </c>
      <c r="AU446" s="1867">
        <v>1.0805557489865059E-2</v>
      </c>
      <c r="AV446" s="1781">
        <v>2002</v>
      </c>
      <c r="EA446" s="169"/>
      <c r="EB446" s="169"/>
      <c r="EC446" s="169"/>
      <c r="ED446" s="169"/>
      <c r="EE446" s="169"/>
      <c r="EF446" s="169"/>
      <c r="EG446" s="169"/>
      <c r="EH446" s="169"/>
      <c r="EI446" s="169"/>
      <c r="EJ446" s="169"/>
      <c r="EK446" s="169"/>
      <c r="EL446" s="169"/>
      <c r="EM446" s="169"/>
      <c r="EN446" s="169"/>
      <c r="EO446" s="169"/>
      <c r="EP446" s="169"/>
      <c r="EQ446" s="169"/>
      <c r="ER446" s="169"/>
      <c r="ES446" s="169"/>
      <c r="ET446" s="169"/>
      <c r="EU446" s="169"/>
      <c r="EV446" s="169"/>
      <c r="EW446" s="169"/>
      <c r="EX446" s="169"/>
    </row>
    <row r="447" spans="1:154">
      <c r="A447" s="333">
        <f t="shared" si="12"/>
        <v>2007</v>
      </c>
      <c r="B447" s="333">
        <f t="shared" si="13"/>
        <v>3</v>
      </c>
      <c r="C447" s="1175">
        <v>39264</v>
      </c>
      <c r="D447" s="1158">
        <v>373.56339793588546</v>
      </c>
      <c r="E447" s="1159">
        <v>766.51</v>
      </c>
      <c r="F447" s="1159">
        <v>665.3</v>
      </c>
      <c r="G447" s="1160"/>
      <c r="H447" s="1161"/>
      <c r="I447" s="1160"/>
      <c r="J447" s="1160"/>
      <c r="K447" s="1677">
        <v>33425.68</v>
      </c>
      <c r="L447" s="1677">
        <v>38535.485358542777</v>
      </c>
      <c r="M447" s="1681">
        <v>77.11</v>
      </c>
      <c r="N447" s="1162">
        <v>9192.89</v>
      </c>
      <c r="O447" s="1162">
        <v>3554.9342863730694</v>
      </c>
      <c r="P447" s="1162">
        <v>4089.1284297901775</v>
      </c>
      <c r="Q447" s="1163">
        <v>120</v>
      </c>
      <c r="R447" s="1164">
        <v>746.81143410852712</v>
      </c>
      <c r="S447" s="1164">
        <v>1071.7319355217935</v>
      </c>
      <c r="T447" s="1164">
        <v>2205.5749927935935</v>
      </c>
      <c r="U447" s="1165">
        <v>67671</v>
      </c>
      <c r="V447" s="1166"/>
      <c r="W447" s="1166"/>
      <c r="X447" s="635">
        <v>0.86739999999999995</v>
      </c>
      <c r="AI447" s="1868" t="s">
        <v>1</v>
      </c>
      <c r="AJ447" s="1869">
        <v>2014</v>
      </c>
      <c r="AK447" s="1868" t="s">
        <v>63</v>
      </c>
      <c r="AL447" s="1868">
        <v>3</v>
      </c>
      <c r="AM447" s="1870">
        <v>873594000</v>
      </c>
      <c r="AN447" s="1831">
        <v>6.7154343588303536E-2</v>
      </c>
      <c r="AP447" s="1865" t="s">
        <v>1</v>
      </c>
      <c r="AQ447" s="1865" t="s">
        <v>493</v>
      </c>
      <c r="AR447" s="1865" t="s">
        <v>31</v>
      </c>
      <c r="AS447" s="1865">
        <v>10</v>
      </c>
      <c r="AT447" s="1866">
        <v>27299000</v>
      </c>
      <c r="AU447" s="1867">
        <v>5.5100572320131921E-3</v>
      </c>
      <c r="AV447" s="1781">
        <v>2002</v>
      </c>
      <c r="EA447" s="169"/>
      <c r="EB447" s="169"/>
      <c r="EC447" s="169"/>
      <c r="ED447" s="169"/>
      <c r="EE447" s="169"/>
      <c r="EF447" s="169"/>
      <c r="EG447" s="169"/>
      <c r="EH447" s="169"/>
      <c r="EI447" s="169"/>
      <c r="EJ447" s="169"/>
      <c r="EK447" s="169"/>
      <c r="EL447" s="169"/>
      <c r="EM447" s="169"/>
      <c r="EN447" s="169"/>
      <c r="EO447" s="169"/>
      <c r="EP447" s="169"/>
      <c r="EQ447" s="169"/>
      <c r="ER447" s="169"/>
      <c r="ES447" s="169"/>
      <c r="ET447" s="169"/>
      <c r="EU447" s="169"/>
      <c r="EV447" s="169"/>
      <c r="EW447" s="169"/>
      <c r="EX447" s="169"/>
    </row>
    <row r="448" spans="1:154">
      <c r="A448" s="333">
        <f t="shared" si="12"/>
        <v>2007</v>
      </c>
      <c r="B448" s="333">
        <f t="shared" si="13"/>
        <v>3</v>
      </c>
      <c r="C448" s="1175">
        <v>39295</v>
      </c>
      <c r="D448" s="1167">
        <v>404.81424924390467</v>
      </c>
      <c r="E448" s="1168">
        <v>799.62</v>
      </c>
      <c r="F448" s="1168">
        <v>664.53</v>
      </c>
      <c r="G448" s="1168"/>
      <c r="H448" s="1167"/>
      <c r="I448" s="1168"/>
      <c r="J448" s="1168"/>
      <c r="K448" s="1678">
        <v>27652.27</v>
      </c>
      <c r="L448" s="1678">
        <v>33352.152936919556</v>
      </c>
      <c r="M448" s="1682">
        <v>77.150000000000006</v>
      </c>
      <c r="N448" s="1169">
        <v>9062.24</v>
      </c>
      <c r="O448" s="1169">
        <v>3762.4532625738752</v>
      </c>
      <c r="P448" s="1169">
        <v>3922.9525992039562</v>
      </c>
      <c r="Q448" s="1167">
        <v>90</v>
      </c>
      <c r="R448" s="1167">
        <v>795.05883675189659</v>
      </c>
      <c r="S448" s="1167">
        <v>1057.3895787455308</v>
      </c>
      <c r="T448" s="1167">
        <v>2284.3172751922148</v>
      </c>
      <c r="U448" s="1167">
        <v>67540</v>
      </c>
      <c r="V448" s="1167"/>
      <c r="W448" s="1167"/>
      <c r="X448" s="344">
        <v>0.82909999999999995</v>
      </c>
      <c r="AI448" s="1868" t="s">
        <v>1</v>
      </c>
      <c r="AJ448" s="1869">
        <v>2014</v>
      </c>
      <c r="AK448" s="1868" t="s">
        <v>21</v>
      </c>
      <c r="AL448" s="1868">
        <v>4</v>
      </c>
      <c r="AM448" s="1870">
        <v>699246000</v>
      </c>
      <c r="AN448" s="1831">
        <v>5.3751978764445374E-2</v>
      </c>
      <c r="AP448" s="1865" t="s">
        <v>1</v>
      </c>
      <c r="AQ448" s="1865" t="s">
        <v>493</v>
      </c>
      <c r="AR448" s="1865" t="s">
        <v>39</v>
      </c>
      <c r="AS448" s="1865"/>
      <c r="AT448" s="1866">
        <v>77244000</v>
      </c>
      <c r="AU448" s="1867">
        <v>1.5591005561728526E-2</v>
      </c>
      <c r="AV448" s="1781">
        <v>2002</v>
      </c>
      <c r="EA448" s="169"/>
      <c r="EB448" s="169"/>
      <c r="EC448" s="169"/>
      <c r="ED448" s="169"/>
      <c r="EE448" s="169"/>
      <c r="EF448" s="169"/>
      <c r="EG448" s="169"/>
      <c r="EH448" s="169"/>
      <c r="EI448" s="169"/>
      <c r="EJ448" s="169"/>
      <c r="EK448" s="169"/>
      <c r="EL448" s="169"/>
      <c r="EM448" s="169"/>
      <c r="EN448" s="169"/>
      <c r="EO448" s="169"/>
      <c r="EP448" s="169"/>
      <c r="EQ448" s="169"/>
      <c r="ER448" s="169"/>
      <c r="ES448" s="169"/>
      <c r="ET448" s="169"/>
      <c r="EU448" s="169"/>
      <c r="EV448" s="169"/>
      <c r="EW448" s="169"/>
      <c r="EX448" s="169"/>
    </row>
    <row r="449" spans="1:154">
      <c r="A449" s="333">
        <f t="shared" si="12"/>
        <v>2007</v>
      </c>
      <c r="B449" s="333">
        <f t="shared" si="13"/>
        <v>3</v>
      </c>
      <c r="C449" s="1175">
        <v>39326</v>
      </c>
      <c r="D449" s="1158">
        <v>392.37131321129027</v>
      </c>
      <c r="E449" s="1159">
        <v>840.67</v>
      </c>
      <c r="F449" s="1159">
        <v>712.65</v>
      </c>
      <c r="G449" s="1160"/>
      <c r="H449" s="1161"/>
      <c r="I449" s="1160"/>
      <c r="J449" s="1160"/>
      <c r="K449" s="1677">
        <v>29537.5</v>
      </c>
      <c r="L449" s="1677">
        <v>34959.758551307845</v>
      </c>
      <c r="M449" s="1681">
        <v>82.42</v>
      </c>
      <c r="N449" s="1162">
        <v>9053.1200000000008</v>
      </c>
      <c r="O449" s="1162">
        <v>3818.8543022842941</v>
      </c>
      <c r="P449" s="1162">
        <v>3410.3444194579242</v>
      </c>
      <c r="Q449" s="1163">
        <v>75</v>
      </c>
      <c r="R449" s="1164">
        <v>771.03562610229278</v>
      </c>
      <c r="S449" s="1164">
        <v>1045.237053123956</v>
      </c>
      <c r="T449" s="1164">
        <v>2248.8431792888459</v>
      </c>
      <c r="U449" s="1165">
        <v>73143</v>
      </c>
      <c r="V449" s="1166"/>
      <c r="W449" s="1166"/>
      <c r="X449" s="635">
        <v>0.84489999999999998</v>
      </c>
      <c r="AI449" s="1868" t="s">
        <v>1</v>
      </c>
      <c r="AJ449" s="1869">
        <v>2014</v>
      </c>
      <c r="AK449" s="1868" t="s">
        <v>33</v>
      </c>
      <c r="AL449" s="1868">
        <v>5</v>
      </c>
      <c r="AM449" s="1870">
        <v>589736000</v>
      </c>
      <c r="AN449" s="1831">
        <v>4.5333798046222583E-2</v>
      </c>
      <c r="AP449" s="1865" t="s">
        <v>1</v>
      </c>
      <c r="AQ449" s="1865" t="s">
        <v>493</v>
      </c>
      <c r="AR449" s="1865" t="s">
        <v>386</v>
      </c>
      <c r="AS449" s="1865"/>
      <c r="AT449" s="1866">
        <v>4954395000</v>
      </c>
      <c r="AU449" s="1867">
        <v>1</v>
      </c>
      <c r="AV449" s="1781">
        <v>2002</v>
      </c>
      <c r="EA449" s="169"/>
      <c r="EB449" s="169"/>
      <c r="EC449" s="169"/>
      <c r="ED449" s="169"/>
      <c r="EE449" s="169"/>
      <c r="EF449" s="169"/>
      <c r="EG449" s="169"/>
      <c r="EH449" s="169"/>
      <c r="EI449" s="169"/>
      <c r="EJ449" s="169"/>
      <c r="EK449" s="169"/>
      <c r="EL449" s="169"/>
      <c r="EM449" s="169"/>
      <c r="EN449" s="169"/>
      <c r="EO449" s="169"/>
      <c r="EP449" s="169"/>
      <c r="EQ449" s="169"/>
      <c r="ER449" s="169"/>
      <c r="ES449" s="169"/>
      <c r="ET449" s="169"/>
      <c r="EU449" s="169"/>
      <c r="EV449" s="169"/>
      <c r="EW449" s="169"/>
      <c r="EX449" s="169"/>
    </row>
    <row r="450" spans="1:154">
      <c r="A450" s="333">
        <f t="shared" si="12"/>
        <v>2007</v>
      </c>
      <c r="B450" s="333">
        <f t="shared" si="13"/>
        <v>4</v>
      </c>
      <c r="C450" s="1175">
        <v>39356</v>
      </c>
      <c r="D450" s="1167">
        <v>353.39639242557257</v>
      </c>
      <c r="E450" s="1168">
        <v>839.69</v>
      </c>
      <c r="F450" s="1168">
        <v>754.6</v>
      </c>
      <c r="G450" s="1168"/>
      <c r="H450" s="1167"/>
      <c r="I450" s="1168"/>
      <c r="J450" s="1168"/>
      <c r="K450" s="1678">
        <v>31055.43</v>
      </c>
      <c r="L450" s="1678">
        <v>34555.947479692884</v>
      </c>
      <c r="M450" s="1682">
        <v>87.93</v>
      </c>
      <c r="N450" s="1169">
        <v>8911.1299999999992</v>
      </c>
      <c r="O450" s="1169">
        <v>4139.0007789028596</v>
      </c>
      <c r="P450" s="1169">
        <v>3310.7043507288304</v>
      </c>
      <c r="Q450" s="1167">
        <v>85</v>
      </c>
      <c r="R450" s="1167">
        <v>722.64</v>
      </c>
      <c r="S450" s="1167">
        <v>1011.38</v>
      </c>
      <c r="T450" s="1167">
        <v>2106.5386208172445</v>
      </c>
      <c r="U450" s="1167">
        <v>74820</v>
      </c>
      <c r="V450" s="1167"/>
      <c r="W450" s="1167"/>
      <c r="X450" s="344">
        <v>0.89870000000000005</v>
      </c>
      <c r="AI450" s="1868" t="s">
        <v>1</v>
      </c>
      <c r="AJ450" s="1869">
        <v>2014</v>
      </c>
      <c r="AK450" s="1868" t="s">
        <v>71</v>
      </c>
      <c r="AL450" s="1868">
        <v>6</v>
      </c>
      <c r="AM450" s="1870">
        <v>284768000</v>
      </c>
      <c r="AN450" s="1831">
        <v>2.1890498463764656E-2</v>
      </c>
      <c r="AP450" s="1871" t="s">
        <v>1</v>
      </c>
      <c r="AQ450" s="1871" t="s">
        <v>494</v>
      </c>
      <c r="AR450" s="1871" t="s">
        <v>21</v>
      </c>
      <c r="AS450" s="1871">
        <v>1</v>
      </c>
      <c r="AT450" s="1872">
        <v>2670555000</v>
      </c>
      <c r="AU450" s="1867">
        <v>0.48083583228978832</v>
      </c>
      <c r="AV450" s="1781">
        <v>2003</v>
      </c>
      <c r="EA450" s="169"/>
      <c r="EB450" s="169"/>
      <c r="EC450" s="169"/>
      <c r="ED450" s="169"/>
      <c r="EE450" s="169"/>
      <c r="EF450" s="169"/>
      <c r="EG450" s="169"/>
      <c r="EH450" s="169"/>
      <c r="EI450" s="169"/>
      <c r="EJ450" s="169"/>
      <c r="EK450" s="169"/>
      <c r="EL450" s="169"/>
      <c r="EM450" s="169"/>
      <c r="EN450" s="169"/>
      <c r="EO450" s="169"/>
      <c r="EP450" s="169"/>
      <c r="EQ450" s="169"/>
      <c r="ER450" s="169"/>
      <c r="ES450" s="169"/>
      <c r="ET450" s="169"/>
      <c r="EU450" s="169"/>
      <c r="EV450" s="169"/>
      <c r="EW450" s="169"/>
      <c r="EX450" s="169"/>
    </row>
    <row r="451" spans="1:154">
      <c r="A451" s="333">
        <f t="shared" si="12"/>
        <v>2007</v>
      </c>
      <c r="B451" s="333">
        <f t="shared" si="13"/>
        <v>4</v>
      </c>
      <c r="C451" s="1175">
        <v>39387</v>
      </c>
      <c r="D451" s="1158">
        <v>353.09564042932101</v>
      </c>
      <c r="E451" s="1159">
        <v>898.01</v>
      </c>
      <c r="F451" s="1159">
        <v>806.25</v>
      </c>
      <c r="G451" s="1160"/>
      <c r="H451" s="1161"/>
      <c r="I451" s="1160"/>
      <c r="J451" s="1160"/>
      <c r="K451" s="1677">
        <v>30610.23</v>
      </c>
      <c r="L451" s="1677">
        <v>34113.70779003678</v>
      </c>
      <c r="M451" s="1681">
        <v>99.51</v>
      </c>
      <c r="N451" s="1162">
        <v>7764.07</v>
      </c>
      <c r="O451" s="1162">
        <v>3709.1050930569486</v>
      </c>
      <c r="P451" s="1162">
        <v>2619.2020505962332</v>
      </c>
      <c r="Q451" s="1163">
        <v>93</v>
      </c>
      <c r="R451" s="1164">
        <v>709.62615410441492</v>
      </c>
      <c r="S451" s="1164">
        <v>967.93107290671765</v>
      </c>
      <c r="T451" s="1164">
        <v>2079.0998469270726</v>
      </c>
      <c r="U451" s="1165">
        <v>79912</v>
      </c>
      <c r="V451" s="1166"/>
      <c r="W451" s="1166"/>
      <c r="X451" s="635">
        <v>0.89729999999999999</v>
      </c>
      <c r="AI451" s="1868" t="s">
        <v>1</v>
      </c>
      <c r="AJ451" s="1869">
        <v>2014</v>
      </c>
      <c r="AK451" s="1868" t="s">
        <v>371</v>
      </c>
      <c r="AL451" s="1868">
        <v>7</v>
      </c>
      <c r="AM451" s="1870">
        <v>165269000</v>
      </c>
      <c r="AN451" s="1831">
        <v>1.2704449905213791E-2</v>
      </c>
      <c r="AP451" s="1871" t="s">
        <v>1</v>
      </c>
      <c r="AQ451" s="1871" t="s">
        <v>494</v>
      </c>
      <c r="AR451" s="1871" t="s">
        <v>63</v>
      </c>
      <c r="AS451" s="1871">
        <v>2</v>
      </c>
      <c r="AT451" s="1872">
        <v>1226639000</v>
      </c>
      <c r="AU451" s="1867">
        <v>0.22085745640292512</v>
      </c>
      <c r="AV451" s="1781">
        <v>2003</v>
      </c>
      <c r="EA451" s="169"/>
      <c r="EB451" s="169"/>
      <c r="EC451" s="169"/>
      <c r="ED451" s="169"/>
      <c r="EE451" s="169"/>
      <c r="EF451" s="169"/>
      <c r="EG451" s="169"/>
      <c r="EH451" s="169"/>
      <c r="EI451" s="169"/>
      <c r="EJ451" s="169"/>
      <c r="EK451" s="169"/>
      <c r="EL451" s="169"/>
      <c r="EM451" s="169"/>
      <c r="EN451" s="169"/>
      <c r="EO451" s="169"/>
      <c r="EP451" s="169"/>
      <c r="EQ451" s="169"/>
      <c r="ER451" s="169"/>
      <c r="ES451" s="169"/>
      <c r="ET451" s="169"/>
      <c r="EU451" s="169"/>
      <c r="EV451" s="169"/>
      <c r="EW451" s="169"/>
      <c r="EX451" s="169"/>
    </row>
    <row r="452" spans="1:154">
      <c r="A452" s="333">
        <f t="shared" si="12"/>
        <v>2007</v>
      </c>
      <c r="B452" s="333">
        <f t="shared" si="13"/>
        <v>4</v>
      </c>
      <c r="C452" s="1175">
        <v>39417</v>
      </c>
      <c r="D452" s="1167">
        <v>370.18392055825979</v>
      </c>
      <c r="E452" s="1168">
        <v>919.87</v>
      </c>
      <c r="F452" s="1168">
        <v>803.2</v>
      </c>
      <c r="G452" s="1168"/>
      <c r="H452" s="1167"/>
      <c r="I452" s="1168"/>
      <c r="J452" s="1168"/>
      <c r="K452" s="1678">
        <v>25991.94</v>
      </c>
      <c r="L452" s="1678">
        <v>29766.307833256986</v>
      </c>
      <c r="M452" s="1682">
        <v>98.05</v>
      </c>
      <c r="N452" s="1169">
        <v>7544.29</v>
      </c>
      <c r="O452" s="1169">
        <v>2973.0073293632618</v>
      </c>
      <c r="P452" s="1169">
        <v>2694.7778286761336</v>
      </c>
      <c r="Q452" s="1167">
        <v>90</v>
      </c>
      <c r="R452" s="1167">
        <v>760.16818181818178</v>
      </c>
      <c r="S452" s="1167">
        <v>981.94270603790221</v>
      </c>
      <c r="T452" s="1167">
        <v>2160.9127589274367</v>
      </c>
      <c r="U452" s="1167">
        <v>97455</v>
      </c>
      <c r="V452" s="1167"/>
      <c r="W452" s="1167"/>
      <c r="X452" s="344">
        <v>0.87319999999999998</v>
      </c>
      <c r="AI452" s="1868" t="s">
        <v>1</v>
      </c>
      <c r="AJ452" s="1869">
        <v>2014</v>
      </c>
      <c r="AK452" s="1868" t="s">
        <v>758</v>
      </c>
      <c r="AL452" s="1868">
        <v>8</v>
      </c>
      <c r="AM452" s="1870">
        <v>108494000</v>
      </c>
      <c r="AN452" s="1831">
        <v>8.3400794342330681E-3</v>
      </c>
      <c r="AP452" s="1871" t="s">
        <v>1</v>
      </c>
      <c r="AQ452" s="1871" t="s">
        <v>494</v>
      </c>
      <c r="AR452" s="1871" t="s">
        <v>371</v>
      </c>
      <c r="AS452" s="1871">
        <v>3</v>
      </c>
      <c r="AT452" s="1872">
        <v>745512000</v>
      </c>
      <c r="AU452" s="1867">
        <v>0.13423010685120684</v>
      </c>
      <c r="AV452" s="1781">
        <v>2003</v>
      </c>
      <c r="EA452" s="169"/>
      <c r="EB452" s="169"/>
      <c r="EC452" s="169"/>
      <c r="ED452" s="169"/>
      <c r="EE452" s="169"/>
      <c r="EF452" s="169"/>
      <c r="EG452" s="169"/>
      <c r="EH452" s="169"/>
      <c r="EI452" s="169"/>
      <c r="EJ452" s="169"/>
      <c r="EK452" s="169"/>
      <c r="EL452" s="169"/>
      <c r="EM452" s="169"/>
      <c r="EN452" s="169"/>
      <c r="EO452" s="169"/>
      <c r="EP452" s="169"/>
      <c r="EQ452" s="169"/>
      <c r="ER452" s="169"/>
      <c r="ES452" s="169"/>
      <c r="ET452" s="169"/>
      <c r="EU452" s="169"/>
      <c r="EV452" s="169"/>
      <c r="EW452" s="169"/>
      <c r="EX452" s="169"/>
    </row>
    <row r="453" spans="1:154">
      <c r="A453" s="333">
        <f t="shared" si="12"/>
        <v>2008</v>
      </c>
      <c r="B453" s="333">
        <f t="shared" si="13"/>
        <v>1</v>
      </c>
      <c r="C453" s="1175">
        <v>39448</v>
      </c>
      <c r="D453" s="1158">
        <v>350.52082332713275</v>
      </c>
      <c r="E453" s="1159">
        <v>1002.09</v>
      </c>
      <c r="F453" s="1159">
        <v>887.93</v>
      </c>
      <c r="G453" s="1160"/>
      <c r="H453" s="1161"/>
      <c r="I453" s="1160"/>
      <c r="J453" s="1160"/>
      <c r="K453" s="1677">
        <v>27689.55</v>
      </c>
      <c r="L453" s="1677">
        <v>31433.250085140196</v>
      </c>
      <c r="M453" s="1681">
        <v>96.74</v>
      </c>
      <c r="N453" s="1162">
        <v>8015.69</v>
      </c>
      <c r="O453" s="1162">
        <v>2960.7673969803609</v>
      </c>
      <c r="P453" s="1162">
        <v>2656.4990350777616</v>
      </c>
      <c r="Q453" s="1163">
        <v>78</v>
      </c>
      <c r="R453" s="1164">
        <v>715.87956366874448</v>
      </c>
      <c r="S453" s="1164">
        <v>951</v>
      </c>
      <c r="T453" s="1164">
        <v>2164.3883799955865</v>
      </c>
      <c r="U453" s="1165">
        <v>109571</v>
      </c>
      <c r="V453" s="1166"/>
      <c r="W453" s="1166"/>
      <c r="X453" s="635">
        <v>0.88090000000000002</v>
      </c>
      <c r="AI453" s="1868" t="s">
        <v>1</v>
      </c>
      <c r="AJ453" s="1869">
        <v>2014</v>
      </c>
      <c r="AK453" s="1868" t="s">
        <v>58</v>
      </c>
      <c r="AL453" s="1868">
        <v>9</v>
      </c>
      <c r="AM453" s="1870">
        <v>30829000</v>
      </c>
      <c r="AN453" s="1831">
        <v>2.3698666182274714E-3</v>
      </c>
      <c r="AP453" s="1871" t="s">
        <v>1</v>
      </c>
      <c r="AQ453" s="1871" t="s">
        <v>494</v>
      </c>
      <c r="AR453" s="1871" t="s">
        <v>61</v>
      </c>
      <c r="AS453" s="1871">
        <v>4</v>
      </c>
      <c r="AT453" s="1872">
        <v>302664000</v>
      </c>
      <c r="AU453" s="1867">
        <v>5.449492571549977E-2</v>
      </c>
      <c r="AV453" s="1781">
        <v>2003</v>
      </c>
      <c r="EA453" s="169"/>
      <c r="EB453" s="169"/>
      <c r="EC453" s="169"/>
      <c r="ED453" s="169"/>
      <c r="EE453" s="169"/>
      <c r="EF453" s="169"/>
      <c r="EG453" s="169"/>
      <c r="EH453" s="169"/>
      <c r="EI453" s="169"/>
      <c r="EJ453" s="169"/>
      <c r="EK453" s="169"/>
      <c r="EL453" s="169"/>
      <c r="EM453" s="169"/>
      <c r="EN453" s="169"/>
      <c r="EO453" s="169"/>
      <c r="EP453" s="169"/>
      <c r="EQ453" s="169"/>
      <c r="ER453" s="169"/>
      <c r="ES453" s="169"/>
      <c r="ET453" s="169"/>
      <c r="EU453" s="169"/>
      <c r="EV453" s="169"/>
      <c r="EW453" s="169"/>
      <c r="EX453" s="169"/>
    </row>
    <row r="454" spans="1:154">
      <c r="A454" s="333">
        <f t="shared" si="12"/>
        <v>2008</v>
      </c>
      <c r="B454" s="333">
        <f t="shared" si="13"/>
        <v>1</v>
      </c>
      <c r="C454" s="1175">
        <v>39479</v>
      </c>
      <c r="D454" s="1167">
        <v>347.79</v>
      </c>
      <c r="E454" s="1168">
        <v>1015.42</v>
      </c>
      <c r="F454" s="1168">
        <v>922.68</v>
      </c>
      <c r="G454" s="1168"/>
      <c r="H454" s="1167"/>
      <c r="I454" s="1168"/>
      <c r="J454" s="1168"/>
      <c r="K454" s="1678">
        <v>27955.48</v>
      </c>
      <c r="L454" s="1678">
        <v>30616.011389771109</v>
      </c>
      <c r="M454" s="1682">
        <v>100.13</v>
      </c>
      <c r="N454" s="1169">
        <v>8638.36</v>
      </c>
      <c r="O454" s="1169">
        <v>3372.9931004271166</v>
      </c>
      <c r="P454" s="1169">
        <v>2670.1785127587336</v>
      </c>
      <c r="Q454" s="1167">
        <v>73</v>
      </c>
      <c r="R454" s="1167">
        <v>656.46393210749602</v>
      </c>
      <c r="S454" s="1167">
        <v>964.92</v>
      </c>
      <c r="T454" s="1167">
        <v>2126.21</v>
      </c>
      <c r="U454" s="1167">
        <v>113056</v>
      </c>
      <c r="V454" s="1167"/>
      <c r="W454" s="1167"/>
      <c r="X454" s="344">
        <v>0.91310000000000002</v>
      </c>
      <c r="AI454" s="1868" t="s">
        <v>1</v>
      </c>
      <c r="AJ454" s="1869">
        <v>2014</v>
      </c>
      <c r="AK454" s="1868" t="s">
        <v>23</v>
      </c>
      <c r="AL454" s="1868">
        <v>10</v>
      </c>
      <c r="AM454" s="1870">
        <v>22247000</v>
      </c>
      <c r="AN454" s="1831">
        <v>1.710156756810359E-3</v>
      </c>
      <c r="AP454" s="1871" t="s">
        <v>1</v>
      </c>
      <c r="AQ454" s="1871" t="s">
        <v>494</v>
      </c>
      <c r="AR454" s="1871" t="s">
        <v>33</v>
      </c>
      <c r="AS454" s="1871">
        <v>5</v>
      </c>
      <c r="AT454" s="1872">
        <v>235400000</v>
      </c>
      <c r="AU454" s="1867">
        <v>4.2383981951697743E-2</v>
      </c>
      <c r="AV454" s="1781">
        <v>2003</v>
      </c>
      <c r="EA454" s="169"/>
      <c r="EB454" s="169"/>
      <c r="EC454" s="169"/>
      <c r="ED454" s="169"/>
      <c r="EE454" s="169"/>
      <c r="EF454" s="169"/>
      <c r="EG454" s="169"/>
      <c r="EH454" s="169"/>
      <c r="EI454" s="169"/>
      <c r="EJ454" s="169"/>
      <c r="EK454" s="169"/>
      <c r="EL454" s="169"/>
      <c r="EM454" s="169"/>
      <c r="EN454" s="169"/>
      <c r="EO454" s="169"/>
      <c r="EP454" s="169"/>
      <c r="EQ454" s="169"/>
      <c r="ER454" s="169"/>
      <c r="ES454" s="169"/>
      <c r="ET454" s="169"/>
      <c r="EU454" s="169"/>
      <c r="EV454" s="169"/>
      <c r="EW454" s="169"/>
      <c r="EX454" s="169"/>
    </row>
    <row r="455" spans="1:154">
      <c r="A455" s="333">
        <f t="shared" si="12"/>
        <v>2008</v>
      </c>
      <c r="B455" s="333">
        <f t="shared" si="13"/>
        <v>1</v>
      </c>
      <c r="C455" s="1175">
        <v>39508</v>
      </c>
      <c r="D455" s="1158">
        <v>344.34</v>
      </c>
      <c r="E455" s="1159">
        <v>1044.98</v>
      </c>
      <c r="F455" s="1159">
        <v>968.43</v>
      </c>
      <c r="G455" s="1160"/>
      <c r="H455" s="1161"/>
      <c r="I455" s="1160"/>
      <c r="J455" s="1160"/>
      <c r="K455" s="1677">
        <v>31255.26</v>
      </c>
      <c r="L455" s="1677">
        <v>33833.362199610303</v>
      </c>
      <c r="M455" s="1681">
        <v>109.61</v>
      </c>
      <c r="N455" s="1162">
        <v>9135.41</v>
      </c>
      <c r="O455" s="1162">
        <v>3256.7438839575666</v>
      </c>
      <c r="P455" s="1162">
        <v>2718.6295735007575</v>
      </c>
      <c r="Q455" s="1163">
        <v>71</v>
      </c>
      <c r="R455" s="1164">
        <v>782.53</v>
      </c>
      <c r="S455" s="1164">
        <v>872.27</v>
      </c>
      <c r="T455" s="1164">
        <v>2073.9499999999998</v>
      </c>
      <c r="U455" s="1165">
        <v>115445</v>
      </c>
      <c r="V455" s="1166"/>
      <c r="W455" s="1166"/>
      <c r="X455" s="635">
        <v>0.92379999999999995</v>
      </c>
      <c r="AI455" s="1868" t="s">
        <v>1</v>
      </c>
      <c r="AJ455" s="1869">
        <v>2014</v>
      </c>
      <c r="AK455" s="1868" t="s">
        <v>39</v>
      </c>
      <c r="AL455" s="1868"/>
      <c r="AM455" s="1870">
        <v>20895000</v>
      </c>
      <c r="AN455" s="1831">
        <v>1.606226701737423E-3</v>
      </c>
      <c r="AP455" s="1871" t="s">
        <v>1</v>
      </c>
      <c r="AQ455" s="1871" t="s">
        <v>494</v>
      </c>
      <c r="AR455" s="1871" t="s">
        <v>23</v>
      </c>
      <c r="AS455" s="1871">
        <v>6</v>
      </c>
      <c r="AT455" s="1872">
        <v>162184000</v>
      </c>
      <c r="AU455" s="1867">
        <v>2.9201375228777176E-2</v>
      </c>
      <c r="AV455" s="1781">
        <v>2003</v>
      </c>
      <c r="EA455" s="169"/>
      <c r="EB455" s="169"/>
      <c r="EC455" s="169"/>
      <c r="ED455" s="169"/>
      <c r="EE455" s="169"/>
      <c r="EF455" s="169"/>
      <c r="EG455" s="169"/>
      <c r="EH455" s="169"/>
      <c r="EI455" s="169"/>
      <c r="EJ455" s="169"/>
      <c r="EK455" s="169"/>
      <c r="EL455" s="169"/>
      <c r="EM455" s="169"/>
      <c r="EN455" s="169"/>
      <c r="EO455" s="169"/>
      <c r="EP455" s="169"/>
      <c r="EQ455" s="169"/>
      <c r="ER455" s="169"/>
      <c r="ES455" s="169"/>
      <c r="ET455" s="169"/>
      <c r="EU455" s="169"/>
      <c r="EV455" s="169"/>
      <c r="EW455" s="169"/>
      <c r="EX455" s="169"/>
    </row>
    <row r="456" spans="1:154">
      <c r="A456" s="333">
        <f t="shared" si="12"/>
        <v>2008</v>
      </c>
      <c r="B456" s="333">
        <f t="shared" si="13"/>
        <v>2</v>
      </c>
      <c r="C456" s="1175">
        <v>39539</v>
      </c>
      <c r="D456" s="1167">
        <v>375.94</v>
      </c>
      <c r="E456" s="1168">
        <v>986.32</v>
      </c>
      <c r="F456" s="1168">
        <v>913.13</v>
      </c>
      <c r="G456" s="1168"/>
      <c r="H456" s="1167"/>
      <c r="I456" s="1168"/>
      <c r="J456" s="1168"/>
      <c r="K456" s="1678">
        <v>28763.18</v>
      </c>
      <c r="L456" s="1678">
        <v>30908.209757145927</v>
      </c>
      <c r="M456" s="1682">
        <v>118.57</v>
      </c>
      <c r="N456" s="1169">
        <v>9333.76</v>
      </c>
      <c r="O456" s="1169">
        <v>3033.2581130453473</v>
      </c>
      <c r="P456" s="1169">
        <v>2432.6241134751776</v>
      </c>
      <c r="Q456" s="1167">
        <v>65</v>
      </c>
      <c r="R456" s="1167">
        <v>789.57</v>
      </c>
      <c r="S456" s="1167">
        <v>861.51</v>
      </c>
      <c r="T456" s="1167">
        <v>2094.8200000000002</v>
      </c>
      <c r="U456" s="1167">
        <v>112381</v>
      </c>
      <c r="V456" s="1167"/>
      <c r="W456" s="1167"/>
      <c r="X456" s="344">
        <v>0.93059999999999998</v>
      </c>
      <c r="AI456" s="1868" t="s">
        <v>1</v>
      </c>
      <c r="AJ456" s="1869">
        <v>2014</v>
      </c>
      <c r="AK456" s="1868" t="s">
        <v>386</v>
      </c>
      <c r="AL456" s="1868"/>
      <c r="AM456" s="1870">
        <v>13008749000</v>
      </c>
      <c r="AN456" s="1831">
        <v>1</v>
      </c>
      <c r="AP456" s="1871" t="s">
        <v>1</v>
      </c>
      <c r="AQ456" s="1871" t="s">
        <v>494</v>
      </c>
      <c r="AR456" s="1871" t="s">
        <v>370</v>
      </c>
      <c r="AS456" s="1871">
        <v>7</v>
      </c>
      <c r="AT456" s="1872">
        <v>88152000</v>
      </c>
      <c r="AU456" s="1867">
        <v>1.5871846971138741E-2</v>
      </c>
      <c r="AV456" s="1781">
        <v>2003</v>
      </c>
      <c r="EA456" s="169"/>
      <c r="EB456" s="169"/>
      <c r="EC456" s="169"/>
      <c r="ED456" s="169"/>
      <c r="EE456" s="169"/>
      <c r="EF456" s="169"/>
      <c r="EG456" s="169"/>
      <c r="EH456" s="169"/>
      <c r="EI456" s="169"/>
      <c r="EJ456" s="169"/>
      <c r="EK456" s="169"/>
      <c r="EL456" s="169"/>
      <c r="EM456" s="169"/>
      <c r="EN456" s="169"/>
      <c r="EO456" s="169"/>
      <c r="EP456" s="169"/>
      <c r="EQ456" s="169"/>
      <c r="ER456" s="169"/>
      <c r="ES456" s="169"/>
      <c r="ET456" s="169"/>
      <c r="EU456" s="169"/>
      <c r="EV456" s="169"/>
      <c r="EW456" s="169"/>
      <c r="EX456" s="169"/>
    </row>
    <row r="457" spans="1:154">
      <c r="A457" s="333">
        <f t="shared" si="12"/>
        <v>2008</v>
      </c>
      <c r="B457" s="333">
        <f t="shared" ref="B457" si="14">IF(OR(MONTH(C457)=1,MONTH(C457)=2,MONTH(C457)=3),1,IF(OR(MONTH(C457)=4,MONTH(C457)=5,MONTH(C457)=6),2,IF(OR(MONTH(C457)=7,MONTH(C457)=8,MONTH(C457)=9),3,4)))</f>
        <v>2</v>
      </c>
      <c r="C457" s="1175">
        <v>39569</v>
      </c>
      <c r="D457" s="1158">
        <v>378.27</v>
      </c>
      <c r="E457" s="1159">
        <v>938.92</v>
      </c>
      <c r="F457" s="1159">
        <v>888.66</v>
      </c>
      <c r="G457" s="1160"/>
      <c r="H457" s="1161"/>
      <c r="I457" s="1160"/>
      <c r="J457" s="1160"/>
      <c r="K457" s="1677">
        <v>25735</v>
      </c>
      <c r="L457" s="1677">
        <v>27120.876804721258</v>
      </c>
      <c r="M457" s="1681">
        <v>131.1</v>
      </c>
      <c r="N457" s="1162">
        <v>8834.18</v>
      </c>
      <c r="O457" s="1162">
        <v>2354.9689113710615</v>
      </c>
      <c r="P457" s="1162">
        <v>2299.6100748234799</v>
      </c>
      <c r="Q457" s="1163">
        <v>60</v>
      </c>
      <c r="R457" s="1164">
        <v>791.89</v>
      </c>
      <c r="S457" s="1164">
        <v>842.08</v>
      </c>
      <c r="T457" s="1164">
        <v>2054.21</v>
      </c>
      <c r="U457" s="1165">
        <v>108616</v>
      </c>
      <c r="V457" s="1166"/>
      <c r="W457" s="1166"/>
      <c r="X457" s="635">
        <v>0.94889999999999997</v>
      </c>
      <c r="AI457" s="1873" t="s">
        <v>1</v>
      </c>
      <c r="AJ457" s="1874">
        <v>2015</v>
      </c>
      <c r="AK457" s="1873" t="s">
        <v>530</v>
      </c>
      <c r="AL457" s="1873">
        <v>1</v>
      </c>
      <c r="AM457" s="1875">
        <v>8991120000</v>
      </c>
      <c r="AN457" s="1831">
        <v>0.65178477253623968</v>
      </c>
      <c r="AP457" s="1871" t="s">
        <v>1</v>
      </c>
      <c r="AQ457" s="1871" t="s">
        <v>494</v>
      </c>
      <c r="AR457" s="1871" t="s">
        <v>537</v>
      </c>
      <c r="AS457" s="1871">
        <v>8</v>
      </c>
      <c r="AT457" s="1872">
        <v>62992000</v>
      </c>
      <c r="AU457" s="1867">
        <v>1.1341766317337911E-2</v>
      </c>
      <c r="AV457" s="1781">
        <v>2003</v>
      </c>
      <c r="EA457" s="169"/>
      <c r="EB457" s="169"/>
      <c r="EC457" s="169"/>
      <c r="ED457" s="169"/>
      <c r="EE457" s="169"/>
      <c r="EF457" s="169"/>
      <c r="EG457" s="169"/>
      <c r="EH457" s="169"/>
      <c r="EI457" s="169"/>
      <c r="EJ457" s="169"/>
      <c r="EK457" s="169"/>
      <c r="EL457" s="169"/>
      <c r="EM457" s="169"/>
      <c r="EN457" s="169"/>
      <c r="EO457" s="169"/>
      <c r="EP457" s="169"/>
      <c r="EQ457" s="169"/>
      <c r="ER457" s="169"/>
      <c r="ES457" s="169"/>
      <c r="ET457" s="169"/>
      <c r="EU457" s="169"/>
      <c r="EV457" s="169"/>
      <c r="EW457" s="169"/>
      <c r="EX457" s="169"/>
    </row>
    <row r="458" spans="1:154">
      <c r="A458" s="333">
        <f t="shared" ref="A458:A521" si="15">YEAR(C458)</f>
        <v>2008</v>
      </c>
      <c r="B458" s="333">
        <f t="shared" ref="B458:B521" si="16">IF(OR(MONTH(C458)=1,MONTH(C458)=2,MONTH(C458)=3),1,IF(OR(MONTH(C458)=4,MONTH(C458)=5,MONTH(C458)=6),2,IF(OR(MONTH(C458)=7,MONTH(C458)=8,MONTH(C458)=9),3,4)))</f>
        <v>2</v>
      </c>
      <c r="C458" s="1175">
        <v>39600</v>
      </c>
      <c r="D458" s="1167">
        <v>370.65017628614265</v>
      </c>
      <c r="E458" s="1168">
        <v>930.84</v>
      </c>
      <c r="F458" s="1168">
        <v>887.45</v>
      </c>
      <c r="G458" s="1168"/>
      <c r="H458" s="1167"/>
      <c r="I458" s="1168"/>
      <c r="J458" s="1168"/>
      <c r="K458" s="1678">
        <v>22549.05</v>
      </c>
      <c r="L458" s="1678">
        <v>23698.423541776141</v>
      </c>
      <c r="M458" s="1682">
        <v>139.21</v>
      </c>
      <c r="N458" s="1169">
        <v>8681.66</v>
      </c>
      <c r="O458" s="1169">
        <v>1958.0136626379401</v>
      </c>
      <c r="P458" s="1169">
        <v>1991.0457172884919</v>
      </c>
      <c r="Q458" s="1167">
        <v>59</v>
      </c>
      <c r="R458" s="1167">
        <v>777.0535858178888</v>
      </c>
      <c r="S458" s="1167">
        <v>850.29561432875801</v>
      </c>
      <c r="T458" s="1167">
        <v>2054.1067729807655</v>
      </c>
      <c r="U458" s="1167">
        <v>101586</v>
      </c>
      <c r="V458" s="1167"/>
      <c r="W458" s="1167"/>
      <c r="X458" s="344">
        <v>0.95150000000000001</v>
      </c>
      <c r="AI458" s="1873" t="s">
        <v>1</v>
      </c>
      <c r="AJ458" s="1874">
        <v>2015</v>
      </c>
      <c r="AK458" s="1873" t="s">
        <v>61</v>
      </c>
      <c r="AL458" s="1873">
        <v>2</v>
      </c>
      <c r="AM458" s="1875">
        <v>2066004000</v>
      </c>
      <c r="AN458" s="1831">
        <v>0.1497688772031695</v>
      </c>
      <c r="AP458" s="1871" t="s">
        <v>1</v>
      </c>
      <c r="AQ458" s="1871" t="s">
        <v>494</v>
      </c>
      <c r="AR458" s="1871" t="s">
        <v>25</v>
      </c>
      <c r="AS458" s="1871">
        <v>9</v>
      </c>
      <c r="AT458" s="1872">
        <v>16152000</v>
      </c>
      <c r="AU458" s="1867">
        <v>2.9081821430918522E-3</v>
      </c>
      <c r="AV458" s="1781">
        <v>2003</v>
      </c>
      <c r="EA458" s="169"/>
      <c r="EB458" s="169"/>
      <c r="EC458" s="169"/>
      <c r="ED458" s="169"/>
      <c r="EE458" s="169"/>
      <c r="EF458" s="169"/>
      <c r="EG458" s="169"/>
      <c r="EH458" s="169"/>
      <c r="EI458" s="169"/>
      <c r="EJ458" s="169"/>
      <c r="EK458" s="169"/>
      <c r="EL458" s="169"/>
      <c r="EM458" s="169"/>
      <c r="EN458" s="169"/>
      <c r="EO458" s="169"/>
      <c r="EP458" s="169"/>
      <c r="EQ458" s="169"/>
      <c r="ER458" s="169"/>
      <c r="ES458" s="169"/>
      <c r="ET458" s="169"/>
      <c r="EU458" s="169"/>
      <c r="EV458" s="169"/>
      <c r="EW458" s="169"/>
      <c r="EX458" s="169"/>
    </row>
    <row r="459" spans="1:154">
      <c r="A459" s="333">
        <f t="shared" si="15"/>
        <v>2008</v>
      </c>
      <c r="B459" s="333">
        <f t="shared" si="16"/>
        <v>3</v>
      </c>
      <c r="C459" s="1175">
        <v>39630</v>
      </c>
      <c r="D459" s="1158">
        <v>386.17098837934032</v>
      </c>
      <c r="E459" s="1159">
        <v>940</v>
      </c>
      <c r="F459" s="1159">
        <v>944.13</v>
      </c>
      <c r="G459" s="1160"/>
      <c r="H459" s="1161"/>
      <c r="I459" s="1160"/>
      <c r="J459" s="1160"/>
      <c r="K459" s="1677">
        <v>20160.22</v>
      </c>
      <c r="L459" s="1677">
        <v>20934.807892004155</v>
      </c>
      <c r="M459" s="1681">
        <v>143.11000000000001</v>
      </c>
      <c r="N459" s="1162">
        <v>8737.32</v>
      </c>
      <c r="O459" s="1162">
        <v>2019.6365524402909</v>
      </c>
      <c r="P459" s="1162">
        <v>1923.541017653167</v>
      </c>
      <c r="Q459" s="1163">
        <v>64.5</v>
      </c>
      <c r="R459" s="1164">
        <v>753.3577535377359</v>
      </c>
      <c r="S459" s="1164">
        <v>899.28568611987384</v>
      </c>
      <c r="T459" s="1164">
        <v>2024.3785868137875</v>
      </c>
      <c r="U459" s="1165">
        <v>87281</v>
      </c>
      <c r="V459" s="1166"/>
      <c r="W459" s="1166"/>
      <c r="X459" s="635">
        <v>0.96299999999999997</v>
      </c>
      <c r="AI459" s="1873" t="s">
        <v>1</v>
      </c>
      <c r="AJ459" s="1874">
        <v>2015</v>
      </c>
      <c r="AK459" s="1873" t="s">
        <v>21</v>
      </c>
      <c r="AL459" s="1873">
        <v>3</v>
      </c>
      <c r="AM459" s="1875">
        <v>929831000</v>
      </c>
      <c r="AN459" s="1831">
        <v>6.7405360715032642E-2</v>
      </c>
      <c r="AP459" s="1871" t="s">
        <v>1</v>
      </c>
      <c r="AQ459" s="1871" t="s">
        <v>494</v>
      </c>
      <c r="AR459" s="1871" t="s">
        <v>136</v>
      </c>
      <c r="AS459" s="1871">
        <v>10</v>
      </c>
      <c r="AT459" s="1872">
        <v>11074000</v>
      </c>
      <c r="AU459" s="1867">
        <v>1.9938836709137674E-3</v>
      </c>
      <c r="AV459" s="1781">
        <v>2003</v>
      </c>
      <c r="EA459" s="169"/>
      <c r="EB459" s="169"/>
      <c r="EC459" s="169"/>
      <c r="ED459" s="169"/>
      <c r="EE459" s="169"/>
      <c r="EF459" s="169"/>
      <c r="EG459" s="169"/>
      <c r="EH459" s="169"/>
      <c r="EI459" s="169"/>
      <c r="EJ459" s="169"/>
      <c r="EK459" s="169"/>
      <c r="EL459" s="169"/>
      <c r="EM459" s="169"/>
      <c r="EN459" s="169"/>
      <c r="EO459" s="169"/>
      <c r="EP459" s="169"/>
      <c r="EQ459" s="169"/>
      <c r="ER459" s="169"/>
      <c r="ES459" s="169"/>
      <c r="ET459" s="169"/>
      <c r="EU459" s="169"/>
      <c r="EV459" s="169"/>
      <c r="EW459" s="169"/>
      <c r="EX459" s="169"/>
    </row>
    <row r="460" spans="1:154">
      <c r="A460" s="333">
        <f t="shared" si="15"/>
        <v>2008</v>
      </c>
      <c r="B460" s="333">
        <f t="shared" si="16"/>
        <v>3</v>
      </c>
      <c r="C460" s="1175">
        <v>39661</v>
      </c>
      <c r="D460" s="1167">
        <v>410.69921635149581</v>
      </c>
      <c r="E460" s="1168">
        <v>950.68</v>
      </c>
      <c r="F460" s="1168">
        <v>839.03</v>
      </c>
      <c r="G460" s="1168"/>
      <c r="H460" s="1167"/>
      <c r="I460" s="1168"/>
      <c r="J460" s="1168"/>
      <c r="K460" s="1678">
        <v>18927.75</v>
      </c>
      <c r="L460" s="1678">
        <v>21440.586769370184</v>
      </c>
      <c r="M460" s="1682">
        <v>122.5</v>
      </c>
      <c r="N460" s="1169">
        <v>8648.2800000000007</v>
      </c>
      <c r="O460" s="1169">
        <v>2178.9533303126414</v>
      </c>
      <c r="P460" s="1169">
        <v>1951.7444494789306</v>
      </c>
      <c r="Q460" s="1167">
        <v>64.5</v>
      </c>
      <c r="R460" s="1167">
        <v>831.10687454560139</v>
      </c>
      <c r="S460" s="1167">
        <v>971.56504282315768</v>
      </c>
      <c r="T460" s="1167">
        <v>2281.2215464608798</v>
      </c>
      <c r="U460" s="1167">
        <v>71448</v>
      </c>
      <c r="V460" s="1167"/>
      <c r="W460" s="1167"/>
      <c r="X460" s="344">
        <v>0.88280000000000003</v>
      </c>
      <c r="AI460" s="1873" t="s">
        <v>1</v>
      </c>
      <c r="AJ460" s="1874">
        <v>2015</v>
      </c>
      <c r="AK460" s="1873" t="s">
        <v>33</v>
      </c>
      <c r="AL460" s="1873">
        <v>4</v>
      </c>
      <c r="AM460" s="1875">
        <v>673610000</v>
      </c>
      <c r="AN460" s="1831">
        <v>4.8831373691835545E-2</v>
      </c>
      <c r="AP460" s="1871" t="s">
        <v>1</v>
      </c>
      <c r="AQ460" s="1871" t="s">
        <v>494</v>
      </c>
      <c r="AR460" s="1871" t="s">
        <v>39</v>
      </c>
      <c r="AS460" s="1871"/>
      <c r="AT460" s="1872">
        <v>32661000</v>
      </c>
      <c r="AU460" s="1867">
        <v>5.8806424576227697E-3</v>
      </c>
      <c r="AV460" s="1781">
        <v>2003</v>
      </c>
      <c r="EA460" s="169"/>
      <c r="EB460" s="169"/>
      <c r="EC460" s="169"/>
      <c r="ED460" s="169"/>
      <c r="EE460" s="169"/>
      <c r="EF460" s="169"/>
      <c r="EG460" s="169"/>
      <c r="EH460" s="169"/>
      <c r="EI460" s="169"/>
      <c r="EJ460" s="169"/>
      <c r="EK460" s="169"/>
      <c r="EL460" s="169"/>
      <c r="EM460" s="169"/>
      <c r="EN460" s="169"/>
      <c r="EO460" s="169"/>
      <c r="EP460" s="169"/>
      <c r="EQ460" s="169"/>
      <c r="ER460" s="169"/>
      <c r="ES460" s="169"/>
      <c r="ET460" s="169"/>
      <c r="EU460" s="169"/>
      <c r="EV460" s="169"/>
      <c r="EW460" s="169"/>
      <c r="EX460" s="169"/>
    </row>
    <row r="461" spans="1:154">
      <c r="A461" s="333">
        <f t="shared" si="15"/>
        <v>2008</v>
      </c>
      <c r="B461" s="333">
        <f t="shared" si="16"/>
        <v>3</v>
      </c>
      <c r="C461" s="1175">
        <v>39692</v>
      </c>
      <c r="D461" s="1158">
        <v>449.94679608683958</v>
      </c>
      <c r="E461" s="1159">
        <v>1001.55</v>
      </c>
      <c r="F461" s="1159">
        <v>829.93</v>
      </c>
      <c r="G461" s="1160"/>
      <c r="H461" s="1161"/>
      <c r="I461" s="1160"/>
      <c r="J461" s="1160"/>
      <c r="K461" s="1677">
        <v>17794.55</v>
      </c>
      <c r="L461" s="1677">
        <v>21719.211522031001</v>
      </c>
      <c r="M461" s="1681">
        <v>104.34</v>
      </c>
      <c r="N461" s="1162">
        <v>8532.7199999999993</v>
      </c>
      <c r="O461" s="1162">
        <v>2280.4345172708408</v>
      </c>
      <c r="P461" s="1162">
        <v>2117.6614182839007</v>
      </c>
      <c r="Q461" s="1163">
        <v>53</v>
      </c>
      <c r="R461" s="1164">
        <v>905.34117330221284</v>
      </c>
      <c r="S461" s="1164">
        <v>1128.4221565929456</v>
      </c>
      <c r="T461" s="1164">
        <v>2585.0331932016011</v>
      </c>
      <c r="U461" s="1165">
        <v>85687</v>
      </c>
      <c r="V461" s="1166"/>
      <c r="W461" s="1166"/>
      <c r="X461" s="635">
        <v>0.81930000000000003</v>
      </c>
      <c r="AI461" s="1873" t="s">
        <v>1</v>
      </c>
      <c r="AJ461" s="1874">
        <v>2015</v>
      </c>
      <c r="AK461" s="1873" t="s">
        <v>63</v>
      </c>
      <c r="AL461" s="1873">
        <v>5</v>
      </c>
      <c r="AM461" s="1875">
        <v>410333000</v>
      </c>
      <c r="AN461" s="1831">
        <v>2.9745882723077086E-2</v>
      </c>
      <c r="AP461" s="1871" t="s">
        <v>1</v>
      </c>
      <c r="AQ461" s="1871" t="s">
        <v>494</v>
      </c>
      <c r="AR461" s="1871" t="s">
        <v>386</v>
      </c>
      <c r="AS461" s="1871"/>
      <c r="AT461" s="1872">
        <v>5553985000</v>
      </c>
      <c r="AU461" s="1867">
        <v>1</v>
      </c>
      <c r="AV461" s="1781">
        <v>2003</v>
      </c>
      <c r="EA461" s="169"/>
      <c r="EB461" s="169"/>
      <c r="EC461" s="169"/>
      <c r="ED461" s="169"/>
      <c r="EE461" s="169"/>
      <c r="EF461" s="169"/>
      <c r="EG461" s="169"/>
      <c r="EH461" s="169"/>
      <c r="EI461" s="169"/>
      <c r="EJ461" s="169"/>
      <c r="EK461" s="169"/>
      <c r="EL461" s="169"/>
      <c r="EM461" s="169"/>
      <c r="EN461" s="169"/>
      <c r="EO461" s="169"/>
      <c r="EP461" s="169"/>
      <c r="EQ461" s="169"/>
      <c r="ER461" s="169"/>
      <c r="ES461" s="169"/>
      <c r="ET461" s="169"/>
      <c r="EU461" s="169"/>
      <c r="EV461" s="169"/>
      <c r="EW461" s="169"/>
      <c r="EX461" s="169"/>
    </row>
    <row r="462" spans="1:154">
      <c r="A462" s="333">
        <f t="shared" si="15"/>
        <v>2008</v>
      </c>
      <c r="B462" s="333">
        <f t="shared" si="16"/>
        <v>4</v>
      </c>
      <c r="C462" s="1175">
        <v>39722</v>
      </c>
      <c r="D462" s="1167">
        <v>483.57176000288308</v>
      </c>
      <c r="E462" s="1168">
        <v>1164.8800000000001</v>
      </c>
      <c r="F462" s="1168">
        <v>806.62</v>
      </c>
      <c r="G462" s="1168"/>
      <c r="H462" s="1167"/>
      <c r="I462" s="1168"/>
      <c r="J462" s="1168"/>
      <c r="K462" s="1678">
        <v>12139.78</v>
      </c>
      <c r="L462" s="1678">
        <v>17681.007864841249</v>
      </c>
      <c r="M462" s="1682">
        <v>74.94</v>
      </c>
      <c r="N462" s="1169">
        <v>7174.05</v>
      </c>
      <c r="O462" s="1169">
        <v>2155.7092921642875</v>
      </c>
      <c r="P462" s="1169">
        <v>1896.4608214389746</v>
      </c>
      <c r="Q462" s="1167">
        <v>46</v>
      </c>
      <c r="R462" s="1167">
        <v>1053.4740799020894</v>
      </c>
      <c r="S462" s="1167">
        <v>1219.9605650149695</v>
      </c>
      <c r="T462" s="1167">
        <v>3097.7526451664335</v>
      </c>
      <c r="U462" s="1167">
        <v>99619</v>
      </c>
      <c r="V462" s="1167"/>
      <c r="W462" s="1167"/>
      <c r="X462" s="344">
        <v>0.68659999999999999</v>
      </c>
      <c r="AI462" s="1873" t="s">
        <v>1</v>
      </c>
      <c r="AJ462" s="1874">
        <v>2015</v>
      </c>
      <c r="AK462" s="1873" t="s">
        <v>371</v>
      </c>
      <c r="AL462" s="1873">
        <v>6</v>
      </c>
      <c r="AM462" s="1875">
        <v>335740000</v>
      </c>
      <c r="AN462" s="1831">
        <v>2.4338482806515439E-2</v>
      </c>
      <c r="AP462" s="1876" t="s">
        <v>1</v>
      </c>
      <c r="AQ462" s="1876" t="s">
        <v>471</v>
      </c>
      <c r="AR462" s="1876" t="s">
        <v>21</v>
      </c>
      <c r="AS462" s="1876">
        <v>1</v>
      </c>
      <c r="AT462" s="1877">
        <v>2773127000</v>
      </c>
      <c r="AU462" s="1867">
        <v>0.49383254020419476</v>
      </c>
      <c r="AV462" s="1781">
        <v>2004</v>
      </c>
      <c r="EA462" s="169"/>
      <c r="EB462" s="169"/>
      <c r="EC462" s="169"/>
      <c r="ED462" s="169"/>
      <c r="EE462" s="169"/>
      <c r="EF462" s="169"/>
      <c r="EG462" s="169"/>
      <c r="EH462" s="169"/>
      <c r="EI462" s="169"/>
      <c r="EJ462" s="169"/>
      <c r="EK462" s="169"/>
      <c r="EL462" s="169"/>
      <c r="EM462" s="169"/>
      <c r="EN462" s="169"/>
      <c r="EO462" s="169"/>
      <c r="EP462" s="169"/>
      <c r="EQ462" s="169"/>
      <c r="ER462" s="169"/>
      <c r="ES462" s="169"/>
      <c r="ET462" s="169"/>
      <c r="EU462" s="169"/>
      <c r="EV462" s="169"/>
      <c r="EW462" s="169"/>
      <c r="EX462" s="169"/>
    </row>
    <row r="463" spans="1:154">
      <c r="A463" s="333">
        <f t="shared" si="15"/>
        <v>2008</v>
      </c>
      <c r="B463" s="333">
        <f t="shared" si="16"/>
        <v>4</v>
      </c>
      <c r="C463" s="1175">
        <v>39753</v>
      </c>
      <c r="D463" s="1158">
        <v>469.53729693317382</v>
      </c>
      <c r="E463" s="1159">
        <v>1151.9100000000001</v>
      </c>
      <c r="F463" s="1159">
        <v>760.86</v>
      </c>
      <c r="G463" s="1160"/>
      <c r="H463" s="1161"/>
      <c r="I463" s="1160"/>
      <c r="J463" s="1160"/>
      <c r="K463" s="1677">
        <v>10701.5</v>
      </c>
      <c r="L463" s="1677">
        <v>16305.805271979278</v>
      </c>
      <c r="M463" s="1681">
        <v>53.17</v>
      </c>
      <c r="N463" s="1162">
        <v>5663.57</v>
      </c>
      <c r="O463" s="1162">
        <v>1967.2405911930518</v>
      </c>
      <c r="P463" s="1162">
        <v>1756.2090507389912</v>
      </c>
      <c r="Q463" s="1163">
        <v>55</v>
      </c>
      <c r="R463" s="1164">
        <v>1087.240635249439</v>
      </c>
      <c r="S463" s="1164">
        <v>1310.1483438035409</v>
      </c>
      <c r="T463" s="1164">
        <v>3369.5377321110918</v>
      </c>
      <c r="U463" s="1165">
        <v>67288</v>
      </c>
      <c r="V463" s="1166"/>
      <c r="W463" s="1166"/>
      <c r="X463" s="635">
        <v>0.65629999999999999</v>
      </c>
      <c r="AI463" s="1873" t="s">
        <v>1</v>
      </c>
      <c r="AJ463" s="1874">
        <v>2015</v>
      </c>
      <c r="AK463" s="1873" t="s">
        <v>758</v>
      </c>
      <c r="AL463" s="1873">
        <v>7</v>
      </c>
      <c r="AM463" s="1875">
        <v>124054000</v>
      </c>
      <c r="AN463" s="1831">
        <v>8.9929294873398059E-3</v>
      </c>
      <c r="AP463" s="1876" t="s">
        <v>1</v>
      </c>
      <c r="AQ463" s="1876" t="s">
        <v>471</v>
      </c>
      <c r="AR463" s="1876" t="s">
        <v>33</v>
      </c>
      <c r="AS463" s="1876">
        <v>2</v>
      </c>
      <c r="AT463" s="1877">
        <v>978022000</v>
      </c>
      <c r="AU463" s="1867">
        <v>0.17416407133015796</v>
      </c>
      <c r="AV463" s="1781">
        <v>2004</v>
      </c>
      <c r="EA463" s="169"/>
      <c r="EB463" s="169"/>
      <c r="EC463" s="169"/>
      <c r="ED463" s="169"/>
      <c r="EE463" s="169"/>
      <c r="EF463" s="169"/>
      <c r="EG463" s="169"/>
      <c r="EH463" s="169"/>
      <c r="EI463" s="169"/>
      <c r="EJ463" s="169"/>
      <c r="EK463" s="169"/>
      <c r="EL463" s="169"/>
      <c r="EM463" s="169"/>
      <c r="EN463" s="169"/>
      <c r="EO463" s="169"/>
      <c r="EP463" s="169"/>
      <c r="EQ463" s="169"/>
      <c r="ER463" s="169"/>
      <c r="ES463" s="169"/>
      <c r="ET463" s="169"/>
      <c r="EU463" s="169"/>
      <c r="EV463" s="169"/>
      <c r="EW463" s="169"/>
      <c r="EX463" s="169"/>
    </row>
    <row r="464" spans="1:154">
      <c r="A464" s="333">
        <f t="shared" si="15"/>
        <v>2008</v>
      </c>
      <c r="B464" s="333">
        <f t="shared" si="16"/>
        <v>4</v>
      </c>
      <c r="C464" s="1175">
        <v>39783</v>
      </c>
      <c r="D464" s="1167">
        <v>428.34171582357851</v>
      </c>
      <c r="E464" s="1168">
        <v>1224.46</v>
      </c>
      <c r="F464" s="1168">
        <v>816.09</v>
      </c>
      <c r="G464" s="1168"/>
      <c r="H464" s="1167"/>
      <c r="I464" s="1168"/>
      <c r="J464" s="1168"/>
      <c r="K464" s="1678">
        <v>9686.43</v>
      </c>
      <c r="L464" s="1678">
        <v>14405.755502676979</v>
      </c>
      <c r="M464" s="1682">
        <v>42.65</v>
      </c>
      <c r="N464" s="1169">
        <v>4568.68</v>
      </c>
      <c r="O464" s="1169">
        <v>1432.004759071981</v>
      </c>
      <c r="P464" s="1169">
        <v>1636.7787031528851</v>
      </c>
      <c r="Q464" s="1167">
        <v>53</v>
      </c>
      <c r="R464" s="1167">
        <v>1050.24129397207</v>
      </c>
      <c r="S464" s="1167">
        <v>1292.6525705831586</v>
      </c>
      <c r="T464" s="1167">
        <v>3362.2396919367393</v>
      </c>
      <c r="U464" s="1167">
        <v>45697</v>
      </c>
      <c r="V464" s="1167"/>
      <c r="W464" s="1167"/>
      <c r="X464" s="344">
        <v>0.6724</v>
      </c>
      <c r="AI464" s="1873" t="s">
        <v>1</v>
      </c>
      <c r="AJ464" s="1874">
        <v>2015</v>
      </c>
      <c r="AK464" s="1873" t="s">
        <v>372</v>
      </c>
      <c r="AL464" s="1873">
        <v>8</v>
      </c>
      <c r="AM464" s="1875">
        <v>71559000</v>
      </c>
      <c r="AN464" s="1831">
        <v>5.1874590193347189E-3</v>
      </c>
      <c r="AP464" s="1876" t="s">
        <v>1</v>
      </c>
      <c r="AQ464" s="1876" t="s">
        <v>471</v>
      </c>
      <c r="AR464" s="1876" t="s">
        <v>63</v>
      </c>
      <c r="AS464" s="1876">
        <v>3</v>
      </c>
      <c r="AT464" s="1877">
        <v>790592000</v>
      </c>
      <c r="AU464" s="1867">
        <v>0.14078693677754922</v>
      </c>
      <c r="AV464" s="1781">
        <v>2004</v>
      </c>
      <c r="EA464" s="169"/>
      <c r="EB464" s="169"/>
      <c r="EC464" s="169"/>
      <c r="ED464" s="169"/>
      <c r="EE464" s="169"/>
      <c r="EF464" s="169"/>
      <c r="EG464" s="169"/>
      <c r="EH464" s="169"/>
      <c r="EI464" s="169"/>
      <c r="EJ464" s="169"/>
      <c r="EK464" s="169"/>
      <c r="EL464" s="169"/>
      <c r="EM464" s="169"/>
      <c r="EN464" s="169"/>
      <c r="EO464" s="169"/>
      <c r="EP464" s="169"/>
      <c r="EQ464" s="169"/>
      <c r="ER464" s="169"/>
      <c r="ES464" s="169"/>
      <c r="ET464" s="169"/>
      <c r="EU464" s="169"/>
      <c r="EV464" s="169"/>
      <c r="EW464" s="169"/>
      <c r="EX464" s="169"/>
    </row>
    <row r="465" spans="1:154">
      <c r="A465" s="333">
        <f t="shared" si="15"/>
        <v>2009</v>
      </c>
      <c r="B465" s="333">
        <f t="shared" si="16"/>
        <v>1</v>
      </c>
      <c r="C465" s="1175">
        <v>39814</v>
      </c>
      <c r="D465" s="1158">
        <v>343.80601500013233</v>
      </c>
      <c r="E465" s="1159">
        <v>1257.2</v>
      </c>
      <c r="F465" s="1159">
        <v>858.69</v>
      </c>
      <c r="G465" s="1160"/>
      <c r="H465" s="1161"/>
      <c r="I465" s="1160"/>
      <c r="J465" s="1160"/>
      <c r="K465" s="1677">
        <v>11306.9</v>
      </c>
      <c r="L465" s="1677">
        <v>16701.477104874444</v>
      </c>
      <c r="M465" s="1681">
        <v>45.07</v>
      </c>
      <c r="N465" s="1162">
        <v>4757.3</v>
      </c>
      <c r="O465" s="1162">
        <v>1673.175775480059</v>
      </c>
      <c r="P465" s="1162">
        <v>1753.9143279172822</v>
      </c>
      <c r="Q465" s="1163">
        <v>48</v>
      </c>
      <c r="R465" s="1164">
        <v>1371.2818496382511</v>
      </c>
      <c r="S465" s="1164">
        <v>1411.9975562072336</v>
      </c>
      <c r="T465" s="1164">
        <v>3306.3846877176852</v>
      </c>
      <c r="U465" s="1165">
        <v>55197</v>
      </c>
      <c r="V465" s="1166"/>
      <c r="W465" s="1166"/>
      <c r="X465" s="635">
        <v>0.67700000000000005</v>
      </c>
      <c r="AI465" s="1873" t="s">
        <v>1</v>
      </c>
      <c r="AJ465" s="1874">
        <v>2015</v>
      </c>
      <c r="AK465" s="1873" t="s">
        <v>23</v>
      </c>
      <c r="AL465" s="1873">
        <v>9</v>
      </c>
      <c r="AM465" s="1875">
        <v>64145000</v>
      </c>
      <c r="AN465" s="1831">
        <v>4.6500029178052453E-3</v>
      </c>
      <c r="AP465" s="1876" t="s">
        <v>1</v>
      </c>
      <c r="AQ465" s="1876" t="s">
        <v>471</v>
      </c>
      <c r="AR465" s="1876" t="s">
        <v>371</v>
      </c>
      <c r="AS465" s="1876">
        <v>4</v>
      </c>
      <c r="AT465" s="1877">
        <v>283053000</v>
      </c>
      <c r="AU465" s="1867">
        <v>5.0405474398546458E-2</v>
      </c>
      <c r="AV465" s="1781">
        <v>2004</v>
      </c>
      <c r="EA465" s="169"/>
      <c r="EB465" s="169"/>
      <c r="EC465" s="169"/>
      <c r="ED465" s="169"/>
      <c r="EE465" s="169"/>
      <c r="EF465" s="169"/>
      <c r="EG465" s="169"/>
      <c r="EH465" s="169"/>
      <c r="EI465" s="169"/>
      <c r="EJ465" s="169"/>
      <c r="EK465" s="169"/>
      <c r="EL465" s="169"/>
      <c r="EM465" s="169"/>
      <c r="EN465" s="169"/>
      <c r="EO465" s="169"/>
      <c r="EP465" s="169"/>
      <c r="EQ465" s="169"/>
      <c r="ER465" s="169"/>
      <c r="ES465" s="169"/>
      <c r="ET465" s="169"/>
      <c r="EU465" s="169"/>
      <c r="EV465" s="169"/>
      <c r="EW465" s="169"/>
      <c r="EX465" s="169"/>
    </row>
    <row r="466" spans="1:154">
      <c r="A466" s="333">
        <f t="shared" si="15"/>
        <v>2009</v>
      </c>
      <c r="B466" s="333">
        <f t="shared" si="16"/>
        <v>1</v>
      </c>
      <c r="C466" s="1175">
        <v>39845</v>
      </c>
      <c r="D466" s="1167">
        <v>348.99816190673113</v>
      </c>
      <c r="E466" s="1168">
        <v>1436.07</v>
      </c>
      <c r="F466" s="1168">
        <v>943.16</v>
      </c>
      <c r="G466" s="1168"/>
      <c r="H466" s="1167"/>
      <c r="I466" s="1168"/>
      <c r="J466" s="1168"/>
      <c r="K466" s="1678">
        <v>10408.75</v>
      </c>
      <c r="L466" s="1678">
        <v>16025.789068514243</v>
      </c>
      <c r="M466" s="1682">
        <v>48.29</v>
      </c>
      <c r="N466" s="1169">
        <v>5103.51</v>
      </c>
      <c r="O466" s="1169">
        <v>1694.4264819091609</v>
      </c>
      <c r="P466" s="1169">
        <v>1712.2093918398768</v>
      </c>
      <c r="Q466" s="1167">
        <v>45</v>
      </c>
      <c r="R466" s="1167">
        <v>1367.6318651440999</v>
      </c>
      <c r="S466" s="1167">
        <v>947.46562905317774</v>
      </c>
      <c r="T466" s="1167">
        <v>3363.12724449899</v>
      </c>
      <c r="U466" s="1167">
        <v>51977</v>
      </c>
      <c r="V466" s="1167"/>
      <c r="W466" s="1167"/>
      <c r="X466" s="344">
        <v>0.64949999999999997</v>
      </c>
      <c r="AI466" s="1873" t="s">
        <v>1</v>
      </c>
      <c r="AJ466" s="1874">
        <v>2015</v>
      </c>
      <c r="AK466" s="1873" t="s">
        <v>71</v>
      </c>
      <c r="AL466" s="1873">
        <v>10</v>
      </c>
      <c r="AM466" s="1875">
        <v>48229000</v>
      </c>
      <c r="AN466" s="1831">
        <v>3.4962193580610986E-3</v>
      </c>
      <c r="AP466" s="1876" t="s">
        <v>1</v>
      </c>
      <c r="AQ466" s="1876" t="s">
        <v>471</v>
      </c>
      <c r="AR466" s="1876" t="s">
        <v>61</v>
      </c>
      <c r="AS466" s="1876">
        <v>5</v>
      </c>
      <c r="AT466" s="1877">
        <v>235223000</v>
      </c>
      <c r="AU466" s="1867">
        <v>4.1888010035043943E-2</v>
      </c>
      <c r="AV466" s="1781">
        <v>2004</v>
      </c>
      <c r="EA466" s="169"/>
      <c r="EB466" s="169"/>
      <c r="EC466" s="169"/>
      <c r="ED466" s="169"/>
      <c r="EE466" s="169"/>
      <c r="EF466" s="169"/>
      <c r="EG466" s="169"/>
      <c r="EH466" s="169"/>
      <c r="EI466" s="169"/>
      <c r="EJ466" s="169"/>
      <c r="EK466" s="169"/>
      <c r="EL466" s="169"/>
      <c r="EM466" s="169"/>
      <c r="EN466" s="169"/>
      <c r="EO466" s="169"/>
      <c r="EP466" s="169"/>
      <c r="EQ466" s="169"/>
      <c r="ER466" s="169"/>
      <c r="ES466" s="169"/>
      <c r="ET466" s="169"/>
      <c r="EU466" s="169"/>
      <c r="EV466" s="169"/>
      <c r="EW466" s="169"/>
      <c r="EX466" s="169"/>
    </row>
    <row r="467" spans="1:154">
      <c r="A467" s="333">
        <f t="shared" si="15"/>
        <v>2009</v>
      </c>
      <c r="B467" s="333">
        <f t="shared" si="16"/>
        <v>1</v>
      </c>
      <c r="C467" s="1175">
        <v>39873</v>
      </c>
      <c r="D467" s="1158">
        <v>312.85100965399096</v>
      </c>
      <c r="E467" s="1159">
        <v>1396.53</v>
      </c>
      <c r="F467" s="1159">
        <v>924.27</v>
      </c>
      <c r="G467" s="1160"/>
      <c r="H467" s="1161"/>
      <c r="I467" s="1160"/>
      <c r="J467" s="1160"/>
      <c r="K467" s="1677">
        <v>9696.36</v>
      </c>
      <c r="L467" s="1677">
        <v>14535.092190076452</v>
      </c>
      <c r="M467" s="1681">
        <v>50.1</v>
      </c>
      <c r="N467" s="1162">
        <v>5620.97</v>
      </c>
      <c r="O467" s="1162">
        <v>1857.1578473991906</v>
      </c>
      <c r="P467" s="1162">
        <v>1823.9394393644131</v>
      </c>
      <c r="Q467" s="1163">
        <v>42</v>
      </c>
      <c r="R467" s="1164">
        <v>1282.8573358551744</v>
      </c>
      <c r="S467" s="1164">
        <v>1336.2480694980695</v>
      </c>
      <c r="T467" s="1164">
        <v>3096.7217491269967</v>
      </c>
      <c r="U467" s="1165">
        <v>44821</v>
      </c>
      <c r="V467" s="1166"/>
      <c r="W467" s="1166"/>
      <c r="X467" s="635">
        <v>0.66710000000000003</v>
      </c>
      <c r="AI467" s="1873" t="s">
        <v>1</v>
      </c>
      <c r="AJ467" s="1874">
        <v>2015</v>
      </c>
      <c r="AK467" s="1873" t="s">
        <v>39</v>
      </c>
      <c r="AL467" s="1873"/>
      <c r="AM467" s="1875">
        <v>79990000</v>
      </c>
      <c r="AN467" s="1831">
        <v>5.7986395415892357E-3</v>
      </c>
      <c r="AP467" s="1876" t="s">
        <v>1</v>
      </c>
      <c r="AQ467" s="1876" t="s">
        <v>471</v>
      </c>
      <c r="AR467" s="1876" t="s">
        <v>23</v>
      </c>
      <c r="AS467" s="1876">
        <v>6</v>
      </c>
      <c r="AT467" s="1877">
        <v>137151000</v>
      </c>
      <c r="AU467" s="1867">
        <v>2.4423557493596766E-2</v>
      </c>
      <c r="AV467" s="1781">
        <v>2004</v>
      </c>
      <c r="EA467" s="169"/>
      <c r="EB467" s="169"/>
      <c r="EC467" s="169"/>
      <c r="ED467" s="169"/>
      <c r="EE467" s="169"/>
      <c r="EF467" s="169"/>
      <c r="EG467" s="169"/>
      <c r="EH467" s="169"/>
      <c r="EI467" s="169"/>
      <c r="EJ467" s="169"/>
      <c r="EK467" s="169"/>
      <c r="EL467" s="169"/>
      <c r="EM467" s="169"/>
      <c r="EN467" s="169"/>
      <c r="EO467" s="169"/>
      <c r="EP467" s="169"/>
      <c r="EQ467" s="169"/>
      <c r="ER467" s="169"/>
      <c r="ES467" s="169"/>
      <c r="ET467" s="169"/>
      <c r="EU467" s="169"/>
      <c r="EV467" s="169"/>
      <c r="EW467" s="169"/>
      <c r="EX467" s="169"/>
    </row>
    <row r="468" spans="1:154">
      <c r="A468" s="333">
        <f t="shared" si="15"/>
        <v>2009</v>
      </c>
      <c r="B468" s="333">
        <f t="shared" si="16"/>
        <v>2</v>
      </c>
      <c r="C468" s="1175">
        <v>39904</v>
      </c>
      <c r="D468" s="1167">
        <v>277.93697871626699</v>
      </c>
      <c r="E468" s="1168">
        <v>1251.19</v>
      </c>
      <c r="F468" s="1168">
        <v>890.14</v>
      </c>
      <c r="G468" s="1168"/>
      <c r="H468" s="1167"/>
      <c r="I468" s="1168"/>
      <c r="J468" s="1168"/>
      <c r="K468" s="1678">
        <v>11166</v>
      </c>
      <c r="L468" s="1678">
        <v>15586.264656616415</v>
      </c>
      <c r="M468" s="1682">
        <v>52.38</v>
      </c>
      <c r="N468" s="1169">
        <v>6150.96</v>
      </c>
      <c r="O468" s="1169">
        <v>1930.6253489670573</v>
      </c>
      <c r="P468" s="1169">
        <v>1924.6929089893911</v>
      </c>
      <c r="Q468" s="1167">
        <v>44</v>
      </c>
      <c r="R468" s="1167">
        <v>1151.2317566624808</v>
      </c>
      <c r="S468" s="1167">
        <v>1369.1489621489623</v>
      </c>
      <c r="T468" s="1167">
        <v>2822.7194930935193</v>
      </c>
      <c r="U468" s="1167">
        <v>47314</v>
      </c>
      <c r="V468" s="1167"/>
      <c r="W468" s="1167"/>
      <c r="X468" s="344">
        <v>0.71640000000000004</v>
      </c>
      <c r="AI468" s="1873" t="s">
        <v>1</v>
      </c>
      <c r="AJ468" s="1874">
        <v>2015</v>
      </c>
      <c r="AK468" s="1873" t="s">
        <v>386</v>
      </c>
      <c r="AL468" s="1873"/>
      <c r="AM468" s="1875">
        <v>13794615000</v>
      </c>
      <c r="AN468" s="1831">
        <v>1</v>
      </c>
      <c r="AP468" s="1876" t="s">
        <v>1</v>
      </c>
      <c r="AQ468" s="1876" t="s">
        <v>471</v>
      </c>
      <c r="AR468" s="1876" t="s">
        <v>527</v>
      </c>
      <c r="AS468" s="1876">
        <v>7</v>
      </c>
      <c r="AT468" s="1877">
        <v>117296000</v>
      </c>
      <c r="AU468" s="1867">
        <v>2.0887821450583124E-2</v>
      </c>
      <c r="AV468" s="1781">
        <v>2004</v>
      </c>
      <c r="EA468" s="169"/>
      <c r="EB468" s="169"/>
      <c r="EC468" s="169"/>
      <c r="ED468" s="169"/>
      <c r="EE468" s="169"/>
      <c r="EF468" s="169"/>
      <c r="EG468" s="169"/>
      <c r="EH468" s="169"/>
      <c r="EI468" s="169"/>
      <c r="EJ468" s="169"/>
      <c r="EK468" s="169"/>
      <c r="EL468" s="169"/>
      <c r="EM468" s="169"/>
      <c r="EN468" s="169"/>
      <c r="EO468" s="169"/>
      <c r="EP468" s="169"/>
      <c r="EQ468" s="169"/>
      <c r="ER468" s="169"/>
      <c r="ES468" s="169"/>
      <c r="ET468" s="169"/>
      <c r="EU468" s="169"/>
      <c r="EV468" s="169"/>
      <c r="EW468" s="169"/>
      <c r="EX468" s="169"/>
    </row>
    <row r="469" spans="1:154">
      <c r="A469" s="333">
        <f t="shared" si="15"/>
        <v>2009</v>
      </c>
      <c r="B469" s="333">
        <f t="shared" si="16"/>
        <v>2</v>
      </c>
      <c r="C469" s="1175">
        <v>39934</v>
      </c>
      <c r="D469" s="1158">
        <v>258.76697779772036</v>
      </c>
      <c r="E469" s="1159">
        <v>1214.76</v>
      </c>
      <c r="F469" s="1159">
        <v>928.64</v>
      </c>
      <c r="G469" s="1160"/>
      <c r="H469" s="1161"/>
      <c r="I469" s="1160"/>
      <c r="J469" s="1160"/>
      <c r="K469" s="1677">
        <v>12634.74</v>
      </c>
      <c r="L469" s="1677">
        <v>16505.212279555846</v>
      </c>
      <c r="M469" s="1681">
        <v>60.05</v>
      </c>
      <c r="N469" s="1162">
        <v>5968.16</v>
      </c>
      <c r="O469" s="1162">
        <v>1881.3324624428481</v>
      </c>
      <c r="P469" s="1162">
        <v>1938.3278902677989</v>
      </c>
      <c r="Q469" s="1163">
        <v>49.5</v>
      </c>
      <c r="R469" s="1164">
        <v>1088.6696119861699</v>
      </c>
      <c r="S469" s="1164">
        <v>1284.5668460710442</v>
      </c>
      <c r="T469" s="1164">
        <v>2672.1559751020181</v>
      </c>
      <c r="U469" s="1165">
        <v>45504</v>
      </c>
      <c r="V469" s="1166"/>
      <c r="W469" s="1166"/>
      <c r="X469" s="635">
        <v>0.76549999999999996</v>
      </c>
      <c r="AI469" s="1878" t="s">
        <v>2</v>
      </c>
      <c r="AJ469" s="1879">
        <v>2012</v>
      </c>
      <c r="AK469" s="1781" t="s">
        <v>18</v>
      </c>
      <c r="AL469" s="1781">
        <v>1</v>
      </c>
      <c r="AM469" s="1880">
        <v>37350032893.193909</v>
      </c>
      <c r="AN469" s="1831">
        <v>0.70798709218282097</v>
      </c>
      <c r="AP469" s="1876" t="s">
        <v>1</v>
      </c>
      <c r="AQ469" s="1876" t="s">
        <v>471</v>
      </c>
      <c r="AR469" s="1876" t="s">
        <v>71</v>
      </c>
      <c r="AS469" s="1876">
        <v>8</v>
      </c>
      <c r="AT469" s="1877">
        <v>86047000</v>
      </c>
      <c r="AU469" s="1867">
        <v>1.532306619457037E-2</v>
      </c>
      <c r="AV469" s="1781">
        <v>2004</v>
      </c>
      <c r="EA469" s="169"/>
      <c r="EB469" s="169"/>
      <c r="EC469" s="169"/>
      <c r="ED469" s="169"/>
      <c r="EE469" s="169"/>
      <c r="EF469" s="169"/>
      <c r="EG469" s="169"/>
      <c r="EH469" s="169"/>
      <c r="EI469" s="169"/>
      <c r="EJ469" s="169"/>
      <c r="EK469" s="169"/>
      <c r="EL469" s="169"/>
      <c r="EM469" s="169"/>
      <c r="EN469" s="169"/>
      <c r="EO469" s="169"/>
      <c r="EP469" s="169"/>
      <c r="EQ469" s="169"/>
      <c r="ER469" s="169"/>
      <c r="ES469" s="169"/>
      <c r="ET469" s="169"/>
      <c r="EU469" s="169"/>
      <c r="EV469" s="169"/>
      <c r="EW469" s="169"/>
      <c r="EX469" s="169"/>
    </row>
    <row r="470" spans="1:154">
      <c r="A470" s="333">
        <f t="shared" si="15"/>
        <v>2009</v>
      </c>
      <c r="B470" s="333">
        <f t="shared" si="16"/>
        <v>2</v>
      </c>
      <c r="C470" s="1175">
        <v>39965</v>
      </c>
      <c r="D470" s="1167">
        <v>253.25094404230074</v>
      </c>
      <c r="E470" s="1168">
        <v>1184.49</v>
      </c>
      <c r="F470" s="1168">
        <v>945.67</v>
      </c>
      <c r="G470" s="1168"/>
      <c r="H470" s="1167"/>
      <c r="I470" s="1168"/>
      <c r="J470" s="1168"/>
      <c r="K470" s="1678">
        <v>15775</v>
      </c>
      <c r="L470" s="1678">
        <v>19672.028931288191</v>
      </c>
      <c r="M470" s="1682">
        <v>71.34</v>
      </c>
      <c r="N470" s="1169">
        <v>6287.57</v>
      </c>
      <c r="O470" s="1169">
        <v>2113.7298915076694</v>
      </c>
      <c r="P470" s="1169">
        <v>1926.0506297543336</v>
      </c>
      <c r="Q470" s="1167">
        <v>52</v>
      </c>
      <c r="R470" s="1167">
        <v>1030.5178142883515</v>
      </c>
      <c r="S470" s="1167">
        <v>1242.775313059034</v>
      </c>
      <c r="T470" s="1167">
        <v>2466.2798881195872</v>
      </c>
      <c r="U470" s="1167">
        <v>38575</v>
      </c>
      <c r="V470" s="1167"/>
      <c r="W470" s="1167"/>
      <c r="X470" s="344">
        <v>0.80189999999999995</v>
      </c>
      <c r="AI470" s="1878" t="s">
        <v>2</v>
      </c>
      <c r="AJ470" s="1879">
        <v>2012</v>
      </c>
      <c r="AK470" s="1781" t="s">
        <v>23</v>
      </c>
      <c r="AL470" s="1781">
        <v>2</v>
      </c>
      <c r="AM470" s="1880">
        <v>8439085184.4540787</v>
      </c>
      <c r="AN470" s="1831">
        <v>0.15996675016351905</v>
      </c>
      <c r="AP470" s="1876" t="s">
        <v>1</v>
      </c>
      <c r="AQ470" s="1876" t="s">
        <v>471</v>
      </c>
      <c r="AR470" s="1876" t="s">
        <v>18</v>
      </c>
      <c r="AS470" s="1876">
        <v>9</v>
      </c>
      <c r="AT470" s="1877">
        <v>80215000</v>
      </c>
      <c r="AU470" s="1867">
        <v>1.4284516076068454E-2</v>
      </c>
      <c r="AV470" s="1781">
        <v>2004</v>
      </c>
      <c r="EA470" s="169"/>
      <c r="EB470" s="169"/>
      <c r="EC470" s="169"/>
      <c r="ED470" s="169"/>
      <c r="EE470" s="169"/>
      <c r="EF470" s="169"/>
      <c r="EG470" s="169"/>
      <c r="EH470" s="169"/>
      <c r="EI470" s="169"/>
      <c r="EJ470" s="169"/>
      <c r="EK470" s="169"/>
      <c r="EL470" s="169"/>
      <c r="EM470" s="169"/>
      <c r="EN470" s="169"/>
      <c r="EO470" s="169"/>
      <c r="EP470" s="169"/>
      <c r="EQ470" s="169"/>
      <c r="ER470" s="169"/>
      <c r="ES470" s="169"/>
      <c r="ET470" s="169"/>
      <c r="EU470" s="169"/>
      <c r="EV470" s="169"/>
      <c r="EW470" s="169"/>
      <c r="EX470" s="169"/>
    </row>
    <row r="471" spans="1:154">
      <c r="A471" s="333">
        <f t="shared" si="15"/>
        <v>2009</v>
      </c>
      <c r="B471" s="333">
        <f t="shared" si="16"/>
        <v>3</v>
      </c>
      <c r="C471" s="1175">
        <v>39995</v>
      </c>
      <c r="D471" s="1158">
        <v>269.4173147354951</v>
      </c>
      <c r="E471" s="1159">
        <v>1162.99</v>
      </c>
      <c r="F471" s="1159">
        <v>934.23</v>
      </c>
      <c r="G471" s="1160"/>
      <c r="H471" s="1161"/>
      <c r="I471" s="1160"/>
      <c r="J471" s="1160"/>
      <c r="K471" s="1677">
        <v>15984.57</v>
      </c>
      <c r="L471" s="1677">
        <v>19849.211473984851</v>
      </c>
      <c r="M471" s="1681">
        <v>69.010000000000005</v>
      </c>
      <c r="N471" s="1162">
        <v>6476.52</v>
      </c>
      <c r="O471" s="1162">
        <v>2084.4529988824038</v>
      </c>
      <c r="P471" s="1162">
        <v>1960.2756736619892</v>
      </c>
      <c r="Q471" s="1163">
        <v>47</v>
      </c>
      <c r="R471" s="1164">
        <v>1090.9830717143736</v>
      </c>
      <c r="S471" s="1164">
        <v>1211.3141868512112</v>
      </c>
      <c r="T471" s="1164">
        <v>2521.7192303973702</v>
      </c>
      <c r="U471" s="1165">
        <v>47101</v>
      </c>
      <c r="V471" s="1166"/>
      <c r="W471" s="1166"/>
      <c r="X471" s="635">
        <v>0.80530000000000002</v>
      </c>
      <c r="AI471" s="1878" t="s">
        <v>2</v>
      </c>
      <c r="AJ471" s="1879">
        <v>2012</v>
      </c>
      <c r="AK471" s="1781" t="s">
        <v>24</v>
      </c>
      <c r="AL471" s="1781">
        <v>3</v>
      </c>
      <c r="AM471" s="1880">
        <v>5423990893.97155</v>
      </c>
      <c r="AN471" s="1831">
        <v>0.10281424790254416</v>
      </c>
      <c r="AP471" s="1876" t="s">
        <v>1</v>
      </c>
      <c r="AQ471" s="1876" t="s">
        <v>471</v>
      </c>
      <c r="AR471" s="1876" t="s">
        <v>25</v>
      </c>
      <c r="AS471" s="1876">
        <v>10</v>
      </c>
      <c r="AT471" s="1877">
        <v>70203000</v>
      </c>
      <c r="AU471" s="1867">
        <v>1.2501600474826824E-2</v>
      </c>
      <c r="AV471" s="1781">
        <v>2004</v>
      </c>
      <c r="EA471" s="169"/>
      <c r="EB471" s="169"/>
      <c r="EC471" s="169"/>
      <c r="ED471" s="169"/>
      <c r="EE471" s="169"/>
      <c r="EF471" s="169"/>
      <c r="EG471" s="169"/>
      <c r="EH471" s="169"/>
      <c r="EI471" s="169"/>
      <c r="EJ471" s="169"/>
      <c r="EK471" s="169"/>
      <c r="EL471" s="169"/>
      <c r="EM471" s="169"/>
      <c r="EN471" s="169"/>
      <c r="EO471" s="169"/>
      <c r="EP471" s="169"/>
      <c r="EQ471" s="169"/>
      <c r="ER471" s="169"/>
      <c r="ES471" s="169"/>
      <c r="ET471" s="169"/>
      <c r="EU471" s="169"/>
      <c r="EV471" s="169"/>
      <c r="EW471" s="169"/>
      <c r="EX471" s="169"/>
    </row>
    <row r="472" spans="1:154">
      <c r="A472" s="333">
        <f t="shared" si="15"/>
        <v>2009</v>
      </c>
      <c r="B472" s="333">
        <f t="shared" si="16"/>
        <v>3</v>
      </c>
      <c r="C472" s="1175">
        <v>40026</v>
      </c>
      <c r="D472" s="1167">
        <v>268.35054241898365</v>
      </c>
      <c r="E472" s="1168">
        <v>1137.17</v>
      </c>
      <c r="F472" s="1168">
        <v>949.38</v>
      </c>
      <c r="G472" s="1168"/>
      <c r="H472" s="1167"/>
      <c r="I472" s="1168"/>
      <c r="J472" s="1168"/>
      <c r="K472" s="1678">
        <v>19641.75</v>
      </c>
      <c r="L472" s="1678">
        <v>23503.350484623668</v>
      </c>
      <c r="M472" s="1682">
        <v>76.94</v>
      </c>
      <c r="N472" s="1169">
        <v>7377.41</v>
      </c>
      <c r="O472" s="1169">
        <v>2273.6627976546606</v>
      </c>
      <c r="P472" s="1169">
        <v>2177.8150053847075</v>
      </c>
      <c r="Q472" s="1167">
        <v>46</v>
      </c>
      <c r="R472" s="1167">
        <v>1056.5670316661735</v>
      </c>
      <c r="S472" s="1167">
        <v>1242.8931329576289</v>
      </c>
      <c r="T472" s="1167">
        <v>2397.1131779325792</v>
      </c>
      <c r="U472" s="1167">
        <v>49464</v>
      </c>
      <c r="V472" s="1167"/>
      <c r="W472" s="1167"/>
      <c r="X472" s="344">
        <v>0.8357</v>
      </c>
      <c r="AI472" s="1878" t="s">
        <v>2</v>
      </c>
      <c r="AJ472" s="1879">
        <v>2012</v>
      </c>
      <c r="AK472" s="1781" t="s">
        <v>537</v>
      </c>
      <c r="AL472" s="1781">
        <v>4</v>
      </c>
      <c r="AM472" s="1880">
        <v>1403573571.5284207</v>
      </c>
      <c r="AN472" s="1831">
        <v>2.6605384108032256E-2</v>
      </c>
      <c r="AP472" s="1876" t="s">
        <v>1</v>
      </c>
      <c r="AQ472" s="1876" t="s">
        <v>471</v>
      </c>
      <c r="AR472" s="1876" t="s">
        <v>39</v>
      </c>
      <c r="AS472" s="1876"/>
      <c r="AT472" s="1877">
        <v>64592000</v>
      </c>
      <c r="AU472" s="1867">
        <v>1.1502405564862104E-2</v>
      </c>
      <c r="AV472" s="1781">
        <v>2004</v>
      </c>
      <c r="EA472" s="169"/>
      <c r="EB472" s="169"/>
      <c r="EC472" s="169"/>
      <c r="ED472" s="169"/>
      <c r="EE472" s="169"/>
      <c r="EF472" s="169"/>
      <c r="EG472" s="169"/>
      <c r="EH472" s="169"/>
      <c r="EI472" s="169"/>
      <c r="EJ472" s="169"/>
      <c r="EK472" s="169"/>
      <c r="EL472" s="169"/>
      <c r="EM472" s="169"/>
      <c r="EN472" s="169"/>
      <c r="EO472" s="169"/>
      <c r="EP472" s="169"/>
      <c r="EQ472" s="169"/>
      <c r="ER472" s="169"/>
      <c r="ES472" s="169"/>
      <c r="ET472" s="169"/>
      <c r="EU472" s="169"/>
      <c r="EV472" s="169"/>
      <c r="EW472" s="169"/>
      <c r="EX472" s="169"/>
    </row>
    <row r="473" spans="1:154">
      <c r="A473" s="333">
        <f t="shared" si="15"/>
        <v>2009</v>
      </c>
      <c r="B473" s="333">
        <f t="shared" si="16"/>
        <v>3</v>
      </c>
      <c r="C473" s="1175">
        <v>40057</v>
      </c>
      <c r="D473" s="1158">
        <v>277.35998333399652</v>
      </c>
      <c r="E473" s="1159">
        <v>1160.3599999999999</v>
      </c>
      <c r="F473" s="1159">
        <v>996.59</v>
      </c>
      <c r="G473" s="1160"/>
      <c r="H473" s="1161"/>
      <c r="I473" s="1160"/>
      <c r="J473" s="1160"/>
      <c r="K473" s="1677">
        <v>17473.18</v>
      </c>
      <c r="L473" s="1677">
        <v>20272.862281007077</v>
      </c>
      <c r="M473" s="1681">
        <v>70.94</v>
      </c>
      <c r="N473" s="1162">
        <v>7189.27</v>
      </c>
      <c r="O473" s="1162">
        <v>2557.7793247476507</v>
      </c>
      <c r="P473" s="1162">
        <v>2185.8916347604131</v>
      </c>
      <c r="Q473" s="1163">
        <v>42.75</v>
      </c>
      <c r="R473" s="1164">
        <v>1043.0939672572326</v>
      </c>
      <c r="S473" s="1164">
        <v>1177.5950388068786</v>
      </c>
      <c r="T473" s="1164">
        <v>2400.8331114385396</v>
      </c>
      <c r="U473" s="1165">
        <v>46041</v>
      </c>
      <c r="V473" s="1166"/>
      <c r="W473" s="1166"/>
      <c r="X473" s="635">
        <v>0.8619</v>
      </c>
      <c r="AI473" s="1878" t="s">
        <v>2</v>
      </c>
      <c r="AJ473" s="1879">
        <v>2012</v>
      </c>
      <c r="AK473" s="1781" t="s">
        <v>27</v>
      </c>
      <c r="AL473" s="1781">
        <v>5</v>
      </c>
      <c r="AM473" s="1880">
        <v>46240996.60375379</v>
      </c>
      <c r="AN473" s="1831">
        <v>8.7651940812863427E-4</v>
      </c>
      <c r="AP473" s="1876" t="s">
        <v>1</v>
      </c>
      <c r="AQ473" s="1876" t="s">
        <v>471</v>
      </c>
      <c r="AR473" s="1876" t="s">
        <v>386</v>
      </c>
      <c r="AS473" s="1876"/>
      <c r="AT473" s="1877">
        <v>5615521000</v>
      </c>
      <c r="AU473" s="1867">
        <v>1</v>
      </c>
      <c r="AV473" s="1781">
        <v>2004</v>
      </c>
      <c r="EA473" s="169"/>
      <c r="EB473" s="169"/>
      <c r="EC473" s="169"/>
      <c r="ED473" s="169"/>
      <c r="EE473" s="169"/>
      <c r="EF473" s="169"/>
      <c r="EG473" s="169"/>
      <c r="EH473" s="169"/>
      <c r="EI473" s="169"/>
      <c r="EJ473" s="169"/>
      <c r="EK473" s="169"/>
      <c r="EL473" s="169"/>
      <c r="EM473" s="169"/>
      <c r="EN473" s="169"/>
      <c r="EO473" s="169"/>
      <c r="EP473" s="169"/>
      <c r="EQ473" s="169"/>
      <c r="ER473" s="169"/>
      <c r="ES473" s="169"/>
      <c r="ET473" s="169"/>
      <c r="EU473" s="169"/>
      <c r="EV473" s="169"/>
      <c r="EW473" s="169"/>
      <c r="EX473" s="169"/>
    </row>
    <row r="474" spans="1:154">
      <c r="A474" s="333">
        <f t="shared" si="15"/>
        <v>2009</v>
      </c>
      <c r="B474" s="333">
        <f t="shared" si="16"/>
        <v>4</v>
      </c>
      <c r="C474" s="1175">
        <v>40087</v>
      </c>
      <c r="D474" s="1167">
        <v>274.431570135789</v>
      </c>
      <c r="E474" s="1168">
        <v>1149.6099999999999</v>
      </c>
      <c r="F474" s="1168">
        <v>1043.1600000000001</v>
      </c>
      <c r="G474" s="1168"/>
      <c r="H474" s="1167"/>
      <c r="I474" s="1168"/>
      <c r="J474" s="1168"/>
      <c r="K474" s="1678">
        <v>18525.23</v>
      </c>
      <c r="L474" s="1678">
        <v>20431.487812948053</v>
      </c>
      <c r="M474" s="1682">
        <v>78.260000000000005</v>
      </c>
      <c r="N474" s="1169">
        <v>6935.02</v>
      </c>
      <c r="O474" s="1169">
        <v>2471.346641667586</v>
      </c>
      <c r="P474" s="1169">
        <v>2284.7579133120107</v>
      </c>
      <c r="Q474" s="1167">
        <v>49.5</v>
      </c>
      <c r="R474" s="1167">
        <v>920.24943357363543</v>
      </c>
      <c r="S474" s="1167">
        <v>1059.0833719851578</v>
      </c>
      <c r="T474" s="1167">
        <v>2336.3150625893786</v>
      </c>
      <c r="U474" s="1167">
        <v>40557</v>
      </c>
      <c r="V474" s="1167"/>
      <c r="W474" s="1167"/>
      <c r="X474" s="344">
        <v>0.90669999999999995</v>
      </c>
      <c r="AI474" s="1878" t="s">
        <v>2</v>
      </c>
      <c r="AJ474" s="1879">
        <v>2012</v>
      </c>
      <c r="AK474" s="1781" t="s">
        <v>39</v>
      </c>
      <c r="AM474" s="1880">
        <v>92322008.636259899</v>
      </c>
      <c r="AN474" s="1831">
        <v>1.7500062349549799E-3</v>
      </c>
      <c r="AP474" s="1881" t="s">
        <v>1</v>
      </c>
      <c r="AQ474" s="1881" t="s">
        <v>495</v>
      </c>
      <c r="AR474" s="1881" t="s">
        <v>21</v>
      </c>
      <c r="AS474" s="1881">
        <v>1</v>
      </c>
      <c r="AT474" s="1882">
        <v>2744915000</v>
      </c>
      <c r="AU474" s="1867">
        <v>0.38341572952723585</v>
      </c>
      <c r="AV474" s="1781">
        <v>2005</v>
      </c>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row>
    <row r="475" spans="1:154">
      <c r="A475" s="333">
        <f t="shared" si="15"/>
        <v>2009</v>
      </c>
      <c r="B475" s="333">
        <f t="shared" si="16"/>
        <v>4</v>
      </c>
      <c r="C475" s="1175">
        <v>40118</v>
      </c>
      <c r="D475" s="1158">
        <v>277.86207600233621</v>
      </c>
      <c r="E475" s="1159">
        <v>1219.8900000000001</v>
      </c>
      <c r="F475" s="1159">
        <v>1127.04</v>
      </c>
      <c r="G475" s="1160"/>
      <c r="H475" s="1161"/>
      <c r="I475" s="1160"/>
      <c r="J475" s="1160"/>
      <c r="K475" s="1677">
        <v>16991.189999999999</v>
      </c>
      <c r="L475" s="1677">
        <v>18456.647838366283</v>
      </c>
      <c r="M475" s="1681">
        <v>80.36</v>
      </c>
      <c r="N475" s="1162">
        <v>7251.36</v>
      </c>
      <c r="O475" s="1162">
        <v>2507.8861611992183</v>
      </c>
      <c r="P475" s="1162">
        <v>2382.5548555290029</v>
      </c>
      <c r="Q475" s="1163">
        <v>45.5</v>
      </c>
      <c r="R475" s="1164">
        <v>920.56123076923075</v>
      </c>
      <c r="S475" s="1164">
        <v>1074.1064182194616</v>
      </c>
      <c r="T475" s="1164">
        <v>2391.5949486014574</v>
      </c>
      <c r="U475" s="1165">
        <v>47970</v>
      </c>
      <c r="V475" s="1166"/>
      <c r="W475" s="1166"/>
      <c r="X475" s="635">
        <v>0.92059999999999997</v>
      </c>
      <c r="AI475" s="1878" t="s">
        <v>2</v>
      </c>
      <c r="AJ475" s="1879">
        <v>2012</v>
      </c>
      <c r="AK475" s="1781" t="s">
        <v>386</v>
      </c>
      <c r="AM475" s="1880">
        <v>52755245548.38797</v>
      </c>
      <c r="AP475" s="1881" t="s">
        <v>1</v>
      </c>
      <c r="AQ475" s="1881" t="s">
        <v>495</v>
      </c>
      <c r="AR475" s="1881" t="s">
        <v>63</v>
      </c>
      <c r="AS475" s="1881">
        <v>2</v>
      </c>
      <c r="AT475" s="1882">
        <v>2372023000</v>
      </c>
      <c r="AU475" s="1867">
        <v>0.33132935956136439</v>
      </c>
      <c r="AV475" s="1781">
        <v>2005</v>
      </c>
      <c r="EA475" s="169"/>
      <c r="EB475" s="169"/>
      <c r="EC475" s="169"/>
      <c r="ED475" s="169"/>
      <c r="EE475" s="169"/>
      <c r="EF475" s="169"/>
      <c r="EG475" s="169"/>
      <c r="EH475" s="169"/>
      <c r="EI475" s="169"/>
      <c r="EJ475" s="169"/>
      <c r="EK475" s="169"/>
      <c r="EL475" s="169"/>
      <c r="EM475" s="169"/>
      <c r="EN475" s="169"/>
      <c r="EO475" s="169"/>
      <c r="EP475" s="169"/>
      <c r="EQ475" s="169"/>
      <c r="ER475" s="169"/>
      <c r="ES475" s="169"/>
      <c r="ET475" s="169"/>
      <c r="EU475" s="169"/>
      <c r="EV475" s="169"/>
      <c r="EW475" s="169"/>
      <c r="EX475" s="169"/>
    </row>
    <row r="476" spans="1:154">
      <c r="A476" s="333">
        <f t="shared" si="15"/>
        <v>2009</v>
      </c>
      <c r="B476" s="333">
        <f t="shared" si="16"/>
        <v>4</v>
      </c>
      <c r="C476" s="1175">
        <v>40148</v>
      </c>
      <c r="D476" s="1167">
        <v>288.05262745528194</v>
      </c>
      <c r="E476" s="1168">
        <v>1257.55</v>
      </c>
      <c r="F476" s="1168">
        <v>1134.72</v>
      </c>
      <c r="G476" s="1168"/>
      <c r="H476" s="1167"/>
      <c r="I476" s="1168"/>
      <c r="J476" s="1168"/>
      <c r="K476" s="1678">
        <v>17055</v>
      </c>
      <c r="L476" s="1678">
        <v>18903.790733761914</v>
      </c>
      <c r="M476" s="1682">
        <v>79.34</v>
      </c>
      <c r="N476" s="1169">
        <v>7736.57</v>
      </c>
      <c r="O476" s="1169">
        <v>2579.2507204610952</v>
      </c>
      <c r="P476" s="1169">
        <v>2632.4761693637774</v>
      </c>
      <c r="Q476" s="1167">
        <v>44.5</v>
      </c>
      <c r="R476" s="1167">
        <v>1033.5622595313046</v>
      </c>
      <c r="S476" s="1167">
        <v>1002.0904151574255</v>
      </c>
      <c r="T476" s="1167">
        <v>2367.4917807215029</v>
      </c>
      <c r="U476" s="1167">
        <v>47345</v>
      </c>
      <c r="V476" s="1167"/>
      <c r="W476" s="1167"/>
      <c r="X476" s="344">
        <v>0.9022</v>
      </c>
      <c r="AI476" s="1878" t="s">
        <v>2</v>
      </c>
      <c r="AJ476" s="1826">
        <v>2013</v>
      </c>
      <c r="AK476" s="1781" t="s">
        <v>18</v>
      </c>
      <c r="AL476" s="1781">
        <v>1</v>
      </c>
      <c r="AM476" s="1880">
        <v>44578026790.587692</v>
      </c>
      <c r="AN476" s="1831">
        <v>0.6319604171376132</v>
      </c>
      <c r="AP476" s="1881" t="s">
        <v>1</v>
      </c>
      <c r="AQ476" s="1881" t="s">
        <v>495</v>
      </c>
      <c r="AR476" s="1881" t="s">
        <v>33</v>
      </c>
      <c r="AS476" s="1881">
        <v>3</v>
      </c>
      <c r="AT476" s="1882">
        <v>704714000</v>
      </c>
      <c r="AU476" s="1867">
        <v>9.8435992523650637E-2</v>
      </c>
      <c r="AV476" s="1781">
        <v>2005</v>
      </c>
      <c r="EA476" s="169"/>
      <c r="EB476" s="169"/>
      <c r="EC476" s="169"/>
      <c r="ED476" s="169"/>
      <c r="EE476" s="169"/>
      <c r="EF476" s="169"/>
      <c r="EG476" s="169"/>
      <c r="EH476" s="169"/>
      <c r="EI476" s="169"/>
      <c r="EJ476" s="169"/>
      <c r="EK476" s="169"/>
      <c r="EL476" s="169"/>
      <c r="EM476" s="169"/>
      <c r="EN476" s="169"/>
      <c r="EO476" s="169"/>
      <c r="EP476" s="169"/>
      <c r="EQ476" s="169"/>
      <c r="ER476" s="169"/>
      <c r="ES476" s="169"/>
      <c r="ET476" s="169"/>
      <c r="EU476" s="169"/>
      <c r="EV476" s="169"/>
      <c r="EW476" s="169"/>
      <c r="EX476" s="169"/>
    </row>
    <row r="477" spans="1:154">
      <c r="A477" s="333">
        <f t="shared" si="15"/>
        <v>2010</v>
      </c>
      <c r="B477" s="333">
        <f t="shared" si="16"/>
        <v>1</v>
      </c>
      <c r="C477" s="1175">
        <v>40179</v>
      </c>
      <c r="D477" s="1158">
        <v>309.02690311797556</v>
      </c>
      <c r="E477" s="1159">
        <v>1223.1600000000001</v>
      </c>
      <c r="F477" s="1159">
        <v>1117.96</v>
      </c>
      <c r="G477" s="1160"/>
      <c r="H477" s="1161"/>
      <c r="I477" s="1160"/>
      <c r="J477" s="1160"/>
      <c r="K477" s="1677">
        <v>18439.25</v>
      </c>
      <c r="L477" s="1677">
        <v>20220.693058449389</v>
      </c>
      <c r="M477" s="1681">
        <v>80.73</v>
      </c>
      <c r="N477" s="1162">
        <v>8099.85</v>
      </c>
      <c r="O477" s="1162">
        <v>2597.1926746353765</v>
      </c>
      <c r="P477" s="1162">
        <v>2669.6457944950103</v>
      </c>
      <c r="Q477" s="1163">
        <v>42.5</v>
      </c>
      <c r="R477" s="1164">
        <v>967.93429883433419</v>
      </c>
      <c r="S477" s="1164">
        <v>1000.7088944797987</v>
      </c>
      <c r="T477" s="1164">
        <v>2385.379220755126</v>
      </c>
      <c r="U477" s="1165">
        <v>52402</v>
      </c>
      <c r="V477" s="1166"/>
      <c r="W477" s="1166"/>
      <c r="X477" s="635">
        <v>0.91190000000000004</v>
      </c>
      <c r="AI477" s="1878" t="s">
        <v>2</v>
      </c>
      <c r="AJ477" s="1826">
        <v>2013</v>
      </c>
      <c r="AK477" s="1781" t="s">
        <v>23</v>
      </c>
      <c r="AL477" s="1781">
        <v>2</v>
      </c>
      <c r="AM477" s="1880">
        <v>11403013190.444498</v>
      </c>
      <c r="AN477" s="1831">
        <v>0.161654821697504</v>
      </c>
      <c r="AP477" s="1881" t="s">
        <v>1</v>
      </c>
      <c r="AQ477" s="1881" t="s">
        <v>495</v>
      </c>
      <c r="AR477" s="1881" t="s">
        <v>23</v>
      </c>
      <c r="AS477" s="1881">
        <v>4</v>
      </c>
      <c r="AT477" s="1882">
        <v>383553000</v>
      </c>
      <c r="AU477" s="1867">
        <v>5.3575521758364067E-2</v>
      </c>
      <c r="AV477" s="1781">
        <v>2005</v>
      </c>
      <c r="EA477" s="169"/>
      <c r="EB477" s="169"/>
      <c r="EC477" s="169"/>
      <c r="ED477" s="169"/>
      <c r="EE477" s="169"/>
      <c r="EF477" s="169"/>
      <c r="EG477" s="169"/>
      <c r="EH477" s="169"/>
      <c r="EI477" s="169"/>
      <c r="EJ477" s="169"/>
      <c r="EK477" s="169"/>
      <c r="EL477" s="169"/>
      <c r="EM477" s="169"/>
      <c r="EN477" s="169"/>
      <c r="EO477" s="169"/>
      <c r="EP477" s="169"/>
      <c r="EQ477" s="169"/>
      <c r="ER477" s="169"/>
      <c r="ES477" s="169"/>
      <c r="ET477" s="169"/>
      <c r="EU477" s="169"/>
      <c r="EV477" s="169"/>
      <c r="EW477" s="169"/>
      <c r="EX477" s="169"/>
    </row>
    <row r="478" spans="1:154">
      <c r="A478" s="333">
        <f t="shared" si="15"/>
        <v>2010</v>
      </c>
      <c r="B478" s="333">
        <f t="shared" si="16"/>
        <v>1</v>
      </c>
      <c r="C478" s="1175">
        <v>40210</v>
      </c>
      <c r="D478" s="1167">
        <v>330.08166323507442</v>
      </c>
      <c r="E478" s="1168">
        <v>1232.1600000000001</v>
      </c>
      <c r="F478" s="1168">
        <v>1095.4100000000001</v>
      </c>
      <c r="G478" s="1168"/>
      <c r="H478" s="1167"/>
      <c r="I478" s="1168"/>
      <c r="J478" s="1168"/>
      <c r="K478" s="1678">
        <v>18976</v>
      </c>
      <c r="L478" s="1678">
        <v>21388.63841298467</v>
      </c>
      <c r="M478" s="1682">
        <v>77.61</v>
      </c>
      <c r="N478" s="1169">
        <v>7718.87</v>
      </c>
      <c r="O478" s="1169">
        <v>2393.688007213706</v>
      </c>
      <c r="P478" s="1169">
        <v>2431.1316501352571</v>
      </c>
      <c r="Q478" s="1167">
        <v>41.75</v>
      </c>
      <c r="R478" s="1167">
        <v>914.425385023898</v>
      </c>
      <c r="S478" s="1167">
        <v>1021.8392035114014</v>
      </c>
      <c r="T478" s="1167">
        <v>2539.6162674785892</v>
      </c>
      <c r="U478" s="1167">
        <v>52494</v>
      </c>
      <c r="V478" s="1167"/>
      <c r="W478" s="1167"/>
      <c r="X478" s="344">
        <v>0.88719999999999999</v>
      </c>
      <c r="AI478" s="1878" t="s">
        <v>2</v>
      </c>
      <c r="AJ478" s="1826">
        <v>2013</v>
      </c>
      <c r="AK478" s="1781" t="s">
        <v>24</v>
      </c>
      <c r="AL478" s="1781">
        <v>3</v>
      </c>
      <c r="AM478" s="1880">
        <v>4798752857.0648727</v>
      </c>
      <c r="AN478" s="1831">
        <v>6.802952206783959E-2</v>
      </c>
      <c r="AP478" s="1881" t="s">
        <v>1</v>
      </c>
      <c r="AQ478" s="1881" t="s">
        <v>495</v>
      </c>
      <c r="AR478" s="1881" t="s">
        <v>61</v>
      </c>
      <c r="AS478" s="1881">
        <v>5</v>
      </c>
      <c r="AT478" s="1882">
        <v>304767000</v>
      </c>
      <c r="AU478" s="1867">
        <v>4.2570520996397736E-2</v>
      </c>
      <c r="AV478" s="1781">
        <v>2005</v>
      </c>
      <c r="EA478" s="169"/>
      <c r="EB478" s="169"/>
      <c r="EC478" s="169"/>
      <c r="ED478" s="169"/>
      <c r="EE478" s="169"/>
      <c r="EF478" s="169"/>
      <c r="EG478" s="169"/>
      <c r="EH478" s="169"/>
      <c r="EI478" s="169"/>
      <c r="EJ478" s="169"/>
      <c r="EK478" s="169"/>
      <c r="EL478" s="169"/>
      <c r="EM478" s="169"/>
      <c r="EN478" s="169"/>
      <c r="EO478" s="169"/>
      <c r="EP478" s="169"/>
      <c r="EQ478" s="169"/>
      <c r="ER478" s="169"/>
      <c r="ES478" s="169"/>
      <c r="ET478" s="169"/>
      <c r="EU478" s="169"/>
      <c r="EV478" s="169"/>
      <c r="EW478" s="169"/>
      <c r="EX478" s="169"/>
    </row>
    <row r="479" spans="1:154">
      <c r="A479" s="333">
        <f t="shared" si="15"/>
        <v>2010</v>
      </c>
      <c r="B479" s="333">
        <f t="shared" si="16"/>
        <v>1</v>
      </c>
      <c r="C479" s="1175">
        <v>40238</v>
      </c>
      <c r="D479" s="1158">
        <v>312.80110862703356</v>
      </c>
      <c r="E479" s="1159">
        <v>1227.3</v>
      </c>
      <c r="F479" s="1159">
        <v>1113.3399999999999</v>
      </c>
      <c r="G479" s="1160"/>
      <c r="H479" s="1161"/>
      <c r="I479" s="1160"/>
      <c r="J479" s="1160"/>
      <c r="K479" s="1677">
        <v>22461.3</v>
      </c>
      <c r="L479" s="1677">
        <v>24609.729374383696</v>
      </c>
      <c r="M479" s="1681">
        <v>82.76</v>
      </c>
      <c r="N479" s="1162">
        <v>8176.65</v>
      </c>
      <c r="O479" s="1162">
        <v>2379.8509915634932</v>
      </c>
      <c r="P479" s="1162">
        <v>2492.681056206859</v>
      </c>
      <c r="Q479" s="1163">
        <v>42</v>
      </c>
      <c r="R479" s="1164">
        <v>883.62583400053381</v>
      </c>
      <c r="S479" s="1164">
        <v>970.56097811568884</v>
      </c>
      <c r="T479" s="1164">
        <v>2471.7910543655394</v>
      </c>
      <c r="U479" s="1165">
        <v>46498</v>
      </c>
      <c r="V479" s="1166"/>
      <c r="W479" s="1166"/>
      <c r="X479" s="635">
        <v>0.91269999999999996</v>
      </c>
      <c r="AI479" s="1878" t="s">
        <v>2</v>
      </c>
      <c r="AJ479" s="1826">
        <v>2013</v>
      </c>
      <c r="AK479" s="1781" t="s">
        <v>537</v>
      </c>
      <c r="AL479" s="1781">
        <v>4</v>
      </c>
      <c r="AM479" s="1880">
        <v>2048203842.3611562</v>
      </c>
      <c r="AN479" s="1831">
        <v>2.9036362705823434E-2</v>
      </c>
      <c r="AP479" s="1881" t="s">
        <v>1</v>
      </c>
      <c r="AQ479" s="1881" t="s">
        <v>495</v>
      </c>
      <c r="AR479" s="1881" t="s">
        <v>527</v>
      </c>
      <c r="AS479" s="1881">
        <v>6</v>
      </c>
      <c r="AT479" s="1882">
        <v>208354000</v>
      </c>
      <c r="AU479" s="1867">
        <v>2.9103342329331764E-2</v>
      </c>
      <c r="AV479" s="1781">
        <v>2005</v>
      </c>
      <c r="EA479" s="169"/>
      <c r="EB479" s="169"/>
      <c r="EC479" s="169"/>
      <c r="ED479" s="169"/>
      <c r="EE479" s="169"/>
      <c r="EF479" s="169"/>
      <c r="EG479" s="169"/>
      <c r="EH479" s="169"/>
      <c r="EI479" s="169"/>
      <c r="EJ479" s="169"/>
      <c r="EK479" s="169"/>
      <c r="EL479" s="169"/>
      <c r="EM479" s="169"/>
      <c r="EN479" s="169"/>
      <c r="EO479" s="169"/>
      <c r="EP479" s="169"/>
      <c r="EQ479" s="169"/>
      <c r="ER479" s="169"/>
      <c r="ES479" s="169"/>
      <c r="ET479" s="169"/>
      <c r="EU479" s="169"/>
      <c r="EV479" s="169"/>
      <c r="EW479" s="169"/>
      <c r="EX479" s="169"/>
    </row>
    <row r="480" spans="1:154">
      <c r="A480" s="333">
        <f t="shared" si="15"/>
        <v>2010</v>
      </c>
      <c r="B480" s="333">
        <f t="shared" si="16"/>
        <v>2</v>
      </c>
      <c r="C480" s="1175">
        <v>40269</v>
      </c>
      <c r="D480" s="1167">
        <v>315.63672039635696</v>
      </c>
      <c r="E480" s="1168">
        <v>1232.8399999999999</v>
      </c>
      <c r="F480" s="1168">
        <v>1145.99</v>
      </c>
      <c r="G480" s="1168"/>
      <c r="H480" s="1167"/>
      <c r="I480" s="1168"/>
      <c r="J480" s="1168"/>
      <c r="K480" s="1678">
        <v>26030.75</v>
      </c>
      <c r="L480" s="1678">
        <v>28107.925709966526</v>
      </c>
      <c r="M480" s="1682">
        <v>86.92</v>
      </c>
      <c r="N480" s="1169">
        <v>8363.11</v>
      </c>
      <c r="O480" s="1169">
        <v>2445.5782312925166</v>
      </c>
      <c r="P480" s="1169">
        <v>2555.5339596155918</v>
      </c>
      <c r="Q480" s="1167">
        <v>41.75</v>
      </c>
      <c r="R480" s="1167">
        <v>930.16761687571261</v>
      </c>
      <c r="S480" s="1167">
        <v>943.02945801446697</v>
      </c>
      <c r="T480" s="1167">
        <v>2476.1576843130665</v>
      </c>
      <c r="U480" s="1167">
        <v>51658</v>
      </c>
      <c r="V480" s="1167"/>
      <c r="W480" s="1167"/>
      <c r="X480" s="344">
        <v>0.92610000000000003</v>
      </c>
      <c r="AI480" s="1878" t="s">
        <v>2</v>
      </c>
      <c r="AJ480" s="1826">
        <v>2013</v>
      </c>
      <c r="AK480" s="1781" t="s">
        <v>758</v>
      </c>
      <c r="AL480" s="1781">
        <v>5</v>
      </c>
      <c r="AM480" s="1880">
        <v>1135824166.5416176</v>
      </c>
      <c r="AN480" s="1831">
        <v>1.6102011815251085E-2</v>
      </c>
      <c r="AP480" s="1881" t="s">
        <v>1</v>
      </c>
      <c r="AQ480" s="1881" t="s">
        <v>495</v>
      </c>
      <c r="AR480" s="1881" t="s">
        <v>371</v>
      </c>
      <c r="AS480" s="1881">
        <v>7</v>
      </c>
      <c r="AT480" s="1882">
        <v>157766000</v>
      </c>
      <c r="AU480" s="1867">
        <v>2.2037099868153984E-2</v>
      </c>
      <c r="AV480" s="1781">
        <v>2005</v>
      </c>
      <c r="EA480" s="169"/>
      <c r="EB480" s="169"/>
      <c r="EC480" s="169"/>
      <c r="ED480" s="169"/>
      <c r="EE480" s="169"/>
      <c r="EF480" s="169"/>
      <c r="EG480" s="169"/>
      <c r="EH480" s="169"/>
      <c r="EI480" s="169"/>
      <c r="EJ480" s="169"/>
      <c r="EK480" s="169"/>
      <c r="EL480" s="169"/>
      <c r="EM480" s="169"/>
      <c r="EN480" s="169"/>
      <c r="EO480" s="169"/>
      <c r="EP480" s="169"/>
      <c r="EQ480" s="169"/>
      <c r="ER480" s="169"/>
      <c r="ES480" s="169"/>
      <c r="ET480" s="169"/>
      <c r="EU480" s="169"/>
      <c r="EV480" s="169"/>
      <c r="EW480" s="169"/>
      <c r="EX480" s="169"/>
    </row>
    <row r="481" spans="1:154">
      <c r="A481" s="333">
        <f t="shared" si="15"/>
        <v>2010</v>
      </c>
      <c r="B481" s="333">
        <f t="shared" si="16"/>
        <v>2</v>
      </c>
      <c r="C481" s="1175">
        <v>40299</v>
      </c>
      <c r="D481" s="1158">
        <v>350.72846015218892</v>
      </c>
      <c r="E481" s="1159">
        <v>1373.51</v>
      </c>
      <c r="F481" s="1159">
        <v>1205.43</v>
      </c>
      <c r="G481" s="1160"/>
      <c r="H481" s="1161"/>
      <c r="I481" s="1160"/>
      <c r="J481" s="1160"/>
      <c r="K481" s="1677">
        <v>22008.16</v>
      </c>
      <c r="L481" s="1677">
        <v>25328.760501783865</v>
      </c>
      <c r="M481" s="1681">
        <v>79.06</v>
      </c>
      <c r="N481" s="1162">
        <v>7869.35</v>
      </c>
      <c r="O481" s="1162">
        <v>2166.7395557601567</v>
      </c>
      <c r="P481" s="1162">
        <v>2265.3584992519277</v>
      </c>
      <c r="Q481" s="1163">
        <v>40.75</v>
      </c>
      <c r="R481" s="1164">
        <v>916.29567673256577</v>
      </c>
      <c r="S481" s="1164">
        <v>1023.3899423907825</v>
      </c>
      <c r="T481" s="1164">
        <v>2669.727200603395</v>
      </c>
      <c r="U481" s="1165">
        <v>52172</v>
      </c>
      <c r="V481" s="1166"/>
      <c r="W481" s="1166"/>
      <c r="X481" s="635">
        <v>0.86890000000000001</v>
      </c>
      <c r="AI481" s="1878" t="s">
        <v>2</v>
      </c>
      <c r="AJ481" s="1826">
        <v>2013</v>
      </c>
      <c r="AK481" s="1781" t="s">
        <v>39</v>
      </c>
      <c r="AM481" s="1880">
        <v>6575449622.6576891</v>
      </c>
      <c r="AN481" s="1831">
        <v>9.321686457596863E-2</v>
      </c>
      <c r="AP481" s="1881" t="s">
        <v>1</v>
      </c>
      <c r="AQ481" s="1881" t="s">
        <v>495</v>
      </c>
      <c r="AR481" s="1881" t="s">
        <v>34</v>
      </c>
      <c r="AS481" s="1881">
        <v>8</v>
      </c>
      <c r="AT481" s="1882">
        <v>85974000</v>
      </c>
      <c r="AU481" s="1867">
        <v>1.2009036320022506E-2</v>
      </c>
      <c r="AV481" s="1781">
        <v>2005</v>
      </c>
      <c r="EA481" s="169"/>
      <c r="EB481" s="169"/>
      <c r="EC481" s="169"/>
      <c r="ED481" s="169"/>
      <c r="EE481" s="169"/>
      <c r="EF481" s="169"/>
      <c r="EG481" s="169"/>
      <c r="EH481" s="169"/>
      <c r="EI481" s="169"/>
      <c r="EJ481" s="169"/>
      <c r="EK481" s="169"/>
      <c r="EL481" s="169"/>
      <c r="EM481" s="169"/>
      <c r="EN481" s="169"/>
      <c r="EO481" s="169"/>
      <c r="EP481" s="169"/>
      <c r="EQ481" s="169"/>
      <c r="ER481" s="169"/>
      <c r="ES481" s="169"/>
      <c r="ET481" s="169"/>
      <c r="EU481" s="169"/>
      <c r="EV481" s="169"/>
      <c r="EW481" s="169"/>
      <c r="EX481" s="169"/>
    </row>
    <row r="482" spans="1:154">
      <c r="A482" s="333">
        <f t="shared" si="15"/>
        <v>2010</v>
      </c>
      <c r="B482" s="333">
        <f t="shared" si="16"/>
        <v>2</v>
      </c>
      <c r="C482" s="1175">
        <v>40330</v>
      </c>
      <c r="D482" s="1167">
        <v>338.86174730458742</v>
      </c>
      <c r="E482" s="1168">
        <v>1448.34</v>
      </c>
      <c r="F482" s="1168">
        <v>1232.92</v>
      </c>
      <c r="G482" s="1168"/>
      <c r="H482" s="1167"/>
      <c r="I482" s="1168"/>
      <c r="J482" s="1168"/>
      <c r="K482" s="1678">
        <v>19388.64</v>
      </c>
      <c r="L482" s="1678">
        <v>22735.272045028141</v>
      </c>
      <c r="M482" s="1682">
        <v>80.930000000000007</v>
      </c>
      <c r="N482" s="1169">
        <v>7621.13</v>
      </c>
      <c r="O482" s="1169">
        <v>1998.0651969981238</v>
      </c>
      <c r="P482" s="1169">
        <v>2043.6679174484052</v>
      </c>
      <c r="Q482" s="1167">
        <v>41.75</v>
      </c>
      <c r="R482" s="1167">
        <v>989.28187456926253</v>
      </c>
      <c r="S482" s="1167">
        <v>1064.047182925832</v>
      </c>
      <c r="T482" s="1167">
        <v>2726.5818631683742</v>
      </c>
      <c r="U482" s="1167">
        <v>50249</v>
      </c>
      <c r="V482" s="1167"/>
      <c r="W482" s="1167"/>
      <c r="X482" s="344">
        <v>0.8528</v>
      </c>
      <c r="AI482" s="1878" t="s">
        <v>2</v>
      </c>
      <c r="AJ482" s="1826">
        <v>2013</v>
      </c>
      <c r="AK482" s="1781" t="s">
        <v>386</v>
      </c>
      <c r="AM482" s="1880">
        <v>70539270469.657532</v>
      </c>
      <c r="AP482" s="1881" t="s">
        <v>1</v>
      </c>
      <c r="AQ482" s="1881" t="s">
        <v>495</v>
      </c>
      <c r="AR482" s="1881" t="s">
        <v>71</v>
      </c>
      <c r="AS482" s="1881">
        <v>9</v>
      </c>
      <c r="AT482" s="1882">
        <v>78325000</v>
      </c>
      <c r="AU482" s="1867">
        <v>1.0940607273893999E-2</v>
      </c>
      <c r="AV482" s="1781">
        <v>2005</v>
      </c>
      <c r="EA482" s="169"/>
      <c r="EB482" s="169"/>
      <c r="EC482" s="169"/>
      <c r="ED482" s="169"/>
      <c r="EE482" s="169"/>
      <c r="EF482" s="169"/>
      <c r="EG482" s="169"/>
      <c r="EH482" s="169"/>
      <c r="EI482" s="169"/>
      <c r="EJ482" s="169"/>
      <c r="EK482" s="169"/>
      <c r="EL482" s="169"/>
      <c r="EM482" s="169"/>
      <c r="EN482" s="169"/>
      <c r="EO482" s="169"/>
      <c r="EP482" s="169"/>
      <c r="EQ482" s="169"/>
      <c r="ER482" s="169"/>
      <c r="ES482" s="169"/>
      <c r="ET482" s="169"/>
      <c r="EU482" s="169"/>
      <c r="EV482" s="169"/>
      <c r="EW482" s="169"/>
      <c r="EX482" s="169"/>
    </row>
    <row r="483" spans="1:154">
      <c r="A483" s="333">
        <f t="shared" si="15"/>
        <v>2010</v>
      </c>
      <c r="B483" s="333">
        <f t="shared" si="16"/>
        <v>3</v>
      </c>
      <c r="C483" s="1175">
        <v>40360</v>
      </c>
      <c r="D483" s="1158">
        <v>312.78593696109795</v>
      </c>
      <c r="E483" s="1159">
        <v>1371.04</v>
      </c>
      <c r="F483" s="1159">
        <v>1192.97</v>
      </c>
      <c r="G483" s="1160"/>
      <c r="H483" s="1161"/>
      <c r="I483" s="1160"/>
      <c r="J483" s="1160"/>
      <c r="K483" s="1677">
        <v>19517.5</v>
      </c>
      <c r="L483" s="1677">
        <v>22229.498861047836</v>
      </c>
      <c r="M483" s="1681">
        <v>79.86</v>
      </c>
      <c r="N483" s="1162">
        <v>7671.14</v>
      </c>
      <c r="O483" s="1162">
        <v>2092.2323462414579</v>
      </c>
      <c r="P483" s="1162">
        <v>2100.102505694761</v>
      </c>
      <c r="Q483" s="1163">
        <v>46</v>
      </c>
      <c r="R483" s="1164">
        <v>918.29236172080778</v>
      </c>
      <c r="S483" s="1164">
        <v>1099.8412283567461</v>
      </c>
      <c r="T483" s="1164">
        <v>2751.0537313929917</v>
      </c>
      <c r="U483" s="1165">
        <v>47206</v>
      </c>
      <c r="V483" s="1166"/>
      <c r="W483" s="1166"/>
      <c r="X483" s="635">
        <v>0.878</v>
      </c>
      <c r="AI483" s="1878" t="s">
        <v>2</v>
      </c>
      <c r="AJ483" s="1826">
        <v>2014</v>
      </c>
      <c r="AK483" s="1781" t="s">
        <v>18</v>
      </c>
      <c r="AL483" s="1781">
        <v>1</v>
      </c>
      <c r="AM483" s="1880">
        <v>51013904690.063545</v>
      </c>
      <c r="AN483" s="1831">
        <v>0.78254300162578883</v>
      </c>
      <c r="AP483" s="1881" t="s">
        <v>1</v>
      </c>
      <c r="AQ483" s="1881" t="s">
        <v>495</v>
      </c>
      <c r="AR483" s="1881" t="s">
        <v>372</v>
      </c>
      <c r="AS483" s="1881">
        <v>10</v>
      </c>
      <c r="AT483" s="1882">
        <v>67854000</v>
      </c>
      <c r="AU483" s="1867">
        <v>9.4779950968758818E-3</v>
      </c>
      <c r="AV483" s="1781">
        <v>2005</v>
      </c>
      <c r="EA483" s="169"/>
      <c r="EB483" s="169"/>
      <c r="EC483" s="169"/>
      <c r="ED483" s="169"/>
      <c r="EE483" s="169"/>
      <c r="EF483" s="169"/>
      <c r="EG483" s="169"/>
      <c r="EH483" s="169"/>
      <c r="EI483" s="169"/>
      <c r="EJ483" s="169"/>
      <c r="EK483" s="169"/>
      <c r="EL483" s="169"/>
      <c r="EM483" s="169"/>
      <c r="EN483" s="169"/>
      <c r="EO483" s="169"/>
      <c r="EP483" s="169"/>
      <c r="EQ483" s="169"/>
      <c r="ER483" s="169"/>
      <c r="ES483" s="169"/>
      <c r="ET483" s="169"/>
      <c r="EU483" s="169"/>
      <c r="EV483" s="169"/>
      <c r="EW483" s="169"/>
      <c r="EX483" s="169"/>
    </row>
    <row r="484" spans="1:154">
      <c r="A484" s="333">
        <f t="shared" si="15"/>
        <v>2010</v>
      </c>
      <c r="B484" s="333">
        <f t="shared" si="16"/>
        <v>3</v>
      </c>
      <c r="C484" s="1175">
        <v>40391</v>
      </c>
      <c r="D484" s="1167">
        <v>306.52230582893344</v>
      </c>
      <c r="E484" s="1168">
        <v>1359.8</v>
      </c>
      <c r="F484" s="1168">
        <v>1215.81</v>
      </c>
      <c r="G484" s="1168"/>
      <c r="H484" s="1167"/>
      <c r="I484" s="1168"/>
      <c r="J484" s="1168"/>
      <c r="K484" s="1678">
        <v>21413.33</v>
      </c>
      <c r="L484" s="1678">
        <v>23784.660668666002</v>
      </c>
      <c r="M484" s="1682">
        <v>81.25</v>
      </c>
      <c r="N484" s="1169">
        <v>8090.58</v>
      </c>
      <c r="O484" s="1169">
        <v>2305.0538709319112</v>
      </c>
      <c r="P484" s="1169">
        <v>2270.9874486282351</v>
      </c>
      <c r="Q484" s="1167">
        <v>45</v>
      </c>
      <c r="R484" s="1167">
        <v>931.40234291799788</v>
      </c>
      <c r="S484" s="1167">
        <v>1059.7523056653492</v>
      </c>
      <c r="T484" s="1167">
        <v>2628.7241276875134</v>
      </c>
      <c r="U484" s="1167">
        <v>44307</v>
      </c>
      <c r="V484" s="1167"/>
      <c r="W484" s="1167"/>
      <c r="X484" s="344">
        <v>0.90029999999999999</v>
      </c>
      <c r="AI484" s="1878" t="s">
        <v>2</v>
      </c>
      <c r="AJ484" s="1826">
        <v>2014</v>
      </c>
      <c r="AK484" s="1781" t="s">
        <v>23</v>
      </c>
      <c r="AL484" s="1781">
        <v>2</v>
      </c>
      <c r="AM484" s="1880">
        <v>7447813568.1640291</v>
      </c>
      <c r="AN484" s="1831">
        <v>0.11424795691664777</v>
      </c>
      <c r="AP484" s="1881" t="s">
        <v>1</v>
      </c>
      <c r="AQ484" s="1881" t="s">
        <v>495</v>
      </c>
      <c r="AR484" s="1881" t="s">
        <v>39</v>
      </c>
      <c r="AS484" s="1881"/>
      <c r="AT484" s="1882">
        <v>50864000</v>
      </c>
      <c r="AU484" s="1867">
        <v>7.1047947447091531E-3</v>
      </c>
      <c r="AV484" s="1781">
        <v>2005</v>
      </c>
      <c r="EA484" s="169"/>
      <c r="EB484" s="169"/>
      <c r="EC484" s="169"/>
      <c r="ED484" s="169"/>
      <c r="EE484" s="169"/>
      <c r="EF484" s="169"/>
      <c r="EG484" s="169"/>
      <c r="EH484" s="169"/>
      <c r="EI484" s="169"/>
      <c r="EJ484" s="169"/>
      <c r="EK484" s="169"/>
      <c r="EL484" s="169"/>
      <c r="EM484" s="169"/>
      <c r="EN484" s="169"/>
      <c r="EO484" s="169"/>
      <c r="EP484" s="169"/>
      <c r="EQ484" s="169"/>
      <c r="ER484" s="169"/>
      <c r="ES484" s="169"/>
      <c r="ET484" s="169"/>
      <c r="EU484" s="169"/>
      <c r="EV484" s="169"/>
      <c r="EW484" s="169"/>
      <c r="EX484" s="169"/>
    </row>
    <row r="485" spans="1:154">
      <c r="A485" s="333">
        <f t="shared" si="15"/>
        <v>2010</v>
      </c>
      <c r="B485" s="333">
        <f t="shared" si="16"/>
        <v>3</v>
      </c>
      <c r="C485" s="1175">
        <v>40422</v>
      </c>
      <c r="D485" s="1158">
        <v>300.04503317964117</v>
      </c>
      <c r="E485" s="1159">
        <v>1369.58</v>
      </c>
      <c r="F485" s="1159">
        <v>1271.0999999999999</v>
      </c>
      <c r="G485" s="1160"/>
      <c r="H485" s="1161"/>
      <c r="I485" s="1160"/>
      <c r="J485" s="1160"/>
      <c r="K485" s="1677">
        <v>22643.41</v>
      </c>
      <c r="L485" s="1677">
        <v>24116.956012354884</v>
      </c>
      <c r="M485" s="1681">
        <v>82.32</v>
      </c>
      <c r="N485" s="1162">
        <v>8210.99</v>
      </c>
      <c r="O485" s="1162">
        <v>2326.3712855469166</v>
      </c>
      <c r="P485" s="1162">
        <v>2291.4154862072637</v>
      </c>
      <c r="Q485" s="1163">
        <v>46.5</v>
      </c>
      <c r="R485" s="1164">
        <v>824.69842460615155</v>
      </c>
      <c r="S485" s="1164">
        <v>1048.0543699186992</v>
      </c>
      <c r="T485" s="1164">
        <v>2627.803569559253</v>
      </c>
      <c r="U485" s="1165">
        <v>45788</v>
      </c>
      <c r="V485" s="1166"/>
      <c r="W485" s="1166"/>
      <c r="X485" s="635">
        <v>0.93889999999999996</v>
      </c>
      <c r="Y485" s="17"/>
      <c r="AI485" s="1878" t="s">
        <v>2</v>
      </c>
      <c r="AJ485" s="1826">
        <v>2014</v>
      </c>
      <c r="AK485" s="1781" t="s">
        <v>24</v>
      </c>
      <c r="AL485" s="1781">
        <v>3</v>
      </c>
      <c r="AM485" s="1880">
        <v>4892410307.317029</v>
      </c>
      <c r="AN485" s="1831">
        <v>7.5048586661481967E-2</v>
      </c>
      <c r="AP485" s="1881" t="s">
        <v>1</v>
      </c>
      <c r="AQ485" s="1881" t="s">
        <v>495</v>
      </c>
      <c r="AR485" s="1881" t="s">
        <v>386</v>
      </c>
      <c r="AS485" s="1881"/>
      <c r="AT485" s="1882">
        <v>7159109000</v>
      </c>
      <c r="AU485" s="1867">
        <v>1</v>
      </c>
      <c r="AV485" s="1781">
        <v>2005</v>
      </c>
      <c r="EA485" s="169"/>
      <c r="EB485" s="169"/>
      <c r="EC485" s="169"/>
      <c r="ED485" s="169"/>
      <c r="EE485" s="169"/>
      <c r="EF485" s="169"/>
      <c r="EG485" s="169"/>
      <c r="EH485" s="169"/>
      <c r="EI485" s="169"/>
      <c r="EJ485" s="169"/>
      <c r="EK485" s="169"/>
      <c r="EL485" s="169"/>
      <c r="EM485" s="169"/>
      <c r="EN485" s="169"/>
      <c r="EO485" s="169"/>
      <c r="EP485" s="169"/>
      <c r="EQ485" s="169"/>
      <c r="ER485" s="169"/>
      <c r="ES485" s="169"/>
      <c r="ET485" s="169"/>
      <c r="EU485" s="169"/>
      <c r="EV485" s="169"/>
      <c r="EW485" s="169"/>
      <c r="EX485" s="169"/>
    </row>
    <row r="486" spans="1:154">
      <c r="A486" s="333">
        <f t="shared" si="15"/>
        <v>2010</v>
      </c>
      <c r="B486" s="333">
        <f t="shared" si="16"/>
        <v>4</v>
      </c>
      <c r="C486" s="1175">
        <v>40452</v>
      </c>
      <c r="D486" s="1167">
        <v>300.55474787735739</v>
      </c>
      <c r="E486" s="1168">
        <v>1378.54</v>
      </c>
      <c r="F486" s="1168">
        <v>1342.02</v>
      </c>
      <c r="G486" s="1168"/>
      <c r="H486" s="1167"/>
      <c r="I486" s="1168"/>
      <c r="J486" s="1168"/>
      <c r="K486" s="1678">
        <v>23807.38</v>
      </c>
      <c r="L486" s="1678">
        <v>24248.706457526991</v>
      </c>
      <c r="M486" s="1682">
        <v>89.88</v>
      </c>
      <c r="N486" s="1169">
        <v>8446.1200000000008</v>
      </c>
      <c r="O486" s="1169">
        <v>2423.7828478305155</v>
      </c>
      <c r="P486" s="1169">
        <v>2416.1132613566915</v>
      </c>
      <c r="Q486" s="1167">
        <v>52</v>
      </c>
      <c r="R486" s="1167">
        <v>822.48897795591188</v>
      </c>
      <c r="S486" s="1167">
        <v>1069.2155072223145</v>
      </c>
      <c r="T486" s="1167">
        <v>2545.5680974908882</v>
      </c>
      <c r="U486" s="1167">
        <v>46032</v>
      </c>
      <c r="V486" s="1167"/>
      <c r="W486" s="1167"/>
      <c r="X486" s="344">
        <v>0.98180000000000001</v>
      </c>
      <c r="AI486" s="1878" t="s">
        <v>2</v>
      </c>
      <c r="AJ486" s="1826">
        <v>2014</v>
      </c>
      <c r="AK486" s="1781" t="s">
        <v>537</v>
      </c>
      <c r="AL486" s="1781">
        <v>4</v>
      </c>
      <c r="AM486" s="1880">
        <v>1442061621.1455843</v>
      </c>
      <c r="AN486" s="1831">
        <v>2.2120934211891846E-2</v>
      </c>
      <c r="AP486" s="1883" t="s">
        <v>1</v>
      </c>
      <c r="AQ486" s="1883" t="s">
        <v>496</v>
      </c>
      <c r="AR486" s="1883" t="s">
        <v>21</v>
      </c>
      <c r="AS486" s="1883">
        <v>1</v>
      </c>
      <c r="AT486" s="1884">
        <v>4636000000</v>
      </c>
      <c r="AU486" s="1867">
        <v>0.44445854815256819</v>
      </c>
      <c r="AV486" s="1781">
        <v>2006</v>
      </c>
      <c r="EA486" s="169"/>
      <c r="EB486" s="169"/>
      <c r="EC486" s="169"/>
      <c r="ED486" s="169"/>
      <c r="EE486" s="169"/>
      <c r="EF486" s="169"/>
      <c r="EG486" s="169"/>
      <c r="EH486" s="169"/>
      <c r="EI486" s="169"/>
      <c r="EJ486" s="169"/>
      <c r="EK486" s="169"/>
      <c r="EL486" s="169"/>
      <c r="EM486" s="169"/>
      <c r="EN486" s="169"/>
      <c r="EO486" s="169"/>
      <c r="EP486" s="169"/>
      <c r="EQ486" s="169"/>
      <c r="ER486" s="169"/>
      <c r="ES486" s="169"/>
      <c r="ET486" s="169"/>
      <c r="EU486" s="169"/>
      <c r="EV486" s="169"/>
      <c r="EW486" s="169"/>
      <c r="EX486" s="169"/>
    </row>
    <row r="487" spans="1:154">
      <c r="A487" s="333">
        <f t="shared" si="15"/>
        <v>2010</v>
      </c>
      <c r="B487" s="333">
        <f t="shared" si="16"/>
        <v>4</v>
      </c>
      <c r="C487" s="1175">
        <v>40483</v>
      </c>
      <c r="D487" s="1158">
        <v>314.03861367376749</v>
      </c>
      <c r="E487" s="1159">
        <v>1394.01</v>
      </c>
      <c r="F487" s="1159">
        <v>1369.24</v>
      </c>
      <c r="G487" s="1160"/>
      <c r="H487" s="1161"/>
      <c r="I487" s="1160"/>
      <c r="J487" s="1160"/>
      <c r="K487" s="1677">
        <v>22909.32</v>
      </c>
      <c r="L487" s="1677">
        <v>23166.467792496715</v>
      </c>
      <c r="M487" s="1681">
        <v>91.6</v>
      </c>
      <c r="N487" s="1162">
        <v>8564.9599999999991</v>
      </c>
      <c r="O487" s="1162">
        <v>2403.4078268783496</v>
      </c>
      <c r="P487" s="1162">
        <v>2317.403175245222</v>
      </c>
      <c r="Q487" s="1163">
        <v>57</v>
      </c>
      <c r="R487" s="1164">
        <v>810.42676864244743</v>
      </c>
      <c r="S487" s="1164">
        <v>1091.1910447761195</v>
      </c>
      <c r="T487" s="1164">
        <v>2613.6160211657602</v>
      </c>
      <c r="U487" s="1165">
        <v>39014</v>
      </c>
      <c r="V487" s="1166"/>
      <c r="W487" s="1166"/>
      <c r="X487" s="635">
        <v>0.9889</v>
      </c>
      <c r="AI487" s="1878" t="s">
        <v>2</v>
      </c>
      <c r="AJ487" s="1826">
        <v>2014</v>
      </c>
      <c r="AK487" s="1781" t="s">
        <v>22</v>
      </c>
      <c r="AL487" s="1781">
        <v>5</v>
      </c>
      <c r="AM487" s="1880">
        <v>156508893.00574327</v>
      </c>
      <c r="AN487" s="1831">
        <v>2.4008148299555542E-3</v>
      </c>
      <c r="AP487" s="1883" t="s">
        <v>1</v>
      </c>
      <c r="AQ487" s="1883" t="s">
        <v>496</v>
      </c>
      <c r="AR487" s="1883" t="s">
        <v>63</v>
      </c>
      <c r="AS487" s="1883">
        <v>2</v>
      </c>
      <c r="AT487" s="1884">
        <v>1861492000</v>
      </c>
      <c r="AU487" s="1867">
        <v>0.17846333729888275</v>
      </c>
      <c r="AV487" s="1781">
        <v>2006</v>
      </c>
      <c r="EA487" s="169"/>
      <c r="EB487" s="169"/>
      <c r="EC487" s="169"/>
      <c r="ED487" s="169"/>
      <c r="EE487" s="169"/>
      <c r="EF487" s="169"/>
      <c r="EG487" s="169"/>
      <c r="EH487" s="169"/>
      <c r="EI487" s="169"/>
      <c r="EJ487" s="169"/>
      <c r="EK487" s="169"/>
      <c r="EL487" s="169"/>
      <c r="EM487" s="169"/>
      <c r="EN487" s="169"/>
      <c r="EO487" s="169"/>
      <c r="EP487" s="169"/>
      <c r="EQ487" s="169"/>
      <c r="ER487" s="169"/>
      <c r="ES487" s="169"/>
      <c r="ET487" s="169"/>
      <c r="EU487" s="169"/>
      <c r="EV487" s="169"/>
      <c r="EW487" s="169"/>
      <c r="EX487" s="169"/>
    </row>
    <row r="488" spans="1:154">
      <c r="A488" s="333">
        <f t="shared" si="15"/>
        <v>2010</v>
      </c>
      <c r="B488" s="333">
        <f t="shared" si="16"/>
        <v>4</v>
      </c>
      <c r="C488" s="1175">
        <v>40513</v>
      </c>
      <c r="D488" s="1167">
        <v>319.1883744321222</v>
      </c>
      <c r="E488" s="1168">
        <v>1415.35</v>
      </c>
      <c r="F488" s="1168">
        <v>1391.5</v>
      </c>
      <c r="G488" s="1168"/>
      <c r="H488" s="1167"/>
      <c r="I488" s="1168"/>
      <c r="J488" s="1168"/>
      <c r="K488" s="1678">
        <v>24111.19</v>
      </c>
      <c r="L488" s="1678">
        <v>24225.04772430423</v>
      </c>
      <c r="M488" s="1682">
        <v>95.16</v>
      </c>
      <c r="N488" s="1169">
        <v>9190.4599999999991</v>
      </c>
      <c r="O488" s="1169">
        <v>2424.3243243243242</v>
      </c>
      <c r="P488" s="1169">
        <v>2291.7009946749722</v>
      </c>
      <c r="Q488" s="1167">
        <v>62.5</v>
      </c>
      <c r="R488" s="1167">
        <v>860.28002868411613</v>
      </c>
      <c r="S488" s="1167">
        <v>1123.3703110399147</v>
      </c>
      <c r="T488" s="1167">
        <v>2588.1825338922617</v>
      </c>
      <c r="U488" s="1167">
        <v>37600</v>
      </c>
      <c r="V488" s="1167"/>
      <c r="W488" s="1167"/>
      <c r="X488" s="344">
        <v>0.99529999999999996</v>
      </c>
      <c r="Y488" s="17"/>
      <c r="Z488" s="17"/>
      <c r="AI488" s="1878" t="s">
        <v>2</v>
      </c>
      <c r="AJ488" s="1826">
        <v>2014</v>
      </c>
      <c r="AK488" s="1781" t="s">
        <v>39</v>
      </c>
      <c r="AM488" s="1880">
        <v>237206885.95518574</v>
      </c>
      <c r="AN488" s="1831">
        <v>3.6387057542339638E-3</v>
      </c>
      <c r="AP488" s="1883" t="s">
        <v>1</v>
      </c>
      <c r="AQ488" s="1883" t="s">
        <v>496</v>
      </c>
      <c r="AR488" s="1883" t="s">
        <v>372</v>
      </c>
      <c r="AS488" s="1883">
        <v>3</v>
      </c>
      <c r="AT488" s="1884">
        <v>959767000</v>
      </c>
      <c r="AU488" s="1867">
        <v>9.2013944647270474E-2</v>
      </c>
      <c r="AV488" s="1781">
        <v>2006</v>
      </c>
      <c r="EA488" s="169"/>
      <c r="EB488" s="169"/>
      <c r="EC488" s="169"/>
      <c r="ED488" s="169"/>
      <c r="EE488" s="169"/>
      <c r="EF488" s="169"/>
      <c r="EG488" s="169"/>
      <c r="EH488" s="169"/>
      <c r="EI488" s="169"/>
      <c r="EJ488" s="169"/>
      <c r="EK488" s="169"/>
      <c r="EL488" s="169"/>
      <c r="EM488" s="169"/>
      <c r="EN488" s="169"/>
      <c r="EO488" s="169"/>
      <c r="EP488" s="169"/>
      <c r="EQ488" s="169"/>
      <c r="ER488" s="169"/>
      <c r="ES488" s="169"/>
      <c r="ET488" s="169"/>
      <c r="EU488" s="169"/>
      <c r="EV488" s="169"/>
      <c r="EW488" s="169"/>
      <c r="EX488" s="169"/>
    </row>
    <row r="489" spans="1:154">
      <c r="A489" s="333">
        <f t="shared" si="15"/>
        <v>2011</v>
      </c>
      <c r="B489" s="333">
        <f t="shared" si="16"/>
        <v>1</v>
      </c>
      <c r="C489" s="1175">
        <v>40544</v>
      </c>
      <c r="D489" s="1158">
        <v>328.24251467706716</v>
      </c>
      <c r="E489" s="1159">
        <v>1381</v>
      </c>
      <c r="F489" s="1159">
        <v>1356.4</v>
      </c>
      <c r="G489" s="1160">
        <v>180.47499999999999</v>
      </c>
      <c r="H489" s="1161">
        <v>181.12705740666399</v>
      </c>
      <c r="I489" s="1160">
        <v>153.6</v>
      </c>
      <c r="J489" s="1160">
        <v>154.1549578482537</v>
      </c>
      <c r="K489" s="1677">
        <v>25646.25</v>
      </c>
      <c r="L489" s="1677">
        <v>25738.910076274591</v>
      </c>
      <c r="M489" s="1681">
        <v>101.21</v>
      </c>
      <c r="N489" s="1162">
        <v>9590.2199999999993</v>
      </c>
      <c r="O489" s="1162">
        <v>2611.0497792051387</v>
      </c>
      <c r="P489" s="1162">
        <v>2380.1184263348055</v>
      </c>
      <c r="Q489" s="1163">
        <v>73</v>
      </c>
      <c r="R489" s="1164">
        <v>964.06735228876789</v>
      </c>
      <c r="S489" s="1164">
        <v>1344.3113346418056</v>
      </c>
      <c r="T489" s="1164">
        <v>2715.0364447488219</v>
      </c>
      <c r="U489" s="1165">
        <v>42316</v>
      </c>
      <c r="V489" s="1166"/>
      <c r="W489" s="1166"/>
      <c r="X489" s="635">
        <v>0.99639999999999995</v>
      </c>
      <c r="AI489" s="1878" t="s">
        <v>2</v>
      </c>
      <c r="AJ489" s="1826">
        <v>2014</v>
      </c>
      <c r="AK489" s="1781" t="s">
        <v>386</v>
      </c>
      <c r="AM489" s="1880">
        <v>65189905965.651123</v>
      </c>
      <c r="AP489" s="1883" t="s">
        <v>1</v>
      </c>
      <c r="AQ489" s="1883" t="s">
        <v>496</v>
      </c>
      <c r="AR489" s="1883" t="s">
        <v>527</v>
      </c>
      <c r="AS489" s="1883">
        <v>4</v>
      </c>
      <c r="AT489" s="1884">
        <v>752378000</v>
      </c>
      <c r="AU489" s="1867">
        <v>7.2131327338639542E-2</v>
      </c>
      <c r="AV489" s="1781">
        <v>2006</v>
      </c>
      <c r="EA489" s="169"/>
      <c r="EB489" s="169"/>
      <c r="EC489" s="169"/>
      <c r="ED489" s="169"/>
      <c r="EE489" s="169"/>
      <c r="EF489" s="169"/>
      <c r="EG489" s="169"/>
      <c r="EH489" s="169"/>
      <c r="EI489" s="169"/>
      <c r="EJ489" s="169"/>
      <c r="EK489" s="169"/>
      <c r="EL489" s="169"/>
      <c r="EM489" s="169"/>
      <c r="EN489" s="169"/>
      <c r="EO489" s="169"/>
      <c r="EP489" s="169"/>
      <c r="EQ489" s="169"/>
      <c r="ER489" s="169"/>
      <c r="ES489" s="169"/>
      <c r="ET489" s="169"/>
      <c r="EU489" s="169"/>
      <c r="EV489" s="169"/>
      <c r="EW489" s="169"/>
      <c r="EX489" s="169"/>
    </row>
    <row r="490" spans="1:154">
      <c r="A490" s="333">
        <f t="shared" si="15"/>
        <v>2011</v>
      </c>
      <c r="B490" s="333">
        <f t="shared" si="16"/>
        <v>1</v>
      </c>
      <c r="C490" s="1175">
        <v>40575</v>
      </c>
      <c r="D490" s="1167">
        <v>338.58594859341878</v>
      </c>
      <c r="E490" s="1168">
        <v>1370.65</v>
      </c>
      <c r="F490" s="1168">
        <v>1372.73</v>
      </c>
      <c r="G490" s="1168">
        <v>186.97499999999999</v>
      </c>
      <c r="H490" s="1167">
        <v>185.28887127142997</v>
      </c>
      <c r="I490" s="1168">
        <v>160.19999999999999</v>
      </c>
      <c r="J490" s="1168">
        <v>158.75532652858979</v>
      </c>
      <c r="K490" s="1678">
        <v>28252.25</v>
      </c>
      <c r="L490" s="1678">
        <v>27997.472995738775</v>
      </c>
      <c r="M490" s="1682">
        <v>107.67</v>
      </c>
      <c r="N490" s="1169">
        <v>9778.61</v>
      </c>
      <c r="O490" s="1169">
        <v>2563.3534833019517</v>
      </c>
      <c r="P490" s="1169">
        <v>2442.899613516995</v>
      </c>
      <c r="Q490" s="1167">
        <v>69.75</v>
      </c>
      <c r="R490" s="1167">
        <v>928.66079295154179</v>
      </c>
      <c r="S490" s="1167">
        <v>1370.6117706491539</v>
      </c>
      <c r="T490" s="1167">
        <v>2661.9368890502242</v>
      </c>
      <c r="U490" s="1167">
        <v>42193</v>
      </c>
      <c r="V490" s="1167"/>
      <c r="W490" s="1167"/>
      <c r="X490" s="344">
        <v>1.0091000000000001</v>
      </c>
      <c r="AI490" s="1878" t="s">
        <v>2</v>
      </c>
      <c r="AJ490" s="1826">
        <v>2015</v>
      </c>
      <c r="AK490" s="1781" t="s">
        <v>18</v>
      </c>
      <c r="AL490" s="1781">
        <v>1</v>
      </c>
      <c r="AM490" s="1880">
        <v>39894844984.675888</v>
      </c>
      <c r="AN490" s="1831">
        <v>0.80316788198874089</v>
      </c>
      <c r="AP490" s="1883" t="s">
        <v>1</v>
      </c>
      <c r="AQ490" s="1883" t="s">
        <v>496</v>
      </c>
      <c r="AR490" s="1883" t="s">
        <v>33</v>
      </c>
      <c r="AS490" s="1883">
        <v>5</v>
      </c>
      <c r="AT490" s="1884">
        <v>621783000</v>
      </c>
      <c r="AU490" s="1867">
        <v>5.9611037412844757E-2</v>
      </c>
      <c r="AV490" s="1781">
        <v>2006</v>
      </c>
      <c r="EA490" s="169"/>
      <c r="EB490" s="169"/>
      <c r="EC490" s="169"/>
      <c r="ED490" s="169"/>
      <c r="EE490" s="169"/>
      <c r="EF490" s="169"/>
      <c r="EG490" s="169"/>
      <c r="EH490" s="169"/>
      <c r="EI490" s="169"/>
      <c r="EJ490" s="169"/>
      <c r="EK490" s="169"/>
      <c r="EL490" s="169"/>
      <c r="EM490" s="169"/>
      <c r="EN490" s="169"/>
      <c r="EO490" s="169"/>
      <c r="EP490" s="169"/>
      <c r="EQ490" s="169"/>
      <c r="ER490" s="169"/>
      <c r="ES490" s="169"/>
      <c r="ET490" s="169"/>
      <c r="EU490" s="169"/>
      <c r="EV490" s="169"/>
      <c r="EW490" s="169"/>
      <c r="EX490" s="169"/>
    </row>
    <row r="491" spans="1:154">
      <c r="A491" s="333">
        <f t="shared" si="15"/>
        <v>2011</v>
      </c>
      <c r="B491" s="333">
        <f t="shared" si="16"/>
        <v>1</v>
      </c>
      <c r="C491" s="1175">
        <v>40603</v>
      </c>
      <c r="D491" s="1158">
        <v>352.31410890922433</v>
      </c>
      <c r="E491" s="1159">
        <v>1416.54</v>
      </c>
      <c r="F491" s="1159">
        <v>1424.01</v>
      </c>
      <c r="G491" s="1160">
        <v>168.77500000000001</v>
      </c>
      <c r="H491" s="1161">
        <v>166.87265176982399</v>
      </c>
      <c r="I491" s="1160">
        <v>146.625</v>
      </c>
      <c r="J491" s="1160">
        <v>144.97231560213564</v>
      </c>
      <c r="K491" s="1677">
        <v>26811.74</v>
      </c>
      <c r="L491" s="1677">
        <v>26509.531342693295</v>
      </c>
      <c r="M491" s="1681">
        <v>118.69</v>
      </c>
      <c r="N491" s="1162">
        <v>9423.23</v>
      </c>
      <c r="O491" s="1162">
        <v>2594.6213169863554</v>
      </c>
      <c r="P491" s="1162">
        <v>2322.7605299584729</v>
      </c>
      <c r="Q491" s="1163">
        <v>62.5</v>
      </c>
      <c r="R491" s="1164">
        <v>945.48518061129982</v>
      </c>
      <c r="S491" s="1164">
        <v>1409.9302193913659</v>
      </c>
      <c r="T491" s="1164">
        <v>2740.8715039328085</v>
      </c>
      <c r="U491" s="1165">
        <v>41279</v>
      </c>
      <c r="V491" s="1166"/>
      <c r="W491" s="1166"/>
      <c r="X491" s="635">
        <v>1.0114000000000001</v>
      </c>
      <c r="Y491" s="17"/>
      <c r="AI491" s="1878" t="s">
        <v>2</v>
      </c>
      <c r="AJ491" s="1826">
        <v>2015</v>
      </c>
      <c r="AK491" s="1781" t="s">
        <v>23</v>
      </c>
      <c r="AL491" s="1781">
        <v>2</v>
      </c>
      <c r="AM491" s="1880">
        <v>5158223379.3708601</v>
      </c>
      <c r="AN491" s="1831">
        <v>0.10384598180605656</v>
      </c>
      <c r="AP491" s="1883" t="s">
        <v>1</v>
      </c>
      <c r="AQ491" s="1883" t="s">
        <v>496</v>
      </c>
      <c r="AR491" s="1883" t="s">
        <v>34</v>
      </c>
      <c r="AS491" s="1883">
        <v>6</v>
      </c>
      <c r="AT491" s="1884">
        <v>581606000</v>
      </c>
      <c r="AU491" s="1867">
        <v>5.5759223114068716E-2</v>
      </c>
      <c r="AV491" s="1781">
        <v>2006</v>
      </c>
      <c r="EA491" s="169"/>
      <c r="EB491" s="169"/>
      <c r="EC491" s="169"/>
      <c r="ED491" s="169"/>
      <c r="EE491" s="169"/>
      <c r="EF491" s="169"/>
      <c r="EG491" s="169"/>
      <c r="EH491" s="169"/>
      <c r="EI491" s="169"/>
      <c r="EJ491" s="169"/>
      <c r="EK491" s="169"/>
      <c r="EL491" s="169"/>
      <c r="EM491" s="169"/>
      <c r="EN491" s="169"/>
      <c r="EO491" s="169"/>
      <c r="EP491" s="169"/>
      <c r="EQ491" s="169"/>
      <c r="ER491" s="169"/>
      <c r="ES491" s="169"/>
      <c r="ET491" s="169"/>
      <c r="EU491" s="169"/>
      <c r="EV491" s="169"/>
      <c r="EW491" s="169"/>
      <c r="EX491" s="169"/>
    </row>
    <row r="492" spans="1:154">
      <c r="A492" s="333">
        <f t="shared" si="15"/>
        <v>2011</v>
      </c>
      <c r="B492" s="333">
        <f t="shared" si="16"/>
        <v>2</v>
      </c>
      <c r="C492" s="1175">
        <v>40634</v>
      </c>
      <c r="D492" s="1167">
        <v>341.29722776977474</v>
      </c>
      <c r="E492" s="1168">
        <v>1407.91</v>
      </c>
      <c r="F492" s="1168">
        <v>1474.53</v>
      </c>
      <c r="G492" s="1168">
        <v>179.32</v>
      </c>
      <c r="H492" s="1167">
        <v>173.60828734630653</v>
      </c>
      <c r="I492" s="1168">
        <v>155.97999999999999</v>
      </c>
      <c r="J492" s="1168">
        <v>151.01171458998934</v>
      </c>
      <c r="K492" s="1678">
        <v>26328.89</v>
      </c>
      <c r="L492" s="1678">
        <v>25490.26043179398</v>
      </c>
      <c r="M492" s="1682">
        <v>123.76</v>
      </c>
      <c r="N492" s="1169">
        <v>9181.19</v>
      </c>
      <c r="O492" s="1169">
        <v>2653.8290250750315</v>
      </c>
      <c r="P492" s="1169">
        <v>2296.8244747797462</v>
      </c>
      <c r="Q492" s="1167">
        <v>55.25</v>
      </c>
      <c r="R492" s="1167">
        <v>946.18335828877002</v>
      </c>
      <c r="S492" s="1167">
        <v>1494.7121581717806</v>
      </c>
      <c r="T492" s="1167">
        <v>2786.4921012893483</v>
      </c>
      <c r="U492" s="1167">
        <v>36498</v>
      </c>
      <c r="V492" s="1167"/>
      <c r="W492" s="1167"/>
      <c r="X492" s="344">
        <v>1.0328999999999999</v>
      </c>
      <c r="AI492" s="1878" t="s">
        <v>2</v>
      </c>
      <c r="AJ492" s="1826">
        <v>2015</v>
      </c>
      <c r="AK492" s="1781" t="s">
        <v>24</v>
      </c>
      <c r="AL492" s="1781">
        <v>3</v>
      </c>
      <c r="AM492" s="1880">
        <v>3282614296.38062</v>
      </c>
      <c r="AN492" s="1831">
        <v>6.608599113050051E-2</v>
      </c>
      <c r="AP492" s="1883" t="s">
        <v>1</v>
      </c>
      <c r="AQ492" s="1883" t="s">
        <v>496</v>
      </c>
      <c r="AR492" s="1883" t="s">
        <v>61</v>
      </c>
      <c r="AS492" s="1883">
        <v>7</v>
      </c>
      <c r="AT492" s="1884">
        <v>470820000</v>
      </c>
      <c r="AU492" s="1867">
        <v>4.5138044357461639E-2</v>
      </c>
      <c r="AV492" s="1781">
        <v>2006</v>
      </c>
      <c r="EA492" s="169"/>
      <c r="EB492" s="169"/>
      <c r="EC492" s="169"/>
      <c r="ED492" s="169"/>
      <c r="EE492" s="169"/>
      <c r="EF492" s="169"/>
      <c r="EG492" s="169"/>
      <c r="EH492" s="169"/>
      <c r="EI492" s="169"/>
      <c r="EJ492" s="169"/>
      <c r="EK492" s="169"/>
      <c r="EL492" s="169"/>
      <c r="EM492" s="169"/>
      <c r="EN492" s="169"/>
      <c r="EO492" s="169"/>
      <c r="EP492" s="169"/>
      <c r="EQ492" s="169"/>
      <c r="ER492" s="169"/>
      <c r="ES492" s="169"/>
      <c r="ET492" s="169"/>
      <c r="EU492" s="169"/>
      <c r="EV492" s="169"/>
      <c r="EW492" s="169"/>
      <c r="EX492" s="169"/>
    </row>
    <row r="493" spans="1:154">
      <c r="A493" s="333">
        <f t="shared" si="15"/>
        <v>2011</v>
      </c>
      <c r="B493" s="333">
        <f t="shared" si="16"/>
        <v>2</v>
      </c>
      <c r="C493" s="1175">
        <v>40664</v>
      </c>
      <c r="D493" s="1158">
        <v>349.6741052431102</v>
      </c>
      <c r="E493" s="1159">
        <v>1425.24</v>
      </c>
      <c r="F493" s="1159">
        <v>1510.44</v>
      </c>
      <c r="G493" s="1160">
        <v>176.3</v>
      </c>
      <c r="H493" s="1161">
        <v>165.13675533907829</v>
      </c>
      <c r="I493" s="1160">
        <v>155.4</v>
      </c>
      <c r="J493" s="1160">
        <v>145.56013488197826</v>
      </c>
      <c r="K493" s="1677">
        <v>24210</v>
      </c>
      <c r="L493" s="1677">
        <v>22677.032596478079</v>
      </c>
      <c r="M493" s="1681">
        <v>121.88</v>
      </c>
      <c r="N493" s="1162">
        <v>8361.7900000000009</v>
      </c>
      <c r="O493" s="1162">
        <v>2267.1225177969277</v>
      </c>
      <c r="P493" s="1162">
        <v>2023.6324466092167</v>
      </c>
      <c r="Q493" s="1163">
        <v>57.5</v>
      </c>
      <c r="R493" s="1164">
        <v>948.93265693374121</v>
      </c>
      <c r="S493" s="1164">
        <v>1586.1985721230503</v>
      </c>
      <c r="T493" s="1164">
        <v>2847.2363900044625</v>
      </c>
      <c r="U493" s="1165">
        <v>37622</v>
      </c>
      <c r="V493" s="1166"/>
      <c r="W493" s="1166"/>
      <c r="X493" s="635">
        <v>1.0676000000000001</v>
      </c>
      <c r="AI493" s="1878" t="s">
        <v>2</v>
      </c>
      <c r="AJ493" s="1826">
        <v>2015</v>
      </c>
      <c r="AK493" s="1781" t="s">
        <v>537</v>
      </c>
      <c r="AL493" s="1781">
        <v>4</v>
      </c>
      <c r="AM493" s="1880">
        <v>1047259557.9833177</v>
      </c>
      <c r="AN493" s="1831">
        <v>2.1083557071120668E-2</v>
      </c>
      <c r="AP493" s="1883" t="s">
        <v>1</v>
      </c>
      <c r="AQ493" s="1883" t="s">
        <v>496</v>
      </c>
      <c r="AR493" s="1883" t="s">
        <v>23</v>
      </c>
      <c r="AS493" s="1883">
        <v>8</v>
      </c>
      <c r="AT493" s="1884">
        <v>268742000</v>
      </c>
      <c r="AU493" s="1867">
        <v>2.576459860820049E-2</v>
      </c>
      <c r="AV493" s="1781">
        <v>2006</v>
      </c>
      <c r="EA493" s="169"/>
      <c r="EB493" s="169"/>
      <c r="EC493" s="169"/>
      <c r="ED493" s="169"/>
      <c r="EE493" s="169"/>
      <c r="EF493" s="169"/>
      <c r="EG493" s="169"/>
      <c r="EH493" s="169"/>
      <c r="EI493" s="169"/>
      <c r="EJ493" s="169"/>
      <c r="EK493" s="169"/>
      <c r="EL493" s="169"/>
      <c r="EM493" s="169"/>
      <c r="EN493" s="169"/>
      <c r="EO493" s="169"/>
      <c r="EP493" s="169"/>
      <c r="EQ493" s="169"/>
      <c r="ER493" s="169"/>
      <c r="ES493" s="169"/>
      <c r="ET493" s="169"/>
      <c r="EU493" s="169"/>
      <c r="EV493" s="169"/>
      <c r="EW493" s="169"/>
      <c r="EX493" s="169"/>
    </row>
    <row r="494" spans="1:154">
      <c r="A494" s="333">
        <f t="shared" si="15"/>
        <v>2011</v>
      </c>
      <c r="B494" s="333">
        <f t="shared" si="16"/>
        <v>2</v>
      </c>
      <c r="C494" s="1175">
        <v>40695</v>
      </c>
      <c r="D494" s="1167">
        <v>348.95312914296102</v>
      </c>
      <c r="E494" s="1168">
        <v>1451.04</v>
      </c>
      <c r="F494" s="1168">
        <v>1528.66</v>
      </c>
      <c r="G494" s="1168">
        <v>171.4</v>
      </c>
      <c r="H494" s="1167">
        <v>161.53048723023278</v>
      </c>
      <c r="I494" s="1168">
        <v>150.42500000000001</v>
      </c>
      <c r="J494" s="1168">
        <v>141.76326453680144</v>
      </c>
      <c r="K494" s="1678">
        <v>22354.09</v>
      </c>
      <c r="L494" s="1678">
        <v>21066.902271227973</v>
      </c>
      <c r="M494" s="1682">
        <v>122.29</v>
      </c>
      <c r="N494" s="1169">
        <v>8524.58</v>
      </c>
      <c r="O494" s="1169">
        <v>2367.5431156347186</v>
      </c>
      <c r="P494" s="1169">
        <v>2102.0450475921216</v>
      </c>
      <c r="Q494" s="1167">
        <v>52.75</v>
      </c>
      <c r="R494" s="1167">
        <v>972.1010787645929</v>
      </c>
      <c r="S494" s="1167">
        <v>1636.3976232654265</v>
      </c>
      <c r="T494" s="1167">
        <v>2913.5112935892798</v>
      </c>
      <c r="U494" s="1167">
        <v>35710</v>
      </c>
      <c r="V494" s="1167"/>
      <c r="W494" s="1167"/>
      <c r="X494" s="344">
        <v>1.0610999999999999</v>
      </c>
      <c r="Y494" s="17"/>
      <c r="Z494" s="17"/>
      <c r="AI494" s="1878" t="s">
        <v>2</v>
      </c>
      <c r="AJ494" s="1826">
        <v>2015</v>
      </c>
      <c r="AK494" s="1781" t="s">
        <v>22</v>
      </c>
      <c r="AL494" s="1781">
        <v>5</v>
      </c>
      <c r="AM494" s="1880">
        <v>178866754.39375445</v>
      </c>
      <c r="AN494" s="1831">
        <v>3.6009673014098359E-3</v>
      </c>
      <c r="AP494" s="1883" t="s">
        <v>1</v>
      </c>
      <c r="AQ494" s="1883" t="s">
        <v>496</v>
      </c>
      <c r="AR494" s="1883" t="s">
        <v>371</v>
      </c>
      <c r="AS494" s="1883">
        <v>9</v>
      </c>
      <c r="AT494" s="1884">
        <v>160438000</v>
      </c>
      <c r="AU494" s="1867">
        <v>1.5381371990617284E-2</v>
      </c>
      <c r="AV494" s="1781">
        <v>2006</v>
      </c>
      <c r="EA494" s="169"/>
      <c r="EB494" s="169"/>
      <c r="EC494" s="169"/>
      <c r="ED494" s="169"/>
      <c r="EE494" s="169"/>
      <c r="EF494" s="169"/>
      <c r="EG494" s="169"/>
      <c r="EH494" s="169"/>
      <c r="EI494" s="169"/>
      <c r="EJ494" s="169"/>
      <c r="EK494" s="169"/>
      <c r="EL494" s="169"/>
      <c r="EM494" s="169"/>
      <c r="EN494" s="169"/>
      <c r="EO494" s="169"/>
      <c r="EP494" s="169"/>
      <c r="EQ494" s="169"/>
      <c r="ER494" s="169"/>
      <c r="ES494" s="169"/>
      <c r="ET494" s="169"/>
      <c r="EU494" s="169"/>
      <c r="EV494" s="169"/>
      <c r="EW494" s="169"/>
      <c r="EX494" s="169"/>
    </row>
    <row r="495" spans="1:154">
      <c r="A495" s="333">
        <f t="shared" si="15"/>
        <v>2011</v>
      </c>
      <c r="B495" s="333">
        <f t="shared" si="16"/>
        <v>3</v>
      </c>
      <c r="C495" s="1175">
        <v>40725</v>
      </c>
      <c r="D495" s="1158">
        <v>339.90998962935254</v>
      </c>
      <c r="E495" s="1159">
        <v>1466.18</v>
      </c>
      <c r="F495" s="1159">
        <v>1572.81</v>
      </c>
      <c r="G495" s="1160">
        <v>172.82</v>
      </c>
      <c r="H495" s="1161">
        <v>160.28566128733073</v>
      </c>
      <c r="I495" s="1160">
        <v>151.44</v>
      </c>
      <c r="J495" s="1160">
        <v>140.45631608235948</v>
      </c>
      <c r="K495" s="1677">
        <v>23731.19</v>
      </c>
      <c r="L495" s="1677">
        <v>22010.007419773694</v>
      </c>
      <c r="M495" s="1681">
        <v>124.24</v>
      </c>
      <c r="N495" s="1162">
        <v>8921.57</v>
      </c>
      <c r="O495" s="1162">
        <v>2488.0356149137451</v>
      </c>
      <c r="P495" s="1162">
        <v>2217.1675013912077</v>
      </c>
      <c r="Q495" s="1163">
        <v>52.25</v>
      </c>
      <c r="R495" s="1164">
        <v>1117.9030364032881</v>
      </c>
      <c r="S495" s="1164">
        <v>2011.3092317624273</v>
      </c>
      <c r="T495" s="1164">
        <v>3091.5984880232259</v>
      </c>
      <c r="U495" s="1165">
        <v>32664</v>
      </c>
      <c r="V495" s="1166"/>
      <c r="W495" s="1166"/>
      <c r="X495" s="635">
        <v>1.0782</v>
      </c>
      <c r="AI495" s="1878" t="s">
        <v>2</v>
      </c>
      <c r="AJ495" s="1826">
        <v>2015</v>
      </c>
      <c r="AK495" s="1781" t="s">
        <v>39</v>
      </c>
      <c r="AM495" s="1880">
        <v>110054007.93555841</v>
      </c>
      <c r="AN495" s="1831">
        <v>2.2156207021715949E-3</v>
      </c>
      <c r="AP495" s="1883" t="s">
        <v>1</v>
      </c>
      <c r="AQ495" s="1883" t="s">
        <v>496</v>
      </c>
      <c r="AR495" s="1883" t="s">
        <v>71</v>
      </c>
      <c r="AS495" s="1883">
        <v>10</v>
      </c>
      <c r="AT495" s="1884">
        <v>58294000</v>
      </c>
      <c r="AU495" s="1867">
        <v>5.5887115198459464E-3</v>
      </c>
      <c r="AV495" s="1781">
        <v>2006</v>
      </c>
      <c r="EA495" s="169"/>
      <c r="EB495" s="169"/>
      <c r="EC495" s="169"/>
      <c r="ED495" s="169"/>
      <c r="EE495" s="169"/>
      <c r="EF495" s="169"/>
      <c r="EG495" s="169"/>
      <c r="EH495" s="169"/>
      <c r="EI495" s="169"/>
      <c r="EJ495" s="169"/>
      <c r="EK495" s="169"/>
      <c r="EL495" s="169"/>
      <c r="EM495" s="169"/>
      <c r="EN495" s="169"/>
      <c r="EO495" s="169"/>
      <c r="EP495" s="169"/>
      <c r="EQ495" s="169"/>
      <c r="ER495" s="169"/>
      <c r="ES495" s="169"/>
      <c r="ET495" s="169"/>
      <c r="EU495" s="169"/>
      <c r="EV495" s="169"/>
      <c r="EW495" s="169"/>
      <c r="EX495" s="169"/>
    </row>
    <row r="496" spans="1:154">
      <c r="A496" s="333">
        <f t="shared" si="15"/>
        <v>2011</v>
      </c>
      <c r="B496" s="333">
        <f t="shared" si="16"/>
        <v>3</v>
      </c>
      <c r="C496" s="1175">
        <v>40756</v>
      </c>
      <c r="D496" s="1167">
        <v>348.29697632314071</v>
      </c>
      <c r="E496" s="1168">
        <v>1691.22</v>
      </c>
      <c r="F496" s="1168">
        <v>1755.81</v>
      </c>
      <c r="G496" s="1168">
        <v>177.42500000000001</v>
      </c>
      <c r="H496" s="1167">
        <v>168.87968779744909</v>
      </c>
      <c r="I496" s="1168">
        <v>154.1</v>
      </c>
      <c r="J496" s="1168">
        <v>146.67808871121264</v>
      </c>
      <c r="K496" s="1678">
        <v>22083.86</v>
      </c>
      <c r="L496" s="1678">
        <v>21020.236055587284</v>
      </c>
      <c r="M496" s="1682">
        <v>118.63</v>
      </c>
      <c r="N496" s="1169">
        <v>8605.84</v>
      </c>
      <c r="O496" s="1169">
        <v>2288.8825433085854</v>
      </c>
      <c r="P496" s="1169">
        <v>2105.2922139729681</v>
      </c>
      <c r="Q496" s="1167">
        <v>51</v>
      </c>
      <c r="R496" s="1167">
        <v>1252.1246596066567</v>
      </c>
      <c r="S496" s="1167">
        <v>2215.2815353660426</v>
      </c>
      <c r="T496" s="1167">
        <v>3227.5877650294374</v>
      </c>
      <c r="U496" s="1167">
        <v>34428</v>
      </c>
      <c r="V496" s="1167"/>
      <c r="W496" s="1167"/>
      <c r="X496" s="344">
        <v>1.0506</v>
      </c>
      <c r="AI496" s="1878" t="s">
        <v>2</v>
      </c>
      <c r="AJ496" s="1826">
        <v>2015</v>
      </c>
      <c r="AK496" s="1781" t="s">
        <v>386</v>
      </c>
      <c r="AM496" s="1880">
        <v>49671862980.739998</v>
      </c>
      <c r="AP496" s="1883" t="s">
        <v>1</v>
      </c>
      <c r="AQ496" s="1883" t="s">
        <v>496</v>
      </c>
      <c r="AR496" s="1883" t="s">
        <v>39</v>
      </c>
      <c r="AS496" s="1883"/>
      <c r="AT496" s="1884">
        <v>59349000</v>
      </c>
      <c r="AU496" s="1867">
        <v>5.6898555596002522E-3</v>
      </c>
      <c r="AV496" s="1781">
        <v>2006</v>
      </c>
      <c r="EA496" s="169"/>
      <c r="EB496" s="169"/>
      <c r="EC496" s="169"/>
      <c r="ED496" s="169"/>
      <c r="EE496" s="169"/>
      <c r="EF496" s="169"/>
      <c r="EG496" s="169"/>
      <c r="EH496" s="169"/>
      <c r="EI496" s="169"/>
      <c r="EJ496" s="169"/>
      <c r="EK496" s="169"/>
      <c r="EL496" s="169"/>
      <c r="EM496" s="169"/>
      <c r="EN496" s="169"/>
      <c r="EO496" s="169"/>
      <c r="EP496" s="169"/>
      <c r="EQ496" s="169"/>
      <c r="ER496" s="169"/>
      <c r="ES496" s="169"/>
      <c r="ET496" s="169"/>
      <c r="EU496" s="169"/>
      <c r="EV496" s="169"/>
      <c r="EW496" s="169"/>
      <c r="EX496" s="169"/>
    </row>
    <row r="497" spans="1:154">
      <c r="A497" s="333">
        <f t="shared" si="15"/>
        <v>2011</v>
      </c>
      <c r="B497" s="333">
        <f t="shared" si="16"/>
        <v>3</v>
      </c>
      <c r="C497" s="1175">
        <v>40787</v>
      </c>
      <c r="D497" s="1158">
        <v>335.94740616012234</v>
      </c>
      <c r="E497" s="1159">
        <v>1759.97</v>
      </c>
      <c r="F497" s="1159">
        <v>1771.88</v>
      </c>
      <c r="G497" s="1160">
        <v>176.72</v>
      </c>
      <c r="H497" s="1161">
        <v>172.96662425369482</v>
      </c>
      <c r="I497" s="1160">
        <v>154.54</v>
      </c>
      <c r="J497" s="1160">
        <v>151.25770774199862</v>
      </c>
      <c r="K497" s="1677">
        <v>20392.05</v>
      </c>
      <c r="L497" s="1677">
        <v>19958.940980718409</v>
      </c>
      <c r="M497" s="1681">
        <v>120.04</v>
      </c>
      <c r="N497" s="1162">
        <v>8138.24</v>
      </c>
      <c r="O497" s="1162">
        <v>2249.975530977782</v>
      </c>
      <c r="P497" s="1162">
        <v>2032.6612508564156</v>
      </c>
      <c r="Q497" s="1163">
        <v>52.75</v>
      </c>
      <c r="R497" s="1164">
        <v>1357.8448634749602</v>
      </c>
      <c r="S497" s="1164">
        <v>2324.963917525773</v>
      </c>
      <c r="T497" s="1164">
        <v>3317.5854672504533</v>
      </c>
      <c r="U497" s="1165">
        <v>36089</v>
      </c>
      <c r="V497" s="1166"/>
      <c r="W497" s="1166"/>
      <c r="X497" s="635">
        <v>1.0217000000000001</v>
      </c>
      <c r="AI497" s="1878" t="s">
        <v>2</v>
      </c>
      <c r="AJ497" s="1826">
        <v>2011</v>
      </c>
      <c r="AK497" s="1781" t="s">
        <v>18</v>
      </c>
      <c r="AL497" s="1781">
        <v>1</v>
      </c>
      <c r="AM497" s="1880">
        <v>42894037039.711349</v>
      </c>
      <c r="AN497" s="1831">
        <v>0.68036534002252369</v>
      </c>
      <c r="AP497" s="1883" t="s">
        <v>1</v>
      </c>
      <c r="AQ497" s="1883" t="s">
        <v>496</v>
      </c>
      <c r="AR497" s="1883" t="s">
        <v>386</v>
      </c>
      <c r="AS497" s="1883"/>
      <c r="AT497" s="1884">
        <v>10430669000</v>
      </c>
      <c r="AU497" s="1867">
        <v>1</v>
      </c>
      <c r="AV497" s="1781">
        <v>2006</v>
      </c>
      <c r="EA497" s="169"/>
      <c r="EB497" s="169"/>
      <c r="EC497" s="169"/>
      <c r="ED497" s="169"/>
      <c r="EE497" s="169"/>
      <c r="EF497" s="169"/>
      <c r="EG497" s="169"/>
      <c r="EH497" s="169"/>
      <c r="EI497" s="169"/>
      <c r="EJ497" s="169"/>
      <c r="EK497" s="169"/>
      <c r="EL497" s="169"/>
      <c r="EM497" s="169"/>
      <c r="EN497" s="169"/>
      <c r="EO497" s="169"/>
      <c r="EP497" s="169"/>
      <c r="EQ497" s="169"/>
      <c r="ER497" s="169"/>
      <c r="ES497" s="169"/>
      <c r="ET497" s="169"/>
      <c r="EU497" s="169"/>
      <c r="EV497" s="169"/>
      <c r="EW497" s="169"/>
      <c r="EX497" s="169"/>
    </row>
    <row r="498" spans="1:154">
      <c r="A498" s="333">
        <f t="shared" si="15"/>
        <v>2011</v>
      </c>
      <c r="B498" s="333">
        <f t="shared" si="16"/>
        <v>4</v>
      </c>
      <c r="C498" s="1175">
        <v>40817</v>
      </c>
      <c r="D498" s="1167">
        <v>333.31220565857888</v>
      </c>
      <c r="E498" s="1168">
        <v>1686.47</v>
      </c>
      <c r="F498" s="1168">
        <v>1665.21</v>
      </c>
      <c r="G498" s="1168">
        <v>146.75</v>
      </c>
      <c r="H498" s="1167">
        <v>144.39633966348521</v>
      </c>
      <c r="I498" s="1168">
        <v>132.125</v>
      </c>
      <c r="J498" s="1168">
        <v>130.00590376857227</v>
      </c>
      <c r="K498" s="1678">
        <v>18886.43</v>
      </c>
      <c r="L498" s="1678">
        <v>18583.518646069075</v>
      </c>
      <c r="M498" s="1682">
        <v>118.58</v>
      </c>
      <c r="N498" s="1169">
        <v>7229.66</v>
      </c>
      <c r="O498" s="1169">
        <v>1917.3472399881923</v>
      </c>
      <c r="P498" s="1169">
        <v>1829.3515694184789</v>
      </c>
      <c r="Q498" s="1167">
        <v>52</v>
      </c>
      <c r="R498" s="1167">
        <v>1306.6010152284264</v>
      </c>
      <c r="S498" s="1167">
        <v>2408.1484527039993</v>
      </c>
      <c r="T498" s="1167">
        <v>2949.6962074375024</v>
      </c>
      <c r="U498" s="1167">
        <v>32308</v>
      </c>
      <c r="V498" s="1167"/>
      <c r="W498" s="1167"/>
      <c r="X498" s="344">
        <v>1.0163</v>
      </c>
      <c r="AI498" s="1878" t="s">
        <v>2</v>
      </c>
      <c r="AJ498" s="1826">
        <v>2011</v>
      </c>
      <c r="AK498" s="1781" t="s">
        <v>23</v>
      </c>
      <c r="AL498" s="1781">
        <v>2</v>
      </c>
      <c r="AM498" s="1880">
        <v>11280956876.016518</v>
      </c>
      <c r="AN498" s="1831">
        <v>0.17893331079153779</v>
      </c>
      <c r="AP498" s="1885" t="s">
        <v>1</v>
      </c>
      <c r="AQ498" s="1885" t="s">
        <v>497</v>
      </c>
      <c r="AR498" s="1885" t="s">
        <v>63</v>
      </c>
      <c r="AS498" s="1885">
        <v>1</v>
      </c>
      <c r="AT498" s="1886">
        <v>4114066000</v>
      </c>
      <c r="AU498" s="1867">
        <v>0.34233391933014795</v>
      </c>
      <c r="AV498" s="1781">
        <v>2007</v>
      </c>
      <c r="EA498" s="169"/>
      <c r="EB498" s="169"/>
      <c r="EC498" s="169"/>
      <c r="ED498" s="169"/>
      <c r="EE498" s="169"/>
      <c r="EF498" s="169"/>
      <c r="EG498" s="169"/>
      <c r="EH498" s="169"/>
      <c r="EI498" s="169"/>
      <c r="EJ498" s="169"/>
      <c r="EK498" s="169"/>
      <c r="EL498" s="169"/>
      <c r="EM498" s="169"/>
      <c r="EN498" s="169"/>
      <c r="EO498" s="169"/>
      <c r="EP498" s="169"/>
      <c r="EQ498" s="169"/>
      <c r="ER498" s="169"/>
      <c r="ES498" s="169"/>
      <c r="ET498" s="169"/>
      <c r="EU498" s="169"/>
      <c r="EV498" s="169"/>
      <c r="EW498" s="169"/>
      <c r="EX498" s="169"/>
    </row>
    <row r="499" spans="1:154">
      <c r="A499" s="333">
        <f t="shared" si="15"/>
        <v>2011</v>
      </c>
      <c r="B499" s="333">
        <f t="shared" si="16"/>
        <v>4</v>
      </c>
      <c r="C499" s="1175">
        <v>40848</v>
      </c>
      <c r="D499" s="1158">
        <v>325.2965664397617</v>
      </c>
      <c r="E499" s="1159">
        <v>1728.91</v>
      </c>
      <c r="F499" s="1159">
        <v>1738.64</v>
      </c>
      <c r="G499" s="1160">
        <v>137.1</v>
      </c>
      <c r="H499" s="1161">
        <v>135.68883610451306</v>
      </c>
      <c r="I499" s="1160">
        <v>118</v>
      </c>
      <c r="J499" s="1160">
        <v>116.78543151227237</v>
      </c>
      <c r="K499" s="1677">
        <v>17882.05</v>
      </c>
      <c r="L499" s="1677">
        <v>17697.990894695169</v>
      </c>
      <c r="M499" s="1681">
        <v>120.47</v>
      </c>
      <c r="N499" s="1162">
        <v>7474.04</v>
      </c>
      <c r="O499" s="1162">
        <v>1961.6488519398258</v>
      </c>
      <c r="P499" s="1162">
        <v>1896.3875692794932</v>
      </c>
      <c r="Q499" s="1163">
        <v>51.75</v>
      </c>
      <c r="R499" s="1164">
        <v>1370.0965988886853</v>
      </c>
      <c r="S499" s="1164">
        <v>2542.5624422836654</v>
      </c>
      <c r="T499" s="1164">
        <v>3278.8327058029527</v>
      </c>
      <c r="U499" s="1165">
        <v>31092</v>
      </c>
      <c r="V499" s="1166"/>
      <c r="W499" s="1166"/>
      <c r="X499" s="635">
        <v>1.0104</v>
      </c>
      <c r="AI499" s="1878" t="s">
        <v>2</v>
      </c>
      <c r="AJ499" s="1826">
        <v>2011</v>
      </c>
      <c r="AK499" s="1781" t="s">
        <v>24</v>
      </c>
      <c r="AL499" s="1781">
        <v>3</v>
      </c>
      <c r="AM499" s="1880">
        <v>6835474848.9729204</v>
      </c>
      <c r="AN499" s="1831">
        <v>0.10842113474959983</v>
      </c>
      <c r="AP499" s="1885" t="s">
        <v>1</v>
      </c>
      <c r="AQ499" s="1885" t="s">
        <v>497</v>
      </c>
      <c r="AR499" s="1885" t="s">
        <v>21</v>
      </c>
      <c r="AS499" s="1885">
        <v>2</v>
      </c>
      <c r="AT499" s="1886">
        <v>4021766000</v>
      </c>
      <c r="AU499" s="1867">
        <v>0.33465358052319333</v>
      </c>
      <c r="AV499" s="1781">
        <v>2007</v>
      </c>
      <c r="EA499" s="169"/>
      <c r="EB499" s="169"/>
      <c r="EC499" s="169"/>
      <c r="ED499" s="169"/>
      <c r="EE499" s="169"/>
      <c r="EF499" s="169"/>
      <c r="EG499" s="169"/>
      <c r="EH499" s="169"/>
      <c r="EI499" s="169"/>
      <c r="EJ499" s="169"/>
      <c r="EK499" s="169"/>
      <c r="EL499" s="169"/>
      <c r="EM499" s="169"/>
      <c r="EN499" s="169"/>
      <c r="EO499" s="169"/>
      <c r="EP499" s="169"/>
      <c r="EQ499" s="169"/>
      <c r="ER499" s="169"/>
      <c r="ES499" s="169"/>
      <c r="ET499" s="169"/>
      <c r="EU499" s="169"/>
      <c r="EV499" s="169"/>
      <c r="EW499" s="169"/>
      <c r="EX499" s="169"/>
    </row>
    <row r="500" spans="1:154">
      <c r="A500" s="333">
        <f t="shared" si="15"/>
        <v>2011</v>
      </c>
      <c r="B500" s="333">
        <f t="shared" si="16"/>
        <v>4</v>
      </c>
      <c r="C500" s="1175">
        <v>40878</v>
      </c>
      <c r="D500" s="1167">
        <v>308.0156758947648</v>
      </c>
      <c r="E500" s="1168">
        <v>1640.46</v>
      </c>
      <c r="F500" s="1168">
        <v>1652.31</v>
      </c>
      <c r="G500" s="1168">
        <v>136.91999999999999</v>
      </c>
      <c r="H500" s="1167">
        <v>135.26970954356847</v>
      </c>
      <c r="I500" s="1168">
        <v>122.3</v>
      </c>
      <c r="J500" s="1168">
        <v>120.82592373048804</v>
      </c>
      <c r="K500" s="1678">
        <v>18153.5</v>
      </c>
      <c r="L500" s="1678">
        <v>17934.696700256867</v>
      </c>
      <c r="M500" s="1682">
        <v>117.54</v>
      </c>
      <c r="N500" s="1169">
        <v>7476.34</v>
      </c>
      <c r="O500" s="1169">
        <v>1994.6453270104723</v>
      </c>
      <c r="P500" s="1169">
        <v>1893.2819600869395</v>
      </c>
      <c r="Q500" s="1167">
        <v>52</v>
      </c>
      <c r="R500" s="1167">
        <v>1496.836823832456</v>
      </c>
      <c r="S500" s="1167">
        <v>2518.360413233107</v>
      </c>
      <c r="T500" s="1167">
        <v>3236.3397886752314</v>
      </c>
      <c r="U500" s="1167">
        <v>30983</v>
      </c>
      <c r="V500" s="1167"/>
      <c r="W500" s="1167"/>
      <c r="X500" s="344">
        <v>1.0122</v>
      </c>
      <c r="AI500" s="1878" t="s">
        <v>2</v>
      </c>
      <c r="AJ500" s="1826">
        <v>2011</v>
      </c>
      <c r="AK500" s="1781" t="s">
        <v>537</v>
      </c>
      <c r="AL500" s="1781">
        <v>4</v>
      </c>
      <c r="AM500" s="1880">
        <v>1899604274.4632068</v>
      </c>
      <c r="AN500" s="1831">
        <v>3.0130642795567847E-2</v>
      </c>
      <c r="AP500" s="1885" t="s">
        <v>1</v>
      </c>
      <c r="AQ500" s="1885" t="s">
        <v>497</v>
      </c>
      <c r="AR500" s="1885" t="s">
        <v>34</v>
      </c>
      <c r="AS500" s="1885">
        <v>3</v>
      </c>
      <c r="AT500" s="1886">
        <v>1000317000</v>
      </c>
      <c r="AU500" s="1867">
        <v>8.3236982387393799E-2</v>
      </c>
      <c r="AV500" s="1781">
        <v>2007</v>
      </c>
      <c r="EA500" s="169"/>
      <c r="EB500" s="169"/>
      <c r="EC500" s="169"/>
      <c r="ED500" s="169"/>
      <c r="EE500" s="169"/>
      <c r="EF500" s="169"/>
      <c r="EG500" s="169"/>
      <c r="EH500" s="169"/>
      <c r="EI500" s="169"/>
      <c r="EJ500" s="169"/>
      <c r="EK500" s="169"/>
      <c r="EL500" s="169"/>
      <c r="EM500" s="169"/>
      <c r="EN500" s="169"/>
      <c r="EO500" s="169"/>
      <c r="EP500" s="169"/>
      <c r="EQ500" s="169"/>
      <c r="ER500" s="169"/>
      <c r="ES500" s="169"/>
      <c r="ET500" s="169"/>
      <c r="EU500" s="169"/>
      <c r="EV500" s="169"/>
      <c r="EW500" s="169"/>
      <c r="EX500" s="169"/>
    </row>
    <row r="501" spans="1:154">
      <c r="A501" s="333">
        <f t="shared" si="15"/>
        <v>2012</v>
      </c>
      <c r="B501" s="333">
        <f t="shared" si="16"/>
        <v>1</v>
      </c>
      <c r="C501" s="1175">
        <v>40909</v>
      </c>
      <c r="D501" s="1158">
        <v>283.97913247840023</v>
      </c>
      <c r="E501" s="1159">
        <v>1596.4</v>
      </c>
      <c r="F501" s="1159">
        <v>1656.12</v>
      </c>
      <c r="G501" s="1160">
        <v>140.44999999999999</v>
      </c>
      <c r="H501" s="1161">
        <v>134.8406298003072</v>
      </c>
      <c r="I501" s="1160">
        <v>125.47499999999999</v>
      </c>
      <c r="J501" s="1160">
        <v>120.46370967741935</v>
      </c>
      <c r="K501" s="1677">
        <v>19821.900000000001</v>
      </c>
      <c r="L501" s="1677">
        <v>19030.241935483871</v>
      </c>
      <c r="M501" s="1681">
        <v>121.45</v>
      </c>
      <c r="N501" s="1162">
        <v>7722.21</v>
      </c>
      <c r="O501" s="1162">
        <v>2010.4358678955452</v>
      </c>
      <c r="P501" s="1162">
        <v>1901.5841013824884</v>
      </c>
      <c r="Q501" s="1163">
        <v>51.75</v>
      </c>
      <c r="R501" s="1164">
        <v>2695.0144432099819</v>
      </c>
      <c r="S501" s="1164">
        <v>2349.5719191148419</v>
      </c>
      <c r="T501" s="1164">
        <v>2948.5173609623471</v>
      </c>
      <c r="U501" s="1165">
        <v>31484</v>
      </c>
      <c r="V501" s="1166"/>
      <c r="W501" s="1166"/>
      <c r="X501" s="635">
        <v>1.0416000000000001</v>
      </c>
      <c r="AI501" s="1878" t="s">
        <v>2</v>
      </c>
      <c r="AJ501" s="1826">
        <v>2011</v>
      </c>
      <c r="AK501" s="1781" t="s">
        <v>27</v>
      </c>
      <c r="AL501" s="1781">
        <v>5</v>
      </c>
      <c r="AM501" s="1880">
        <v>108289446.34869003</v>
      </c>
      <c r="AN501" s="1831">
        <v>1.7176370206811648E-3</v>
      </c>
      <c r="AP501" s="1885" t="s">
        <v>1</v>
      </c>
      <c r="AQ501" s="1885" t="s">
        <v>497</v>
      </c>
      <c r="AR501" s="1885" t="s">
        <v>372</v>
      </c>
      <c r="AS501" s="1885">
        <v>4</v>
      </c>
      <c r="AT501" s="1886">
        <v>737220000</v>
      </c>
      <c r="AU501" s="1867">
        <v>6.1344521942178779E-2</v>
      </c>
      <c r="AV501" s="1781">
        <v>2007</v>
      </c>
      <c r="EA501" s="169"/>
      <c r="EB501" s="169"/>
      <c r="EC501" s="169"/>
      <c r="ED501" s="169"/>
      <c r="EE501" s="169"/>
      <c r="EF501" s="169"/>
      <c r="EG501" s="169"/>
      <c r="EH501" s="169"/>
      <c r="EI501" s="169"/>
      <c r="EJ501" s="169"/>
      <c r="EK501" s="169"/>
      <c r="EL501" s="169"/>
      <c r="EM501" s="169"/>
      <c r="EN501" s="169"/>
      <c r="EO501" s="169"/>
      <c r="EP501" s="169"/>
      <c r="EQ501" s="169"/>
      <c r="ER501" s="169"/>
      <c r="ES501" s="169"/>
      <c r="ET501" s="169"/>
      <c r="EU501" s="169"/>
      <c r="EV501" s="169"/>
      <c r="EW501" s="169"/>
      <c r="EX501" s="169"/>
    </row>
    <row r="502" spans="1:154">
      <c r="A502" s="333">
        <f t="shared" si="15"/>
        <v>2012</v>
      </c>
      <c r="B502" s="333">
        <f t="shared" si="16"/>
        <v>1</v>
      </c>
      <c r="C502" s="1175">
        <v>40940</v>
      </c>
      <c r="D502" s="1167">
        <v>285.35639965726739</v>
      </c>
      <c r="E502" s="1168">
        <v>1633.51</v>
      </c>
      <c r="F502" s="1168">
        <v>1742.62</v>
      </c>
      <c r="G502" s="1168">
        <v>139.82499999999999</v>
      </c>
      <c r="H502" s="1167">
        <v>130.33650260999252</v>
      </c>
      <c r="I502" s="1168">
        <v>127.97499999999999</v>
      </c>
      <c r="J502" s="1168">
        <v>119.29064131245339</v>
      </c>
      <c r="K502" s="1678">
        <v>20465</v>
      </c>
      <c r="L502" s="1678">
        <v>19076.249067859808</v>
      </c>
      <c r="M502" s="1682">
        <v>127.71</v>
      </c>
      <c r="N502" s="1169">
        <v>7851.13</v>
      </c>
      <c r="O502" s="1169">
        <v>1981.8419090231171</v>
      </c>
      <c r="P502" s="1169">
        <v>1918.540268456376</v>
      </c>
      <c r="Q502" s="1167">
        <v>51.75</v>
      </c>
      <c r="R502" s="1167">
        <v>2459.6131195172375</v>
      </c>
      <c r="S502" s="1167">
        <v>2202.5297943399542</v>
      </c>
      <c r="T502" s="1167">
        <v>2867.8449303486527</v>
      </c>
      <c r="U502" s="1167">
        <v>31981</v>
      </c>
      <c r="V502" s="1167"/>
      <c r="W502" s="1167"/>
      <c r="X502" s="344">
        <v>1.0728</v>
      </c>
      <c r="AI502" s="1878" t="s">
        <v>2</v>
      </c>
      <c r="AJ502" s="1826">
        <v>2011</v>
      </c>
      <c r="AK502" s="1781" t="s">
        <v>39</v>
      </c>
      <c r="AM502" s="1880">
        <v>27231574.718745954</v>
      </c>
      <c r="AN502" s="1831">
        <v>4.3193462008986577E-4</v>
      </c>
      <c r="AP502" s="1885" t="s">
        <v>1</v>
      </c>
      <c r="AQ502" s="1885" t="s">
        <v>497</v>
      </c>
      <c r="AR502" s="1885" t="s">
        <v>527</v>
      </c>
      <c r="AS502" s="1885">
        <v>5</v>
      </c>
      <c r="AT502" s="1886">
        <v>612624000</v>
      </c>
      <c r="AU502" s="1867">
        <v>5.0976813448231649E-2</v>
      </c>
      <c r="AV502" s="1781">
        <v>2007</v>
      </c>
      <c r="EA502" s="169"/>
      <c r="EB502" s="169"/>
      <c r="EC502" s="169"/>
      <c r="ED502" s="169"/>
      <c r="EE502" s="169"/>
      <c r="EF502" s="169"/>
      <c r="EG502" s="169"/>
      <c r="EH502" s="169"/>
      <c r="EI502" s="169"/>
      <c r="EJ502" s="169"/>
      <c r="EK502" s="169"/>
      <c r="EL502" s="169"/>
      <c r="EM502" s="169"/>
      <c r="EN502" s="169"/>
      <c r="EO502" s="169"/>
      <c r="EP502" s="169"/>
      <c r="EQ502" s="169"/>
      <c r="ER502" s="169"/>
      <c r="ES502" s="169"/>
      <c r="ET502" s="169"/>
      <c r="EU502" s="169"/>
      <c r="EV502" s="169"/>
      <c r="EW502" s="169"/>
      <c r="EX502" s="169"/>
    </row>
    <row r="503" spans="1:154">
      <c r="A503" s="333">
        <f t="shared" si="15"/>
        <v>2012</v>
      </c>
      <c r="B503" s="333">
        <f t="shared" si="16"/>
        <v>1</v>
      </c>
      <c r="C503" s="1175">
        <v>40969</v>
      </c>
      <c r="D503" s="1158">
        <v>298.95365984744848</v>
      </c>
      <c r="E503" s="1159">
        <v>1599.14</v>
      </c>
      <c r="F503" s="1159">
        <v>1673.77</v>
      </c>
      <c r="G503" s="1160">
        <v>144.65</v>
      </c>
      <c r="H503" s="1161">
        <v>137.33029526250832</v>
      </c>
      <c r="I503" s="1160">
        <v>134.22499999999999</v>
      </c>
      <c r="J503" s="1160">
        <v>127.43283015285294</v>
      </c>
      <c r="K503" s="1677">
        <v>18701.59</v>
      </c>
      <c r="L503" s="1677">
        <v>17755.235925187506</v>
      </c>
      <c r="M503" s="1681">
        <v>134.03</v>
      </c>
      <c r="N503" s="1162">
        <v>8029.1</v>
      </c>
      <c r="O503" s="1162">
        <v>1956.2992499762654</v>
      </c>
      <c r="P503" s="1162">
        <v>1930.9408525586255</v>
      </c>
      <c r="Q503" s="1163">
        <v>51.25</v>
      </c>
      <c r="R503" s="1164">
        <v>2485.2196397877588</v>
      </c>
      <c r="S503" s="1164">
        <v>2271.1958694644868</v>
      </c>
      <c r="T503" s="1164">
        <v>3294.55579428901</v>
      </c>
      <c r="U503" s="1165">
        <v>30349</v>
      </c>
      <c r="V503" s="1166"/>
      <c r="W503" s="1166"/>
      <c r="X503" s="635">
        <v>1.0532999999999999</v>
      </c>
      <c r="AI503" s="1878" t="s">
        <v>2</v>
      </c>
      <c r="AJ503" s="1826">
        <v>2011</v>
      </c>
      <c r="AK503" s="1781" t="s">
        <v>386</v>
      </c>
      <c r="AM503" s="1880">
        <v>63045594060.231415</v>
      </c>
      <c r="AP503" s="1885" t="s">
        <v>1</v>
      </c>
      <c r="AQ503" s="1885" t="s">
        <v>497</v>
      </c>
      <c r="AR503" s="1885" t="s">
        <v>33</v>
      </c>
      <c r="AS503" s="1885">
        <v>6</v>
      </c>
      <c r="AT503" s="1886">
        <v>566331000</v>
      </c>
      <c r="AU503" s="1867">
        <v>4.7124744928292849E-2</v>
      </c>
      <c r="AV503" s="1781">
        <v>2007</v>
      </c>
      <c r="EA503" s="169"/>
      <c r="EB503" s="169"/>
      <c r="EC503" s="169"/>
      <c r="ED503" s="169"/>
      <c r="EE503" s="169"/>
      <c r="EF503" s="169"/>
      <c r="EG503" s="169"/>
      <c r="EH503" s="169"/>
      <c r="EI503" s="169"/>
      <c r="EJ503" s="169"/>
      <c r="EK503" s="169"/>
      <c r="EL503" s="169"/>
      <c r="EM503" s="169"/>
      <c r="EN503" s="169"/>
      <c r="EO503" s="169"/>
      <c r="EP503" s="169"/>
      <c r="EQ503" s="169"/>
      <c r="ER503" s="169"/>
      <c r="ES503" s="169"/>
      <c r="ET503" s="169"/>
      <c r="EU503" s="169"/>
      <c r="EV503" s="169"/>
      <c r="EW503" s="169"/>
      <c r="EX503" s="169"/>
    </row>
    <row r="504" spans="1:154">
      <c r="A504" s="333">
        <f t="shared" si="15"/>
        <v>2012</v>
      </c>
      <c r="B504" s="333">
        <f t="shared" si="16"/>
        <v>2</v>
      </c>
      <c r="C504" s="1175">
        <v>41000</v>
      </c>
      <c r="D504" s="1167">
        <v>302.85323958028965</v>
      </c>
      <c r="E504" s="1168">
        <v>1603.44</v>
      </c>
      <c r="F504" s="1168">
        <v>1650.07</v>
      </c>
      <c r="G504" s="1168">
        <v>147.69999999999999</v>
      </c>
      <c r="H504" s="1167">
        <v>142.67774343122102</v>
      </c>
      <c r="I504" s="1168">
        <v>135.75</v>
      </c>
      <c r="J504" s="1168">
        <v>131.13408037094283</v>
      </c>
      <c r="K504" s="1678">
        <v>17897.37</v>
      </c>
      <c r="L504" s="1678">
        <v>17288.804095826894</v>
      </c>
      <c r="M504" s="1682">
        <v>129.59</v>
      </c>
      <c r="N504" s="1169">
        <v>7978.78</v>
      </c>
      <c r="O504" s="1169">
        <v>1992.8999227202476</v>
      </c>
      <c r="P504" s="1169">
        <v>1928.8446676970636</v>
      </c>
      <c r="Q504" s="1167">
        <v>51.75</v>
      </c>
      <c r="R504" s="1167">
        <v>2794.8025653257009</v>
      </c>
      <c r="S504" s="1167">
        <v>2221.6572204310201</v>
      </c>
      <c r="T504" s="1167">
        <v>3332.3569200459806</v>
      </c>
      <c r="U504" s="1167">
        <v>31546</v>
      </c>
      <c r="V504" s="1167">
        <v>5745.3751857671305</v>
      </c>
      <c r="W504" s="1167"/>
      <c r="X504" s="344">
        <v>1.0351999999999999</v>
      </c>
      <c r="AI504" s="1878" t="s">
        <v>2</v>
      </c>
      <c r="AJ504" s="1826">
        <v>2010</v>
      </c>
      <c r="AK504" s="1781" t="s">
        <v>18</v>
      </c>
      <c r="AL504" s="1781">
        <v>1</v>
      </c>
      <c r="AM504" s="1880">
        <v>35057809265.178223</v>
      </c>
      <c r="AN504" s="1831">
        <v>0.69189485800000317</v>
      </c>
      <c r="AP504" s="1885" t="s">
        <v>1</v>
      </c>
      <c r="AQ504" s="1885" t="s">
        <v>497</v>
      </c>
      <c r="AR504" s="1885" t="s">
        <v>61</v>
      </c>
      <c r="AS504" s="1885">
        <v>7</v>
      </c>
      <c r="AT504" s="1886">
        <v>528556000</v>
      </c>
      <c r="AU504" s="1867">
        <v>4.3981464338555994E-2</v>
      </c>
      <c r="AV504" s="1781">
        <v>2007</v>
      </c>
      <c r="EA504" s="169"/>
      <c r="EB504" s="169"/>
      <c r="EC504" s="169"/>
      <c r="ED504" s="169"/>
      <c r="EE504" s="169"/>
      <c r="EF504" s="169"/>
      <c r="EG504" s="169"/>
      <c r="EH504" s="169"/>
      <c r="EI504" s="169"/>
      <c r="EJ504" s="169"/>
      <c r="EK504" s="169"/>
      <c r="EL504" s="169"/>
      <c r="EM504" s="169"/>
      <c r="EN504" s="169"/>
      <c r="EO504" s="169"/>
      <c r="EP504" s="169"/>
      <c r="EQ504" s="169"/>
      <c r="ER504" s="169"/>
      <c r="ES504" s="169"/>
      <c r="ET504" s="169"/>
      <c r="EU504" s="169"/>
      <c r="EV504" s="169"/>
      <c r="EW504" s="169"/>
      <c r="EX504" s="169"/>
    </row>
    <row r="505" spans="1:154">
      <c r="A505" s="333">
        <f t="shared" si="15"/>
        <v>2012</v>
      </c>
      <c r="B505" s="333">
        <f t="shared" si="16"/>
        <v>2</v>
      </c>
      <c r="C505" s="1175">
        <v>41030</v>
      </c>
      <c r="D505" s="1158">
        <v>308.78501679059843</v>
      </c>
      <c r="E505" s="1159">
        <v>1601.99</v>
      </c>
      <c r="F505" s="1159">
        <v>1585.5</v>
      </c>
      <c r="G505" s="1160">
        <v>135.875</v>
      </c>
      <c r="H505" s="1161">
        <v>136.54406592302283</v>
      </c>
      <c r="I505" s="1160">
        <v>128.5</v>
      </c>
      <c r="J505" s="1160">
        <v>129.13275047733896</v>
      </c>
      <c r="K505" s="1677">
        <v>17020</v>
      </c>
      <c r="L505" s="1677">
        <v>17103.808662445987</v>
      </c>
      <c r="M505" s="1681">
        <v>118.76</v>
      </c>
      <c r="N505" s="1162">
        <v>7958.93</v>
      </c>
      <c r="O505" s="1162">
        <v>2008.7519847251533</v>
      </c>
      <c r="P505" s="1162">
        <v>1939.526379258366</v>
      </c>
      <c r="Q505" s="1163">
        <v>50.5</v>
      </c>
      <c r="R505" s="1164">
        <v>2978.2526151138918</v>
      </c>
      <c r="S505" s="1164">
        <v>2527.2245022039824</v>
      </c>
      <c r="T505" s="1164">
        <v>3485.9993694309669</v>
      </c>
      <c r="U505" s="1165">
        <v>30946</v>
      </c>
      <c r="V505" s="1166">
        <v>6048.0944139404537</v>
      </c>
      <c r="W505" s="1166"/>
      <c r="X505" s="635">
        <v>0.99509999999999998</v>
      </c>
      <c r="AI505" s="1878" t="s">
        <v>2</v>
      </c>
      <c r="AJ505" s="1826">
        <v>2010</v>
      </c>
      <c r="AK505" s="1781" t="s">
        <v>23</v>
      </c>
      <c r="AL505" s="1781">
        <v>2</v>
      </c>
      <c r="AM505" s="1880">
        <v>9068999543.5983448</v>
      </c>
      <c r="AN505" s="1831">
        <v>0.17898420588569461</v>
      </c>
      <c r="AP505" s="1885" t="s">
        <v>1</v>
      </c>
      <c r="AQ505" s="1885" t="s">
        <v>497</v>
      </c>
      <c r="AR505" s="1885" t="s">
        <v>371</v>
      </c>
      <c r="AS505" s="1885">
        <v>8</v>
      </c>
      <c r="AT505" s="1886">
        <v>187138000</v>
      </c>
      <c r="AU505" s="1867">
        <v>1.5571866128449382E-2</v>
      </c>
      <c r="AV505" s="1781">
        <v>2007</v>
      </c>
      <c r="EA505" s="169"/>
      <c r="EB505" s="169"/>
      <c r="EC505" s="169"/>
      <c r="ED505" s="169"/>
      <c r="EE505" s="169"/>
      <c r="EF505" s="169"/>
      <c r="EG505" s="169"/>
      <c r="EH505" s="169"/>
      <c r="EI505" s="169"/>
      <c r="EJ505" s="169"/>
      <c r="EK505" s="169"/>
      <c r="EL505" s="169"/>
      <c r="EM505" s="169"/>
      <c r="EN505" s="169"/>
      <c r="EO505" s="169"/>
      <c r="EP505" s="169"/>
      <c r="EQ505" s="169"/>
      <c r="ER505" s="169"/>
      <c r="ES505" s="169"/>
      <c r="ET505" s="169"/>
      <c r="EU505" s="169"/>
      <c r="EV505" s="169"/>
      <c r="EW505" s="169"/>
      <c r="EX505" s="169"/>
    </row>
    <row r="506" spans="1:154">
      <c r="A506" s="333">
        <f t="shared" si="15"/>
        <v>2012</v>
      </c>
      <c r="B506" s="333">
        <f t="shared" si="16"/>
        <v>2</v>
      </c>
      <c r="C506" s="1175">
        <v>41061</v>
      </c>
      <c r="D506" s="1167">
        <v>298.18824292008873</v>
      </c>
      <c r="E506" s="1168">
        <v>1606.88</v>
      </c>
      <c r="F506" s="1168">
        <v>1596.7</v>
      </c>
      <c r="G506" s="1168">
        <v>134.56</v>
      </c>
      <c r="H506" s="1167">
        <v>134.57345734573457</v>
      </c>
      <c r="I506" s="1168">
        <v>122.44</v>
      </c>
      <c r="J506" s="1168">
        <v>122.45224522452244</v>
      </c>
      <c r="K506" s="1678">
        <v>16539.21</v>
      </c>
      <c r="L506" s="1678">
        <v>16540.864086408641</v>
      </c>
      <c r="M506" s="1682">
        <v>97.94</v>
      </c>
      <c r="N506" s="1169">
        <v>7420.84</v>
      </c>
      <c r="O506" s="1169">
        <v>1854.9254925492548</v>
      </c>
      <c r="P506" s="1169">
        <v>1855.9755975597559</v>
      </c>
      <c r="Q506" s="1167">
        <v>50.75</v>
      </c>
      <c r="R506" s="1167">
        <v>3011.5314150984586</v>
      </c>
      <c r="S506" s="1167">
        <v>2483.3603359211202</v>
      </c>
      <c r="T506" s="1167">
        <v>3559.2770496752537</v>
      </c>
      <c r="U506" s="1167">
        <v>29069</v>
      </c>
      <c r="V506" s="1167">
        <v>6372.1826692365194</v>
      </c>
      <c r="W506" s="1167"/>
      <c r="X506" s="344">
        <v>0.99990000000000001</v>
      </c>
      <c r="AI506" s="1878" t="s">
        <v>2</v>
      </c>
      <c r="AJ506" s="1826">
        <v>2010</v>
      </c>
      <c r="AK506" s="1781" t="s">
        <v>24</v>
      </c>
      <c r="AL506" s="1781">
        <v>3</v>
      </c>
      <c r="AM506" s="1880">
        <v>4651050621.4142771</v>
      </c>
      <c r="AN506" s="1831">
        <v>9.1792330345371306E-2</v>
      </c>
      <c r="AP506" s="1885" t="s">
        <v>1</v>
      </c>
      <c r="AQ506" s="1885" t="s">
        <v>497</v>
      </c>
      <c r="AR506" s="1885" t="s">
        <v>23</v>
      </c>
      <c r="AS506" s="1885">
        <v>9</v>
      </c>
      <c r="AT506" s="1886">
        <v>92694000</v>
      </c>
      <c r="AU506" s="1867">
        <v>7.713123785177179E-3</v>
      </c>
      <c r="AV506" s="1781">
        <v>2007</v>
      </c>
      <c r="EA506" s="169"/>
      <c r="EB506" s="169"/>
      <c r="EC506" s="169"/>
      <c r="ED506" s="169"/>
      <c r="EE506" s="169"/>
      <c r="EF506" s="169"/>
      <c r="EG506" s="169"/>
      <c r="EH506" s="169"/>
      <c r="EI506" s="169"/>
      <c r="EJ506" s="169"/>
      <c r="EK506" s="169"/>
      <c r="EL506" s="169"/>
      <c r="EM506" s="169"/>
      <c r="EN506" s="169"/>
      <c r="EO506" s="169"/>
      <c r="EP506" s="169"/>
      <c r="EQ506" s="169"/>
      <c r="ER506" s="169"/>
      <c r="ES506" s="169"/>
      <c r="ET506" s="169"/>
      <c r="EU506" s="169"/>
      <c r="EV506" s="169"/>
      <c r="EW506" s="169"/>
      <c r="EX506" s="169"/>
    </row>
    <row r="507" spans="1:154">
      <c r="A507" s="333">
        <f t="shared" si="15"/>
        <v>2012</v>
      </c>
      <c r="B507" s="333">
        <f t="shared" si="16"/>
        <v>3</v>
      </c>
      <c r="C507" s="1175">
        <v>41091</v>
      </c>
      <c r="D507" s="1158">
        <v>280.2131028523666</v>
      </c>
      <c r="E507" s="1159">
        <v>1555.97</v>
      </c>
      <c r="F507" s="1159">
        <v>1594</v>
      </c>
      <c r="G507" s="1160">
        <v>127.27500000000001</v>
      </c>
      <c r="H507" s="1161">
        <v>123.49602173491171</v>
      </c>
      <c r="I507" s="1160">
        <v>116.875</v>
      </c>
      <c r="J507" s="1160">
        <v>113.40481273044828</v>
      </c>
      <c r="K507" s="1677">
        <v>16159.09</v>
      </c>
      <c r="L507" s="1677">
        <v>15679.30419173297</v>
      </c>
      <c r="M507" s="1681">
        <v>109.63</v>
      </c>
      <c r="N507" s="1162">
        <v>7364.05</v>
      </c>
      <c r="O507" s="1162">
        <v>1820.6737822627597</v>
      </c>
      <c r="P507" s="1162">
        <v>1796.2175431787309</v>
      </c>
      <c r="Q507" s="1163">
        <v>49.5</v>
      </c>
      <c r="R507" s="1164">
        <v>2857.7592033303404</v>
      </c>
      <c r="S507" s="1164">
        <v>2436.2018485073836</v>
      </c>
      <c r="T507" s="1164">
        <v>3114.8282990324324</v>
      </c>
      <c r="U507" s="1165">
        <v>28267</v>
      </c>
      <c r="V507" s="1166">
        <v>6251.6330831987016</v>
      </c>
      <c r="W507" s="1166"/>
      <c r="X507" s="635">
        <v>1.0306</v>
      </c>
      <c r="AI507" s="1878" t="s">
        <v>2</v>
      </c>
      <c r="AJ507" s="1826">
        <v>2010</v>
      </c>
      <c r="AK507" s="1781" t="s">
        <v>537</v>
      </c>
      <c r="AL507" s="1781">
        <v>4</v>
      </c>
      <c r="AM507" s="1880">
        <v>1555990190.6311243</v>
      </c>
      <c r="AN507" s="1831">
        <v>3.0708753186852809E-2</v>
      </c>
      <c r="AP507" s="1885" t="s">
        <v>1</v>
      </c>
      <c r="AQ507" s="1885" t="s">
        <v>497</v>
      </c>
      <c r="AR507" s="1885" t="s">
        <v>71</v>
      </c>
      <c r="AS507" s="1885">
        <v>10</v>
      </c>
      <c r="AT507" s="1886">
        <v>51029000</v>
      </c>
      <c r="AU507" s="1867">
        <v>4.2461539434462455E-3</v>
      </c>
      <c r="AV507" s="1781">
        <v>2007</v>
      </c>
      <c r="EA507" s="169"/>
      <c r="EB507" s="169"/>
      <c r="EC507" s="169"/>
      <c r="ED507" s="169"/>
      <c r="EE507" s="169"/>
      <c r="EF507" s="169"/>
      <c r="EG507" s="169"/>
      <c r="EH507" s="169"/>
      <c r="EI507" s="169"/>
      <c r="EJ507" s="169"/>
      <c r="EK507" s="169"/>
      <c r="EL507" s="169"/>
      <c r="EM507" s="169"/>
      <c r="EN507" s="169"/>
      <c r="EO507" s="169"/>
      <c r="EP507" s="169"/>
      <c r="EQ507" s="169"/>
      <c r="ER507" s="169"/>
      <c r="ES507" s="169"/>
      <c r="ET507" s="169"/>
      <c r="EU507" s="169"/>
      <c r="EV507" s="169"/>
      <c r="EW507" s="169"/>
      <c r="EX507" s="169"/>
    </row>
    <row r="508" spans="1:154">
      <c r="A508" s="333">
        <f t="shared" si="15"/>
        <v>2012</v>
      </c>
      <c r="B508" s="333">
        <f t="shared" si="16"/>
        <v>3</v>
      </c>
      <c r="C508" s="1175">
        <v>41122</v>
      </c>
      <c r="D508" s="1167">
        <v>267.44357290073094</v>
      </c>
      <c r="E508" s="1168">
        <v>1562.01</v>
      </c>
      <c r="F508" s="1168">
        <v>1626.03</v>
      </c>
      <c r="G508" s="1168">
        <v>105.9</v>
      </c>
      <c r="H508" s="1167">
        <v>102.36829386176898</v>
      </c>
      <c r="I508" s="1168">
        <v>96.58</v>
      </c>
      <c r="J508" s="1168">
        <v>93.359110681488644</v>
      </c>
      <c r="K508" s="1678">
        <v>15657.73</v>
      </c>
      <c r="L508" s="1678">
        <v>15135.550797486709</v>
      </c>
      <c r="M508" s="1682">
        <v>119.68</v>
      </c>
      <c r="N508" s="1169">
        <v>7242.59</v>
      </c>
      <c r="O508" s="1169">
        <v>1832.5277912034801</v>
      </c>
      <c r="P508" s="1169">
        <v>1753.3064282261962</v>
      </c>
      <c r="Q508" s="1167">
        <v>48</v>
      </c>
      <c r="R508" s="1167">
        <v>2779.5386399884001</v>
      </c>
      <c r="S508" s="1167">
        <v>2363.0822641110935</v>
      </c>
      <c r="T508" s="1167">
        <v>2943.5324276667316</v>
      </c>
      <c r="U508" s="1167">
        <v>28233</v>
      </c>
      <c r="V508" s="1167">
        <v>6157.9759784320649</v>
      </c>
      <c r="W508" s="1167"/>
      <c r="X508" s="344">
        <v>1.0345</v>
      </c>
      <c r="AI508" s="1878" t="s">
        <v>2</v>
      </c>
      <c r="AJ508" s="1826">
        <v>2010</v>
      </c>
      <c r="AK508" s="1781" t="s">
        <v>372</v>
      </c>
      <c r="AL508" s="1781">
        <v>5</v>
      </c>
      <c r="AM508" s="1880">
        <v>119013969.04855077</v>
      </c>
      <c r="AN508" s="1831">
        <v>2.3488391014966975E-3</v>
      </c>
      <c r="AP508" s="1885" t="s">
        <v>1</v>
      </c>
      <c r="AQ508" s="1885" t="s">
        <v>497</v>
      </c>
      <c r="AR508" s="1885" t="s">
        <v>39</v>
      </c>
      <c r="AS508" s="1885"/>
      <c r="AT508" s="1886">
        <v>105958000</v>
      </c>
      <c r="AU508" s="1867">
        <v>8.8168292449328275E-3</v>
      </c>
      <c r="AV508" s="1781">
        <v>2007</v>
      </c>
      <c r="EA508" s="169"/>
      <c r="EB508" s="169"/>
      <c r="EC508" s="169"/>
      <c r="ED508" s="169"/>
      <c r="EE508" s="169"/>
      <c r="EF508" s="169"/>
      <c r="EG508" s="169"/>
      <c r="EH508" s="169"/>
      <c r="EI508" s="169"/>
      <c r="EJ508" s="169"/>
      <c r="EK508" s="169"/>
      <c r="EL508" s="169"/>
      <c r="EM508" s="169"/>
      <c r="EN508" s="169"/>
      <c r="EO508" s="169"/>
      <c r="EP508" s="169"/>
      <c r="EQ508" s="169"/>
      <c r="ER508" s="169"/>
      <c r="ES508" s="169"/>
      <c r="ET508" s="169"/>
      <c r="EU508" s="169"/>
      <c r="EV508" s="169"/>
      <c r="EW508" s="169"/>
      <c r="EX508" s="169"/>
    </row>
    <row r="509" spans="1:154">
      <c r="A509" s="333">
        <f t="shared" si="15"/>
        <v>2012</v>
      </c>
      <c r="B509" s="333">
        <f t="shared" si="16"/>
        <v>3</v>
      </c>
      <c r="C509" s="1175">
        <v>41153</v>
      </c>
      <c r="D509" s="1158">
        <v>266.30545491096683</v>
      </c>
      <c r="E509" s="1159">
        <v>1684.95</v>
      </c>
      <c r="F509" s="1159">
        <v>1744.45</v>
      </c>
      <c r="G509" s="1160">
        <v>100.3</v>
      </c>
      <c r="H509" s="1161">
        <v>96.451581882873342</v>
      </c>
      <c r="I509" s="1160">
        <v>91.775000000000006</v>
      </c>
      <c r="J509" s="1160">
        <v>88.253678238292139</v>
      </c>
      <c r="K509" s="1677">
        <v>17215.5</v>
      </c>
      <c r="L509" s="1677">
        <v>16554.957207423791</v>
      </c>
      <c r="M509" s="1681">
        <v>118.99</v>
      </c>
      <c r="N509" s="1162">
        <v>7758.79</v>
      </c>
      <c r="O509" s="1162">
        <v>2086.0371189537454</v>
      </c>
      <c r="P509" s="1162">
        <v>1925.2812770458697</v>
      </c>
      <c r="Q509" s="1163">
        <v>45.75</v>
      </c>
      <c r="R509" s="1164">
        <v>2831.3765579050555</v>
      </c>
      <c r="S509" s="1164">
        <v>2332.8932533187854</v>
      </c>
      <c r="T509" s="1164">
        <v>2974.7525707786999</v>
      </c>
      <c r="U509" s="1165">
        <v>28337</v>
      </c>
      <c r="V509" s="1166">
        <v>6442.2084399531595</v>
      </c>
      <c r="W509" s="1166"/>
      <c r="X509" s="635">
        <v>1.0399</v>
      </c>
      <c r="AI509" s="1878" t="s">
        <v>2</v>
      </c>
      <c r="AJ509" s="1826">
        <v>2010</v>
      </c>
      <c r="AK509" s="1781" t="s">
        <v>39</v>
      </c>
      <c r="AM509" s="1880">
        <v>216409146.91004679</v>
      </c>
      <c r="AN509" s="1831">
        <v>4.2710134805814277E-3</v>
      </c>
      <c r="AP509" s="1885" t="s">
        <v>1</v>
      </c>
      <c r="AQ509" s="1885" t="s">
        <v>497</v>
      </c>
      <c r="AR509" s="1885" t="s">
        <v>386</v>
      </c>
      <c r="AS509" s="1885"/>
      <c r="AT509" s="1886">
        <v>12017699000</v>
      </c>
      <c r="AU509" s="1867">
        <v>1</v>
      </c>
      <c r="AV509" s="1781">
        <v>2007</v>
      </c>
      <c r="EA509" s="169"/>
      <c r="EB509" s="169"/>
      <c r="EC509" s="169"/>
      <c r="ED509" s="169"/>
      <c r="EE509" s="169"/>
      <c r="EF509" s="169"/>
      <c r="EG509" s="169"/>
      <c r="EH509" s="169"/>
      <c r="EI509" s="169"/>
      <c r="EJ509" s="169"/>
      <c r="EK509" s="169"/>
      <c r="EL509" s="169"/>
      <c r="EM509" s="169"/>
      <c r="EN509" s="169"/>
      <c r="EO509" s="169"/>
      <c r="EP509" s="169"/>
      <c r="EQ509" s="169"/>
      <c r="ER509" s="169"/>
      <c r="ES509" s="169"/>
      <c r="ET509" s="169"/>
      <c r="EU509" s="169"/>
      <c r="EV509" s="169"/>
      <c r="EW509" s="169"/>
      <c r="EX509" s="169"/>
    </row>
    <row r="510" spans="1:154">
      <c r="A510" s="333">
        <f t="shared" si="15"/>
        <v>2012</v>
      </c>
      <c r="B510" s="333">
        <f t="shared" si="16"/>
        <v>4</v>
      </c>
      <c r="C510" s="1175">
        <v>41183</v>
      </c>
      <c r="D510" s="1167">
        <v>283.02463094680689</v>
      </c>
      <c r="E510" s="1168">
        <v>1705.69</v>
      </c>
      <c r="F510" s="1168">
        <v>1747.01</v>
      </c>
      <c r="G510" s="1168">
        <v>113.4</v>
      </c>
      <c r="H510" s="1167">
        <v>109.91567316080256</v>
      </c>
      <c r="I510" s="1168">
        <v>104.65</v>
      </c>
      <c r="J510" s="1168">
        <v>101.43452554037026</v>
      </c>
      <c r="K510" s="1678">
        <v>17245.43</v>
      </c>
      <c r="L510" s="1678">
        <v>16715.551807696032</v>
      </c>
      <c r="M510" s="1682">
        <v>114.27</v>
      </c>
      <c r="N510" s="1169">
        <v>7821.58</v>
      </c>
      <c r="O510" s="1169">
        <v>2087.1419017156145</v>
      </c>
      <c r="P510" s="1169">
        <v>1853.0411941455848</v>
      </c>
      <c r="Q510" s="1167">
        <v>42.5</v>
      </c>
      <c r="R510" s="1167">
        <v>2959.3282922517924</v>
      </c>
      <c r="S510" s="1167">
        <v>1948.7152163506566</v>
      </c>
      <c r="T510" s="1167">
        <v>2919.1681463890409</v>
      </c>
      <c r="U510" s="1167">
        <v>26265</v>
      </c>
      <c r="V510" s="1167">
        <v>6670.1027802201124</v>
      </c>
      <c r="W510" s="1167"/>
      <c r="X510" s="344">
        <v>1.0317000000000001</v>
      </c>
      <c r="AI510" s="1878" t="s">
        <v>2</v>
      </c>
      <c r="AJ510" s="1826">
        <v>2010</v>
      </c>
      <c r="AK510" s="1781" t="s">
        <v>386</v>
      </c>
      <c r="AM510" s="1880">
        <v>50669272736.780563</v>
      </c>
      <c r="AP510" s="1887" t="s">
        <v>1</v>
      </c>
      <c r="AQ510" s="1887" t="s">
        <v>498</v>
      </c>
      <c r="AR510" s="1887" t="s">
        <v>63</v>
      </c>
      <c r="AS510" s="1887">
        <v>1</v>
      </c>
      <c r="AT510" s="1888">
        <v>7016292000</v>
      </c>
      <c r="AU510" s="1867">
        <v>0.41645290906604471</v>
      </c>
      <c r="AV510" s="1781">
        <v>2008</v>
      </c>
      <c r="EA510" s="169"/>
      <c r="EB510" s="169"/>
      <c r="EC510" s="169"/>
      <c r="ED510" s="169"/>
      <c r="EE510" s="169"/>
      <c r="EF510" s="169"/>
      <c r="EG510" s="169"/>
      <c r="EH510" s="169"/>
      <c r="EI510" s="169"/>
      <c r="EJ510" s="169"/>
      <c r="EK510" s="169"/>
      <c r="EL510" s="169"/>
      <c r="EM510" s="169"/>
      <c r="EN510" s="169"/>
      <c r="EO510" s="169"/>
      <c r="EP510" s="169"/>
      <c r="EQ510" s="169"/>
      <c r="ER510" s="169"/>
      <c r="ES510" s="169"/>
      <c r="ET510" s="169"/>
      <c r="EU510" s="169"/>
      <c r="EV510" s="169"/>
      <c r="EW510" s="169"/>
      <c r="EX510" s="169"/>
    </row>
    <row r="511" spans="1:154">
      <c r="A511" s="333">
        <f t="shared" si="15"/>
        <v>2012</v>
      </c>
      <c r="B511" s="333">
        <f t="shared" si="16"/>
        <v>4</v>
      </c>
      <c r="C511" s="1175">
        <v>41214</v>
      </c>
      <c r="D511" s="1158">
        <v>277.04511037909776</v>
      </c>
      <c r="E511" s="1159">
        <v>1665.03</v>
      </c>
      <c r="F511" s="1159">
        <v>1721.14</v>
      </c>
      <c r="G511" s="1160">
        <v>119.9</v>
      </c>
      <c r="H511" s="1161">
        <v>115.23306102835176</v>
      </c>
      <c r="I511" s="1160">
        <v>110.14</v>
      </c>
      <c r="J511" s="1160">
        <v>105.85295530994715</v>
      </c>
      <c r="K511" s="1677">
        <v>16297.5</v>
      </c>
      <c r="L511" s="1677">
        <v>15663.142719846228</v>
      </c>
      <c r="M511" s="1681">
        <v>112.5</v>
      </c>
      <c r="N511" s="1162">
        <v>7394.72</v>
      </c>
      <c r="O511" s="1162">
        <v>2094.6442095146563</v>
      </c>
      <c r="P511" s="1162">
        <v>1830.173474291206</v>
      </c>
      <c r="Q511" s="1163">
        <v>42.5</v>
      </c>
      <c r="R511" s="1164">
        <v>2324.1406616306331</v>
      </c>
      <c r="S511" s="1164">
        <v>1544.1681388210236</v>
      </c>
      <c r="T511" s="1164">
        <v>2749.818574757212</v>
      </c>
      <c r="U511" s="1165">
        <v>22598</v>
      </c>
      <c r="V511" s="1166">
        <v>6627.1419994773951</v>
      </c>
      <c r="W511" s="1166"/>
      <c r="X511" s="635">
        <v>1.0405</v>
      </c>
      <c r="AI511" s="1878" t="s">
        <v>2</v>
      </c>
      <c r="AJ511" s="1826">
        <v>2009</v>
      </c>
      <c r="AK511" s="1781" t="s">
        <v>18</v>
      </c>
      <c r="AL511" s="1781">
        <v>1</v>
      </c>
      <c r="AM511" s="1880">
        <v>20020560972.525166</v>
      </c>
      <c r="AN511" s="1831">
        <v>0.71219870043194333</v>
      </c>
      <c r="AP511" s="1887" t="s">
        <v>1</v>
      </c>
      <c r="AQ511" s="1887" t="s">
        <v>498</v>
      </c>
      <c r="AR511" s="1887" t="s">
        <v>21</v>
      </c>
      <c r="AS511" s="1887">
        <v>2</v>
      </c>
      <c r="AT511" s="1888">
        <v>5690369000</v>
      </c>
      <c r="AU511" s="1867">
        <v>0.33775257981127921</v>
      </c>
      <c r="AV511" s="1781">
        <v>2008</v>
      </c>
      <c r="EA511" s="169"/>
      <c r="EB511" s="169"/>
      <c r="EC511" s="169"/>
      <c r="ED511" s="169"/>
      <c r="EE511" s="169"/>
      <c r="EF511" s="169"/>
      <c r="EG511" s="169"/>
      <c r="EH511" s="169"/>
      <c r="EI511" s="169"/>
      <c r="EJ511" s="169"/>
      <c r="EK511" s="169"/>
      <c r="EL511" s="169"/>
      <c r="EM511" s="169"/>
      <c r="EN511" s="169"/>
      <c r="EO511" s="169"/>
      <c r="EP511" s="169"/>
      <c r="EQ511" s="169"/>
      <c r="ER511" s="169"/>
      <c r="ES511" s="169"/>
      <c r="ET511" s="169"/>
      <c r="EU511" s="169"/>
      <c r="EV511" s="169"/>
      <c r="EW511" s="169"/>
      <c r="EX511" s="169"/>
    </row>
    <row r="512" spans="1:154">
      <c r="A512" s="333">
        <f t="shared" si="15"/>
        <v>2012</v>
      </c>
      <c r="B512" s="333">
        <f t="shared" si="16"/>
        <v>4</v>
      </c>
      <c r="C512" s="1175">
        <v>41244</v>
      </c>
      <c r="D512" s="1167">
        <v>273.31733212341544</v>
      </c>
      <c r="E512" s="1168">
        <v>1620.3</v>
      </c>
      <c r="F512" s="1168">
        <v>1688.53</v>
      </c>
      <c r="G512" s="1168">
        <v>131.27500000000001</v>
      </c>
      <c r="H512" s="1167">
        <v>125.48991492209159</v>
      </c>
      <c r="I512" s="1168">
        <v>119.52500000000001</v>
      </c>
      <c r="J512" s="1168">
        <v>114.25771914730906</v>
      </c>
      <c r="K512" s="1678">
        <v>17406.580000000002</v>
      </c>
      <c r="L512" s="1678">
        <v>16639.498040340313</v>
      </c>
      <c r="M512" s="1682">
        <v>113.07</v>
      </c>
      <c r="N512" s="1169">
        <v>7611.68</v>
      </c>
      <c r="O512" s="1169">
        <v>2175.2222540866073</v>
      </c>
      <c r="P512" s="1169">
        <v>1947.7859669247682</v>
      </c>
      <c r="Q512" s="1167">
        <v>43.5</v>
      </c>
      <c r="R512" s="1167">
        <v>2207.9419923007963</v>
      </c>
      <c r="S512" s="1167">
        <v>1578.4901200718541</v>
      </c>
      <c r="T512" s="1167">
        <v>2644.7431617769416</v>
      </c>
      <c r="U512" s="1167">
        <v>22978</v>
      </c>
      <c r="V512" s="1167">
        <v>6591.5323416721212</v>
      </c>
      <c r="W512" s="1167"/>
      <c r="X512" s="344">
        <v>1.0461</v>
      </c>
      <c r="AI512" s="1878" t="s">
        <v>2</v>
      </c>
      <c r="AJ512" s="1826">
        <v>2009</v>
      </c>
      <c r="AK512" s="1781" t="s">
        <v>23</v>
      </c>
      <c r="AL512" s="1781">
        <v>2</v>
      </c>
      <c r="AM512" s="1880">
        <v>4933322680.1497345</v>
      </c>
      <c r="AN512" s="1831">
        <v>0.17549488280751799</v>
      </c>
      <c r="AP512" s="1887" t="s">
        <v>1</v>
      </c>
      <c r="AQ512" s="1887" t="s">
        <v>498</v>
      </c>
      <c r="AR512" s="1887" t="s">
        <v>33</v>
      </c>
      <c r="AS512" s="1887">
        <v>3</v>
      </c>
      <c r="AT512" s="1888">
        <v>1310727000</v>
      </c>
      <c r="AU512" s="1867">
        <v>7.7798368731148815E-2</v>
      </c>
      <c r="AV512" s="1781">
        <v>2008</v>
      </c>
      <c r="EA512" s="169"/>
      <c r="EB512" s="169"/>
      <c r="EC512" s="169"/>
      <c r="ED512" s="169"/>
      <c r="EE512" s="169"/>
      <c r="EF512" s="169"/>
      <c r="EG512" s="169"/>
      <c r="EH512" s="169"/>
      <c r="EI512" s="169"/>
      <c r="EJ512" s="169"/>
      <c r="EK512" s="169"/>
      <c r="EL512" s="169"/>
      <c r="EM512" s="169"/>
      <c r="EN512" s="169"/>
      <c r="EO512" s="169"/>
      <c r="EP512" s="169"/>
      <c r="EQ512" s="169"/>
      <c r="ER512" s="169"/>
      <c r="ES512" s="169"/>
      <c r="ET512" s="169"/>
      <c r="EU512" s="169"/>
      <c r="EV512" s="169"/>
      <c r="EW512" s="169"/>
      <c r="EX512" s="169"/>
    </row>
    <row r="513" spans="1:154">
      <c r="A513" s="333">
        <f t="shared" si="15"/>
        <v>2013</v>
      </c>
      <c r="B513" s="333">
        <f t="shared" si="16"/>
        <v>1</v>
      </c>
      <c r="C513" s="1175">
        <v>41275</v>
      </c>
      <c r="D513" s="1158">
        <v>289.81412144379198</v>
      </c>
      <c r="E513" s="1159">
        <v>1600.05</v>
      </c>
      <c r="F513" s="1159">
        <v>1670.95</v>
      </c>
      <c r="G513" s="1160">
        <v>150.47499999999999</v>
      </c>
      <c r="H513" s="1161">
        <v>143.3095238095238</v>
      </c>
      <c r="I513" s="1160">
        <v>141.05000000000001</v>
      </c>
      <c r="J513" s="1160">
        <v>134.33333333333334</v>
      </c>
      <c r="K513" s="1677">
        <v>17464.77</v>
      </c>
      <c r="L513" s="1677">
        <v>16633.116857142857</v>
      </c>
      <c r="M513" s="1681">
        <v>117.28</v>
      </c>
      <c r="N513" s="1162">
        <v>7665.97</v>
      </c>
      <c r="O513" s="1162">
        <v>2228.8311428571428</v>
      </c>
      <c r="P513" s="1162">
        <v>1936.3420000000001</v>
      </c>
      <c r="Q513" s="1163">
        <v>44</v>
      </c>
      <c r="R513" s="1164">
        <v>1803.7672158350124</v>
      </c>
      <c r="S513" s="1164">
        <v>1245.3423622496257</v>
      </c>
      <c r="T513" s="1164">
        <v>2574.6393325092067</v>
      </c>
      <c r="U513" s="1165">
        <v>24881</v>
      </c>
      <c r="V513" s="1166">
        <v>6580.0212192932358</v>
      </c>
      <c r="W513" s="1166"/>
      <c r="X513" s="635">
        <v>1.05</v>
      </c>
      <c r="AI513" s="1878" t="s">
        <v>2</v>
      </c>
      <c r="AJ513" s="1826">
        <v>2009</v>
      </c>
      <c r="AK513" s="1781" t="s">
        <v>24</v>
      </c>
      <c r="AL513" s="1781">
        <v>3</v>
      </c>
      <c r="AM513" s="1880">
        <v>2237568097.4908104</v>
      </c>
      <c r="AN513" s="1831">
        <v>7.9597824124302413E-2</v>
      </c>
      <c r="AP513" s="1887" t="s">
        <v>1</v>
      </c>
      <c r="AQ513" s="1887" t="s">
        <v>498</v>
      </c>
      <c r="AR513" s="1887" t="s">
        <v>34</v>
      </c>
      <c r="AS513" s="1887">
        <v>4</v>
      </c>
      <c r="AT513" s="1888">
        <v>1299674000</v>
      </c>
      <c r="AU513" s="1867">
        <v>7.7142316502434985E-2</v>
      </c>
      <c r="AV513" s="1781">
        <v>2008</v>
      </c>
      <c r="EA513" s="169"/>
      <c r="EB513" s="169"/>
      <c r="EC513" s="169"/>
      <c r="ED513" s="169"/>
      <c r="EE513" s="169"/>
      <c r="EF513" s="169"/>
      <c r="EG513" s="169"/>
      <c r="EH513" s="169"/>
      <c r="EI513" s="169"/>
      <c r="EJ513" s="169"/>
      <c r="EK513" s="169"/>
      <c r="EL513" s="169"/>
      <c r="EM513" s="169"/>
      <c r="EN513" s="169"/>
      <c r="EO513" s="169"/>
      <c r="EP513" s="169"/>
      <c r="EQ513" s="169"/>
      <c r="ER513" s="169"/>
      <c r="ES513" s="169"/>
      <c r="ET513" s="169"/>
      <c r="EU513" s="169"/>
      <c r="EV513" s="169"/>
      <c r="EW513" s="169"/>
      <c r="EX513" s="169"/>
    </row>
    <row r="514" spans="1:154">
      <c r="A514" s="333">
        <f t="shared" si="15"/>
        <v>2013</v>
      </c>
      <c r="B514" s="333">
        <f t="shared" si="16"/>
        <v>1</v>
      </c>
      <c r="C514" s="1175">
        <v>41306</v>
      </c>
      <c r="D514" s="1167">
        <v>291.78799059271438</v>
      </c>
      <c r="E514" s="1168">
        <v>1588.9</v>
      </c>
      <c r="F514" s="1168">
        <v>1627.59</v>
      </c>
      <c r="G514" s="1168">
        <v>154.25</v>
      </c>
      <c r="H514" s="1167">
        <v>149.62653991657777</v>
      </c>
      <c r="I514" s="1168">
        <v>142.77500000000001</v>
      </c>
      <c r="J514" s="1168">
        <v>138.49548937821322</v>
      </c>
      <c r="K514" s="1678">
        <v>17733.75</v>
      </c>
      <c r="L514" s="1678">
        <v>17202.201959452905</v>
      </c>
      <c r="M514" s="1682">
        <v>122.43</v>
      </c>
      <c r="N514" s="1169">
        <v>7828.57</v>
      </c>
      <c r="O514" s="1169">
        <v>2304.9762343583275</v>
      </c>
      <c r="P514" s="1169">
        <v>2065.4525172179651</v>
      </c>
      <c r="Q514" s="1167">
        <v>42</v>
      </c>
      <c r="R514" s="1167">
        <v>1892.5939221610099</v>
      </c>
      <c r="S514" s="1167">
        <v>1233.4971187631763</v>
      </c>
      <c r="T514" s="1167">
        <v>2578.7810184159662</v>
      </c>
      <c r="U514" s="1167">
        <v>24750</v>
      </c>
      <c r="V514" s="1167">
        <v>6694.6605175545865</v>
      </c>
      <c r="W514" s="1167"/>
      <c r="X514" s="344">
        <v>1.0308999999999999</v>
      </c>
      <c r="AI514" s="1878" t="s">
        <v>2</v>
      </c>
      <c r="AJ514" s="1826">
        <v>2009</v>
      </c>
      <c r="AK514" s="1781" t="s">
        <v>537</v>
      </c>
      <c r="AL514" s="1781">
        <v>4</v>
      </c>
      <c r="AM514" s="1880">
        <v>748320084.78367472</v>
      </c>
      <c r="AN514" s="1831">
        <v>2.6620262670034176E-2</v>
      </c>
      <c r="AP514" s="1887" t="s">
        <v>1</v>
      </c>
      <c r="AQ514" s="1887" t="s">
        <v>498</v>
      </c>
      <c r="AR514" s="1887" t="s">
        <v>61</v>
      </c>
      <c r="AS514" s="1887">
        <v>5</v>
      </c>
      <c r="AT514" s="1888">
        <v>731005000</v>
      </c>
      <c r="AU514" s="1867">
        <v>4.3388895272862646E-2</v>
      </c>
      <c r="AV514" s="1781">
        <v>2008</v>
      </c>
      <c r="EA514" s="169"/>
      <c r="EB514" s="169"/>
      <c r="EC514" s="169"/>
      <c r="ED514" s="169"/>
      <c r="EE514" s="169"/>
      <c r="EF514" s="169"/>
      <c r="EG514" s="169"/>
      <c r="EH514" s="169"/>
      <c r="EI514" s="169"/>
      <c r="EJ514" s="169"/>
      <c r="EK514" s="169"/>
      <c r="EL514" s="169"/>
      <c r="EM514" s="169"/>
      <c r="EN514" s="169"/>
      <c r="EO514" s="169"/>
      <c r="EP514" s="169"/>
      <c r="EQ514" s="169"/>
      <c r="ER514" s="169"/>
      <c r="ES514" s="169"/>
      <c r="ET514" s="169"/>
      <c r="EU514" s="169"/>
      <c r="EV514" s="169"/>
      <c r="EW514" s="169"/>
      <c r="EX514" s="169"/>
    </row>
    <row r="515" spans="1:154">
      <c r="A515" s="333">
        <f t="shared" si="15"/>
        <v>2013</v>
      </c>
      <c r="B515" s="333">
        <f t="shared" si="16"/>
        <v>1</v>
      </c>
      <c r="C515" s="1175">
        <v>41334</v>
      </c>
      <c r="D515" s="1158">
        <v>301.65301213849665</v>
      </c>
      <c r="E515" s="1159">
        <v>1549.48</v>
      </c>
      <c r="F515" s="1159">
        <v>1592.86</v>
      </c>
      <c r="G515" s="1160">
        <v>140.82</v>
      </c>
      <c r="H515" s="1161">
        <v>136.05797101449275</v>
      </c>
      <c r="I515" s="1160">
        <v>131.9</v>
      </c>
      <c r="J515" s="1160">
        <v>127.43961352657007</v>
      </c>
      <c r="K515" s="1677">
        <v>16727.75</v>
      </c>
      <c r="L515" s="1677">
        <v>16162.077294685992</v>
      </c>
      <c r="M515" s="1681">
        <v>115.85</v>
      </c>
      <c r="N515" s="1162">
        <v>7403.77</v>
      </c>
      <c r="O515" s="1162">
        <v>2109.6376811594205</v>
      </c>
      <c r="P515" s="1162">
        <v>1870.434782608696</v>
      </c>
      <c r="Q515" s="1163">
        <v>42.25</v>
      </c>
      <c r="R515" s="1164">
        <v>1604.068578185043</v>
      </c>
      <c r="S515" s="1164">
        <v>1170.0686457653439</v>
      </c>
      <c r="T515" s="1164">
        <v>2493.3824861341513</v>
      </c>
      <c r="U515" s="1165">
        <v>24662</v>
      </c>
      <c r="V515" s="1166">
        <v>6772.3938544028733</v>
      </c>
      <c r="W515" s="1166"/>
      <c r="X515" s="635">
        <v>1.0349999999999999</v>
      </c>
      <c r="AI515" s="1878" t="s">
        <v>2</v>
      </c>
      <c r="AJ515" s="1826">
        <v>2009</v>
      </c>
      <c r="AK515" s="1781" t="s">
        <v>531</v>
      </c>
      <c r="AL515" s="1781">
        <v>5</v>
      </c>
      <c r="AM515" s="1880">
        <v>55577725.138101906</v>
      </c>
      <c r="AN515" s="1831">
        <v>1.9770866396121491E-3</v>
      </c>
      <c r="AP515" s="1887" t="s">
        <v>1</v>
      </c>
      <c r="AQ515" s="1887" t="s">
        <v>498</v>
      </c>
      <c r="AR515" s="1887" t="s">
        <v>372</v>
      </c>
      <c r="AS515" s="1887">
        <v>6</v>
      </c>
      <c r="AT515" s="1888">
        <v>337708000</v>
      </c>
      <c r="AU515" s="1867">
        <v>2.0044701533926443E-2</v>
      </c>
      <c r="AV515" s="1781">
        <v>2008</v>
      </c>
      <c r="EA515" s="169"/>
      <c r="EB515" s="169"/>
      <c r="EC515" s="169"/>
      <c r="ED515" s="169"/>
      <c r="EE515" s="169"/>
      <c r="EF515" s="169"/>
      <c r="EG515" s="169"/>
      <c r="EH515" s="169"/>
      <c r="EI515" s="169"/>
      <c r="EJ515" s="169"/>
      <c r="EK515" s="169"/>
      <c r="EL515" s="169"/>
      <c r="EM515" s="169"/>
      <c r="EN515" s="169"/>
      <c r="EO515" s="169"/>
      <c r="EP515" s="169"/>
      <c r="EQ515" s="169"/>
      <c r="ER515" s="169"/>
      <c r="ES515" s="169"/>
      <c r="ET515" s="169"/>
      <c r="EU515" s="169"/>
      <c r="EV515" s="169"/>
      <c r="EW515" s="169"/>
      <c r="EX515" s="169"/>
    </row>
    <row r="516" spans="1:154">
      <c r="A516" s="333">
        <f t="shared" si="15"/>
        <v>2013</v>
      </c>
      <c r="B516" s="333">
        <f t="shared" si="16"/>
        <v>2</v>
      </c>
      <c r="C516" s="1175">
        <v>41365</v>
      </c>
      <c r="D516" s="1167">
        <v>289.61385061881441</v>
      </c>
      <c r="E516" s="1168">
        <v>1441.66</v>
      </c>
      <c r="F516" s="1168">
        <v>1471.22</v>
      </c>
      <c r="G516" s="1168">
        <v>137.25</v>
      </c>
      <c r="H516" s="1167">
        <v>132.23817323441565</v>
      </c>
      <c r="I516" s="1168">
        <v>128</v>
      </c>
      <c r="J516" s="1168">
        <v>123.32594662298872</v>
      </c>
      <c r="K516" s="1678">
        <v>15635</v>
      </c>
      <c r="L516" s="1678">
        <v>15064.071683206474</v>
      </c>
      <c r="M516" s="1682">
        <v>108.41</v>
      </c>
      <c r="N516" s="1169">
        <v>6940.32</v>
      </c>
      <c r="O516" s="1169">
        <v>1956.1247711725598</v>
      </c>
      <c r="P516" s="1169">
        <v>1785.2440504865594</v>
      </c>
      <c r="Q516" s="1167">
        <v>40.5</v>
      </c>
      <c r="R516" s="1167">
        <v>1554.213893680414</v>
      </c>
      <c r="S516" s="1167">
        <v>1112.3356592217922</v>
      </c>
      <c r="T516" s="1167">
        <v>2487.426987910289</v>
      </c>
      <c r="U516" s="1167">
        <v>25210</v>
      </c>
      <c r="V516" s="1167">
        <v>6769.1005343699144</v>
      </c>
      <c r="W516" s="1167"/>
      <c r="X516" s="344">
        <v>1.0379</v>
      </c>
      <c r="AI516" s="1878" t="s">
        <v>2</v>
      </c>
      <c r="AJ516" s="1826">
        <v>2009</v>
      </c>
      <c r="AK516" s="1781" t="s">
        <v>39</v>
      </c>
      <c r="AM516" s="1880">
        <v>115570833.87397581</v>
      </c>
      <c r="AN516" s="1831">
        <v>4.1112433265899648E-3</v>
      </c>
      <c r="AP516" s="1887" t="s">
        <v>1</v>
      </c>
      <c r="AQ516" s="1887" t="s">
        <v>498</v>
      </c>
      <c r="AR516" s="1887" t="s">
        <v>371</v>
      </c>
      <c r="AS516" s="1887">
        <v>7</v>
      </c>
      <c r="AT516" s="1888">
        <v>285059000</v>
      </c>
      <c r="AU516" s="1867">
        <v>1.6919713404952023E-2</v>
      </c>
      <c r="AV516" s="1781">
        <v>2008</v>
      </c>
      <c r="EA516" s="169"/>
      <c r="EB516" s="169"/>
      <c r="EC516" s="169"/>
      <c r="ED516" s="169"/>
      <c r="EE516" s="169"/>
      <c r="EF516" s="169"/>
      <c r="EG516" s="169"/>
      <c r="EH516" s="169"/>
      <c r="EI516" s="169"/>
      <c r="EJ516" s="169"/>
      <c r="EK516" s="169"/>
      <c r="EL516" s="169"/>
      <c r="EM516" s="169"/>
      <c r="EN516" s="169"/>
      <c r="EO516" s="169"/>
      <c r="EP516" s="169"/>
      <c r="EQ516" s="169"/>
      <c r="ER516" s="169"/>
      <c r="ES516" s="169"/>
      <c r="ET516" s="169"/>
      <c r="EU516" s="169"/>
      <c r="EV516" s="169"/>
      <c r="EW516" s="169"/>
      <c r="EX516" s="169"/>
    </row>
    <row r="517" spans="1:154">
      <c r="A517" s="333">
        <f t="shared" si="15"/>
        <v>2013</v>
      </c>
      <c r="B517" s="333">
        <f t="shared" si="16"/>
        <v>2</v>
      </c>
      <c r="C517" s="1175">
        <v>41395</v>
      </c>
      <c r="D517" s="1158">
        <v>291.52997573543252</v>
      </c>
      <c r="E517" s="1159">
        <v>1437.27</v>
      </c>
      <c r="F517" s="1159">
        <v>1413.5</v>
      </c>
      <c r="G517" s="1160">
        <v>122.88</v>
      </c>
      <c r="H517" s="1161">
        <v>124.13375088392766</v>
      </c>
      <c r="I517" s="1160">
        <v>114.48</v>
      </c>
      <c r="J517" s="1160">
        <v>115.64804525709668</v>
      </c>
      <c r="K517" s="1677">
        <v>14950.95</v>
      </c>
      <c r="L517" s="1677">
        <v>15103.497727043135</v>
      </c>
      <c r="M517" s="1681">
        <v>108.46</v>
      </c>
      <c r="N517" s="1162">
        <v>7302.93</v>
      </c>
      <c r="O517" s="1162">
        <v>2048.980402060814</v>
      </c>
      <c r="P517" s="1162">
        <v>1847.6854227699766</v>
      </c>
      <c r="Q517" s="1163">
        <v>40</v>
      </c>
      <c r="R517" s="1164">
        <v>1565.5716066827363</v>
      </c>
      <c r="S517" s="1164">
        <v>1157.6930083702609</v>
      </c>
      <c r="T517" s="1164">
        <v>2650.2457921181003</v>
      </c>
      <c r="U517" s="1165">
        <v>28165</v>
      </c>
      <c r="V517" s="1166">
        <v>7139.9770921274703</v>
      </c>
      <c r="W517" s="1166"/>
      <c r="X517" s="635">
        <v>0.9899</v>
      </c>
      <c r="AI517" s="1878" t="s">
        <v>2</v>
      </c>
      <c r="AJ517" s="1826">
        <v>2009</v>
      </c>
      <c r="AK517" s="1781" t="s">
        <v>386</v>
      </c>
      <c r="AM517" s="1880">
        <v>28110920393.961464</v>
      </c>
      <c r="AP517" s="1887" t="s">
        <v>1</v>
      </c>
      <c r="AQ517" s="1887" t="s">
        <v>498</v>
      </c>
      <c r="AR517" s="1887" t="s">
        <v>370</v>
      </c>
      <c r="AS517" s="1887">
        <v>8</v>
      </c>
      <c r="AT517" s="1888">
        <v>80396000</v>
      </c>
      <c r="AU517" s="1867">
        <v>4.7719148629038997E-3</v>
      </c>
      <c r="AV517" s="1781">
        <v>2008</v>
      </c>
      <c r="EA517" s="169"/>
      <c r="EB517" s="169"/>
      <c r="EC517" s="169"/>
      <c r="ED517" s="169"/>
      <c r="EE517" s="169"/>
      <c r="EF517" s="169"/>
      <c r="EG517" s="169"/>
      <c r="EH517" s="169"/>
      <c r="EI517" s="169"/>
      <c r="EJ517" s="169"/>
      <c r="EK517" s="169"/>
      <c r="EL517" s="169"/>
      <c r="EM517" s="169"/>
      <c r="EN517" s="169"/>
      <c r="EO517" s="169"/>
      <c r="EP517" s="169"/>
      <c r="EQ517" s="169"/>
      <c r="ER517" s="169"/>
      <c r="ES517" s="169"/>
      <c r="ET517" s="169"/>
      <c r="EU517" s="169"/>
      <c r="EV517" s="169"/>
      <c r="EW517" s="169"/>
      <c r="EX517" s="169"/>
    </row>
    <row r="518" spans="1:154">
      <c r="A518" s="333">
        <f t="shared" si="15"/>
        <v>2013</v>
      </c>
      <c r="B518" s="333">
        <f t="shared" si="16"/>
        <v>2</v>
      </c>
      <c r="C518" s="1175">
        <v>41426</v>
      </c>
      <c r="D518" s="1167">
        <v>307.40479291173506</v>
      </c>
      <c r="E518" s="1168">
        <v>1433.1</v>
      </c>
      <c r="F518" s="1168">
        <v>1342.36</v>
      </c>
      <c r="G518" s="1168">
        <v>114.9</v>
      </c>
      <c r="H518" s="1167">
        <v>121.85809735921096</v>
      </c>
      <c r="I518" s="1168">
        <v>104.22499999999999</v>
      </c>
      <c r="J518" s="1168">
        <v>110.53664227383604</v>
      </c>
      <c r="K518" s="1678">
        <v>14270.5</v>
      </c>
      <c r="L518" s="1678">
        <v>15134.690847385726</v>
      </c>
      <c r="M518" s="1682">
        <v>109.77</v>
      </c>
      <c r="N518" s="1169">
        <v>7428.2</v>
      </c>
      <c r="O518" s="1169">
        <v>2231.2281259942729</v>
      </c>
      <c r="P518" s="1169">
        <v>1950.6045179764556</v>
      </c>
      <c r="Q518" s="1167">
        <v>39.65</v>
      </c>
      <c r="R518" s="1167">
        <v>1418.50491936302</v>
      </c>
      <c r="S518" s="1167">
        <v>1287.1705589166484</v>
      </c>
      <c r="T518" s="1167">
        <v>2818.875807768969</v>
      </c>
      <c r="U518" s="1167">
        <v>32379</v>
      </c>
      <c r="V518" s="1167">
        <v>7516.786580557854</v>
      </c>
      <c r="W518" s="1167"/>
      <c r="X518" s="1655">
        <v>0.94289999999999996</v>
      </c>
      <c r="AI518" s="1878" t="s">
        <v>2</v>
      </c>
      <c r="AJ518" s="1826">
        <v>2008</v>
      </c>
      <c r="AK518" s="1781" t="s">
        <v>18</v>
      </c>
      <c r="AL518" s="1781">
        <v>1</v>
      </c>
      <c r="AM518" s="1880">
        <v>19120970618.376392</v>
      </c>
      <c r="AN518" s="1831">
        <v>0.59469863864212491</v>
      </c>
      <c r="AP518" s="1887" t="s">
        <v>1</v>
      </c>
      <c r="AQ518" s="1887" t="s">
        <v>498</v>
      </c>
      <c r="AR518" s="1887" t="s">
        <v>529</v>
      </c>
      <c r="AS518" s="1887">
        <v>9</v>
      </c>
      <c r="AT518" s="1888">
        <v>31046000</v>
      </c>
      <c r="AU518" s="1867">
        <v>1.8427393008820646E-3</v>
      </c>
      <c r="AV518" s="1781">
        <v>2008</v>
      </c>
      <c r="EA518" s="169"/>
      <c r="EB518" s="169"/>
      <c r="EC518" s="169"/>
      <c r="ED518" s="169"/>
      <c r="EE518" s="169"/>
      <c r="EF518" s="169"/>
      <c r="EG518" s="169"/>
      <c r="EH518" s="169"/>
      <c r="EI518" s="169"/>
      <c r="EJ518" s="169"/>
      <c r="EK518" s="169"/>
      <c r="EL518" s="169"/>
      <c r="EM518" s="169"/>
      <c r="EN518" s="169"/>
      <c r="EO518" s="169"/>
      <c r="EP518" s="169"/>
      <c r="EQ518" s="169"/>
      <c r="ER518" s="169"/>
      <c r="ES518" s="169"/>
      <c r="ET518" s="169"/>
      <c r="EU518" s="169"/>
      <c r="EV518" s="169"/>
      <c r="EW518" s="169"/>
      <c r="EX518" s="169"/>
    </row>
    <row r="519" spans="1:154">
      <c r="A519" s="333">
        <f t="shared" si="15"/>
        <v>2013</v>
      </c>
      <c r="B519" s="333">
        <f t="shared" si="16"/>
        <v>3</v>
      </c>
      <c r="C519" s="1175">
        <v>41456</v>
      </c>
      <c r="D519" s="1158">
        <v>314.92377371839535</v>
      </c>
      <c r="E519" s="1159">
        <v>1410.13</v>
      </c>
      <c r="F519" s="1159">
        <v>1286.72</v>
      </c>
      <c r="G519" s="1160">
        <v>128.42500000000001</v>
      </c>
      <c r="H519" s="1161">
        <v>140.12547735951992</v>
      </c>
      <c r="I519" s="1160">
        <v>115.96086956521737</v>
      </c>
      <c r="J519" s="1160">
        <v>129.02345881069286</v>
      </c>
      <c r="K519" s="1677">
        <v>13705</v>
      </c>
      <c r="L519" s="1677">
        <v>14953.627932351337</v>
      </c>
      <c r="M519" s="1681">
        <v>113.19</v>
      </c>
      <c r="N519" s="1162">
        <v>7520.98</v>
      </c>
      <c r="O519" s="1162">
        <v>2234.8499727223129</v>
      </c>
      <c r="P519" s="1162">
        <v>2003.1533006001093</v>
      </c>
      <c r="Q519" s="1163">
        <v>35.75</v>
      </c>
      <c r="R519" s="1164">
        <v>1784.7097059492785</v>
      </c>
      <c r="S519" s="1164">
        <v>1352.9764748892612</v>
      </c>
      <c r="T519" s="1164">
        <v>2797.0527313157027</v>
      </c>
      <c r="U519" s="1165">
        <v>32051</v>
      </c>
      <c r="V519" s="1166">
        <v>7730.9908804443412</v>
      </c>
      <c r="W519" s="1166"/>
      <c r="X519" s="1794">
        <v>0.91649999999999998</v>
      </c>
      <c r="AI519" s="1878" t="s">
        <v>2</v>
      </c>
      <c r="AJ519" s="1826">
        <v>2008</v>
      </c>
      <c r="AK519" s="1781" t="s">
        <v>23</v>
      </c>
      <c r="AL519" s="1781">
        <v>2</v>
      </c>
      <c r="AM519" s="1880">
        <v>7615567318.5996027</v>
      </c>
      <c r="AN519" s="1831">
        <v>0.23685866200254674</v>
      </c>
      <c r="AP519" s="1887" t="s">
        <v>1</v>
      </c>
      <c r="AQ519" s="1887" t="s">
        <v>498</v>
      </c>
      <c r="AR519" s="1887" t="s">
        <v>528</v>
      </c>
      <c r="AS519" s="1887">
        <v>10</v>
      </c>
      <c r="AT519" s="1888">
        <v>23174000</v>
      </c>
      <c r="AU519" s="1867">
        <v>1.3754957340282473E-3</v>
      </c>
      <c r="AV519" s="1781">
        <v>2008</v>
      </c>
      <c r="EA519" s="169"/>
      <c r="EB519" s="169"/>
      <c r="EC519" s="169"/>
      <c r="ED519" s="169"/>
      <c r="EE519" s="169"/>
      <c r="EF519" s="169"/>
      <c r="EG519" s="169"/>
      <c r="EH519" s="169"/>
      <c r="EI519" s="169"/>
      <c r="EJ519" s="169"/>
      <c r="EK519" s="169"/>
      <c r="EL519" s="169"/>
      <c r="EM519" s="169"/>
      <c r="EN519" s="169"/>
      <c r="EO519" s="169"/>
      <c r="EP519" s="169"/>
      <c r="EQ519" s="169"/>
      <c r="ER519" s="169"/>
      <c r="ES519" s="169"/>
      <c r="ET519" s="169"/>
      <c r="EU519" s="169"/>
      <c r="EV519" s="169"/>
      <c r="EW519" s="169"/>
      <c r="EX519" s="169"/>
    </row>
    <row r="520" spans="1:154">
      <c r="A520" s="333">
        <f t="shared" si="15"/>
        <v>2013</v>
      </c>
      <c r="B520" s="333">
        <f t="shared" si="16"/>
        <v>3</v>
      </c>
      <c r="C520" s="1175">
        <v>41487</v>
      </c>
      <c r="D520" s="1167">
        <v>311.78597279458711</v>
      </c>
      <c r="E520" s="1168">
        <v>1507.65</v>
      </c>
      <c r="F520" s="1168">
        <v>1347.1</v>
      </c>
      <c r="G520" s="1168">
        <v>135.47999999999999</v>
      </c>
      <c r="H520" s="1167">
        <v>149.96679211866282</v>
      </c>
      <c r="I520" s="1168">
        <v>125.435</v>
      </c>
      <c r="J520" s="1168">
        <v>139.69448749169803</v>
      </c>
      <c r="K520" s="1678">
        <v>14282.14</v>
      </c>
      <c r="L520" s="1678">
        <v>15809.323555457164</v>
      </c>
      <c r="M520" s="1682">
        <v>116.61</v>
      </c>
      <c r="N520" s="1169">
        <v>7950.26</v>
      </c>
      <c r="O520" s="1169">
        <v>2405.8583130396282</v>
      </c>
      <c r="P520" s="1169">
        <v>2097.2094310382995</v>
      </c>
      <c r="Q520" s="1167">
        <v>35</v>
      </c>
      <c r="R520" s="1167">
        <v>1553.7751697543802</v>
      </c>
      <c r="S520" s="1167">
        <v>1361.9977880999779</v>
      </c>
      <c r="T520" s="1167">
        <v>2839.7468266352967</v>
      </c>
      <c r="U520" s="1167">
        <v>30022</v>
      </c>
      <c r="V520" s="1167">
        <v>7858.2132307019992</v>
      </c>
      <c r="W520" s="1167"/>
      <c r="X520" s="1655">
        <v>0.90339999999999998</v>
      </c>
      <c r="AI520" s="1878" t="s">
        <v>2</v>
      </c>
      <c r="AJ520" s="1826">
        <v>2008</v>
      </c>
      <c r="AK520" s="1781" t="s">
        <v>24</v>
      </c>
      <c r="AL520" s="1781">
        <v>3</v>
      </c>
      <c r="AM520" s="1880">
        <v>3789500406.7640591</v>
      </c>
      <c r="AN520" s="1831">
        <v>0.11786068699203534</v>
      </c>
      <c r="AP520" s="1887" t="s">
        <v>1</v>
      </c>
      <c r="AQ520" s="1887" t="s">
        <v>498</v>
      </c>
      <c r="AR520" s="1887" t="s">
        <v>39</v>
      </c>
      <c r="AS520" s="1887"/>
      <c r="AT520" s="1888">
        <v>42294000</v>
      </c>
      <c r="AU520" s="1867">
        <v>2.510365779537011E-3</v>
      </c>
      <c r="AV520" s="1781">
        <v>2008</v>
      </c>
      <c r="EA520" s="169"/>
      <c r="EB520" s="169"/>
      <c r="EC520" s="169"/>
      <c r="ED520" s="169"/>
      <c r="EE520" s="169"/>
      <c r="EF520" s="169"/>
      <c r="EG520" s="169"/>
      <c r="EH520" s="169"/>
      <c r="EI520" s="169"/>
      <c r="EJ520" s="169"/>
      <c r="EK520" s="169"/>
      <c r="EL520" s="169"/>
      <c r="EM520" s="169"/>
      <c r="EN520" s="169"/>
      <c r="EO520" s="169"/>
      <c r="EP520" s="169"/>
      <c r="EQ520" s="169"/>
      <c r="ER520" s="169"/>
      <c r="ES520" s="169"/>
      <c r="ET520" s="169"/>
      <c r="EU520" s="169"/>
      <c r="EV520" s="169"/>
      <c r="EW520" s="169"/>
      <c r="EX520" s="169"/>
    </row>
    <row r="521" spans="1:154">
      <c r="A521" s="333">
        <f t="shared" si="15"/>
        <v>2013</v>
      </c>
      <c r="B521" s="333">
        <f t="shared" si="16"/>
        <v>3</v>
      </c>
      <c r="C521" s="1175">
        <v>41518</v>
      </c>
      <c r="D521" s="1158">
        <v>305.89370037264365</v>
      </c>
      <c r="E521" s="1159">
        <v>1469.65</v>
      </c>
      <c r="F521" s="1159">
        <v>1348.8</v>
      </c>
      <c r="G521" s="1160">
        <v>133.07499999999999</v>
      </c>
      <c r="H521" s="1161">
        <v>144.34862783382144</v>
      </c>
      <c r="I521" s="1160">
        <v>122.81904761904765</v>
      </c>
      <c r="J521" s="1160">
        <v>134.15229417507319</v>
      </c>
      <c r="K521" s="1677">
        <v>13779.52</v>
      </c>
      <c r="L521" s="1677">
        <v>14946.87471526196</v>
      </c>
      <c r="M521" s="1681">
        <v>118.25</v>
      </c>
      <c r="N521" s="1162">
        <v>7768.12</v>
      </c>
      <c r="O521" s="1162">
        <v>2265.326825035253</v>
      </c>
      <c r="P521" s="1162">
        <v>2005.0207180822213</v>
      </c>
      <c r="Q521" s="1163">
        <v>35</v>
      </c>
      <c r="R521" s="1164">
        <v>1589.1376797321252</v>
      </c>
      <c r="S521" s="1164">
        <v>1357.4013927576602</v>
      </c>
      <c r="T521" s="1164">
        <v>2680.874366154203</v>
      </c>
      <c r="U521" s="1165">
        <v>31031</v>
      </c>
      <c r="V521" s="1166">
        <v>7582.8415404125089</v>
      </c>
      <c r="W521" s="1166"/>
      <c r="X521" s="1794">
        <v>0.92190000000000005</v>
      </c>
      <c r="AI521" s="1878" t="s">
        <v>2</v>
      </c>
      <c r="AJ521" s="1826">
        <v>2008</v>
      </c>
      <c r="AK521" s="1781" t="s">
        <v>537</v>
      </c>
      <c r="AL521" s="1781">
        <v>4</v>
      </c>
      <c r="AM521" s="1880">
        <v>1112538865.7145638</v>
      </c>
      <c r="AN521" s="1831">
        <v>3.4602079679001412E-2</v>
      </c>
      <c r="AP521" s="1887" t="s">
        <v>1</v>
      </c>
      <c r="AQ521" s="1887" t="s">
        <v>498</v>
      </c>
      <c r="AR521" s="1887" t="s">
        <v>386</v>
      </c>
      <c r="AS521" s="1887"/>
      <c r="AT521" s="1888">
        <v>16847744000</v>
      </c>
      <c r="AU521" s="1867">
        <v>1</v>
      </c>
      <c r="AV521" s="1781">
        <v>2008</v>
      </c>
      <c r="EA521" s="169"/>
      <c r="EB521" s="169"/>
      <c r="EC521" s="169"/>
      <c r="ED521" s="169"/>
      <c r="EE521" s="169"/>
      <c r="EF521" s="169"/>
      <c r="EG521" s="169"/>
      <c r="EH521" s="169"/>
      <c r="EI521" s="169"/>
      <c r="EJ521" s="169"/>
      <c r="EK521" s="169"/>
      <c r="EL521" s="169"/>
      <c r="EM521" s="169"/>
      <c r="EN521" s="169"/>
      <c r="EO521" s="169"/>
      <c r="EP521" s="169"/>
      <c r="EQ521" s="169"/>
      <c r="ER521" s="169"/>
      <c r="ES521" s="169"/>
      <c r="ET521" s="169"/>
      <c r="EU521" s="169"/>
      <c r="EV521" s="169"/>
      <c r="EW521" s="169"/>
      <c r="EX521" s="169"/>
    </row>
    <row r="522" spans="1:154">
      <c r="A522" s="333">
        <f t="shared" ref="A522:A585" si="17">YEAR(C522)</f>
        <v>2013</v>
      </c>
      <c r="B522" s="333">
        <f t="shared" ref="B522:B585" si="18">IF(OR(MONTH(C522)=1,MONTH(C522)=2,MONTH(C522)=3),1,IF(OR(MONTH(C522)=4,MONTH(C522)=5,MONTH(C522)=6),2,IF(OR(MONTH(C522)=7,MONTH(C522)=8,MONTH(C522)=9),3,4)))</f>
        <v>4</v>
      </c>
      <c r="C522" s="1175">
        <v>41548</v>
      </c>
      <c r="D522" s="1167">
        <v>296.54695514803677</v>
      </c>
      <c r="E522" s="1168">
        <v>1392.46</v>
      </c>
      <c r="F522" s="1168">
        <v>1316.18</v>
      </c>
      <c r="G522" s="1168">
        <v>133.05000000000001</v>
      </c>
      <c r="H522" s="1167">
        <v>139.80245875801199</v>
      </c>
      <c r="I522" s="1168">
        <v>120.65681818181817</v>
      </c>
      <c r="J522" s="1168">
        <v>129.3737522328465</v>
      </c>
      <c r="K522" s="1678">
        <v>14069.78</v>
      </c>
      <c r="L522" s="1678">
        <v>14783.842177156668</v>
      </c>
      <c r="M522" s="1682">
        <v>116.47</v>
      </c>
      <c r="N522" s="1169">
        <v>7553.58</v>
      </c>
      <c r="O522" s="1169">
        <v>2218.6156351791528</v>
      </c>
      <c r="P522" s="1169">
        <v>1978.3819480928864</v>
      </c>
      <c r="Q522" s="1167">
        <v>34.75</v>
      </c>
      <c r="R522" s="1167">
        <v>1416.7382163445236</v>
      </c>
      <c r="S522" s="1167">
        <v>1229.887467195339</v>
      </c>
      <c r="T522" s="1167">
        <v>2573.0533520700087</v>
      </c>
      <c r="U522" s="1167">
        <v>28553</v>
      </c>
      <c r="V522" s="1167">
        <v>7403.8478094471848</v>
      </c>
      <c r="W522" s="1167"/>
      <c r="X522" s="1655">
        <v>0.95169999999999999</v>
      </c>
      <c r="AI522" s="1878" t="s">
        <v>2</v>
      </c>
      <c r="AJ522" s="1826">
        <v>2008</v>
      </c>
      <c r="AK522" s="1781" t="s">
        <v>20</v>
      </c>
      <c r="AL522" s="1781">
        <v>5</v>
      </c>
      <c r="AM522" s="1880">
        <v>206376220.06046522</v>
      </c>
      <c r="AN522" s="1831">
        <v>6.4186938815811896E-3</v>
      </c>
      <c r="AP522" s="1889" t="s">
        <v>1</v>
      </c>
      <c r="AQ522" s="1889" t="s">
        <v>499</v>
      </c>
      <c r="AR522" s="1889" t="s">
        <v>21</v>
      </c>
      <c r="AS522" s="1889">
        <v>1</v>
      </c>
      <c r="AT522" s="1890">
        <v>7125640000</v>
      </c>
      <c r="AU522" s="1867">
        <v>0.52169148450470193</v>
      </c>
      <c r="AV522" s="1781">
        <v>2009</v>
      </c>
      <c r="EA522" s="169"/>
      <c r="EB522" s="169"/>
      <c r="EC522" s="169"/>
      <c r="ED522" s="169"/>
      <c r="EE522" s="169"/>
      <c r="EF522" s="169"/>
      <c r="EG522" s="169"/>
      <c r="EH522" s="169"/>
      <c r="EI522" s="169"/>
      <c r="EJ522" s="169"/>
      <c r="EK522" s="169"/>
      <c r="EL522" s="169"/>
      <c r="EM522" s="169"/>
      <c r="EN522" s="169"/>
      <c r="EO522" s="169"/>
      <c r="EP522" s="169"/>
      <c r="EQ522" s="169"/>
      <c r="ER522" s="169"/>
      <c r="ES522" s="169"/>
      <c r="ET522" s="169"/>
      <c r="EU522" s="169"/>
      <c r="EV522" s="169"/>
      <c r="EW522" s="169"/>
      <c r="EX522" s="169"/>
    </row>
    <row r="523" spans="1:154">
      <c r="A523" s="333">
        <f t="shared" si="17"/>
        <v>2013</v>
      </c>
      <c r="B523" s="333">
        <f t="shared" si="18"/>
        <v>4</v>
      </c>
      <c r="C523" s="1175">
        <v>41579</v>
      </c>
      <c r="D523" s="1158">
        <v>302.61744066470931</v>
      </c>
      <c r="E523" s="1159">
        <v>1378.73</v>
      </c>
      <c r="F523" s="1159">
        <v>1275.82</v>
      </c>
      <c r="G523" s="1160">
        <v>136.18</v>
      </c>
      <c r="H523" s="1161">
        <v>146.16292798110982</v>
      </c>
      <c r="I523" s="1160">
        <v>121.58571428571427</v>
      </c>
      <c r="J523" s="1160">
        <v>132.16700654717184</v>
      </c>
      <c r="K523" s="1677">
        <v>13729.05</v>
      </c>
      <c r="L523" s="1677">
        <v>14735.480948803262</v>
      </c>
      <c r="M523" s="1681">
        <v>115.35</v>
      </c>
      <c r="N523" s="1162">
        <v>7584.42</v>
      </c>
      <c r="O523" s="1162">
        <v>2243.4157990769563</v>
      </c>
      <c r="P523" s="1162">
        <v>2005.6527852312977</v>
      </c>
      <c r="Q523" s="1163">
        <v>36.25</v>
      </c>
      <c r="R523" s="1164">
        <v>1301.7395529640428</v>
      </c>
      <c r="S523" s="1164">
        <v>1132.1673421141506</v>
      </c>
      <c r="T523" s="1164">
        <v>2780.5078575394155</v>
      </c>
      <c r="U523" s="1165">
        <v>28742</v>
      </c>
      <c r="V523" s="1166">
        <v>7395.879917045535</v>
      </c>
      <c r="W523" s="1166"/>
      <c r="X523" s="1794">
        <v>0.93169999999999997</v>
      </c>
      <c r="AI523" s="1878" t="s">
        <v>2</v>
      </c>
      <c r="AJ523" s="1826">
        <v>2008</v>
      </c>
      <c r="AK523" s="1781" t="s">
        <v>39</v>
      </c>
      <c r="AM523" s="1880">
        <v>307416486.84338468</v>
      </c>
      <c r="AN523" s="1831">
        <v>9.5612388027103857E-3</v>
      </c>
      <c r="AP523" s="1889" t="s">
        <v>1</v>
      </c>
      <c r="AQ523" s="1889" t="s">
        <v>499</v>
      </c>
      <c r="AR523" s="1889" t="s">
        <v>63</v>
      </c>
      <c r="AS523" s="1889">
        <v>2</v>
      </c>
      <c r="AT523" s="1890">
        <v>4162595000</v>
      </c>
      <c r="AU523" s="1867">
        <v>0.30475723793818515</v>
      </c>
      <c r="AV523" s="1781">
        <v>2009</v>
      </c>
      <c r="EA523" s="169"/>
      <c r="EB523" s="169"/>
      <c r="EC523" s="169"/>
      <c r="ED523" s="169"/>
      <c r="EE523" s="169"/>
      <c r="EF523" s="169"/>
      <c r="EG523" s="169"/>
      <c r="EH523" s="169"/>
      <c r="EI523" s="169"/>
      <c r="EJ523" s="169"/>
      <c r="EK523" s="169"/>
      <c r="EL523" s="169"/>
      <c r="EM523" s="169"/>
      <c r="EN523" s="169"/>
      <c r="EO523" s="169"/>
      <c r="EP523" s="169"/>
      <c r="EQ523" s="169"/>
      <c r="ER523" s="169"/>
      <c r="ES523" s="169"/>
      <c r="ET523" s="169"/>
      <c r="EU523" s="169"/>
      <c r="EV523" s="169"/>
      <c r="EW523" s="169"/>
      <c r="EX523" s="169"/>
    </row>
    <row r="524" spans="1:154">
      <c r="A524" s="333">
        <f t="shared" si="17"/>
        <v>2013</v>
      </c>
      <c r="B524" s="333">
        <f t="shared" si="18"/>
        <v>4</v>
      </c>
      <c r="C524" s="1175">
        <v>41609</v>
      </c>
      <c r="D524" s="1167">
        <v>307.60200088522311</v>
      </c>
      <c r="E524" s="1168">
        <v>1373.28</v>
      </c>
      <c r="F524" s="1168">
        <v>1225.4000000000001</v>
      </c>
      <c r="G524" s="1168">
        <v>135.47499999999999</v>
      </c>
      <c r="H524" s="1167">
        <v>150.8966362218757</v>
      </c>
      <c r="I524" s="1168">
        <v>120.80714285714285</v>
      </c>
      <c r="J524" s="1168">
        <v>136.89017598574293</v>
      </c>
      <c r="K524" s="1678">
        <v>13914.5</v>
      </c>
      <c r="L524" s="1678">
        <v>15498.440632657606</v>
      </c>
      <c r="M524" s="1682">
        <v>119.81</v>
      </c>
      <c r="N524" s="1169">
        <v>8022.89</v>
      </c>
      <c r="O524" s="1169">
        <v>2375.8075295165959</v>
      </c>
      <c r="P524" s="1169">
        <v>2198.930719536645</v>
      </c>
      <c r="Q524" s="1167">
        <v>34.5</v>
      </c>
      <c r="R524" s="1167">
        <v>1400.6941045606229</v>
      </c>
      <c r="S524" s="1167">
        <v>1222.7106629096841</v>
      </c>
      <c r="T524" s="1167">
        <v>2884.6660809770055</v>
      </c>
      <c r="U524" s="1167">
        <v>29998</v>
      </c>
      <c r="V524" s="1167">
        <v>7507.9680600051452</v>
      </c>
      <c r="W524" s="1167"/>
      <c r="X524" s="1655">
        <v>0.89780000000000004</v>
      </c>
      <c r="AI524" s="1878" t="s">
        <v>2</v>
      </c>
      <c r="AJ524" s="1826">
        <v>2008</v>
      </c>
      <c r="AK524" s="1781" t="s">
        <v>386</v>
      </c>
      <c r="AM524" s="1880">
        <v>32152369916.358471</v>
      </c>
      <c r="AP524" s="1889" t="s">
        <v>1</v>
      </c>
      <c r="AQ524" s="1889" t="s">
        <v>499</v>
      </c>
      <c r="AR524" s="1889" t="s">
        <v>33</v>
      </c>
      <c r="AS524" s="1889">
        <v>3</v>
      </c>
      <c r="AT524" s="1890">
        <v>1314187000</v>
      </c>
      <c r="AU524" s="1867">
        <v>9.6215942279820568E-2</v>
      </c>
      <c r="AV524" s="1781">
        <v>2009</v>
      </c>
      <c r="EA524" s="169"/>
      <c r="EB524" s="169"/>
      <c r="EC524" s="169"/>
      <c r="ED524" s="169"/>
      <c r="EE524" s="169"/>
      <c r="EF524" s="169"/>
      <c r="EG524" s="169"/>
      <c r="EH524" s="169"/>
      <c r="EI524" s="169"/>
      <c r="EJ524" s="169"/>
      <c r="EK524" s="169"/>
      <c r="EL524" s="169"/>
      <c r="EM524" s="169"/>
      <c r="EN524" s="169"/>
      <c r="EO524" s="169"/>
      <c r="EP524" s="169"/>
      <c r="EQ524" s="169"/>
      <c r="ER524" s="169"/>
      <c r="ES524" s="169"/>
      <c r="ET524" s="169"/>
      <c r="EU524" s="169"/>
      <c r="EV524" s="169"/>
      <c r="EW524" s="169"/>
      <c r="EX524" s="169"/>
    </row>
    <row r="525" spans="1:154">
      <c r="A525" s="333">
        <f t="shared" si="17"/>
        <v>2014</v>
      </c>
      <c r="B525" s="333">
        <f t="shared" si="18"/>
        <v>1</v>
      </c>
      <c r="C525" s="1175">
        <v>41640</v>
      </c>
      <c r="D525" s="1158">
        <v>322.78993273300932</v>
      </c>
      <c r="E525" s="1159">
        <v>1411.08</v>
      </c>
      <c r="F525" s="1159">
        <v>1244.8</v>
      </c>
      <c r="G525" s="1160">
        <v>127.98</v>
      </c>
      <c r="H525" s="1161">
        <v>144.51219512195121</v>
      </c>
      <c r="I525" s="1160">
        <v>115.38809523809525</v>
      </c>
      <c r="J525" s="1160">
        <v>132.88166214995482</v>
      </c>
      <c r="K525" s="1677">
        <v>14079.32</v>
      </c>
      <c r="L525" s="1677">
        <v>15898.055781391146</v>
      </c>
      <c r="M525" s="1681">
        <v>114.98</v>
      </c>
      <c r="N525" s="1162">
        <v>8237.2199999999993</v>
      </c>
      <c r="O525" s="1162">
        <v>2426.4751580849138</v>
      </c>
      <c r="P525" s="1162">
        <v>2301.7266260162601</v>
      </c>
      <c r="Q525" s="1163">
        <v>35.5</v>
      </c>
      <c r="R525" s="1164">
        <v>1297.651111111111</v>
      </c>
      <c r="S525" s="1164">
        <v>1233.3457711442786</v>
      </c>
      <c r="T525" s="1164">
        <v>2919.8920074573562</v>
      </c>
      <c r="U525" s="1165">
        <v>32541</v>
      </c>
      <c r="V525" s="1166">
        <v>7473.8618116746693</v>
      </c>
      <c r="W525" s="1166"/>
      <c r="X525" s="1794">
        <v>0.88560000000000005</v>
      </c>
      <c r="AI525" s="1878" t="s">
        <v>2</v>
      </c>
      <c r="AJ525" s="1826">
        <v>2007</v>
      </c>
      <c r="AK525" s="1781" t="s">
        <v>18</v>
      </c>
      <c r="AL525" s="1781">
        <v>1</v>
      </c>
      <c r="AM525" s="1880">
        <v>8692795558.0471916</v>
      </c>
      <c r="AN525" s="1831">
        <v>0.53354838462399057</v>
      </c>
      <c r="AP525" s="1889" t="s">
        <v>1</v>
      </c>
      <c r="AQ525" s="1889" t="s">
        <v>499</v>
      </c>
      <c r="AR525" s="1889" t="s">
        <v>61</v>
      </c>
      <c r="AS525" s="1889">
        <v>4</v>
      </c>
      <c r="AT525" s="1890">
        <v>441682000</v>
      </c>
      <c r="AU525" s="1867">
        <v>3.2336988433180142E-2</v>
      </c>
      <c r="AV525" s="1781">
        <v>2009</v>
      </c>
      <c r="EA525" s="169"/>
      <c r="EB525" s="169"/>
      <c r="EC525" s="169"/>
      <c r="ED525" s="169"/>
      <c r="EE525" s="169"/>
      <c r="EF525" s="169"/>
      <c r="EG525" s="169"/>
      <c r="EH525" s="169"/>
      <c r="EI525" s="169"/>
      <c r="EJ525" s="169"/>
      <c r="EK525" s="169"/>
      <c r="EL525" s="169"/>
      <c r="EM525" s="169"/>
      <c r="EN525" s="169"/>
      <c r="EO525" s="169"/>
      <c r="EP525" s="169"/>
      <c r="EQ525" s="169"/>
      <c r="ER525" s="169"/>
      <c r="ES525" s="169"/>
      <c r="ET525" s="169"/>
      <c r="EU525" s="169"/>
      <c r="EV525" s="169"/>
      <c r="EW525" s="169"/>
      <c r="EX525" s="169"/>
    </row>
    <row r="526" spans="1:154">
      <c r="A526" s="333">
        <f t="shared" si="17"/>
        <v>2014</v>
      </c>
      <c r="B526" s="333">
        <f t="shared" si="18"/>
        <v>1</v>
      </c>
      <c r="C526" s="1175">
        <v>41671</v>
      </c>
      <c r="D526" s="1167">
        <v>322.47456542619142</v>
      </c>
      <c r="E526" s="1168">
        <v>1458.63</v>
      </c>
      <c r="F526" s="1168">
        <v>1300.98</v>
      </c>
      <c r="G526" s="1168">
        <v>121.15</v>
      </c>
      <c r="H526" s="1167">
        <v>135.00111433028752</v>
      </c>
      <c r="I526" s="1168">
        <v>109.37249999999999</v>
      </c>
      <c r="J526" s="1168">
        <v>122.88277245375531</v>
      </c>
      <c r="K526" s="1678">
        <v>14194.5</v>
      </c>
      <c r="L526" s="1678">
        <v>15817.361265879206</v>
      </c>
      <c r="M526" s="1682">
        <v>114.41</v>
      </c>
      <c r="N526" s="1169">
        <v>7969.86</v>
      </c>
      <c r="O526" s="1169">
        <v>2351.766213505683</v>
      </c>
      <c r="P526" s="1169">
        <v>2268.1078671718301</v>
      </c>
      <c r="Q526" s="1167">
        <v>35.5</v>
      </c>
      <c r="R526" s="1167">
        <v>1154.6897598675132</v>
      </c>
      <c r="S526" s="1167">
        <v>1165.6497441146366</v>
      </c>
      <c r="T526" s="1167">
        <v>2863.860023253073</v>
      </c>
      <c r="U526" s="1167">
        <v>35119</v>
      </c>
      <c r="V526" s="1167">
        <v>7336.8177103442713</v>
      </c>
      <c r="W526" s="1167"/>
      <c r="X526" s="1655">
        <v>0.89739999999999998</v>
      </c>
      <c r="AI526" s="1878" t="s">
        <v>2</v>
      </c>
      <c r="AJ526" s="1826">
        <v>2007</v>
      </c>
      <c r="AK526" s="1781" t="s">
        <v>23</v>
      </c>
      <c r="AL526" s="1781">
        <v>2</v>
      </c>
      <c r="AM526" s="1880">
        <v>4869773185.7839947</v>
      </c>
      <c r="AN526" s="1831">
        <v>0.29889804717137114</v>
      </c>
      <c r="AP526" s="1889" t="s">
        <v>1</v>
      </c>
      <c r="AQ526" s="1889" t="s">
        <v>499</v>
      </c>
      <c r="AR526" s="1889" t="s">
        <v>371</v>
      </c>
      <c r="AS526" s="1889">
        <v>5</v>
      </c>
      <c r="AT526" s="1890">
        <v>381255000</v>
      </c>
      <c r="AU526" s="1867">
        <v>2.791292949473172E-2</v>
      </c>
      <c r="AV526" s="1781">
        <v>2009</v>
      </c>
      <c r="EA526" s="169"/>
      <c r="EB526" s="169"/>
      <c r="EC526" s="169"/>
      <c r="ED526" s="169"/>
      <c r="EE526" s="169"/>
      <c r="EF526" s="169"/>
      <c r="EG526" s="169"/>
      <c r="EH526" s="169"/>
      <c r="EI526" s="169"/>
      <c r="EJ526" s="169"/>
      <c r="EK526" s="169"/>
      <c r="EL526" s="169"/>
      <c r="EM526" s="169"/>
      <c r="EN526" s="169"/>
      <c r="EO526" s="169"/>
      <c r="EP526" s="169"/>
      <c r="EQ526" s="169"/>
      <c r="ER526" s="169"/>
      <c r="ES526" s="169"/>
      <c r="ET526" s="169"/>
      <c r="EU526" s="169"/>
      <c r="EV526" s="169"/>
      <c r="EW526" s="169"/>
      <c r="EX526" s="169"/>
    </row>
    <row r="527" spans="1:154">
      <c r="A527" s="333">
        <f t="shared" si="17"/>
        <v>2014</v>
      </c>
      <c r="B527" s="333">
        <f t="shared" si="18"/>
        <v>1</v>
      </c>
      <c r="C527" s="1175">
        <v>41699</v>
      </c>
      <c r="D527" s="1158">
        <v>313.09230354147041</v>
      </c>
      <c r="E527" s="1159">
        <v>1485.19</v>
      </c>
      <c r="F527" s="1159">
        <v>1336.08</v>
      </c>
      <c r="G527" s="1160">
        <v>111.825</v>
      </c>
      <c r="H527" s="1161">
        <v>123.11460971044809</v>
      </c>
      <c r="I527" s="1160">
        <v>99.619047619047635</v>
      </c>
      <c r="J527" s="1160">
        <v>111.49950456897501</v>
      </c>
      <c r="K527" s="1677">
        <v>15659.76</v>
      </c>
      <c r="L527" s="1677">
        <v>17240.737531652536</v>
      </c>
      <c r="M527" s="1681">
        <v>113.4</v>
      </c>
      <c r="N527" s="1162">
        <v>7341</v>
      </c>
      <c r="O527" s="1162">
        <v>2263.9624573378842</v>
      </c>
      <c r="P527" s="1162">
        <v>2217.7747440273038</v>
      </c>
      <c r="Q527" s="1163">
        <v>33.75</v>
      </c>
      <c r="R527" s="1164">
        <v>1155.9962995594713</v>
      </c>
      <c r="S527" s="1164">
        <v>1132.4525269036917</v>
      </c>
      <c r="T527" s="1164">
        <v>2798.4769673094265</v>
      </c>
      <c r="U527" s="1165">
        <v>34004</v>
      </c>
      <c r="V527" s="1166">
        <v>7143.3613086637915</v>
      </c>
      <c r="W527" s="1166"/>
      <c r="X527" s="1794">
        <v>0.9083</v>
      </c>
      <c r="AI527" s="1878" t="s">
        <v>2</v>
      </c>
      <c r="AJ527" s="1826">
        <v>2007</v>
      </c>
      <c r="AK527" s="1781" t="s">
        <v>24</v>
      </c>
      <c r="AL527" s="1781">
        <v>3</v>
      </c>
      <c r="AM527" s="1880">
        <v>1796894750.4024489</v>
      </c>
      <c r="AN527" s="1831">
        <v>0.11029021504238977</v>
      </c>
      <c r="AP527" s="1889" t="s">
        <v>1</v>
      </c>
      <c r="AQ527" s="1889" t="s">
        <v>499</v>
      </c>
      <c r="AR527" s="1889" t="s">
        <v>758</v>
      </c>
      <c r="AS527" s="1889">
        <v>6</v>
      </c>
      <c r="AT527" s="1890">
        <v>84105000</v>
      </c>
      <c r="AU527" s="1867">
        <v>6.1576030088901423E-3</v>
      </c>
      <c r="AV527" s="1781">
        <v>2009</v>
      </c>
      <c r="EA527" s="169"/>
      <c r="EB527" s="169"/>
      <c r="EC527" s="169"/>
      <c r="ED527" s="169"/>
      <c r="EE527" s="169"/>
      <c r="EF527" s="169"/>
      <c r="EG527" s="169"/>
      <c r="EH527" s="169"/>
      <c r="EI527" s="169"/>
      <c r="EJ527" s="169"/>
      <c r="EK527" s="169"/>
      <c r="EL527" s="169"/>
      <c r="EM527" s="169"/>
      <c r="EN527" s="169"/>
      <c r="EO527" s="169"/>
      <c r="EP527" s="169"/>
      <c r="EQ527" s="169"/>
      <c r="ER527" s="169"/>
      <c r="ES527" s="169"/>
      <c r="ET527" s="169"/>
      <c r="EU527" s="169"/>
      <c r="EV527" s="169"/>
      <c r="EW527" s="169"/>
      <c r="EX527" s="169"/>
    </row>
    <row r="528" spans="1:154">
      <c r="A528" s="333">
        <f t="shared" si="17"/>
        <v>2014</v>
      </c>
      <c r="B528" s="333">
        <f t="shared" si="18"/>
        <v>2</v>
      </c>
      <c r="C528" s="1175">
        <v>41730</v>
      </c>
      <c r="D528" s="1167">
        <v>306.34307106707661</v>
      </c>
      <c r="E528" s="1168">
        <v>1405.39</v>
      </c>
      <c r="F528" s="1168">
        <v>1299</v>
      </c>
      <c r="G528" s="1168">
        <v>115.03</v>
      </c>
      <c r="H528" s="1167">
        <v>123.43599098615732</v>
      </c>
      <c r="I528" s="1168">
        <v>102.30238095238097</v>
      </c>
      <c r="J528" s="1168">
        <v>111.49264942590408</v>
      </c>
      <c r="K528" s="1678">
        <v>17375</v>
      </c>
      <c r="L528" s="1678">
        <v>18644.704367421396</v>
      </c>
      <c r="M528" s="1682">
        <v>114.13</v>
      </c>
      <c r="N528" s="1169">
        <v>7158.31</v>
      </c>
      <c r="O528" s="1169">
        <v>2238.3839467754051</v>
      </c>
      <c r="P528" s="1169">
        <v>2178.9891619272453</v>
      </c>
      <c r="Q528" s="1167">
        <v>30.75</v>
      </c>
      <c r="R528" s="1167">
        <v>971.04483886034564</v>
      </c>
      <c r="S528" s="1167">
        <v>1188.551920341394</v>
      </c>
      <c r="T528" s="1167">
        <v>2728.2547846966045</v>
      </c>
      <c r="U528" s="1167">
        <v>32444</v>
      </c>
      <c r="V528" s="1167">
        <v>6902.3391664153969</v>
      </c>
      <c r="W528" s="1167"/>
      <c r="X528" s="1655">
        <v>0.93189999999999995</v>
      </c>
      <c r="AI528" s="1878" t="s">
        <v>2</v>
      </c>
      <c r="AJ528" s="1826">
        <v>2007</v>
      </c>
      <c r="AK528" s="1781" t="s">
        <v>537</v>
      </c>
      <c r="AL528" s="1781">
        <v>4</v>
      </c>
      <c r="AM528" s="1880">
        <v>635743495.43354642</v>
      </c>
      <c r="AN528" s="1831">
        <v>3.9020808985869924E-2</v>
      </c>
      <c r="AP528" s="1889" t="s">
        <v>1</v>
      </c>
      <c r="AQ528" s="1889" t="s">
        <v>499</v>
      </c>
      <c r="AR528" s="1889" t="s">
        <v>529</v>
      </c>
      <c r="AS528" s="1889">
        <v>7</v>
      </c>
      <c r="AT528" s="1890">
        <v>51261000</v>
      </c>
      <c r="AU528" s="1867">
        <v>3.7529860036706209E-3</v>
      </c>
      <c r="AV528" s="1781">
        <v>2009</v>
      </c>
      <c r="EA528" s="169"/>
      <c r="EB528" s="169"/>
      <c r="EC528" s="169"/>
      <c r="ED528" s="169"/>
      <c r="EE528" s="169"/>
      <c r="EF528" s="169"/>
      <c r="EG528" s="169"/>
      <c r="EH528" s="169"/>
      <c r="EI528" s="169"/>
      <c r="EJ528" s="169"/>
      <c r="EK528" s="169"/>
      <c r="EL528" s="169"/>
      <c r="EM528" s="169"/>
      <c r="EN528" s="169"/>
      <c r="EO528" s="169"/>
      <c r="EP528" s="169"/>
      <c r="EQ528" s="169"/>
      <c r="ER528" s="169"/>
      <c r="ES528" s="169"/>
      <c r="ET528" s="169"/>
      <c r="EU528" s="169"/>
      <c r="EV528" s="169"/>
      <c r="EW528" s="169"/>
      <c r="EX528" s="169"/>
    </row>
    <row r="529" spans="1:154">
      <c r="A529" s="333">
        <f t="shared" si="17"/>
        <v>2014</v>
      </c>
      <c r="B529" s="333">
        <f t="shared" si="18"/>
        <v>2</v>
      </c>
      <c r="C529" s="1175">
        <v>41760</v>
      </c>
      <c r="D529" s="1158">
        <v>319.64</v>
      </c>
      <c r="E529" s="1159">
        <v>1396.41</v>
      </c>
      <c r="F529" s="1159">
        <v>1287.53</v>
      </c>
      <c r="G529" s="1160">
        <v>99.74</v>
      </c>
      <c r="H529" s="1161">
        <v>107.201203783319</v>
      </c>
      <c r="I529" s="1160">
        <v>86.57</v>
      </c>
      <c r="J529" s="1160">
        <v>95.249355116079116</v>
      </c>
      <c r="K529" s="1677">
        <v>19439.75</v>
      </c>
      <c r="L529" s="1677">
        <v>20893.97033533964</v>
      </c>
      <c r="M529" s="1681">
        <v>114.44</v>
      </c>
      <c r="N529" s="1162">
        <v>7398.83</v>
      </c>
      <c r="O529" s="1162">
        <v>2254.0036543422184</v>
      </c>
      <c r="P529" s="1162">
        <v>2214.4239036973345</v>
      </c>
      <c r="Q529" s="1163">
        <v>28.25</v>
      </c>
      <c r="R529" s="1164">
        <v>1012.17673220974</v>
      </c>
      <c r="S529" s="1164">
        <v>1079.9807692307693</v>
      </c>
      <c r="T529" s="1164">
        <v>2748.9054645562924</v>
      </c>
      <c r="U529" s="1165">
        <v>32663</v>
      </c>
      <c r="V529" s="1166">
        <v>6886.9499342218014</v>
      </c>
      <c r="W529" s="1166"/>
      <c r="X529" s="1794">
        <v>0.9304</v>
      </c>
      <c r="AI529" s="1878" t="s">
        <v>2</v>
      </c>
      <c r="AJ529" s="1826">
        <v>2007</v>
      </c>
      <c r="AK529" s="1781" t="s">
        <v>20</v>
      </c>
      <c r="AL529" s="1781">
        <v>5</v>
      </c>
      <c r="AM529" s="1880">
        <v>149090322.47448826</v>
      </c>
      <c r="AN529" s="1831">
        <v>9.1508997523465294E-3</v>
      </c>
      <c r="AP529" s="1889" t="s">
        <v>1</v>
      </c>
      <c r="AQ529" s="1889" t="s">
        <v>499</v>
      </c>
      <c r="AR529" s="1889" t="s">
        <v>370</v>
      </c>
      <c r="AS529" s="1889">
        <v>8</v>
      </c>
      <c r="AT529" s="1890">
        <v>40038000</v>
      </c>
      <c r="AU529" s="1867">
        <v>2.9313133496218242E-3</v>
      </c>
      <c r="AV529" s="1781">
        <v>2009</v>
      </c>
      <c r="EA529" s="169"/>
      <c r="EB529" s="169"/>
      <c r="EC529" s="169"/>
      <c r="ED529" s="169"/>
      <c r="EE529" s="169"/>
      <c r="EF529" s="169"/>
      <c r="EG529" s="169"/>
      <c r="EH529" s="169"/>
      <c r="EI529" s="169"/>
      <c r="EJ529" s="169"/>
      <c r="EK529" s="169"/>
      <c r="EL529" s="169"/>
      <c r="EM529" s="169"/>
      <c r="EN529" s="169"/>
      <c r="EO529" s="169"/>
      <c r="EP529" s="169"/>
      <c r="EQ529" s="169"/>
      <c r="ER529" s="169"/>
      <c r="ES529" s="169"/>
      <c r="ET529" s="169"/>
      <c r="EU529" s="169"/>
      <c r="EV529" s="169"/>
      <c r="EW529" s="169"/>
      <c r="EX529" s="169"/>
    </row>
    <row r="530" spans="1:154">
      <c r="A530" s="333">
        <f t="shared" si="17"/>
        <v>2014</v>
      </c>
      <c r="B530" s="333">
        <f t="shared" si="18"/>
        <v>2</v>
      </c>
      <c r="C530" s="1175">
        <v>41791</v>
      </c>
      <c r="D530" s="1167">
        <v>302.27807647182527</v>
      </c>
      <c r="E530" s="1168">
        <v>1375.63</v>
      </c>
      <c r="F530" s="1168">
        <v>1279.0999999999999</v>
      </c>
      <c r="G530" s="1168">
        <v>93</v>
      </c>
      <c r="H530" s="1167">
        <v>99.231754161331622</v>
      </c>
      <c r="I530" s="1168">
        <v>74.626190476190473</v>
      </c>
      <c r="J530" s="1168">
        <v>80.80452411438327</v>
      </c>
      <c r="K530" s="1678">
        <v>18573.57</v>
      </c>
      <c r="L530" s="1678">
        <v>19818.151301749895</v>
      </c>
      <c r="M530" s="1682">
        <v>116.42</v>
      </c>
      <c r="N530" s="1169">
        <v>7262.16</v>
      </c>
      <c r="O530" s="1169">
        <v>2244.2482927870251</v>
      </c>
      <c r="P530" s="1169">
        <v>2269.2975885616729</v>
      </c>
      <c r="Q530" s="1167">
        <v>28.25</v>
      </c>
      <c r="R530" s="1167">
        <v>1031.5004990019961</v>
      </c>
      <c r="S530" s="1167">
        <v>1120.1194675540764</v>
      </c>
      <c r="T530" s="1167">
        <v>2727.8155819599083</v>
      </c>
      <c r="U530" s="1167">
        <v>32593</v>
      </c>
      <c r="V530" s="1167">
        <v>6852.8236203124534</v>
      </c>
      <c r="W530" s="1167"/>
      <c r="X530" s="1655">
        <v>0.93720000000000003</v>
      </c>
      <c r="AI530" s="1878" t="s">
        <v>2</v>
      </c>
      <c r="AJ530" s="1826">
        <v>2007</v>
      </c>
      <c r="AK530" s="1781" t="s">
        <v>39</v>
      </c>
      <c r="AM530" s="1880">
        <v>148124909.64669728</v>
      </c>
      <c r="AN530" s="1831">
        <v>9.0916444240320016E-3</v>
      </c>
      <c r="AP530" s="1889" t="s">
        <v>1</v>
      </c>
      <c r="AQ530" s="1889" t="s">
        <v>499</v>
      </c>
      <c r="AR530" s="1889" t="s">
        <v>527</v>
      </c>
      <c r="AS530" s="1889">
        <v>9</v>
      </c>
      <c r="AT530" s="1890">
        <v>19093000</v>
      </c>
      <c r="AU530" s="1867">
        <v>1.3978611764905711E-3</v>
      </c>
      <c r="AV530" s="1781">
        <v>2009</v>
      </c>
      <c r="EA530" s="169"/>
      <c r="EB530" s="169"/>
      <c r="EC530" s="169"/>
      <c r="ED530" s="169"/>
      <c r="EE530" s="169"/>
      <c r="EF530" s="169"/>
      <c r="EG530" s="169"/>
      <c r="EH530" s="169"/>
      <c r="EI530" s="169"/>
      <c r="EJ530" s="169"/>
      <c r="EK530" s="169"/>
      <c r="EL530" s="169"/>
      <c r="EM530" s="169"/>
      <c r="EN530" s="169"/>
      <c r="EO530" s="169"/>
      <c r="EP530" s="169"/>
      <c r="EQ530" s="169"/>
      <c r="ER530" s="169"/>
      <c r="ES530" s="169"/>
      <c r="ET530" s="169"/>
      <c r="EU530" s="169"/>
      <c r="EV530" s="169"/>
      <c r="EW530" s="169"/>
      <c r="EX530" s="169"/>
    </row>
    <row r="531" spans="1:154">
      <c r="A531" s="333">
        <f t="shared" si="17"/>
        <v>2014</v>
      </c>
      <c r="B531" s="333">
        <f t="shared" si="18"/>
        <v>3</v>
      </c>
      <c r="C531" s="1175">
        <v>41821</v>
      </c>
      <c r="D531" s="1158">
        <v>309.71202756029743</v>
      </c>
      <c r="E531" s="1159">
        <v>1407.7</v>
      </c>
      <c r="F531" s="1159">
        <v>1310.97</v>
      </c>
      <c r="G531" s="1160">
        <v>96.08</v>
      </c>
      <c r="H531" s="1161">
        <v>102.33251677494941</v>
      </c>
      <c r="I531" s="1160">
        <v>79.09545454545453</v>
      </c>
      <c r="J531" s="1160">
        <v>85.578868889125573</v>
      </c>
      <c r="K531" s="1677">
        <v>19050.43</v>
      </c>
      <c r="L531" s="1677">
        <v>20290.163808712325</v>
      </c>
      <c r="M531" s="1681">
        <v>110.75</v>
      </c>
      <c r="N531" s="1162">
        <v>7566.83</v>
      </c>
      <c r="O531" s="1162">
        <v>2331.7295771647678</v>
      </c>
      <c r="P531" s="1162">
        <v>2461.4141016082649</v>
      </c>
      <c r="Q531" s="1163">
        <v>28.5</v>
      </c>
      <c r="R531" s="1164">
        <v>1012.0029027576197</v>
      </c>
      <c r="S531" s="1164">
        <v>1131.4202815282965</v>
      </c>
      <c r="T531" s="1164">
        <v>2711.6025113237833</v>
      </c>
      <c r="U531" s="1165">
        <v>34314</v>
      </c>
      <c r="V531" s="1166">
        <v>6869.5832029730354</v>
      </c>
      <c r="W531" s="1166"/>
      <c r="X531" s="1794">
        <v>0.93889999999999996</v>
      </c>
      <c r="AI531" s="1878" t="s">
        <v>2</v>
      </c>
      <c r="AJ531" s="1827">
        <v>2007</v>
      </c>
      <c r="AK531" s="1822" t="s">
        <v>386</v>
      </c>
      <c r="AL531" s="1822"/>
      <c r="AM531" s="1891">
        <v>16292422221.788368</v>
      </c>
      <c r="AN531" s="1824"/>
      <c r="AP531" s="1889" t="s">
        <v>1</v>
      </c>
      <c r="AQ531" s="1889" t="s">
        <v>499</v>
      </c>
      <c r="AR531" s="1889" t="s">
        <v>537</v>
      </c>
      <c r="AS531" s="1889">
        <v>10</v>
      </c>
      <c r="AT531" s="1890">
        <v>14166000</v>
      </c>
      <c r="AU531" s="1867">
        <v>1.0371393403951937E-3</v>
      </c>
      <c r="AV531" s="1781">
        <v>2009</v>
      </c>
      <c r="EA531" s="169"/>
      <c r="EB531" s="169"/>
      <c r="EC531" s="169"/>
      <c r="ED531" s="169"/>
      <c r="EE531" s="169"/>
      <c r="EF531" s="169"/>
      <c r="EG531" s="169"/>
      <c r="EH531" s="169"/>
      <c r="EI531" s="169"/>
      <c r="EJ531" s="169"/>
      <c r="EK531" s="169"/>
      <c r="EL531" s="169"/>
      <c r="EM531" s="169"/>
      <c r="EN531" s="169"/>
      <c r="EO531" s="169"/>
      <c r="EP531" s="169"/>
      <c r="EQ531" s="169"/>
      <c r="ER531" s="169"/>
      <c r="ES531" s="169"/>
      <c r="ET531" s="169"/>
      <c r="EU531" s="169"/>
      <c r="EV531" s="169"/>
      <c r="EW531" s="169"/>
      <c r="EX531" s="169"/>
    </row>
    <row r="532" spans="1:154">
      <c r="A532" s="333">
        <f t="shared" si="17"/>
        <v>2014</v>
      </c>
      <c r="B532" s="333">
        <f t="shared" si="18"/>
        <v>3</v>
      </c>
      <c r="C532" s="1175">
        <v>41852</v>
      </c>
      <c r="D532" s="1167">
        <v>311.37801870682131</v>
      </c>
      <c r="E532" s="1168">
        <v>1400.55</v>
      </c>
      <c r="F532" s="1168">
        <v>1295.99</v>
      </c>
      <c r="G532" s="1168">
        <v>92.46</v>
      </c>
      <c r="H532" s="1167">
        <v>99.323235578472449</v>
      </c>
      <c r="I532" s="1168">
        <v>78.604761904761901</v>
      </c>
      <c r="J532" s="1168">
        <v>85.63755505424858</v>
      </c>
      <c r="K532" s="1678">
        <v>18575.75</v>
      </c>
      <c r="L532" s="1678">
        <v>19954.613814588036</v>
      </c>
      <c r="M532" s="1682">
        <v>106.03</v>
      </c>
      <c r="N532" s="1169">
        <v>7520.2</v>
      </c>
      <c r="O532" s="1169">
        <v>2402.5942636158557</v>
      </c>
      <c r="P532" s="1169">
        <v>2502.1216027500268</v>
      </c>
      <c r="Q532" s="1167">
        <v>31</v>
      </c>
      <c r="R532" s="1167">
        <v>984.06924577373206</v>
      </c>
      <c r="S532" s="1167">
        <v>1133.8695235049568</v>
      </c>
      <c r="T532" s="1167">
        <v>2792.1013665598048</v>
      </c>
      <c r="U532" s="1167">
        <v>35211</v>
      </c>
      <c r="V532" s="1167">
        <v>6986.0575755935088</v>
      </c>
      <c r="W532" s="1167"/>
      <c r="X532" s="1655">
        <v>0.93089999999999995</v>
      </c>
      <c r="AI532" s="1878" t="s">
        <v>4</v>
      </c>
      <c r="AJ532" s="1827">
        <v>2015</v>
      </c>
      <c r="AK532" s="1822" t="s">
        <v>23</v>
      </c>
      <c r="AL532" s="1822">
        <v>1</v>
      </c>
      <c r="AM532" s="1823">
        <v>9930926886.8600082</v>
      </c>
      <c r="AN532" s="1824">
        <v>0.60402763945807469</v>
      </c>
      <c r="AP532" s="1889" t="s">
        <v>1</v>
      </c>
      <c r="AQ532" s="1889" t="s">
        <v>499</v>
      </c>
      <c r="AR532" s="1889" t="s">
        <v>39</v>
      </c>
      <c r="AS532" s="1889"/>
      <c r="AT532" s="1890">
        <v>24702000</v>
      </c>
      <c r="AU532" s="1867">
        <v>1.808514470312161E-3</v>
      </c>
      <c r="AV532" s="1781">
        <v>2009</v>
      </c>
      <c r="EA532" s="169"/>
      <c r="EB532" s="169"/>
      <c r="EC532" s="169"/>
      <c r="ED532" s="169"/>
      <c r="EE532" s="169"/>
      <c r="EF532" s="169"/>
      <c r="EG532" s="169"/>
      <c r="EH532" s="169"/>
      <c r="EI532" s="169"/>
      <c r="EJ532" s="169"/>
      <c r="EK532" s="169"/>
      <c r="EL532" s="169"/>
      <c r="EM532" s="169"/>
      <c r="EN532" s="169"/>
      <c r="EO532" s="169"/>
      <c r="EP532" s="169"/>
      <c r="EQ532" s="169"/>
      <c r="ER532" s="169"/>
      <c r="ES532" s="169"/>
      <c r="ET532" s="169"/>
      <c r="EU532" s="169"/>
      <c r="EV532" s="169"/>
      <c r="EW532" s="169"/>
      <c r="EX532" s="169"/>
    </row>
    <row r="533" spans="1:154">
      <c r="A533" s="333">
        <f t="shared" si="17"/>
        <v>2014</v>
      </c>
      <c r="B533" s="333">
        <f t="shared" si="18"/>
        <v>3</v>
      </c>
      <c r="C533" s="1175">
        <v>41883</v>
      </c>
      <c r="D533" s="1158">
        <v>333.70010707708559</v>
      </c>
      <c r="E533" s="1159">
        <v>1376.33</v>
      </c>
      <c r="F533" s="1159">
        <v>1238.82</v>
      </c>
      <c r="G533" s="1160">
        <v>81.48</v>
      </c>
      <c r="H533" s="1161">
        <v>90.043098684937561</v>
      </c>
      <c r="I533" s="1160">
        <v>71.072727272727263</v>
      </c>
      <c r="J533" s="1160">
        <v>79.876229417615207</v>
      </c>
      <c r="K533" s="1677">
        <v>18079.32</v>
      </c>
      <c r="L533" s="1677">
        <v>19979.35484583932</v>
      </c>
      <c r="M533" s="1681">
        <v>101.96</v>
      </c>
      <c r="N533" s="1162">
        <v>7594.46</v>
      </c>
      <c r="O533" s="1162">
        <v>2345.2867720190075</v>
      </c>
      <c r="P533" s="1162">
        <v>2535.1370317162118</v>
      </c>
      <c r="Q533" s="1163">
        <v>35.5</v>
      </c>
      <c r="R533" s="1164">
        <v>1065.7444295900177</v>
      </c>
      <c r="S533" s="1164">
        <v>1149.4872700515084</v>
      </c>
      <c r="T533" s="1164">
        <v>3348.4893307737457</v>
      </c>
      <c r="U533" s="1165">
        <v>36270</v>
      </c>
      <c r="V533" s="1166">
        <v>7189.7010800074831</v>
      </c>
      <c r="W533" s="1166"/>
      <c r="X533" s="1794">
        <v>0.90490000000000004</v>
      </c>
      <c r="AI533" s="1878" t="s">
        <v>4</v>
      </c>
      <c r="AJ533" s="1827">
        <v>2015</v>
      </c>
      <c r="AK533" s="1822" t="s">
        <v>18</v>
      </c>
      <c r="AL533" s="1822">
        <v>2</v>
      </c>
      <c r="AM533" s="1823">
        <v>1935234431.1799996</v>
      </c>
      <c r="AN533" s="1824">
        <v>0.1177065442713417</v>
      </c>
      <c r="AP533" s="1889" t="s">
        <v>1</v>
      </c>
      <c r="AQ533" s="1889" t="s">
        <v>499</v>
      </c>
      <c r="AR533" s="1889" t="s">
        <v>386</v>
      </c>
      <c r="AS533" s="1889"/>
      <c r="AT533" s="1890">
        <v>13658724000</v>
      </c>
      <c r="AU533" s="1867">
        <v>1</v>
      </c>
      <c r="AV533" s="1781">
        <v>2009</v>
      </c>
      <c r="EA533" s="169"/>
      <c r="EB533" s="169"/>
      <c r="EC533" s="169"/>
      <c r="ED533" s="169"/>
      <c r="EE533" s="169"/>
      <c r="EF533" s="169"/>
      <c r="EG533" s="169"/>
      <c r="EH533" s="169"/>
      <c r="EI533" s="169"/>
      <c r="EJ533" s="169"/>
      <c r="EK533" s="169"/>
      <c r="EL533" s="169"/>
      <c r="EM533" s="169"/>
      <c r="EN533" s="169"/>
      <c r="EO533" s="169"/>
      <c r="EP533" s="169"/>
      <c r="EQ533" s="169"/>
      <c r="ER533" s="169"/>
      <c r="ES533" s="169"/>
      <c r="ET533" s="169"/>
      <c r="EU533" s="169"/>
      <c r="EV533" s="169"/>
      <c r="EW533" s="169"/>
      <c r="EX533" s="169"/>
    </row>
    <row r="534" spans="1:154">
      <c r="A534" s="333">
        <f t="shared" si="17"/>
        <v>2014</v>
      </c>
      <c r="B534" s="333">
        <f t="shared" si="18"/>
        <v>4</v>
      </c>
      <c r="C534" s="1175">
        <v>41913</v>
      </c>
      <c r="D534" s="1167">
        <v>352.49245488090844</v>
      </c>
      <c r="E534" s="1168">
        <v>1405.95</v>
      </c>
      <c r="F534" s="1168">
        <v>1222.49</v>
      </c>
      <c r="G534" s="1168">
        <v>79.540000000000006</v>
      </c>
      <c r="H534" s="1167">
        <v>90.61289587605377</v>
      </c>
      <c r="I534" s="1168">
        <v>70.32619047619049</v>
      </c>
      <c r="J534" s="1168">
        <v>81.362497151970842</v>
      </c>
      <c r="K534" s="1678">
        <v>15770.43</v>
      </c>
      <c r="L534" s="1678">
        <v>17965.863294600138</v>
      </c>
      <c r="M534" s="1682">
        <v>90.95</v>
      </c>
      <c r="N534" s="1169">
        <v>7677.37</v>
      </c>
      <c r="O534" s="1169">
        <v>2321.8124857598541</v>
      </c>
      <c r="P534" s="1169">
        <v>2589.0814536340854</v>
      </c>
      <c r="Q534" s="1167">
        <v>36.5</v>
      </c>
      <c r="R534" s="1167">
        <v>1075.0982922201138</v>
      </c>
      <c r="S534" s="1167">
        <v>1140.247400241838</v>
      </c>
      <c r="T534" s="1167">
        <v>2914.5943364967275</v>
      </c>
      <c r="U534" s="1167">
        <v>36281</v>
      </c>
      <c r="V534" s="1167">
        <v>7528.9095802646843</v>
      </c>
      <c r="W534" s="1167"/>
      <c r="X534" s="1655">
        <v>0.87780000000000002</v>
      </c>
      <c r="AI534" s="1878" t="s">
        <v>4</v>
      </c>
      <c r="AJ534" s="1827">
        <v>2015</v>
      </c>
      <c r="AK534" s="1822" t="s">
        <v>24</v>
      </c>
      <c r="AL534" s="1822">
        <v>3</v>
      </c>
      <c r="AM534" s="1823">
        <v>1577110724.3700001</v>
      </c>
      <c r="AN534" s="1824">
        <v>9.5924426678205804E-2</v>
      </c>
      <c r="AP534" s="1892" t="s">
        <v>1</v>
      </c>
      <c r="AQ534" s="1892" t="s">
        <v>500</v>
      </c>
      <c r="AR534" s="1892" t="s">
        <v>21</v>
      </c>
      <c r="AS534" s="1892">
        <v>1</v>
      </c>
      <c r="AT534" s="1893">
        <v>4236100000</v>
      </c>
      <c r="AU534" s="1867">
        <v>0.31617653370174942</v>
      </c>
      <c r="AV534" s="1781">
        <v>2010</v>
      </c>
      <c r="EA534" s="169"/>
      <c r="EB534" s="169"/>
      <c r="EC534" s="169"/>
      <c r="ED534" s="169"/>
      <c r="EE534" s="169"/>
      <c r="EF534" s="169"/>
      <c r="EG534" s="169"/>
      <c r="EH534" s="169"/>
      <c r="EI534" s="169"/>
      <c r="EJ534" s="169"/>
      <c r="EK534" s="169"/>
      <c r="EL534" s="169"/>
      <c r="EM534" s="169"/>
      <c r="EN534" s="169"/>
      <c r="EO534" s="169"/>
      <c r="EP534" s="169"/>
      <c r="EQ534" s="169"/>
      <c r="ER534" s="169"/>
      <c r="ES534" s="169"/>
      <c r="ET534" s="169"/>
      <c r="EU534" s="169"/>
      <c r="EV534" s="169"/>
      <c r="EW534" s="169"/>
      <c r="EX534" s="169"/>
    </row>
    <row r="535" spans="1:154">
      <c r="A535" s="333">
        <f t="shared" si="17"/>
        <v>2014</v>
      </c>
      <c r="B535" s="333">
        <f t="shared" si="18"/>
        <v>4</v>
      </c>
      <c r="C535" s="1175">
        <v>41944</v>
      </c>
      <c r="D535" s="1158">
        <v>356.63515887773798</v>
      </c>
      <c r="E535" s="1159">
        <v>1371.16</v>
      </c>
      <c r="F535" s="1159">
        <v>1176.3</v>
      </c>
      <c r="G535" s="1160">
        <v>72.650000000000006</v>
      </c>
      <c r="H535" s="1161">
        <v>84.085648148148152</v>
      </c>
      <c r="I535" s="1160">
        <v>65.222499999999997</v>
      </c>
      <c r="J535" s="1160">
        <v>76.388888888888886</v>
      </c>
      <c r="K535" s="1677">
        <v>15706.25</v>
      </c>
      <c r="L535" s="1677">
        <v>18178.530092592591</v>
      </c>
      <c r="M535" s="1681">
        <v>82.27</v>
      </c>
      <c r="N535" s="1162">
        <v>7755.93</v>
      </c>
      <c r="O535" s="1162">
        <v>2342.2743055555557</v>
      </c>
      <c r="P535" s="1162">
        <v>2615.0752314814818</v>
      </c>
      <c r="Q535" s="1163">
        <v>39</v>
      </c>
      <c r="R535" s="1164">
        <v>1144.1079759217457</v>
      </c>
      <c r="S535" s="1164">
        <v>1628.719519768164</v>
      </c>
      <c r="T535" s="1164">
        <v>2987.1549378705017</v>
      </c>
      <c r="U535" s="1165">
        <v>36279</v>
      </c>
      <c r="V535" s="1166">
        <v>7690.2097750314006</v>
      </c>
      <c r="W535" s="1166"/>
      <c r="X535" s="1794">
        <v>0.86399999999999999</v>
      </c>
      <c r="AI535" s="1878" t="s">
        <v>4</v>
      </c>
      <c r="AJ535" s="1827">
        <v>2015</v>
      </c>
      <c r="AK535" s="1822" t="s">
        <v>61</v>
      </c>
      <c r="AL535" s="1822">
        <v>4</v>
      </c>
      <c r="AM535" s="1823">
        <v>1005907508.1399997</v>
      </c>
      <c r="AN535" s="1824">
        <v>6.1182198255722908E-2</v>
      </c>
      <c r="AP535" s="1892" t="s">
        <v>1</v>
      </c>
      <c r="AQ535" s="1892" t="s">
        <v>500</v>
      </c>
      <c r="AR535" s="1892" t="s">
        <v>63</v>
      </c>
      <c r="AS535" s="1892">
        <v>2</v>
      </c>
      <c r="AT535" s="1893">
        <v>3500872000</v>
      </c>
      <c r="AU535" s="1867">
        <v>0.26130015200148976</v>
      </c>
      <c r="AV535" s="1781">
        <v>2010</v>
      </c>
      <c r="EA535" s="169"/>
      <c r="EB535" s="169"/>
      <c r="EC535" s="169"/>
      <c r="ED535" s="169"/>
      <c r="EE535" s="169"/>
      <c r="EF535" s="169"/>
      <c r="EG535" s="169"/>
      <c r="EH535" s="169"/>
      <c r="EI535" s="169"/>
      <c r="EJ535" s="169"/>
      <c r="EK535" s="169"/>
      <c r="EL535" s="169"/>
      <c r="EM535" s="169"/>
      <c r="EN535" s="169"/>
      <c r="EO535" s="169"/>
      <c r="EP535" s="169"/>
      <c r="EQ535" s="169"/>
      <c r="ER535" s="169"/>
      <c r="ES535" s="169"/>
      <c r="ET535" s="169"/>
      <c r="EU535" s="169"/>
      <c r="EV535" s="169"/>
      <c r="EW535" s="169"/>
      <c r="EX535" s="169"/>
    </row>
    <row r="536" spans="1:154">
      <c r="A536" s="333">
        <f t="shared" si="17"/>
        <v>2014</v>
      </c>
      <c r="B536" s="333">
        <f t="shared" si="18"/>
        <v>4</v>
      </c>
      <c r="C536" s="1175">
        <v>41974</v>
      </c>
      <c r="D536" s="1167">
        <v>386.64275173053409</v>
      </c>
      <c r="E536" s="1168">
        <v>1463.16</v>
      </c>
      <c r="F536" s="1168">
        <v>1202.29</v>
      </c>
      <c r="G536" s="1168">
        <v>68.95</v>
      </c>
      <c r="H536" s="1167">
        <v>83.738158853534131</v>
      </c>
      <c r="I536" s="1168">
        <v>60.06818181818182</v>
      </c>
      <c r="J536" s="1168">
        <v>74.083070196745197</v>
      </c>
      <c r="K536" s="1678">
        <v>15918.57</v>
      </c>
      <c r="L536" s="1678">
        <v>19332.73184357542</v>
      </c>
      <c r="M536" s="1682">
        <v>66.069999999999993</v>
      </c>
      <c r="N536" s="1169">
        <v>7800.53</v>
      </c>
      <c r="O536" s="1169">
        <v>2351.3422394947775</v>
      </c>
      <c r="P536" s="1169">
        <v>2637.4961136750062</v>
      </c>
      <c r="Q536" s="1167">
        <v>35.5</v>
      </c>
      <c r="R536" s="1167">
        <v>1178.515601023018</v>
      </c>
      <c r="S536" s="1167">
        <v>1342.2298809944621</v>
      </c>
      <c r="T536" s="1167">
        <v>3073.9231227758805</v>
      </c>
      <c r="U536" s="1167">
        <v>38255</v>
      </c>
      <c r="V536" s="1167">
        <v>8167.5563631281011</v>
      </c>
      <c r="W536" s="1167"/>
      <c r="X536" s="1655">
        <v>0.82340000000000002</v>
      </c>
      <c r="AI536" s="1878" t="s">
        <v>4</v>
      </c>
      <c r="AJ536" s="1827">
        <v>2015</v>
      </c>
      <c r="AK536" s="1822" t="s">
        <v>33</v>
      </c>
      <c r="AL536" s="1822">
        <v>5</v>
      </c>
      <c r="AM536" s="1823">
        <v>477307499.00999993</v>
      </c>
      <c r="AN536" s="1824">
        <v>2.9031219865702323E-2</v>
      </c>
      <c r="AP536" s="1892" t="s">
        <v>1</v>
      </c>
      <c r="AQ536" s="1892" t="s">
        <v>500</v>
      </c>
      <c r="AR536" s="1892" t="s">
        <v>33</v>
      </c>
      <c r="AS536" s="1892">
        <v>3</v>
      </c>
      <c r="AT536" s="1893">
        <v>2366506000</v>
      </c>
      <c r="AU536" s="1867">
        <v>0.17663267252057133</v>
      </c>
      <c r="AV536" s="1781">
        <v>2010</v>
      </c>
      <c r="EA536" s="169"/>
      <c r="EB536" s="169"/>
      <c r="EC536" s="169"/>
      <c r="ED536" s="169"/>
      <c r="EE536" s="169"/>
      <c r="EF536" s="169"/>
      <c r="EG536" s="169"/>
      <c r="EH536" s="169"/>
      <c r="EI536" s="169"/>
      <c r="EJ536" s="169"/>
      <c r="EK536" s="169"/>
      <c r="EL536" s="169"/>
      <c r="EM536" s="169"/>
      <c r="EN536" s="169"/>
      <c r="EO536" s="169"/>
      <c r="EP536" s="169"/>
      <c r="EQ536" s="169"/>
      <c r="ER536" s="169"/>
      <c r="ES536" s="169"/>
      <c r="ET536" s="169"/>
      <c r="EU536" s="169"/>
      <c r="EV536" s="169"/>
      <c r="EW536" s="169"/>
      <c r="EX536" s="169"/>
    </row>
    <row r="537" spans="1:154">
      <c r="A537" s="333">
        <f t="shared" si="17"/>
        <v>2015</v>
      </c>
      <c r="B537" s="333">
        <f t="shared" si="18"/>
        <v>1</v>
      </c>
      <c r="C537" s="1175">
        <v>42005</v>
      </c>
      <c r="D537" s="1158">
        <v>383.82277233443335</v>
      </c>
      <c r="E537" s="1159">
        <v>1559.8</v>
      </c>
      <c r="F537" s="1159">
        <v>1251.8499999999999</v>
      </c>
      <c r="G537" s="1160">
        <v>66.55</v>
      </c>
      <c r="H537" s="1161">
        <v>82.568238213399496</v>
      </c>
      <c r="I537" s="1160">
        <v>58.628571428571433</v>
      </c>
      <c r="J537" s="1160">
        <v>73.114143920595524</v>
      </c>
      <c r="K537" s="1677">
        <v>14770.95</v>
      </c>
      <c r="L537" s="1677">
        <v>18326.243672456574</v>
      </c>
      <c r="M537" s="1681">
        <v>50.28</v>
      </c>
      <c r="N537" s="1162">
        <v>7215.67</v>
      </c>
      <c r="O537" s="1162">
        <v>2269.4375930521092</v>
      </c>
      <c r="P537" s="1162">
        <v>2618.6636476426797</v>
      </c>
      <c r="Q537" s="1163">
        <v>36.75</v>
      </c>
      <c r="R537" s="1164">
        <v>1277.9656777196044</v>
      </c>
      <c r="S537" s="1164">
        <v>1395.1450248030346</v>
      </c>
      <c r="T537" s="1164">
        <v>3122.8724896381959</v>
      </c>
      <c r="U537" s="1165">
        <v>38602</v>
      </c>
      <c r="V537" s="1166">
        <v>8666.4215691145291</v>
      </c>
      <c r="W537" s="1166"/>
      <c r="X537" s="1794">
        <v>0.80600000000000005</v>
      </c>
      <c r="AI537" s="1878" t="s">
        <v>4</v>
      </c>
      <c r="AJ537" s="1827">
        <v>2015</v>
      </c>
      <c r="AK537" s="1822" t="s">
        <v>25</v>
      </c>
      <c r="AL537" s="1822">
        <v>6</v>
      </c>
      <c r="AM537" s="1823">
        <v>420501760.13</v>
      </c>
      <c r="AN537" s="1824">
        <v>2.5576130853944723E-2</v>
      </c>
      <c r="AP537" s="1894" t="s">
        <v>1</v>
      </c>
      <c r="AQ537" s="1894" t="s">
        <v>500</v>
      </c>
      <c r="AR537" s="1894" t="s">
        <v>61</v>
      </c>
      <c r="AS537" s="1894">
        <v>4</v>
      </c>
      <c r="AT537" s="1895">
        <v>1118250000</v>
      </c>
      <c r="AU537" s="1896">
        <v>8.3464603954576444E-2</v>
      </c>
      <c r="AV537" s="1822">
        <v>2010</v>
      </c>
      <c r="EA537" s="169"/>
      <c r="EB537" s="169"/>
      <c r="EC537" s="169"/>
      <c r="ED537" s="169"/>
      <c r="EE537" s="169"/>
      <c r="EF537" s="169"/>
      <c r="EG537" s="169"/>
      <c r="EH537" s="169"/>
      <c r="EI537" s="169"/>
      <c r="EJ537" s="169"/>
      <c r="EK537" s="169"/>
      <c r="EL537" s="169"/>
      <c r="EM537" s="169"/>
      <c r="EN537" s="169"/>
      <c r="EO537" s="169"/>
      <c r="EP537" s="169"/>
      <c r="EQ537" s="169"/>
      <c r="ER537" s="169"/>
      <c r="ES537" s="169"/>
      <c r="ET537" s="169"/>
      <c r="EU537" s="169"/>
      <c r="EV537" s="169"/>
      <c r="EW537" s="169"/>
      <c r="EX537" s="169"/>
    </row>
    <row r="538" spans="1:154">
      <c r="A538" s="333">
        <f t="shared" si="17"/>
        <v>2015</v>
      </c>
      <c r="B538" s="333">
        <f t="shared" si="18"/>
        <v>1</v>
      </c>
      <c r="C538" s="1175">
        <v>42036</v>
      </c>
      <c r="D538" s="1167">
        <v>393.46429046678821</v>
      </c>
      <c r="E538" s="1168">
        <v>1590.3</v>
      </c>
      <c r="F538" s="1168">
        <v>1227.19</v>
      </c>
      <c r="G538" s="1168">
        <v>61.43</v>
      </c>
      <c r="H538" s="1167">
        <v>78.82715257282176</v>
      </c>
      <c r="I538" s="1168">
        <v>53.080555555555549</v>
      </c>
      <c r="J538" s="1168">
        <v>68.215064801745157</v>
      </c>
      <c r="K538" s="1678">
        <v>14534.5</v>
      </c>
      <c r="L538" s="1678">
        <v>18650.712177595276</v>
      </c>
      <c r="M538" s="1682">
        <v>59.79</v>
      </c>
      <c r="N538" s="1169">
        <v>7316.92</v>
      </c>
      <c r="O538" s="1169">
        <v>2315.7641473116901</v>
      </c>
      <c r="P538" s="1169">
        <v>2698.7360451687414</v>
      </c>
      <c r="Q538" s="1167">
        <v>38.75</v>
      </c>
      <c r="R538" s="1167">
        <v>1163.6295143212951</v>
      </c>
      <c r="S538" s="1167">
        <v>1346.460918614021</v>
      </c>
      <c r="T538" s="1167">
        <v>3131.5886631645767</v>
      </c>
      <c r="U538" s="1167">
        <v>37397</v>
      </c>
      <c r="V538" s="1167">
        <v>9136.7233656814387</v>
      </c>
      <c r="W538" s="1167"/>
      <c r="X538" s="1655">
        <v>0.77929999999999999</v>
      </c>
      <c r="AI538" s="1878" t="s">
        <v>4</v>
      </c>
      <c r="AJ538" s="1827">
        <v>2015</v>
      </c>
      <c r="AK538" s="1822" t="s">
        <v>21</v>
      </c>
      <c r="AL538" s="1822">
        <v>7</v>
      </c>
      <c r="AM538" s="1823">
        <v>313327772.19999999</v>
      </c>
      <c r="AN538" s="1824">
        <v>1.9057499544079693E-2</v>
      </c>
      <c r="AP538" s="1894" t="s">
        <v>1</v>
      </c>
      <c r="AQ538" s="1894" t="s">
        <v>500</v>
      </c>
      <c r="AR538" s="1894" t="s">
        <v>18</v>
      </c>
      <c r="AS538" s="1894">
        <v>5</v>
      </c>
      <c r="AT538" s="1895">
        <v>632410000</v>
      </c>
      <c r="AU538" s="1896">
        <v>4.7202191090466077E-2</v>
      </c>
      <c r="AV538" s="1822">
        <v>2010</v>
      </c>
      <c r="EA538" s="169"/>
      <c r="EB538" s="169"/>
      <c r="EC538" s="169"/>
      <c r="ED538" s="169"/>
      <c r="EE538" s="169"/>
      <c r="EF538" s="169"/>
      <c r="EG538" s="169"/>
      <c r="EH538" s="169"/>
      <c r="EI538" s="169"/>
      <c r="EJ538" s="169"/>
      <c r="EK538" s="169"/>
      <c r="EL538" s="169"/>
      <c r="EM538" s="169"/>
      <c r="EN538" s="169"/>
      <c r="EO538" s="169"/>
      <c r="EP538" s="169"/>
      <c r="EQ538" s="169"/>
      <c r="ER538" s="169"/>
      <c r="ES538" s="169"/>
      <c r="ET538" s="169"/>
      <c r="EU538" s="169"/>
      <c r="EV538" s="169"/>
      <c r="EW538" s="169"/>
      <c r="EX538" s="169"/>
    </row>
    <row r="539" spans="1:154">
      <c r="A539" s="333">
        <f t="shared" si="17"/>
        <v>2015</v>
      </c>
      <c r="B539" s="333">
        <f t="shared" si="18"/>
        <v>1</v>
      </c>
      <c r="C539" s="1175">
        <v>42064</v>
      </c>
      <c r="D539" s="1158">
        <v>390.05408420727417</v>
      </c>
      <c r="E539" s="1159">
        <v>1536.21</v>
      </c>
      <c r="F539" s="1159">
        <v>1178.6300000000001</v>
      </c>
      <c r="G539" s="1160">
        <v>56.38</v>
      </c>
      <c r="H539" s="1161">
        <v>72.9366106080207</v>
      </c>
      <c r="I539" s="1160">
        <v>47.743181818181817</v>
      </c>
      <c r="J539" s="1160">
        <v>62.509702457956017</v>
      </c>
      <c r="K539" s="1677">
        <v>13745.68</v>
      </c>
      <c r="L539" s="1677">
        <v>17782.253298835705</v>
      </c>
      <c r="M539" s="1681">
        <v>58.28</v>
      </c>
      <c r="N539" s="1162">
        <v>7666.03</v>
      </c>
      <c r="O539" s="1162">
        <v>2309.1556274256145</v>
      </c>
      <c r="P539" s="1162">
        <v>2624.8971539456661</v>
      </c>
      <c r="Q539" s="1163">
        <v>39.5</v>
      </c>
      <c r="R539" s="1164">
        <v>1128.3213389121338</v>
      </c>
      <c r="S539" s="1164">
        <v>1402.6031116050167</v>
      </c>
      <c r="T539" s="1164">
        <v>3073.856000476836</v>
      </c>
      <c r="U539" s="1165">
        <v>35814</v>
      </c>
      <c r="V539" s="1166">
        <v>9158.6398854981599</v>
      </c>
      <c r="W539" s="1166"/>
      <c r="X539" s="1794">
        <v>0.77300000000000002</v>
      </c>
      <c r="AI539" s="1878" t="s">
        <v>4</v>
      </c>
      <c r="AJ539" s="1827">
        <v>2015</v>
      </c>
      <c r="AK539" s="1822" t="s">
        <v>758</v>
      </c>
      <c r="AL539" s="1822">
        <v>8</v>
      </c>
      <c r="AM539" s="1823">
        <v>217503493.50999999</v>
      </c>
      <c r="AN539" s="1824">
        <v>1.3229190311788663E-2</v>
      </c>
      <c r="AP539" s="1894" t="s">
        <v>1</v>
      </c>
      <c r="AQ539" s="1894" t="s">
        <v>500</v>
      </c>
      <c r="AR539" s="1894" t="s">
        <v>370</v>
      </c>
      <c r="AS539" s="1894">
        <v>6</v>
      </c>
      <c r="AT539" s="1895">
        <v>629150000</v>
      </c>
      <c r="AU539" s="1896">
        <v>4.6958869285063064E-2</v>
      </c>
      <c r="AV539" s="1822">
        <v>2010</v>
      </c>
      <c r="EA539" s="169"/>
      <c r="EB539" s="169"/>
      <c r="EC539" s="169"/>
      <c r="ED539" s="169"/>
      <c r="EE539" s="169"/>
      <c r="EF539" s="169"/>
      <c r="EG539" s="169"/>
      <c r="EH539" s="169"/>
      <c r="EI539" s="169"/>
      <c r="EJ539" s="169"/>
      <c r="EK539" s="169"/>
      <c r="EL539" s="169"/>
      <c r="EM539" s="169"/>
      <c r="EN539" s="169"/>
      <c r="EO539" s="169"/>
      <c r="EP539" s="169"/>
      <c r="EQ539" s="169"/>
      <c r="ER539" s="169"/>
      <c r="ES539" s="169"/>
      <c r="ET539" s="169"/>
      <c r="EU539" s="169"/>
      <c r="EV539" s="169"/>
      <c r="EW539" s="169"/>
      <c r="EX539" s="169"/>
    </row>
    <row r="540" spans="1:154">
      <c r="A540" s="333">
        <f t="shared" si="17"/>
        <v>2015</v>
      </c>
      <c r="B540" s="333">
        <f t="shared" si="18"/>
        <v>2</v>
      </c>
      <c r="C540" s="1175">
        <v>42095</v>
      </c>
      <c r="D540" s="1167">
        <v>392.96639490980482</v>
      </c>
      <c r="E540" s="1168">
        <v>1565.5</v>
      </c>
      <c r="F540" s="1168">
        <v>1197.9100000000001</v>
      </c>
      <c r="G540" s="1168">
        <v>48.78</v>
      </c>
      <c r="H540" s="1167">
        <v>63.063994828700714</v>
      </c>
      <c r="I540" s="1168">
        <v>43.821428571428569</v>
      </c>
      <c r="J540" s="1168">
        <v>54.828700711053649</v>
      </c>
      <c r="K540" s="1678">
        <v>12782.75</v>
      </c>
      <c r="L540" s="1678">
        <v>16525.856496444732</v>
      </c>
      <c r="M540" s="1682">
        <v>61.74</v>
      </c>
      <c r="N540" s="1169">
        <v>7793.76</v>
      </c>
      <c r="O540" s="1169">
        <v>2585.3910795087268</v>
      </c>
      <c r="P540" s="1169">
        <v>2853.1351001939238</v>
      </c>
      <c r="Q540" s="1167">
        <v>38.25</v>
      </c>
      <c r="R540" s="1167">
        <v>1346.336236391913</v>
      </c>
      <c r="S540" s="1167">
        <v>1334.3865791393143</v>
      </c>
      <c r="T540" s="1167">
        <v>2989.564444266698</v>
      </c>
      <c r="U540" s="1167">
        <v>37220</v>
      </c>
      <c r="V540" s="1167">
        <v>9424.7514284077351</v>
      </c>
      <c r="W540" s="1167"/>
      <c r="X540" s="1655">
        <v>0.77349999999999997</v>
      </c>
      <c r="AI540" s="1878" t="s">
        <v>4</v>
      </c>
      <c r="AJ540" s="1827">
        <v>2015</v>
      </c>
      <c r="AK540" s="1822" t="s">
        <v>22</v>
      </c>
      <c r="AL540" s="1822">
        <v>9</v>
      </c>
      <c r="AM540" s="1823">
        <v>144891564.75</v>
      </c>
      <c r="AN540" s="1824">
        <v>8.8127232060411596E-3</v>
      </c>
      <c r="AP540" s="1894" t="s">
        <v>1</v>
      </c>
      <c r="AQ540" s="1894" t="s">
        <v>500</v>
      </c>
      <c r="AR540" s="1894" t="s">
        <v>371</v>
      </c>
      <c r="AS540" s="1894">
        <v>7</v>
      </c>
      <c r="AT540" s="1895">
        <v>461246000</v>
      </c>
      <c r="AU540" s="1896">
        <v>3.4426751366539297E-2</v>
      </c>
      <c r="AV540" s="1822">
        <v>2010</v>
      </c>
      <c r="EA540" s="169"/>
      <c r="EB540" s="169"/>
      <c r="EC540" s="169"/>
      <c r="ED540" s="169"/>
      <c r="EE540" s="169"/>
      <c r="EF540" s="169"/>
      <c r="EG540" s="169"/>
      <c r="EH540" s="169"/>
      <c r="EI540" s="169"/>
      <c r="EJ540" s="169"/>
      <c r="EK540" s="169"/>
      <c r="EL540" s="169"/>
      <c r="EM540" s="169"/>
      <c r="EN540" s="169"/>
      <c r="EO540" s="169"/>
      <c r="EP540" s="169"/>
      <c r="EQ540" s="169"/>
      <c r="ER540" s="169"/>
      <c r="ES540" s="169"/>
      <c r="ET540" s="169"/>
      <c r="EU540" s="169"/>
      <c r="EV540" s="169"/>
      <c r="EW540" s="169"/>
      <c r="EX540" s="169"/>
    </row>
    <row r="541" spans="1:154">
      <c r="A541" s="333">
        <f t="shared" si="17"/>
        <v>2015</v>
      </c>
      <c r="B541" s="333">
        <f t="shared" si="18"/>
        <v>2</v>
      </c>
      <c r="C541" s="1175">
        <v>42125</v>
      </c>
      <c r="D541" s="1158">
        <v>389.31352295370897</v>
      </c>
      <c r="E541" s="1159">
        <v>1529.37</v>
      </c>
      <c r="F541" s="1159">
        <v>1199.05</v>
      </c>
      <c r="G541" s="1160">
        <v>58.41</v>
      </c>
      <c r="H541" s="1161">
        <v>74.067968551864055</v>
      </c>
      <c r="I541" s="1160">
        <v>52.8</v>
      </c>
      <c r="J541" s="1160">
        <v>66.079127567841752</v>
      </c>
      <c r="K541" s="1677">
        <v>13508.95</v>
      </c>
      <c r="L541" s="1677">
        <v>17130.290895257418</v>
      </c>
      <c r="M541" s="1681">
        <v>67.25</v>
      </c>
      <c r="N541" s="1162">
        <v>7989.61</v>
      </c>
      <c r="O541" s="1162">
        <v>2541.012046664976</v>
      </c>
      <c r="P541" s="1162">
        <v>2903.4131372051738</v>
      </c>
      <c r="Q541" s="1163">
        <v>35.25</v>
      </c>
      <c r="R541" s="1164">
        <v>1387.7336585365854</v>
      </c>
      <c r="S541" s="1164">
        <v>1317.8331099195711</v>
      </c>
      <c r="T541" s="1164">
        <v>2945.4727786389285</v>
      </c>
      <c r="U541" s="1165">
        <v>38372</v>
      </c>
      <c r="V541" s="1166">
        <v>9311.4038836611144</v>
      </c>
      <c r="W541" s="1166"/>
      <c r="X541" s="1794">
        <v>0.78859999999999997</v>
      </c>
      <c r="AI541" s="1878" t="s">
        <v>4</v>
      </c>
      <c r="AJ541" s="1827">
        <v>2015</v>
      </c>
      <c r="AK541" s="1822" t="s">
        <v>537</v>
      </c>
      <c r="AL541" s="1822">
        <v>10</v>
      </c>
      <c r="AM541" s="1823">
        <v>135237903.69</v>
      </c>
      <c r="AN541" s="1824">
        <v>8.225559674516679E-3</v>
      </c>
      <c r="AP541" s="1894" t="s">
        <v>1</v>
      </c>
      <c r="AQ541" s="1894" t="s">
        <v>500</v>
      </c>
      <c r="AR541" s="1894" t="s">
        <v>758</v>
      </c>
      <c r="AS541" s="1894">
        <v>8</v>
      </c>
      <c r="AT541" s="1895">
        <v>165032000</v>
      </c>
      <c r="AU541" s="1896">
        <v>1.231775588627915E-2</v>
      </c>
      <c r="AV541" s="1822">
        <v>2010</v>
      </c>
      <c r="EA541" s="169"/>
      <c r="EB541" s="169"/>
      <c r="EC541" s="169"/>
      <c r="ED541" s="169"/>
      <c r="EE541" s="169"/>
      <c r="EF541" s="169"/>
      <c r="EG541" s="169"/>
      <c r="EH541" s="169"/>
      <c r="EI541" s="169"/>
      <c r="EJ541" s="169"/>
      <c r="EK541" s="169"/>
      <c r="EL541" s="169"/>
      <c r="EM541" s="169"/>
      <c r="EN541" s="169"/>
      <c r="EO541" s="169"/>
      <c r="EP541" s="169"/>
      <c r="EQ541" s="169"/>
      <c r="ER541" s="169"/>
      <c r="ES541" s="169"/>
      <c r="ET541" s="169"/>
      <c r="EU541" s="169"/>
      <c r="EV541" s="169"/>
      <c r="EW541" s="169"/>
      <c r="EX541" s="169"/>
    </row>
    <row r="542" spans="1:154">
      <c r="A542" s="333">
        <f t="shared" si="17"/>
        <v>2015</v>
      </c>
      <c r="B542" s="333">
        <f t="shared" si="18"/>
        <v>2</v>
      </c>
      <c r="C542" s="1175">
        <v>42156</v>
      </c>
      <c r="D542" s="1167">
        <v>393.72257846685386</v>
      </c>
      <c r="E542" s="1168">
        <v>1544.61</v>
      </c>
      <c r="F542" s="1168">
        <v>1181.5</v>
      </c>
      <c r="G542" s="1168">
        <v>61.3</v>
      </c>
      <c r="H542" s="1167">
        <v>79.373300530881778</v>
      </c>
      <c r="I542" s="1168">
        <v>55.545238095238098</v>
      </c>
      <c r="J542" s="1168">
        <v>72.199922309983165</v>
      </c>
      <c r="K542" s="1678">
        <v>12779.77</v>
      </c>
      <c r="L542" s="1678">
        <v>16547.679269713841</v>
      </c>
      <c r="M542" s="1682">
        <v>64.989999999999995</v>
      </c>
      <c r="N542" s="1169">
        <v>7553.56</v>
      </c>
      <c r="O542" s="1169">
        <v>2377.7559238637837</v>
      </c>
      <c r="P542" s="1169">
        <v>2702.9062540463547</v>
      </c>
      <c r="Q542" s="1167">
        <v>36.5</v>
      </c>
      <c r="R542" s="1167">
        <v>1328.751592356688</v>
      </c>
      <c r="S542" s="1167">
        <v>1362.0528018826299</v>
      </c>
      <c r="T542" s="1167">
        <v>2886.3820999280656</v>
      </c>
      <c r="U542" s="1167">
        <v>39702</v>
      </c>
      <c r="V542" s="1167">
        <v>9572.1107324875557</v>
      </c>
      <c r="W542" s="1167"/>
      <c r="X542" s="1655">
        <v>0.77229999999999999</v>
      </c>
      <c r="AI542" s="1878" t="s">
        <v>4</v>
      </c>
      <c r="AJ542" s="1827">
        <v>2015</v>
      </c>
      <c r="AK542" s="1822" t="s">
        <v>39</v>
      </c>
      <c r="AL542" s="1822"/>
      <c r="AM542" s="1823">
        <v>283230028.28999901</v>
      </c>
      <c r="AN542" s="1824">
        <v>1.7226867880581493E-2</v>
      </c>
      <c r="AO542" s="1822"/>
      <c r="AP542" s="1894" t="s">
        <v>1</v>
      </c>
      <c r="AQ542" s="1894" t="s">
        <v>500</v>
      </c>
      <c r="AR542" s="1894" t="s">
        <v>527</v>
      </c>
      <c r="AS542" s="1894">
        <v>9</v>
      </c>
      <c r="AT542" s="1895">
        <v>145995000</v>
      </c>
      <c r="AU542" s="1896">
        <v>1.0896861036752414E-2</v>
      </c>
      <c r="AV542" s="1822">
        <v>2010</v>
      </c>
      <c r="EA542" s="169"/>
      <c r="EB542" s="169"/>
      <c r="EC542" s="169"/>
      <c r="ED542" s="169"/>
      <c r="EE542" s="169"/>
      <c r="EF542" s="169"/>
      <c r="EG542" s="169"/>
      <c r="EH542" s="169"/>
      <c r="EI542" s="169"/>
      <c r="EJ542" s="169"/>
      <c r="EK542" s="169"/>
      <c r="EL542" s="169"/>
      <c r="EM542" s="169"/>
      <c r="EN542" s="169"/>
      <c r="EO542" s="169"/>
      <c r="EP542" s="169"/>
      <c r="EQ542" s="169"/>
      <c r="ER542" s="169"/>
      <c r="ES542" s="169"/>
      <c r="ET542" s="169"/>
      <c r="EU542" s="169"/>
      <c r="EV542" s="169"/>
      <c r="EW542" s="169"/>
      <c r="EX542" s="169"/>
    </row>
    <row r="543" spans="1:154">
      <c r="A543" s="333">
        <f t="shared" si="17"/>
        <v>2015</v>
      </c>
      <c r="B543" s="333">
        <f t="shared" si="18"/>
        <v>3</v>
      </c>
      <c r="C543" s="1175">
        <v>42186</v>
      </c>
      <c r="D543" s="1158">
        <v>402.10670604668087</v>
      </c>
      <c r="E543" s="1159">
        <v>1539.17</v>
      </c>
      <c r="F543" s="1159">
        <v>1130.04</v>
      </c>
      <c r="G543" s="1160">
        <v>51.08</v>
      </c>
      <c r="H543" s="1161">
        <v>68.943177216898363</v>
      </c>
      <c r="I543" s="1160">
        <v>45.872727272727275</v>
      </c>
      <c r="J543" s="1160">
        <v>62.613038196787691</v>
      </c>
      <c r="K543" s="1677">
        <v>11385.87</v>
      </c>
      <c r="L543" s="1677">
        <v>15367.619921716831</v>
      </c>
      <c r="M543" s="1681">
        <v>58.7</v>
      </c>
      <c r="N543" s="1162">
        <v>7365.25</v>
      </c>
      <c r="O543" s="1162">
        <v>2378.6581185045216</v>
      </c>
      <c r="P543" s="1162">
        <v>2702.2070454852205</v>
      </c>
      <c r="Q543" s="1163">
        <v>36</v>
      </c>
      <c r="R543" s="1164">
        <v>1212.897901659881</v>
      </c>
      <c r="S543" s="1164">
        <v>1386.1667881881151</v>
      </c>
      <c r="T543" s="1164">
        <v>2863.808068419879</v>
      </c>
      <c r="U543" s="1165">
        <v>42525</v>
      </c>
      <c r="V543" s="1166">
        <v>9884.1012844521374</v>
      </c>
      <c r="W543" s="1166"/>
      <c r="X543" s="1794">
        <v>0.7409</v>
      </c>
      <c r="AI543" s="1878" t="s">
        <v>4</v>
      </c>
      <c r="AJ543" s="1827">
        <v>2015</v>
      </c>
      <c r="AK543" s="1822" t="s">
        <v>386</v>
      </c>
      <c r="AL543" s="1822"/>
      <c r="AM543" s="1823">
        <v>16441179572.130009</v>
      </c>
      <c r="AN543" s="1824"/>
      <c r="AO543" s="1822"/>
      <c r="AP543" s="1894" t="s">
        <v>1</v>
      </c>
      <c r="AQ543" s="1894" t="s">
        <v>500</v>
      </c>
      <c r="AR543" s="1894" t="s">
        <v>58</v>
      </c>
      <c r="AS543" s="1894">
        <v>10</v>
      </c>
      <c r="AT543" s="1895">
        <v>46628000</v>
      </c>
      <c r="AU543" s="1896">
        <v>3.4802482031692293E-3</v>
      </c>
      <c r="AV543" s="1822">
        <v>2010</v>
      </c>
      <c r="EA543" s="169"/>
      <c r="EB543" s="169"/>
      <c r="EC543" s="169"/>
      <c r="ED543" s="169"/>
      <c r="EE543" s="169"/>
      <c r="EF543" s="169"/>
      <c r="EG543" s="169"/>
      <c r="EH543" s="169"/>
      <c r="EI543" s="169"/>
      <c r="EJ543" s="169"/>
      <c r="EK543" s="169"/>
      <c r="EL543" s="169"/>
      <c r="EM543" s="169"/>
      <c r="EN543" s="169"/>
      <c r="EO543" s="169"/>
      <c r="EP543" s="169"/>
      <c r="EQ543" s="169"/>
      <c r="ER543" s="169"/>
      <c r="ES543" s="169"/>
      <c r="ET543" s="169"/>
      <c r="EU543" s="169"/>
      <c r="EV543" s="169"/>
      <c r="EW543" s="169"/>
      <c r="EX543" s="169"/>
    </row>
    <row r="544" spans="1:154">
      <c r="A544" s="333">
        <f t="shared" si="17"/>
        <v>2015</v>
      </c>
      <c r="B544" s="333">
        <f t="shared" si="18"/>
        <v>3</v>
      </c>
      <c r="C544" s="1175">
        <v>42217</v>
      </c>
      <c r="D544" s="1167">
        <v>390.28992974721029</v>
      </c>
      <c r="E544" s="1168">
        <v>1542.91</v>
      </c>
      <c r="F544" s="1168">
        <v>1117.48</v>
      </c>
      <c r="G544" s="1168">
        <v>54.36</v>
      </c>
      <c r="H544" s="1167">
        <v>74.506578947368411</v>
      </c>
      <c r="I544" s="1168">
        <v>49.510526315789477</v>
      </c>
      <c r="J544" s="1168">
        <v>67.92763157894737</v>
      </c>
      <c r="K544" s="1678">
        <v>10342.25</v>
      </c>
      <c r="L544" s="1678">
        <v>14175.233004385964</v>
      </c>
      <c r="M544" s="1682">
        <v>49.23</v>
      </c>
      <c r="N544" s="1169">
        <v>6974.95</v>
      </c>
      <c r="O544" s="1169">
        <v>2320.3125</v>
      </c>
      <c r="P544" s="1169">
        <v>2480.7086074561403</v>
      </c>
      <c r="Q544" s="1167">
        <v>36.5</v>
      </c>
      <c r="R544" s="1167">
        <v>1325.607661056297</v>
      </c>
      <c r="S544" s="1167">
        <v>1378.3134670487107</v>
      </c>
      <c r="T544" s="1167">
        <v>3088.7702577161135</v>
      </c>
      <c r="U544" s="1167">
        <v>40416</v>
      </c>
      <c r="V544" s="1167">
        <v>9927.8484947926572</v>
      </c>
      <c r="W544" s="1167"/>
      <c r="X544" s="1655">
        <v>0.72960000000000003</v>
      </c>
      <c r="AI544" s="1878" t="s">
        <v>4</v>
      </c>
      <c r="AJ544" s="1827">
        <v>2014</v>
      </c>
      <c r="AK544" s="1822" t="s">
        <v>23</v>
      </c>
      <c r="AL544" s="1822">
        <v>1</v>
      </c>
      <c r="AM544" s="1823">
        <v>14249329064.289991</v>
      </c>
      <c r="AN544" s="1824">
        <v>0.60918025592644531</v>
      </c>
      <c r="AO544" s="1822"/>
      <c r="AP544" s="1894" t="s">
        <v>1</v>
      </c>
      <c r="AQ544" s="1894" t="s">
        <v>500</v>
      </c>
      <c r="AR544" s="1894" t="s">
        <v>39</v>
      </c>
      <c r="AS544" s="1894"/>
      <c r="AT544" s="1895">
        <v>95706000</v>
      </c>
      <c r="AU544" s="1896">
        <v>7.1433609533437898E-3</v>
      </c>
      <c r="AV544" s="1822">
        <v>2010</v>
      </c>
      <c r="EA544" s="169"/>
      <c r="EB544" s="169"/>
      <c r="EC544" s="169"/>
      <c r="ED544" s="169"/>
      <c r="EE544" s="169"/>
      <c r="EF544" s="169"/>
      <c r="EG544" s="169"/>
      <c r="EH544" s="169"/>
      <c r="EI544" s="169"/>
      <c r="EJ544" s="169"/>
      <c r="EK544" s="169"/>
      <c r="EL544" s="169"/>
      <c r="EM544" s="169"/>
      <c r="EN544" s="169"/>
      <c r="EO544" s="169"/>
      <c r="EP544" s="169"/>
      <c r="EQ544" s="169"/>
      <c r="ER544" s="169"/>
      <c r="ES544" s="169"/>
      <c r="ET544" s="169"/>
      <c r="EU544" s="169"/>
      <c r="EV544" s="169"/>
      <c r="EW544" s="169"/>
      <c r="EX544" s="169"/>
    </row>
    <row r="545" spans="1:154">
      <c r="A545" s="333">
        <f t="shared" si="17"/>
        <v>2015</v>
      </c>
      <c r="B545" s="333">
        <f t="shared" si="18"/>
        <v>3</v>
      </c>
      <c r="C545" s="1175">
        <v>42248</v>
      </c>
      <c r="D545" s="1158">
        <v>393.26748122441552</v>
      </c>
      <c r="E545" s="1159">
        <v>1605.71</v>
      </c>
      <c r="F545" s="1159">
        <v>1124.9000000000001</v>
      </c>
      <c r="G545" s="1160">
        <v>55.79</v>
      </c>
      <c r="H545" s="1161">
        <v>79.078667611622961</v>
      </c>
      <c r="I545" s="1160">
        <v>51.154761904761905</v>
      </c>
      <c r="J545" s="1160">
        <v>72.870304748405374</v>
      </c>
      <c r="K545" s="1677">
        <v>9898.41</v>
      </c>
      <c r="L545" s="1677">
        <v>14030.345995747697</v>
      </c>
      <c r="M545" s="1681">
        <v>49.09</v>
      </c>
      <c r="N545" s="1162">
        <v>7382.13</v>
      </c>
      <c r="O545" s="1162">
        <v>2384.1892274982279</v>
      </c>
      <c r="P545" s="1162">
        <v>2436.4409638554216</v>
      </c>
      <c r="Q545" s="1163">
        <v>36.5</v>
      </c>
      <c r="R545" s="1164">
        <v>1215.0913216108904</v>
      </c>
      <c r="S545" s="1164">
        <v>1425.0652060511215</v>
      </c>
      <c r="T545" s="1164">
        <v>3119.5900396710808</v>
      </c>
      <c r="U545" s="1165">
        <v>39740</v>
      </c>
      <c r="V545" s="1166">
        <v>10434.83218366616</v>
      </c>
      <c r="W545" s="1166"/>
      <c r="X545" s="1794">
        <v>0.70550000000000002</v>
      </c>
      <c r="AI545" s="1878" t="s">
        <v>4</v>
      </c>
      <c r="AJ545" s="1827">
        <v>2014</v>
      </c>
      <c r="AK545" s="1822" t="s">
        <v>24</v>
      </c>
      <c r="AL545" s="1822">
        <v>2</v>
      </c>
      <c r="AM545" s="1823">
        <v>2694653306.9300008</v>
      </c>
      <c r="AN545" s="1824">
        <v>0.11520048303624837</v>
      </c>
      <c r="AO545" s="1822"/>
      <c r="AP545" s="1894" t="s">
        <v>1</v>
      </c>
      <c r="AQ545" s="1894" t="s">
        <v>500</v>
      </c>
      <c r="AR545" s="1894" t="s">
        <v>386</v>
      </c>
      <c r="AS545" s="1894"/>
      <c r="AT545" s="1895">
        <v>13397895000</v>
      </c>
      <c r="AU545" s="1896">
        <v>1</v>
      </c>
      <c r="AV545" s="1822">
        <v>2010</v>
      </c>
      <c r="EA545" s="169"/>
      <c r="EB545" s="169"/>
      <c r="EC545" s="169"/>
      <c r="ED545" s="169"/>
      <c r="EE545" s="169"/>
      <c r="EF545" s="169"/>
      <c r="EG545" s="169"/>
      <c r="EH545" s="169"/>
      <c r="EI545" s="169"/>
      <c r="EJ545" s="169"/>
      <c r="EK545" s="169"/>
      <c r="EL545" s="169"/>
      <c r="EM545" s="169"/>
      <c r="EN545" s="169"/>
      <c r="EO545" s="169"/>
      <c r="EP545" s="169"/>
      <c r="EQ545" s="169"/>
      <c r="ER545" s="169"/>
      <c r="ES545" s="169"/>
      <c r="ET545" s="169"/>
      <c r="EU545" s="169"/>
      <c r="EV545" s="169"/>
      <c r="EW545" s="169"/>
      <c r="EX545" s="169"/>
    </row>
    <row r="546" spans="1:154">
      <c r="A546" s="333">
        <f t="shared" si="17"/>
        <v>2015</v>
      </c>
      <c r="B546" s="333">
        <f t="shared" si="18"/>
        <v>4</v>
      </c>
      <c r="C546" s="1175">
        <v>42278</v>
      </c>
      <c r="D546" s="1167">
        <v>369.35891677987888</v>
      </c>
      <c r="E546" s="1168">
        <v>1618.18</v>
      </c>
      <c r="F546" s="1168">
        <v>1159.25</v>
      </c>
      <c r="G546" s="1168">
        <v>52.83</v>
      </c>
      <c r="H546" s="1167">
        <v>73.313905079100749</v>
      </c>
      <c r="I546" s="1168">
        <v>48.00454545454545</v>
      </c>
      <c r="J546" s="1168">
        <v>66.888703857896203</v>
      </c>
      <c r="K546" s="1678">
        <v>10344.09</v>
      </c>
      <c r="L546" s="1678">
        <v>14354.830557868441</v>
      </c>
      <c r="M546" s="1682">
        <v>49</v>
      </c>
      <c r="N546" s="1169">
        <v>7247.59</v>
      </c>
      <c r="O546" s="1169">
        <v>2393.2392450735497</v>
      </c>
      <c r="P546" s="1169">
        <v>2398.0648071051901</v>
      </c>
      <c r="Q546" s="1167">
        <v>36.5</v>
      </c>
      <c r="R546" s="1167">
        <v>1211.9656215621562</v>
      </c>
      <c r="S546" s="1167">
        <v>1299.8665325285044</v>
      </c>
      <c r="T546" s="1167">
        <v>2983.9121526047779</v>
      </c>
      <c r="U546" s="1167">
        <v>38387</v>
      </c>
      <c r="V546" s="1167">
        <v>10865.37131541973</v>
      </c>
      <c r="W546" s="1167"/>
      <c r="X546" s="1655">
        <v>0.72060000000000002</v>
      </c>
      <c r="AI546" s="1878" t="s">
        <v>4</v>
      </c>
      <c r="AJ546" s="1827">
        <v>2014</v>
      </c>
      <c r="AK546" s="1822" t="s">
        <v>18</v>
      </c>
      <c r="AL546" s="1822">
        <v>3</v>
      </c>
      <c r="AM546" s="1823">
        <v>2539944083.0200009</v>
      </c>
      <c r="AN546" s="1824">
        <v>0.10858643095067592</v>
      </c>
      <c r="AO546" s="1822"/>
      <c r="AP546" s="1897" t="s">
        <v>1</v>
      </c>
      <c r="AQ546" s="1897" t="s">
        <v>501</v>
      </c>
      <c r="AR546" s="1897" t="s">
        <v>63</v>
      </c>
      <c r="AS546" s="1897">
        <v>1</v>
      </c>
      <c r="AT546" s="1898">
        <v>4522565000</v>
      </c>
      <c r="AU546" s="1896">
        <v>0.28984679197566926</v>
      </c>
      <c r="AV546" s="1822">
        <v>2011</v>
      </c>
      <c r="EA546" s="169"/>
      <c r="EB546" s="169"/>
      <c r="EC546" s="169"/>
      <c r="ED546" s="169"/>
      <c r="EE546" s="169"/>
      <c r="EF546" s="169"/>
      <c r="EG546" s="169"/>
      <c r="EH546" s="169"/>
      <c r="EI546" s="169"/>
      <c r="EJ546" s="169"/>
      <c r="EK546" s="169"/>
      <c r="EL546" s="169"/>
      <c r="EM546" s="169"/>
      <c r="EN546" s="169"/>
      <c r="EO546" s="169"/>
      <c r="EP546" s="169"/>
      <c r="EQ546" s="169"/>
      <c r="ER546" s="169"/>
      <c r="ES546" s="169"/>
      <c r="ET546" s="169"/>
      <c r="EU546" s="169"/>
      <c r="EV546" s="169"/>
      <c r="EW546" s="169"/>
      <c r="EX546" s="169"/>
    </row>
    <row r="547" spans="1:154">
      <c r="A547" s="333">
        <f t="shared" si="17"/>
        <v>2015</v>
      </c>
      <c r="B547" s="333">
        <f t="shared" si="18"/>
        <v>4</v>
      </c>
      <c r="C547" s="1175">
        <v>42309</v>
      </c>
      <c r="D547" s="1158">
        <v>361.71097391158003</v>
      </c>
      <c r="E547" s="1159">
        <v>1536.07</v>
      </c>
      <c r="F547" s="1159">
        <v>1085.7</v>
      </c>
      <c r="G547" s="1160">
        <v>45.73</v>
      </c>
      <c r="H547" s="1161">
        <v>63.958041958041953</v>
      </c>
      <c r="I547" s="1160">
        <v>41.844999999999999</v>
      </c>
      <c r="J547" s="1160">
        <v>58.7972027972028</v>
      </c>
      <c r="K547" s="1677">
        <v>9232.14</v>
      </c>
      <c r="L547" s="1677">
        <v>12912.087972027974</v>
      </c>
      <c r="M547" s="1681">
        <v>45.11</v>
      </c>
      <c r="N547" s="1162">
        <v>6724.81</v>
      </c>
      <c r="O547" s="1162">
        <v>2260.1065734265735</v>
      </c>
      <c r="P547" s="1162">
        <v>2212.9869930069931</v>
      </c>
      <c r="Q547" s="1163">
        <v>36</v>
      </c>
      <c r="R547" s="1164">
        <v>1092.3896133093526</v>
      </c>
      <c r="S547" s="1164">
        <v>1347.7326805837797</v>
      </c>
      <c r="T547" s="1164">
        <v>3022.5064806836945</v>
      </c>
      <c r="U547" s="1165">
        <v>34622</v>
      </c>
      <c r="V547" s="1166">
        <v>12098.733812197988</v>
      </c>
      <c r="W547" s="1166"/>
      <c r="X547" s="1794">
        <v>0.71499999999999997</v>
      </c>
      <c r="AI547" s="1878" t="s">
        <v>4</v>
      </c>
      <c r="AJ547" s="1827">
        <v>2014</v>
      </c>
      <c r="AK547" s="1822" t="s">
        <v>61</v>
      </c>
      <c r="AL547" s="1822">
        <v>4</v>
      </c>
      <c r="AM547" s="1823">
        <v>1315565751.8300006</v>
      </c>
      <c r="AN547" s="1824">
        <v>5.6242415188254957E-2</v>
      </c>
      <c r="AO547" s="1822"/>
      <c r="AP547" s="1897" t="s">
        <v>1</v>
      </c>
      <c r="AQ547" s="1897" t="s">
        <v>501</v>
      </c>
      <c r="AR547" s="1897" t="s">
        <v>530</v>
      </c>
      <c r="AS547" s="1897">
        <v>2</v>
      </c>
      <c r="AT547" s="1898">
        <v>4346966000</v>
      </c>
      <c r="AU547" s="1896">
        <v>0.27859282286209419</v>
      </c>
      <c r="AV547" s="1822">
        <v>2011</v>
      </c>
      <c r="EA547" s="169"/>
      <c r="EB547" s="169"/>
      <c r="EC547" s="169"/>
      <c r="ED547" s="169"/>
      <c r="EE547" s="169"/>
      <c r="EF547" s="169"/>
      <c r="EG547" s="169"/>
      <c r="EH547" s="169"/>
      <c r="EI547" s="169"/>
      <c r="EJ547" s="169"/>
      <c r="EK547" s="169"/>
      <c r="EL547" s="169"/>
      <c r="EM547" s="169"/>
      <c r="EN547" s="169"/>
      <c r="EO547" s="169"/>
      <c r="EP547" s="169"/>
      <c r="EQ547" s="169"/>
      <c r="ER547" s="169"/>
      <c r="ES547" s="169"/>
      <c r="ET547" s="169"/>
      <c r="EU547" s="169"/>
      <c r="EV547" s="169"/>
      <c r="EW547" s="169"/>
      <c r="EX547" s="169"/>
    </row>
    <row r="548" spans="1:154">
      <c r="A548" s="333">
        <f t="shared" si="17"/>
        <v>2015</v>
      </c>
      <c r="B548" s="333">
        <f t="shared" si="18"/>
        <v>4</v>
      </c>
      <c r="C548" s="1175">
        <v>42339</v>
      </c>
      <c r="D548" s="1167">
        <v>326.05707089999157</v>
      </c>
      <c r="E548" s="1168">
        <v>1486.33</v>
      </c>
      <c r="F548" s="1168">
        <v>1068.25</v>
      </c>
      <c r="G548" s="1168">
        <v>38.97</v>
      </c>
      <c r="H548" s="1167">
        <v>53.736900165471596</v>
      </c>
      <c r="I548" s="1168">
        <v>35.80681818181818</v>
      </c>
      <c r="J548" s="1168">
        <v>49.172642029784882</v>
      </c>
      <c r="K548" s="1678">
        <v>8692.14</v>
      </c>
      <c r="L548" s="1678">
        <v>11985.85617760618</v>
      </c>
      <c r="M548" s="1682">
        <v>38.83</v>
      </c>
      <c r="N548" s="1169">
        <v>6383.07</v>
      </c>
      <c r="O548" s="1169">
        <v>2345.9538058466628</v>
      </c>
      <c r="P548" s="1169">
        <v>2098.8626585769443</v>
      </c>
      <c r="Q548" s="1167">
        <v>34.25</v>
      </c>
      <c r="R548" s="1167">
        <v>1199.5194784544442</v>
      </c>
      <c r="S548" s="1167">
        <v>1325.8455993294217</v>
      </c>
      <c r="T548" s="1167">
        <v>2914.5082877832997</v>
      </c>
      <c r="U548" s="1167">
        <v>33419</v>
      </c>
      <c r="V548" s="1167">
        <v>18633.842968641795</v>
      </c>
      <c r="W548" s="1167"/>
      <c r="X548" s="1655">
        <v>0.72519999999999996</v>
      </c>
      <c r="AI548" s="1878" t="s">
        <v>4</v>
      </c>
      <c r="AJ548" s="1827">
        <v>2014</v>
      </c>
      <c r="AK548" s="1822" t="s">
        <v>33</v>
      </c>
      <c r="AL548" s="1822">
        <v>5</v>
      </c>
      <c r="AM548" s="1823">
        <v>864285502.99000025</v>
      </c>
      <c r="AN548" s="1824">
        <v>3.6949505589314521E-2</v>
      </c>
      <c r="AO548" s="1822"/>
      <c r="AP548" s="1897" t="s">
        <v>1</v>
      </c>
      <c r="AQ548" s="1897" t="s">
        <v>501</v>
      </c>
      <c r="AR548" s="1897" t="s">
        <v>21</v>
      </c>
      <c r="AS548" s="1897">
        <v>3</v>
      </c>
      <c r="AT548" s="1898">
        <v>2955373000</v>
      </c>
      <c r="AU548" s="1896">
        <v>0.18940698102548212</v>
      </c>
      <c r="AV548" s="1822">
        <v>2011</v>
      </c>
      <c r="EA548" s="169"/>
      <c r="EB548" s="169"/>
      <c r="EC548" s="169"/>
      <c r="ED548" s="169"/>
      <c r="EE548" s="169"/>
      <c r="EF548" s="169"/>
      <c r="EG548" s="169"/>
      <c r="EH548" s="169"/>
      <c r="EI548" s="169"/>
      <c r="EJ548" s="169"/>
      <c r="EK548" s="169"/>
      <c r="EL548" s="169"/>
      <c r="EM548" s="169"/>
      <c r="EN548" s="169"/>
      <c r="EO548" s="169"/>
      <c r="EP548" s="169"/>
      <c r="EQ548" s="169"/>
      <c r="ER548" s="169"/>
      <c r="ES548" s="169"/>
      <c r="ET548" s="169"/>
      <c r="EU548" s="169"/>
      <c r="EV548" s="169"/>
      <c r="EW548" s="169"/>
      <c r="EX548" s="169"/>
    </row>
    <row r="549" spans="1:154">
      <c r="A549" s="333">
        <f t="shared" si="17"/>
        <v>2016</v>
      </c>
      <c r="B549" s="333">
        <f t="shared" si="18"/>
        <v>1</v>
      </c>
      <c r="C549" s="1175">
        <v>42370</v>
      </c>
      <c r="D549" s="1158">
        <v>326.03896779657953</v>
      </c>
      <c r="E549" s="1159">
        <v>1574.65</v>
      </c>
      <c r="F549" s="1159">
        <v>1097.3800000000001</v>
      </c>
      <c r="G549" s="1160">
        <v>40.97</v>
      </c>
      <c r="H549" s="1161">
        <v>58.4</v>
      </c>
      <c r="I549" s="1160">
        <v>36.450000000000003</v>
      </c>
      <c r="J549" s="1160">
        <v>52.22</v>
      </c>
      <c r="K549" s="1677">
        <v>8483</v>
      </c>
      <c r="L549" s="1677">
        <v>12092.658600000001</v>
      </c>
      <c r="M549" s="1681">
        <v>32.299999999999997</v>
      </c>
      <c r="N549" s="1162">
        <v>6361.72</v>
      </c>
      <c r="O549" s="1162">
        <v>2347.75</v>
      </c>
      <c r="P549" s="1162">
        <v>2155.67</v>
      </c>
      <c r="Q549" s="1163">
        <v>34.75</v>
      </c>
      <c r="R549" s="1164">
        <v>1215.1039317281316</v>
      </c>
      <c r="S549" s="1164">
        <v>1250.2923645804181</v>
      </c>
      <c r="T549" s="1164">
        <v>2867.0263086379937</v>
      </c>
      <c r="U549" s="1165">
        <v>33335</v>
      </c>
      <c r="V549" s="1166">
        <v>24998.00221468772</v>
      </c>
      <c r="W549" s="1166"/>
      <c r="X549" s="1794">
        <v>0.70150000000000001</v>
      </c>
      <c r="AI549" s="1878" t="s">
        <v>4</v>
      </c>
      <c r="AJ549" s="1827">
        <v>2014</v>
      </c>
      <c r="AK549" s="1822" t="s">
        <v>25</v>
      </c>
      <c r="AL549" s="1822">
        <v>6</v>
      </c>
      <c r="AM549" s="1823">
        <v>817088070.18000007</v>
      </c>
      <c r="AN549" s="1824">
        <v>3.4931744327114364E-2</v>
      </c>
      <c r="AO549" s="1822"/>
      <c r="AP549" s="1897" t="s">
        <v>1</v>
      </c>
      <c r="AQ549" s="1897" t="s">
        <v>501</v>
      </c>
      <c r="AR549" s="1897" t="s">
        <v>33</v>
      </c>
      <c r="AS549" s="1897">
        <v>4</v>
      </c>
      <c r="AT549" s="1898">
        <v>1607031000</v>
      </c>
      <c r="AU549" s="1896">
        <v>0.10299305371077071</v>
      </c>
      <c r="AV549" s="1822">
        <v>2011</v>
      </c>
      <c r="EA549" s="169"/>
      <c r="EB549" s="169"/>
      <c r="EC549" s="169"/>
      <c r="ED549" s="169"/>
      <c r="EE549" s="169"/>
      <c r="EF549" s="169"/>
      <c r="EG549" s="169"/>
      <c r="EH549" s="169"/>
      <c r="EI549" s="169"/>
      <c r="EJ549" s="169"/>
      <c r="EK549" s="169"/>
      <c r="EL549" s="169"/>
      <c r="EM549" s="169"/>
      <c r="EN549" s="169"/>
      <c r="EO549" s="169"/>
      <c r="EP549" s="169"/>
      <c r="EQ549" s="169"/>
      <c r="ER549" s="169"/>
      <c r="ES549" s="169"/>
      <c r="ET549" s="169"/>
      <c r="EU549" s="169"/>
      <c r="EV549" s="169"/>
      <c r="EW549" s="169"/>
      <c r="EX549" s="169"/>
    </row>
    <row r="550" spans="1:154">
      <c r="A550" s="333">
        <f t="shared" si="17"/>
        <v>2016</v>
      </c>
      <c r="B550" s="333">
        <f t="shared" si="18"/>
        <v>1</v>
      </c>
      <c r="C550" s="1175">
        <v>42401</v>
      </c>
      <c r="D550" s="1167">
        <v>317.46868888151062</v>
      </c>
      <c r="E550" s="1168">
        <v>1686.71</v>
      </c>
      <c r="F550" s="1168">
        <v>1199.9100000000001</v>
      </c>
      <c r="G550" s="1168">
        <v>45.57</v>
      </c>
      <c r="H550" s="1167">
        <v>63.82</v>
      </c>
      <c r="I550" s="1168">
        <v>40.831578947368421</v>
      </c>
      <c r="J550" s="1168">
        <v>56.69</v>
      </c>
      <c r="K550" s="1678">
        <v>8309.52</v>
      </c>
      <c r="L550" s="1678">
        <v>11637.988499999999</v>
      </c>
      <c r="M550" s="1682">
        <v>35.08</v>
      </c>
      <c r="N550" s="1169">
        <v>6436.24</v>
      </c>
      <c r="O550" s="1169">
        <v>2481.19</v>
      </c>
      <c r="P550" s="1169">
        <v>2396.13</v>
      </c>
      <c r="Q550" s="1167">
        <v>32.15</v>
      </c>
      <c r="R550" s="1167">
        <v>1138.3088668880544</v>
      </c>
      <c r="S550" s="1167">
        <v>1380.8414544312816</v>
      </c>
      <c r="T550" s="1167">
        <v>2850.3481034239394</v>
      </c>
      <c r="U550" s="1167">
        <v>31348</v>
      </c>
      <c r="V550" s="1167">
        <v>29336.775032058711</v>
      </c>
      <c r="W550" s="1167"/>
      <c r="X550" s="1655">
        <v>0.71399999999999997</v>
      </c>
      <c r="AI550" s="1878" t="s">
        <v>4</v>
      </c>
      <c r="AJ550" s="1827">
        <v>2014</v>
      </c>
      <c r="AK550" s="1822" t="s">
        <v>125</v>
      </c>
      <c r="AL550" s="1822">
        <v>7</v>
      </c>
      <c r="AM550" s="1823">
        <v>325868501.89999998</v>
      </c>
      <c r="AN550" s="1824">
        <v>1.3931368732532019E-2</v>
      </c>
      <c r="AO550" s="1822"/>
      <c r="AP550" s="1897" t="s">
        <v>1</v>
      </c>
      <c r="AQ550" s="1897" t="s">
        <v>501</v>
      </c>
      <c r="AR550" s="1897" t="s">
        <v>61</v>
      </c>
      <c r="AS550" s="1897">
        <v>5</v>
      </c>
      <c r="AT550" s="1898">
        <v>1116730000</v>
      </c>
      <c r="AU550" s="1896">
        <v>7.1570139512199191E-2</v>
      </c>
      <c r="AV550" s="1822">
        <v>2011</v>
      </c>
      <c r="EA550" s="169"/>
      <c r="EB550" s="169"/>
      <c r="EC550" s="169"/>
      <c r="ED550" s="169"/>
      <c r="EE550" s="169"/>
      <c r="EF550" s="169"/>
      <c r="EG550" s="169"/>
      <c r="EH550" s="169"/>
      <c r="EI550" s="169"/>
      <c r="EJ550" s="169"/>
      <c r="EK550" s="169"/>
      <c r="EL550" s="169"/>
      <c r="EM550" s="169"/>
      <c r="EN550" s="169"/>
      <c r="EO550" s="169"/>
      <c r="EP550" s="169"/>
      <c r="EQ550" s="169"/>
      <c r="ER550" s="169"/>
      <c r="ES550" s="169"/>
      <c r="ET550" s="169"/>
      <c r="EU550" s="169"/>
      <c r="EV550" s="169"/>
      <c r="EW550" s="169"/>
      <c r="EX550" s="169"/>
    </row>
    <row r="551" spans="1:154">
      <c r="A551" s="333">
        <f t="shared" si="17"/>
        <v>2016</v>
      </c>
      <c r="B551" s="333">
        <f t="shared" si="18"/>
        <v>1</v>
      </c>
      <c r="C551" s="1175">
        <v>42430</v>
      </c>
      <c r="D551" s="1158">
        <v>293.63685380994264</v>
      </c>
      <c r="E551" s="1159">
        <v>1677.74</v>
      </c>
      <c r="F551" s="1159">
        <v>1246.3399999999999</v>
      </c>
      <c r="G551" s="1160">
        <v>55.22</v>
      </c>
      <c r="H551" s="1161">
        <v>73.53</v>
      </c>
      <c r="I551" s="1160">
        <v>49.840909090909079</v>
      </c>
      <c r="J551" s="1160">
        <v>66.5</v>
      </c>
      <c r="K551" s="1677">
        <v>8704.0499999999993</v>
      </c>
      <c r="L551" s="1677">
        <v>11589.943499999999</v>
      </c>
      <c r="M551" s="1681">
        <v>40.99</v>
      </c>
      <c r="N551" s="1162">
        <v>6587.95</v>
      </c>
      <c r="O551" s="1162">
        <v>2407.4899999999998</v>
      </c>
      <c r="P551" s="1162">
        <v>2402.9899999999998</v>
      </c>
      <c r="Q551" s="1163">
        <v>29.15</v>
      </c>
      <c r="R551" s="1164">
        <v>1122.0669768661119</v>
      </c>
      <c r="S551" s="1164">
        <v>1291.0093515066317</v>
      </c>
      <c r="T551" s="1164">
        <v>2792.9323552846186</v>
      </c>
      <c r="U551" s="1165">
        <v>30837</v>
      </c>
      <c r="V551" s="1166">
        <v>33040.997713993936</v>
      </c>
      <c r="W551" s="1166"/>
      <c r="X551" s="1794">
        <v>0.751</v>
      </c>
      <c r="AI551" s="1878" t="s">
        <v>4</v>
      </c>
      <c r="AJ551" s="1827">
        <v>2014</v>
      </c>
      <c r="AK551" s="1822" t="s">
        <v>22</v>
      </c>
      <c r="AL551" s="1822">
        <v>8</v>
      </c>
      <c r="AM551" s="1823">
        <v>154139537.43000001</v>
      </c>
      <c r="AN551" s="1824">
        <v>6.589697131446662E-3</v>
      </c>
      <c r="AO551" s="1822"/>
      <c r="AP551" s="1897" t="s">
        <v>1</v>
      </c>
      <c r="AQ551" s="1897" t="s">
        <v>501</v>
      </c>
      <c r="AR551" s="1897" t="s">
        <v>758</v>
      </c>
      <c r="AS551" s="1897">
        <v>6</v>
      </c>
      <c r="AT551" s="1898">
        <v>338791000</v>
      </c>
      <c r="AU551" s="1896">
        <v>2.171278566482272E-2</v>
      </c>
      <c r="AV551" s="1822">
        <v>2011</v>
      </c>
      <c r="EA551" s="169"/>
      <c r="EB551" s="169"/>
      <c r="EC551" s="169"/>
      <c r="ED551" s="169"/>
      <c r="EE551" s="169"/>
      <c r="EF551" s="169"/>
      <c r="EG551" s="169"/>
      <c r="EH551" s="169"/>
      <c r="EI551" s="169"/>
      <c r="EJ551" s="169"/>
      <c r="EK551" s="169"/>
      <c r="EL551" s="169"/>
      <c r="EM551" s="169"/>
      <c r="EN551" s="169"/>
      <c r="EO551" s="169"/>
      <c r="EP551" s="169"/>
      <c r="EQ551" s="169"/>
      <c r="ER551" s="169"/>
      <c r="ES551" s="169"/>
      <c r="ET551" s="169"/>
      <c r="EU551" s="169"/>
      <c r="EV551" s="169"/>
      <c r="EW551" s="169"/>
      <c r="EX551" s="169"/>
    </row>
    <row r="552" spans="1:154">
      <c r="A552" s="333">
        <f t="shared" si="17"/>
        <v>2016</v>
      </c>
      <c r="B552" s="333">
        <f t="shared" si="18"/>
        <v>2</v>
      </c>
      <c r="C552" s="1175">
        <v>42461</v>
      </c>
      <c r="D552" s="1167">
        <v>307.7176929156509</v>
      </c>
      <c r="E552" s="1168">
        <v>1631.08</v>
      </c>
      <c r="F552" s="1168">
        <v>1242.26</v>
      </c>
      <c r="G552" s="1168">
        <v>58.05</v>
      </c>
      <c r="H552" s="1167">
        <v>75.75</v>
      </c>
      <c r="I552" s="1168">
        <v>52.561904761904756</v>
      </c>
      <c r="J552" s="1168">
        <v>67.66</v>
      </c>
      <c r="K552" s="1678">
        <v>8852.6200000000008</v>
      </c>
      <c r="L552" s="1678">
        <v>11552.419400000001</v>
      </c>
      <c r="M552" s="1682">
        <v>43.73</v>
      </c>
      <c r="N552" s="1169">
        <v>6330.57</v>
      </c>
      <c r="O552" s="1169">
        <v>2255.86</v>
      </c>
      <c r="P552" s="1169">
        <v>2416.19</v>
      </c>
      <c r="Q552" s="1167">
        <v>27.5</v>
      </c>
      <c r="R552" s="1167">
        <v>1101.1751380433243</v>
      </c>
      <c r="S552" s="1167">
        <v>1125.4958970570617</v>
      </c>
      <c r="T552" s="1167">
        <v>2690.9200881461493</v>
      </c>
      <c r="U552" s="1167">
        <v>30159</v>
      </c>
      <c r="V552" s="1167">
        <v>34648.477643218408</v>
      </c>
      <c r="W552" s="1167"/>
      <c r="X552" s="1655">
        <v>0.76629999999999998</v>
      </c>
      <c r="AI552" s="1878" t="s">
        <v>4</v>
      </c>
      <c r="AJ552" s="1827">
        <v>2014</v>
      </c>
      <c r="AK552" s="1822" t="s">
        <v>537</v>
      </c>
      <c r="AL552" s="1822">
        <v>9</v>
      </c>
      <c r="AM552" s="1823">
        <v>152807446.93000001</v>
      </c>
      <c r="AN552" s="1824">
        <v>6.532748258412293E-3</v>
      </c>
      <c r="AO552" s="1822"/>
      <c r="AP552" s="1897" t="s">
        <v>1</v>
      </c>
      <c r="AQ552" s="1897" t="s">
        <v>501</v>
      </c>
      <c r="AR552" s="1897" t="s">
        <v>527</v>
      </c>
      <c r="AS552" s="1897">
        <v>7</v>
      </c>
      <c r="AT552" s="1898">
        <v>265020000</v>
      </c>
      <c r="AU552" s="1896">
        <v>1.6984874028210067E-2</v>
      </c>
      <c r="AV552" s="1822">
        <v>2011</v>
      </c>
      <c r="EA552" s="169"/>
      <c r="EB552" s="169"/>
      <c r="EC552" s="169"/>
      <c r="ED552" s="169"/>
      <c r="EE552" s="169"/>
      <c r="EF552" s="169"/>
      <c r="EG552" s="169"/>
      <c r="EH552" s="169"/>
      <c r="EI552" s="169"/>
      <c r="EJ552" s="169"/>
      <c r="EK552" s="169"/>
      <c r="EL552" s="169"/>
      <c r="EM552" s="169"/>
      <c r="EN552" s="169"/>
      <c r="EO552" s="169"/>
      <c r="EP552" s="169"/>
      <c r="EQ552" s="169"/>
      <c r="ER552" s="169"/>
      <c r="ES552" s="169"/>
      <c r="ET552" s="169"/>
      <c r="EU552" s="169"/>
      <c r="EV552" s="169"/>
      <c r="EW552" s="169"/>
      <c r="EX552" s="169"/>
    </row>
    <row r="553" spans="1:154">
      <c r="A553" s="333">
        <f t="shared" si="17"/>
        <v>2016</v>
      </c>
      <c r="B553" s="333">
        <f t="shared" si="18"/>
        <v>2</v>
      </c>
      <c r="C553" s="1175">
        <v>42491</v>
      </c>
      <c r="D553" s="1158">
        <v>330.85349665918795</v>
      </c>
      <c r="E553" s="1159">
        <v>1729.64</v>
      </c>
      <c r="F553" s="1159">
        <v>1259.4000000000001</v>
      </c>
      <c r="G553" s="1160">
        <v>53.64</v>
      </c>
      <c r="H553" s="1161">
        <v>73.260000000000005</v>
      </c>
      <c r="I553" s="1160">
        <v>46.619047619047613</v>
      </c>
      <c r="J553" s="1160">
        <v>63.08</v>
      </c>
      <c r="K553" s="1677">
        <v>8689.25</v>
      </c>
      <c r="L553" s="1677">
        <v>11867.3177</v>
      </c>
      <c r="M553" s="1681">
        <v>48.53</v>
      </c>
      <c r="N553" s="1162">
        <v>6430.42</v>
      </c>
      <c r="O553" s="1162">
        <v>2341.4699999999998</v>
      </c>
      <c r="P553" s="1162">
        <v>2555.59</v>
      </c>
      <c r="Q553" s="1163">
        <v>27.25</v>
      </c>
      <c r="R553" s="1164">
        <v>1102.2793091996014</v>
      </c>
      <c r="S553" s="1164">
        <v>1188.057852198461</v>
      </c>
      <c r="T553" s="1164">
        <v>2883.7725631840481</v>
      </c>
      <c r="U553" s="1165">
        <v>32217</v>
      </c>
      <c r="V553" s="1166">
        <v>35659.055974712384</v>
      </c>
      <c r="W553" s="1166"/>
      <c r="X553" s="1794">
        <v>0.73219999999999996</v>
      </c>
      <c r="AI553" s="1878" t="s">
        <v>4</v>
      </c>
      <c r="AJ553" s="1827">
        <v>2014</v>
      </c>
      <c r="AK553" s="1822" t="s">
        <v>532</v>
      </c>
      <c r="AL553" s="1822">
        <v>10</v>
      </c>
      <c r="AM553" s="1823">
        <v>70357676.700000003</v>
      </c>
      <c r="AN553" s="1824">
        <v>3.0078965335924562E-3</v>
      </c>
      <c r="AO553" s="1822"/>
      <c r="AP553" s="1897" t="s">
        <v>1</v>
      </c>
      <c r="AQ553" s="1897" t="s">
        <v>501</v>
      </c>
      <c r="AR553" s="1897" t="s">
        <v>371</v>
      </c>
      <c r="AS553" s="1897">
        <v>8</v>
      </c>
      <c r="AT553" s="1898">
        <v>252254000</v>
      </c>
      <c r="AU553" s="1896">
        <v>1.6166713505064156E-2</v>
      </c>
      <c r="AV553" s="1822">
        <v>2011</v>
      </c>
      <c r="EA553" s="169"/>
      <c r="EB553" s="169"/>
      <c r="EC553" s="169"/>
      <c r="ED553" s="169"/>
      <c r="EE553" s="169"/>
      <c r="EF553" s="169"/>
      <c r="EG553" s="169"/>
      <c r="EH553" s="169"/>
      <c r="EI553" s="169"/>
      <c r="EJ553" s="169"/>
      <c r="EK553" s="169"/>
      <c r="EL553" s="169"/>
      <c r="EM553" s="169"/>
      <c r="EN553" s="169"/>
      <c r="EO553" s="169"/>
      <c r="EP553" s="169"/>
      <c r="EQ553" s="169"/>
      <c r="ER553" s="169"/>
      <c r="ES553" s="169"/>
      <c r="ET553" s="169"/>
      <c r="EU553" s="169"/>
      <c r="EV553" s="169"/>
      <c r="EW553" s="169"/>
      <c r="EX553" s="169"/>
    </row>
    <row r="554" spans="1:154">
      <c r="A554" s="333">
        <f t="shared" si="17"/>
        <v>2016</v>
      </c>
      <c r="B554" s="333">
        <f t="shared" si="18"/>
        <v>2</v>
      </c>
      <c r="C554" s="1175">
        <v>42522</v>
      </c>
      <c r="D554" s="1167">
        <v>334.82954687180103</v>
      </c>
      <c r="E554" s="1168">
        <v>1731.45</v>
      </c>
      <c r="F554" s="1168">
        <v>1276.4000000000001</v>
      </c>
      <c r="G554" s="1168">
        <v>52.72</v>
      </c>
      <c r="H554" s="1167">
        <v>71.180000000000007</v>
      </c>
      <c r="I554" s="1168">
        <v>42.827272727272721</v>
      </c>
      <c r="J554" s="1168">
        <v>58.86</v>
      </c>
      <c r="K554" s="1678">
        <v>8915.4500000000007</v>
      </c>
      <c r="L554" s="1678">
        <v>12036.53</v>
      </c>
      <c r="M554" s="1682">
        <v>49.98</v>
      </c>
      <c r="N554" s="1169">
        <v>6251.7</v>
      </c>
      <c r="O554" s="1169">
        <v>2313.9</v>
      </c>
      <c r="P554" s="1169">
        <v>2731.2</v>
      </c>
      <c r="Q554" s="1167">
        <v>27</v>
      </c>
      <c r="R554" s="1167">
        <v>1174.1419038122267</v>
      </c>
      <c r="S554" s="1167">
        <v>1171.6025990358416</v>
      </c>
      <c r="T554" s="1167">
        <v>2829.6221738527715</v>
      </c>
      <c r="U554" s="1167">
        <v>32302</v>
      </c>
      <c r="V554" s="1167">
        <v>33507.502302023539</v>
      </c>
      <c r="W554" s="1167"/>
      <c r="X554" s="1655">
        <v>0.74070000000000003</v>
      </c>
      <c r="AI554" s="1878" t="s">
        <v>4</v>
      </c>
      <c r="AJ554" s="1827">
        <v>2014</v>
      </c>
      <c r="AK554" s="1822" t="s">
        <v>39</v>
      </c>
      <c r="AL554" s="1822"/>
      <c r="AM554" s="1823">
        <v>206950712.61000061</v>
      </c>
      <c r="AN554" s="1824">
        <v>8.8474543259628325E-3</v>
      </c>
      <c r="AO554" s="1822"/>
      <c r="AP554" s="1897" t="s">
        <v>1</v>
      </c>
      <c r="AQ554" s="1897" t="s">
        <v>501</v>
      </c>
      <c r="AR554" s="1897" t="s">
        <v>58</v>
      </c>
      <c r="AS554" s="1897">
        <v>9</v>
      </c>
      <c r="AT554" s="1898">
        <v>101815000</v>
      </c>
      <c r="AU554" s="1896">
        <v>6.5252243196068519E-3</v>
      </c>
      <c r="AV554" s="1822">
        <v>2011</v>
      </c>
      <c r="EA554" s="169"/>
      <c r="EB554" s="169"/>
      <c r="EC554" s="169"/>
      <c r="ED554" s="169"/>
      <c r="EE554" s="169"/>
      <c r="EF554" s="169"/>
      <c r="EG554" s="169"/>
      <c r="EH554" s="169"/>
      <c r="EI554" s="169"/>
      <c r="EJ554" s="169"/>
      <c r="EK554" s="169"/>
      <c r="EL554" s="169"/>
      <c r="EM554" s="169"/>
      <c r="EN554" s="169"/>
      <c r="EO554" s="169"/>
      <c r="EP554" s="169"/>
      <c r="EQ554" s="169"/>
      <c r="ER554" s="169"/>
      <c r="ES554" s="169"/>
      <c r="ET554" s="169"/>
      <c r="EU554" s="169"/>
      <c r="EV554" s="169"/>
      <c r="EW554" s="169"/>
      <c r="EX554" s="169"/>
    </row>
    <row r="555" spans="1:154">
      <c r="A555" s="333">
        <f t="shared" si="17"/>
        <v>2016</v>
      </c>
      <c r="B555" s="333">
        <f t="shared" si="18"/>
        <v>3</v>
      </c>
      <c r="C555" s="1175">
        <v>42552</v>
      </c>
      <c r="D555" s="1158">
        <v>318.33882244544691</v>
      </c>
      <c r="E555" s="1159">
        <v>1789.93</v>
      </c>
      <c r="F555" s="1159">
        <v>1337.33</v>
      </c>
      <c r="G555" s="1160">
        <v>56.83</v>
      </c>
      <c r="H555" s="1161">
        <v>75.47</v>
      </c>
      <c r="I555" s="1160">
        <v>47.176190476190477</v>
      </c>
      <c r="J555" s="1160">
        <v>62.71</v>
      </c>
      <c r="K555" s="1677">
        <v>10251.9</v>
      </c>
      <c r="L555" s="1677">
        <v>13614.75</v>
      </c>
      <c r="M555" s="1681">
        <v>45.84</v>
      </c>
      <c r="N555" s="1162">
        <v>6448.59</v>
      </c>
      <c r="O555" s="1162">
        <v>2436.7600000000002</v>
      </c>
      <c r="P555" s="1162">
        <v>2901.51</v>
      </c>
      <c r="Q555" s="1163">
        <v>25</v>
      </c>
      <c r="R555" s="1164">
        <v>1103.5824732229796</v>
      </c>
      <c r="S555" s="1164">
        <v>1183.8377883121539</v>
      </c>
      <c r="T555" s="1164">
        <v>2841.7541924077586</v>
      </c>
      <c r="U555" s="1165">
        <v>33525</v>
      </c>
      <c r="V555" s="1166">
        <v>31772.784374804603</v>
      </c>
      <c r="W555" s="1166"/>
      <c r="X555" s="1794">
        <v>0.753</v>
      </c>
      <c r="AI555" s="1878" t="s">
        <v>4</v>
      </c>
      <c r="AJ555" s="1827">
        <v>2014</v>
      </c>
      <c r="AK555" s="1822" t="s">
        <v>386</v>
      </c>
      <c r="AL555" s="1822"/>
      <c r="AM555" s="1823">
        <v>23390989654.810001</v>
      </c>
      <c r="AN555" s="1824"/>
      <c r="AO555" s="1822"/>
      <c r="AP555" s="1897" t="s">
        <v>1</v>
      </c>
      <c r="AQ555" s="1897" t="s">
        <v>501</v>
      </c>
      <c r="AR555" s="1897" t="s">
        <v>71</v>
      </c>
      <c r="AS555" s="1897">
        <v>10</v>
      </c>
      <c r="AT555" s="1898">
        <v>64040000</v>
      </c>
      <c r="AU555" s="1896">
        <v>4.1042613114729938E-3</v>
      </c>
      <c r="AV555" s="1822">
        <v>2011</v>
      </c>
      <c r="EA555" s="169"/>
      <c r="EB555" s="169"/>
      <c r="EC555" s="169"/>
      <c r="ED555" s="169"/>
      <c r="EE555" s="169"/>
      <c r="EF555" s="169"/>
      <c r="EG555" s="169"/>
      <c r="EH555" s="169"/>
      <c r="EI555" s="169"/>
      <c r="EJ555" s="169"/>
      <c r="EK555" s="169"/>
      <c r="EL555" s="169"/>
      <c r="EM555" s="169"/>
      <c r="EN555" s="169"/>
      <c r="EO555" s="169"/>
      <c r="EP555" s="169"/>
      <c r="EQ555" s="169"/>
      <c r="ER555" s="169"/>
      <c r="ES555" s="169"/>
      <c r="ET555" s="169"/>
      <c r="EU555" s="169"/>
      <c r="EV555" s="169"/>
      <c r="EW555" s="169"/>
      <c r="EX555" s="169"/>
    </row>
    <row r="556" spans="1:154">
      <c r="A556" s="333">
        <f t="shared" si="17"/>
        <v>2016</v>
      </c>
      <c r="B556" s="333">
        <f t="shared" si="18"/>
        <v>3</v>
      </c>
      <c r="C556" s="1175">
        <v>42583</v>
      </c>
      <c r="D556" s="1167">
        <v>310.82907512588451</v>
      </c>
      <c r="E556" s="1168">
        <v>1770.59</v>
      </c>
      <c r="F556" s="1168">
        <v>1341.09</v>
      </c>
      <c r="G556" s="1168">
        <v>60.63</v>
      </c>
      <c r="H556" s="1167">
        <v>79.540000000000006</v>
      </c>
      <c r="I556" s="1168">
        <v>50.5</v>
      </c>
      <c r="J556" s="1168">
        <v>66.209999999999994</v>
      </c>
      <c r="K556" s="1678">
        <v>10353.86</v>
      </c>
      <c r="L556" s="1678">
        <v>13582.4</v>
      </c>
      <c r="M556" s="1682">
        <v>46.4</v>
      </c>
      <c r="N556" s="1169">
        <v>6241.91</v>
      </c>
      <c r="O556" s="1169">
        <v>2412.29</v>
      </c>
      <c r="P556" s="1169">
        <v>2994.59</v>
      </c>
      <c r="Q556" s="1167">
        <v>25.25</v>
      </c>
      <c r="R556" s="1167">
        <v>1053.5592643775913</v>
      </c>
      <c r="S556" s="1167">
        <v>1142.5105130012855</v>
      </c>
      <c r="T556" s="1167">
        <v>2812.0002918709124</v>
      </c>
      <c r="U556" s="1167">
        <v>34734</v>
      </c>
      <c r="V556" s="1167">
        <v>31236.982724255471</v>
      </c>
      <c r="W556" s="1167"/>
      <c r="X556" s="1655">
        <v>0.76229999999999998</v>
      </c>
      <c r="AI556" s="1878" t="s">
        <v>4</v>
      </c>
      <c r="AJ556" s="1827">
        <v>2013</v>
      </c>
      <c r="AK556" s="1822" t="s">
        <v>23</v>
      </c>
      <c r="AL556" s="1822">
        <v>1</v>
      </c>
      <c r="AM556" s="1823">
        <v>11971380719</v>
      </c>
      <c r="AN556" s="1824">
        <v>0.6</v>
      </c>
      <c r="AO556" s="1822"/>
      <c r="AP556" s="1897" t="s">
        <v>1</v>
      </c>
      <c r="AQ556" s="1897" t="s">
        <v>501</v>
      </c>
      <c r="AR556" s="1897" t="s">
        <v>39</v>
      </c>
      <c r="AS556" s="1897"/>
      <c r="AT556" s="1898">
        <v>32710000</v>
      </c>
      <c r="AU556" s="1896">
        <v>2.0963520846077706E-3</v>
      </c>
      <c r="AV556" s="1822">
        <v>2011</v>
      </c>
      <c r="EA556" s="169"/>
      <c r="EB556" s="169"/>
      <c r="EC556" s="169"/>
      <c r="ED556" s="169"/>
      <c r="EE556" s="169"/>
      <c r="EF556" s="169"/>
      <c r="EG556" s="169"/>
      <c r="EH556" s="169"/>
      <c r="EI556" s="169"/>
      <c r="EJ556" s="169"/>
      <c r="EK556" s="169"/>
      <c r="EL556" s="169"/>
      <c r="EM556" s="169"/>
      <c r="EN556" s="169"/>
      <c r="EO556" s="169"/>
      <c r="EP556" s="169"/>
      <c r="EQ556" s="169"/>
      <c r="ER556" s="169"/>
      <c r="ES556" s="169"/>
      <c r="ET556" s="169"/>
      <c r="EU556" s="169"/>
      <c r="EV556" s="169"/>
      <c r="EW556" s="169"/>
      <c r="EX556" s="169"/>
    </row>
    <row r="557" spans="1:154">
      <c r="A557" s="333">
        <f t="shared" si="17"/>
        <v>2016</v>
      </c>
      <c r="B557" s="333">
        <f t="shared" si="18"/>
        <v>3</v>
      </c>
      <c r="C557" s="1175">
        <v>42614</v>
      </c>
      <c r="D557" s="1158">
        <v>306.11480138035</v>
      </c>
      <c r="E557" s="1159">
        <v>1758.83</v>
      </c>
      <c r="F557" s="1159">
        <v>1326.03</v>
      </c>
      <c r="G557" s="1160">
        <v>57.11</v>
      </c>
      <c r="H557" s="1161">
        <v>75.22</v>
      </c>
      <c r="I557" s="1160">
        <v>47.861363636363627</v>
      </c>
      <c r="J557" s="1160">
        <v>62.97</v>
      </c>
      <c r="K557" s="1677">
        <v>10188.41</v>
      </c>
      <c r="L557" s="1677">
        <v>13419.93</v>
      </c>
      <c r="M557" s="1681">
        <v>46.87</v>
      </c>
      <c r="N557" s="1162">
        <v>6200.19</v>
      </c>
      <c r="O557" s="1162">
        <v>2557.9899999999998</v>
      </c>
      <c r="P557" s="1162">
        <v>3020.02</v>
      </c>
      <c r="Q557" s="1163">
        <v>23.75</v>
      </c>
      <c r="R557" s="1164">
        <v>1153.4440303302918</v>
      </c>
      <c r="S557" s="1164">
        <v>1135.416575743028</v>
      </c>
      <c r="T557" s="1164">
        <v>2962.1183911553348</v>
      </c>
      <c r="U557" s="1165">
        <v>35310</v>
      </c>
      <c r="V557" s="1166">
        <v>31107.406002190342</v>
      </c>
      <c r="W557" s="1166"/>
      <c r="X557" s="1794">
        <v>0.75919999999999999</v>
      </c>
      <c r="AI557" s="1878" t="s">
        <v>4</v>
      </c>
      <c r="AJ557" s="1827">
        <v>2013</v>
      </c>
      <c r="AK557" s="1822" t="s">
        <v>24</v>
      </c>
      <c r="AL557" s="1822">
        <v>2</v>
      </c>
      <c r="AM557" s="1823">
        <v>1992417617</v>
      </c>
      <c r="AN557" s="1824">
        <v>0.1</v>
      </c>
      <c r="AO557" s="1822"/>
      <c r="AP557" s="1897" t="s">
        <v>1</v>
      </c>
      <c r="AQ557" s="1897" t="s">
        <v>501</v>
      </c>
      <c r="AR557" s="1897" t="s">
        <v>386</v>
      </c>
      <c r="AS557" s="1897"/>
      <c r="AT557" s="1898">
        <v>15603295000</v>
      </c>
      <c r="AU557" s="1896">
        <v>1</v>
      </c>
      <c r="AV557" s="1822">
        <v>2011</v>
      </c>
      <c r="EA557" s="169"/>
      <c r="EB557" s="169"/>
      <c r="EC557" s="169"/>
      <c r="ED557" s="169"/>
      <c r="EE557" s="169"/>
      <c r="EF557" s="169"/>
      <c r="EG557" s="169"/>
      <c r="EH557" s="169"/>
      <c r="EI557" s="169"/>
      <c r="EJ557" s="169"/>
      <c r="EK557" s="169"/>
      <c r="EL557" s="169"/>
      <c r="EM557" s="169"/>
      <c r="EN557" s="169"/>
      <c r="EO557" s="169"/>
      <c r="EP557" s="169"/>
      <c r="EQ557" s="169"/>
      <c r="ER557" s="169"/>
      <c r="ES557" s="169"/>
      <c r="ET557" s="169"/>
      <c r="EU557" s="169"/>
      <c r="EV557" s="169"/>
      <c r="EW557" s="169"/>
      <c r="EX557" s="169"/>
    </row>
    <row r="558" spans="1:154">
      <c r="A558" s="333">
        <f t="shared" si="17"/>
        <v>2016</v>
      </c>
      <c r="B558" s="333">
        <f t="shared" si="18"/>
        <v>4</v>
      </c>
      <c r="C558" s="1175">
        <v>42644</v>
      </c>
      <c r="D558" s="1167">
        <v>301.89505520427042</v>
      </c>
      <c r="E558" s="1168">
        <v>1675.91</v>
      </c>
      <c r="F558" s="1168">
        <v>1266.5899999999999</v>
      </c>
      <c r="G558" s="1168">
        <v>58.54</v>
      </c>
      <c r="H558" s="1167">
        <v>76.86</v>
      </c>
      <c r="I558" s="1168">
        <v>50.38095238095238</v>
      </c>
      <c r="J558" s="1168">
        <v>66.150000000000006</v>
      </c>
      <c r="K558" s="1678">
        <v>10266.43</v>
      </c>
      <c r="L558" s="1678">
        <v>13480.08</v>
      </c>
      <c r="M558" s="1682">
        <v>51.24</v>
      </c>
      <c r="N558" s="1169">
        <v>6213.42</v>
      </c>
      <c r="O558" s="1169">
        <v>2678.48</v>
      </c>
      <c r="P558" s="1169">
        <v>3038.53</v>
      </c>
      <c r="Q558" s="1167">
        <v>20</v>
      </c>
      <c r="R558" s="1167">
        <v>1140.2731515598134</v>
      </c>
      <c r="S558" s="1167">
        <v>1146.3494258872652</v>
      </c>
      <c r="T558" s="1167">
        <v>2957.1161483043402</v>
      </c>
      <c r="U558" s="1167">
        <v>37284</v>
      </c>
      <c r="V558" s="1167">
        <v>30635.27369370688</v>
      </c>
      <c r="W558" s="1167"/>
      <c r="X558" s="1655">
        <v>0.76160000000000005</v>
      </c>
      <c r="AI558" s="1878" t="s">
        <v>4</v>
      </c>
      <c r="AJ558" s="1827">
        <v>2013</v>
      </c>
      <c r="AK558" s="1822" t="s">
        <v>18</v>
      </c>
      <c r="AL558" s="1822">
        <v>3</v>
      </c>
      <c r="AM558" s="1823">
        <v>1936328376</v>
      </c>
      <c r="AN558" s="1824">
        <v>9.7000000000000003E-2</v>
      </c>
      <c r="AO558" s="1822"/>
      <c r="AP558" s="1899" t="s">
        <v>1</v>
      </c>
      <c r="AQ558" s="1899" t="s">
        <v>502</v>
      </c>
      <c r="AR558" s="1899" t="s">
        <v>530</v>
      </c>
      <c r="AS558" s="1899">
        <v>1</v>
      </c>
      <c r="AT558" s="1900">
        <v>5990206000</v>
      </c>
      <c r="AU558" s="1896">
        <v>0.4017998403990547</v>
      </c>
      <c r="AV558" s="1822">
        <v>2012</v>
      </c>
      <c r="EA558" s="169"/>
      <c r="EB558" s="169"/>
      <c r="EC558" s="169"/>
      <c r="ED558" s="169"/>
      <c r="EE558" s="169"/>
      <c r="EF558" s="169"/>
      <c r="EG558" s="169"/>
      <c r="EH558" s="169"/>
      <c r="EI558" s="169"/>
      <c r="EJ558" s="169"/>
      <c r="EK558" s="169"/>
      <c r="EL558" s="169"/>
      <c r="EM558" s="169"/>
      <c r="EN558" s="169"/>
      <c r="EO558" s="169"/>
      <c r="EP558" s="169"/>
      <c r="EQ558" s="169"/>
      <c r="ER558" s="169"/>
      <c r="ES558" s="169"/>
      <c r="ET558" s="169"/>
      <c r="EU558" s="169"/>
      <c r="EV558" s="169"/>
      <c r="EW558" s="169"/>
      <c r="EX558" s="169"/>
    </row>
    <row r="559" spans="1:154">
      <c r="A559" s="333">
        <f t="shared" si="17"/>
        <v>2016</v>
      </c>
      <c r="B559" s="333">
        <f t="shared" si="18"/>
        <v>4</v>
      </c>
      <c r="C559" s="1175">
        <v>42675</v>
      </c>
      <c r="D559" s="1158">
        <v>340.72033058599879</v>
      </c>
      <c r="E559" s="1159">
        <v>1653.24</v>
      </c>
      <c r="F559" s="1159">
        <v>1235.98</v>
      </c>
      <c r="G559" s="1160">
        <v>73.67</v>
      </c>
      <c r="H559" s="1161">
        <v>97.85</v>
      </c>
      <c r="I559" s="1160">
        <v>61.536363636363632</v>
      </c>
      <c r="J559" s="1160">
        <v>82.56</v>
      </c>
      <c r="K559" s="1677">
        <v>11142.95</v>
      </c>
      <c r="L559" s="1677">
        <v>14800.05</v>
      </c>
      <c r="M559" s="1681">
        <v>48.22</v>
      </c>
      <c r="N559" s="1162">
        <v>7229.71</v>
      </c>
      <c r="O559" s="1162">
        <v>2893.93</v>
      </c>
      <c r="P559" s="1162">
        <v>3411.93</v>
      </c>
      <c r="Q559" s="1163">
        <v>20</v>
      </c>
      <c r="R559" s="1164">
        <v>1147.314632000782</v>
      </c>
      <c r="S559" s="1164">
        <v>1175.3088181148746</v>
      </c>
      <c r="T559" s="1164">
        <v>3003.1435572387186</v>
      </c>
      <c r="U559" s="1165">
        <v>39164</v>
      </c>
      <c r="V559" s="1166">
        <v>29782.53545770916</v>
      </c>
      <c r="W559" s="1166"/>
      <c r="X559" s="1794">
        <v>0.75290000000000001</v>
      </c>
      <c r="AI559" s="1878" t="s">
        <v>4</v>
      </c>
      <c r="AJ559" s="1827">
        <v>2013</v>
      </c>
      <c r="AK559" s="1822" t="s">
        <v>61</v>
      </c>
      <c r="AL559" s="1822">
        <v>4</v>
      </c>
      <c r="AM559" s="1823">
        <v>1227230422</v>
      </c>
      <c r="AN559" s="1824">
        <v>6.2E-2</v>
      </c>
      <c r="AO559" s="1822"/>
      <c r="AP559" s="1899" t="s">
        <v>1</v>
      </c>
      <c r="AQ559" s="1899" t="s">
        <v>502</v>
      </c>
      <c r="AR559" s="1899" t="s">
        <v>21</v>
      </c>
      <c r="AS559" s="1899">
        <v>2</v>
      </c>
      <c r="AT559" s="1900">
        <v>2978925000</v>
      </c>
      <c r="AU559" s="1896">
        <v>0.19981476255754041</v>
      </c>
      <c r="AV559" s="1822">
        <v>2012</v>
      </c>
      <c r="EA559" s="169"/>
      <c r="EB559" s="169"/>
      <c r="EC559" s="169"/>
      <c r="ED559" s="169"/>
      <c r="EE559" s="169"/>
      <c r="EF559" s="169"/>
      <c r="EG559" s="169"/>
      <c r="EH559" s="169"/>
      <c r="EI559" s="169"/>
      <c r="EJ559" s="169"/>
      <c r="EK559" s="169"/>
      <c r="EL559" s="169"/>
      <c r="EM559" s="169"/>
      <c r="EN559" s="169"/>
      <c r="EO559" s="169"/>
      <c r="EP559" s="169"/>
      <c r="EQ559" s="169"/>
      <c r="ER559" s="169"/>
      <c r="ES559" s="169"/>
      <c r="ET559" s="169"/>
      <c r="EU559" s="169"/>
      <c r="EV559" s="169"/>
      <c r="EW559" s="169"/>
      <c r="EX559" s="169"/>
    </row>
    <row r="560" spans="1:154">
      <c r="A560" s="333">
        <f t="shared" si="17"/>
        <v>2016</v>
      </c>
      <c r="B560" s="333">
        <f t="shared" si="18"/>
        <v>4</v>
      </c>
      <c r="C560" s="1175">
        <v>42705</v>
      </c>
      <c r="D560" s="1168">
        <v>389.74708282516639</v>
      </c>
      <c r="E560" s="1168">
        <v>1570.76</v>
      </c>
      <c r="F560" s="1168">
        <v>1151.4000000000001</v>
      </c>
      <c r="G560" s="1168">
        <v>80</v>
      </c>
      <c r="H560" s="1167">
        <v>109</v>
      </c>
      <c r="I560" s="1168">
        <v>68.63333333333334</v>
      </c>
      <c r="J560" s="1168">
        <v>94</v>
      </c>
      <c r="K560" s="1678">
        <v>11013.25</v>
      </c>
      <c r="L560" s="1678">
        <v>15014.66</v>
      </c>
      <c r="M560" s="1682">
        <v>55.75</v>
      </c>
      <c r="N560" s="1169">
        <v>7724.95</v>
      </c>
      <c r="O560" s="1169">
        <v>3041.34</v>
      </c>
      <c r="P560" s="1169">
        <v>3642.4</v>
      </c>
      <c r="Q560" s="1167">
        <v>20.25</v>
      </c>
      <c r="R560" s="1167">
        <v>1197.9728260869565</v>
      </c>
      <c r="S560" s="1167">
        <v>1227.4514660353304</v>
      </c>
      <c r="T560" s="1167">
        <v>3046.0021342332784</v>
      </c>
      <c r="U560" s="1167">
        <v>43337</v>
      </c>
      <c r="V560" s="1167">
        <v>30155.384594243897</v>
      </c>
      <c r="W560" s="1167"/>
      <c r="X560" s="1655">
        <v>0.73350000000000004</v>
      </c>
      <c r="AI560" s="1878" t="s">
        <v>4</v>
      </c>
      <c r="AJ560" s="1827">
        <v>2013</v>
      </c>
      <c r="AK560" s="1822" t="s">
        <v>33</v>
      </c>
      <c r="AL560" s="1822">
        <v>5</v>
      </c>
      <c r="AM560" s="1823">
        <v>857604098</v>
      </c>
      <c r="AN560" s="1824">
        <v>4.2999999999999997E-2</v>
      </c>
      <c r="AO560" s="1822"/>
      <c r="AP560" s="1899" t="s">
        <v>1</v>
      </c>
      <c r="AQ560" s="1899" t="s">
        <v>502</v>
      </c>
      <c r="AR560" s="1899" t="s">
        <v>63</v>
      </c>
      <c r="AS560" s="1899">
        <v>3</v>
      </c>
      <c r="AT560" s="1900">
        <v>2615993000</v>
      </c>
      <c r="AU560" s="1896">
        <v>0.17547068830104412</v>
      </c>
      <c r="AV560" s="1822">
        <v>2012</v>
      </c>
      <c r="EA560" s="169"/>
      <c r="EB560" s="169"/>
      <c r="EC560" s="169"/>
      <c r="ED560" s="169"/>
      <c r="EE560" s="169"/>
      <c r="EF560" s="169"/>
      <c r="EG560" s="169"/>
      <c r="EH560" s="169"/>
      <c r="EI560" s="169"/>
      <c r="EJ560" s="169"/>
      <c r="EK560" s="169"/>
      <c r="EL560" s="169"/>
      <c r="EM560" s="169"/>
      <c r="EN560" s="169"/>
      <c r="EO560" s="169"/>
      <c r="EP560" s="169"/>
      <c r="EQ560" s="169"/>
      <c r="ER560" s="169"/>
      <c r="ES560" s="169"/>
      <c r="ET560" s="169"/>
      <c r="EU560" s="169"/>
      <c r="EV560" s="169"/>
      <c r="EW560" s="169"/>
      <c r="EX560" s="169"/>
    </row>
    <row r="561" spans="1:154">
      <c r="A561" s="333">
        <f t="shared" si="17"/>
        <v>2017</v>
      </c>
      <c r="B561" s="333">
        <f t="shared" si="18"/>
        <v>1</v>
      </c>
      <c r="C561" s="1175">
        <v>42736</v>
      </c>
      <c r="D561" s="1158">
        <v>432.42348666291423</v>
      </c>
      <c r="E561" s="1159">
        <v>1602.86</v>
      </c>
      <c r="F561" s="1159">
        <v>1192.6199999999999</v>
      </c>
      <c r="G561" s="1160">
        <v>81</v>
      </c>
      <c r="H561" s="1161">
        <v>108</v>
      </c>
      <c r="I561" s="1160">
        <v>69.307142857142878</v>
      </c>
      <c r="J561" s="1160">
        <v>93</v>
      </c>
      <c r="K561" s="1677">
        <v>9984.2900000000009</v>
      </c>
      <c r="L561" s="1677">
        <v>13385.56</v>
      </c>
      <c r="M561" s="1681">
        <v>56.79</v>
      </c>
      <c r="N561" s="1162">
        <v>7691.95</v>
      </c>
      <c r="O561" s="1162">
        <v>2998.65</v>
      </c>
      <c r="P561" s="1162">
        <v>3637.22</v>
      </c>
      <c r="Q561" s="1163">
        <v>23</v>
      </c>
      <c r="R561" s="1164">
        <v>1123.7136586895183</v>
      </c>
      <c r="S561" s="1164">
        <v>1235.5819881053526</v>
      </c>
      <c r="T561" s="1164">
        <v>2929.625272268594</v>
      </c>
      <c r="U561" s="1165">
        <v>46872</v>
      </c>
      <c r="V561" s="1166">
        <v>27899.47047746514</v>
      </c>
      <c r="W561" s="1166"/>
      <c r="X561" s="1794">
        <v>0.74590000000000001</v>
      </c>
      <c r="AI561" s="1878" t="s">
        <v>4</v>
      </c>
      <c r="AJ561" s="1827">
        <v>2013</v>
      </c>
      <c r="AK561" s="1822" t="s">
        <v>25</v>
      </c>
      <c r="AL561" s="1822">
        <v>6</v>
      </c>
      <c r="AM561" s="1823">
        <v>636688281</v>
      </c>
      <c r="AN561" s="1824">
        <v>3.2000000000000001E-2</v>
      </c>
      <c r="AO561" s="1822"/>
      <c r="AP561" s="1899" t="s">
        <v>1</v>
      </c>
      <c r="AQ561" s="1899" t="s">
        <v>502</v>
      </c>
      <c r="AR561" s="1899" t="s">
        <v>33</v>
      </c>
      <c r="AS561" s="1899">
        <v>4</v>
      </c>
      <c r="AT561" s="1900">
        <v>1271017000</v>
      </c>
      <c r="AU561" s="1896">
        <v>8.5254902376393285E-2</v>
      </c>
      <c r="AV561" s="1822">
        <v>2012</v>
      </c>
      <c r="EA561" s="169"/>
      <c r="EB561" s="169"/>
      <c r="EC561" s="169"/>
      <c r="ED561" s="169"/>
      <c r="EE561" s="169"/>
      <c r="EF561" s="169"/>
      <c r="EG561" s="169"/>
      <c r="EH561" s="169"/>
      <c r="EI561" s="169"/>
      <c r="EJ561" s="169"/>
      <c r="EK561" s="169"/>
      <c r="EL561" s="169"/>
      <c r="EM561" s="169"/>
      <c r="EN561" s="169"/>
      <c r="EO561" s="169"/>
      <c r="EP561" s="169"/>
      <c r="EQ561" s="169"/>
      <c r="ER561" s="169"/>
      <c r="ES561" s="169"/>
      <c r="ET561" s="169"/>
      <c r="EU561" s="169"/>
      <c r="EV561" s="169"/>
      <c r="EW561" s="169"/>
      <c r="EX561" s="169"/>
    </row>
    <row r="562" spans="1:154">
      <c r="A562" s="333">
        <f t="shared" si="17"/>
        <v>2017</v>
      </c>
      <c r="B562" s="333">
        <f t="shared" si="18"/>
        <v>1</v>
      </c>
      <c r="C562" s="1175">
        <v>42767</v>
      </c>
      <c r="D562" s="1168">
        <v>403.19054536166158</v>
      </c>
      <c r="E562" s="1168">
        <v>1614.24</v>
      </c>
      <c r="F562" s="1168">
        <v>1234.3599999999999</v>
      </c>
      <c r="G562" s="1168">
        <v>89</v>
      </c>
      <c r="H562" s="1167">
        <v>116</v>
      </c>
      <c r="I562" s="1168">
        <v>75.545000000000016</v>
      </c>
      <c r="J562" s="1168">
        <v>99</v>
      </c>
      <c r="K562" s="1678">
        <v>10619.5</v>
      </c>
      <c r="L562" s="1678">
        <v>13852.73</v>
      </c>
      <c r="M562" s="1682">
        <v>57.28</v>
      </c>
      <c r="N562" s="1169">
        <v>7750.52</v>
      </c>
      <c r="O562" s="1169">
        <v>3028.6</v>
      </c>
      <c r="P562" s="1169">
        <v>3715.66</v>
      </c>
      <c r="Q562" s="1167">
        <v>24.5</v>
      </c>
      <c r="R562" s="1167">
        <v>1082.0640740740741</v>
      </c>
      <c r="S562" s="1167">
        <v>1121.9014401440145</v>
      </c>
      <c r="T562" s="1167">
        <v>3001.1198010127423</v>
      </c>
      <c r="U562" s="1167">
        <v>56395</v>
      </c>
      <c r="V562" s="1167">
        <v>26466.294367801813</v>
      </c>
      <c r="W562" s="1167"/>
      <c r="X562" s="1655">
        <v>0.76659999999999995</v>
      </c>
      <c r="AI562" s="1878" t="s">
        <v>4</v>
      </c>
      <c r="AJ562" s="1827">
        <v>2013</v>
      </c>
      <c r="AK562" s="1822" t="s">
        <v>125</v>
      </c>
      <c r="AL562" s="1822">
        <v>7</v>
      </c>
      <c r="AM562" s="1823">
        <v>430339608</v>
      </c>
      <c r="AN562" s="1824">
        <v>2.1999999999999999E-2</v>
      </c>
      <c r="AO562" s="1822"/>
      <c r="AP562" s="1899" t="s">
        <v>1</v>
      </c>
      <c r="AQ562" s="1899" t="s">
        <v>502</v>
      </c>
      <c r="AR562" s="1899" t="s">
        <v>61</v>
      </c>
      <c r="AS562" s="1899">
        <v>5</v>
      </c>
      <c r="AT562" s="1900">
        <v>941201000</v>
      </c>
      <c r="AU562" s="1896">
        <v>6.313212126318038E-2</v>
      </c>
      <c r="AV562" s="1822">
        <v>2012</v>
      </c>
      <c r="EA562" s="169"/>
      <c r="EB562" s="169"/>
      <c r="EC562" s="169"/>
      <c r="ED562" s="169"/>
      <c r="EE562" s="169"/>
      <c r="EF562" s="169"/>
      <c r="EG562" s="169"/>
      <c r="EH562" s="169"/>
      <c r="EI562" s="169"/>
      <c r="EJ562" s="169"/>
      <c r="EK562" s="169"/>
      <c r="EL562" s="169"/>
      <c r="EM562" s="169"/>
      <c r="EN562" s="169"/>
      <c r="EO562" s="169"/>
      <c r="EP562" s="169"/>
      <c r="EQ562" s="169"/>
      <c r="ER562" s="169"/>
      <c r="ES562" s="169"/>
      <c r="ET562" s="169"/>
      <c r="EU562" s="169"/>
      <c r="EV562" s="169"/>
      <c r="EW562" s="169"/>
      <c r="EX562" s="169"/>
    </row>
    <row r="563" spans="1:154">
      <c r="A563" s="333">
        <f t="shared" si="17"/>
        <v>2017</v>
      </c>
      <c r="B563" s="333">
        <f t="shared" si="18"/>
        <v>1</v>
      </c>
      <c r="C563" s="1175">
        <v>42795</v>
      </c>
      <c r="D563" s="1158">
        <v>427.91088146993945</v>
      </c>
      <c r="E563" s="1159">
        <v>1618.35</v>
      </c>
      <c r="F563" s="1159">
        <v>1231.0899999999999</v>
      </c>
      <c r="G563" s="1160">
        <v>88</v>
      </c>
      <c r="H563" s="1161">
        <v>115</v>
      </c>
      <c r="I563" s="1160">
        <v>74.952173913043495</v>
      </c>
      <c r="J563" s="1160">
        <v>98</v>
      </c>
      <c r="K563" s="1677">
        <v>10230.43</v>
      </c>
      <c r="L563" s="1677">
        <v>13418.72</v>
      </c>
      <c r="M563" s="1681">
        <v>53.85</v>
      </c>
      <c r="N563" s="1162">
        <v>7635.78</v>
      </c>
      <c r="O563" s="1162">
        <v>2987.02</v>
      </c>
      <c r="P563" s="1162">
        <v>3648.66</v>
      </c>
      <c r="Q563" s="1163">
        <v>24.5</v>
      </c>
      <c r="R563" s="1164">
        <v>1142.3251568739304</v>
      </c>
      <c r="S563" s="1164">
        <v>1195.6817040699887</v>
      </c>
      <c r="T563" s="1164">
        <v>2991.2053741348891</v>
      </c>
      <c r="U563" s="1165">
        <v>69512</v>
      </c>
      <c r="V563" s="1166">
        <v>26555.367219024934</v>
      </c>
      <c r="W563" s="1166"/>
      <c r="X563" s="1794">
        <v>0.76239999999999997</v>
      </c>
      <c r="AI563" s="1878" t="s">
        <v>4</v>
      </c>
      <c r="AJ563" s="1827">
        <v>2013</v>
      </c>
      <c r="AK563" s="1822" t="s">
        <v>21</v>
      </c>
      <c r="AL563" s="1822">
        <v>8</v>
      </c>
      <c r="AM563" s="1823">
        <v>246179699</v>
      </c>
      <c r="AN563" s="1824">
        <v>1.2E-2</v>
      </c>
      <c r="AO563" s="1822"/>
      <c r="AP563" s="1899" t="s">
        <v>1</v>
      </c>
      <c r="AQ563" s="1899" t="s">
        <v>502</v>
      </c>
      <c r="AR563" s="1899" t="s">
        <v>71</v>
      </c>
      <c r="AS563" s="1899">
        <v>6</v>
      </c>
      <c r="AT563" s="1900">
        <v>466710000</v>
      </c>
      <c r="AU563" s="1896">
        <v>3.1305100945216713E-2</v>
      </c>
      <c r="AV563" s="1822">
        <v>2012</v>
      </c>
      <c r="EA563" s="169"/>
      <c r="EB563" s="169"/>
      <c r="EC563" s="169"/>
      <c r="ED563" s="169"/>
      <c r="EE563" s="169"/>
      <c r="EF563" s="169"/>
      <c r="EG563" s="169"/>
      <c r="EH563" s="169"/>
      <c r="EI563" s="169"/>
      <c r="EJ563" s="169"/>
      <c r="EK563" s="169"/>
      <c r="EL563" s="169"/>
      <c r="EM563" s="169"/>
      <c r="EN563" s="169"/>
      <c r="EO563" s="169"/>
      <c r="EP563" s="169"/>
      <c r="EQ563" s="169"/>
      <c r="ER563" s="169"/>
      <c r="ES563" s="169"/>
      <c r="ET563" s="169"/>
      <c r="EU563" s="169"/>
      <c r="EV563" s="169"/>
      <c r="EW563" s="169"/>
      <c r="EX563" s="169"/>
    </row>
    <row r="564" spans="1:154">
      <c r="A564" s="333">
        <f t="shared" si="17"/>
        <v>2017</v>
      </c>
      <c r="B564" s="333">
        <f t="shared" si="18"/>
        <v>2</v>
      </c>
      <c r="C564" s="1175">
        <v>42826</v>
      </c>
      <c r="D564" s="1168">
        <v>413.89639603114728</v>
      </c>
      <c r="E564" s="1168">
        <v>1687.57</v>
      </c>
      <c r="F564" s="1168">
        <v>1265.6300000000001</v>
      </c>
      <c r="G564" s="1168">
        <v>71</v>
      </c>
      <c r="H564" s="1167">
        <v>94</v>
      </c>
      <c r="I564" s="1168">
        <v>58.965789473684204</v>
      </c>
      <c r="J564" s="1168">
        <v>78</v>
      </c>
      <c r="K564" s="1678">
        <v>9668.61</v>
      </c>
      <c r="L564" s="1678">
        <v>12831.6</v>
      </c>
      <c r="M564" s="1682">
        <v>54.54</v>
      </c>
      <c r="N564" s="1169">
        <v>7561.6</v>
      </c>
      <c r="O564" s="1169">
        <v>2961.25</v>
      </c>
      <c r="P564" s="1169">
        <v>3494.4</v>
      </c>
      <c r="Q564" s="1167">
        <v>22.75</v>
      </c>
      <c r="R564" s="1167">
        <v>1182.8298176617805</v>
      </c>
      <c r="S564" s="1167">
        <v>1295.7932028792093</v>
      </c>
      <c r="T564" s="1167">
        <v>3164.2275457867495</v>
      </c>
      <c r="U564" s="1167">
        <v>73730</v>
      </c>
      <c r="V564" s="1167">
        <v>27066.351940765649</v>
      </c>
      <c r="W564" s="1167"/>
      <c r="X564" s="1655">
        <v>0.75349999999999995</v>
      </c>
      <c r="Y564" s="340"/>
      <c r="AI564" s="1878" t="s">
        <v>4</v>
      </c>
      <c r="AJ564" s="1827">
        <v>2013</v>
      </c>
      <c r="AK564" s="1822" t="s">
        <v>22</v>
      </c>
      <c r="AL564" s="1822">
        <v>9</v>
      </c>
      <c r="AM564" s="1823">
        <v>223208237</v>
      </c>
      <c r="AN564" s="1824">
        <v>1.0999999999999999E-2</v>
      </c>
      <c r="AO564" s="1822"/>
      <c r="AP564" s="1899" t="s">
        <v>1</v>
      </c>
      <c r="AQ564" s="1899" t="s">
        <v>502</v>
      </c>
      <c r="AR564" s="1899" t="s">
        <v>758</v>
      </c>
      <c r="AS564" s="1899">
        <v>7</v>
      </c>
      <c r="AT564" s="1900">
        <v>256084000</v>
      </c>
      <c r="AU564" s="1896">
        <v>1.7177123846617549E-2</v>
      </c>
      <c r="AV564" s="1822">
        <v>2012</v>
      </c>
      <c r="EA564" s="169"/>
      <c r="EB564" s="169"/>
      <c r="EC564" s="169"/>
      <c r="ED564" s="169"/>
      <c r="EE564" s="169"/>
      <c r="EF564" s="169"/>
      <c r="EG564" s="169"/>
      <c r="EH564" s="169"/>
      <c r="EI564" s="169"/>
      <c r="EJ564" s="169"/>
      <c r="EK564" s="169"/>
      <c r="EL564" s="169"/>
      <c r="EM564" s="169"/>
      <c r="EN564" s="169"/>
      <c r="EO564" s="169"/>
      <c r="EP564" s="169"/>
      <c r="EQ564" s="169"/>
      <c r="ER564" s="169"/>
      <c r="ES564" s="169"/>
      <c r="ET564" s="169"/>
      <c r="EU564" s="169"/>
      <c r="EV564" s="169"/>
      <c r="EW564" s="169"/>
      <c r="EX564" s="169"/>
    </row>
    <row r="565" spans="1:154">
      <c r="A565" s="333">
        <f t="shared" si="17"/>
        <v>2017</v>
      </c>
      <c r="B565" s="333">
        <f t="shared" si="18"/>
        <v>2</v>
      </c>
      <c r="C565" s="1175">
        <v>42856</v>
      </c>
      <c r="D565" s="1158">
        <v>404.56430605252069</v>
      </c>
      <c r="E565" s="1159">
        <v>1679.56</v>
      </c>
      <c r="F565" s="1159">
        <v>1245</v>
      </c>
      <c r="G565" s="1160">
        <v>61.68</v>
      </c>
      <c r="H565" s="1161">
        <v>82.947821409359861</v>
      </c>
      <c r="I565" s="1160">
        <v>50.225000000000001</v>
      </c>
      <c r="J565" s="1160">
        <v>67.630446476600312</v>
      </c>
      <c r="K565" s="1677">
        <v>9154.2900000000009</v>
      </c>
      <c r="L565" s="1677">
        <v>12310.77</v>
      </c>
      <c r="M565" s="1681">
        <v>51.87</v>
      </c>
      <c r="N565" s="1162">
        <v>7519.5</v>
      </c>
      <c r="O565" s="1162">
        <v>2866.68</v>
      </c>
      <c r="P565" s="1162">
        <v>3483.38</v>
      </c>
      <c r="Q565" s="1163">
        <v>19.25</v>
      </c>
      <c r="R565" s="1164">
        <v>1208.9384993849937</v>
      </c>
      <c r="S565" s="1164">
        <v>1268.9786068353769</v>
      </c>
      <c r="T565" s="1164">
        <v>3370.8339925781129</v>
      </c>
      <c r="U565" s="1165">
        <v>73853</v>
      </c>
      <c r="V565" s="1166">
        <v>27443.713423597947</v>
      </c>
      <c r="W565" s="1166"/>
      <c r="X565" s="1794">
        <v>0.74360000000000004</v>
      </c>
      <c r="AI565" s="1878" t="s">
        <v>4</v>
      </c>
      <c r="AJ565" s="1827">
        <v>2013</v>
      </c>
      <c r="AK565" s="1822" t="s">
        <v>537</v>
      </c>
      <c r="AL565" s="1822">
        <v>10</v>
      </c>
      <c r="AM565" s="1823">
        <v>182792146</v>
      </c>
      <c r="AN565" s="1824">
        <v>8.9999999999999993E-3</v>
      </c>
      <c r="AO565" s="1822"/>
      <c r="AP565" s="1899" t="s">
        <v>1</v>
      </c>
      <c r="AQ565" s="1899" t="s">
        <v>502</v>
      </c>
      <c r="AR565" s="1899" t="s">
        <v>371</v>
      </c>
      <c r="AS565" s="1899">
        <v>8</v>
      </c>
      <c r="AT565" s="1900">
        <v>208248000</v>
      </c>
      <c r="AU565" s="1896">
        <v>1.3968470059864777E-2</v>
      </c>
      <c r="AV565" s="1822">
        <v>2012</v>
      </c>
      <c r="EA565" s="169"/>
      <c r="EB565" s="169"/>
      <c r="EC565" s="169"/>
      <c r="ED565" s="169"/>
      <c r="EE565" s="169"/>
      <c r="EF565" s="169"/>
      <c r="EG565" s="169"/>
      <c r="EH565" s="169"/>
      <c r="EI565" s="169"/>
      <c r="EJ565" s="169"/>
      <c r="EK565" s="169"/>
      <c r="EL565" s="169"/>
      <c r="EM565" s="169"/>
      <c r="EN565" s="169"/>
      <c r="EO565" s="169"/>
      <c r="EP565" s="169"/>
      <c r="EQ565" s="169"/>
      <c r="ER565" s="169"/>
      <c r="ES565" s="169"/>
      <c r="ET565" s="169"/>
      <c r="EU565" s="169"/>
      <c r="EV565" s="169"/>
      <c r="EW565" s="169"/>
      <c r="EX565" s="169"/>
    </row>
    <row r="566" spans="1:154">
      <c r="A566" s="333">
        <f t="shared" si="17"/>
        <v>2017</v>
      </c>
      <c r="B566" s="333">
        <f t="shared" si="18"/>
        <v>2</v>
      </c>
      <c r="C566" s="1175">
        <v>42887</v>
      </c>
      <c r="D566" s="1168">
        <v>364.85176877963738</v>
      </c>
      <c r="E566" s="1168">
        <v>1677.15</v>
      </c>
      <c r="F566" s="1168">
        <v>1260.26</v>
      </c>
      <c r="G566" s="1168">
        <v>57.15</v>
      </c>
      <c r="H566" s="1167">
        <v>75.595238095238088</v>
      </c>
      <c r="I566" s="1168">
        <v>45.293181818181822</v>
      </c>
      <c r="J566" s="1168">
        <v>59.960317460317455</v>
      </c>
      <c r="K566" s="1678">
        <v>8930.6818000000003</v>
      </c>
      <c r="L566" s="1678">
        <v>11813.071164021165</v>
      </c>
      <c r="M566" s="1682">
        <v>47.88</v>
      </c>
      <c r="N566" s="1169">
        <v>7538.9911375661368</v>
      </c>
      <c r="O566" s="1169">
        <v>2819.0235449735446</v>
      </c>
      <c r="P566" s="1169">
        <v>3402.0261904761901</v>
      </c>
      <c r="Q566" s="1167">
        <v>20.100000000000001</v>
      </c>
      <c r="R566" s="1167">
        <v>1184.3826378539493</v>
      </c>
      <c r="S566" s="1167">
        <v>1264.2666238613106</v>
      </c>
      <c r="T566" s="1167">
        <v>3323.3696326004456</v>
      </c>
      <c r="U566" s="1167">
        <v>76311.026984126991</v>
      </c>
      <c r="V566" s="1167">
        <v>27300.132128753361</v>
      </c>
      <c r="W566" s="1167"/>
      <c r="X566" s="1655">
        <v>0.75600000000000001</v>
      </c>
      <c r="AI566" s="1878" t="s">
        <v>4</v>
      </c>
      <c r="AJ566" s="1827">
        <v>2013</v>
      </c>
      <c r="AK566" s="1822" t="s">
        <v>39</v>
      </c>
      <c r="AL566" s="1822"/>
      <c r="AM566" s="1823">
        <v>236241961</v>
      </c>
      <c r="AN566" s="1824">
        <v>1.2E-2</v>
      </c>
      <c r="AO566" s="1822"/>
      <c r="AP566" s="1899" t="s">
        <v>1</v>
      </c>
      <c r="AQ566" s="1899" t="s">
        <v>502</v>
      </c>
      <c r="AR566" s="1899" t="s">
        <v>58</v>
      </c>
      <c r="AS566" s="1899">
        <v>9</v>
      </c>
      <c r="AT566" s="1900">
        <v>102965000</v>
      </c>
      <c r="AU566" s="1896">
        <v>6.9064937944853088E-3</v>
      </c>
      <c r="AV566" s="1822">
        <v>2012</v>
      </c>
      <c r="EA566" s="169"/>
      <c r="EB566" s="169"/>
      <c r="EC566" s="169"/>
      <c r="ED566" s="169"/>
      <c r="EE566" s="169"/>
      <c r="EF566" s="169"/>
      <c r="EG566" s="169"/>
      <c r="EH566" s="169"/>
      <c r="EI566" s="169"/>
      <c r="EJ566" s="169"/>
      <c r="EK566" s="169"/>
      <c r="EL566" s="169"/>
      <c r="EM566" s="169"/>
      <c r="EN566" s="169"/>
      <c r="EO566" s="169"/>
      <c r="EP566" s="169"/>
      <c r="EQ566" s="169"/>
      <c r="ER566" s="169"/>
      <c r="ES566" s="169"/>
      <c r="ET566" s="169"/>
      <c r="EU566" s="169"/>
      <c r="EV566" s="169"/>
      <c r="EW566" s="169"/>
      <c r="EX566" s="169"/>
    </row>
    <row r="567" spans="1:154">
      <c r="A567" s="333">
        <f t="shared" si="17"/>
        <v>2017</v>
      </c>
      <c r="B567" s="333">
        <f t="shared" si="18"/>
        <v>3</v>
      </c>
      <c r="C567" s="1175">
        <v>42917</v>
      </c>
      <c r="D567" s="1158">
        <v>381.89378007066256</v>
      </c>
      <c r="E567" s="1159">
        <v>1592.74</v>
      </c>
      <c r="F567" s="1159">
        <v>1236.22</v>
      </c>
      <c r="G567" s="1160">
        <v>67.209999999999994</v>
      </c>
      <c r="H567" s="1161">
        <v>86.111467008327992</v>
      </c>
      <c r="I567" s="1160">
        <v>52.666666666666664</v>
      </c>
      <c r="J567" s="1160">
        <v>67.482383087764262</v>
      </c>
      <c r="K567" s="1677">
        <v>9481.6669999999995</v>
      </c>
      <c r="L567" s="1677">
        <v>12148.19602818706</v>
      </c>
      <c r="M567" s="1681">
        <v>48.77</v>
      </c>
      <c r="N567" s="1162">
        <v>7659.955156950673</v>
      </c>
      <c r="O567" s="1162">
        <v>2903.7860345932099</v>
      </c>
      <c r="P567" s="1162">
        <v>3568.3472133247915</v>
      </c>
      <c r="Q567" s="1163">
        <v>20.5</v>
      </c>
      <c r="R567" s="1164">
        <v>1157.2112326043737</v>
      </c>
      <c r="S567" s="1164">
        <v>1269.6128239033103</v>
      </c>
      <c r="T567" s="1164">
        <v>3318.3984275703165</v>
      </c>
      <c r="U567" s="1165">
        <v>75485.803971812944</v>
      </c>
      <c r="V567" s="1166">
        <v>26062.485179978667</v>
      </c>
      <c r="W567" s="1166"/>
      <c r="X567" s="1794">
        <v>0.78049999999999997</v>
      </c>
      <c r="AI567" s="1878" t="s">
        <v>4</v>
      </c>
      <c r="AJ567" s="1827">
        <v>2013</v>
      </c>
      <c r="AK567" s="1822" t="s">
        <v>386</v>
      </c>
      <c r="AL567" s="1822"/>
      <c r="AM567" s="1823">
        <v>19940411163</v>
      </c>
      <c r="AN567" s="1824"/>
      <c r="AO567" s="1822"/>
      <c r="AP567" s="1899" t="s">
        <v>1</v>
      </c>
      <c r="AQ567" s="1899" t="s">
        <v>502</v>
      </c>
      <c r="AR567" s="1899" t="s">
        <v>372</v>
      </c>
      <c r="AS567" s="1899">
        <v>10</v>
      </c>
      <c r="AT567" s="1900">
        <v>55236000</v>
      </c>
      <c r="AU567" s="1896">
        <v>3.7050171537142771E-3</v>
      </c>
      <c r="AV567" s="1822">
        <v>2012</v>
      </c>
      <c r="EA567" s="169"/>
      <c r="EB567" s="169"/>
      <c r="EC567" s="169"/>
      <c r="ED567" s="169"/>
      <c r="EE567" s="169"/>
      <c r="EF567" s="169"/>
      <c r="EG567" s="169"/>
      <c r="EH567" s="169"/>
      <c r="EI567" s="169"/>
      <c r="EJ567" s="169"/>
      <c r="EK567" s="169"/>
      <c r="EL567" s="169"/>
      <c r="EM567" s="169"/>
      <c r="EN567" s="169"/>
      <c r="EO567" s="169"/>
      <c r="EP567" s="169"/>
      <c r="EQ567" s="169"/>
      <c r="ER567" s="169"/>
      <c r="ES567" s="169"/>
      <c r="ET567" s="169"/>
      <c r="EU567" s="169"/>
      <c r="EV567" s="169"/>
      <c r="EW567" s="169"/>
      <c r="EX567" s="169"/>
    </row>
    <row r="568" spans="1:154">
      <c r="A568" s="333">
        <f t="shared" si="17"/>
        <v>2017</v>
      </c>
      <c r="B568" s="333">
        <f t="shared" si="18"/>
        <v>3</v>
      </c>
      <c r="C568" s="1175">
        <v>42948</v>
      </c>
      <c r="D568" s="1168">
        <v>368.55134951417369</v>
      </c>
      <c r="E568" s="1168">
        <v>1623.19</v>
      </c>
      <c r="F568" s="1168">
        <v>1282.32</v>
      </c>
      <c r="G568" s="1168">
        <v>75.849999999999994</v>
      </c>
      <c r="H568" s="1167">
        <v>95.818595250126322</v>
      </c>
      <c r="I568" s="1168">
        <v>60.260869565217398</v>
      </c>
      <c r="J568" s="1168">
        <v>76.200101061141993</v>
      </c>
      <c r="K568" s="1678">
        <v>10852.954545454546</v>
      </c>
      <c r="L568" s="1678">
        <v>13710.149754237678</v>
      </c>
      <c r="M568" s="1682">
        <v>51.64</v>
      </c>
      <c r="N568" s="1169">
        <v>8183.6556571271076</v>
      </c>
      <c r="O568" s="1169">
        <v>2977.9158436308517</v>
      </c>
      <c r="P568" s="1169">
        <v>3766.8530938490512</v>
      </c>
      <c r="Q568" s="1167">
        <v>20</v>
      </c>
      <c r="R568" s="1167">
        <v>1081.4808238636363</v>
      </c>
      <c r="S568" s="1167">
        <v>1363.271260199456</v>
      </c>
      <c r="T568" s="1167">
        <v>3350.8418650210456</v>
      </c>
      <c r="U568" s="1167">
        <v>73539.211723092478</v>
      </c>
      <c r="V568" s="1167">
        <v>25606.338943652878</v>
      </c>
      <c r="W568" s="1167"/>
      <c r="X568" s="1655">
        <v>0.79159999999999997</v>
      </c>
      <c r="AI568" s="1878" t="s">
        <v>4</v>
      </c>
      <c r="AJ568" s="1827">
        <v>2012</v>
      </c>
      <c r="AK568" s="1822" t="s">
        <v>23</v>
      </c>
      <c r="AL568" s="1822">
        <v>1</v>
      </c>
      <c r="AM568" s="1823">
        <v>11185622075.950001</v>
      </c>
      <c r="AN568" s="1824">
        <v>0.52682605235096291</v>
      </c>
      <c r="AO568" s="1822"/>
      <c r="AP568" s="1899" t="s">
        <v>1</v>
      </c>
      <c r="AQ568" s="1899" t="s">
        <v>502</v>
      </c>
      <c r="AR568" s="1899" t="s">
        <v>39</v>
      </c>
      <c r="AS568" s="1899"/>
      <c r="AT568" s="1900">
        <v>21848000</v>
      </c>
      <c r="AU568" s="1896">
        <v>1.4654793028885062E-3</v>
      </c>
      <c r="AV568" s="1822">
        <v>2012</v>
      </c>
      <c r="EA568" s="169"/>
      <c r="EB568" s="169"/>
      <c r="EC568" s="169"/>
      <c r="ED568" s="169"/>
      <c r="EE568" s="169"/>
      <c r="EF568" s="169"/>
      <c r="EG568" s="169"/>
      <c r="EH568" s="169"/>
      <c r="EI568" s="169"/>
      <c r="EJ568" s="169"/>
      <c r="EK568" s="169"/>
      <c r="EL568" s="169"/>
      <c r="EM568" s="169"/>
      <c r="EN568" s="169"/>
      <c r="EO568" s="169"/>
      <c r="EP568" s="169"/>
      <c r="EQ568" s="169"/>
      <c r="ER568" s="169"/>
      <c r="ES568" s="169"/>
      <c r="ET568" s="169"/>
      <c r="EU568" s="169"/>
      <c r="EV568" s="169"/>
      <c r="EW568" s="169"/>
      <c r="EX568" s="169"/>
    </row>
    <row r="569" spans="1:154">
      <c r="A569" s="333">
        <f t="shared" si="17"/>
        <v>2017</v>
      </c>
      <c r="B569" s="333">
        <f t="shared" si="18"/>
        <v>3</v>
      </c>
      <c r="C569" s="1175">
        <v>42979</v>
      </c>
      <c r="D569" s="1158">
        <v>389.32141600849513</v>
      </c>
      <c r="E569" s="1159">
        <v>1657.81</v>
      </c>
      <c r="F569" s="1159">
        <v>1314.98</v>
      </c>
      <c r="G569" s="1160">
        <v>70.599999999999994</v>
      </c>
      <c r="H569" s="1161">
        <v>88.615539098782477</v>
      </c>
      <c r="I569" s="1160">
        <v>56</v>
      </c>
      <c r="J569" s="1160">
        <v>69.925944521149745</v>
      </c>
      <c r="K569" s="1677">
        <v>11233.57</v>
      </c>
      <c r="L569" s="1677">
        <v>14100.125517760764</v>
      </c>
      <c r="M569" s="1681">
        <v>55.91</v>
      </c>
      <c r="N569" s="1162">
        <v>8263.0739299610905</v>
      </c>
      <c r="O569" s="1162">
        <v>2983.9161541358103</v>
      </c>
      <c r="P569" s="1162">
        <v>3915.8855278021842</v>
      </c>
      <c r="Q569" s="1163">
        <v>20.25</v>
      </c>
      <c r="R569" s="1164">
        <v>1133.4576188143067</v>
      </c>
      <c r="S569" s="1164">
        <v>1281.6329396744334</v>
      </c>
      <c r="T569" s="1164">
        <v>3384.4954903369435</v>
      </c>
      <c r="U569" s="1165">
        <v>75681.235094765914</v>
      </c>
      <c r="V569" s="1166">
        <v>25933.760090656757</v>
      </c>
      <c r="W569" s="1166"/>
      <c r="X569" s="1794">
        <v>0.79669999999999996</v>
      </c>
      <c r="AI569" s="1878" t="s">
        <v>4</v>
      </c>
      <c r="AJ569" s="1827">
        <v>2012</v>
      </c>
      <c r="AK569" s="1822" t="s">
        <v>18</v>
      </c>
      <c r="AL569" s="1822">
        <v>2</v>
      </c>
      <c r="AM569" s="1823">
        <v>2762431481.3799996</v>
      </c>
      <c r="AN569" s="1824">
        <v>0.13010638678330697</v>
      </c>
      <c r="AO569" s="1822"/>
      <c r="AP569" s="1899" t="s">
        <v>1</v>
      </c>
      <c r="AQ569" s="1899" t="s">
        <v>502</v>
      </c>
      <c r="AR569" s="1899" t="s">
        <v>386</v>
      </c>
      <c r="AS569" s="1899"/>
      <c r="AT569" s="1900">
        <v>14908433000</v>
      </c>
      <c r="AU569" s="1896">
        <v>1</v>
      </c>
      <c r="AV569" s="1822">
        <v>2012</v>
      </c>
      <c r="EA569" s="169"/>
      <c r="EB569" s="169"/>
      <c r="EC569" s="169"/>
      <c r="ED569" s="169"/>
      <c r="EE569" s="169"/>
      <c r="EF569" s="169"/>
      <c r="EG569" s="169"/>
      <c r="EH569" s="169"/>
      <c r="EI569" s="169"/>
      <c r="EJ569" s="169"/>
      <c r="EK569" s="169"/>
      <c r="EL569" s="169"/>
      <c r="EM569" s="169"/>
      <c r="EN569" s="169"/>
      <c r="EO569" s="169"/>
      <c r="EP569" s="169"/>
      <c r="EQ569" s="169"/>
      <c r="ER569" s="169"/>
      <c r="ES569" s="169"/>
      <c r="ET569" s="169"/>
      <c r="EU569" s="169"/>
      <c r="EV569" s="169"/>
      <c r="EW569" s="169"/>
      <c r="EX569" s="169"/>
    </row>
    <row r="570" spans="1:154">
      <c r="A570" s="333">
        <f t="shared" si="17"/>
        <v>2017</v>
      </c>
      <c r="B570" s="333">
        <f t="shared" si="18"/>
        <v>4</v>
      </c>
      <c r="C570" s="1175">
        <v>43009</v>
      </c>
      <c r="D570" s="1168">
        <v>441.99328511996094</v>
      </c>
      <c r="E570" s="1168">
        <v>1647.23</v>
      </c>
      <c r="F570" s="1168">
        <v>1279.51</v>
      </c>
      <c r="G570" s="1168">
        <v>61.96</v>
      </c>
      <c r="H570" s="1167">
        <v>79.568511621933993</v>
      </c>
      <c r="I570" s="1168">
        <v>47.377272727272732</v>
      </c>
      <c r="J570" s="1168">
        <v>60.793630409657126</v>
      </c>
      <c r="K570" s="1678">
        <v>11325</v>
      </c>
      <c r="L570" s="1678">
        <v>14543.469885706949</v>
      </c>
      <c r="M570" s="1682">
        <v>58.72</v>
      </c>
      <c r="N570" s="1169">
        <v>8729.1465262617185</v>
      </c>
      <c r="O570" s="1169">
        <v>3218.5636316938489</v>
      </c>
      <c r="P570" s="1169">
        <v>4204.3848722229359</v>
      </c>
      <c r="Q570" s="1167">
        <v>19.95</v>
      </c>
      <c r="R570" s="1167">
        <v>1232.1185062965569</v>
      </c>
      <c r="S570" s="1167">
        <v>1568.7805748637986</v>
      </c>
      <c r="T570" s="1167">
        <v>3501.856694978143</v>
      </c>
      <c r="U570" s="1167">
        <v>76993.123796070373</v>
      </c>
      <c r="V570" s="1167">
        <v>27463.954277295663</v>
      </c>
      <c r="W570" s="1167"/>
      <c r="X570" s="1655">
        <v>0.77869999999999995</v>
      </c>
      <c r="AI570" s="1878" t="s">
        <v>4</v>
      </c>
      <c r="AJ570" s="1827">
        <v>2012</v>
      </c>
      <c r="AK570" s="1822" t="s">
        <v>61</v>
      </c>
      <c r="AL570" s="1822">
        <v>3</v>
      </c>
      <c r="AM570" s="1823">
        <v>2035872798.2100003</v>
      </c>
      <c r="AN570" s="1824">
        <v>9.5886560629985421E-2</v>
      </c>
      <c r="AO570" s="1822"/>
      <c r="AP570" s="1901" t="s">
        <v>1</v>
      </c>
      <c r="AQ570" s="1901" t="s">
        <v>503</v>
      </c>
      <c r="AR570" s="1901" t="s">
        <v>530</v>
      </c>
      <c r="AS570" s="1901">
        <v>1</v>
      </c>
      <c r="AT570" s="1902">
        <v>8109699000</v>
      </c>
      <c r="AU570" s="1896">
        <v>0.63906605264665517</v>
      </c>
      <c r="AV570" s="1822">
        <v>2013</v>
      </c>
      <c r="EA570" s="169"/>
      <c r="EB570" s="169"/>
      <c r="EC570" s="169"/>
      <c r="ED570" s="169"/>
      <c r="EE570" s="169"/>
      <c r="EF570" s="169"/>
      <c r="EG570" s="169"/>
      <c r="EH570" s="169"/>
      <c r="EI570" s="169"/>
      <c r="EJ570" s="169"/>
      <c r="EK570" s="169"/>
      <c r="EL570" s="169"/>
      <c r="EM570" s="169"/>
      <c r="EN570" s="169"/>
      <c r="EO570" s="169"/>
      <c r="EP570" s="169"/>
      <c r="EQ570" s="169"/>
      <c r="ER570" s="169"/>
      <c r="ES570" s="169"/>
      <c r="ET570" s="169"/>
      <c r="EU570" s="169"/>
      <c r="EV570" s="169"/>
      <c r="EW570" s="169"/>
      <c r="EX570" s="169"/>
    </row>
    <row r="571" spans="1:154">
      <c r="A571" s="333">
        <f t="shared" si="17"/>
        <v>2017</v>
      </c>
      <c r="B571" s="333">
        <f t="shared" si="18"/>
        <v>4</v>
      </c>
      <c r="C571" s="1175">
        <v>43040</v>
      </c>
      <c r="D571" s="1158">
        <v>549.05556823551399</v>
      </c>
      <c r="E571" s="1159">
        <v>1686.71</v>
      </c>
      <c r="F571" s="1159">
        <v>1282.28</v>
      </c>
      <c r="G571" s="1160">
        <v>64.17</v>
      </c>
      <c r="H571" s="1161">
        <v>84.179456906729641</v>
      </c>
      <c r="I571" s="1160">
        <v>50.06363636363637</v>
      </c>
      <c r="J571" s="1160">
        <v>65.669683851502043</v>
      </c>
      <c r="K571" s="1677">
        <v>11992.7273</v>
      </c>
      <c r="L571" s="1677">
        <v>15732.293454020728</v>
      </c>
      <c r="M571" s="1681">
        <v>64.37</v>
      </c>
      <c r="N571" s="1162">
        <v>8953.9134199134205</v>
      </c>
      <c r="O571" s="1162">
        <v>3232.8598976780795</v>
      </c>
      <c r="P571" s="1162">
        <v>4245.2565918929558</v>
      </c>
      <c r="Q571" s="1163">
        <v>22</v>
      </c>
      <c r="R571" s="1164">
        <v>1253.5497441728255</v>
      </c>
      <c r="S571" s="1164">
        <v>1651.0540428472702</v>
      </c>
      <c r="T571" s="1164">
        <v>3644.2045816794775</v>
      </c>
      <c r="U571" s="1165">
        <v>81690.577594123053</v>
      </c>
      <c r="V571" s="1166">
        <v>28421.623120454744</v>
      </c>
      <c r="W571" s="1166"/>
      <c r="X571" s="1794">
        <v>0.76229999999999998</v>
      </c>
      <c r="AI571" s="1878" t="s">
        <v>4</v>
      </c>
      <c r="AJ571" s="1827">
        <v>2012</v>
      </c>
      <c r="AK571" s="1822" t="s">
        <v>24</v>
      </c>
      <c r="AL571" s="1822">
        <v>4</v>
      </c>
      <c r="AM571" s="1823">
        <v>1510438134.2399993</v>
      </c>
      <c r="AN571" s="1824">
        <v>7.1139374652475926E-2</v>
      </c>
      <c r="AO571" s="1822"/>
      <c r="AP571" s="1901" t="s">
        <v>1</v>
      </c>
      <c r="AQ571" s="1901" t="s">
        <v>503</v>
      </c>
      <c r="AR571" s="1901" t="s">
        <v>61</v>
      </c>
      <c r="AS571" s="1901">
        <v>2</v>
      </c>
      <c r="AT571" s="1902">
        <v>2271477000</v>
      </c>
      <c r="AU571" s="1896">
        <v>0.17899848564880969</v>
      </c>
      <c r="AV571" s="1822">
        <v>2013</v>
      </c>
      <c r="EA571" s="169"/>
      <c r="EB571" s="169"/>
      <c r="EC571" s="169"/>
      <c r="ED571" s="169"/>
      <c r="EE571" s="169"/>
      <c r="EF571" s="169"/>
      <c r="EG571" s="169"/>
      <c r="EH571" s="169"/>
      <c r="EI571" s="169"/>
      <c r="EJ571" s="169"/>
      <c r="EK571" s="169"/>
      <c r="EL571" s="169"/>
      <c r="EM571" s="169"/>
      <c r="EN571" s="169"/>
      <c r="EO571" s="169"/>
      <c r="EP571" s="169"/>
      <c r="EQ571" s="169"/>
      <c r="ER571" s="169"/>
      <c r="ES571" s="169"/>
      <c r="ET571" s="169"/>
      <c r="EU571" s="169"/>
      <c r="EV571" s="169"/>
      <c r="EW571" s="169"/>
      <c r="EX571" s="169"/>
    </row>
    <row r="572" spans="1:154">
      <c r="A572" s="333">
        <f t="shared" si="17"/>
        <v>2017</v>
      </c>
      <c r="B572" s="333">
        <f t="shared" si="18"/>
        <v>4</v>
      </c>
      <c r="C572" s="1175">
        <v>43070</v>
      </c>
      <c r="D572" s="1168">
        <v>544.07852812361705</v>
      </c>
      <c r="E572" s="1168">
        <v>1662.39</v>
      </c>
      <c r="F572" s="1168">
        <v>1261.05</v>
      </c>
      <c r="G572" s="1168">
        <v>71.61</v>
      </c>
      <c r="H572" s="1167">
        <v>93.607843137254903</v>
      </c>
      <c r="I572" s="1168">
        <v>56.327499999999986</v>
      </c>
      <c r="J572" s="1168">
        <v>73.633986928104576</v>
      </c>
      <c r="K572" s="1678">
        <v>11409.210499999999</v>
      </c>
      <c r="L572" s="1678">
        <v>14914.00065359477</v>
      </c>
      <c r="M572" s="1682">
        <v>65.989999999999995</v>
      </c>
      <c r="N572" s="1169">
        <v>8890.4024836601311</v>
      </c>
      <c r="O572" s="1169">
        <v>3279.4977777777776</v>
      </c>
      <c r="P572" s="1169">
        <v>4173.1682352941179</v>
      </c>
      <c r="Q572" s="1167">
        <v>23.75</v>
      </c>
      <c r="R572" s="1167">
        <v>1210.3602569986233</v>
      </c>
      <c r="S572" s="1167">
        <v>1657.3379351295182</v>
      </c>
      <c r="T572" s="1167">
        <v>3676.5585893366697</v>
      </c>
      <c r="U572" s="1167">
        <v>94888.200915032678</v>
      </c>
      <c r="V572" s="1167">
        <v>28479.538394366144</v>
      </c>
      <c r="W572" s="1167"/>
      <c r="X572" s="1655">
        <v>0.76500000000000001</v>
      </c>
      <c r="AI572" s="1878" t="s">
        <v>4</v>
      </c>
      <c r="AJ572" s="1827">
        <v>2012</v>
      </c>
      <c r="AK572" s="1822" t="s">
        <v>25</v>
      </c>
      <c r="AL572" s="1822">
        <v>5</v>
      </c>
      <c r="AM572" s="1823">
        <v>833481286.0400002</v>
      </c>
      <c r="AN572" s="1824">
        <v>3.9255720660986496E-2</v>
      </c>
      <c r="AO572" s="1822"/>
      <c r="AP572" s="1901" t="s">
        <v>1</v>
      </c>
      <c r="AQ572" s="1901" t="s">
        <v>503</v>
      </c>
      <c r="AR572" s="1901" t="s">
        <v>63</v>
      </c>
      <c r="AS572" s="1901">
        <v>3</v>
      </c>
      <c r="AT572" s="1902">
        <v>635929000</v>
      </c>
      <c r="AU572" s="1896">
        <v>5.0112912426655387E-2</v>
      </c>
      <c r="AV572" s="1822">
        <v>2013</v>
      </c>
      <c r="EA572" s="169"/>
      <c r="EB572" s="169"/>
      <c r="EC572" s="169"/>
      <c r="ED572" s="169"/>
      <c r="EE572" s="169"/>
      <c r="EF572" s="169"/>
      <c r="EG572" s="169"/>
      <c r="EH572" s="169"/>
      <c r="EI572" s="169"/>
      <c r="EJ572" s="169"/>
      <c r="EK572" s="169"/>
      <c r="EL572" s="169"/>
      <c r="EM572" s="169"/>
      <c r="EN572" s="169"/>
      <c r="EO572" s="169"/>
      <c r="EP572" s="169"/>
      <c r="EQ572" s="169"/>
      <c r="ER572" s="169"/>
      <c r="ES572" s="169"/>
      <c r="ET572" s="169"/>
      <c r="EU572" s="169"/>
      <c r="EV572" s="169"/>
      <c r="EW572" s="169"/>
      <c r="EX572" s="169"/>
    </row>
    <row r="573" spans="1:154">
      <c r="A573" s="333">
        <f t="shared" si="17"/>
        <v>2018</v>
      </c>
      <c r="B573" s="333">
        <f t="shared" si="18"/>
        <v>1</v>
      </c>
      <c r="C573" s="1175">
        <v>43101</v>
      </c>
      <c r="D573" s="1158">
        <v>491.47742085733648</v>
      </c>
      <c r="E573" s="1159">
        <v>1679.27</v>
      </c>
      <c r="F573" s="1159">
        <v>1332.2375000000002</v>
      </c>
      <c r="G573" s="1160">
        <v>75.78</v>
      </c>
      <c r="H573" s="1161">
        <v>95.236898328515778</v>
      </c>
      <c r="I573" s="1160">
        <v>60.745454545454542</v>
      </c>
      <c r="J573" s="1160">
        <v>76.347869800175943</v>
      </c>
      <c r="K573" s="1677">
        <v>12880.23</v>
      </c>
      <c r="L573" s="1677">
        <v>16187.29420635918</v>
      </c>
      <c r="M573" s="1681">
        <v>70.72</v>
      </c>
      <c r="N573" s="1162">
        <v>8898.1978132461991</v>
      </c>
      <c r="O573" s="1162">
        <v>3254.7103179590299</v>
      </c>
      <c r="P573" s="1162">
        <v>4332.2923212265932</v>
      </c>
      <c r="Q573" s="1163">
        <v>22</v>
      </c>
      <c r="R573" s="1164">
        <v>1206.4742616033755</v>
      </c>
      <c r="S573" s="1164">
        <v>1673.7133990507484</v>
      </c>
      <c r="T573" s="1164">
        <v>3439.7963516953664</v>
      </c>
      <c r="U573" s="1165">
        <v>97712.705793640824</v>
      </c>
      <c r="V573" s="1166">
        <v>27702.474712042906</v>
      </c>
      <c r="W573" s="1166">
        <v>1212.7686313937413</v>
      </c>
      <c r="X573" s="1794">
        <v>0.79569999999999996</v>
      </c>
      <c r="AI573" s="1878" t="s">
        <v>4</v>
      </c>
      <c r="AJ573" s="1827">
        <v>2012</v>
      </c>
      <c r="AK573" s="1822" t="s">
        <v>33</v>
      </c>
      <c r="AL573" s="1822">
        <v>6</v>
      </c>
      <c r="AM573" s="1823">
        <v>820276253.78999996</v>
      </c>
      <c r="AN573" s="1824">
        <v>3.8633783412955168E-2</v>
      </c>
      <c r="AO573" s="1822"/>
      <c r="AP573" s="1901" t="s">
        <v>1</v>
      </c>
      <c r="AQ573" s="1901" t="s">
        <v>503</v>
      </c>
      <c r="AR573" s="1901" t="s">
        <v>71</v>
      </c>
      <c r="AS573" s="1901">
        <v>4</v>
      </c>
      <c r="AT573" s="1902">
        <v>537371000</v>
      </c>
      <c r="AU573" s="1896">
        <v>4.2346277436041177E-2</v>
      </c>
      <c r="AV573" s="1822">
        <v>2013</v>
      </c>
      <c r="EA573" s="169"/>
      <c r="EB573" s="169"/>
      <c r="EC573" s="169"/>
      <c r="ED573" s="169"/>
      <c r="EE573" s="169"/>
      <c r="EF573" s="169"/>
      <c r="EG573" s="169"/>
      <c r="EH573" s="169"/>
      <c r="EI573" s="169"/>
      <c r="EJ573" s="169"/>
      <c r="EK573" s="169"/>
      <c r="EL573" s="169"/>
      <c r="EM573" s="169"/>
      <c r="EN573" s="169"/>
      <c r="EO573" s="169"/>
      <c r="EP573" s="169"/>
      <c r="EQ573" s="169"/>
      <c r="ER573" s="169"/>
      <c r="ES573" s="169"/>
      <c r="ET573" s="169"/>
      <c r="EU573" s="169"/>
      <c r="EV573" s="169"/>
      <c r="EW573" s="169"/>
      <c r="EX573" s="169"/>
    </row>
    <row r="574" spans="1:154">
      <c r="A574" s="333">
        <f t="shared" si="17"/>
        <v>2018</v>
      </c>
      <c r="B574" s="333">
        <f t="shared" si="18"/>
        <v>1</v>
      </c>
      <c r="C574" s="1175">
        <v>43132</v>
      </c>
      <c r="D574" s="1168">
        <v>490.26308556986919</v>
      </c>
      <c r="E574" s="1168">
        <v>1695.77</v>
      </c>
      <c r="F574" s="1168">
        <v>1332.65</v>
      </c>
      <c r="G574" s="1168">
        <v>77.48</v>
      </c>
      <c r="H574" s="1167">
        <v>98.474834773767157</v>
      </c>
      <c r="I574" s="1168">
        <v>63.022500000000015</v>
      </c>
      <c r="J574" s="1168">
        <v>80.045754956786979</v>
      </c>
      <c r="K574" s="1678">
        <v>13576.75</v>
      </c>
      <c r="L574" s="1678">
        <v>17255.655821047279</v>
      </c>
      <c r="M574" s="1682">
        <v>67.489999999999995</v>
      </c>
      <c r="N574" s="1169">
        <v>8899.0849008642599</v>
      </c>
      <c r="O574" s="1169">
        <v>3280.1537874936448</v>
      </c>
      <c r="P574" s="1169">
        <v>4498.9514489069643</v>
      </c>
      <c r="Q574" s="1167">
        <v>21.75</v>
      </c>
      <c r="R574" s="1167">
        <v>1294.9728155339806</v>
      </c>
      <c r="S574" s="1167">
        <v>1855.9223646723647</v>
      </c>
      <c r="T574" s="1167">
        <v>3647.919888480154</v>
      </c>
      <c r="U574" s="1167">
        <v>103107.5241484494</v>
      </c>
      <c r="V574" s="1167">
        <v>27812.026844128144</v>
      </c>
      <c r="W574" s="1167">
        <v>1226.487036095577</v>
      </c>
      <c r="X574" s="1655">
        <v>0.78680000000000005</v>
      </c>
      <c r="AI574" s="1878" t="s">
        <v>4</v>
      </c>
      <c r="AJ574" s="1827">
        <v>2012</v>
      </c>
      <c r="AK574" s="1822" t="s">
        <v>537</v>
      </c>
      <c r="AL574" s="1822">
        <v>7</v>
      </c>
      <c r="AM574" s="1823">
        <v>598752878.56999993</v>
      </c>
      <c r="AN574" s="1824">
        <v>2.8200364111087509E-2</v>
      </c>
      <c r="AO574" s="1822"/>
      <c r="AP574" s="1901" t="s">
        <v>1</v>
      </c>
      <c r="AQ574" s="1901" t="s">
        <v>503</v>
      </c>
      <c r="AR574" s="1901" t="s">
        <v>33</v>
      </c>
      <c r="AS574" s="1901">
        <v>5</v>
      </c>
      <c r="AT574" s="1902">
        <v>444473000</v>
      </c>
      <c r="AU574" s="1896">
        <v>3.5025665640366771E-2</v>
      </c>
      <c r="AV574" s="1822">
        <v>2013</v>
      </c>
      <c r="EA574" s="169"/>
      <c r="EB574" s="169"/>
      <c r="EC574" s="169"/>
      <c r="ED574" s="169"/>
      <c r="EE574" s="169"/>
      <c r="EF574" s="169"/>
      <c r="EG574" s="169"/>
      <c r="EH574" s="169"/>
      <c r="EI574" s="169"/>
      <c r="EJ574" s="169"/>
      <c r="EK574" s="169"/>
      <c r="EL574" s="169"/>
      <c r="EM574" s="169"/>
      <c r="EN574" s="169"/>
      <c r="EO574" s="169"/>
      <c r="EP574" s="169"/>
      <c r="EQ574" s="169"/>
      <c r="ER574" s="169"/>
      <c r="ES574" s="169"/>
      <c r="ET574" s="169"/>
      <c r="EU574" s="169"/>
      <c r="EV574" s="169"/>
      <c r="EW574" s="169"/>
      <c r="EX574" s="169"/>
    </row>
    <row r="575" spans="1:154">
      <c r="A575" s="333">
        <f t="shared" si="17"/>
        <v>2018</v>
      </c>
      <c r="B575" s="333">
        <f t="shared" si="18"/>
        <v>1</v>
      </c>
      <c r="C575" s="1175">
        <v>43160</v>
      </c>
      <c r="D575" s="1158">
        <v>480.22047303581974</v>
      </c>
      <c r="E575" s="1159">
        <v>1712.39</v>
      </c>
      <c r="F575" s="1159">
        <v>1325.109523809524</v>
      </c>
      <c r="G575" s="1160">
        <v>70.010000000000005</v>
      </c>
      <c r="H575" s="1161">
        <v>90.230699832452643</v>
      </c>
      <c r="I575" s="1160">
        <v>57.180952380952377</v>
      </c>
      <c r="J575" s="1160">
        <v>73.695063796881044</v>
      </c>
      <c r="K575" s="1677">
        <v>13403.57</v>
      </c>
      <c r="L575" s="1677">
        <v>17274.867895347339</v>
      </c>
      <c r="M575" s="1681">
        <v>67.87</v>
      </c>
      <c r="N575" s="1162">
        <v>8758.5513597113022</v>
      </c>
      <c r="O575" s="1162">
        <v>3089.3156334579198</v>
      </c>
      <c r="P575" s="1162">
        <v>4227.9675215878333</v>
      </c>
      <c r="Q575" s="1163">
        <v>21.1</v>
      </c>
      <c r="R575" s="1164">
        <v>1293.3423787528868</v>
      </c>
      <c r="S575" s="1164">
        <v>1740.1903616600866</v>
      </c>
      <c r="T575" s="1164">
        <v>3711.1017650671383</v>
      </c>
      <c r="U575" s="1165">
        <v>113416.67740688233</v>
      </c>
      <c r="V575" s="1166">
        <v>28394.32199082875</v>
      </c>
      <c r="W575" s="1166">
        <v>1243.7169738368345</v>
      </c>
      <c r="X575" s="1794">
        <v>0.77590000000000003</v>
      </c>
      <c r="AI575" s="1878" t="s">
        <v>4</v>
      </c>
      <c r="AJ575" s="1827">
        <v>2012</v>
      </c>
      <c r="AK575" s="1822" t="s">
        <v>125</v>
      </c>
      <c r="AL575" s="1822">
        <v>8</v>
      </c>
      <c r="AM575" s="1823">
        <v>584697728.56999981</v>
      </c>
      <c r="AN575" s="1824">
        <v>2.7538387589851266E-2</v>
      </c>
      <c r="AO575" s="1822"/>
      <c r="AP575" s="1901" t="s">
        <v>1</v>
      </c>
      <c r="AQ575" s="1901" t="s">
        <v>503</v>
      </c>
      <c r="AR575" s="1901" t="s">
        <v>21</v>
      </c>
      <c r="AS575" s="1901">
        <v>6</v>
      </c>
      <c r="AT575" s="1902">
        <v>240258000</v>
      </c>
      <c r="AU575" s="1896">
        <v>1.8932975401032771E-2</v>
      </c>
      <c r="AV575" s="1822">
        <v>2013</v>
      </c>
      <c r="EA575" s="169"/>
      <c r="EB575" s="169"/>
      <c r="EC575" s="169"/>
      <c r="ED575" s="169"/>
      <c r="EE575" s="169"/>
      <c r="EF575" s="169"/>
      <c r="EG575" s="169"/>
      <c r="EH575" s="169"/>
      <c r="EI575" s="169"/>
      <c r="EJ575" s="169"/>
      <c r="EK575" s="169"/>
      <c r="EL575" s="169"/>
      <c r="EM575" s="169"/>
      <c r="EN575" s="169"/>
      <c r="EO575" s="169"/>
      <c r="EP575" s="169"/>
      <c r="EQ575" s="169"/>
      <c r="ER575" s="169"/>
      <c r="ES575" s="169"/>
      <c r="ET575" s="169"/>
      <c r="EU575" s="169"/>
      <c r="EV575" s="169"/>
      <c r="EW575" s="169"/>
      <c r="EX575" s="169"/>
    </row>
    <row r="576" spans="1:154">
      <c r="A576" s="333">
        <f t="shared" si="17"/>
        <v>2018</v>
      </c>
      <c r="B576" s="333">
        <f t="shared" si="18"/>
        <v>2</v>
      </c>
      <c r="C576" s="1175">
        <v>43191</v>
      </c>
      <c r="D576" s="1168">
        <v>480.11947310474034</v>
      </c>
      <c r="E576" s="1168">
        <v>1741.12</v>
      </c>
      <c r="F576" s="1168">
        <v>1334.74</v>
      </c>
      <c r="G576" s="1168">
        <v>65.430000000000007</v>
      </c>
      <c r="H576" s="1167">
        <v>85.162046075751675</v>
      </c>
      <c r="I576" s="1168">
        <v>52.554761904761897</v>
      </c>
      <c r="J576" s="1168">
        <v>68.397761291162311</v>
      </c>
      <c r="K576" s="1678">
        <v>13934.5</v>
      </c>
      <c r="L576" s="1678">
        <v>18136.795522582324</v>
      </c>
      <c r="M576" s="1682">
        <v>73.02</v>
      </c>
      <c r="N576" s="1169">
        <v>8900.8850709358321</v>
      </c>
      <c r="O576" s="1169">
        <v>3068.3001431732396</v>
      </c>
      <c r="P576" s="1169">
        <v>4153.2279057659771</v>
      </c>
      <c r="Q576" s="1167">
        <v>21</v>
      </c>
      <c r="R576" s="1167">
        <v>1245.1258426966292</v>
      </c>
      <c r="S576" s="1167">
        <v>1872.7807713239965</v>
      </c>
      <c r="T576" s="1167">
        <v>3829.8576960531391</v>
      </c>
      <c r="U576" s="1167">
        <v>118264.34986333463</v>
      </c>
      <c r="V576" s="1167">
        <v>29606.263301915478</v>
      </c>
      <c r="W576" s="1167">
        <v>1256.0197839385658</v>
      </c>
      <c r="X576" s="1655">
        <v>0.76829999999999998</v>
      </c>
      <c r="AI576" s="1878" t="s">
        <v>4</v>
      </c>
      <c r="AJ576" s="1827">
        <v>2012</v>
      </c>
      <c r="AK576" s="1822" t="s">
        <v>22</v>
      </c>
      <c r="AL576" s="1822">
        <v>9</v>
      </c>
      <c r="AM576" s="1823">
        <v>236492879.88999999</v>
      </c>
      <c r="AN576" s="1824">
        <v>1.1138460559063505E-2</v>
      </c>
      <c r="AO576" s="1822"/>
      <c r="AP576" s="1901" t="s">
        <v>1</v>
      </c>
      <c r="AQ576" s="1901" t="s">
        <v>503</v>
      </c>
      <c r="AR576" s="1901" t="s">
        <v>371</v>
      </c>
      <c r="AS576" s="1901">
        <v>7</v>
      </c>
      <c r="AT576" s="1902">
        <v>176937000</v>
      </c>
      <c r="AU576" s="1896">
        <v>1.3943110608314959E-2</v>
      </c>
      <c r="AV576" s="1822">
        <v>2013</v>
      </c>
      <c r="EA576" s="169"/>
      <c r="EB576" s="169"/>
      <c r="EC576" s="169"/>
      <c r="ED576" s="169"/>
      <c r="EE576" s="169"/>
      <c r="EF576" s="169"/>
      <c r="EG576" s="169"/>
      <c r="EH576" s="169"/>
      <c r="EI576" s="169"/>
      <c r="EJ576" s="169"/>
      <c r="EK576" s="169"/>
      <c r="EL576" s="169"/>
      <c r="EM576" s="169"/>
      <c r="EN576" s="169"/>
      <c r="EO576" s="169"/>
      <c r="EP576" s="169"/>
      <c r="EQ576" s="169"/>
      <c r="ER576" s="169"/>
      <c r="ES576" s="169"/>
      <c r="ET576" s="169"/>
      <c r="EU576" s="169"/>
      <c r="EV576" s="169"/>
      <c r="EW576" s="169"/>
      <c r="EX576" s="169"/>
    </row>
    <row r="577" spans="1:154">
      <c r="A577" s="333">
        <f t="shared" si="17"/>
        <v>2018</v>
      </c>
      <c r="B577" s="333">
        <f t="shared" si="18"/>
        <v>2</v>
      </c>
      <c r="C577" s="1175">
        <v>43221</v>
      </c>
      <c r="D577" s="1158">
        <v>609.17389773981392</v>
      </c>
      <c r="E577" s="1159">
        <v>1721.78</v>
      </c>
      <c r="F577" s="1159">
        <v>1303.03</v>
      </c>
      <c r="G577" s="1160">
        <v>66</v>
      </c>
      <c r="H577" s="1161">
        <v>87.672688629117957</v>
      </c>
      <c r="I577" s="1160">
        <v>53.952380952380949</v>
      </c>
      <c r="J577" s="1160">
        <v>71.665781083953249</v>
      </c>
      <c r="K577" s="1677">
        <v>14356.428571428571</v>
      </c>
      <c r="L577" s="1677">
        <v>19070.707454076208</v>
      </c>
      <c r="M577" s="1681">
        <v>78.41</v>
      </c>
      <c r="N577" s="1162">
        <v>9061.8516269419561</v>
      </c>
      <c r="O577" s="1162">
        <v>3140.1181620363341</v>
      </c>
      <c r="P577" s="1162">
        <v>4061.9781387581597</v>
      </c>
      <c r="Q577" s="1163">
        <v>22.75</v>
      </c>
      <c r="R577" s="1164">
        <v>1341.9234072314189</v>
      </c>
      <c r="S577" s="1164">
        <v>1938.025706940874</v>
      </c>
      <c r="T577" s="1164">
        <v>3914.158773425951</v>
      </c>
      <c r="U577" s="1165">
        <v>120138.78346237537</v>
      </c>
      <c r="V577" s="1166">
        <v>28935.019304984304</v>
      </c>
      <c r="W577" s="1166">
        <v>1253.9851222104144</v>
      </c>
      <c r="X577" s="1794">
        <v>0.75280000000000002</v>
      </c>
      <c r="AI577" s="1878" t="s">
        <v>4</v>
      </c>
      <c r="AJ577" s="1827">
        <v>2012</v>
      </c>
      <c r="AK577" s="1822" t="s">
        <v>758</v>
      </c>
      <c r="AL577" s="1822">
        <v>10</v>
      </c>
      <c r="AM577" s="1823">
        <v>236190311.53999999</v>
      </c>
      <c r="AN577" s="1824">
        <v>1.1124210042792303E-2</v>
      </c>
      <c r="AO577" s="1822"/>
      <c r="AP577" s="1901" t="s">
        <v>1</v>
      </c>
      <c r="AQ577" s="1901" t="s">
        <v>503</v>
      </c>
      <c r="AR577" s="1901" t="s">
        <v>758</v>
      </c>
      <c r="AS577" s="1901">
        <v>8</v>
      </c>
      <c r="AT577" s="1902">
        <v>120917000</v>
      </c>
      <c r="AU577" s="1896">
        <v>9.5285842159956377E-3</v>
      </c>
      <c r="AV577" s="1822">
        <v>2013</v>
      </c>
      <c r="EA577" s="169"/>
      <c r="EB577" s="169"/>
      <c r="EC577" s="169"/>
      <c r="ED577" s="169"/>
      <c r="EE577" s="169"/>
      <c r="EF577" s="169"/>
      <c r="EG577" s="169"/>
      <c r="EH577" s="169"/>
      <c r="EI577" s="169"/>
      <c r="EJ577" s="169"/>
      <c r="EK577" s="169"/>
      <c r="EL577" s="169"/>
      <c r="EM577" s="169"/>
      <c r="EN577" s="169"/>
      <c r="EO577" s="169"/>
      <c r="EP577" s="169"/>
      <c r="EQ577" s="169"/>
      <c r="ER577" s="169"/>
      <c r="ES577" s="169"/>
      <c r="ET577" s="169"/>
      <c r="EU577" s="169"/>
      <c r="EV577" s="169"/>
      <c r="EW577" s="169"/>
      <c r="EX577" s="169"/>
    </row>
    <row r="578" spans="1:154">
      <c r="A578" s="333">
        <f t="shared" si="17"/>
        <v>2018</v>
      </c>
      <c r="B578" s="333">
        <f t="shared" si="18"/>
        <v>2</v>
      </c>
      <c r="C578" s="1175">
        <v>43252</v>
      </c>
      <c r="D578" s="1168">
        <v>643.76554106926437</v>
      </c>
      <c r="E578" s="1168">
        <v>1714.33</v>
      </c>
      <c r="F578" s="1168">
        <v>1281.57</v>
      </c>
      <c r="G578" s="1168">
        <v>64.45</v>
      </c>
      <c r="H578" s="1167">
        <v>86.036577226004539</v>
      </c>
      <c r="I578" s="1168">
        <v>53.440000000000012</v>
      </c>
      <c r="J578" s="1168">
        <v>71.338940061407015</v>
      </c>
      <c r="K578" s="1678">
        <v>15110.952380952382</v>
      </c>
      <c r="L578" s="1678">
        <v>20172.143079632067</v>
      </c>
      <c r="M578" s="1682">
        <v>76.91</v>
      </c>
      <c r="N578" s="1169">
        <v>9284.1886454221258</v>
      </c>
      <c r="O578" s="1169">
        <v>3258.2273331172014</v>
      </c>
      <c r="P578" s="1169">
        <v>4127.3019687116603</v>
      </c>
      <c r="Q578" s="1167">
        <v>22.55</v>
      </c>
      <c r="R578" s="1167">
        <v>1373.1087239583333</v>
      </c>
      <c r="S578" s="1167">
        <v>1895.1131188347008</v>
      </c>
      <c r="T578" s="1167">
        <v>3884.3987550359866</v>
      </c>
      <c r="U578" s="1167">
        <v>109264.45067414231</v>
      </c>
      <c r="V578" s="1167">
        <v>28071.768779445687</v>
      </c>
      <c r="W578" s="1167">
        <v>1223.801895608063</v>
      </c>
      <c r="X578" s="1655">
        <v>0.74909999999999999</v>
      </c>
      <c r="AI578" s="1878" t="s">
        <v>4</v>
      </c>
      <c r="AJ578" s="1827">
        <v>2012</v>
      </c>
      <c r="AK578" s="1822" t="s">
        <v>39</v>
      </c>
      <c r="AL578" s="1822"/>
      <c r="AM578" s="1823">
        <v>427841608.97999954</v>
      </c>
      <c r="AN578" s="1824">
        <v>2.0150699206532445E-2</v>
      </c>
      <c r="AO578" s="1822"/>
      <c r="AP578" s="1901" t="s">
        <v>1</v>
      </c>
      <c r="AQ578" s="1901" t="s">
        <v>503</v>
      </c>
      <c r="AR578" s="1901" t="s">
        <v>527</v>
      </c>
      <c r="AS578" s="1901">
        <v>9</v>
      </c>
      <c r="AT578" s="1902">
        <v>45445000</v>
      </c>
      <c r="AU578" s="1896">
        <v>3.5811880024803934E-3</v>
      </c>
      <c r="AV578" s="1822">
        <v>2013</v>
      </c>
      <c r="EA578" s="169"/>
      <c r="EB578" s="169"/>
      <c r="EC578" s="169"/>
      <c r="ED578" s="169"/>
      <c r="EE578" s="169"/>
      <c r="EF578" s="169"/>
      <c r="EG578" s="169"/>
      <c r="EH578" s="169"/>
      <c r="EI578" s="169"/>
      <c r="EJ578" s="169"/>
      <c r="EK578" s="169"/>
      <c r="EL578" s="169"/>
      <c r="EM578" s="169"/>
      <c r="EN578" s="169"/>
      <c r="EO578" s="169"/>
      <c r="EP578" s="169"/>
      <c r="EQ578" s="169"/>
      <c r="ER578" s="169"/>
      <c r="ES578" s="169"/>
      <c r="ET578" s="169"/>
      <c r="EU578" s="169"/>
      <c r="EV578" s="169"/>
      <c r="EW578" s="169"/>
      <c r="EX578" s="169"/>
    </row>
    <row r="579" spans="1:154">
      <c r="A579" s="333">
        <f t="shared" si="17"/>
        <v>2018</v>
      </c>
      <c r="B579" s="333">
        <f t="shared" si="18"/>
        <v>3</v>
      </c>
      <c r="C579" s="1175">
        <v>43282</v>
      </c>
      <c r="D579" s="1158">
        <v>614.83939372491841</v>
      </c>
      <c r="E579" s="1159">
        <v>1677.03</v>
      </c>
      <c r="F579" s="1159">
        <v>1238.53</v>
      </c>
      <c r="G579" s="1160">
        <v>64.09</v>
      </c>
      <c r="H579" s="1161">
        <v>86.549628629304522</v>
      </c>
      <c r="I579" s="1160">
        <v>53.854545454545452</v>
      </c>
      <c r="J579" s="1160">
        <v>72.721134368669809</v>
      </c>
      <c r="K579" s="1677">
        <v>13772.045454545454</v>
      </c>
      <c r="L579" s="1677">
        <v>18598.305813025596</v>
      </c>
      <c r="M579" s="1681">
        <v>76.33</v>
      </c>
      <c r="N579" s="1162">
        <v>8437.7877355595101</v>
      </c>
      <c r="O579" s="1162">
        <v>2988.3985022405009</v>
      </c>
      <c r="P579" s="1162">
        <v>3590.4487140138722</v>
      </c>
      <c r="Q579" s="1163">
        <v>25.7</v>
      </c>
      <c r="R579" s="1164">
        <v>1361.773428232503</v>
      </c>
      <c r="S579" s="1164">
        <v>2096.9206536719826</v>
      </c>
      <c r="T579" s="1164">
        <v>3883.7042176810401</v>
      </c>
      <c r="U579" s="1165">
        <v>95804.431894911308</v>
      </c>
      <c r="V579" s="1166">
        <v>26068.921037309086</v>
      </c>
      <c r="W579" s="1166">
        <v>1174.2741390952058</v>
      </c>
      <c r="X579" s="1794">
        <v>0.74050000000000005</v>
      </c>
      <c r="AI579" s="1878" t="s">
        <v>4</v>
      </c>
      <c r="AJ579" s="1827">
        <v>2012</v>
      </c>
      <c r="AK579" s="1822" t="s">
        <v>386</v>
      </c>
      <c r="AL579" s="1822"/>
      <c r="AM579" s="1823">
        <v>21232097437.16</v>
      </c>
      <c r="AN579" s="1824"/>
      <c r="AO579" s="1822"/>
      <c r="AP579" s="1901" t="s">
        <v>1</v>
      </c>
      <c r="AQ579" s="1901" t="s">
        <v>503</v>
      </c>
      <c r="AR579" s="1901" t="s">
        <v>58</v>
      </c>
      <c r="AS579" s="1901">
        <v>10</v>
      </c>
      <c r="AT579" s="1902">
        <v>34773000</v>
      </c>
      <c r="AU579" s="1896">
        <v>2.7402057522334846E-3</v>
      </c>
      <c r="AV579" s="1822">
        <v>2013</v>
      </c>
      <c r="EA579" s="169"/>
      <c r="EB579" s="169"/>
      <c r="EC579" s="169"/>
      <c r="ED579" s="169"/>
      <c r="EE579" s="169"/>
      <c r="EF579" s="169"/>
      <c r="EG579" s="169"/>
      <c r="EH579" s="169"/>
      <c r="EI579" s="169"/>
      <c r="EJ579" s="169"/>
      <c r="EK579" s="169"/>
      <c r="EL579" s="169"/>
      <c r="EM579" s="169"/>
      <c r="EN579" s="169"/>
      <c r="EO579" s="169"/>
      <c r="EP579" s="169"/>
      <c r="EQ579" s="169"/>
      <c r="ER579" s="169"/>
      <c r="ES579" s="169"/>
      <c r="ET579" s="169"/>
      <c r="EU579" s="169"/>
      <c r="EV579" s="169"/>
      <c r="EW579" s="169"/>
      <c r="EX579" s="169"/>
    </row>
    <row r="580" spans="1:154">
      <c r="A580" s="333">
        <f t="shared" si="17"/>
        <v>2018</v>
      </c>
      <c r="B580" s="333">
        <f t="shared" si="18"/>
        <v>3</v>
      </c>
      <c r="C580" s="1175">
        <v>43313</v>
      </c>
      <c r="D580" s="1168">
        <v>600.19848496290138</v>
      </c>
      <c r="E580" s="1168">
        <v>1642.36</v>
      </c>
      <c r="F580" s="1168">
        <v>1201.25</v>
      </c>
      <c r="G580" s="1168">
        <v>66.81</v>
      </c>
      <c r="H580" s="1167">
        <v>91.195741195741192</v>
      </c>
      <c r="I580" s="1168">
        <v>55.31136363636363</v>
      </c>
      <c r="J580" s="1168">
        <v>75.416325416325407</v>
      </c>
      <c r="K580" s="1678">
        <v>13432.954545454546</v>
      </c>
      <c r="L580" s="1678">
        <v>18336.001290546745</v>
      </c>
      <c r="M580" s="1682">
        <v>74.77</v>
      </c>
      <c r="N580" s="1169">
        <v>8244.2669942669945</v>
      </c>
      <c r="O580" s="1169">
        <v>2818.5416821780459</v>
      </c>
      <c r="P580" s="1169">
        <v>3426.8669495942227</v>
      </c>
      <c r="Q580" s="1167">
        <v>27.35</v>
      </c>
      <c r="R580" s="1167">
        <v>1436.7537037037036</v>
      </c>
      <c r="S580" s="1167">
        <v>2112.8665584105456</v>
      </c>
      <c r="T580" s="1167">
        <v>3874.4114594134921</v>
      </c>
      <c r="U580" s="1167">
        <v>86559.70019606383</v>
      </c>
      <c r="V580" s="1167">
        <v>22659.945202005336</v>
      </c>
      <c r="W580" s="1167">
        <v>1108.3265083265082</v>
      </c>
      <c r="X580" s="1655">
        <v>0.73260000000000003</v>
      </c>
      <c r="AI580" s="1878" t="s">
        <v>4</v>
      </c>
      <c r="AJ580" s="1827">
        <v>2011</v>
      </c>
      <c r="AK580" s="1822" t="s">
        <v>23</v>
      </c>
      <c r="AL580" s="1822">
        <v>1</v>
      </c>
      <c r="AM580" s="1823">
        <v>8738790178.4799957</v>
      </c>
      <c r="AN580" s="1824">
        <v>0.448887204097208</v>
      </c>
      <c r="AO580" s="1822"/>
      <c r="AP580" s="1901" t="s">
        <v>1</v>
      </c>
      <c r="AQ580" s="1901" t="s">
        <v>503</v>
      </c>
      <c r="AR580" s="1901" t="s">
        <v>39</v>
      </c>
      <c r="AS580" s="1901"/>
      <c r="AT580" s="1902">
        <v>72644000</v>
      </c>
      <c r="AU580" s="1896">
        <v>5.724542221414582E-3</v>
      </c>
      <c r="AV580" s="1822">
        <v>2013</v>
      </c>
      <c r="EA580" s="169"/>
      <c r="EB580" s="169"/>
      <c r="EC580" s="169"/>
      <c r="ED580" s="169"/>
      <c r="EE580" s="169"/>
      <c r="EF580" s="169"/>
      <c r="EG580" s="169"/>
      <c r="EH580" s="169"/>
      <c r="EI580" s="169"/>
      <c r="EJ580" s="169"/>
      <c r="EK580" s="169"/>
      <c r="EL580" s="169"/>
      <c r="EM580" s="169"/>
      <c r="EN580" s="169"/>
      <c r="EO580" s="169"/>
      <c r="EP580" s="169"/>
      <c r="EQ580" s="169"/>
      <c r="ER580" s="169"/>
      <c r="ES580" s="169"/>
      <c r="ET580" s="169"/>
      <c r="EU580" s="169"/>
      <c r="EV580" s="169"/>
      <c r="EW580" s="169"/>
      <c r="EX580" s="169"/>
    </row>
    <row r="581" spans="1:154">
      <c r="A581" s="333">
        <f t="shared" si="17"/>
        <v>2018</v>
      </c>
      <c r="B581" s="333">
        <f t="shared" si="18"/>
        <v>3</v>
      </c>
      <c r="C581" s="1175">
        <v>43344</v>
      </c>
      <c r="D581" s="1158">
        <v>697.52920842459241</v>
      </c>
      <c r="E581" s="1159">
        <v>1669.31</v>
      </c>
      <c r="F581" s="1159">
        <v>1198.47</v>
      </c>
      <c r="G581" s="1160">
        <v>68.34</v>
      </c>
      <c r="H581" s="1161">
        <v>94.863964464186566</v>
      </c>
      <c r="I581" s="1160">
        <v>55.739999999999988</v>
      </c>
      <c r="J581" s="1160">
        <v>77.373681288173231</v>
      </c>
      <c r="K581" s="1677">
        <v>12527.25</v>
      </c>
      <c r="L581" s="1677">
        <v>17389.297612437535</v>
      </c>
      <c r="M581" s="1681">
        <v>80.540000000000006</v>
      </c>
      <c r="N581" s="1162">
        <v>8356.5033314825087</v>
      </c>
      <c r="O581" s="1162">
        <v>2815.415047196002</v>
      </c>
      <c r="P581" s="1162">
        <v>3377.5680177679064</v>
      </c>
      <c r="Q581" s="1163">
        <v>27.4</v>
      </c>
      <c r="R581" s="1164">
        <v>1494.2061579651941</v>
      </c>
      <c r="S581" s="1164">
        <v>2147.098704778919</v>
      </c>
      <c r="T581" s="1164">
        <v>3961.5642163369371</v>
      </c>
      <c r="U581" s="1165">
        <v>86792.059966685163</v>
      </c>
      <c r="V581" s="1166">
        <v>22784.394816094496</v>
      </c>
      <c r="W581" s="1166">
        <v>1117.4347584675179</v>
      </c>
      <c r="X581" s="1794">
        <v>0.72040000000000004</v>
      </c>
      <c r="AI581" s="1878" t="s">
        <v>4</v>
      </c>
      <c r="AJ581" s="1827">
        <v>2011</v>
      </c>
      <c r="AK581" s="1822" t="s">
        <v>18</v>
      </c>
      <c r="AL581" s="1822">
        <v>2</v>
      </c>
      <c r="AM581" s="1823">
        <v>3423677055.5500002</v>
      </c>
      <c r="AN581" s="1824">
        <v>0.17586471236970655</v>
      </c>
      <c r="AO581" s="1822"/>
      <c r="AP581" s="1901" t="s">
        <v>1</v>
      </c>
      <c r="AQ581" s="1901" t="s">
        <v>503</v>
      </c>
      <c r="AR581" s="1901" t="s">
        <v>386</v>
      </c>
      <c r="AS581" s="1901"/>
      <c r="AT581" s="1902">
        <v>12689923000</v>
      </c>
      <c r="AU581" s="1896">
        <v>1</v>
      </c>
      <c r="AV581" s="1822">
        <v>2013</v>
      </c>
      <c r="EA581" s="169"/>
      <c r="EB581" s="169"/>
      <c r="EC581" s="169"/>
      <c r="ED581" s="169"/>
      <c r="EE581" s="169"/>
      <c r="EF581" s="169"/>
      <c r="EG581" s="169"/>
      <c r="EH581" s="169"/>
      <c r="EI581" s="169"/>
      <c r="EJ581" s="169"/>
      <c r="EK581" s="169"/>
      <c r="EL581" s="169"/>
      <c r="EM581" s="169"/>
      <c r="EN581" s="169"/>
      <c r="EO581" s="169"/>
      <c r="EP581" s="169"/>
      <c r="EQ581" s="169"/>
      <c r="ER581" s="169"/>
      <c r="ES581" s="169"/>
      <c r="ET581" s="169"/>
      <c r="EU581" s="169"/>
      <c r="EV581" s="169"/>
      <c r="EW581" s="169"/>
      <c r="EX581" s="169"/>
    </row>
    <row r="582" spans="1:154">
      <c r="A582" s="333">
        <f t="shared" si="17"/>
        <v>2018</v>
      </c>
      <c r="B582" s="333">
        <f t="shared" si="18"/>
        <v>4</v>
      </c>
      <c r="C582" s="1175">
        <v>43374</v>
      </c>
      <c r="D582" s="1168">
        <v>730.88614178825844</v>
      </c>
      <c r="E582" s="1168">
        <v>1714.3</v>
      </c>
      <c r="F582" s="1168">
        <v>1215.3900000000001</v>
      </c>
      <c r="G582" s="1168">
        <v>72.56</v>
      </c>
      <c r="H582" s="1167">
        <v>102.16840326668543</v>
      </c>
      <c r="I582" s="1168">
        <v>59.869565217391312</v>
      </c>
      <c r="J582" s="1168">
        <v>84.300197127569689</v>
      </c>
      <c r="K582" s="1678">
        <v>12327.17</v>
      </c>
      <c r="L582" s="1678">
        <v>17357.321881160235</v>
      </c>
      <c r="M582" s="1682">
        <v>82.44</v>
      </c>
      <c r="N582" s="1169">
        <v>8752.3092086736124</v>
      </c>
      <c r="O582" s="1169">
        <v>2795.1985356237678</v>
      </c>
      <c r="P582" s="1169">
        <v>3762.1374260771609</v>
      </c>
      <c r="Q582" s="1167">
        <v>27.9</v>
      </c>
      <c r="R582" s="1167">
        <v>1496.0272045028144</v>
      </c>
      <c r="S582" s="1167">
        <v>2203.6002763067004</v>
      </c>
      <c r="T582" s="1167">
        <v>3944.5540992876454</v>
      </c>
      <c r="U582" s="1167">
        <v>83228.667980850456</v>
      </c>
      <c r="V582" s="1167">
        <v>22679.112287955384</v>
      </c>
      <c r="W582" s="1167">
        <v>1075.5984229794424</v>
      </c>
      <c r="X582" s="1655">
        <v>0.71020000000000005</v>
      </c>
      <c r="AI582" s="1878" t="s">
        <v>4</v>
      </c>
      <c r="AJ582" s="1827">
        <v>2011</v>
      </c>
      <c r="AK582" s="1822" t="s">
        <v>61</v>
      </c>
      <c r="AL582" s="1822">
        <v>3</v>
      </c>
      <c r="AM582" s="1823">
        <v>1783865205.7499998</v>
      </c>
      <c r="AN582" s="1824">
        <v>9.163216513280438E-2</v>
      </c>
      <c r="AO582" s="1822"/>
      <c r="AP582" s="1903" t="s">
        <v>1</v>
      </c>
      <c r="AQ582" s="1903" t="s">
        <v>504</v>
      </c>
      <c r="AR582" s="1903" t="s">
        <v>530</v>
      </c>
      <c r="AS582" s="1903">
        <v>1</v>
      </c>
      <c r="AT582" s="1904">
        <v>6895489000</v>
      </c>
      <c r="AU582" s="1896">
        <v>0.53200153872171907</v>
      </c>
      <c r="AV582" s="1822">
        <v>2014</v>
      </c>
      <c r="EA582" s="169"/>
      <c r="EB582" s="169"/>
      <c r="EC582" s="169"/>
      <c r="ED582" s="169"/>
      <c r="EE582" s="169"/>
      <c r="EF582" s="169"/>
      <c r="EG582" s="169"/>
      <c r="EH582" s="169"/>
      <c r="EI582" s="169"/>
      <c r="EJ582" s="169"/>
      <c r="EK582" s="169"/>
      <c r="EL582" s="169"/>
      <c r="EM582" s="169"/>
      <c r="EN582" s="169"/>
      <c r="EO582" s="169"/>
      <c r="EP582" s="169"/>
      <c r="EQ582" s="169"/>
      <c r="ER582" s="169"/>
      <c r="ES582" s="169"/>
      <c r="ET582" s="169"/>
      <c r="EU582" s="169"/>
      <c r="EV582" s="169"/>
      <c r="EW582" s="169"/>
      <c r="EX582" s="169"/>
    </row>
    <row r="583" spans="1:154">
      <c r="A583" s="333">
        <f t="shared" si="17"/>
        <v>2018</v>
      </c>
      <c r="B583" s="333">
        <f t="shared" si="18"/>
        <v>4</v>
      </c>
      <c r="C583" s="1175">
        <v>43405</v>
      </c>
      <c r="D583" s="1158">
        <v>669.2541659937059</v>
      </c>
      <c r="E583" s="1159">
        <v>1691.04</v>
      </c>
      <c r="F583" s="1159">
        <v>1220.95</v>
      </c>
      <c r="G583" s="1160">
        <v>72.290000000000006</v>
      </c>
      <c r="H583" s="1161">
        <v>99.724099875844956</v>
      </c>
      <c r="I583" s="1160">
        <v>63.24285714285714</v>
      </c>
      <c r="J583" s="1160">
        <v>87.239619257828664</v>
      </c>
      <c r="K583" s="1677">
        <v>11253.40909090909</v>
      </c>
      <c r="L583" s="1677">
        <v>15524.084826747263</v>
      </c>
      <c r="M583" s="1681">
        <v>67.38</v>
      </c>
      <c r="N583" s="1162">
        <v>8543.2473444613042</v>
      </c>
      <c r="O583" s="1162">
        <v>2676.4506703118927</v>
      </c>
      <c r="P583" s="1162">
        <v>3576.8569959492847</v>
      </c>
      <c r="Q583" s="1163">
        <v>29.1</v>
      </c>
      <c r="R583" s="1164">
        <v>1481.1102003642986</v>
      </c>
      <c r="S583" s="1164">
        <v>2161.8938775510205</v>
      </c>
      <c r="T583" s="1164">
        <v>3911.8499142290789</v>
      </c>
      <c r="U583" s="1165">
        <v>73474.084199701538</v>
      </c>
      <c r="V583" s="1166">
        <v>20695.663671067283</v>
      </c>
      <c r="W583" s="1166">
        <v>1037.1361567112706</v>
      </c>
      <c r="X583" s="1794">
        <v>0.72489999999999999</v>
      </c>
      <c r="AI583" s="1878" t="s">
        <v>4</v>
      </c>
      <c r="AJ583" s="1827">
        <v>2011</v>
      </c>
      <c r="AK583" s="1822" t="s">
        <v>24</v>
      </c>
      <c r="AL583" s="1822">
        <v>4</v>
      </c>
      <c r="AM583" s="1823">
        <v>1477253020.3399997</v>
      </c>
      <c r="AN583" s="1824">
        <v>7.5882354937136146E-2</v>
      </c>
      <c r="AO583" s="1822"/>
      <c r="AP583" s="1903" t="s">
        <v>1</v>
      </c>
      <c r="AQ583" s="1903" t="s">
        <v>504</v>
      </c>
      <c r="AR583" s="1903" t="s">
        <v>61</v>
      </c>
      <c r="AS583" s="1903">
        <v>2</v>
      </c>
      <c r="AT583" s="1904">
        <v>3106885000</v>
      </c>
      <c r="AU583" s="1896">
        <v>0.23970273908513642</v>
      </c>
      <c r="AV583" s="1822">
        <v>2014</v>
      </c>
      <c r="EA583" s="169"/>
      <c r="EB583" s="169"/>
      <c r="EC583" s="169"/>
      <c r="ED583" s="169"/>
      <c r="EE583" s="169"/>
      <c r="EF583" s="169"/>
      <c r="EG583" s="169"/>
      <c r="EH583" s="169"/>
      <c r="EI583" s="169"/>
      <c r="EJ583" s="169"/>
      <c r="EK583" s="169"/>
      <c r="EL583" s="169"/>
      <c r="EM583" s="169"/>
      <c r="EN583" s="169"/>
      <c r="EO583" s="169"/>
      <c r="EP583" s="169"/>
      <c r="EQ583" s="169"/>
      <c r="ER583" s="169"/>
      <c r="ES583" s="169"/>
      <c r="ET583" s="169"/>
      <c r="EU583" s="169"/>
      <c r="EV583" s="169"/>
      <c r="EW583" s="169"/>
      <c r="EX583" s="169"/>
    </row>
    <row r="584" spans="1:154">
      <c r="A584" s="333">
        <f t="shared" si="17"/>
        <v>2018</v>
      </c>
      <c r="B584" s="333">
        <f t="shared" si="18"/>
        <v>4</v>
      </c>
      <c r="C584" s="1175">
        <v>43435</v>
      </c>
      <c r="D584" s="1167">
        <v>592.35887609284578</v>
      </c>
      <c r="E584" s="1168">
        <v>1748.32</v>
      </c>
      <c r="F584" s="1168">
        <v>1247.92</v>
      </c>
      <c r="G584" s="1168">
        <v>69.319999999999993</v>
      </c>
      <c r="H584" s="1167">
        <v>96.842693489801619</v>
      </c>
      <c r="I584" s="1168">
        <v>61.082499999999996</v>
      </c>
      <c r="J584" s="1168">
        <v>85.191394244202286</v>
      </c>
      <c r="K584" s="1678">
        <v>10836.84211</v>
      </c>
      <c r="L584" s="1678">
        <v>15139.483249511037</v>
      </c>
      <c r="M584" s="1682">
        <v>58.9</v>
      </c>
      <c r="N584" s="1169">
        <v>8513.8460463816718</v>
      </c>
      <c r="O584" s="1169">
        <v>2745.84197261805</v>
      </c>
      <c r="P584" s="1169">
        <v>3668.0706901369099</v>
      </c>
      <c r="Q584" s="1167">
        <v>28.5</v>
      </c>
      <c r="R584" s="1167">
        <v>1484.9178668742702</v>
      </c>
      <c r="S584" s="1167">
        <v>2122.5936593659367</v>
      </c>
      <c r="T584" s="1167">
        <v>3923.9433019649009</v>
      </c>
      <c r="U584" s="1167">
        <v>77241.506007264601</v>
      </c>
      <c r="V584" s="1167">
        <v>18939.730514559233</v>
      </c>
      <c r="W584" s="1167">
        <v>1012.8527521654094</v>
      </c>
      <c r="X584" s="1655">
        <v>0.71579999999999999</v>
      </c>
      <c r="AI584" s="1878" t="s">
        <v>4</v>
      </c>
      <c r="AJ584" s="1827">
        <v>2011</v>
      </c>
      <c r="AK584" s="1822" t="s">
        <v>33</v>
      </c>
      <c r="AL584" s="1822">
        <v>5</v>
      </c>
      <c r="AM584" s="1823">
        <v>1049571176.9000001</v>
      </c>
      <c r="AN584" s="1824">
        <v>5.3913535109227889E-2</v>
      </c>
      <c r="AO584" s="1822"/>
      <c r="AP584" s="1903" t="s">
        <v>1</v>
      </c>
      <c r="AQ584" s="1903" t="s">
        <v>504</v>
      </c>
      <c r="AR584" s="1903" t="s">
        <v>21</v>
      </c>
      <c r="AS584" s="1903">
        <v>3</v>
      </c>
      <c r="AT584" s="1904">
        <v>898660000</v>
      </c>
      <c r="AU584" s="1896">
        <v>6.9333516852490104E-2</v>
      </c>
      <c r="AV584" s="1822">
        <v>2014</v>
      </c>
      <c r="EA584" s="169"/>
      <c r="EB584" s="169"/>
      <c r="EC584" s="169"/>
      <c r="ED584" s="169"/>
      <c r="EE584" s="169"/>
      <c r="EF584" s="169"/>
      <c r="EG584" s="169"/>
      <c r="EH584" s="169"/>
      <c r="EI584" s="169"/>
      <c r="EJ584" s="169"/>
      <c r="EK584" s="169"/>
      <c r="EL584" s="169"/>
      <c r="EM584" s="169"/>
      <c r="EN584" s="169"/>
      <c r="EO584" s="169"/>
      <c r="EP584" s="169"/>
      <c r="EQ584" s="169"/>
      <c r="ER584" s="169"/>
      <c r="ES584" s="169"/>
      <c r="ET584" s="169"/>
      <c r="EU584" s="169"/>
      <c r="EV584" s="169"/>
      <c r="EW584" s="169"/>
      <c r="EX584" s="169"/>
    </row>
    <row r="585" spans="1:154">
      <c r="A585" s="333">
        <f t="shared" si="17"/>
        <v>2019</v>
      </c>
      <c r="B585" s="333">
        <f t="shared" si="18"/>
        <v>1</v>
      </c>
      <c r="C585" s="1175">
        <v>43466</v>
      </c>
      <c r="D585" s="1158">
        <v>563.4450303600637</v>
      </c>
      <c r="E585" s="1159">
        <v>1811.23</v>
      </c>
      <c r="F585" s="1159">
        <v>1291.75</v>
      </c>
      <c r="G585" s="1160">
        <v>76.11</v>
      </c>
      <c r="H585" s="1161">
        <v>106.43266675989372</v>
      </c>
      <c r="I585" s="1160">
        <v>66.879545454545465</v>
      </c>
      <c r="J585" s="1160">
        <v>93.525381065585236</v>
      </c>
      <c r="K585" s="1677">
        <v>11454.55</v>
      </c>
      <c r="L585" s="1677">
        <v>16018.109355334918</v>
      </c>
      <c r="M585" s="1681">
        <v>60.95</v>
      </c>
      <c r="N585" s="1162">
        <v>8295.3712767445122</v>
      </c>
      <c r="O585" s="1162">
        <v>2788.6449447629707</v>
      </c>
      <c r="P585" s="1162">
        <v>3578.7721996923506</v>
      </c>
      <c r="Q585" s="1163">
        <v>28.9</v>
      </c>
      <c r="R585" s="1164">
        <v>1536.8104115371086</v>
      </c>
      <c r="S585" s="1164">
        <v>2178.5865060240963</v>
      </c>
      <c r="T585" s="1164">
        <v>3869.1255074483197</v>
      </c>
      <c r="U585" s="1165">
        <v>55014.557404558815</v>
      </c>
      <c r="V585" s="1166">
        <v>18656.295186666022</v>
      </c>
      <c r="W585" s="1166">
        <v>986.82701720039154</v>
      </c>
      <c r="X585" s="1794">
        <v>0.71509999999999996</v>
      </c>
      <c r="AI585" s="1878" t="s">
        <v>4</v>
      </c>
      <c r="AJ585" s="1827">
        <v>2011</v>
      </c>
      <c r="AK585" s="1822" t="s">
        <v>25</v>
      </c>
      <c r="AL585" s="1822">
        <v>6</v>
      </c>
      <c r="AM585" s="1823">
        <v>686277380.5</v>
      </c>
      <c r="AN585" s="1824">
        <v>3.525214912773935E-2</v>
      </c>
      <c r="AO585" s="1822"/>
      <c r="AP585" s="1903" t="s">
        <v>1</v>
      </c>
      <c r="AQ585" s="1903" t="s">
        <v>504</v>
      </c>
      <c r="AR585" s="1903" t="s">
        <v>33</v>
      </c>
      <c r="AS585" s="1903">
        <v>4</v>
      </c>
      <c r="AT585" s="1904">
        <v>896319000</v>
      </c>
      <c r="AU585" s="1896">
        <v>6.9152903758604001E-2</v>
      </c>
      <c r="AV585" s="1822">
        <v>2014</v>
      </c>
      <c r="EA585" s="169"/>
      <c r="EB585" s="169"/>
      <c r="EC585" s="169"/>
      <c r="ED585" s="169"/>
      <c r="EE585" s="169"/>
      <c r="EF585" s="169"/>
      <c r="EG585" s="169"/>
      <c r="EH585" s="169"/>
      <c r="EI585" s="169"/>
      <c r="EJ585" s="169"/>
      <c r="EK585" s="169"/>
      <c r="EL585" s="169"/>
      <c r="EM585" s="169"/>
      <c r="EN585" s="169"/>
      <c r="EO585" s="169"/>
      <c r="EP585" s="169"/>
      <c r="EQ585" s="169"/>
      <c r="ER585" s="169"/>
      <c r="ES585" s="169"/>
      <c r="ET585" s="169"/>
      <c r="EU585" s="169"/>
      <c r="EV585" s="169"/>
      <c r="EW585" s="169"/>
      <c r="EX585" s="169"/>
    </row>
    <row r="586" spans="1:154">
      <c r="A586" s="333">
        <f t="shared" ref="A586:A649" si="19">YEAR(C586)</f>
        <v>2019</v>
      </c>
      <c r="B586" s="333">
        <f t="shared" ref="B586:B649" si="20">IF(OR(MONTH(C586)=1,MONTH(C586)=2,MONTH(C586)=3),1,IF(OR(MONTH(C586)=4,MONTH(C586)=5,MONTH(C586)=6),2,IF(OR(MONTH(C586)=7,MONTH(C586)=8,MONTH(C586)=9),3,4)))</f>
        <v>1</v>
      </c>
      <c r="C586" s="1175">
        <v>43497</v>
      </c>
      <c r="D586" s="1168">
        <v>538.66072981151183</v>
      </c>
      <c r="E586" s="1168">
        <v>1849.13</v>
      </c>
      <c r="F586" s="1168">
        <v>1320.07</v>
      </c>
      <c r="G586" s="1168">
        <v>87.12</v>
      </c>
      <c r="H586" s="1167">
        <v>122.05099467637994</v>
      </c>
      <c r="I586" s="1168">
        <v>77.888888888888914</v>
      </c>
      <c r="J586" s="1168">
        <v>109.12020173718129</v>
      </c>
      <c r="K586" s="1678">
        <v>12649.75</v>
      </c>
      <c r="L586" s="1678">
        <v>17721.70075651443</v>
      </c>
      <c r="M586" s="1682">
        <v>65.84</v>
      </c>
      <c r="N586" s="1169">
        <v>8795.460913421126</v>
      </c>
      <c r="O586" s="1169">
        <v>2888.8764359764641</v>
      </c>
      <c r="P586" s="1169">
        <v>3786.5648641075932</v>
      </c>
      <c r="Q586" s="1167">
        <v>28</v>
      </c>
      <c r="R586" s="1167">
        <v>1583.0428802588997</v>
      </c>
      <c r="S586" s="1167">
        <v>2152.1483010479519</v>
      </c>
      <c r="T586" s="1167">
        <v>3797.5507103074233</v>
      </c>
      <c r="U586" s="1167">
        <v>45390.865788736344</v>
      </c>
      <c r="V586" s="1167">
        <v>18524.309259695921</v>
      </c>
      <c r="W586" s="1167">
        <v>967.1196413561222</v>
      </c>
      <c r="X586" s="1655">
        <v>0.71379999999999999</v>
      </c>
      <c r="AI586" s="1878" t="s">
        <v>4</v>
      </c>
      <c r="AJ586" s="1827">
        <v>2011</v>
      </c>
      <c r="AK586" s="1822" t="s">
        <v>22</v>
      </c>
      <c r="AL586" s="1822">
        <v>7</v>
      </c>
      <c r="AM586" s="1823">
        <v>642481661.36000001</v>
      </c>
      <c r="AN586" s="1824">
        <v>3.3002485557077819E-2</v>
      </c>
      <c r="AO586" s="1822"/>
      <c r="AP586" s="1903" t="s">
        <v>1</v>
      </c>
      <c r="AQ586" s="1903" t="s">
        <v>504</v>
      </c>
      <c r="AR586" s="1903" t="s">
        <v>63</v>
      </c>
      <c r="AS586" s="1903">
        <v>5</v>
      </c>
      <c r="AT586" s="1904">
        <v>582834000</v>
      </c>
      <c r="AU586" s="1896">
        <v>4.4966873969247784E-2</v>
      </c>
      <c r="AV586" s="1822">
        <v>2014</v>
      </c>
      <c r="EA586" s="169"/>
      <c r="EB586" s="169"/>
      <c r="EC586" s="169"/>
      <c r="ED586" s="169"/>
      <c r="EE586" s="169"/>
      <c r="EF586" s="169"/>
      <c r="EG586" s="169"/>
      <c r="EH586" s="169"/>
      <c r="EI586" s="169"/>
      <c r="EJ586" s="169"/>
      <c r="EK586" s="169"/>
      <c r="EL586" s="169"/>
      <c r="EM586" s="169"/>
      <c r="EN586" s="169"/>
      <c r="EO586" s="169"/>
      <c r="EP586" s="169"/>
      <c r="EQ586" s="169"/>
      <c r="ER586" s="169"/>
      <c r="ES586" s="169"/>
      <c r="ET586" s="169"/>
      <c r="EU586" s="169"/>
      <c r="EV586" s="169"/>
      <c r="EW586" s="169"/>
      <c r="EX586" s="169"/>
    </row>
    <row r="587" spans="1:154">
      <c r="A587" s="333">
        <f t="shared" si="19"/>
        <v>2019</v>
      </c>
      <c r="B587" s="333">
        <f t="shared" si="20"/>
        <v>1</v>
      </c>
      <c r="C587" s="1175">
        <v>43525</v>
      </c>
      <c r="D587" s="1158">
        <v>534.13870236016885</v>
      </c>
      <c r="E587" s="1159">
        <v>1841.84</v>
      </c>
      <c r="F587" s="1159">
        <v>1300.9000000000001</v>
      </c>
      <c r="G587" s="1160">
        <v>85.75</v>
      </c>
      <c r="H587" s="1161">
        <v>121.06452068332626</v>
      </c>
      <c r="I587" s="1160">
        <v>76.754761904761907</v>
      </c>
      <c r="J587" s="1160">
        <v>108.35804037837075</v>
      </c>
      <c r="K587" s="1677">
        <v>13060.71</v>
      </c>
      <c r="L587" s="1677">
        <v>18439.517153748409</v>
      </c>
      <c r="M587" s="1681">
        <v>68.11</v>
      </c>
      <c r="N587" s="1162">
        <v>9107.7509529860235</v>
      </c>
      <c r="O587" s="1162">
        <v>2900.7059155724978</v>
      </c>
      <c r="P587" s="1162">
        <v>4025.6953268389098</v>
      </c>
      <c r="Q587" s="1163">
        <v>25.75</v>
      </c>
      <c r="R587" s="1164">
        <v>1563.9150239744272</v>
      </c>
      <c r="S587" s="1164">
        <v>2208.0118771726534</v>
      </c>
      <c r="T587" s="1164">
        <v>3825.3170842980858</v>
      </c>
      <c r="U587" s="1165">
        <v>44237.37117040802</v>
      </c>
      <c r="V587" s="1166">
        <v>17581.147038310763</v>
      </c>
      <c r="W587" s="1166">
        <v>973.16108993364378</v>
      </c>
      <c r="X587" s="1794">
        <v>0.70830000000000004</v>
      </c>
      <c r="AI587" s="1878" t="s">
        <v>4</v>
      </c>
      <c r="AJ587" s="1827">
        <v>2011</v>
      </c>
      <c r="AK587" s="1822" t="s">
        <v>21</v>
      </c>
      <c r="AL587" s="1822">
        <v>8</v>
      </c>
      <c r="AM587" s="1823">
        <v>535887900.3499999</v>
      </c>
      <c r="AN587" s="1824">
        <v>2.752706225742977E-2</v>
      </c>
      <c r="AO587" s="1822"/>
      <c r="AP587" s="1903" t="s">
        <v>1</v>
      </c>
      <c r="AQ587" s="1903" t="s">
        <v>504</v>
      </c>
      <c r="AR587" s="1903" t="s">
        <v>371</v>
      </c>
      <c r="AS587" s="1903">
        <v>6</v>
      </c>
      <c r="AT587" s="1904">
        <v>235990000</v>
      </c>
      <c r="AU587" s="1896">
        <v>1.8207126880042661E-2</v>
      </c>
      <c r="AV587" s="1822">
        <v>2014</v>
      </c>
      <c r="EA587" s="169"/>
      <c r="EB587" s="169"/>
      <c r="EC587" s="169"/>
      <c r="ED587" s="169"/>
      <c r="EE587" s="169"/>
      <c r="EF587" s="169"/>
      <c r="EG587" s="169"/>
      <c r="EH587" s="169"/>
      <c r="EI587" s="169"/>
      <c r="EJ587" s="169"/>
      <c r="EK587" s="169"/>
      <c r="EL587" s="169"/>
      <c r="EM587" s="169"/>
      <c r="EN587" s="169"/>
      <c r="EO587" s="169"/>
      <c r="EP587" s="169"/>
      <c r="EQ587" s="169"/>
      <c r="ER587" s="169"/>
      <c r="ES587" s="169"/>
      <c r="ET587" s="169"/>
      <c r="EU587" s="169"/>
      <c r="EV587" s="169"/>
      <c r="EW587" s="169"/>
      <c r="EX587" s="169"/>
    </row>
    <row r="588" spans="1:154">
      <c r="A588" s="333">
        <f t="shared" si="19"/>
        <v>2019</v>
      </c>
      <c r="B588" s="333">
        <f t="shared" si="20"/>
        <v>2</v>
      </c>
      <c r="C588" s="1175">
        <v>43556</v>
      </c>
      <c r="D588" s="1168">
        <v>526.33458904718032</v>
      </c>
      <c r="E588" s="1168">
        <v>1812.21</v>
      </c>
      <c r="F588" s="1168">
        <v>1286.44</v>
      </c>
      <c r="G588" s="1168">
        <v>93.54</v>
      </c>
      <c r="H588" s="1167">
        <v>131.52418447694038</v>
      </c>
      <c r="I588" s="1168">
        <v>84.511904761904773</v>
      </c>
      <c r="J588" s="1168">
        <v>118.82733408323959</v>
      </c>
      <c r="K588" s="1678">
        <v>12819</v>
      </c>
      <c r="L588" s="1678">
        <v>18024.465691788526</v>
      </c>
      <c r="M588" s="1682">
        <v>72.77</v>
      </c>
      <c r="N588" s="1169">
        <v>9062.2890888638922</v>
      </c>
      <c r="O588" s="1169">
        <v>2740.2277840269962</v>
      </c>
      <c r="P588" s="1169">
        <v>4132.100674915635</v>
      </c>
      <c r="Q588" s="1167">
        <v>24.1</v>
      </c>
      <c r="R588" s="1167">
        <v>1540.1657940663176</v>
      </c>
      <c r="S588" s="1167">
        <v>2167.5458242101972</v>
      </c>
      <c r="T588" s="1167">
        <v>3872.2849636724181</v>
      </c>
      <c r="U588" s="1167">
        <v>47774.887514060742</v>
      </c>
      <c r="V588" s="1167">
        <v>17407.996343169332</v>
      </c>
      <c r="W588" s="1167">
        <v>947.82058492688407</v>
      </c>
      <c r="X588" s="1655">
        <v>0.71120000000000005</v>
      </c>
      <c r="AI588" s="1878" t="s">
        <v>4</v>
      </c>
      <c r="AJ588" s="1827">
        <v>2011</v>
      </c>
      <c r="AK588" s="1822" t="s">
        <v>125</v>
      </c>
      <c r="AL588" s="1822">
        <v>9</v>
      </c>
      <c r="AM588" s="1823">
        <v>385569378.06000006</v>
      </c>
      <c r="AN588" s="1824">
        <v>1.9805620293878876E-2</v>
      </c>
      <c r="AO588" s="1822"/>
      <c r="AP588" s="1903" t="s">
        <v>1</v>
      </c>
      <c r="AQ588" s="1903" t="s">
        <v>504</v>
      </c>
      <c r="AR588" s="1903" t="s">
        <v>71</v>
      </c>
      <c r="AS588" s="1903">
        <v>7</v>
      </c>
      <c r="AT588" s="1904">
        <v>156801000</v>
      </c>
      <c r="AU588" s="1896">
        <v>1.2097528293222465E-2</v>
      </c>
      <c r="AV588" s="1822">
        <v>2014</v>
      </c>
      <c r="EA588" s="169"/>
      <c r="EB588" s="169"/>
      <c r="EC588" s="169"/>
      <c r="ED588" s="169"/>
      <c r="EE588" s="169"/>
      <c r="EF588" s="169"/>
      <c r="EG588" s="169"/>
      <c r="EH588" s="169"/>
      <c r="EI588" s="169"/>
      <c r="EJ588" s="169"/>
      <c r="EK588" s="169"/>
      <c r="EL588" s="169"/>
      <c r="EM588" s="169"/>
      <c r="EN588" s="169"/>
      <c r="EO588" s="169"/>
      <c r="EP588" s="169"/>
      <c r="EQ588" s="169"/>
      <c r="ER588" s="169"/>
      <c r="ES588" s="169"/>
      <c r="ET588" s="169"/>
      <c r="EU588" s="169"/>
      <c r="EV588" s="169"/>
      <c r="EW588" s="169"/>
      <c r="EX588" s="169"/>
    </row>
    <row r="589" spans="1:154">
      <c r="A589" s="333">
        <f t="shared" si="19"/>
        <v>2019</v>
      </c>
      <c r="B589" s="333">
        <f t="shared" si="20"/>
        <v>2</v>
      </c>
      <c r="C589" s="1175">
        <v>43586</v>
      </c>
      <c r="D589" s="1158">
        <v>525.19027525071203</v>
      </c>
      <c r="E589" s="1159">
        <v>1850.4</v>
      </c>
      <c r="F589" s="1159">
        <v>1283.95</v>
      </c>
      <c r="G589" s="1160">
        <v>99.06</v>
      </c>
      <c r="H589" s="1161">
        <v>142.65552995391704</v>
      </c>
      <c r="I589" s="1160">
        <v>91.092857142857142</v>
      </c>
      <c r="J589" s="1160">
        <v>131.17799539170508</v>
      </c>
      <c r="K589" s="1677">
        <v>11998.33</v>
      </c>
      <c r="L589" s="1677">
        <v>17278.701036866358</v>
      </c>
      <c r="M589" s="1681">
        <v>72.239999999999995</v>
      </c>
      <c r="N589" s="1162">
        <v>8681.3220046082952</v>
      </c>
      <c r="O589" s="1162">
        <v>2616.9498847926266</v>
      </c>
      <c r="P589" s="1162">
        <v>3956.998847926267</v>
      </c>
      <c r="Q589" s="1163">
        <v>24.7</v>
      </c>
      <c r="R589" s="1164">
        <v>1629.5495928941525</v>
      </c>
      <c r="S589" s="1164">
        <v>2225.5955696202532</v>
      </c>
      <c r="T589" s="1164">
        <v>3980.9162964372517</v>
      </c>
      <c r="U589" s="1165">
        <v>49751.756912442397</v>
      </c>
      <c r="V589" s="1166">
        <v>16905.788691794187</v>
      </c>
      <c r="W589" s="1166">
        <v>924.53917050691246</v>
      </c>
      <c r="X589" s="1794">
        <v>0.69440000000000002</v>
      </c>
      <c r="AI589" s="1878" t="s">
        <v>4</v>
      </c>
      <c r="AJ589" s="1827">
        <v>2011</v>
      </c>
      <c r="AK589" s="1822" t="s">
        <v>537</v>
      </c>
      <c r="AL589" s="1822">
        <v>10</v>
      </c>
      <c r="AM589" s="1823">
        <v>266619821.10000002</v>
      </c>
      <c r="AN589" s="1824">
        <v>1.3695514322475016E-2</v>
      </c>
      <c r="AO589" s="1822"/>
      <c r="AP589" s="1903" t="s">
        <v>1</v>
      </c>
      <c r="AQ589" s="1903" t="s">
        <v>504</v>
      </c>
      <c r="AR589" s="1903" t="s">
        <v>758</v>
      </c>
      <c r="AS589" s="1903">
        <v>8</v>
      </c>
      <c r="AT589" s="1904">
        <v>92629000</v>
      </c>
      <c r="AU589" s="1896">
        <v>7.1465229703439629E-3</v>
      </c>
      <c r="AV589" s="1822">
        <v>2014</v>
      </c>
      <c r="EA589" s="169"/>
      <c r="EB589" s="169"/>
      <c r="EC589" s="169"/>
      <c r="ED589" s="169"/>
      <c r="EE589" s="169"/>
      <c r="EF589" s="169"/>
      <c r="EG589" s="169"/>
      <c r="EH589" s="169"/>
      <c r="EI589" s="169"/>
      <c r="EJ589" s="169"/>
      <c r="EK589" s="169"/>
      <c r="EL589" s="169"/>
      <c r="EM589" s="169"/>
      <c r="EN589" s="169"/>
      <c r="EO589" s="169"/>
      <c r="EP589" s="169"/>
      <c r="EQ589" s="169"/>
      <c r="ER589" s="169"/>
      <c r="ES589" s="169"/>
      <c r="ET589" s="169"/>
      <c r="EU589" s="169"/>
      <c r="EV589" s="169"/>
      <c r="EW589" s="169"/>
      <c r="EX589" s="169"/>
    </row>
    <row r="590" spans="1:154">
      <c r="A590" s="333">
        <f t="shared" si="19"/>
        <v>2019</v>
      </c>
      <c r="B590" s="333">
        <f t="shared" si="20"/>
        <v>2</v>
      </c>
      <c r="C590" s="1175">
        <v>43617</v>
      </c>
      <c r="D590" s="1168">
        <v>504.84742206796523</v>
      </c>
      <c r="E590" s="1168">
        <v>1958.23</v>
      </c>
      <c r="F590" s="1168">
        <v>1359.0409999999999</v>
      </c>
      <c r="G590" s="1168">
        <v>108.69</v>
      </c>
      <c r="H590" s="1167">
        <v>156.43350604490502</v>
      </c>
      <c r="I590" s="1168">
        <v>101.44473684210527</v>
      </c>
      <c r="J590" s="1168">
        <v>145.99884858952217</v>
      </c>
      <c r="K590" s="1678">
        <v>11970</v>
      </c>
      <c r="L590" s="1678">
        <v>17227.9792746114</v>
      </c>
      <c r="M590" s="1682">
        <v>64.95</v>
      </c>
      <c r="N590" s="1169">
        <v>8446.2147380541173</v>
      </c>
      <c r="O590" s="1169">
        <v>2722.3661485319517</v>
      </c>
      <c r="P590" s="1169">
        <v>3745.149683362119</v>
      </c>
      <c r="Q590" s="1167">
        <v>25.5</v>
      </c>
      <c r="R590" s="1167">
        <v>1624.5305669939817</v>
      </c>
      <c r="S590" s="1167">
        <v>2240.4448030780118</v>
      </c>
      <c r="T590" s="1167">
        <v>3967.9942481164471</v>
      </c>
      <c r="U590" s="1167">
        <v>41673.862982153136</v>
      </c>
      <c r="V590" s="1167">
        <v>16245.717547572425</v>
      </c>
      <c r="W590" s="1167">
        <v>895.37996545768567</v>
      </c>
      <c r="X590" s="1655">
        <v>0.69479999999999997</v>
      </c>
      <c r="AI590" s="1878" t="s">
        <v>4</v>
      </c>
      <c r="AJ590" s="1827">
        <v>2011</v>
      </c>
      <c r="AK590" s="1822" t="s">
        <v>39</v>
      </c>
      <c r="AL590" s="1822"/>
      <c r="AM590" s="1823">
        <v>477682171.3900032</v>
      </c>
      <c r="AN590" s="1824">
        <v>2.4537196795316407E-2</v>
      </c>
      <c r="AO590" s="1822"/>
      <c r="AP590" s="1903" t="s">
        <v>1</v>
      </c>
      <c r="AQ590" s="1903" t="s">
        <v>504</v>
      </c>
      <c r="AR590" s="1903" t="s">
        <v>58</v>
      </c>
      <c r="AS590" s="1903">
        <v>9</v>
      </c>
      <c r="AT590" s="1904">
        <v>31509000</v>
      </c>
      <c r="AU590" s="1896">
        <v>2.4309858928906491E-3</v>
      </c>
      <c r="AV590" s="1822">
        <v>2014</v>
      </c>
      <c r="EA590" s="169"/>
      <c r="EB590" s="169"/>
      <c r="EC590" s="169"/>
      <c r="ED590" s="169"/>
      <c r="EE590" s="169"/>
      <c r="EF590" s="169"/>
      <c r="EG590" s="169"/>
      <c r="EH590" s="169"/>
      <c r="EI590" s="169"/>
      <c r="EJ590" s="169"/>
      <c r="EK590" s="169"/>
      <c r="EL590" s="169"/>
      <c r="EM590" s="169"/>
      <c r="EN590" s="169"/>
      <c r="EO590" s="169"/>
      <c r="EP590" s="169"/>
      <c r="EQ590" s="169"/>
      <c r="ER590" s="169"/>
      <c r="ES590" s="169"/>
      <c r="ET590" s="169"/>
      <c r="EU590" s="169"/>
      <c r="EV590" s="169"/>
      <c r="EW590" s="169"/>
      <c r="EX590" s="169"/>
    </row>
    <row r="591" spans="1:154">
      <c r="A591" s="333">
        <f t="shared" si="19"/>
        <v>2019</v>
      </c>
      <c r="B591" s="333">
        <f t="shared" si="20"/>
        <v>3</v>
      </c>
      <c r="C591" s="1175">
        <v>43647</v>
      </c>
      <c r="D591" s="1158">
        <v>481.14046038368895</v>
      </c>
      <c r="E591" s="1159">
        <v>2029.59</v>
      </c>
      <c r="F591" s="1159">
        <v>1412.98</v>
      </c>
      <c r="G591" s="1160">
        <v>119.96</v>
      </c>
      <c r="H591" s="1160">
        <v>171.88708984095143</v>
      </c>
      <c r="I591" s="1160">
        <v>110.76521739130432</v>
      </c>
      <c r="J591" s="1160">
        <v>158.71901418541339</v>
      </c>
      <c r="K591" s="1677">
        <v>13462.39</v>
      </c>
      <c r="L591" s="1677">
        <v>19289.855280126092</v>
      </c>
      <c r="M591" s="1681">
        <v>66.09</v>
      </c>
      <c r="N591" s="1162">
        <v>8511.0330992978943</v>
      </c>
      <c r="O591" s="1162">
        <v>2828.5141137698811</v>
      </c>
      <c r="P591" s="1162">
        <v>3498.3235420547358</v>
      </c>
      <c r="Q591" s="1163">
        <v>25.38</v>
      </c>
      <c r="R591" s="1164">
        <v>1645.3816956367507</v>
      </c>
      <c r="S591" s="1164">
        <v>2213.7237550471064</v>
      </c>
      <c r="T591" s="1164">
        <v>3819.6943832462939</v>
      </c>
      <c r="U591" s="1165">
        <v>40400.70210631896</v>
      </c>
      <c r="V591" s="1166">
        <v>15191.188206064531</v>
      </c>
      <c r="W591" s="1166">
        <v>878.85083822897275</v>
      </c>
      <c r="X591" s="1794">
        <v>0.69789999999999996</v>
      </c>
      <c r="AI591" s="1878" t="s">
        <v>4</v>
      </c>
      <c r="AJ591" s="1827">
        <v>2011</v>
      </c>
      <c r="AK591" s="1822" t="s">
        <v>386</v>
      </c>
      <c r="AL591" s="1822"/>
      <c r="AM591" s="1823">
        <v>19467674949.779995</v>
      </c>
      <c r="AN591" s="1824"/>
      <c r="AO591" s="1822"/>
      <c r="AP591" s="1903" t="s">
        <v>1</v>
      </c>
      <c r="AQ591" s="1903" t="s">
        <v>504</v>
      </c>
      <c r="AR591" s="1903" t="s">
        <v>23</v>
      </c>
      <c r="AS591" s="1903">
        <v>10</v>
      </c>
      <c r="AT591" s="1904">
        <v>26190000</v>
      </c>
      <c r="AU591" s="1896">
        <v>2.0206138098576945E-3</v>
      </c>
      <c r="AV591" s="1822">
        <v>2014</v>
      </c>
      <c r="EA591" s="169"/>
      <c r="EB591" s="169"/>
      <c r="EC591" s="169"/>
      <c r="ED591" s="169"/>
      <c r="EE591" s="169"/>
      <c r="EF591" s="169"/>
      <c r="EG591" s="169"/>
      <c r="EH591" s="169"/>
      <c r="EI591" s="169"/>
      <c r="EJ591" s="169"/>
      <c r="EK591" s="169"/>
      <c r="EL591" s="169"/>
      <c r="EM591" s="169"/>
      <c r="EN591" s="169"/>
      <c r="EO591" s="169"/>
      <c r="EP591" s="169"/>
      <c r="EQ591" s="169"/>
      <c r="ER591" s="169"/>
      <c r="ES591" s="169"/>
      <c r="ET591" s="169"/>
      <c r="EU591" s="169"/>
      <c r="EV591" s="169"/>
      <c r="EW591" s="169"/>
      <c r="EX591" s="169"/>
    </row>
    <row r="592" spans="1:154">
      <c r="A592" s="333">
        <f t="shared" si="19"/>
        <v>2019</v>
      </c>
      <c r="B592" s="333">
        <f t="shared" si="20"/>
        <v>3</v>
      </c>
      <c r="C592" s="1175">
        <v>43678</v>
      </c>
      <c r="D592" s="1170">
        <v>451.81703742651098</v>
      </c>
      <c r="E592" s="1171">
        <v>2218.41</v>
      </c>
      <c r="F592" s="1171">
        <v>1498.798</v>
      </c>
      <c r="G592" s="1172">
        <v>91.19</v>
      </c>
      <c r="H592" s="1171">
        <v>134.75690852667356</v>
      </c>
      <c r="I592" s="1171">
        <v>80.765000000000015</v>
      </c>
      <c r="J592" s="1171">
        <v>119.35865228313877</v>
      </c>
      <c r="K592" s="1679">
        <v>15682.14</v>
      </c>
      <c r="L592" s="1679">
        <v>23174.434756908526</v>
      </c>
      <c r="M592" s="1679">
        <v>61.46</v>
      </c>
      <c r="N592" s="1171">
        <v>8435.0229052756022</v>
      </c>
      <c r="O592" s="1171">
        <v>3019.3438746859761</v>
      </c>
      <c r="P592" s="1171">
        <v>3362.1102408748338</v>
      </c>
      <c r="Q592" s="1171">
        <v>25.3</v>
      </c>
      <c r="R592" s="1171">
        <v>1820.0979942693409</v>
      </c>
      <c r="S592" s="1171">
        <v>2252.8276311502118</v>
      </c>
      <c r="T592" s="1171">
        <v>4013.006570770619</v>
      </c>
      <c r="U592" s="1167">
        <v>44339.825624353478</v>
      </c>
      <c r="V592" s="1171">
        <v>14305.463591486414</v>
      </c>
      <c r="W592" s="1171">
        <v>882.29643859908379</v>
      </c>
      <c r="X592" s="1171">
        <v>0.67669999999999997</v>
      </c>
      <c r="AI592" s="1878" t="s">
        <v>4</v>
      </c>
      <c r="AJ592" s="1827">
        <v>2010</v>
      </c>
      <c r="AK592" s="1822" t="s">
        <v>23</v>
      </c>
      <c r="AL592" s="1822">
        <v>1</v>
      </c>
      <c r="AM592" s="1823">
        <v>7343004463.0500088</v>
      </c>
      <c r="AN592" s="1824">
        <v>0.41883654242933077</v>
      </c>
      <c r="AO592" s="1822"/>
      <c r="AP592" s="1903" t="s">
        <v>1</v>
      </c>
      <c r="AQ592" s="1903" t="s">
        <v>504</v>
      </c>
      <c r="AR592" s="1903" t="s">
        <v>39</v>
      </c>
      <c r="AS592" s="1903"/>
      <c r="AT592" s="1904">
        <v>38102000</v>
      </c>
      <c r="AU592" s="1896">
        <v>2.9396497664451269E-3</v>
      </c>
      <c r="AV592" s="1822">
        <v>2014</v>
      </c>
      <c r="EA592" s="169"/>
      <c r="EB592" s="169"/>
      <c r="EC592" s="169"/>
      <c r="ED592" s="169"/>
      <c r="EE592" s="169"/>
      <c r="EF592" s="169"/>
      <c r="EG592" s="169"/>
      <c r="EH592" s="169"/>
      <c r="EI592" s="169"/>
      <c r="EJ592" s="169"/>
      <c r="EK592" s="169"/>
      <c r="EL592" s="169"/>
      <c r="EM592" s="169"/>
      <c r="EN592" s="169"/>
      <c r="EO592" s="169"/>
      <c r="EP592" s="169"/>
      <c r="EQ592" s="169"/>
      <c r="ER592" s="169"/>
      <c r="ES592" s="169"/>
      <c r="ET592" s="169"/>
      <c r="EU592" s="169"/>
      <c r="EV592" s="169"/>
      <c r="EW592" s="169"/>
      <c r="EX592" s="169"/>
    </row>
    <row r="593" spans="1:154">
      <c r="A593" s="333">
        <f t="shared" si="19"/>
        <v>2019</v>
      </c>
      <c r="B593" s="333">
        <f t="shared" si="20"/>
        <v>3</v>
      </c>
      <c r="C593" s="1175">
        <v>43709</v>
      </c>
      <c r="D593" s="1158">
        <v>449.51272634315131</v>
      </c>
      <c r="E593" s="1159">
        <v>2221.84</v>
      </c>
      <c r="F593" s="1159">
        <v>1511.3140000000001</v>
      </c>
      <c r="G593" s="1160">
        <v>93.3</v>
      </c>
      <c r="H593" s="1160">
        <v>135.84740827023879</v>
      </c>
      <c r="I593" s="1160">
        <v>80.635714285714286</v>
      </c>
      <c r="J593" s="1160">
        <v>117.41409435061153</v>
      </c>
      <c r="K593" s="1677">
        <v>17673.099999999999</v>
      </c>
      <c r="L593" s="1677">
        <v>25732.527664531157</v>
      </c>
      <c r="M593" s="1681">
        <v>64.05</v>
      </c>
      <c r="N593" s="1162">
        <v>8365.5794991263829</v>
      </c>
      <c r="O593" s="1162">
        <v>3015.2300524170068</v>
      </c>
      <c r="P593" s="1162">
        <v>3377.460687245195</v>
      </c>
      <c r="Q593" s="1163">
        <v>25.65</v>
      </c>
      <c r="R593" s="1164">
        <v>1744.8484162895927</v>
      </c>
      <c r="S593" s="1164">
        <v>2222.9214598540148</v>
      </c>
      <c r="T593" s="1164">
        <v>4070.9555652028612</v>
      </c>
      <c r="U593" s="1165">
        <v>53075.684333139194</v>
      </c>
      <c r="V593" s="1166">
        <v>12876.336263444689</v>
      </c>
      <c r="W593" s="1166">
        <v>836.44437973209097</v>
      </c>
      <c r="X593" s="1794">
        <v>0.68679999999999997</v>
      </c>
      <c r="AI593" s="1878" t="s">
        <v>4</v>
      </c>
      <c r="AJ593" s="1827">
        <v>2010</v>
      </c>
      <c r="AK593" s="1822" t="s">
        <v>24</v>
      </c>
      <c r="AL593" s="1822">
        <v>2</v>
      </c>
      <c r="AM593" s="1823">
        <v>2719347736.7000003</v>
      </c>
      <c r="AN593" s="1824">
        <v>0.155108472211029</v>
      </c>
      <c r="AO593" s="1822"/>
      <c r="AP593" s="1903" t="s">
        <v>1</v>
      </c>
      <c r="AQ593" s="1903" t="s">
        <v>504</v>
      </c>
      <c r="AR593" s="1903" t="s">
        <v>386</v>
      </c>
      <c r="AS593" s="1903"/>
      <c r="AT593" s="1904">
        <v>12961408000</v>
      </c>
      <c r="AU593" s="1896">
        <v>1</v>
      </c>
      <c r="AV593" s="1822">
        <v>2014</v>
      </c>
      <c r="EA593" s="169"/>
      <c r="EB593" s="169"/>
      <c r="EC593" s="169"/>
      <c r="ED593" s="169"/>
      <c r="EE593" s="169"/>
      <c r="EF593" s="169"/>
      <c r="EG593" s="169"/>
      <c r="EH593" s="169"/>
      <c r="EI593" s="169"/>
      <c r="EJ593" s="169"/>
      <c r="EK593" s="169"/>
      <c r="EL593" s="169"/>
      <c r="EM593" s="169"/>
      <c r="EN593" s="169"/>
      <c r="EO593" s="169"/>
      <c r="EP593" s="169"/>
      <c r="EQ593" s="169"/>
      <c r="ER593" s="169"/>
      <c r="ES593" s="169"/>
      <c r="ET593" s="169"/>
      <c r="EU593" s="169"/>
      <c r="EV593" s="169"/>
      <c r="EW593" s="169"/>
      <c r="EX593" s="169"/>
    </row>
    <row r="594" spans="1:154">
      <c r="A594" s="333">
        <f t="shared" si="19"/>
        <v>2019</v>
      </c>
      <c r="B594" s="333">
        <f t="shared" si="20"/>
        <v>4</v>
      </c>
      <c r="C594" s="1175">
        <v>43739</v>
      </c>
      <c r="D594" s="1170">
        <v>430.30145532716136</v>
      </c>
      <c r="E594" s="1171">
        <v>2203.9299999999998</v>
      </c>
      <c r="F594" s="1171">
        <v>1494.8</v>
      </c>
      <c r="G594" s="1172">
        <v>89.61</v>
      </c>
      <c r="H594" s="1172">
        <v>131.81818181818181</v>
      </c>
      <c r="I594" s="1171">
        <v>78.600000000000009</v>
      </c>
      <c r="J594" s="1171">
        <v>116.99029126213593</v>
      </c>
      <c r="K594" s="1679">
        <v>17113.48</v>
      </c>
      <c r="L594" s="1679">
        <v>25174.286554869079</v>
      </c>
      <c r="M594" s="1679">
        <v>60.86</v>
      </c>
      <c r="N594" s="1171">
        <v>8447.9111503383356</v>
      </c>
      <c r="O594" s="1171">
        <v>3213.1509267431602</v>
      </c>
      <c r="P594" s="1171">
        <v>3597.513974698441</v>
      </c>
      <c r="Q594" s="1171">
        <v>24</v>
      </c>
      <c r="R594" s="1171">
        <v>1576.3932253313696</v>
      </c>
      <c r="S594" s="1171">
        <v>2167.8608354771532</v>
      </c>
      <c r="T594" s="1171">
        <v>4132.8768979748247</v>
      </c>
      <c r="U594" s="1167">
        <v>52109.311562224189</v>
      </c>
      <c r="V594" s="1171">
        <v>12374.576592392568</v>
      </c>
      <c r="W594" s="1171">
        <v>789.70285378052381</v>
      </c>
      <c r="X594" s="1171">
        <v>0.67979999999999996</v>
      </c>
      <c r="AI594" s="1878" t="s">
        <v>4</v>
      </c>
      <c r="AJ594" s="1827">
        <v>2010</v>
      </c>
      <c r="AK594" s="1822" t="s">
        <v>18</v>
      </c>
      <c r="AL594" s="1822">
        <v>3</v>
      </c>
      <c r="AM594" s="1823">
        <v>2173091242.0700006</v>
      </c>
      <c r="AN594" s="1824">
        <v>0.12395062903638879</v>
      </c>
      <c r="AO594" s="1822"/>
      <c r="AP594" s="1905" t="s">
        <v>1</v>
      </c>
      <c r="AQ594" s="1905" t="s">
        <v>505</v>
      </c>
      <c r="AR594" s="1905" t="s">
        <v>370</v>
      </c>
      <c r="AS594" s="1905">
        <v>1</v>
      </c>
      <c r="AT594" s="1906">
        <v>5406390000</v>
      </c>
      <c r="AU594" s="1896">
        <v>0.33019713472347739</v>
      </c>
      <c r="AV594" s="1822">
        <v>2015</v>
      </c>
      <c r="EA594" s="169"/>
      <c r="EB594" s="169"/>
      <c r="EC594" s="169"/>
      <c r="ED594" s="169"/>
      <c r="EE594" s="169"/>
      <c r="EF594" s="169"/>
      <c r="EG594" s="169"/>
      <c r="EH594" s="169"/>
      <c r="EI594" s="169"/>
      <c r="EJ594" s="169"/>
      <c r="EK594" s="169"/>
      <c r="EL594" s="169"/>
      <c r="EM594" s="169"/>
      <c r="EN594" s="169"/>
      <c r="EO594" s="169"/>
      <c r="EP594" s="169"/>
      <c r="EQ594" s="169"/>
      <c r="ER594" s="169"/>
      <c r="ES594" s="169"/>
      <c r="ET594" s="169"/>
      <c r="EU594" s="169"/>
      <c r="EV594" s="169"/>
      <c r="EW594" s="169"/>
      <c r="EX594" s="169"/>
    </row>
    <row r="595" spans="1:154">
      <c r="A595" s="333">
        <f t="shared" si="19"/>
        <v>2019</v>
      </c>
      <c r="B595" s="333">
        <f t="shared" si="20"/>
        <v>4</v>
      </c>
      <c r="C595" s="1175">
        <v>43770</v>
      </c>
      <c r="D595" s="1158">
        <v>408.97919778067535</v>
      </c>
      <c r="E595" s="1159">
        <v>2160.4899999999998</v>
      </c>
      <c r="F595" s="1159">
        <v>1470.0165999999999</v>
      </c>
      <c r="G595" s="1160">
        <v>84.25</v>
      </c>
      <c r="H595" s="1160">
        <v>123.42513917374744</v>
      </c>
      <c r="I595" s="1160">
        <v>74.190909090909102</v>
      </c>
      <c r="J595" s="1160">
        <v>110.67975388221505</v>
      </c>
      <c r="K595" s="1677">
        <v>15199.52</v>
      </c>
      <c r="L595" s="1677">
        <v>22267.096396132434</v>
      </c>
      <c r="M595" s="1681">
        <v>64.239999999999995</v>
      </c>
      <c r="N595" s="1162">
        <v>8584.3685906826831</v>
      </c>
      <c r="O595" s="1162">
        <v>2976.7067096396136</v>
      </c>
      <c r="P595" s="1162">
        <v>3564.2396718429532</v>
      </c>
      <c r="Q595" s="1163">
        <v>26</v>
      </c>
      <c r="R595" s="1164">
        <v>1850.9246621621621</v>
      </c>
      <c r="S595" s="1164">
        <v>1918.4700971204634</v>
      </c>
      <c r="T595" s="1164">
        <v>3989.9454691906735</v>
      </c>
      <c r="U595" s="1165">
        <v>52007.03193671257</v>
      </c>
      <c r="V595" s="1166">
        <v>11560.590007240267</v>
      </c>
      <c r="W595" s="1166">
        <v>773.30794022853797</v>
      </c>
      <c r="X595" s="1794">
        <v>0.68259999999999998</v>
      </c>
      <c r="AI595" s="1878" t="s">
        <v>4</v>
      </c>
      <c r="AJ595" s="1827">
        <v>2010</v>
      </c>
      <c r="AK595" s="1822" t="s">
        <v>33</v>
      </c>
      <c r="AL595" s="1822">
        <v>4</v>
      </c>
      <c r="AM595" s="1823">
        <v>1768941227.9600003</v>
      </c>
      <c r="AN595" s="1824">
        <v>0.10089837632642813</v>
      </c>
      <c r="AO595" s="1822"/>
      <c r="AP595" s="1905" t="s">
        <v>1</v>
      </c>
      <c r="AQ595" s="1905" t="s">
        <v>505</v>
      </c>
      <c r="AR595" s="1905" t="s">
        <v>18</v>
      </c>
      <c r="AS595" s="1905">
        <v>2</v>
      </c>
      <c r="AT595" s="1906">
        <v>4242710000</v>
      </c>
      <c r="AU595" s="1896">
        <v>0.25912497719599303</v>
      </c>
      <c r="AV595" s="1822">
        <v>2015</v>
      </c>
      <c r="EA595" s="169"/>
      <c r="EB595" s="169"/>
      <c r="EC595" s="169"/>
      <c r="ED595" s="169"/>
      <c r="EE595" s="169"/>
      <c r="EF595" s="169"/>
      <c r="EG595" s="169"/>
      <c r="EH595" s="169"/>
      <c r="EI595" s="169"/>
      <c r="EJ595" s="169"/>
      <c r="EK595" s="169"/>
      <c r="EL595" s="169"/>
      <c r="EM595" s="169"/>
      <c r="EN595" s="169"/>
      <c r="EO595" s="169"/>
      <c r="EP595" s="169"/>
      <c r="EQ595" s="169"/>
      <c r="ER595" s="169"/>
      <c r="ES595" s="169"/>
      <c r="ET595" s="169"/>
      <c r="EU595" s="169"/>
      <c r="EV595" s="169"/>
      <c r="EW595" s="169"/>
      <c r="EX595" s="169"/>
    </row>
    <row r="596" spans="1:154">
      <c r="A596" s="333">
        <f t="shared" si="19"/>
        <v>2019</v>
      </c>
      <c r="B596" s="333">
        <f t="shared" si="20"/>
        <v>4</v>
      </c>
      <c r="C596" s="1175">
        <v>43800</v>
      </c>
      <c r="D596" s="820">
        <v>404.34495868376877</v>
      </c>
      <c r="E596" s="1171">
        <v>2156.37</v>
      </c>
      <c r="F596" s="1171">
        <v>1476.0440000000001</v>
      </c>
      <c r="G596" s="1172">
        <v>91.4</v>
      </c>
      <c r="H596" s="1171">
        <v>132.67527943097693</v>
      </c>
      <c r="I596" s="1171">
        <v>79.739999999999995</v>
      </c>
      <c r="J596" s="1171">
        <v>117.07069240818699</v>
      </c>
      <c r="K596" s="1678">
        <v>13800.5</v>
      </c>
      <c r="L596" s="1678">
        <v>20032.660763536074</v>
      </c>
      <c r="M596" s="1682">
        <v>75.52</v>
      </c>
      <c r="N596" s="1171">
        <v>8800.1596748439551</v>
      </c>
      <c r="O596" s="1171">
        <v>2756.9313398170998</v>
      </c>
      <c r="P596" s="1171">
        <v>3300.9580490637254</v>
      </c>
      <c r="Q596" s="1171">
        <v>25</v>
      </c>
      <c r="R596" s="1171">
        <v>1911.6204481792718</v>
      </c>
      <c r="S596" s="1171">
        <v>2125.1036752396894</v>
      </c>
      <c r="T596" s="1171">
        <v>4033.0959694185149</v>
      </c>
      <c r="U596" s="1167">
        <v>49063.724778632604</v>
      </c>
      <c r="V596" s="1171">
        <v>10365.987243195748</v>
      </c>
      <c r="W596" s="1171">
        <v>731.73174626215712</v>
      </c>
      <c r="X596" s="1171">
        <v>0.68889999999999996</v>
      </c>
      <c r="AI596" s="1878" t="s">
        <v>4</v>
      </c>
      <c r="AJ596" s="1827">
        <v>2010</v>
      </c>
      <c r="AK596" s="1822" t="s">
        <v>61</v>
      </c>
      <c r="AL596" s="1822">
        <v>5</v>
      </c>
      <c r="AM596" s="1823">
        <v>1203362281.3599999</v>
      </c>
      <c r="AN596" s="1824">
        <v>6.8638402679840685E-2</v>
      </c>
      <c r="AO596" s="1822"/>
      <c r="AP596" s="1905" t="s">
        <v>1</v>
      </c>
      <c r="AQ596" s="1905" t="s">
        <v>505</v>
      </c>
      <c r="AR596" s="1905" t="s">
        <v>63</v>
      </c>
      <c r="AS596" s="1905">
        <v>3</v>
      </c>
      <c r="AT596" s="1906">
        <v>3924493000</v>
      </c>
      <c r="AU596" s="1896">
        <v>0.23968976412029913</v>
      </c>
      <c r="AV596" s="1822">
        <v>2015</v>
      </c>
      <c r="EA596" s="169"/>
      <c r="EB596" s="169"/>
      <c r="EC596" s="169"/>
      <c r="ED596" s="169"/>
      <c r="EE596" s="169"/>
      <c r="EF596" s="169"/>
      <c r="EG596" s="169"/>
      <c r="EH596" s="169"/>
      <c r="EI596" s="169"/>
      <c r="EJ596" s="169"/>
      <c r="EK596" s="169"/>
      <c r="EL596" s="169"/>
      <c r="EM596" s="169"/>
      <c r="EN596" s="169"/>
      <c r="EO596" s="169"/>
      <c r="EP596" s="169"/>
      <c r="EQ596" s="169"/>
      <c r="ER596" s="169"/>
      <c r="ES596" s="169"/>
      <c r="ET596" s="169"/>
      <c r="EU596" s="169"/>
      <c r="EV596" s="169"/>
      <c r="EW596" s="169"/>
      <c r="EX596" s="169"/>
    </row>
    <row r="597" spans="1:154">
      <c r="A597" s="333">
        <f t="shared" si="19"/>
        <v>2020</v>
      </c>
      <c r="B597" s="333">
        <f t="shared" si="20"/>
        <v>1</v>
      </c>
      <c r="C597" s="1175">
        <v>43831</v>
      </c>
      <c r="D597" s="1158">
        <v>396.92532127169625</v>
      </c>
      <c r="E597" s="1159">
        <v>2268.7600000000002</v>
      </c>
      <c r="F597" s="1159">
        <v>1560.676727</v>
      </c>
      <c r="G597" s="1160">
        <v>92.8</v>
      </c>
      <c r="H597" s="1160">
        <v>135.25725112957295</v>
      </c>
      <c r="I597" s="1160">
        <v>79.595238095238102</v>
      </c>
      <c r="J597" s="1160">
        <v>116.01113262678632</v>
      </c>
      <c r="K597" s="1677">
        <v>13552.95</v>
      </c>
      <c r="L597" s="1677">
        <v>19753.607345867949</v>
      </c>
      <c r="M597" s="1681">
        <v>71.59</v>
      </c>
      <c r="N597" s="1173">
        <v>8816.7905553126366</v>
      </c>
      <c r="O597" s="1173">
        <v>2805.9466550065586</v>
      </c>
      <c r="P597" s="1173">
        <v>3435.7528057134527</v>
      </c>
      <c r="Q597" s="1163">
        <v>24.35</v>
      </c>
      <c r="R597" s="1164">
        <v>1911.0655129789864</v>
      </c>
      <c r="S597" s="1164">
        <v>1945.014840423758</v>
      </c>
      <c r="T597" s="1164">
        <v>4034.3765519924154</v>
      </c>
      <c r="U597" s="1165">
        <v>47220.128261186415</v>
      </c>
      <c r="V597" s="1166">
        <v>10197.522557700855</v>
      </c>
      <c r="W597" s="1166">
        <v>720.01166010785596</v>
      </c>
      <c r="X597" s="1794">
        <v>0.68610000000000004</v>
      </c>
      <c r="AI597" s="1878" t="s">
        <v>4</v>
      </c>
      <c r="AJ597" s="1827">
        <v>2010</v>
      </c>
      <c r="AK597" s="1822" t="s">
        <v>21</v>
      </c>
      <c r="AL597" s="1822">
        <v>6</v>
      </c>
      <c r="AM597" s="1823">
        <v>781996526.18000007</v>
      </c>
      <c r="AN597" s="1824">
        <v>4.4604183868483679E-2</v>
      </c>
      <c r="AO597" s="1822"/>
      <c r="AP597" s="1905" t="s">
        <v>1</v>
      </c>
      <c r="AQ597" s="1905" t="s">
        <v>505</v>
      </c>
      <c r="AR597" s="1905" t="s">
        <v>61</v>
      </c>
      <c r="AS597" s="1905">
        <v>4</v>
      </c>
      <c r="AT597" s="1906">
        <v>1189444000</v>
      </c>
      <c r="AU597" s="1896">
        <v>7.2645702717345925E-2</v>
      </c>
      <c r="AV597" s="1822">
        <v>2015</v>
      </c>
      <c r="EA597" s="169"/>
      <c r="EB597" s="169"/>
      <c r="EC597" s="169"/>
      <c r="ED597" s="169"/>
      <c r="EE597" s="169"/>
      <c r="EF597" s="169"/>
      <c r="EG597" s="169"/>
      <c r="EH597" s="169"/>
      <c r="EI597" s="169"/>
      <c r="EJ597" s="169"/>
      <c r="EK597" s="169"/>
      <c r="EL597" s="169"/>
      <c r="EM597" s="169"/>
      <c r="EN597" s="169"/>
      <c r="EO597" s="169"/>
      <c r="EP597" s="169"/>
      <c r="EQ597" s="169"/>
      <c r="ER597" s="169"/>
      <c r="ES597" s="169"/>
      <c r="ET597" s="169"/>
      <c r="EU597" s="169"/>
      <c r="EV597" s="169"/>
      <c r="EW597" s="169"/>
      <c r="EX597" s="169"/>
    </row>
    <row r="598" spans="1:154">
      <c r="A598" s="333">
        <f t="shared" si="19"/>
        <v>2020</v>
      </c>
      <c r="B598" s="333">
        <f t="shared" si="20"/>
        <v>1</v>
      </c>
      <c r="C598" s="1175">
        <v>43862</v>
      </c>
      <c r="D598" s="1170">
        <v>416.18601938251527</v>
      </c>
      <c r="E598" s="1171">
        <v>2397.5300000000002</v>
      </c>
      <c r="F598" s="1168">
        <v>1597.1025</v>
      </c>
      <c r="G598" s="1172">
        <v>86.03</v>
      </c>
      <c r="H598" s="1171">
        <v>129.07726931732932</v>
      </c>
      <c r="I598" s="1655">
        <v>74.595238095238102</v>
      </c>
      <c r="J598" s="1171">
        <v>111.92083735219521</v>
      </c>
      <c r="K598" s="1678">
        <v>12743.5</v>
      </c>
      <c r="L598" s="1678">
        <v>19120.030007501875</v>
      </c>
      <c r="M598" s="1682">
        <v>62.95</v>
      </c>
      <c r="N598" s="1171">
        <v>8531.8079519879975</v>
      </c>
      <c r="O598" s="1171">
        <v>2809.1522880720181</v>
      </c>
      <c r="P598" s="1171">
        <v>3181.5153788447114</v>
      </c>
      <c r="Q598" s="1171">
        <v>24.7</v>
      </c>
      <c r="R598" s="1171">
        <v>2010.9413881748071</v>
      </c>
      <c r="S598" s="1171">
        <v>1748.3205804749341</v>
      </c>
      <c r="T598" s="1171">
        <v>4088.8274903685424</v>
      </c>
      <c r="U598" s="1171">
        <v>51331.582895723936</v>
      </c>
      <c r="V598" s="1171">
        <v>10384.071476668489</v>
      </c>
      <c r="W598" s="1171">
        <v>735.18379594898727</v>
      </c>
      <c r="X598" s="1171">
        <v>0.66649999999999998</v>
      </c>
      <c r="AI598" s="1878" t="s">
        <v>4</v>
      </c>
      <c r="AJ598" s="1827">
        <v>2010</v>
      </c>
      <c r="AK598" s="1822" t="s">
        <v>25</v>
      </c>
      <c r="AL598" s="1822">
        <v>7</v>
      </c>
      <c r="AM598" s="1823">
        <v>434995825.02000004</v>
      </c>
      <c r="AN598" s="1824">
        <v>2.4811662343303984E-2</v>
      </c>
      <c r="AO598" s="1822"/>
      <c r="AP598" s="1905" t="s">
        <v>1</v>
      </c>
      <c r="AQ598" s="1905" t="s">
        <v>505</v>
      </c>
      <c r="AR598" s="1905" t="s">
        <v>21</v>
      </c>
      <c r="AS598" s="1905">
        <v>5</v>
      </c>
      <c r="AT598" s="1906">
        <v>685504000</v>
      </c>
      <c r="AU598" s="1896">
        <v>4.1867393332978689E-2</v>
      </c>
      <c r="AV598" s="1822">
        <v>2015</v>
      </c>
      <c r="EA598" s="169"/>
      <c r="EB598" s="169"/>
      <c r="EC598" s="169"/>
      <c r="ED598" s="169"/>
      <c r="EE598" s="169"/>
      <c r="EF598" s="169"/>
      <c r="EG598" s="169"/>
      <c r="EH598" s="169"/>
      <c r="EI598" s="169"/>
      <c r="EJ598" s="169"/>
      <c r="EK598" s="169"/>
      <c r="EL598" s="169"/>
      <c r="EM598" s="169"/>
      <c r="EN598" s="169"/>
      <c r="EO598" s="169"/>
      <c r="EP598" s="169"/>
      <c r="EQ598" s="169"/>
      <c r="ER598" s="169"/>
      <c r="ES598" s="169"/>
      <c r="ET598" s="169"/>
      <c r="EU598" s="169"/>
      <c r="EV598" s="169"/>
      <c r="EW598" s="169"/>
      <c r="EX598" s="169"/>
    </row>
    <row r="599" spans="1:154">
      <c r="A599" s="333">
        <f t="shared" si="19"/>
        <v>2020</v>
      </c>
      <c r="B599" s="333">
        <f t="shared" si="20"/>
        <v>1</v>
      </c>
      <c r="C599" s="1175">
        <v>43891</v>
      </c>
      <c r="D599" s="1158">
        <v>440.0715921396602</v>
      </c>
      <c r="E599" s="1159">
        <v>2565.17</v>
      </c>
      <c r="F599" s="1159">
        <v>1591.93</v>
      </c>
      <c r="G599" s="1160">
        <v>87.55</v>
      </c>
      <c r="H599" s="1160">
        <v>140.86886564762671</v>
      </c>
      <c r="I599" s="1160">
        <v>77.736363636363649</v>
      </c>
      <c r="J599" s="1160">
        <v>125.07862210195276</v>
      </c>
      <c r="K599" s="1677">
        <v>11873</v>
      </c>
      <c r="L599" s="1677">
        <v>19103.781174577634</v>
      </c>
      <c r="M599" s="1681">
        <v>41.32</v>
      </c>
      <c r="N599" s="1173">
        <v>8332.5502815768305</v>
      </c>
      <c r="O599" s="1173">
        <v>2807.1440064360418</v>
      </c>
      <c r="P599" s="1173">
        <v>3066.1464199517291</v>
      </c>
      <c r="Q599" s="1163">
        <v>27.4</v>
      </c>
      <c r="R599" s="1164">
        <v>2152.9199745031001</v>
      </c>
      <c r="S599" s="1164">
        <v>2148.4225361003278</v>
      </c>
      <c r="T599" s="1164">
        <v>4387.2465278882173</v>
      </c>
      <c r="U599" s="1165">
        <v>49257.66693483507</v>
      </c>
      <c r="V599" s="1166">
        <v>11196.346404779892</v>
      </c>
      <c r="W599" s="1166">
        <v>777.15205148833456</v>
      </c>
      <c r="X599" s="1794">
        <v>0.62150000000000005</v>
      </c>
      <c r="AI599" s="1878" t="s">
        <v>4</v>
      </c>
      <c r="AJ599" s="1827">
        <v>2010</v>
      </c>
      <c r="AK599" s="1822" t="s">
        <v>537</v>
      </c>
      <c r="AL599" s="1822">
        <v>8</v>
      </c>
      <c r="AM599" s="1823">
        <v>408377948.99000001</v>
      </c>
      <c r="AN599" s="1824">
        <v>2.329340926047975E-2</v>
      </c>
      <c r="AO599" s="1822"/>
      <c r="AP599" s="1905" t="s">
        <v>1</v>
      </c>
      <c r="AQ599" s="1905" t="s">
        <v>505</v>
      </c>
      <c r="AR599" s="1905" t="s">
        <v>371</v>
      </c>
      <c r="AS599" s="1905">
        <v>6</v>
      </c>
      <c r="AT599" s="1906">
        <v>282003000</v>
      </c>
      <c r="AU599" s="1896">
        <v>1.7223430530062537E-2</v>
      </c>
      <c r="AV599" s="1822">
        <v>2015</v>
      </c>
      <c r="EA599" s="169"/>
      <c r="EB599" s="169"/>
      <c r="EC599" s="169"/>
      <c r="ED599" s="169"/>
      <c r="EE599" s="169"/>
      <c r="EF599" s="169"/>
      <c r="EG599" s="169"/>
      <c r="EH599" s="169"/>
      <c r="EI599" s="169"/>
      <c r="EJ599" s="169"/>
      <c r="EK599" s="169"/>
      <c r="EL599" s="169"/>
      <c r="EM599" s="169"/>
      <c r="EN599" s="169"/>
      <c r="EO599" s="169"/>
      <c r="EP599" s="169"/>
      <c r="EQ599" s="169"/>
      <c r="ER599" s="169"/>
      <c r="ES599" s="169"/>
      <c r="ET599" s="169"/>
      <c r="EU599" s="169"/>
      <c r="EV599" s="169"/>
      <c r="EW599" s="169"/>
      <c r="EX599" s="169"/>
    </row>
    <row r="600" spans="1:154">
      <c r="A600" s="333">
        <f t="shared" si="19"/>
        <v>2020</v>
      </c>
      <c r="B600" s="333">
        <f t="shared" si="20"/>
        <v>2</v>
      </c>
      <c r="C600" s="1175">
        <v>43922</v>
      </c>
      <c r="D600" s="1170">
        <v>448.50304503326066</v>
      </c>
      <c r="E600" s="1171">
        <v>2679.81</v>
      </c>
      <c r="F600" s="1171">
        <v>1682.93</v>
      </c>
      <c r="G600" s="1172">
        <v>83.51</v>
      </c>
      <c r="H600" s="1172">
        <v>132.32451275550628</v>
      </c>
      <c r="I600" s="1655">
        <v>73.719047619047601</v>
      </c>
      <c r="J600" s="1171">
        <v>116.81040662184694</v>
      </c>
      <c r="K600" s="1679">
        <v>11753.2</v>
      </c>
      <c r="L600" s="1679">
        <v>18623.356045000794</v>
      </c>
      <c r="M600" s="1679">
        <v>27.08</v>
      </c>
      <c r="N600" s="1171">
        <v>7999.128505783553</v>
      </c>
      <c r="O600" s="1171">
        <v>2616.906987799081</v>
      </c>
      <c r="P600" s="1171">
        <v>3001.2359372524165</v>
      </c>
      <c r="Q600" s="1171">
        <v>32.75</v>
      </c>
      <c r="R600" s="1171">
        <v>2150.4681933842239</v>
      </c>
      <c r="S600" s="1171">
        <v>2228.6141113760696</v>
      </c>
      <c r="T600" s="1171">
        <v>4116.1303151232005</v>
      </c>
      <c r="U600" s="1171">
        <v>46743.780700364441</v>
      </c>
      <c r="V600" s="1171">
        <v>10851.659138894684</v>
      </c>
      <c r="W600" s="1171">
        <v>730.47060687688167</v>
      </c>
      <c r="X600" s="1171">
        <v>0.63109999999999999</v>
      </c>
      <c r="AI600" s="1878" t="s">
        <v>4</v>
      </c>
      <c r="AJ600" s="1827">
        <v>2010</v>
      </c>
      <c r="AK600" s="1822" t="s">
        <v>125</v>
      </c>
      <c r="AL600" s="1822">
        <v>9</v>
      </c>
      <c r="AM600" s="1823">
        <v>360717255.75</v>
      </c>
      <c r="AN600" s="1824">
        <v>2.0574898047954204E-2</v>
      </c>
      <c r="AO600" s="1822"/>
      <c r="AP600" s="1905" t="s">
        <v>1</v>
      </c>
      <c r="AQ600" s="1905" t="s">
        <v>505</v>
      </c>
      <c r="AR600" s="1905" t="s">
        <v>33</v>
      </c>
      <c r="AS600" s="1905">
        <v>7</v>
      </c>
      <c r="AT600" s="1906">
        <v>246629000</v>
      </c>
      <c r="AU600" s="1896">
        <v>1.5062951274272946E-2</v>
      </c>
      <c r="AV600" s="1822">
        <v>2015</v>
      </c>
      <c r="EA600" s="169"/>
      <c r="EB600" s="169"/>
      <c r="EC600" s="169"/>
      <c r="ED600" s="169"/>
      <c r="EE600" s="169"/>
      <c r="EF600" s="169"/>
      <c r="EG600" s="169"/>
      <c r="EH600" s="169"/>
      <c r="EI600" s="169"/>
      <c r="EJ600" s="169"/>
      <c r="EK600" s="169"/>
      <c r="EL600" s="169"/>
      <c r="EM600" s="169"/>
      <c r="EN600" s="169"/>
      <c r="EO600" s="169"/>
      <c r="EP600" s="169"/>
      <c r="EQ600" s="169"/>
      <c r="ER600" s="169"/>
      <c r="ES600" s="169"/>
      <c r="ET600" s="169"/>
      <c r="EU600" s="169"/>
      <c r="EV600" s="169"/>
      <c r="EW600" s="169"/>
      <c r="EX600" s="169"/>
    </row>
    <row r="601" spans="1:154">
      <c r="A601" s="333">
        <f t="shared" si="19"/>
        <v>2020</v>
      </c>
      <c r="B601" s="333">
        <f t="shared" si="20"/>
        <v>2</v>
      </c>
      <c r="C601" s="1175">
        <v>43952</v>
      </c>
      <c r="D601" s="1158">
        <v>352.48516437550927</v>
      </c>
      <c r="E601" s="1159">
        <v>2646.51</v>
      </c>
      <c r="F601" s="1159">
        <v>1715.6973</v>
      </c>
      <c r="G601" s="1160">
        <v>92.29</v>
      </c>
      <c r="H601" s="1160">
        <v>141.59251304081008</v>
      </c>
      <c r="I601" s="1160">
        <v>80.594999999999999</v>
      </c>
      <c r="J601" s="1160">
        <v>123.64989260509358</v>
      </c>
      <c r="K601" s="1677">
        <v>12135.32</v>
      </c>
      <c r="L601" s="1677">
        <v>18618.165081313284</v>
      </c>
      <c r="M601" s="1681">
        <v>31.49</v>
      </c>
      <c r="N601" s="1173">
        <v>8029.7944154648658</v>
      </c>
      <c r="O601" s="1173">
        <v>2482.6020251610921</v>
      </c>
      <c r="P601" s="1173">
        <v>3012.2583614605705</v>
      </c>
      <c r="Q601" s="1163">
        <v>34</v>
      </c>
      <c r="R601" s="1164">
        <v>2150.4681933842239</v>
      </c>
      <c r="S601" s="1164">
        <v>2127.1004091731393</v>
      </c>
      <c r="T601" s="1164">
        <v>4011.0660041173319</v>
      </c>
      <c r="U601" s="1165">
        <v>45259.281988339979</v>
      </c>
      <c r="V601" s="1166">
        <v>10303.793338467303</v>
      </c>
      <c r="W601" s="1166">
        <v>670.61982203129787</v>
      </c>
      <c r="X601" s="1794">
        <v>0.65180000000000005</v>
      </c>
      <c r="AI601" s="1878" t="s">
        <v>4</v>
      </c>
      <c r="AJ601" s="1827">
        <v>2010</v>
      </c>
      <c r="AK601" s="1822" t="s">
        <v>758</v>
      </c>
      <c r="AL601" s="1822">
        <v>10</v>
      </c>
      <c r="AM601" s="1823">
        <v>201605993</v>
      </c>
      <c r="AN601" s="1824">
        <v>1.1499374331862882E-2</v>
      </c>
      <c r="AO601" s="1822"/>
      <c r="AP601" s="1905" t="s">
        <v>1</v>
      </c>
      <c r="AQ601" s="1905" t="s">
        <v>505</v>
      </c>
      <c r="AR601" s="1905" t="s">
        <v>758</v>
      </c>
      <c r="AS601" s="1905">
        <v>8</v>
      </c>
      <c r="AT601" s="1906">
        <v>141009000</v>
      </c>
      <c r="AU601" s="1896">
        <v>8.6121733301191411E-3</v>
      </c>
      <c r="AV601" s="1822">
        <v>2015</v>
      </c>
      <c r="EA601" s="169"/>
      <c r="EB601" s="169"/>
      <c r="EC601" s="169"/>
      <c r="ED601" s="169"/>
      <c r="EE601" s="169"/>
      <c r="EF601" s="169"/>
      <c r="EG601" s="169"/>
      <c r="EH601" s="169"/>
      <c r="EI601" s="169"/>
      <c r="EJ601" s="169"/>
      <c r="EK601" s="169"/>
      <c r="EL601" s="169"/>
      <c r="EM601" s="169"/>
      <c r="EN601" s="169"/>
      <c r="EO601" s="169"/>
      <c r="EP601" s="169"/>
      <c r="EQ601" s="169"/>
      <c r="ER601" s="169"/>
      <c r="ES601" s="169"/>
      <c r="ET601" s="169"/>
      <c r="EU601" s="169"/>
      <c r="EV601" s="169"/>
      <c r="EW601" s="169"/>
      <c r="EX601" s="169"/>
    </row>
    <row r="602" spans="1:154">
      <c r="A602" s="333">
        <f t="shared" si="19"/>
        <v>2020</v>
      </c>
      <c r="B602" s="333">
        <f t="shared" si="20"/>
        <v>2</v>
      </c>
      <c r="C602" s="1175">
        <v>43983</v>
      </c>
      <c r="D602" s="1170">
        <v>350.1342131681975</v>
      </c>
      <c r="E602" s="1171">
        <v>2520.19</v>
      </c>
      <c r="F602" s="1171">
        <v>1732.2181</v>
      </c>
      <c r="G602" s="1172">
        <v>100.42</v>
      </c>
      <c r="H602" s="1172">
        <v>145.49405969284265</v>
      </c>
      <c r="I602" s="1655">
        <v>90.297727272727272</v>
      </c>
      <c r="J602" s="1171">
        <v>130.82835014883696</v>
      </c>
      <c r="K602" s="1679">
        <v>12703.27</v>
      </c>
      <c r="L602" s="1679">
        <v>18405.201390901188</v>
      </c>
      <c r="M602" s="1679">
        <v>34.57</v>
      </c>
      <c r="N602" s="1171">
        <v>8319.8927847000868</v>
      </c>
      <c r="O602" s="1171">
        <v>2520.805563604752</v>
      </c>
      <c r="P602" s="1171">
        <v>2927.571718342509</v>
      </c>
      <c r="Q602" s="1171">
        <v>32.799999999999997</v>
      </c>
      <c r="R602" s="1171">
        <v>2150.4681933842239</v>
      </c>
      <c r="S602" s="1171">
        <v>1973.3186947665188</v>
      </c>
      <c r="T602" s="1171">
        <v>3912.5679253847507</v>
      </c>
      <c r="U602" s="1167">
        <v>42164.98116487974</v>
      </c>
      <c r="V602" s="1171">
        <v>9219.3714056152839</v>
      </c>
      <c r="W602" s="1171">
        <v>612.66299623297596</v>
      </c>
      <c r="X602" s="1171">
        <v>0.69020000000000004</v>
      </c>
      <c r="AI602" s="1878" t="s">
        <v>4</v>
      </c>
      <c r="AJ602" s="1827">
        <v>2010</v>
      </c>
      <c r="AK602" s="1822" t="s">
        <v>39</v>
      </c>
      <c r="AL602" s="1822"/>
      <c r="AM602" s="1823">
        <v>136469252.72999954</v>
      </c>
      <c r="AN602" s="1824">
        <v>7.7840494648979278E-3</v>
      </c>
      <c r="AO602" s="1822"/>
      <c r="AP602" s="1905" t="s">
        <v>1</v>
      </c>
      <c r="AQ602" s="1905" t="s">
        <v>505</v>
      </c>
      <c r="AR602" s="1905" t="s">
        <v>372</v>
      </c>
      <c r="AS602" s="1905">
        <v>9</v>
      </c>
      <c r="AT602" s="1906">
        <v>71550000</v>
      </c>
      <c r="AU602" s="1896">
        <v>4.3699409383090764E-3</v>
      </c>
      <c r="AV602" s="1822">
        <v>2015</v>
      </c>
      <c r="EA602" s="169"/>
      <c r="EB602" s="169"/>
      <c r="EC602" s="169"/>
      <c r="ED602" s="169"/>
      <c r="EE602" s="169"/>
      <c r="EF602" s="169"/>
      <c r="EG602" s="169"/>
      <c r="EH602" s="169"/>
      <c r="EI602" s="169"/>
      <c r="EJ602" s="169"/>
      <c r="EK602" s="169"/>
      <c r="EL602" s="169"/>
      <c r="EM602" s="169"/>
      <c r="EN602" s="169"/>
      <c r="EO602" s="169"/>
      <c r="EP602" s="169"/>
      <c r="EQ602" s="169"/>
      <c r="ER602" s="169"/>
      <c r="ES602" s="169"/>
      <c r="ET602" s="169"/>
      <c r="EU602" s="169"/>
      <c r="EV602" s="169"/>
      <c r="EW602" s="169"/>
      <c r="EX602" s="169"/>
    </row>
    <row r="603" spans="1:154" s="573" customFormat="1">
      <c r="A603" s="535">
        <f t="shared" si="19"/>
        <v>2020</v>
      </c>
      <c r="B603" s="535">
        <f t="shared" si="20"/>
        <v>3</v>
      </c>
      <c r="C603" s="1175">
        <v>44013</v>
      </c>
      <c r="D603" s="1158">
        <v>356.87814281045519</v>
      </c>
      <c r="E603" s="1159">
        <v>2616.4699999999998</v>
      </c>
      <c r="F603" s="1159">
        <v>1843.3130430000001</v>
      </c>
      <c r="G603" s="1160">
        <v>107.32</v>
      </c>
      <c r="H603" s="1160">
        <v>152.55152807391613</v>
      </c>
      <c r="I603" s="1160">
        <v>95.263636363636365</v>
      </c>
      <c r="J603" s="1160">
        <v>135.41383989145183</v>
      </c>
      <c r="K603" s="1677">
        <v>13341.35</v>
      </c>
      <c r="L603" s="1677">
        <v>18964.250177683014</v>
      </c>
      <c r="M603" s="1681">
        <v>43.8</v>
      </c>
      <c r="N603" s="1162">
        <v>9031.6417910447763</v>
      </c>
      <c r="O603" s="1162">
        <v>2575.9061833688702</v>
      </c>
      <c r="P603" s="1162">
        <v>3073.5465529495377</v>
      </c>
      <c r="Q603" s="1163">
        <v>32.200000000000003</v>
      </c>
      <c r="R603" s="1164">
        <v>2150.4681933842239</v>
      </c>
      <c r="S603" s="1164">
        <v>1912.6200085873766</v>
      </c>
      <c r="T603" s="1164">
        <v>3813.7157712151452</v>
      </c>
      <c r="U603" s="1165">
        <v>40592.068230277182</v>
      </c>
      <c r="V603" s="1166">
        <v>8596.4169463020626</v>
      </c>
      <c r="W603" s="1166">
        <v>575.38734896943856</v>
      </c>
      <c r="X603" s="1794">
        <v>0.70350000000000001</v>
      </c>
      <c r="AA603" s="1916"/>
      <c r="AB603" s="1916"/>
      <c r="AC603" s="1806"/>
      <c r="AD603" s="1806"/>
      <c r="AE603" s="1806"/>
      <c r="AF603" s="1806"/>
      <c r="AG603" s="1806"/>
      <c r="AH603" s="1806"/>
      <c r="AI603" s="1878" t="s">
        <v>4</v>
      </c>
      <c r="AJ603" s="1827">
        <v>2010</v>
      </c>
      <c r="AK603" s="1822" t="s">
        <v>386</v>
      </c>
      <c r="AL603" s="1822"/>
      <c r="AM603" s="1823">
        <v>17531909752.810013</v>
      </c>
      <c r="AN603" s="1824"/>
      <c r="AO603" s="1822"/>
      <c r="AP603" s="1905" t="s">
        <v>1</v>
      </c>
      <c r="AQ603" s="1905" t="s">
        <v>505</v>
      </c>
      <c r="AR603" s="1905" t="s">
        <v>58</v>
      </c>
      <c r="AS603" s="1905">
        <v>10</v>
      </c>
      <c r="AT603" s="1906">
        <v>61998000</v>
      </c>
      <c r="AU603" s="1896">
        <v>3.7865492423939363E-3</v>
      </c>
      <c r="AV603" s="1822">
        <v>2015</v>
      </c>
      <c r="AW603" s="1670"/>
      <c r="AX603" s="1670"/>
      <c r="AY603" s="1806"/>
      <c r="AZ603" s="1806"/>
      <c r="BA603" s="1806"/>
      <c r="BB603" s="1806"/>
      <c r="BC603" s="1806"/>
      <c r="BD603" s="1806"/>
      <c r="BE603" s="1806"/>
      <c r="BF603" s="1806"/>
      <c r="BG603" s="1806"/>
      <c r="BH603" s="1806"/>
      <c r="BI603" s="1806"/>
      <c r="BJ603" s="1806"/>
      <c r="BK603" s="1806"/>
      <c r="BL603" s="1806"/>
      <c r="BM603" s="1806"/>
      <c r="BN603" s="1806"/>
      <c r="BO603" s="1806"/>
      <c r="BP603" s="1806"/>
      <c r="BQ603" s="1806"/>
      <c r="BR603" s="1806"/>
      <c r="BS603" s="1806"/>
      <c r="BT603" s="1806"/>
      <c r="BU603" s="1806"/>
      <c r="BV603" s="1806"/>
      <c r="BW603" s="1806"/>
      <c r="BX603" s="1806"/>
      <c r="BY603" s="1806"/>
      <c r="BZ603" s="1806"/>
      <c r="CA603" s="1806"/>
      <c r="CB603" s="1806"/>
      <c r="CC603" s="1806"/>
      <c r="CD603" s="1806"/>
      <c r="CE603" s="1806"/>
      <c r="CF603" s="1806"/>
      <c r="CG603" s="1806"/>
      <c r="CH603" s="1806"/>
      <c r="CI603" s="1806"/>
      <c r="CJ603" s="1806"/>
      <c r="CK603" s="1806"/>
      <c r="CL603" s="1806"/>
      <c r="CM603" s="1806"/>
      <c r="CN603" s="1806"/>
      <c r="CO603" s="1806"/>
      <c r="CP603" s="1806"/>
      <c r="CQ603" s="1806"/>
      <c r="CR603" s="1806"/>
      <c r="CS603" s="1806"/>
      <c r="CT603" s="1806"/>
      <c r="CU603" s="1806"/>
      <c r="CV603" s="1806"/>
      <c r="CW603" s="1806"/>
      <c r="CX603" s="1806"/>
      <c r="CY603" s="1806"/>
      <c r="CZ603" s="1806"/>
      <c r="DA603" s="1806"/>
      <c r="DB603" s="1806"/>
      <c r="DC603" s="1806"/>
      <c r="DD603" s="1806"/>
      <c r="DE603" s="1806"/>
      <c r="DF603" s="1806"/>
      <c r="DG603" s="1806"/>
      <c r="DH603" s="1806"/>
      <c r="DI603" s="1806"/>
      <c r="DJ603" s="1806"/>
      <c r="DK603" s="1806"/>
      <c r="DL603" s="1806"/>
      <c r="DM603" s="1806"/>
      <c r="DN603" s="1806"/>
      <c r="DO603" s="1806"/>
      <c r="DP603" s="1806"/>
      <c r="DQ603" s="1670"/>
      <c r="DR603" s="1670"/>
      <c r="DS603" s="1670"/>
      <c r="DT603" s="1670"/>
      <c r="DU603" s="1670"/>
      <c r="DV603" s="1670"/>
      <c r="DW603" s="1670"/>
      <c r="DX603" s="1670"/>
      <c r="DY603" s="1670"/>
      <c r="DZ603" s="1670"/>
      <c r="EA603" s="437"/>
      <c r="EB603" s="437"/>
      <c r="EC603" s="437"/>
      <c r="ED603" s="437"/>
      <c r="EE603" s="437"/>
      <c r="EF603" s="437"/>
      <c r="EG603" s="437"/>
      <c r="EH603" s="437"/>
      <c r="EI603" s="437"/>
      <c r="EJ603" s="437"/>
      <c r="EK603" s="437"/>
      <c r="EL603" s="437"/>
      <c r="EM603" s="437"/>
      <c r="EN603" s="437"/>
      <c r="EO603" s="437"/>
      <c r="EP603" s="437"/>
      <c r="EQ603" s="437"/>
      <c r="ER603" s="437"/>
      <c r="ES603" s="437"/>
      <c r="ET603" s="437"/>
      <c r="EU603" s="437"/>
      <c r="EV603" s="437"/>
      <c r="EW603" s="437"/>
      <c r="EX603" s="437"/>
    </row>
    <row r="604" spans="1:154" s="573" customFormat="1">
      <c r="A604" s="535">
        <f t="shared" si="19"/>
        <v>2020</v>
      </c>
      <c r="B604" s="535">
        <f t="shared" si="20"/>
        <v>3</v>
      </c>
      <c r="C604" s="1175">
        <v>44044</v>
      </c>
      <c r="D604" s="820">
        <v>372.44613450102361</v>
      </c>
      <c r="E604" s="1171">
        <v>2706.23</v>
      </c>
      <c r="F604" s="1171">
        <v>1968.5650000000001</v>
      </c>
      <c r="G604" s="1172">
        <v>122.43</v>
      </c>
      <c r="H604" s="1171">
        <v>170.01805304818777</v>
      </c>
      <c r="I604" s="1655">
        <v>108.63499999999999</v>
      </c>
      <c r="J604" s="1171">
        <v>150.86099152895432</v>
      </c>
      <c r="K604" s="1678">
        <v>14486.86</v>
      </c>
      <c r="L604" s="1678">
        <v>20117.844743785587</v>
      </c>
      <c r="M604" s="1682">
        <v>46.35</v>
      </c>
      <c r="N604" s="1171">
        <v>9021.9413970281912</v>
      </c>
      <c r="O604" s="1171">
        <v>2687.4045271490072</v>
      </c>
      <c r="P604" s="1171">
        <v>3342.3552284404946</v>
      </c>
      <c r="Q604" s="1171">
        <v>30.85</v>
      </c>
      <c r="R604" s="1171">
        <v>2150.4681933842239</v>
      </c>
      <c r="S604" s="1171">
        <v>1843.1546517291767</v>
      </c>
      <c r="T604" s="1171">
        <v>3733.8944454336456</v>
      </c>
      <c r="U604" s="1167">
        <v>45695.042355228441</v>
      </c>
      <c r="V604" s="1171">
        <v>8395.4904659604563</v>
      </c>
      <c r="W604" s="1171">
        <v>541.92473267601724</v>
      </c>
      <c r="X604" s="1171">
        <v>0.72009999999999996</v>
      </c>
      <c r="AA604" s="1916"/>
      <c r="AB604" s="1916"/>
      <c r="AC604" s="1806"/>
      <c r="AD604" s="1806"/>
      <c r="AE604" s="1806"/>
      <c r="AF604" s="1806"/>
      <c r="AG604" s="1806"/>
      <c r="AH604" s="1806"/>
      <c r="AI604" s="1878" t="s">
        <v>4</v>
      </c>
      <c r="AJ604" s="1827">
        <v>2009</v>
      </c>
      <c r="AK604" s="1822" t="s">
        <v>23</v>
      </c>
      <c r="AL604" s="1822">
        <v>1</v>
      </c>
      <c r="AM604" s="1823">
        <v>5155799373.0300026</v>
      </c>
      <c r="AN604" s="1824">
        <v>0.51663482663482296</v>
      </c>
      <c r="AO604" s="1822"/>
      <c r="AP604" s="1905" t="s">
        <v>1</v>
      </c>
      <c r="AQ604" s="1905" t="s">
        <v>505</v>
      </c>
      <c r="AR604" s="1905" t="s">
        <v>39</v>
      </c>
      <c r="AS604" s="1905"/>
      <c r="AT604" s="1906">
        <v>121489000</v>
      </c>
      <c r="AU604" s="1896">
        <v>7.4199825947481677E-3</v>
      </c>
      <c r="AV604" s="1822">
        <v>2015</v>
      </c>
      <c r="AW604" s="1670"/>
      <c r="AX604" s="1670"/>
      <c r="AY604" s="1806"/>
      <c r="AZ604" s="1806"/>
      <c r="BA604" s="1806"/>
      <c r="BB604" s="1806"/>
      <c r="BC604" s="1806"/>
      <c r="BD604" s="1806"/>
      <c r="BE604" s="1806"/>
      <c r="BF604" s="1806"/>
      <c r="BG604" s="1806"/>
      <c r="BH604" s="1806"/>
      <c r="BI604" s="1806"/>
      <c r="BJ604" s="1806"/>
      <c r="BK604" s="1806"/>
      <c r="BL604" s="1806"/>
      <c r="BM604" s="1806"/>
      <c r="BN604" s="1806"/>
      <c r="BO604" s="1806"/>
      <c r="BP604" s="1806"/>
      <c r="BQ604" s="1806"/>
      <c r="BR604" s="1806"/>
      <c r="BS604" s="1806"/>
      <c r="BT604" s="1806"/>
      <c r="BU604" s="1806"/>
      <c r="BV604" s="1806"/>
      <c r="BW604" s="1806"/>
      <c r="BX604" s="1806"/>
      <c r="BY604" s="1806"/>
      <c r="BZ604" s="1806"/>
      <c r="CA604" s="1806"/>
      <c r="CB604" s="1806"/>
      <c r="CC604" s="1806"/>
      <c r="CD604" s="1806"/>
      <c r="CE604" s="1806"/>
      <c r="CF604" s="1806"/>
      <c r="CG604" s="1806"/>
      <c r="CH604" s="1806"/>
      <c r="CI604" s="1806"/>
      <c r="CJ604" s="1806"/>
      <c r="CK604" s="1806"/>
      <c r="CL604" s="1806"/>
      <c r="CM604" s="1806"/>
      <c r="CN604" s="1806"/>
      <c r="CO604" s="1806"/>
      <c r="CP604" s="1806"/>
      <c r="CQ604" s="1806"/>
      <c r="CR604" s="1806"/>
      <c r="CS604" s="1806"/>
      <c r="CT604" s="1806"/>
      <c r="CU604" s="1806"/>
      <c r="CV604" s="1806"/>
      <c r="CW604" s="1806"/>
      <c r="CX604" s="1806"/>
      <c r="CY604" s="1806"/>
      <c r="CZ604" s="1806"/>
      <c r="DA604" s="1806"/>
      <c r="DB604" s="1806"/>
      <c r="DC604" s="1806"/>
      <c r="DD604" s="1806"/>
      <c r="DE604" s="1806"/>
      <c r="DF604" s="1806"/>
      <c r="DG604" s="1806"/>
      <c r="DH604" s="1806"/>
      <c r="DI604" s="1806"/>
      <c r="DJ604" s="1806"/>
      <c r="DK604" s="1806"/>
      <c r="DL604" s="1806"/>
      <c r="DM604" s="1806"/>
      <c r="DN604" s="1806"/>
      <c r="DO604" s="1806"/>
      <c r="DP604" s="1806"/>
      <c r="DQ604" s="1670"/>
      <c r="DR604" s="1670"/>
      <c r="DS604" s="1670"/>
      <c r="DT604" s="1670"/>
      <c r="DU604" s="1670"/>
      <c r="DV604" s="1670"/>
      <c r="DW604" s="1670"/>
      <c r="DX604" s="1670"/>
      <c r="DY604" s="1670"/>
      <c r="DZ604" s="1670"/>
      <c r="EA604" s="437"/>
      <c r="EB604" s="437"/>
      <c r="EC604" s="437"/>
      <c r="ED604" s="437"/>
      <c r="EE604" s="437"/>
      <c r="EF604" s="437"/>
      <c r="EG604" s="437"/>
      <c r="EH604" s="437"/>
      <c r="EI604" s="437"/>
      <c r="EJ604" s="437"/>
      <c r="EK604" s="437"/>
      <c r="EL604" s="437"/>
      <c r="EM604" s="437"/>
      <c r="EN604" s="437"/>
      <c r="EO604" s="437"/>
      <c r="EP604" s="437"/>
      <c r="EQ604" s="437"/>
      <c r="ER604" s="437"/>
      <c r="ES604" s="437"/>
      <c r="ET604" s="437"/>
      <c r="EU604" s="437"/>
      <c r="EV604" s="437"/>
      <c r="EW604" s="437"/>
      <c r="EX604" s="437"/>
    </row>
    <row r="605" spans="1:154" s="573" customFormat="1">
      <c r="A605" s="535">
        <f t="shared" si="19"/>
        <v>2020</v>
      </c>
      <c r="B605" s="535">
        <f t="shared" si="20"/>
        <v>3</v>
      </c>
      <c r="C605" s="1175">
        <v>44075</v>
      </c>
      <c r="D605" s="1158">
        <v>374.6944602262173</v>
      </c>
      <c r="E605" s="1159">
        <v>2668.63</v>
      </c>
      <c r="F605" s="1159">
        <v>1920.572917</v>
      </c>
      <c r="G605" s="1160">
        <v>123.96</v>
      </c>
      <c r="H605" s="1160">
        <v>171.52345371523452</v>
      </c>
      <c r="I605" s="1160">
        <v>112.57045454545454</v>
      </c>
      <c r="J605" s="1160">
        <v>155.76373951218284</v>
      </c>
      <c r="K605" s="1677">
        <v>14866.27</v>
      </c>
      <c r="L605" s="1677">
        <v>20570.458004704582</v>
      </c>
      <c r="M605" s="1681">
        <v>42.38</v>
      </c>
      <c r="N605" s="1173">
        <v>9287.9618098796182</v>
      </c>
      <c r="O605" s="1173">
        <v>2603.2378580323784</v>
      </c>
      <c r="P605" s="1173">
        <v>3390.7568839075689</v>
      </c>
      <c r="Q605" s="1163">
        <v>29.6</v>
      </c>
      <c r="R605" s="1164">
        <v>2150.4681933842239</v>
      </c>
      <c r="S605" s="1164">
        <v>1894.3086685610165</v>
      </c>
      <c r="T605" s="1164">
        <v>3710.2323186017834</v>
      </c>
      <c r="U605" s="1165">
        <v>46328.476546284757</v>
      </c>
      <c r="V605" s="1166">
        <v>8365.7824288147985</v>
      </c>
      <c r="W605" s="1166">
        <v>539.9750933997509</v>
      </c>
      <c r="X605" s="1794">
        <v>0.72270000000000001</v>
      </c>
      <c r="AA605" s="1916"/>
      <c r="AB605" s="1916"/>
      <c r="AC605" s="1806"/>
      <c r="AD605" s="1806"/>
      <c r="AE605" s="1806"/>
      <c r="AF605" s="1806"/>
      <c r="AG605" s="1806"/>
      <c r="AH605" s="1806"/>
      <c r="AI605" s="1878" t="s">
        <v>4</v>
      </c>
      <c r="AJ605" s="1827">
        <v>2009</v>
      </c>
      <c r="AK605" s="1822" t="s">
        <v>24</v>
      </c>
      <c r="AL605" s="1822">
        <v>2</v>
      </c>
      <c r="AM605" s="1823">
        <v>1206140343.8699999</v>
      </c>
      <c r="AN605" s="1824">
        <v>0.1208608136911143</v>
      </c>
      <c r="AO605" s="1822"/>
      <c r="AP605" s="1905" t="s">
        <v>1</v>
      </c>
      <c r="AQ605" s="1905" t="s">
        <v>505</v>
      </c>
      <c r="AR605" s="1905" t="s">
        <v>386</v>
      </c>
      <c r="AS605" s="1905"/>
      <c r="AT605" s="1906">
        <v>16373219000</v>
      </c>
      <c r="AU605" s="1896">
        <v>1</v>
      </c>
      <c r="AV605" s="1822">
        <v>2015</v>
      </c>
      <c r="AW605" s="1670"/>
      <c r="AX605" s="1670"/>
      <c r="AY605" s="1806"/>
      <c r="AZ605" s="1806"/>
      <c r="BA605" s="1806"/>
      <c r="BB605" s="1806"/>
      <c r="BC605" s="1806"/>
      <c r="BD605" s="1806"/>
      <c r="BE605" s="1806"/>
      <c r="BF605" s="1806"/>
      <c r="BG605" s="1806"/>
      <c r="BH605" s="1806"/>
      <c r="BI605" s="1806"/>
      <c r="BJ605" s="1806"/>
      <c r="BK605" s="1806"/>
      <c r="BL605" s="1806"/>
      <c r="BM605" s="1806"/>
      <c r="BN605" s="1806"/>
      <c r="BO605" s="1806"/>
      <c r="BP605" s="1806"/>
      <c r="BQ605" s="1806"/>
      <c r="BR605" s="1806"/>
      <c r="BS605" s="1806"/>
      <c r="BT605" s="1806"/>
      <c r="BU605" s="1806"/>
      <c r="BV605" s="1806"/>
      <c r="BW605" s="1806"/>
      <c r="BX605" s="1806"/>
      <c r="BY605" s="1806"/>
      <c r="BZ605" s="1806"/>
      <c r="CA605" s="1806"/>
      <c r="CB605" s="1806"/>
      <c r="CC605" s="1806"/>
      <c r="CD605" s="1806"/>
      <c r="CE605" s="1806"/>
      <c r="CF605" s="1806"/>
      <c r="CG605" s="1806"/>
      <c r="CH605" s="1806"/>
      <c r="CI605" s="1806"/>
      <c r="CJ605" s="1806"/>
      <c r="CK605" s="1806"/>
      <c r="CL605" s="1806"/>
      <c r="CM605" s="1806"/>
      <c r="CN605" s="1806"/>
      <c r="CO605" s="1806"/>
      <c r="CP605" s="1806"/>
      <c r="CQ605" s="1806"/>
      <c r="CR605" s="1806"/>
      <c r="CS605" s="1806"/>
      <c r="CT605" s="1806"/>
      <c r="CU605" s="1806"/>
      <c r="CV605" s="1806"/>
      <c r="CW605" s="1806"/>
      <c r="CX605" s="1806"/>
      <c r="CY605" s="1806"/>
      <c r="CZ605" s="1806"/>
      <c r="DA605" s="1806"/>
      <c r="DB605" s="1806"/>
      <c r="DC605" s="1806"/>
      <c r="DD605" s="1806"/>
      <c r="DE605" s="1806"/>
      <c r="DF605" s="1806"/>
      <c r="DG605" s="1806"/>
      <c r="DH605" s="1806"/>
      <c r="DI605" s="1806"/>
      <c r="DJ605" s="1806"/>
      <c r="DK605" s="1806"/>
      <c r="DL605" s="1806"/>
      <c r="DM605" s="1806"/>
      <c r="DN605" s="1806"/>
      <c r="DO605" s="1806"/>
      <c r="DP605" s="1806"/>
      <c r="DQ605" s="1670"/>
      <c r="DR605" s="1670"/>
      <c r="DS605" s="1670"/>
      <c r="DT605" s="1670"/>
      <c r="DU605" s="1670"/>
      <c r="DV605" s="1670"/>
      <c r="DW605" s="1670"/>
      <c r="DX605" s="1670"/>
      <c r="DY605" s="1670"/>
      <c r="DZ605" s="1670"/>
      <c r="EA605" s="437"/>
      <c r="EB605" s="437"/>
      <c r="EC605" s="437"/>
      <c r="ED605" s="437"/>
      <c r="EE605" s="437"/>
      <c r="EF605" s="437"/>
      <c r="EG605" s="437"/>
      <c r="EH605" s="437"/>
      <c r="EI605" s="437"/>
      <c r="EJ605" s="437"/>
      <c r="EK605" s="437"/>
      <c r="EL605" s="437"/>
      <c r="EM605" s="437"/>
      <c r="EN605" s="437"/>
      <c r="EO605" s="437"/>
      <c r="EP605" s="437"/>
      <c r="EQ605" s="437"/>
      <c r="ER605" s="437"/>
      <c r="ES605" s="437"/>
      <c r="ET605" s="437"/>
      <c r="EU605" s="437"/>
      <c r="EV605" s="437"/>
      <c r="EW605" s="437"/>
      <c r="EX605" s="437"/>
    </row>
    <row r="606" spans="1:154">
      <c r="A606" s="333">
        <f t="shared" si="19"/>
        <v>2020</v>
      </c>
      <c r="B606" s="333">
        <f t="shared" si="20"/>
        <v>4</v>
      </c>
      <c r="C606" s="1175">
        <v>44105</v>
      </c>
      <c r="D606" s="912">
        <v>378.71733743229407</v>
      </c>
      <c r="E606" s="1655">
        <v>2673.54</v>
      </c>
      <c r="F606" s="1168">
        <v>1900.2750000000001</v>
      </c>
      <c r="G606" s="1168">
        <v>120</v>
      </c>
      <c r="H606" s="1655">
        <v>168.44469399213924</v>
      </c>
      <c r="I606" s="1655">
        <v>109.5086956521739</v>
      </c>
      <c r="J606" s="1655">
        <v>153.71798940507284</v>
      </c>
      <c r="K606" s="1783">
        <v>15219.36</v>
      </c>
      <c r="L606" s="1783">
        <v>21363.503649635037</v>
      </c>
      <c r="M606" s="1784">
        <v>39.450000000000003</v>
      </c>
      <c r="N606" s="1655">
        <v>9408.7170129140941</v>
      </c>
      <c r="O606" s="1655">
        <v>2494.4834362717575</v>
      </c>
      <c r="P606" s="1655">
        <v>3427.2178551375632</v>
      </c>
      <c r="Q606" s="1655">
        <v>29.55</v>
      </c>
      <c r="R606" s="1655">
        <v>1000</v>
      </c>
      <c r="S606" s="1655">
        <v>1777.2679364751084</v>
      </c>
      <c r="T606" s="1655">
        <v>3825.0629505735674</v>
      </c>
      <c r="U606" s="1655">
        <v>46642.26558113419</v>
      </c>
      <c r="V606" s="1655">
        <v>8543.370468777015</v>
      </c>
      <c r="W606" s="1655">
        <v>548.00673778775968</v>
      </c>
      <c r="X606" s="1655">
        <v>0.71240000000000003</v>
      </c>
      <c r="AI606" s="1878" t="s">
        <v>4</v>
      </c>
      <c r="AJ606" s="1827">
        <v>2009</v>
      </c>
      <c r="AK606" s="1822" t="s">
        <v>18</v>
      </c>
      <c r="AL606" s="1822">
        <v>3</v>
      </c>
      <c r="AM606" s="1823">
        <v>1070775091.5599996</v>
      </c>
      <c r="AN606" s="1824">
        <v>0.10729659239395076</v>
      </c>
      <c r="AO606" s="1822"/>
      <c r="AP606" s="1905" t="s">
        <v>2</v>
      </c>
      <c r="AQ606" s="1905" t="s">
        <v>505</v>
      </c>
      <c r="AR606" s="1822" t="s">
        <v>18</v>
      </c>
      <c r="AS606" s="1822">
        <v>1</v>
      </c>
      <c r="AT606" s="1891">
        <v>39966996676.786247</v>
      </c>
      <c r="AU606" s="1825">
        <v>0.8157986615812427</v>
      </c>
      <c r="AV606" s="1822">
        <v>2015</v>
      </c>
      <c r="EA606" s="169"/>
      <c r="EB606" s="169"/>
      <c r="EC606" s="169"/>
      <c r="ED606" s="169"/>
      <c r="EE606" s="169"/>
      <c r="EF606" s="169"/>
      <c r="EG606" s="169"/>
      <c r="EH606" s="169"/>
      <c r="EI606" s="169"/>
      <c r="EJ606" s="169"/>
      <c r="EK606" s="169"/>
      <c r="EL606" s="169"/>
      <c r="EM606" s="169"/>
      <c r="EN606" s="169"/>
      <c r="EO606" s="169"/>
      <c r="EP606" s="169"/>
      <c r="EQ606" s="169"/>
      <c r="ER606" s="169"/>
      <c r="ES606" s="169"/>
      <c r="ET606" s="169"/>
      <c r="EU606" s="169"/>
      <c r="EV606" s="169"/>
      <c r="EW606" s="169"/>
      <c r="EX606" s="169"/>
    </row>
    <row r="607" spans="1:154">
      <c r="A607" s="333">
        <f t="shared" si="19"/>
        <v>2020</v>
      </c>
      <c r="B607" s="333">
        <f t="shared" si="20"/>
        <v>4</v>
      </c>
      <c r="C607" s="1175">
        <v>44136</v>
      </c>
      <c r="D607" s="1795">
        <v>373.37707268862522</v>
      </c>
      <c r="E607" s="1796">
        <v>2586.6999999999998</v>
      </c>
      <c r="F607" s="1796">
        <v>1863.4928571428575</v>
      </c>
      <c r="G607" s="1797">
        <v>125</v>
      </c>
      <c r="H607" s="1797">
        <v>171.65613842351004</v>
      </c>
      <c r="I607" s="1797">
        <v>113.83809523809499</v>
      </c>
      <c r="J607" s="1797">
        <v>156.32806267247321</v>
      </c>
      <c r="K607" s="1786">
        <v>15796.05</v>
      </c>
      <c r="L607" s="1786">
        <v>21691.911562757483</v>
      </c>
      <c r="M607" s="1787">
        <v>41.24</v>
      </c>
      <c r="N607" s="1798">
        <v>9699.8489425981879</v>
      </c>
      <c r="O607" s="1798">
        <v>2629.0579511123319</v>
      </c>
      <c r="P607" s="1798">
        <v>3666.1494095028843</v>
      </c>
      <c r="Q607" s="1799">
        <v>29.45</v>
      </c>
      <c r="R607" s="1800">
        <v>1700.88</v>
      </c>
      <c r="S607" s="1800">
        <v>1775.8293691431502</v>
      </c>
      <c r="T607" s="1800">
        <v>3684.7108626942809</v>
      </c>
      <c r="U607" s="1801">
        <v>44271.257896182375</v>
      </c>
      <c r="V607" s="1802">
        <v>8494.1506246414247</v>
      </c>
      <c r="W607" s="1802">
        <v>538.3136500961275</v>
      </c>
      <c r="X607" s="1794">
        <v>0.72819999999999996</v>
      </c>
      <c r="AI607" s="1878" t="s">
        <v>4</v>
      </c>
      <c r="AJ607" s="1827">
        <v>2009</v>
      </c>
      <c r="AK607" s="1822" t="s">
        <v>61</v>
      </c>
      <c r="AL607" s="1822">
        <v>4</v>
      </c>
      <c r="AM607" s="1823">
        <v>1028108470.5899999</v>
      </c>
      <c r="AN607" s="1824">
        <v>0.10302120060053908</v>
      </c>
      <c r="AO607" s="1822"/>
      <c r="AP607" s="1905" t="s">
        <v>2</v>
      </c>
      <c r="AQ607" s="1905" t="s">
        <v>505</v>
      </c>
      <c r="AR607" s="1822" t="s">
        <v>23</v>
      </c>
      <c r="AS607" s="1822">
        <v>2</v>
      </c>
      <c r="AT607" s="1891">
        <v>4779371529.131134</v>
      </c>
      <c r="AU607" s="1825">
        <v>9.755561390304085E-2</v>
      </c>
      <c r="AV607" s="1822">
        <v>2015</v>
      </c>
      <c r="EA607" s="169"/>
      <c r="EB607" s="169"/>
      <c r="EC607" s="169"/>
      <c r="ED607" s="169"/>
      <c r="EE607" s="169"/>
      <c r="EF607" s="169"/>
      <c r="EG607" s="169"/>
      <c r="EH607" s="169"/>
      <c r="EI607" s="169"/>
      <c r="EJ607" s="169"/>
      <c r="EK607" s="169"/>
      <c r="EL607" s="169"/>
      <c r="EM607" s="169"/>
      <c r="EN607" s="169"/>
      <c r="EO607" s="169"/>
      <c r="EP607" s="169"/>
      <c r="EQ607" s="169"/>
      <c r="ER607" s="169"/>
      <c r="ES607" s="169"/>
      <c r="ET607" s="169"/>
      <c r="EU607" s="169"/>
      <c r="EV607" s="169"/>
      <c r="EW607" s="169"/>
      <c r="EX607" s="169"/>
    </row>
    <row r="608" spans="1:154">
      <c r="A608" s="333">
        <f t="shared" si="19"/>
        <v>2020</v>
      </c>
      <c r="B608" s="333">
        <f t="shared" si="20"/>
        <v>4</v>
      </c>
      <c r="C608" s="1175">
        <v>44166</v>
      </c>
      <c r="D608" s="1784">
        <v>369.11537463760158</v>
      </c>
      <c r="E608" s="1793">
        <v>2472.54</v>
      </c>
      <c r="F608" s="1793">
        <v>1856.655263157895</v>
      </c>
      <c r="G608" s="1784">
        <v>156</v>
      </c>
      <c r="H608" s="1784">
        <v>206.95144600689838</v>
      </c>
      <c r="I608" s="1793">
        <v>142.4</v>
      </c>
      <c r="J608" s="1793">
        <v>188.90952507296365</v>
      </c>
      <c r="K608" s="1793">
        <v>16807.05</v>
      </c>
      <c r="L608" s="1793">
        <v>22296.431414168212</v>
      </c>
      <c r="M608" s="1793">
        <v>49.55</v>
      </c>
      <c r="N608" s="1793">
        <v>10288.193154682938</v>
      </c>
      <c r="O608" s="1793">
        <v>2677.8986468559297</v>
      </c>
      <c r="P608" s="1793">
        <v>3691.1117007163703</v>
      </c>
      <c r="Q608" s="1793">
        <v>30</v>
      </c>
      <c r="R608" s="1793">
        <v>1700.88</v>
      </c>
      <c r="S608" s="1793">
        <v>1525.4759061576503</v>
      </c>
      <c r="T608" s="1793">
        <v>3614.7844236787751</v>
      </c>
      <c r="U608" s="1793">
        <v>42306.593260811882</v>
      </c>
      <c r="V608" s="1793">
        <v>8329.9899054519283</v>
      </c>
      <c r="W608" s="1793">
        <v>526.31997877421065</v>
      </c>
      <c r="X608" s="1655">
        <v>0.75380000000000003</v>
      </c>
      <c r="AI608" s="1878" t="s">
        <v>4</v>
      </c>
      <c r="AJ608" s="1827">
        <v>2009</v>
      </c>
      <c r="AK608" s="1822" t="s">
        <v>33</v>
      </c>
      <c r="AL608" s="1822">
        <v>5</v>
      </c>
      <c r="AM608" s="1823">
        <v>366451537.58000004</v>
      </c>
      <c r="AN608" s="1824">
        <v>3.6720130650942207E-2</v>
      </c>
      <c r="AO608" s="1822"/>
      <c r="AP608" s="1905" t="s">
        <v>2</v>
      </c>
      <c r="AQ608" s="1905" t="s">
        <v>505</v>
      </c>
      <c r="AR608" s="1822" t="s">
        <v>24</v>
      </c>
      <c r="AS608" s="1822">
        <v>3</v>
      </c>
      <c r="AT608" s="1891">
        <v>2930892424.5567236</v>
      </c>
      <c r="AU608" s="1825">
        <v>5.9824813371096679E-2</v>
      </c>
      <c r="AV608" s="1822">
        <v>2015</v>
      </c>
      <c r="EA608" s="169"/>
      <c r="EB608" s="169"/>
      <c r="EC608" s="169"/>
      <c r="ED608" s="169"/>
      <c r="EE608" s="169"/>
      <c r="EF608" s="169"/>
      <c r="EG608" s="169"/>
      <c r="EH608" s="169"/>
      <c r="EI608" s="169"/>
      <c r="EJ608" s="169"/>
      <c r="EK608" s="169"/>
      <c r="EL608" s="169"/>
      <c r="EM608" s="169"/>
      <c r="EN608" s="169"/>
      <c r="EO608" s="169"/>
      <c r="EP608" s="169"/>
      <c r="EQ608" s="169"/>
      <c r="ER608" s="169"/>
      <c r="ES608" s="169"/>
      <c r="ET608" s="169"/>
      <c r="EU608" s="169"/>
      <c r="EV608" s="169"/>
      <c r="EW608" s="169"/>
      <c r="EX608" s="169"/>
    </row>
    <row r="609" spans="1:154" s="573" customFormat="1">
      <c r="A609" s="573">
        <f t="shared" si="19"/>
        <v>2021</v>
      </c>
      <c r="B609" s="573">
        <f t="shared" si="20"/>
        <v>1</v>
      </c>
      <c r="C609" s="1175">
        <v>44197</v>
      </c>
      <c r="D609" s="1785">
        <v>369.11537463760158</v>
      </c>
      <c r="E609" s="1159">
        <v>2420.9499999999998</v>
      </c>
      <c r="F609" s="1159">
        <v>1866.9849999999999</v>
      </c>
      <c r="G609" s="1160">
        <v>168</v>
      </c>
      <c r="H609" s="1160">
        <v>217.53204713194356</v>
      </c>
      <c r="I609" s="1160">
        <v>155.02380952380952</v>
      </c>
      <c r="J609" s="1160">
        <v>200.73003952325459</v>
      </c>
      <c r="K609" s="1786">
        <v>17847.599999999999</v>
      </c>
      <c r="L609" s="1786">
        <v>23109.672407095688</v>
      </c>
      <c r="M609" s="1787">
        <v>55.49</v>
      </c>
      <c r="N609" s="1162">
        <v>10320.471319435454</v>
      </c>
      <c r="O609" s="1162">
        <v>2608.9990936164704</v>
      </c>
      <c r="P609" s="1162">
        <v>3506.0209763045445</v>
      </c>
      <c r="Q609" s="1788">
        <v>29.1</v>
      </c>
      <c r="R609" s="1789">
        <v>1700.88</v>
      </c>
      <c r="S609" s="1789">
        <v>1716.0525778458398</v>
      </c>
      <c r="T609" s="1789">
        <v>3614.7844236787751</v>
      </c>
      <c r="U609" s="1790">
        <v>48804.221157581254</v>
      </c>
      <c r="V609" s="1791">
        <v>9688.6919015456424</v>
      </c>
      <c r="W609" s="1791">
        <v>540.9167421986275</v>
      </c>
      <c r="X609" s="1794">
        <v>0.77229999999999999</v>
      </c>
      <c r="AA609" s="1916"/>
      <c r="AB609" s="1916"/>
      <c r="AC609" s="1806"/>
      <c r="AD609" s="1806"/>
      <c r="AE609" s="1806"/>
      <c r="AF609" s="1806"/>
      <c r="AG609" s="1806"/>
      <c r="AH609" s="1806"/>
      <c r="AI609" s="1878" t="s">
        <v>4</v>
      </c>
      <c r="AJ609" s="1827">
        <v>2009</v>
      </c>
      <c r="AK609" s="1822" t="s">
        <v>125</v>
      </c>
      <c r="AL609" s="1822">
        <v>6</v>
      </c>
      <c r="AM609" s="1823">
        <v>260725064.34</v>
      </c>
      <c r="AN609" s="1824">
        <v>2.6125851428444462E-2</v>
      </c>
      <c r="AO609" s="1822"/>
      <c r="AP609" s="1905" t="s">
        <v>2</v>
      </c>
      <c r="AQ609" s="1905" t="s">
        <v>505</v>
      </c>
      <c r="AR609" s="1822" t="s">
        <v>537</v>
      </c>
      <c r="AS609" s="1822">
        <v>4</v>
      </c>
      <c r="AT609" s="1891">
        <v>1044629323.0914229</v>
      </c>
      <c r="AU609" s="1825">
        <v>2.1322773150014643E-2</v>
      </c>
      <c r="AV609" s="1822">
        <v>2015</v>
      </c>
      <c r="AW609" s="1670"/>
      <c r="AX609" s="1670"/>
      <c r="AY609" s="1806"/>
      <c r="AZ609" s="1806"/>
      <c r="BA609" s="1806"/>
      <c r="BB609" s="1806"/>
      <c r="BC609" s="1806"/>
      <c r="BD609" s="1806"/>
      <c r="BE609" s="1806"/>
      <c r="BF609" s="1806"/>
      <c r="BG609" s="1806"/>
      <c r="BH609" s="1806"/>
      <c r="BI609" s="1806"/>
      <c r="BJ609" s="1806"/>
      <c r="BK609" s="1806"/>
      <c r="BL609" s="1806"/>
      <c r="BM609" s="1806"/>
      <c r="BN609" s="1806"/>
      <c r="BO609" s="1806"/>
      <c r="BP609" s="1806"/>
      <c r="BQ609" s="1806"/>
      <c r="BR609" s="1806"/>
      <c r="BS609" s="1806"/>
      <c r="BT609" s="1806"/>
      <c r="BU609" s="1806"/>
      <c r="BV609" s="1806"/>
      <c r="BW609" s="1806"/>
      <c r="BX609" s="1806"/>
      <c r="BY609" s="1806"/>
      <c r="BZ609" s="1806"/>
      <c r="CA609" s="1806"/>
      <c r="CB609" s="1806"/>
      <c r="CC609" s="1806"/>
      <c r="CD609" s="1806"/>
      <c r="CE609" s="1806"/>
      <c r="CF609" s="1806"/>
      <c r="CG609" s="1806"/>
      <c r="CH609" s="1806"/>
      <c r="CI609" s="1806"/>
      <c r="CJ609" s="1806"/>
      <c r="CK609" s="1806"/>
      <c r="CL609" s="1806"/>
      <c r="CM609" s="1806"/>
      <c r="CN609" s="1806"/>
      <c r="CO609" s="1806"/>
      <c r="CP609" s="1806"/>
      <c r="CQ609" s="1806"/>
      <c r="CR609" s="1806"/>
      <c r="CS609" s="1806"/>
      <c r="CT609" s="1806"/>
      <c r="CU609" s="1806"/>
      <c r="CV609" s="1806"/>
      <c r="CW609" s="1806"/>
      <c r="CX609" s="1806"/>
      <c r="CY609" s="1806"/>
      <c r="CZ609" s="1806"/>
      <c r="DA609" s="1806"/>
      <c r="DB609" s="1806"/>
      <c r="DC609" s="1806"/>
      <c r="DD609" s="1806"/>
      <c r="DE609" s="1806"/>
      <c r="DF609" s="1806"/>
      <c r="DG609" s="1806"/>
      <c r="DH609" s="1806"/>
      <c r="DI609" s="1806"/>
      <c r="DJ609" s="1806"/>
      <c r="DK609" s="1806"/>
      <c r="DL609" s="1806"/>
      <c r="DM609" s="1806"/>
      <c r="DN609" s="1806"/>
      <c r="DO609" s="1806"/>
      <c r="DP609" s="1806"/>
      <c r="DQ609" s="1670"/>
      <c r="DR609" s="1670"/>
      <c r="DS609" s="1670"/>
      <c r="DT609" s="1670"/>
      <c r="DU609" s="1670"/>
      <c r="DV609" s="1670"/>
      <c r="DW609" s="1670"/>
      <c r="DX609" s="1670"/>
      <c r="DY609" s="1670"/>
      <c r="DZ609" s="1670"/>
      <c r="EA609" s="437"/>
      <c r="EB609" s="437"/>
      <c r="EC609" s="437"/>
      <c r="ED609" s="437"/>
      <c r="EE609" s="437"/>
      <c r="EF609" s="437"/>
      <c r="EG609" s="437"/>
      <c r="EH609" s="437"/>
      <c r="EI609" s="437"/>
      <c r="EJ609" s="437"/>
      <c r="EK609" s="437"/>
      <c r="EL609" s="437"/>
      <c r="EM609" s="437"/>
      <c r="EN609" s="437"/>
      <c r="EO609" s="437"/>
      <c r="EP609" s="437"/>
      <c r="EQ609" s="437"/>
      <c r="ER609" s="437"/>
      <c r="ES609" s="437"/>
      <c r="ET609" s="437"/>
      <c r="EU609" s="437"/>
      <c r="EV609" s="437"/>
      <c r="EW609" s="437"/>
      <c r="EX609" s="437"/>
    </row>
    <row r="610" spans="1:154">
      <c r="A610" s="333">
        <f t="shared" si="19"/>
        <v>2021</v>
      </c>
      <c r="B610" s="333">
        <f t="shared" si="20"/>
        <v>1</v>
      </c>
      <c r="C610" s="1175">
        <v>44228</v>
      </c>
      <c r="D610" s="912">
        <v>375.80225148839173</v>
      </c>
      <c r="E610" s="1655">
        <v>2340.19</v>
      </c>
      <c r="F610" s="1655">
        <v>1808.175</v>
      </c>
      <c r="G610" s="1168">
        <v>165.36</v>
      </c>
      <c r="H610" s="1655">
        <v>213.23017408123795</v>
      </c>
      <c r="I610" s="1655">
        <v>152.72499999999999</v>
      </c>
      <c r="J610" s="1655">
        <v>196.93745970341715</v>
      </c>
      <c r="K610" s="1783">
        <v>18568.05</v>
      </c>
      <c r="L610" s="1783">
        <v>23943.326885880077</v>
      </c>
      <c r="M610" s="1784">
        <v>63.02</v>
      </c>
      <c r="N610" s="1655">
        <v>10909.413281753708</v>
      </c>
      <c r="O610" s="1655">
        <v>2689.5551257253387</v>
      </c>
      <c r="P610" s="1655">
        <v>3498.6460348162477</v>
      </c>
      <c r="Q610" s="1655">
        <v>27.75</v>
      </c>
      <c r="R610" s="1655">
        <v>1618</v>
      </c>
      <c r="S610" s="1655">
        <v>1716.0525778458398</v>
      </c>
      <c r="T610" s="1655">
        <v>3554.1764845400112</v>
      </c>
      <c r="U610" s="1168">
        <v>60981.624758220503</v>
      </c>
      <c r="V610" s="1655">
        <v>11330.398410749405</v>
      </c>
      <c r="W610" s="1655">
        <v>559.63894261766609</v>
      </c>
      <c r="X610" s="1655">
        <v>0.77549999999999997</v>
      </c>
      <c r="AI610" s="1878" t="s">
        <v>4</v>
      </c>
      <c r="AJ610" s="1827">
        <v>2009</v>
      </c>
      <c r="AK610" s="1822" t="s">
        <v>21</v>
      </c>
      <c r="AL610" s="1822">
        <v>7</v>
      </c>
      <c r="AM610" s="1823">
        <v>205126908.61999995</v>
      </c>
      <c r="AN610" s="1824">
        <v>2.0554660335968457E-2</v>
      </c>
      <c r="AO610" s="1822"/>
      <c r="AP610" s="1905" t="s">
        <v>2</v>
      </c>
      <c r="AQ610" s="1905" t="s">
        <v>505</v>
      </c>
      <c r="AR610" s="1822" t="s">
        <v>22</v>
      </c>
      <c r="AS610" s="1822">
        <v>5</v>
      </c>
      <c r="AT610" s="1891">
        <v>182006724.85292566</v>
      </c>
      <c r="AU610" s="1825">
        <v>3.7150863182082265E-3</v>
      </c>
      <c r="AV610" s="1822">
        <v>2015</v>
      </c>
      <c r="EA610" s="169"/>
      <c r="EB610" s="169"/>
      <c r="EC610" s="169"/>
      <c r="ED610" s="169"/>
      <c r="EE610" s="169"/>
      <c r="EF610" s="169"/>
      <c r="EG610" s="169"/>
      <c r="EH610" s="169"/>
      <c r="EI610" s="169"/>
      <c r="EJ610" s="169"/>
      <c r="EK610" s="169"/>
      <c r="EL610" s="169"/>
      <c r="EM610" s="169"/>
      <c r="EN610" s="169"/>
      <c r="EO610" s="169"/>
      <c r="EP610" s="169"/>
      <c r="EQ610" s="169"/>
      <c r="ER610" s="169"/>
      <c r="ES610" s="169"/>
      <c r="ET610" s="169"/>
      <c r="EU610" s="169"/>
      <c r="EV610" s="169"/>
      <c r="EW610" s="169"/>
      <c r="EX610" s="169"/>
    </row>
    <row r="611" spans="1:154" s="169" customFormat="1">
      <c r="A611" s="169">
        <f t="shared" si="19"/>
        <v>2021</v>
      </c>
      <c r="B611" s="169">
        <f t="shared" si="20"/>
        <v>1</v>
      </c>
      <c r="C611" s="1175">
        <v>44256</v>
      </c>
      <c r="D611" s="1785">
        <v>384.0978329304437</v>
      </c>
      <c r="E611" s="1159">
        <v>2241.92</v>
      </c>
      <c r="F611" s="1159">
        <v>1718.228261</v>
      </c>
      <c r="G611" s="1160">
        <v>166.9</v>
      </c>
      <c r="H611" s="1160">
        <v>216.58447962626528</v>
      </c>
      <c r="I611" s="1160">
        <v>152.57173913043479</v>
      </c>
      <c r="J611" s="1160">
        <v>197.99083717938595</v>
      </c>
      <c r="K611" s="1786">
        <v>16460.740000000002</v>
      </c>
      <c r="L611" s="1786">
        <v>21360.939527640803</v>
      </c>
      <c r="M611" s="1787">
        <v>66.459999999999994</v>
      </c>
      <c r="N611" s="1792">
        <v>11685.673501167921</v>
      </c>
      <c r="O611" s="1792">
        <v>2544.4588632234622</v>
      </c>
      <c r="P611" s="1792">
        <v>3622.6966000519078</v>
      </c>
      <c r="Q611" s="1788">
        <v>30.85</v>
      </c>
      <c r="R611" s="1789">
        <v>1618</v>
      </c>
      <c r="S611" s="1789">
        <v>1704.9851469163707</v>
      </c>
      <c r="T611" s="1789">
        <v>3555.2726009570724</v>
      </c>
      <c r="U611" s="1790">
        <v>68085.284194134438</v>
      </c>
      <c r="V611" s="1791">
        <v>12968.340269131497</v>
      </c>
      <c r="W611" s="1791">
        <v>626.61562418894368</v>
      </c>
      <c r="X611" s="1794">
        <v>0.77059999999999995</v>
      </c>
      <c r="AA611" s="1915"/>
      <c r="AB611" s="1915"/>
      <c r="AC611" s="1804"/>
      <c r="AD611" s="1804"/>
      <c r="AE611" s="1804"/>
      <c r="AF611" s="1804"/>
      <c r="AG611" s="1804"/>
      <c r="AH611" s="1804"/>
      <c r="AI611" s="1878" t="s">
        <v>4</v>
      </c>
      <c r="AJ611" s="1827">
        <v>2009</v>
      </c>
      <c r="AK611" s="1822" t="s">
        <v>537</v>
      </c>
      <c r="AL611" s="1822">
        <v>8</v>
      </c>
      <c r="AM611" s="1823">
        <v>178174051.93000004</v>
      </c>
      <c r="AN611" s="1824">
        <v>1.7853860045679446E-2</v>
      </c>
      <c r="AO611" s="1822"/>
      <c r="AP611" s="1905" t="s">
        <v>2</v>
      </c>
      <c r="AQ611" s="1905" t="s">
        <v>505</v>
      </c>
      <c r="AR611" s="1822" t="s">
        <v>39</v>
      </c>
      <c r="AS611" s="1822"/>
      <c r="AT611" s="1891">
        <v>87353931.528845891</v>
      </c>
      <c r="AU611" s="1825">
        <v>1.7830516763968735E-3</v>
      </c>
      <c r="AV611" s="1822">
        <v>2015</v>
      </c>
      <c r="AW611" s="1671"/>
      <c r="AX611" s="1671"/>
      <c r="AY611" s="1804"/>
      <c r="AZ611" s="1804"/>
      <c r="BA611" s="1804"/>
      <c r="BB611" s="1804"/>
      <c r="BC611" s="1804"/>
      <c r="BD611" s="1804"/>
      <c r="BE611" s="1804"/>
      <c r="BF611" s="1804"/>
      <c r="BG611" s="1804"/>
      <c r="BH611" s="1804"/>
      <c r="BI611" s="1804"/>
      <c r="BJ611" s="1804"/>
      <c r="BK611" s="1804"/>
      <c r="BL611" s="1804"/>
      <c r="BM611" s="1804"/>
      <c r="BN611" s="1804"/>
      <c r="BO611" s="1804"/>
      <c r="BP611" s="1804"/>
      <c r="BQ611" s="1804"/>
      <c r="BR611" s="1804"/>
      <c r="BS611" s="1804"/>
      <c r="BT611" s="1804"/>
      <c r="BU611" s="1804"/>
      <c r="BV611" s="1804"/>
      <c r="BW611" s="1804"/>
      <c r="BX611" s="1804"/>
      <c r="BY611" s="1804"/>
      <c r="BZ611" s="1804"/>
      <c r="CA611" s="1804"/>
      <c r="CB611" s="1804"/>
      <c r="CC611" s="1804"/>
      <c r="CD611" s="1804"/>
      <c r="CE611" s="1804"/>
      <c r="CF611" s="1804"/>
      <c r="CG611" s="1804"/>
      <c r="CH611" s="1804"/>
      <c r="CI611" s="1804"/>
      <c r="CJ611" s="1804"/>
      <c r="CK611" s="1804"/>
      <c r="CL611" s="1804"/>
      <c r="CM611" s="1804"/>
      <c r="CN611" s="1804"/>
      <c r="CO611" s="1804"/>
      <c r="CP611" s="1804"/>
      <c r="CQ611" s="1804"/>
      <c r="CR611" s="1804"/>
      <c r="CS611" s="1804"/>
      <c r="CT611" s="1804"/>
      <c r="CU611" s="1804"/>
      <c r="CV611" s="1804"/>
      <c r="CW611" s="1804"/>
      <c r="CX611" s="1804"/>
      <c r="CY611" s="1804"/>
      <c r="CZ611" s="1804"/>
      <c r="DA611" s="1804"/>
      <c r="DB611" s="1804"/>
      <c r="DC611" s="1804"/>
      <c r="DD611" s="1804"/>
      <c r="DE611" s="1804"/>
      <c r="DF611" s="1804"/>
      <c r="DG611" s="1804"/>
      <c r="DH611" s="1804"/>
      <c r="DI611" s="1804"/>
      <c r="DJ611" s="1804"/>
      <c r="DK611" s="1804"/>
      <c r="DL611" s="1804"/>
      <c r="DM611" s="1804"/>
      <c r="DN611" s="1804"/>
      <c r="DO611" s="1804"/>
      <c r="DP611" s="1804"/>
      <c r="DQ611" s="1671"/>
      <c r="DR611" s="1671"/>
      <c r="DS611" s="1671"/>
      <c r="DT611" s="1671"/>
      <c r="DU611" s="1671"/>
      <c r="DV611" s="1671"/>
      <c r="DW611" s="1671"/>
      <c r="DX611" s="1671"/>
      <c r="DY611" s="1671"/>
      <c r="DZ611" s="1671"/>
    </row>
    <row r="612" spans="1:154">
      <c r="A612" s="333">
        <f t="shared" si="19"/>
        <v>2021</v>
      </c>
      <c r="B612" s="333">
        <f t="shared" si="20"/>
        <v>2</v>
      </c>
      <c r="C612" s="1175">
        <v>44287</v>
      </c>
      <c r="D612" s="912">
        <v>398.32071225827769</v>
      </c>
      <c r="E612" s="1655">
        <v>2289.79</v>
      </c>
      <c r="F612" s="1168">
        <v>1761.77</v>
      </c>
      <c r="G612" s="1168">
        <v>179.85</v>
      </c>
      <c r="H612" s="1655">
        <v>233.51077642170864</v>
      </c>
      <c r="I612" s="1655">
        <v>158.73809523809521</v>
      </c>
      <c r="J612" s="1655">
        <v>206.0998380136266</v>
      </c>
      <c r="K612" s="1783">
        <v>16480.7</v>
      </c>
      <c r="L612" s="1783">
        <v>21397.948584783175</v>
      </c>
      <c r="M612" s="1784">
        <v>64.650000000000006</v>
      </c>
      <c r="N612" s="1655">
        <v>12120.94261230849</v>
      </c>
      <c r="O612" s="1655">
        <v>2604.9467670734875</v>
      </c>
      <c r="P612" s="1655">
        <v>3670.9296286678782</v>
      </c>
      <c r="Q612" s="1655">
        <v>28.65</v>
      </c>
      <c r="R612" s="1655">
        <v>1618</v>
      </c>
      <c r="S612" s="1655">
        <v>1549.3028445883442</v>
      </c>
      <c r="T612" s="1655">
        <v>3555.2726009570724</v>
      </c>
      <c r="U612" s="1655">
        <v>63604.583225136332</v>
      </c>
      <c r="V612" s="1655">
        <v>14746.858258150602</v>
      </c>
      <c r="W612" s="1655">
        <v>990.5868605556999</v>
      </c>
      <c r="X612" s="1655">
        <v>0.7702</v>
      </c>
      <c r="AI612" s="1878" t="s">
        <v>4</v>
      </c>
      <c r="AJ612" s="1827">
        <v>2009</v>
      </c>
      <c r="AK612" s="1822" t="s">
        <v>758</v>
      </c>
      <c r="AL612" s="1822">
        <v>9</v>
      </c>
      <c r="AM612" s="1823">
        <v>151547605.91</v>
      </c>
      <c r="AN612" s="1824">
        <v>1.5185767606822605E-2</v>
      </c>
      <c r="AO612" s="1822"/>
      <c r="AP612" s="1905" t="s">
        <v>2</v>
      </c>
      <c r="AQ612" s="1905" t="s">
        <v>505</v>
      </c>
      <c r="AR612" s="1822" t="s">
        <v>386</v>
      </c>
      <c r="AS612" s="1822"/>
      <c r="AT612" s="1891">
        <v>48991250609.947304</v>
      </c>
      <c r="AU612" s="1825"/>
      <c r="AV612" s="1822">
        <v>2015</v>
      </c>
      <c r="EA612" s="169"/>
      <c r="EB612" s="169"/>
      <c r="EC612" s="169"/>
      <c r="ED612" s="169"/>
      <c r="EE612" s="169"/>
      <c r="EF612" s="169"/>
      <c r="EG612" s="169"/>
      <c r="EH612" s="169"/>
      <c r="EI612" s="169"/>
      <c r="EJ612" s="169"/>
      <c r="EK612" s="169"/>
      <c r="EL612" s="169"/>
      <c r="EM612" s="169"/>
      <c r="EN612" s="169"/>
      <c r="EO612" s="169"/>
      <c r="EP612" s="169"/>
      <c r="EQ612" s="169"/>
      <c r="ER612" s="169"/>
      <c r="ES612" s="169"/>
      <c r="ET612" s="169"/>
      <c r="EU612" s="169"/>
      <c r="EV612" s="169"/>
      <c r="EW612" s="169"/>
      <c r="EX612" s="169"/>
    </row>
    <row r="613" spans="1:154">
      <c r="A613" s="333">
        <f t="shared" si="19"/>
        <v>2021</v>
      </c>
      <c r="B613" s="333">
        <f t="shared" si="20"/>
        <v>2</v>
      </c>
      <c r="C613" s="1175">
        <v>44317</v>
      </c>
      <c r="D613" s="1795">
        <v>398.32071225827769</v>
      </c>
      <c r="E613" s="1796">
        <v>2385.63</v>
      </c>
      <c r="F613" s="1796">
        <v>1853.2236842105262</v>
      </c>
      <c r="G613" s="1797">
        <v>205.37</v>
      </c>
      <c r="H613" s="1797">
        <v>264.61796160288623</v>
      </c>
      <c r="I613" s="1797">
        <v>178.91250000000002</v>
      </c>
      <c r="J613" s="1797">
        <v>230.5276381909548</v>
      </c>
      <c r="K613" s="1786">
        <v>17605.740000000002</v>
      </c>
      <c r="L613" s="1786">
        <v>22684.885968303057</v>
      </c>
      <c r="M613" s="1787">
        <v>68.94</v>
      </c>
      <c r="N613" s="1798">
        <v>13121.981703388738</v>
      </c>
      <c r="O613" s="1798">
        <v>2816.5442597603401</v>
      </c>
      <c r="P613" s="1798">
        <v>3827.2001030795</v>
      </c>
      <c r="Q613" s="1799">
        <v>31.4</v>
      </c>
      <c r="R613" s="1800">
        <v>1421.8132530120481</v>
      </c>
      <c r="S613" s="1800">
        <v>1549.3028445883442</v>
      </c>
      <c r="T613" s="1800">
        <v>3566.9015170882326</v>
      </c>
      <c r="U613" s="1801">
        <v>57013.477644633429</v>
      </c>
      <c r="V613" s="1802">
        <v>16624.71169246942</v>
      </c>
      <c r="W613" s="1802">
        <v>817.85852338616155</v>
      </c>
      <c r="X613" s="1794">
        <v>0.77610000000000001</v>
      </c>
      <c r="AI613" s="1878" t="s">
        <v>4</v>
      </c>
      <c r="AJ613" s="1827">
        <v>2009</v>
      </c>
      <c r="AK613" s="1822" t="s">
        <v>25</v>
      </c>
      <c r="AL613" s="1822">
        <v>10</v>
      </c>
      <c r="AM613" s="1823">
        <v>111679785.52000001</v>
      </c>
      <c r="AN613" s="1824">
        <v>1.1190828512947193E-2</v>
      </c>
      <c r="AO613" s="1822"/>
      <c r="AP613" s="1905" t="s">
        <v>2</v>
      </c>
      <c r="AQ613" s="1905" t="s">
        <v>504</v>
      </c>
      <c r="AR613" s="1822" t="s">
        <v>18</v>
      </c>
      <c r="AS613" s="1822">
        <v>1</v>
      </c>
      <c r="AT613" s="1891">
        <v>42923552957.242661</v>
      </c>
      <c r="AU613" s="1825">
        <v>0.7894723012368795</v>
      </c>
      <c r="AV613" s="1822">
        <v>2014</v>
      </c>
      <c r="EA613" s="169"/>
      <c r="EB613" s="169"/>
      <c r="EC613" s="169"/>
      <c r="ED613" s="169"/>
      <c r="EE613" s="169"/>
      <c r="EF613" s="169"/>
      <c r="EG613" s="169"/>
      <c r="EH613" s="169"/>
      <c r="EI613" s="169"/>
      <c r="EJ613" s="169"/>
      <c r="EK613" s="169"/>
      <c r="EL613" s="169"/>
      <c r="EM613" s="169"/>
      <c r="EN613" s="169"/>
      <c r="EO613" s="169"/>
      <c r="EP613" s="169"/>
      <c r="EQ613" s="169"/>
      <c r="ER613" s="169"/>
      <c r="ES613" s="169"/>
      <c r="ET613" s="169"/>
      <c r="EU613" s="169"/>
      <c r="EV613" s="169"/>
      <c r="EW613" s="169"/>
      <c r="EX613" s="169"/>
    </row>
    <row r="614" spans="1:154">
      <c r="A614" s="333">
        <f t="shared" si="19"/>
        <v>2021</v>
      </c>
      <c r="B614" s="333">
        <f t="shared" si="20"/>
        <v>2</v>
      </c>
      <c r="C614" s="1175">
        <v>44348</v>
      </c>
      <c r="D614" s="1793">
        <v>383.24303772598245</v>
      </c>
      <c r="E614" s="1793">
        <v>2409.0100000000002</v>
      </c>
      <c r="F614" s="1793">
        <v>1834.57</v>
      </c>
      <c r="G614" s="1793">
        <v>214.61</v>
      </c>
      <c r="H614" s="1793">
        <v>280.93991360125671</v>
      </c>
      <c r="I614" s="1784">
        <v>184.411363636364</v>
      </c>
      <c r="J614" s="1803">
        <v>241.40772828428328</v>
      </c>
      <c r="K614" s="1784">
        <v>17943.23</v>
      </c>
      <c r="L614" s="1793">
        <v>23488.977614871055</v>
      </c>
      <c r="M614" s="1793">
        <v>73.760000000000005</v>
      </c>
      <c r="N614" s="1793">
        <v>12550.92289566697</v>
      </c>
      <c r="O614" s="1793">
        <v>2865.5321377143605</v>
      </c>
      <c r="P614" s="1793">
        <v>3861.8536457651526</v>
      </c>
      <c r="Q614" s="1793">
        <v>32.200000000000003</v>
      </c>
      <c r="R614" s="1793">
        <v>1421.8132530120481</v>
      </c>
      <c r="S614" s="1793">
        <v>1773.6919422620135</v>
      </c>
      <c r="T614" s="1793">
        <v>3684.4856798233413</v>
      </c>
      <c r="U614" s="1793">
        <v>57765.7677706506</v>
      </c>
      <c r="V614" s="1793">
        <v>17944.177922479594</v>
      </c>
      <c r="W614" s="1793">
        <v>869.60335122398214</v>
      </c>
      <c r="X614" s="1655">
        <v>0.76390000000000002</v>
      </c>
      <c r="AI614" s="1878" t="s">
        <v>4</v>
      </c>
      <c r="AJ614" s="1827">
        <v>2009</v>
      </c>
      <c r="AK614" s="1822" t="s">
        <v>39</v>
      </c>
      <c r="AL614" s="1822"/>
      <c r="AM614" s="1823">
        <v>245053295.86999702</v>
      </c>
      <c r="AN614" s="1824">
        <v>2.455546809876831E-2</v>
      </c>
      <c r="AO614" s="1822"/>
      <c r="AP614" s="1905" t="s">
        <v>2</v>
      </c>
      <c r="AQ614" s="1905" t="s">
        <v>504</v>
      </c>
      <c r="AR614" s="1822" t="s">
        <v>23</v>
      </c>
      <c r="AS614" s="1822">
        <v>2</v>
      </c>
      <c r="AT614" s="1891">
        <v>6107351979.1707363</v>
      </c>
      <c r="AU614" s="1825">
        <v>0.1123295927124776</v>
      </c>
      <c r="AV614" s="1822">
        <v>2014</v>
      </c>
      <c r="EA614" s="169"/>
      <c r="EB614" s="169"/>
      <c r="EC614" s="169"/>
      <c r="ED614" s="169"/>
      <c r="EE614" s="169"/>
      <c r="EF614" s="169"/>
      <c r="EG614" s="169"/>
      <c r="EH614" s="169"/>
      <c r="EI614" s="169"/>
      <c r="EJ614" s="169"/>
      <c r="EK614" s="169"/>
      <c r="EL614" s="169"/>
      <c r="EM614" s="169"/>
      <c r="EN614" s="169"/>
      <c r="EO614" s="169"/>
      <c r="EP614" s="169"/>
      <c r="EQ614" s="169"/>
      <c r="ER614" s="169"/>
      <c r="ES614" s="169"/>
      <c r="ET614" s="169"/>
      <c r="EU614" s="169"/>
      <c r="EV614" s="169"/>
      <c r="EW614" s="169"/>
      <c r="EX614" s="169"/>
    </row>
    <row r="615" spans="1:154">
      <c r="A615" s="333">
        <f t="shared" si="19"/>
        <v>1900</v>
      </c>
      <c r="B615" s="333">
        <f t="shared" si="20"/>
        <v>1</v>
      </c>
      <c r="C615" s="6"/>
      <c r="G615" s="1610"/>
      <c r="H615" s="1610"/>
      <c r="I615" s="1610"/>
      <c r="J615" s="1609"/>
      <c r="K615" s="1680"/>
      <c r="AI615" s="1878" t="s">
        <v>4</v>
      </c>
      <c r="AJ615" s="1827">
        <v>2009</v>
      </c>
      <c r="AK615" s="1822" t="s">
        <v>386</v>
      </c>
      <c r="AL615" s="1822"/>
      <c r="AM615" s="1823">
        <v>9979581528.8200016</v>
      </c>
      <c r="AN615" s="1824"/>
      <c r="AO615" s="1822"/>
      <c r="AP615" s="1905" t="s">
        <v>2</v>
      </c>
      <c r="AQ615" s="1905" t="s">
        <v>504</v>
      </c>
      <c r="AR615" s="1822" t="s">
        <v>24</v>
      </c>
      <c r="AS615" s="1822">
        <v>3</v>
      </c>
      <c r="AT615" s="1891">
        <v>3728621644.7344747</v>
      </c>
      <c r="AU615" s="1825">
        <v>6.8578747738855847E-2</v>
      </c>
      <c r="AV615" s="1822">
        <v>2014</v>
      </c>
      <c r="EA615" s="169"/>
      <c r="EB615" s="169"/>
      <c r="EC615" s="169"/>
      <c r="ED615" s="169"/>
      <c r="EE615" s="169"/>
      <c r="EF615" s="169"/>
      <c r="EG615" s="169"/>
      <c r="EH615" s="169"/>
      <c r="EI615" s="169"/>
      <c r="EJ615" s="169"/>
      <c r="EK615" s="169"/>
      <c r="EL615" s="169"/>
      <c r="EM615" s="169"/>
      <c r="EN615" s="169"/>
      <c r="EO615" s="169"/>
      <c r="EP615" s="169"/>
      <c r="EQ615" s="169"/>
      <c r="ER615" s="169"/>
      <c r="ES615" s="169"/>
      <c r="ET615" s="169"/>
      <c r="EU615" s="169"/>
      <c r="EV615" s="169"/>
      <c r="EW615" s="169"/>
      <c r="EX615" s="169"/>
    </row>
    <row r="616" spans="1:154">
      <c r="A616" s="333">
        <f t="shared" si="19"/>
        <v>1900</v>
      </c>
      <c r="B616" s="333">
        <f t="shared" si="20"/>
        <v>1</v>
      </c>
      <c r="C616" s="6"/>
      <c r="I616" s="1610"/>
      <c r="J616" s="1609"/>
      <c r="K616" s="1680"/>
      <c r="AI616" s="1878" t="s">
        <v>4</v>
      </c>
      <c r="AJ616" s="1827">
        <v>2008</v>
      </c>
      <c r="AK616" s="1822" t="s">
        <v>23</v>
      </c>
      <c r="AL616" s="1822">
        <v>1</v>
      </c>
      <c r="AM616" s="1823">
        <v>7689296422.5899925</v>
      </c>
      <c r="AN616" s="1824">
        <v>0.59272203080613262</v>
      </c>
      <c r="AO616" s="1822"/>
      <c r="AP616" s="1905" t="s">
        <v>2</v>
      </c>
      <c r="AQ616" s="1905" t="s">
        <v>504</v>
      </c>
      <c r="AR616" s="1822" t="s">
        <v>537</v>
      </c>
      <c r="AS616" s="1822">
        <v>4</v>
      </c>
      <c r="AT616" s="1891">
        <v>1231981920.7978566</v>
      </c>
      <c r="AU616" s="1825">
        <v>2.2659251974396531E-2</v>
      </c>
      <c r="AV616" s="1822">
        <v>2014</v>
      </c>
      <c r="EA616" s="169"/>
      <c r="EB616" s="169"/>
      <c r="EC616" s="169"/>
      <c r="ED616" s="169"/>
      <c r="EE616" s="169"/>
      <c r="EF616" s="169"/>
      <c r="EG616" s="169"/>
      <c r="EH616" s="169"/>
      <c r="EI616" s="169"/>
      <c r="EJ616" s="169"/>
      <c r="EK616" s="169"/>
      <c r="EL616" s="169"/>
      <c r="EM616" s="169"/>
      <c r="EN616" s="169"/>
      <c r="EO616" s="169"/>
      <c r="EP616" s="169"/>
      <c r="EQ616" s="169"/>
      <c r="ER616" s="169"/>
      <c r="ES616" s="169"/>
      <c r="ET616" s="169"/>
      <c r="EU616" s="169"/>
      <c r="EV616" s="169"/>
      <c r="EW616" s="169"/>
      <c r="EX616" s="169"/>
    </row>
    <row r="617" spans="1:154">
      <c r="A617" s="333">
        <f t="shared" si="19"/>
        <v>1900</v>
      </c>
      <c r="B617" s="333">
        <f t="shared" si="20"/>
        <v>1</v>
      </c>
      <c r="C617" s="6"/>
      <c r="I617" s="1610"/>
      <c r="J617" s="1609"/>
      <c r="K617" s="1680"/>
      <c r="AI617" s="1878" t="s">
        <v>4</v>
      </c>
      <c r="AJ617" s="1827">
        <v>2008</v>
      </c>
      <c r="AK617" s="1822" t="s">
        <v>61</v>
      </c>
      <c r="AL617" s="1822">
        <v>2</v>
      </c>
      <c r="AM617" s="1823">
        <v>1386728353.9400005</v>
      </c>
      <c r="AN617" s="1824">
        <v>0.10689462350664669</v>
      </c>
      <c r="AO617" s="1822"/>
      <c r="AP617" s="1905" t="s">
        <v>2</v>
      </c>
      <c r="AQ617" s="1905" t="s">
        <v>504</v>
      </c>
      <c r="AR617" s="1822" t="s">
        <v>22</v>
      </c>
      <c r="AS617" s="1822">
        <v>5</v>
      </c>
      <c r="AT617" s="1891">
        <v>192493931.61318237</v>
      </c>
      <c r="AU617" s="1825">
        <v>3.5404484646500197E-3</v>
      </c>
      <c r="AV617" s="1822">
        <v>2014</v>
      </c>
      <c r="EA617" s="169"/>
      <c r="EB617" s="169"/>
      <c r="EC617" s="169"/>
      <c r="ED617" s="169"/>
      <c r="EE617" s="169"/>
      <c r="EF617" s="169"/>
      <c r="EG617" s="169"/>
      <c r="EH617" s="169"/>
      <c r="EI617" s="169"/>
      <c r="EJ617" s="169"/>
      <c r="EK617" s="169"/>
      <c r="EL617" s="169"/>
      <c r="EM617" s="169"/>
      <c r="EN617" s="169"/>
      <c r="EO617" s="169"/>
      <c r="EP617" s="169"/>
      <c r="EQ617" s="169"/>
      <c r="ER617" s="169"/>
      <c r="ES617" s="169"/>
      <c r="ET617" s="169"/>
      <c r="EU617" s="169"/>
      <c r="EV617" s="169"/>
      <c r="EW617" s="169"/>
      <c r="EX617" s="169"/>
    </row>
    <row r="618" spans="1:154">
      <c r="A618" s="333">
        <f t="shared" si="19"/>
        <v>1900</v>
      </c>
      <c r="B618" s="333">
        <f t="shared" si="20"/>
        <v>1</v>
      </c>
      <c r="C618" s="6"/>
      <c r="I618" s="1610"/>
      <c r="J618" s="1609"/>
      <c r="K618" s="1680"/>
      <c r="AI618" s="1878" t="s">
        <v>4</v>
      </c>
      <c r="AJ618" s="1827">
        <v>2008</v>
      </c>
      <c r="AK618" s="1822" t="s">
        <v>24</v>
      </c>
      <c r="AL618" s="1822">
        <v>3</v>
      </c>
      <c r="AM618" s="1823">
        <v>1369947130.47</v>
      </c>
      <c r="AN618" s="1824">
        <v>0.10560105901024769</v>
      </c>
      <c r="AO618" s="1822"/>
      <c r="AP618" s="1905" t="s">
        <v>2</v>
      </c>
      <c r="AQ618" s="1905" t="s">
        <v>504</v>
      </c>
      <c r="AR618" s="1822" t="s">
        <v>39</v>
      </c>
      <c r="AS618" s="1822"/>
      <c r="AT618" s="1891">
        <v>185926555.70849308</v>
      </c>
      <c r="AU618" s="1825">
        <v>3.419657872740553E-3</v>
      </c>
      <c r="AV618" s="1822">
        <v>2014</v>
      </c>
      <c r="EA618" s="169"/>
      <c r="EB618" s="169"/>
      <c r="EC618" s="169"/>
      <c r="ED618" s="169"/>
      <c r="EE618" s="169"/>
      <c r="EF618" s="169"/>
      <c r="EG618" s="169"/>
      <c r="EH618" s="169"/>
      <c r="EI618" s="169"/>
      <c r="EJ618" s="169"/>
      <c r="EK618" s="169"/>
      <c r="EL618" s="169"/>
      <c r="EM618" s="169"/>
      <c r="EN618" s="169"/>
      <c r="EO618" s="169"/>
      <c r="EP618" s="169"/>
      <c r="EQ618" s="169"/>
      <c r="ER618" s="169"/>
      <c r="ES618" s="169"/>
      <c r="ET618" s="169"/>
      <c r="EU618" s="169"/>
      <c r="EV618" s="169"/>
      <c r="EW618" s="169"/>
      <c r="EX618" s="169"/>
    </row>
    <row r="619" spans="1:154">
      <c r="A619" s="333">
        <f t="shared" si="19"/>
        <v>1900</v>
      </c>
      <c r="B619" s="333">
        <f t="shared" si="20"/>
        <v>1</v>
      </c>
      <c r="C619" s="6"/>
      <c r="I619" s="1610"/>
      <c r="J619" s="1609"/>
      <c r="K619" s="1680"/>
      <c r="AI619" s="1878" t="s">
        <v>4</v>
      </c>
      <c r="AJ619" s="1827">
        <v>2008</v>
      </c>
      <c r="AK619" s="1822" t="s">
        <v>18</v>
      </c>
      <c r="AL619" s="1822">
        <v>4</v>
      </c>
      <c r="AM619" s="1823">
        <v>855348594.64000022</v>
      </c>
      <c r="AN619" s="1824">
        <v>6.5933725037930657E-2</v>
      </c>
      <c r="AO619" s="1822"/>
      <c r="AP619" s="1905" t="s">
        <v>2</v>
      </c>
      <c r="AQ619" s="1905" t="s">
        <v>504</v>
      </c>
      <c r="AR619" s="1822" t="s">
        <v>386</v>
      </c>
      <c r="AS619" s="1822"/>
      <c r="AT619" s="1891">
        <v>54369928989.267403</v>
      </c>
      <c r="AU619" s="1825"/>
      <c r="AV619" s="1822">
        <v>2014</v>
      </c>
      <c r="EA619" s="169"/>
      <c r="EB619" s="169"/>
      <c r="EC619" s="169"/>
      <c r="ED619" s="169"/>
      <c r="EE619" s="169"/>
      <c r="EF619" s="169"/>
      <c r="EG619" s="169"/>
      <c r="EH619" s="169"/>
      <c r="EI619" s="169"/>
      <c r="EJ619" s="169"/>
      <c r="EK619" s="169"/>
      <c r="EL619" s="169"/>
      <c r="EM619" s="169"/>
      <c r="EN619" s="169"/>
      <c r="EO619" s="169"/>
      <c r="EP619" s="169"/>
      <c r="EQ619" s="169"/>
      <c r="ER619" s="169"/>
      <c r="ES619" s="169"/>
      <c r="ET619" s="169"/>
      <c r="EU619" s="169"/>
      <c r="EV619" s="169"/>
      <c r="EW619" s="169"/>
      <c r="EX619" s="169"/>
    </row>
    <row r="620" spans="1:154">
      <c r="A620" s="333">
        <f t="shared" si="19"/>
        <v>1900</v>
      </c>
      <c r="B620" s="333">
        <f t="shared" si="20"/>
        <v>1</v>
      </c>
      <c r="C620" s="6"/>
      <c r="I620" s="1610"/>
      <c r="J620" s="1609"/>
      <c r="K620" s="1680"/>
      <c r="AI620" s="1878" t="s">
        <v>4</v>
      </c>
      <c r="AJ620" s="1827">
        <v>2008</v>
      </c>
      <c r="AK620" s="1822" t="s">
        <v>33</v>
      </c>
      <c r="AL620" s="1822">
        <v>5</v>
      </c>
      <c r="AM620" s="1823">
        <v>592867349.92000008</v>
      </c>
      <c r="AN620" s="1824">
        <v>4.5700610345942187E-2</v>
      </c>
      <c r="AO620" s="1822"/>
      <c r="AP620" s="1905" t="s">
        <v>2</v>
      </c>
      <c r="AQ620" s="1905" t="s">
        <v>503</v>
      </c>
      <c r="AR620" s="1822" t="s">
        <v>18</v>
      </c>
      <c r="AS620" s="1822">
        <v>1</v>
      </c>
      <c r="AT620" s="1891">
        <v>49014730714.380302</v>
      </c>
      <c r="AU620" s="1825">
        <v>0.65372439248930869</v>
      </c>
      <c r="AV620" s="1822">
        <v>2013</v>
      </c>
      <c r="EA620" s="169"/>
      <c r="EB620" s="169"/>
      <c r="EC620" s="169"/>
      <c r="ED620" s="169"/>
      <c r="EE620" s="169"/>
      <c r="EF620" s="169"/>
      <c r="EG620" s="169"/>
      <c r="EH620" s="169"/>
      <c r="EI620" s="169"/>
      <c r="EJ620" s="169"/>
      <c r="EK620" s="169"/>
      <c r="EL620" s="169"/>
      <c r="EM620" s="169"/>
      <c r="EN620" s="169"/>
      <c r="EO620" s="169"/>
      <c r="EP620" s="169"/>
      <c r="EQ620" s="169"/>
      <c r="ER620" s="169"/>
      <c r="ES620" s="169"/>
      <c r="ET620" s="169"/>
      <c r="EU620" s="169"/>
      <c r="EV620" s="169"/>
      <c r="EW620" s="169"/>
      <c r="EX620" s="169"/>
    </row>
    <row r="621" spans="1:154">
      <c r="A621" s="333">
        <f t="shared" si="19"/>
        <v>1900</v>
      </c>
      <c r="B621" s="333">
        <f t="shared" si="20"/>
        <v>1</v>
      </c>
      <c r="C621" s="6"/>
      <c r="I621" s="1610"/>
      <c r="J621" s="1609"/>
      <c r="K621" s="1680"/>
      <c r="AI621" s="1878" t="s">
        <v>4</v>
      </c>
      <c r="AJ621" s="1827">
        <v>2008</v>
      </c>
      <c r="AK621" s="1822" t="s">
        <v>28</v>
      </c>
      <c r="AL621" s="1822">
        <v>6</v>
      </c>
      <c r="AM621" s="1823">
        <v>224188668.60000002</v>
      </c>
      <c r="AN621" s="1824">
        <v>1.7281368233630464E-2</v>
      </c>
      <c r="AO621" s="1822"/>
      <c r="AP621" s="1905" t="s">
        <v>2</v>
      </c>
      <c r="AQ621" s="1905" t="s">
        <v>503</v>
      </c>
      <c r="AR621" s="1822" t="s">
        <v>23</v>
      </c>
      <c r="AS621" s="1822">
        <v>2</v>
      </c>
      <c r="AT621" s="1891">
        <v>10956237957.531624</v>
      </c>
      <c r="AU621" s="1825">
        <v>0.14612668270060125</v>
      </c>
      <c r="AV621" s="1822">
        <v>2013</v>
      </c>
      <c r="EA621" s="169"/>
      <c r="EB621" s="169"/>
      <c r="EC621" s="169"/>
      <c r="ED621" s="169"/>
      <c r="EE621" s="169"/>
      <c r="EF621" s="169"/>
      <c r="EG621" s="169"/>
      <c r="EH621" s="169"/>
      <c r="EI621" s="169"/>
      <c r="EJ621" s="169"/>
      <c r="EK621" s="169"/>
      <c r="EL621" s="169"/>
      <c r="EM621" s="169"/>
      <c r="EN621" s="169"/>
      <c r="EO621" s="169"/>
      <c r="EP621" s="169"/>
      <c r="EQ621" s="169"/>
      <c r="ER621" s="169"/>
      <c r="ES621" s="169"/>
      <c r="ET621" s="169"/>
      <c r="EU621" s="169"/>
      <c r="EV621" s="169"/>
      <c r="EW621" s="169"/>
      <c r="EX621" s="169"/>
    </row>
    <row r="622" spans="1:154">
      <c r="A622" s="333">
        <f t="shared" si="19"/>
        <v>1900</v>
      </c>
      <c r="B622" s="333">
        <f t="shared" si="20"/>
        <v>1</v>
      </c>
      <c r="C622" s="6"/>
      <c r="I622" s="1610"/>
      <c r="J622" s="1609"/>
      <c r="K622" s="1680"/>
      <c r="AI622" s="1878" t="s">
        <v>4</v>
      </c>
      <c r="AJ622" s="1827">
        <v>2008</v>
      </c>
      <c r="AK622" s="1822" t="s">
        <v>537</v>
      </c>
      <c r="AL622" s="1822">
        <v>7</v>
      </c>
      <c r="AM622" s="1823">
        <v>206714278.58000001</v>
      </c>
      <c r="AN622" s="1824">
        <v>1.5934371659363386E-2</v>
      </c>
      <c r="AO622" s="1822"/>
      <c r="AP622" s="1905" t="s">
        <v>2</v>
      </c>
      <c r="AQ622" s="1905" t="s">
        <v>503</v>
      </c>
      <c r="AR622" s="1822" t="s">
        <v>24</v>
      </c>
      <c r="AS622" s="1822">
        <v>3</v>
      </c>
      <c r="AT622" s="1891">
        <v>5237371639.0353251</v>
      </c>
      <c r="AU622" s="1825">
        <v>6.9852420753269667E-2</v>
      </c>
      <c r="AV622" s="1822">
        <v>2013</v>
      </c>
      <c r="EA622" s="169"/>
      <c r="EB622" s="169"/>
      <c r="EC622" s="169"/>
      <c r="ED622" s="169"/>
      <c r="EE622" s="169"/>
      <c r="EF622" s="169"/>
      <c r="EG622" s="169"/>
      <c r="EH622" s="169"/>
      <c r="EI622" s="169"/>
      <c r="EJ622" s="169"/>
      <c r="EK622" s="169"/>
      <c r="EL622" s="169"/>
      <c r="EM622" s="169"/>
      <c r="EN622" s="169"/>
      <c r="EO622" s="169"/>
      <c r="EP622" s="169"/>
      <c r="EQ622" s="169"/>
      <c r="ER622" s="169"/>
      <c r="ES622" s="169"/>
      <c r="ET622" s="169"/>
      <c r="EU622" s="169"/>
      <c r="EV622" s="169"/>
      <c r="EW622" s="169"/>
      <c r="EX622" s="169"/>
    </row>
    <row r="623" spans="1:154">
      <c r="A623" s="333">
        <f t="shared" si="19"/>
        <v>1900</v>
      </c>
      <c r="B623" s="333">
        <f t="shared" si="20"/>
        <v>1</v>
      </c>
      <c r="C623" s="6"/>
      <c r="I623" s="1610"/>
      <c r="J623" s="1610"/>
      <c r="K623" s="1680"/>
      <c r="AI623" s="1878" t="s">
        <v>4</v>
      </c>
      <c r="AJ623" s="1827">
        <v>2008</v>
      </c>
      <c r="AK623" s="1822" t="s">
        <v>758</v>
      </c>
      <c r="AL623" s="1822">
        <v>8</v>
      </c>
      <c r="AM623" s="1823">
        <v>192480190.47</v>
      </c>
      <c r="AN623" s="1824">
        <v>1.4837150646209774E-2</v>
      </c>
      <c r="AO623" s="1822"/>
      <c r="AP623" s="1905" t="s">
        <v>2</v>
      </c>
      <c r="AQ623" s="1905" t="s">
        <v>503</v>
      </c>
      <c r="AR623" s="1822" t="s">
        <v>537</v>
      </c>
      <c r="AS623" s="1822">
        <v>4</v>
      </c>
      <c r="AT623" s="1891">
        <v>1952610827.1688156</v>
      </c>
      <c r="AU623" s="1825">
        <v>2.6042565329946421E-2</v>
      </c>
      <c r="AV623" s="1822">
        <v>2013</v>
      </c>
      <c r="EA623" s="169"/>
      <c r="EB623" s="169"/>
      <c r="EC623" s="169"/>
      <c r="ED623" s="169"/>
      <c r="EE623" s="169"/>
      <c r="EF623" s="169"/>
      <c r="EG623" s="169"/>
      <c r="EH623" s="169"/>
      <c r="EI623" s="169"/>
      <c r="EJ623" s="169"/>
      <c r="EK623" s="169"/>
      <c r="EL623" s="169"/>
      <c r="EM623" s="169"/>
      <c r="EN623" s="169"/>
      <c r="EO623" s="169"/>
      <c r="EP623" s="169"/>
      <c r="EQ623" s="169"/>
      <c r="ER623" s="169"/>
      <c r="ES623" s="169"/>
      <c r="ET623" s="169"/>
      <c r="EU623" s="169"/>
      <c r="EV623" s="169"/>
      <c r="EW623" s="169"/>
      <c r="EX623" s="169"/>
    </row>
    <row r="624" spans="1:154">
      <c r="A624" s="333">
        <f t="shared" si="19"/>
        <v>1900</v>
      </c>
      <c r="B624" s="333">
        <f t="shared" si="20"/>
        <v>1</v>
      </c>
      <c r="C624" s="6"/>
      <c r="I624" s="1610"/>
      <c r="J624" s="1610"/>
      <c r="K624" s="1680"/>
      <c r="AI624" s="1878" t="s">
        <v>4</v>
      </c>
      <c r="AJ624" s="1827">
        <v>2008</v>
      </c>
      <c r="AK624" s="1822" t="s">
        <v>125</v>
      </c>
      <c r="AL624" s="1822">
        <v>9</v>
      </c>
      <c r="AM624" s="1823">
        <v>155580477.22999999</v>
      </c>
      <c r="AN624" s="1824">
        <v>1.1992771685408854E-2</v>
      </c>
      <c r="AO624" s="1822"/>
      <c r="AP624" s="1905" t="s">
        <v>2</v>
      </c>
      <c r="AQ624" s="1905" t="s">
        <v>503</v>
      </c>
      <c r="AR624" s="1822" t="s">
        <v>758</v>
      </c>
      <c r="AS624" s="1822">
        <v>5</v>
      </c>
      <c r="AT624" s="1891">
        <v>1122577092.247129</v>
      </c>
      <c r="AU624" s="1825">
        <v>1.4972152594859916E-2</v>
      </c>
      <c r="AV624" s="1822">
        <v>2013</v>
      </c>
      <c r="EA624" s="169"/>
      <c r="EB624" s="169"/>
      <c r="EC624" s="169"/>
      <c r="ED624" s="169"/>
      <c r="EE624" s="169"/>
      <c r="EF624" s="169"/>
      <c r="EG624" s="169"/>
      <c r="EH624" s="169"/>
      <c r="EI624" s="169"/>
      <c r="EJ624" s="169"/>
      <c r="EK624" s="169"/>
      <c r="EL624" s="169"/>
      <c r="EM624" s="169"/>
      <c r="EN624" s="169"/>
      <c r="EO624" s="169"/>
      <c r="EP624" s="169"/>
      <c r="EQ624" s="169"/>
      <c r="ER624" s="169"/>
      <c r="ES624" s="169"/>
      <c r="ET624" s="169"/>
      <c r="EU624" s="169"/>
      <c r="EV624" s="169"/>
      <c r="EW624" s="169"/>
      <c r="EX624" s="169"/>
    </row>
    <row r="625" spans="1:154">
      <c r="A625" s="333">
        <f t="shared" si="19"/>
        <v>1900</v>
      </c>
      <c r="B625" s="333">
        <f t="shared" si="20"/>
        <v>1</v>
      </c>
      <c r="C625" s="6"/>
      <c r="AI625" s="1878" t="s">
        <v>4</v>
      </c>
      <c r="AJ625" s="1827">
        <v>2008</v>
      </c>
      <c r="AK625" s="1822" t="s">
        <v>21</v>
      </c>
      <c r="AL625" s="1822">
        <v>10</v>
      </c>
      <c r="AM625" s="1823">
        <v>117731109.77</v>
      </c>
      <c r="AN625" s="1824">
        <v>9.0751895409995707E-3</v>
      </c>
      <c r="AO625" s="1822"/>
      <c r="AP625" s="1905" t="s">
        <v>2</v>
      </c>
      <c r="AQ625" s="1905" t="s">
        <v>503</v>
      </c>
      <c r="AR625" s="1822" t="s">
        <v>39</v>
      </c>
      <c r="AS625" s="1822"/>
      <c r="AT625" s="1891">
        <v>6694140153.3080044</v>
      </c>
      <c r="AU625" s="1825">
        <v>8.9281786132014054E-2</v>
      </c>
      <c r="AV625" s="1822">
        <v>2013</v>
      </c>
      <c r="EA625" s="169"/>
      <c r="EB625" s="169"/>
      <c r="EC625" s="169"/>
      <c r="ED625" s="169"/>
      <c r="EE625" s="169"/>
      <c r="EF625" s="169"/>
      <c r="EG625" s="169"/>
      <c r="EH625" s="169"/>
      <c r="EI625" s="169"/>
      <c r="EJ625" s="169"/>
      <c r="EK625" s="169"/>
      <c r="EL625" s="169"/>
      <c r="EM625" s="169"/>
      <c r="EN625" s="169"/>
      <c r="EO625" s="169"/>
      <c r="EP625" s="169"/>
      <c r="EQ625" s="169"/>
      <c r="ER625" s="169"/>
      <c r="ES625" s="169"/>
      <c r="ET625" s="169"/>
      <c r="EU625" s="169"/>
      <c r="EV625" s="169"/>
      <c r="EW625" s="169"/>
      <c r="EX625" s="169"/>
    </row>
    <row r="626" spans="1:154">
      <c r="A626" s="333">
        <f t="shared" si="19"/>
        <v>1900</v>
      </c>
      <c r="B626" s="333">
        <f t="shared" si="20"/>
        <v>1</v>
      </c>
      <c r="C626" s="6"/>
      <c r="AI626" s="1878" t="s">
        <v>4</v>
      </c>
      <c r="AJ626" s="1827">
        <v>2008</v>
      </c>
      <c r="AK626" s="1822" t="s">
        <v>39</v>
      </c>
      <c r="AL626" s="1822"/>
      <c r="AM626" s="1823">
        <v>181971515.5</v>
      </c>
      <c r="AN626" s="1824">
        <v>1.4027099527488309E-2</v>
      </c>
      <c r="AO626" s="1822"/>
      <c r="AP626" s="1905" t="s">
        <v>2</v>
      </c>
      <c r="AQ626" s="1905" t="s">
        <v>503</v>
      </c>
      <c r="AR626" s="1822" t="s">
        <v>386</v>
      </c>
      <c r="AS626" s="1822"/>
      <c r="AT626" s="1891">
        <v>74977668383.671204</v>
      </c>
      <c r="AU626" s="1825"/>
      <c r="AV626" s="1822">
        <v>2013</v>
      </c>
      <c r="EA626" s="169"/>
      <c r="EB626" s="169"/>
      <c r="EC626" s="169"/>
      <c r="ED626" s="169"/>
      <c r="EE626" s="169"/>
      <c r="EF626" s="169"/>
      <c r="EG626" s="169"/>
      <c r="EH626" s="169"/>
      <c r="EI626" s="169"/>
      <c r="EJ626" s="169"/>
      <c r="EK626" s="169"/>
      <c r="EL626" s="169"/>
      <c r="EM626" s="169"/>
      <c r="EN626" s="169"/>
      <c r="EO626" s="169"/>
      <c r="EP626" s="169"/>
      <c r="EQ626" s="169"/>
      <c r="ER626" s="169"/>
      <c r="ES626" s="169"/>
      <c r="ET626" s="169"/>
      <c r="EU626" s="169"/>
      <c r="EV626" s="169"/>
      <c r="EW626" s="169"/>
      <c r="EX626" s="169"/>
    </row>
    <row r="627" spans="1:154">
      <c r="A627" s="333">
        <f t="shared" si="19"/>
        <v>1900</v>
      </c>
      <c r="B627" s="333">
        <f t="shared" si="20"/>
        <v>1</v>
      </c>
      <c r="C627" s="6"/>
      <c r="AI627" s="1878" t="s">
        <v>4</v>
      </c>
      <c r="AJ627" s="1827">
        <v>2008</v>
      </c>
      <c r="AK627" s="1822" t="s">
        <v>386</v>
      </c>
      <c r="AL627" s="1822"/>
      <c r="AM627" s="1823">
        <v>12972854091.709991</v>
      </c>
      <c r="AN627" s="1824"/>
      <c r="AO627" s="1822"/>
      <c r="AP627" s="1905" t="s">
        <v>2</v>
      </c>
      <c r="AQ627" s="1822" t="s">
        <v>502</v>
      </c>
      <c r="AR627" s="1822" t="s">
        <v>18</v>
      </c>
      <c r="AS627" s="1907">
        <v>1</v>
      </c>
      <c r="AT627" s="1891">
        <v>41507439528.252579</v>
      </c>
      <c r="AU627" s="1825">
        <v>0.73192243194079032</v>
      </c>
      <c r="AV627" s="1822">
        <v>2012</v>
      </c>
      <c r="EA627" s="169"/>
      <c r="EB627" s="169"/>
      <c r="EC627" s="169"/>
      <c r="ED627" s="169"/>
      <c r="EE627" s="169"/>
      <c r="EF627" s="169"/>
      <c r="EG627" s="169"/>
      <c r="EH627" s="169"/>
      <c r="EI627" s="169"/>
      <c r="EJ627" s="169"/>
      <c r="EK627" s="169"/>
      <c r="EL627" s="169"/>
      <c r="EM627" s="169"/>
      <c r="EN627" s="169"/>
      <c r="EO627" s="169"/>
      <c r="EP627" s="169"/>
      <c r="EQ627" s="169"/>
      <c r="ER627" s="169"/>
      <c r="ES627" s="169"/>
      <c r="ET627" s="169"/>
      <c r="EU627" s="169"/>
      <c r="EV627" s="169"/>
      <c r="EW627" s="169"/>
      <c r="EX627" s="169"/>
    </row>
    <row r="628" spans="1:154">
      <c r="A628" s="333">
        <f t="shared" si="19"/>
        <v>1900</v>
      </c>
      <c r="B628" s="333">
        <f t="shared" si="20"/>
        <v>1</v>
      </c>
      <c r="C628" s="6"/>
      <c r="AI628" s="1878" t="s">
        <v>4</v>
      </c>
      <c r="AJ628" s="1827">
        <v>2007</v>
      </c>
      <c r="AK628" s="1822" t="s">
        <v>23</v>
      </c>
      <c r="AL628" s="1822">
        <v>1</v>
      </c>
      <c r="AM628" s="1823">
        <v>4499727895.9300003</v>
      </c>
      <c r="AN628" s="1824">
        <v>0.45126358876600725</v>
      </c>
      <c r="AO628" s="1822"/>
      <c r="AP628" s="1905" t="s">
        <v>2</v>
      </c>
      <c r="AQ628" s="1822" t="s">
        <v>502</v>
      </c>
      <c r="AR628" s="1822" t="s">
        <v>23</v>
      </c>
      <c r="AS628" s="1822">
        <v>2</v>
      </c>
      <c r="AT628" s="1891">
        <v>8441257893.429245</v>
      </c>
      <c r="AU628" s="1825">
        <v>0.14884912382496526</v>
      </c>
      <c r="AV628" s="1822">
        <v>2012</v>
      </c>
      <c r="EA628" s="169"/>
      <c r="EB628" s="169"/>
      <c r="EC628" s="169"/>
      <c r="ED628" s="169"/>
      <c r="EE628" s="169"/>
      <c r="EF628" s="169"/>
      <c r="EG628" s="169"/>
      <c r="EH628" s="169"/>
      <c r="EI628" s="169"/>
      <c r="EJ628" s="169"/>
      <c r="EK628" s="169"/>
      <c r="EL628" s="169"/>
      <c r="EM628" s="169"/>
      <c r="EN628" s="169"/>
      <c r="EO628" s="169"/>
      <c r="EP628" s="169"/>
      <c r="EQ628" s="169"/>
      <c r="ER628" s="169"/>
      <c r="ES628" s="169"/>
      <c r="ET628" s="169"/>
      <c r="EU628" s="169"/>
      <c r="EV628" s="169"/>
      <c r="EW628" s="169"/>
      <c r="EX628" s="169"/>
    </row>
    <row r="629" spans="1:154">
      <c r="A629" s="333">
        <f t="shared" si="19"/>
        <v>1900</v>
      </c>
      <c r="B629" s="333">
        <f t="shared" si="20"/>
        <v>1</v>
      </c>
      <c r="C629" s="6"/>
      <c r="AI629" s="1878" t="s">
        <v>4</v>
      </c>
      <c r="AJ629" s="1827">
        <v>2007</v>
      </c>
      <c r="AK629" s="1822" t="s">
        <v>24</v>
      </c>
      <c r="AL629" s="1822">
        <v>2</v>
      </c>
      <c r="AM629" s="1823">
        <v>2048579250.27</v>
      </c>
      <c r="AN629" s="1824">
        <v>0.20544558376176039</v>
      </c>
      <c r="AO629" s="1822"/>
      <c r="AP629" s="1905" t="s">
        <v>2</v>
      </c>
      <c r="AQ629" s="1822" t="s">
        <v>502</v>
      </c>
      <c r="AR629" s="1822" t="s">
        <v>24</v>
      </c>
      <c r="AS629" s="1822">
        <v>3</v>
      </c>
      <c r="AT629" s="1891">
        <v>4956212326.0423832</v>
      </c>
      <c r="AU629" s="1825">
        <v>8.7395489100760226E-2</v>
      </c>
      <c r="AV629" s="1822">
        <v>2012</v>
      </c>
      <c r="EA629" s="169"/>
      <c r="EB629" s="169"/>
      <c r="EC629" s="169"/>
      <c r="ED629" s="169"/>
      <c r="EE629" s="169"/>
      <c r="EF629" s="169"/>
      <c r="EG629" s="169"/>
      <c r="EH629" s="169"/>
      <c r="EI629" s="169"/>
      <c r="EJ629" s="169"/>
      <c r="EK629" s="169"/>
      <c r="EL629" s="169"/>
      <c r="EM629" s="169"/>
      <c r="EN629" s="169"/>
      <c r="EO629" s="169"/>
      <c r="EP629" s="169"/>
      <c r="EQ629" s="169"/>
      <c r="ER629" s="169"/>
      <c r="ES629" s="169"/>
      <c r="ET629" s="169"/>
      <c r="EU629" s="169"/>
      <c r="EV629" s="169"/>
      <c r="EW629" s="169"/>
      <c r="EX629" s="169"/>
    </row>
    <row r="630" spans="1:154">
      <c r="A630" s="333">
        <f t="shared" si="19"/>
        <v>1900</v>
      </c>
      <c r="B630" s="333">
        <f t="shared" si="20"/>
        <v>1</v>
      </c>
      <c r="C630" s="6"/>
      <c r="AI630" s="1878" t="s">
        <v>4</v>
      </c>
      <c r="AJ630" s="1827">
        <v>2007</v>
      </c>
      <c r="AK630" s="1822" t="s">
        <v>18</v>
      </c>
      <c r="AL630" s="1822">
        <v>3</v>
      </c>
      <c r="AM630" s="1823">
        <v>678326661.55999982</v>
      </c>
      <c r="AN630" s="1824">
        <v>6.8027252031862023E-2</v>
      </c>
      <c r="AO630" s="1822"/>
      <c r="AP630" s="1905" t="s">
        <v>2</v>
      </c>
      <c r="AQ630" s="1822" t="s">
        <v>502</v>
      </c>
      <c r="AR630" s="1822" t="s">
        <v>537</v>
      </c>
      <c r="AS630" s="1822">
        <v>4</v>
      </c>
      <c r="AT630" s="1891">
        <v>1518699067.1814537</v>
      </c>
      <c r="AU630" s="1825">
        <v>2.6780016480685464E-2</v>
      </c>
      <c r="AV630" s="1822">
        <v>2012</v>
      </c>
      <c r="EA630" s="169"/>
      <c r="EB630" s="169"/>
      <c r="EC630" s="169"/>
      <c r="ED630" s="169"/>
      <c r="EE630" s="169"/>
      <c r="EF630" s="169"/>
      <c r="EG630" s="169"/>
      <c r="EH630" s="169"/>
      <c r="EI630" s="169"/>
      <c r="EJ630" s="169"/>
      <c r="EK630" s="169"/>
      <c r="EL630" s="169"/>
      <c r="EM630" s="169"/>
      <c r="EN630" s="169"/>
      <c r="EO630" s="169"/>
      <c r="EP630" s="169"/>
      <c r="EQ630" s="169"/>
      <c r="ER630" s="169"/>
      <c r="ES630" s="169"/>
      <c r="ET630" s="169"/>
      <c r="EU630" s="169"/>
      <c r="EV630" s="169"/>
      <c r="EW630" s="169"/>
      <c r="EX630" s="169"/>
    </row>
    <row r="631" spans="1:154">
      <c r="A631" s="333">
        <f t="shared" si="19"/>
        <v>1900</v>
      </c>
      <c r="B631" s="333">
        <f t="shared" si="20"/>
        <v>1</v>
      </c>
      <c r="C631" s="6"/>
      <c r="AI631" s="1878" t="s">
        <v>4</v>
      </c>
      <c r="AJ631" s="1827">
        <v>2007</v>
      </c>
      <c r="AK631" s="1822" t="s">
        <v>61</v>
      </c>
      <c r="AL631" s="1822">
        <v>4</v>
      </c>
      <c r="AM631" s="1823">
        <v>666280634.88</v>
      </c>
      <c r="AN631" s="1824">
        <v>6.6819193821296766E-2</v>
      </c>
      <c r="AO631" s="1822"/>
      <c r="AP631" s="1905" t="s">
        <v>2</v>
      </c>
      <c r="AQ631" s="1822" t="s">
        <v>502</v>
      </c>
      <c r="AR631" s="1822" t="s">
        <v>758</v>
      </c>
      <c r="AS631" s="1822">
        <v>5</v>
      </c>
      <c r="AT631" s="1891">
        <v>44076354.093250401</v>
      </c>
      <c r="AU631" s="1825">
        <v>7.7722144862866647E-4</v>
      </c>
      <c r="AV631" s="1822">
        <v>2012</v>
      </c>
      <c r="EA631" s="169"/>
      <c r="EB631" s="169"/>
      <c r="EC631" s="169"/>
      <c r="ED631" s="169"/>
      <c r="EE631" s="169"/>
      <c r="EF631" s="169"/>
      <c r="EG631" s="169"/>
      <c r="EH631" s="169"/>
      <c r="EI631" s="169"/>
      <c r="EJ631" s="169"/>
      <c r="EK631" s="169"/>
      <c r="EL631" s="169"/>
      <c r="EM631" s="169"/>
      <c r="EN631" s="169"/>
      <c r="EO631" s="169"/>
      <c r="EP631" s="169"/>
      <c r="EQ631" s="169"/>
      <c r="ER631" s="169"/>
      <c r="ES631" s="169"/>
      <c r="ET631" s="169"/>
      <c r="EU631" s="169"/>
      <c r="EV631" s="169"/>
      <c r="EW631" s="169"/>
      <c r="EX631" s="169"/>
    </row>
    <row r="632" spans="1:154">
      <c r="A632" s="333">
        <f t="shared" si="19"/>
        <v>1900</v>
      </c>
      <c r="B632" s="333">
        <f t="shared" si="20"/>
        <v>1</v>
      </c>
      <c r="AI632" s="1878" t="s">
        <v>4</v>
      </c>
      <c r="AJ632" s="1827">
        <v>2007</v>
      </c>
      <c r="AK632" s="1822" t="s">
        <v>33</v>
      </c>
      <c r="AL632" s="1822">
        <v>5</v>
      </c>
      <c r="AM632" s="1823">
        <v>638197708.50999999</v>
      </c>
      <c r="AN632" s="1824">
        <v>6.4002845270923245E-2</v>
      </c>
      <c r="AO632" s="1822"/>
      <c r="AP632" s="1905" t="s">
        <v>2</v>
      </c>
      <c r="AQ632" s="1822" t="s">
        <v>502</v>
      </c>
      <c r="AR632" s="1822" t="s">
        <v>39</v>
      </c>
      <c r="AS632" s="1822"/>
      <c r="AT632" s="1891">
        <v>242476614.3884967</v>
      </c>
      <c r="AU632" s="1825">
        <v>4.2757172041700551E-3</v>
      </c>
      <c r="AV632" s="1822">
        <v>2012</v>
      </c>
      <c r="EA632" s="169"/>
      <c r="EB632" s="169"/>
      <c r="EC632" s="169"/>
      <c r="ED632" s="169"/>
      <c r="EE632" s="169"/>
      <c r="EF632" s="169"/>
      <c r="EG632" s="169"/>
      <c r="EH632" s="169"/>
      <c r="EI632" s="169"/>
      <c r="EJ632" s="169"/>
      <c r="EK632" s="169"/>
      <c r="EL632" s="169"/>
      <c r="EM632" s="169"/>
      <c r="EN632" s="169"/>
      <c r="EO632" s="169"/>
      <c r="EP632" s="169"/>
      <c r="EQ632" s="169"/>
      <c r="ER632" s="169"/>
      <c r="ES632" s="169"/>
      <c r="ET632" s="169"/>
      <c r="EU632" s="169"/>
      <c r="EV632" s="169"/>
      <c r="EW632" s="169"/>
      <c r="EX632" s="169"/>
    </row>
    <row r="633" spans="1:154">
      <c r="A633" s="333">
        <f t="shared" si="19"/>
        <v>1900</v>
      </c>
      <c r="B633" s="333">
        <f t="shared" si="20"/>
        <v>1</v>
      </c>
      <c r="AI633" s="1878" t="s">
        <v>4</v>
      </c>
      <c r="AJ633" s="1827">
        <v>2007</v>
      </c>
      <c r="AK633" s="1822" t="s">
        <v>125</v>
      </c>
      <c r="AL633" s="1822">
        <v>6</v>
      </c>
      <c r="AM633" s="1823">
        <v>436184095.39999998</v>
      </c>
      <c r="AN633" s="1824">
        <v>4.3743534010333075E-2</v>
      </c>
      <c r="AO633" s="1822"/>
      <c r="AP633" s="1905" t="s">
        <v>2</v>
      </c>
      <c r="AQ633" s="1822" t="s">
        <v>502</v>
      </c>
      <c r="AR633" s="1822" t="s">
        <v>386</v>
      </c>
      <c r="AS633" s="1822"/>
      <c r="AT633" s="1891">
        <v>56710161783.387405</v>
      </c>
      <c r="AU633" s="1825"/>
      <c r="AV633" s="1822">
        <v>2012</v>
      </c>
      <c r="EA633" s="169"/>
      <c r="EB633" s="169"/>
      <c r="EC633" s="169"/>
      <c r="ED633" s="169"/>
      <c r="EE633" s="169"/>
      <c r="EF633" s="169"/>
      <c r="EG633" s="169"/>
      <c r="EH633" s="169"/>
      <c r="EI633" s="169"/>
      <c r="EJ633" s="169"/>
      <c r="EK633" s="169"/>
      <c r="EL633" s="169"/>
      <c r="EM633" s="169"/>
      <c r="EN633" s="169"/>
      <c r="EO633" s="169"/>
      <c r="EP633" s="169"/>
      <c r="EQ633" s="169"/>
      <c r="ER633" s="169"/>
      <c r="ES633" s="169"/>
      <c r="ET633" s="169"/>
      <c r="EU633" s="169"/>
      <c r="EV633" s="169"/>
      <c r="EW633" s="169"/>
      <c r="EX633" s="169"/>
    </row>
    <row r="634" spans="1:154">
      <c r="A634" s="333">
        <f t="shared" si="19"/>
        <v>1900</v>
      </c>
      <c r="B634" s="333">
        <f t="shared" si="20"/>
        <v>1</v>
      </c>
      <c r="AI634" s="1878" t="s">
        <v>4</v>
      </c>
      <c r="AJ634" s="1827">
        <v>2007</v>
      </c>
      <c r="AK634" s="1822" t="s">
        <v>22</v>
      </c>
      <c r="AL634" s="1822">
        <v>7</v>
      </c>
      <c r="AM634" s="1823">
        <v>303777385.22000003</v>
      </c>
      <c r="AN634" s="1824">
        <v>3.0464880590740415E-2</v>
      </c>
      <c r="AO634" s="1822"/>
      <c r="AP634" s="1905" t="s">
        <v>2</v>
      </c>
      <c r="AQ634" s="1822" t="s">
        <v>501</v>
      </c>
      <c r="AR634" s="1822" t="s">
        <v>18</v>
      </c>
      <c r="AS634" s="1907">
        <v>1</v>
      </c>
      <c r="AT634" s="1908">
        <v>42198077215.796463</v>
      </c>
      <c r="AU634" s="1824">
        <v>0.69325972763464394</v>
      </c>
      <c r="AV634" s="1822">
        <v>2011</v>
      </c>
      <c r="EA634" s="169"/>
      <c r="EB634" s="169"/>
      <c r="EC634" s="169"/>
      <c r="ED634" s="169"/>
      <c r="EE634" s="169"/>
      <c r="EF634" s="169"/>
      <c r="EG634" s="169"/>
      <c r="EH634" s="169"/>
      <c r="EI634" s="169"/>
      <c r="EJ634" s="169"/>
      <c r="EK634" s="169"/>
      <c r="EL634" s="169"/>
      <c r="EM634" s="169"/>
      <c r="EN634" s="169"/>
      <c r="EO634" s="169"/>
      <c r="EP634" s="169"/>
      <c r="EQ634" s="169"/>
      <c r="ER634" s="169"/>
      <c r="ES634" s="169"/>
      <c r="ET634" s="169"/>
      <c r="EU634" s="169"/>
      <c r="EV634" s="169"/>
      <c r="EW634" s="169"/>
      <c r="EX634" s="169"/>
    </row>
    <row r="635" spans="1:154">
      <c r="A635" s="333">
        <f t="shared" si="19"/>
        <v>1900</v>
      </c>
      <c r="B635" s="333">
        <f t="shared" si="20"/>
        <v>1</v>
      </c>
      <c r="AI635" s="1878" t="s">
        <v>4</v>
      </c>
      <c r="AJ635" s="1827">
        <v>2007</v>
      </c>
      <c r="AK635" s="1822" t="s">
        <v>28</v>
      </c>
      <c r="AL635" s="1822">
        <v>8</v>
      </c>
      <c r="AM635" s="1823">
        <v>229810652.37000006</v>
      </c>
      <c r="AN635" s="1824">
        <v>2.3046989089928038E-2</v>
      </c>
      <c r="AO635" s="1822"/>
      <c r="AP635" s="1905" t="s">
        <v>2</v>
      </c>
      <c r="AQ635" s="1822" t="s">
        <v>501</v>
      </c>
      <c r="AR635" s="1822" t="s">
        <v>23</v>
      </c>
      <c r="AS635" s="1822">
        <v>2</v>
      </c>
      <c r="AT635" s="1908">
        <v>10399054315.637474</v>
      </c>
      <c r="AU635" s="1824">
        <v>0.1708429871259155</v>
      </c>
      <c r="AV635" s="1822">
        <v>2011</v>
      </c>
      <c r="EA635" s="169"/>
      <c r="EB635" s="169"/>
      <c r="EC635" s="169"/>
      <c r="ED635" s="169"/>
      <c r="EE635" s="169"/>
      <c r="EF635" s="169"/>
      <c r="EG635" s="169"/>
      <c r="EH635" s="169"/>
      <c r="EI635" s="169"/>
      <c r="EJ635" s="169"/>
      <c r="EK635" s="169"/>
      <c r="EL635" s="169"/>
      <c r="EM635" s="169"/>
      <c r="EN635" s="169"/>
      <c r="EO635" s="169"/>
      <c r="EP635" s="169"/>
      <c r="EQ635" s="169"/>
      <c r="ER635" s="169"/>
      <c r="ES635" s="169"/>
      <c r="ET635" s="169"/>
      <c r="EU635" s="169"/>
      <c r="EV635" s="169"/>
      <c r="EW635" s="169"/>
      <c r="EX635" s="169"/>
    </row>
    <row r="636" spans="1:154">
      <c r="A636" s="333">
        <f t="shared" si="19"/>
        <v>1900</v>
      </c>
      <c r="B636" s="333">
        <f t="shared" si="20"/>
        <v>1</v>
      </c>
      <c r="AI636" s="1878" t="s">
        <v>4</v>
      </c>
      <c r="AJ636" s="1827">
        <v>2007</v>
      </c>
      <c r="AK636" s="1822" t="s">
        <v>25</v>
      </c>
      <c r="AL636" s="1822">
        <v>9</v>
      </c>
      <c r="AM636" s="1823">
        <v>144629099.77000001</v>
      </c>
      <c r="AN636" s="1824">
        <v>1.450439851290564E-2</v>
      </c>
      <c r="AO636" s="1822"/>
      <c r="AP636" s="1905" t="s">
        <v>2</v>
      </c>
      <c r="AQ636" s="1822" t="s">
        <v>501</v>
      </c>
      <c r="AR636" s="1822" t="s">
        <v>24</v>
      </c>
      <c r="AS636" s="1822">
        <v>3</v>
      </c>
      <c r="AT636" s="1908">
        <v>6379743143.9624119</v>
      </c>
      <c r="AU636" s="1824">
        <v>0.104810912870379</v>
      </c>
      <c r="AV636" s="1822">
        <v>2011</v>
      </c>
      <c r="EA636" s="169"/>
      <c r="EB636" s="169"/>
      <c r="EC636" s="169"/>
      <c r="ED636" s="169"/>
      <c r="EE636" s="169"/>
      <c r="EF636" s="169"/>
      <c r="EG636" s="169"/>
      <c r="EH636" s="169"/>
      <c r="EI636" s="169"/>
      <c r="EJ636" s="169"/>
      <c r="EK636" s="169"/>
      <c r="EL636" s="169"/>
      <c r="EM636" s="169"/>
      <c r="EN636" s="169"/>
      <c r="EO636" s="169"/>
      <c r="EP636" s="169"/>
      <c r="EQ636" s="169"/>
      <c r="ER636" s="169"/>
      <c r="ES636" s="169"/>
      <c r="ET636" s="169"/>
      <c r="EU636" s="169"/>
      <c r="EV636" s="169"/>
      <c r="EW636" s="169"/>
      <c r="EX636" s="169"/>
    </row>
    <row r="637" spans="1:154">
      <c r="A637" s="333">
        <f t="shared" si="19"/>
        <v>1900</v>
      </c>
      <c r="B637" s="333">
        <f t="shared" si="20"/>
        <v>1</v>
      </c>
      <c r="AI637" s="1878" t="s">
        <v>4</v>
      </c>
      <c r="AJ637" s="1827">
        <v>2007</v>
      </c>
      <c r="AK637" s="1822" t="s">
        <v>758</v>
      </c>
      <c r="AL637" s="1822">
        <v>10</v>
      </c>
      <c r="AM637" s="1823">
        <v>136152981.06</v>
      </c>
      <c r="AN637" s="1824">
        <v>1.3654355168875663E-2</v>
      </c>
      <c r="AO637" s="1822"/>
      <c r="AP637" s="1905" t="s">
        <v>2</v>
      </c>
      <c r="AQ637" s="1822" t="s">
        <v>501</v>
      </c>
      <c r="AR637" s="1822" t="s">
        <v>537</v>
      </c>
      <c r="AS637" s="1822">
        <v>4</v>
      </c>
      <c r="AT637" s="1908">
        <v>1747417687.4970729</v>
      </c>
      <c r="AU637" s="1824">
        <v>2.8707808270579168E-2</v>
      </c>
      <c r="AV637" s="1822">
        <v>2011</v>
      </c>
      <c r="EA637" s="169"/>
      <c r="EB637" s="169"/>
      <c r="EC637" s="169"/>
      <c r="ED637" s="169"/>
      <c r="EE637" s="169"/>
      <c r="EF637" s="169"/>
      <c r="EG637" s="169"/>
      <c r="EH637" s="169"/>
      <c r="EI637" s="169"/>
      <c r="EJ637" s="169"/>
      <c r="EK637" s="169"/>
      <c r="EL637" s="169"/>
      <c r="EM637" s="169"/>
      <c r="EN637" s="169"/>
      <c r="EO637" s="169"/>
      <c r="EP637" s="169"/>
      <c r="EQ637" s="169"/>
      <c r="ER637" s="169"/>
      <c r="ES637" s="169"/>
      <c r="ET637" s="169"/>
      <c r="EU637" s="169"/>
      <c r="EV637" s="169"/>
      <c r="EW637" s="169"/>
      <c r="EX637" s="169"/>
    </row>
    <row r="638" spans="1:154">
      <c r="A638" s="333">
        <f t="shared" si="19"/>
        <v>1900</v>
      </c>
      <c r="B638" s="333">
        <f t="shared" si="20"/>
        <v>1</v>
      </c>
      <c r="AI638" s="1878" t="s">
        <v>4</v>
      </c>
      <c r="AJ638" s="1827">
        <v>2007</v>
      </c>
      <c r="AK638" s="1822" t="s">
        <v>39</v>
      </c>
      <c r="AL638" s="1822"/>
      <c r="AM638" s="1823">
        <v>189729528.57999802</v>
      </c>
      <c r="AN638" s="1824">
        <v>1.9027378975367392E-2</v>
      </c>
      <c r="AO638" s="1822"/>
      <c r="AP638" s="1905" t="s">
        <v>2</v>
      </c>
      <c r="AQ638" s="1822" t="s">
        <v>501</v>
      </c>
      <c r="AR638" s="1822" t="s">
        <v>27</v>
      </c>
      <c r="AS638" s="1822">
        <v>5</v>
      </c>
      <c r="AT638" s="1908">
        <v>83854138.601706073</v>
      </c>
      <c r="AU638" s="1824">
        <v>1.3776148375380238E-3</v>
      </c>
      <c r="AV638" s="1822">
        <v>2011</v>
      </c>
      <c r="EA638" s="169"/>
      <c r="EB638" s="169"/>
      <c r="EC638" s="169"/>
      <c r="ED638" s="169"/>
      <c r="EE638" s="169"/>
      <c r="EF638" s="169"/>
      <c r="EG638" s="169"/>
      <c r="EH638" s="169"/>
      <c r="EI638" s="169"/>
      <c r="EJ638" s="169"/>
      <c r="EK638" s="169"/>
      <c r="EL638" s="169"/>
      <c r="EM638" s="169"/>
      <c r="EN638" s="169"/>
      <c r="EO638" s="169"/>
      <c r="EP638" s="169"/>
      <c r="EQ638" s="169"/>
      <c r="ER638" s="169"/>
      <c r="ES638" s="169"/>
      <c r="ET638" s="169"/>
      <c r="EU638" s="169"/>
      <c r="EV638" s="169"/>
      <c r="EW638" s="169"/>
      <c r="EX638" s="169"/>
    </row>
    <row r="639" spans="1:154">
      <c r="A639" s="333">
        <f t="shared" si="19"/>
        <v>1900</v>
      </c>
      <c r="B639" s="333">
        <f t="shared" si="20"/>
        <v>1</v>
      </c>
      <c r="AI639" s="1878" t="s">
        <v>4</v>
      </c>
      <c r="AJ639" s="1827">
        <v>2007</v>
      </c>
      <c r="AK639" s="1822" t="s">
        <v>386</v>
      </c>
      <c r="AL639" s="1822"/>
      <c r="AM639" s="1823">
        <v>9971395893.5499992</v>
      </c>
      <c r="AN639" s="1824"/>
      <c r="AO639" s="1822"/>
      <c r="AP639" s="1905" t="s">
        <v>2</v>
      </c>
      <c r="AQ639" s="1822" t="s">
        <v>501</v>
      </c>
      <c r="AR639" s="1822" t="s">
        <v>39</v>
      </c>
      <c r="AS639" s="1822"/>
      <c r="AT639" s="1908">
        <v>60926853.989545316</v>
      </c>
      <c r="AU639" s="1824">
        <v>1.0009492609444404E-3</v>
      </c>
      <c r="AV639" s="1822">
        <v>2011</v>
      </c>
      <c r="EA639" s="169"/>
      <c r="EB639" s="169"/>
      <c r="EC639" s="169"/>
      <c r="ED639" s="169"/>
      <c r="EE639" s="169"/>
      <c r="EF639" s="169"/>
      <c r="EG639" s="169"/>
      <c r="EH639" s="169"/>
      <c r="EI639" s="169"/>
      <c r="EJ639" s="169"/>
      <c r="EK639" s="169"/>
      <c r="EL639" s="169"/>
      <c r="EM639" s="169"/>
      <c r="EN639" s="169"/>
      <c r="EO639" s="169"/>
      <c r="EP639" s="169"/>
      <c r="EQ639" s="169"/>
      <c r="ER639" s="169"/>
      <c r="ES639" s="169"/>
      <c r="ET639" s="169"/>
      <c r="EU639" s="169"/>
      <c r="EV639" s="169"/>
      <c r="EW639" s="169"/>
      <c r="EX639" s="169"/>
    </row>
    <row r="640" spans="1:154">
      <c r="A640" s="333">
        <f t="shared" si="19"/>
        <v>1900</v>
      </c>
      <c r="B640" s="333">
        <f t="shared" si="20"/>
        <v>1</v>
      </c>
      <c r="AI640" s="1878" t="s">
        <v>0</v>
      </c>
      <c r="AJ640" s="1827">
        <v>2016</v>
      </c>
      <c r="AK640" s="1822" t="s">
        <v>34</v>
      </c>
      <c r="AL640" s="1822">
        <v>1</v>
      </c>
      <c r="AM640" s="1891">
        <v>966122261.19000018</v>
      </c>
      <c r="AN640" s="1824">
        <v>0.21394147123030136</v>
      </c>
      <c r="AO640" s="1822"/>
      <c r="AP640" s="1905" t="s">
        <v>2</v>
      </c>
      <c r="AQ640" s="1822" t="s">
        <v>501</v>
      </c>
      <c r="AR640" s="1822" t="s">
        <v>386</v>
      </c>
      <c r="AS640" s="1822"/>
      <c r="AT640" s="1908">
        <v>60869073355.484673</v>
      </c>
      <c r="AU640" s="1825"/>
      <c r="AV640" s="1822">
        <v>2011</v>
      </c>
      <c r="EA640" s="169"/>
      <c r="EB640" s="169"/>
      <c r="EC640" s="169"/>
      <c r="ED640" s="169"/>
      <c r="EE640" s="169"/>
      <c r="EF640" s="169"/>
      <c r="EG640" s="169"/>
      <c r="EH640" s="169"/>
      <c r="EI640" s="169"/>
      <c r="EJ640" s="169"/>
      <c r="EK640" s="169"/>
      <c r="EL640" s="169"/>
      <c r="EM640" s="169"/>
      <c r="EN640" s="169"/>
      <c r="EO640" s="169"/>
      <c r="EP640" s="169"/>
      <c r="EQ640" s="169"/>
      <c r="ER640" s="169"/>
      <c r="ES640" s="169"/>
      <c r="ET640" s="169"/>
      <c r="EU640" s="169"/>
      <c r="EV640" s="169"/>
      <c r="EW640" s="169"/>
      <c r="EX640" s="169"/>
    </row>
    <row r="641" spans="1:154">
      <c r="A641" s="333">
        <f t="shared" si="19"/>
        <v>1900</v>
      </c>
      <c r="B641" s="333">
        <f t="shared" si="20"/>
        <v>1</v>
      </c>
      <c r="AI641" s="1878" t="s">
        <v>0</v>
      </c>
      <c r="AJ641" s="1827">
        <v>2016</v>
      </c>
      <c r="AK641" s="1822" t="s">
        <v>17</v>
      </c>
      <c r="AL641" s="1822">
        <v>2</v>
      </c>
      <c r="AM641" s="1891">
        <v>608194648.67000008</v>
      </c>
      <c r="AN641" s="1824">
        <v>0.13468073675332351</v>
      </c>
      <c r="AO641" s="1822"/>
      <c r="AP641" s="1905" t="s">
        <v>2</v>
      </c>
      <c r="AQ641" s="1822" t="s">
        <v>500</v>
      </c>
      <c r="AR641" s="1822" t="s">
        <v>18</v>
      </c>
      <c r="AS641" s="1822">
        <v>1</v>
      </c>
      <c r="AT641" s="1891">
        <v>39558337456.315392</v>
      </c>
      <c r="AU641" s="1825">
        <v>0.68252458418875683</v>
      </c>
      <c r="AV641" s="1822">
        <v>2010</v>
      </c>
      <c r="EA641" s="169"/>
      <c r="EB641" s="169"/>
      <c r="EC641" s="169"/>
      <c r="ED641" s="169"/>
      <c r="EE641" s="169"/>
      <c r="EF641" s="169"/>
      <c r="EG641" s="169"/>
      <c r="EH641" s="169"/>
      <c r="EI641" s="169"/>
      <c r="EJ641" s="169"/>
      <c r="EK641" s="169"/>
      <c r="EL641" s="169"/>
      <c r="EM641" s="169"/>
      <c r="EN641" s="169"/>
      <c r="EO641" s="169"/>
      <c r="EP641" s="169"/>
      <c r="EQ641" s="169"/>
      <c r="ER641" s="169"/>
      <c r="ES641" s="169"/>
      <c r="ET641" s="169"/>
      <c r="EU641" s="169"/>
      <c r="EV641" s="169"/>
      <c r="EW641" s="169"/>
      <c r="EX641" s="169"/>
    </row>
    <row r="642" spans="1:154">
      <c r="A642" s="333">
        <f t="shared" si="19"/>
        <v>1900</v>
      </c>
      <c r="B642" s="333">
        <f t="shared" si="20"/>
        <v>1</v>
      </c>
      <c r="AI642" s="1878" t="s">
        <v>0</v>
      </c>
      <c r="AJ642" s="1827">
        <v>2016</v>
      </c>
      <c r="AK642" s="1822" t="s">
        <v>26</v>
      </c>
      <c r="AL642" s="1822">
        <v>3</v>
      </c>
      <c r="AM642" s="1891">
        <v>384411897.37999988</v>
      </c>
      <c r="AN642" s="1824">
        <v>8.5125506561260098E-2</v>
      </c>
      <c r="AO642" s="1822"/>
      <c r="AP642" s="1905" t="s">
        <v>2</v>
      </c>
      <c r="AQ642" s="1822" t="s">
        <v>500</v>
      </c>
      <c r="AR642" s="1822" t="s">
        <v>23</v>
      </c>
      <c r="AS642" s="1822">
        <v>2</v>
      </c>
      <c r="AT642" s="1891">
        <v>10347639130.988295</v>
      </c>
      <c r="AU642" s="1825">
        <v>0.17853424965122189</v>
      </c>
      <c r="AV642" s="1822">
        <v>2010</v>
      </c>
      <c r="EA642" s="169"/>
      <c r="EB642" s="169"/>
      <c r="EC642" s="169"/>
      <c r="ED642" s="169"/>
      <c r="EE642" s="169"/>
      <c r="EF642" s="169"/>
      <c r="EG642" s="169"/>
      <c r="EH642" s="169"/>
      <c r="EI642" s="169"/>
      <c r="EJ642" s="169"/>
      <c r="EK642" s="169"/>
      <c r="EL642" s="169"/>
      <c r="EM642" s="169"/>
      <c r="EN642" s="169"/>
      <c r="EO642" s="169"/>
      <c r="EP642" s="169"/>
      <c r="EQ642" s="169"/>
      <c r="ER642" s="169"/>
      <c r="ES642" s="169"/>
      <c r="ET642" s="169"/>
      <c r="EU642" s="169"/>
      <c r="EV642" s="169"/>
      <c r="EW642" s="169"/>
      <c r="EX642" s="169"/>
    </row>
    <row r="643" spans="1:154">
      <c r="A643" s="333">
        <f t="shared" si="19"/>
        <v>1900</v>
      </c>
      <c r="B643" s="333">
        <f t="shared" si="20"/>
        <v>1</v>
      </c>
      <c r="AI643" s="1878" t="s">
        <v>0</v>
      </c>
      <c r="AJ643" s="1827">
        <v>2016</v>
      </c>
      <c r="AK643" s="1822" t="s">
        <v>32</v>
      </c>
      <c r="AL643" s="1822">
        <v>4</v>
      </c>
      <c r="AM643" s="1891">
        <v>373831019.82999992</v>
      </c>
      <c r="AN643" s="1824">
        <v>8.278244026324684E-2</v>
      </c>
      <c r="AO643" s="1822"/>
      <c r="AP643" s="1905" t="s">
        <v>2</v>
      </c>
      <c r="AQ643" s="1822" t="s">
        <v>500</v>
      </c>
      <c r="AR643" s="1822" t="s">
        <v>24</v>
      </c>
      <c r="AS643" s="1822">
        <v>3</v>
      </c>
      <c r="AT643" s="1891">
        <v>6017937682.9607887</v>
      </c>
      <c r="AU643" s="1825">
        <v>0.10383121938004823</v>
      </c>
      <c r="AV643" s="1822">
        <v>2010</v>
      </c>
      <c r="EA643" s="169"/>
      <c r="EB643" s="169"/>
      <c r="EC643" s="169"/>
      <c r="ED643" s="169"/>
      <c r="EE643" s="169"/>
      <c r="EF643" s="169"/>
      <c r="EG643" s="169"/>
      <c r="EH643" s="169"/>
      <c r="EI643" s="169"/>
      <c r="EJ643" s="169"/>
      <c r="EK643" s="169"/>
      <c r="EL643" s="169"/>
      <c r="EM643" s="169"/>
      <c r="EN643" s="169"/>
      <c r="EO643" s="169"/>
      <c r="EP643" s="169"/>
      <c r="EQ643" s="169"/>
      <c r="ER643" s="169"/>
      <c r="ES643" s="169"/>
      <c r="ET643" s="169"/>
      <c r="EU643" s="169"/>
      <c r="EV643" s="169"/>
      <c r="EW643" s="169"/>
      <c r="EX643" s="169"/>
    </row>
    <row r="644" spans="1:154">
      <c r="A644" s="333">
        <f t="shared" si="19"/>
        <v>1900</v>
      </c>
      <c r="B644" s="333">
        <f t="shared" si="20"/>
        <v>1</v>
      </c>
      <c r="AI644" s="1878" t="s">
        <v>0</v>
      </c>
      <c r="AJ644" s="1827">
        <v>2016</v>
      </c>
      <c r="AK644" s="1822" t="s">
        <v>18</v>
      </c>
      <c r="AL644" s="1822">
        <v>5</v>
      </c>
      <c r="AM644" s="1891">
        <v>371852281</v>
      </c>
      <c r="AN644" s="1824">
        <v>8.2344261459718099E-2</v>
      </c>
      <c r="AO644" s="1822"/>
      <c r="AP644" s="1905" t="s">
        <v>2</v>
      </c>
      <c r="AQ644" s="1822" t="s">
        <v>500</v>
      </c>
      <c r="AR644" s="1822" t="s">
        <v>537</v>
      </c>
      <c r="AS644" s="1822">
        <v>4</v>
      </c>
      <c r="AT644" s="1891">
        <v>1890021164.969667</v>
      </c>
      <c r="AU644" s="1825">
        <v>3.2609709929124653E-2</v>
      </c>
      <c r="AV644" s="1822">
        <v>2010</v>
      </c>
      <c r="EA644" s="169"/>
      <c r="EB644" s="169"/>
      <c r="EC644" s="169"/>
      <c r="ED644" s="169"/>
      <c r="EE644" s="169"/>
      <c r="EF644" s="169"/>
      <c r="EG644" s="169"/>
      <c r="EH644" s="169"/>
      <c r="EI644" s="169"/>
      <c r="EJ644" s="169"/>
      <c r="EK644" s="169"/>
      <c r="EL644" s="169"/>
      <c r="EM644" s="169"/>
      <c r="EN644" s="169"/>
      <c r="EO644" s="169"/>
      <c r="EP644" s="169"/>
      <c r="EQ644" s="169"/>
      <c r="ER644" s="169"/>
      <c r="ES644" s="169"/>
      <c r="ET644" s="169"/>
      <c r="EU644" s="169"/>
      <c r="EV644" s="169"/>
      <c r="EW644" s="169"/>
      <c r="EX644" s="169"/>
    </row>
    <row r="645" spans="1:154">
      <c r="A645" s="333">
        <f t="shared" si="19"/>
        <v>1900</v>
      </c>
      <c r="B645" s="333">
        <f t="shared" si="20"/>
        <v>1</v>
      </c>
      <c r="AI645" s="1878" t="s">
        <v>0</v>
      </c>
      <c r="AJ645" s="1827">
        <v>2016</v>
      </c>
      <c r="AK645" s="1822" t="s">
        <v>25</v>
      </c>
      <c r="AL645" s="1822">
        <v>6</v>
      </c>
      <c r="AM645" s="1891">
        <v>330773158.39000005</v>
      </c>
      <c r="AN645" s="1824">
        <v>7.3247557780405037E-2</v>
      </c>
      <c r="AO645" s="1822"/>
      <c r="AP645" s="1905" t="s">
        <v>2</v>
      </c>
      <c r="AQ645" s="1822" t="s">
        <v>500</v>
      </c>
      <c r="AR645" s="1822" t="s">
        <v>27</v>
      </c>
      <c r="AS645" s="1822">
        <v>5</v>
      </c>
      <c r="AT645" s="1891">
        <v>84333713.038426876</v>
      </c>
      <c r="AU645" s="1825">
        <v>1.4550619698871332E-3</v>
      </c>
      <c r="AV645" s="1822">
        <v>2010</v>
      </c>
      <c r="EA645" s="169"/>
      <c r="EB645" s="169"/>
      <c r="EC645" s="169"/>
      <c r="ED645" s="169"/>
      <c r="EE645" s="169"/>
      <c r="EF645" s="169"/>
      <c r="EG645" s="169"/>
      <c r="EH645" s="169"/>
      <c r="EI645" s="169"/>
      <c r="EJ645" s="169"/>
      <c r="EK645" s="169"/>
      <c r="EL645" s="169"/>
      <c r="EM645" s="169"/>
      <c r="EN645" s="169"/>
      <c r="EO645" s="169"/>
      <c r="EP645" s="169"/>
      <c r="EQ645" s="169"/>
      <c r="ER645" s="169"/>
      <c r="ES645" s="169"/>
      <c r="ET645" s="169"/>
      <c r="EU645" s="169"/>
      <c r="EV645" s="169"/>
      <c r="EW645" s="169"/>
      <c r="EX645" s="169"/>
    </row>
    <row r="646" spans="1:154">
      <c r="A646" s="333">
        <f t="shared" si="19"/>
        <v>1900</v>
      </c>
      <c r="B646" s="333">
        <f t="shared" si="20"/>
        <v>1</v>
      </c>
      <c r="AI646" s="1878" t="s">
        <v>0</v>
      </c>
      <c r="AJ646" s="1827">
        <v>2016</v>
      </c>
      <c r="AK646" s="1822" t="s">
        <v>21</v>
      </c>
      <c r="AL646" s="1822">
        <v>7</v>
      </c>
      <c r="AM646" s="1891">
        <v>294070140.32999998</v>
      </c>
      <c r="AN646" s="1824">
        <v>6.5119913901589083E-2</v>
      </c>
      <c r="AO646" s="1822"/>
      <c r="AP646" s="1905" t="s">
        <v>2</v>
      </c>
      <c r="AQ646" s="1822" t="s">
        <v>500</v>
      </c>
      <c r="AR646" s="1822" t="s">
        <v>39</v>
      </c>
      <c r="AS646" s="1822"/>
      <c r="AT646" s="1891">
        <v>60577130.259819478</v>
      </c>
      <c r="AU646" s="1825">
        <v>1.0451748809613018E-3</v>
      </c>
      <c r="AV646" s="1822">
        <v>2010</v>
      </c>
      <c r="EA646" s="169"/>
      <c r="EB646" s="169"/>
      <c r="EC646" s="169"/>
      <c r="ED646" s="169"/>
      <c r="EE646" s="169"/>
      <c r="EF646" s="169"/>
      <c r="EG646" s="169"/>
      <c r="EH646" s="169"/>
      <c r="EI646" s="169"/>
      <c r="EJ646" s="169"/>
      <c r="EK646" s="169"/>
      <c r="EL646" s="169"/>
      <c r="EM646" s="169"/>
      <c r="EN646" s="169"/>
      <c r="EO646" s="169"/>
      <c r="EP646" s="169"/>
      <c r="EQ646" s="169"/>
      <c r="ER646" s="169"/>
      <c r="ES646" s="169"/>
      <c r="ET646" s="169"/>
      <c r="EU646" s="169"/>
      <c r="EV646" s="169"/>
      <c r="EW646" s="169"/>
      <c r="EX646" s="169"/>
    </row>
    <row r="647" spans="1:154">
      <c r="A647" s="333">
        <f t="shared" si="19"/>
        <v>1900</v>
      </c>
      <c r="B647" s="333">
        <f t="shared" si="20"/>
        <v>1</v>
      </c>
      <c r="AI647" s="1878" t="s">
        <v>0</v>
      </c>
      <c r="AJ647" s="1827">
        <v>2016</v>
      </c>
      <c r="AK647" s="1822" t="s">
        <v>387</v>
      </c>
      <c r="AL647" s="1822">
        <v>8</v>
      </c>
      <c r="AM647" s="1891">
        <v>211057990.67000002</v>
      </c>
      <c r="AN647" s="1824">
        <v>4.6737414976064713E-2</v>
      </c>
      <c r="AO647" s="1822"/>
      <c r="AP647" s="1905" t="s">
        <v>2</v>
      </c>
      <c r="AQ647" s="1822" t="s">
        <v>500</v>
      </c>
      <c r="AR647" s="1822" t="s">
        <v>386</v>
      </c>
      <c r="AS647" s="1822"/>
      <c r="AT647" s="1891">
        <v>57958846278.532387</v>
      </c>
      <c r="AU647" s="1825"/>
      <c r="AV647" s="1822">
        <v>2010</v>
      </c>
      <c r="EA647" s="169"/>
      <c r="EB647" s="169"/>
      <c r="EC647" s="169"/>
      <c r="ED647" s="169"/>
      <c r="EE647" s="169"/>
      <c r="EF647" s="169"/>
      <c r="EG647" s="169"/>
      <c r="EH647" s="169"/>
      <c r="EI647" s="169"/>
      <c r="EJ647" s="169"/>
      <c r="EK647" s="169"/>
      <c r="EL647" s="169"/>
      <c r="EM647" s="169"/>
      <c r="EN647" s="169"/>
      <c r="EO647" s="169"/>
      <c r="EP647" s="169"/>
      <c r="EQ647" s="169"/>
      <c r="ER647" s="169"/>
      <c r="ES647" s="169"/>
      <c r="ET647" s="169"/>
      <c r="EU647" s="169"/>
      <c r="EV647" s="169"/>
      <c r="EW647" s="169"/>
      <c r="EX647" s="169"/>
    </row>
    <row r="648" spans="1:154">
      <c r="A648" s="333">
        <f t="shared" si="19"/>
        <v>1900</v>
      </c>
      <c r="B648" s="333">
        <f t="shared" si="20"/>
        <v>1</v>
      </c>
      <c r="AI648" s="1878" t="s">
        <v>0</v>
      </c>
      <c r="AJ648" s="1827">
        <v>2016</v>
      </c>
      <c r="AK648" s="1822" t="s">
        <v>56</v>
      </c>
      <c r="AL648" s="1822">
        <v>9</v>
      </c>
      <c r="AM648" s="1891">
        <v>183952047.45000002</v>
      </c>
      <c r="AN648" s="1824">
        <v>4.0734980703999696E-2</v>
      </c>
      <c r="AO648" s="1822"/>
      <c r="AP648" s="1905" t="s">
        <v>2</v>
      </c>
      <c r="AQ648" s="1822" t="s">
        <v>499</v>
      </c>
      <c r="AR648" s="1822" t="s">
        <v>18</v>
      </c>
      <c r="AS648" s="1822">
        <v>1</v>
      </c>
      <c r="AT648" s="1891">
        <v>24638089610.395767</v>
      </c>
      <c r="AU648" s="1825">
        <v>0.69334961278812635</v>
      </c>
      <c r="AV648" s="1822">
        <v>2009</v>
      </c>
      <c r="EA648" s="169"/>
      <c r="EB648" s="169"/>
      <c r="EC648" s="169"/>
      <c r="ED648" s="169"/>
      <c r="EE648" s="169"/>
      <c r="EF648" s="169"/>
      <c r="EG648" s="169"/>
      <c r="EH648" s="169"/>
      <c r="EI648" s="169"/>
      <c r="EJ648" s="169"/>
      <c r="EK648" s="169"/>
      <c r="EL648" s="169"/>
      <c r="EM648" s="169"/>
      <c r="EN648" s="169"/>
      <c r="EO648" s="169"/>
      <c r="EP648" s="169"/>
      <c r="EQ648" s="169"/>
      <c r="ER648" s="169"/>
      <c r="ES648" s="169"/>
      <c r="ET648" s="169"/>
      <c r="EU648" s="169"/>
      <c r="EV648" s="169"/>
      <c r="EW648" s="169"/>
      <c r="EX648" s="169"/>
    </row>
    <row r="649" spans="1:154">
      <c r="A649" s="333">
        <f t="shared" si="19"/>
        <v>1900</v>
      </c>
      <c r="B649" s="333">
        <f t="shared" si="20"/>
        <v>1</v>
      </c>
      <c r="AI649" s="1878" t="s">
        <v>0</v>
      </c>
      <c r="AJ649" s="1827">
        <v>2016</v>
      </c>
      <c r="AK649" s="1822" t="s">
        <v>29</v>
      </c>
      <c r="AL649" s="1822">
        <v>10</v>
      </c>
      <c r="AM649" s="1891">
        <v>179823287.33999997</v>
      </c>
      <c r="AN649" s="1824">
        <v>3.9820693715930097E-2</v>
      </c>
      <c r="AO649" s="1822"/>
      <c r="AP649" s="1905" t="s">
        <v>2</v>
      </c>
      <c r="AQ649" s="1822" t="s">
        <v>499</v>
      </c>
      <c r="AR649" s="1822" t="s">
        <v>23</v>
      </c>
      <c r="AS649" s="1822">
        <v>2</v>
      </c>
      <c r="AT649" s="1891">
        <v>6543698100.4362917</v>
      </c>
      <c r="AU649" s="1825">
        <v>0.18414863391947137</v>
      </c>
      <c r="AV649" s="1822">
        <v>2009</v>
      </c>
      <c r="EA649" s="169"/>
      <c r="EB649" s="169"/>
      <c r="EC649" s="169"/>
      <c r="ED649" s="169"/>
      <c r="EE649" s="169"/>
      <c r="EF649" s="169"/>
      <c r="EG649" s="169"/>
      <c r="EH649" s="169"/>
      <c r="EI649" s="169"/>
      <c r="EJ649" s="169"/>
      <c r="EK649" s="169"/>
      <c r="EL649" s="169"/>
      <c r="EM649" s="169"/>
      <c r="EN649" s="169"/>
      <c r="EO649" s="169"/>
      <c r="EP649" s="169"/>
      <c r="EQ649" s="169"/>
      <c r="ER649" s="169"/>
      <c r="ES649" s="169"/>
      <c r="ET649" s="169"/>
      <c r="EU649" s="169"/>
      <c r="EV649" s="169"/>
      <c r="EW649" s="169"/>
      <c r="EX649" s="169"/>
    </row>
    <row r="650" spans="1:154">
      <c r="A650" s="333">
        <f t="shared" ref="A650:A713" si="21">YEAR(C650)</f>
        <v>1900</v>
      </c>
      <c r="B650" s="333">
        <f t="shared" ref="B650:B713" si="22">IF(OR(MONTH(C650)=1,MONTH(C650)=2,MONTH(C650)=3),1,IF(OR(MONTH(C650)=4,MONTH(C650)=5,MONTH(C650)=6),2,IF(OR(MONTH(C650)=7,MONTH(C650)=8,MONTH(C650)=9),3,4)))</f>
        <v>1</v>
      </c>
      <c r="AI650" s="1878" t="s">
        <v>0</v>
      </c>
      <c r="AJ650" s="1827">
        <v>2016</v>
      </c>
      <c r="AK650" s="1822" t="s">
        <v>39</v>
      </c>
      <c r="AL650" s="1822"/>
      <c r="AM650" s="1891">
        <v>611736346.61000109</v>
      </c>
      <c r="AN650" s="1824">
        <v>0.1354650226541616</v>
      </c>
      <c r="AO650" s="1822"/>
      <c r="AP650" s="1905" t="s">
        <v>2</v>
      </c>
      <c r="AQ650" s="1822" t="s">
        <v>499</v>
      </c>
      <c r="AR650" s="1822" t="s">
        <v>24</v>
      </c>
      <c r="AS650" s="1822">
        <v>3</v>
      </c>
      <c r="AT650" s="1891">
        <v>3091787345.8649349</v>
      </c>
      <c r="AU650" s="1825">
        <v>8.7007133790688695E-2</v>
      </c>
      <c r="AV650" s="1822">
        <v>2009</v>
      </c>
      <c r="EA650" s="169"/>
      <c r="EB650" s="169"/>
      <c r="EC650" s="169"/>
      <c r="ED650" s="169"/>
      <c r="EE650" s="169"/>
      <c r="EF650" s="169"/>
      <c r="EG650" s="169"/>
      <c r="EH650" s="169"/>
      <c r="EI650" s="169"/>
      <c r="EJ650" s="169"/>
      <c r="EK650" s="169"/>
      <c r="EL650" s="169"/>
      <c r="EM650" s="169"/>
      <c r="EN650" s="169"/>
      <c r="EO650" s="169"/>
      <c r="EP650" s="169"/>
      <c r="EQ650" s="169"/>
      <c r="ER650" s="169"/>
      <c r="ES650" s="169"/>
      <c r="ET650" s="169"/>
      <c r="EU650" s="169"/>
      <c r="EV650" s="169"/>
      <c r="EW650" s="169"/>
      <c r="EX650" s="169"/>
    </row>
    <row r="651" spans="1:154">
      <c r="A651" s="333">
        <f t="shared" si="21"/>
        <v>1900</v>
      </c>
      <c r="B651" s="333">
        <f t="shared" si="22"/>
        <v>1</v>
      </c>
      <c r="AI651" s="1878" t="s">
        <v>0</v>
      </c>
      <c r="AJ651" s="1827">
        <v>2016</v>
      </c>
      <c r="AK651" s="1822" t="s">
        <v>386</v>
      </c>
      <c r="AL651" s="1822"/>
      <c r="AM651" s="1891">
        <v>4515825078.8600006</v>
      </c>
      <c r="AN651" s="1824"/>
      <c r="AO651" s="1822"/>
      <c r="AP651" s="1905" t="s">
        <v>2</v>
      </c>
      <c r="AQ651" s="1822" t="s">
        <v>499</v>
      </c>
      <c r="AR651" s="1822" t="s">
        <v>537</v>
      </c>
      <c r="AS651" s="1822">
        <v>4</v>
      </c>
      <c r="AT651" s="1891">
        <v>978960360.77848065</v>
      </c>
      <c r="AU651" s="1825">
        <v>2.7549286402233395E-2</v>
      </c>
      <c r="AV651" s="1822">
        <v>2009</v>
      </c>
      <c r="EA651" s="169"/>
      <c r="EB651" s="169"/>
      <c r="EC651" s="169"/>
      <c r="ED651" s="169"/>
      <c r="EE651" s="169"/>
      <c r="EF651" s="169"/>
      <c r="EG651" s="169"/>
      <c r="EH651" s="169"/>
      <c r="EI651" s="169"/>
      <c r="EJ651" s="169"/>
      <c r="EK651" s="169"/>
      <c r="EL651" s="169"/>
      <c r="EM651" s="169"/>
      <c r="EN651" s="169"/>
      <c r="EO651" s="169"/>
      <c r="EP651" s="169"/>
      <c r="EQ651" s="169"/>
      <c r="ER651" s="169"/>
      <c r="ES651" s="169"/>
      <c r="ET651" s="169"/>
      <c r="EU651" s="169"/>
      <c r="EV651" s="169"/>
      <c r="EW651" s="169"/>
      <c r="EX651" s="169"/>
    </row>
    <row r="652" spans="1:154">
      <c r="A652" s="333">
        <f t="shared" si="21"/>
        <v>1900</v>
      </c>
      <c r="B652" s="333">
        <f t="shared" si="22"/>
        <v>1</v>
      </c>
      <c r="AI652" s="1878" t="s">
        <v>3</v>
      </c>
      <c r="AJ652" s="1827">
        <v>2016</v>
      </c>
      <c r="AK652" s="1822" t="s">
        <v>25</v>
      </c>
      <c r="AL652" s="1822">
        <v>1</v>
      </c>
      <c r="AM652" s="1891">
        <v>589077775.14677739</v>
      </c>
      <c r="AN652" s="1824">
        <v>0.29364614445923903</v>
      </c>
      <c r="AO652" s="1822"/>
      <c r="AP652" s="1905" t="s">
        <v>2</v>
      </c>
      <c r="AQ652" s="1822" t="s">
        <v>499</v>
      </c>
      <c r="AR652" s="1822" t="s">
        <v>372</v>
      </c>
      <c r="AS652" s="1822">
        <v>5</v>
      </c>
      <c r="AT652" s="1891">
        <v>124134876.57906669</v>
      </c>
      <c r="AU652" s="1825">
        <v>3.493325577210416E-3</v>
      </c>
      <c r="AV652" s="1822">
        <v>2009</v>
      </c>
      <c r="EA652" s="169"/>
      <c r="EB652" s="169"/>
      <c r="EC652" s="169"/>
      <c r="ED652" s="169"/>
      <c r="EE652" s="169"/>
      <c r="EF652" s="169"/>
      <c r="EG652" s="169"/>
      <c r="EH652" s="169"/>
      <c r="EI652" s="169"/>
      <c r="EJ652" s="169"/>
      <c r="EK652" s="169"/>
      <c r="EL652" s="169"/>
      <c r="EM652" s="169"/>
      <c r="EN652" s="169"/>
      <c r="EO652" s="169"/>
      <c r="EP652" s="169"/>
      <c r="EQ652" s="169"/>
      <c r="ER652" s="169"/>
      <c r="ES652" s="169"/>
      <c r="ET652" s="169"/>
      <c r="EU652" s="169"/>
      <c r="EV652" s="169"/>
      <c r="EW652" s="169"/>
      <c r="EX652" s="169"/>
    </row>
    <row r="653" spans="1:154">
      <c r="A653" s="333">
        <f t="shared" si="21"/>
        <v>1900</v>
      </c>
      <c r="B653" s="333">
        <f t="shared" si="22"/>
        <v>1</v>
      </c>
      <c r="AI653" s="1878" t="s">
        <v>3</v>
      </c>
      <c r="AJ653" s="1827">
        <v>2016</v>
      </c>
      <c r="AK653" s="1822" t="s">
        <v>18</v>
      </c>
      <c r="AL653" s="1822">
        <v>2</v>
      </c>
      <c r="AM653" s="1891">
        <v>462829908.42104566</v>
      </c>
      <c r="AN653" s="1824">
        <v>0.23071353882668413</v>
      </c>
      <c r="AO653" s="1822"/>
      <c r="AP653" s="1905" t="s">
        <v>2</v>
      </c>
      <c r="AQ653" s="1822" t="s">
        <v>499</v>
      </c>
      <c r="AR653" s="1822" t="s">
        <v>39</v>
      </c>
      <c r="AS653" s="1822"/>
      <c r="AT653" s="1891">
        <v>158201516.60394403</v>
      </c>
      <c r="AU653" s="1825">
        <v>4.452007522269783E-3</v>
      </c>
      <c r="AV653" s="1822">
        <v>2009</v>
      </c>
      <c r="EA653" s="169"/>
      <c r="EB653" s="169"/>
      <c r="EC653" s="169"/>
      <c r="ED653" s="169"/>
      <c r="EE653" s="169"/>
      <c r="EF653" s="169"/>
      <c r="EG653" s="169"/>
      <c r="EH653" s="169"/>
      <c r="EI653" s="169"/>
      <c r="EJ653" s="169"/>
      <c r="EK653" s="169"/>
      <c r="EL653" s="169"/>
      <c r="EM653" s="169"/>
      <c r="EN653" s="169"/>
      <c r="EO653" s="169"/>
      <c r="EP653" s="169"/>
      <c r="EQ653" s="169"/>
      <c r="ER653" s="169"/>
      <c r="ES653" s="169"/>
      <c r="ET653" s="169"/>
      <c r="EU653" s="169"/>
      <c r="EV653" s="169"/>
      <c r="EW653" s="169"/>
      <c r="EX653" s="169"/>
    </row>
    <row r="654" spans="1:154">
      <c r="A654" s="333">
        <f t="shared" si="21"/>
        <v>1900</v>
      </c>
      <c r="B654" s="333">
        <f t="shared" si="22"/>
        <v>1</v>
      </c>
      <c r="AI654" s="1878" t="s">
        <v>3</v>
      </c>
      <c r="AJ654" s="1827">
        <v>2016</v>
      </c>
      <c r="AK654" s="1822" t="s">
        <v>537</v>
      </c>
      <c r="AL654" s="1822">
        <v>3</v>
      </c>
      <c r="AM654" s="1891">
        <v>297910826.61290324</v>
      </c>
      <c r="AN654" s="1824">
        <v>0.14850393160011319</v>
      </c>
      <c r="AO654" s="1822"/>
      <c r="AP654" s="1905" t="s">
        <v>2</v>
      </c>
      <c r="AQ654" s="1822" t="s">
        <v>499</v>
      </c>
      <c r="AR654" s="1822" t="s">
        <v>386</v>
      </c>
      <c r="AS654" s="1822"/>
      <c r="AT654" s="1891">
        <v>35534871810.658485</v>
      </c>
      <c r="AU654" s="1825"/>
      <c r="AV654" s="1822">
        <v>2009</v>
      </c>
      <c r="EA654" s="169"/>
      <c r="EB654" s="169"/>
      <c r="EC654" s="169"/>
      <c r="ED654" s="169"/>
      <c r="EE654" s="169"/>
      <c r="EF654" s="169"/>
      <c r="EG654" s="169"/>
      <c r="EH654" s="169"/>
      <c r="EI654" s="169"/>
      <c r="EJ654" s="169"/>
      <c r="EK654" s="169"/>
      <c r="EL654" s="169"/>
      <c r="EM654" s="169"/>
      <c r="EN654" s="169"/>
      <c r="EO654" s="169"/>
      <c r="EP654" s="169"/>
      <c r="EQ654" s="169"/>
      <c r="ER654" s="169"/>
      <c r="ES654" s="169"/>
      <c r="ET654" s="169"/>
      <c r="EU654" s="169"/>
      <c r="EV654" s="169"/>
      <c r="EW654" s="169"/>
      <c r="EX654" s="169"/>
    </row>
    <row r="655" spans="1:154">
      <c r="A655" s="333">
        <f t="shared" si="21"/>
        <v>1900</v>
      </c>
      <c r="B655" s="333">
        <f t="shared" si="22"/>
        <v>1</v>
      </c>
      <c r="AI655" s="1878" t="s">
        <v>3</v>
      </c>
      <c r="AJ655" s="1827">
        <v>2016</v>
      </c>
      <c r="AK655" s="1822" t="s">
        <v>61</v>
      </c>
      <c r="AL655" s="1822">
        <v>4</v>
      </c>
      <c r="AM655" s="1891">
        <v>207400753</v>
      </c>
      <c r="AN655" s="1824">
        <v>0.1033860621565942</v>
      </c>
      <c r="AO655" s="1822"/>
      <c r="AP655" s="1905" t="s">
        <v>2</v>
      </c>
      <c r="AQ655" s="1822" t="s">
        <v>498</v>
      </c>
      <c r="AR655" s="1822" t="s">
        <v>18</v>
      </c>
      <c r="AS655" s="1822">
        <v>1</v>
      </c>
      <c r="AT655" s="1891">
        <v>21595554164.365742</v>
      </c>
      <c r="AU655" s="1825">
        <v>0.64243510106795965</v>
      </c>
      <c r="AV655" s="1822">
        <v>2008</v>
      </c>
      <c r="EA655" s="169"/>
      <c r="EB655" s="169"/>
      <c r="EC655" s="169"/>
      <c r="ED655" s="169"/>
      <c r="EE655" s="169"/>
      <c r="EF655" s="169"/>
      <c r="EG655" s="169"/>
      <c r="EH655" s="169"/>
      <c r="EI655" s="169"/>
      <c r="EJ655" s="169"/>
      <c r="EK655" s="169"/>
      <c r="EL655" s="169"/>
      <c r="EM655" s="169"/>
      <c r="EN655" s="169"/>
      <c r="EO655" s="169"/>
      <c r="EP655" s="169"/>
      <c r="EQ655" s="169"/>
      <c r="ER655" s="169"/>
      <c r="ES655" s="169"/>
      <c r="ET655" s="169"/>
      <c r="EU655" s="169"/>
      <c r="EV655" s="169"/>
      <c r="EW655" s="169"/>
      <c r="EX655" s="169"/>
    </row>
    <row r="656" spans="1:154">
      <c r="A656" s="333">
        <f t="shared" si="21"/>
        <v>1900</v>
      </c>
      <c r="B656" s="333">
        <f t="shared" si="22"/>
        <v>1</v>
      </c>
      <c r="AI656" s="1878" t="s">
        <v>3</v>
      </c>
      <c r="AJ656" s="1827">
        <v>2016</v>
      </c>
      <c r="AK656" s="1822" t="s">
        <v>23</v>
      </c>
      <c r="AL656" s="1822">
        <v>5</v>
      </c>
      <c r="AM656" s="1891">
        <v>185870947.81962851</v>
      </c>
      <c r="AN656" s="1824">
        <v>9.2653787830679624E-2</v>
      </c>
      <c r="AO656" s="1822"/>
      <c r="AP656" s="1905" t="s">
        <v>2</v>
      </c>
      <c r="AQ656" s="1822" t="s">
        <v>498</v>
      </c>
      <c r="AR656" s="1822" t="s">
        <v>23</v>
      </c>
      <c r="AS656" s="1822">
        <v>2</v>
      </c>
      <c r="AT656" s="1891">
        <v>7078121538.2306223</v>
      </c>
      <c r="AU656" s="1825">
        <v>0.21056341926560806</v>
      </c>
      <c r="AV656" s="1822">
        <v>2008</v>
      </c>
      <c r="EA656" s="169"/>
      <c r="EB656" s="169"/>
      <c r="EC656" s="169"/>
      <c r="ED656" s="169"/>
      <c r="EE656" s="169"/>
      <c r="EF656" s="169"/>
      <c r="EG656" s="169"/>
      <c r="EH656" s="169"/>
      <c r="EI656" s="169"/>
      <c r="EJ656" s="169"/>
      <c r="EK656" s="169"/>
      <c r="EL656" s="169"/>
      <c r="EM656" s="169"/>
      <c r="EN656" s="169"/>
      <c r="EO656" s="169"/>
      <c r="EP656" s="169"/>
      <c r="EQ656" s="169"/>
      <c r="ER656" s="169"/>
      <c r="ES656" s="169"/>
      <c r="ET656" s="169"/>
      <c r="EU656" s="169"/>
      <c r="EV656" s="169"/>
      <c r="EW656" s="169"/>
      <c r="EX656" s="169"/>
    </row>
    <row r="657" spans="1:154">
      <c r="A657" s="333">
        <f t="shared" si="21"/>
        <v>1900</v>
      </c>
      <c r="B657" s="333">
        <f t="shared" si="22"/>
        <v>1</v>
      </c>
      <c r="AI657" s="1878" t="s">
        <v>3</v>
      </c>
      <c r="AJ657" s="1827">
        <v>2016</v>
      </c>
      <c r="AK657" s="1822" t="s">
        <v>24</v>
      </c>
      <c r="AL657" s="1822">
        <v>6</v>
      </c>
      <c r="AM657" s="1891">
        <v>90085720.329999998</v>
      </c>
      <c r="AN657" s="1824">
        <v>4.4906335906403104E-2</v>
      </c>
      <c r="AO657" s="1822"/>
      <c r="AP657" s="1905" t="s">
        <v>2</v>
      </c>
      <c r="AQ657" s="1822" t="s">
        <v>498</v>
      </c>
      <c r="AR657" s="1822" t="s">
        <v>24</v>
      </c>
      <c r="AS657" s="1822">
        <v>3</v>
      </c>
      <c r="AT657" s="1891">
        <v>3460345456.2001505</v>
      </c>
      <c r="AU657" s="1825">
        <v>0.10294004802859799</v>
      </c>
      <c r="AV657" s="1822">
        <v>2008</v>
      </c>
      <c r="EA657" s="169"/>
      <c r="EB657" s="169"/>
      <c r="EC657" s="169"/>
      <c r="ED657" s="169"/>
      <c r="EE657" s="169"/>
      <c r="EF657" s="169"/>
      <c r="EG657" s="169"/>
      <c r="EH657" s="169"/>
      <c r="EI657" s="169"/>
      <c r="EJ657" s="169"/>
      <c r="EK657" s="169"/>
      <c r="EL657" s="169"/>
      <c r="EM657" s="169"/>
      <c r="EN657" s="169"/>
      <c r="EO657" s="169"/>
      <c r="EP657" s="169"/>
      <c r="EQ657" s="169"/>
      <c r="ER657" s="169"/>
      <c r="ES657" s="169"/>
      <c r="ET657" s="169"/>
      <c r="EU657" s="169"/>
      <c r="EV657" s="169"/>
      <c r="EW657" s="169"/>
      <c r="EX657" s="169"/>
    </row>
    <row r="658" spans="1:154">
      <c r="A658" s="333">
        <f t="shared" si="21"/>
        <v>1900</v>
      </c>
      <c r="B658" s="333">
        <f t="shared" si="22"/>
        <v>1</v>
      </c>
      <c r="AI658" s="1878" t="s">
        <v>3</v>
      </c>
      <c r="AJ658" s="1827">
        <v>2016</v>
      </c>
      <c r="AK658" s="1822" t="s">
        <v>758</v>
      </c>
      <c r="AL658" s="1822">
        <v>7</v>
      </c>
      <c r="AM658" s="1891">
        <v>59590613.809999973</v>
      </c>
      <c r="AN658" s="1824">
        <v>2.9704997760110628E-2</v>
      </c>
      <c r="AO658" s="1822"/>
      <c r="AP658" s="1905" t="s">
        <v>2</v>
      </c>
      <c r="AQ658" s="1822" t="s">
        <v>498</v>
      </c>
      <c r="AR658" s="1822" t="s">
        <v>537</v>
      </c>
      <c r="AS658" s="1822">
        <v>4</v>
      </c>
      <c r="AT658" s="1891">
        <v>1006668518.1948214</v>
      </c>
      <c r="AU658" s="1825">
        <v>2.9946867133215673E-2</v>
      </c>
      <c r="AV658" s="1822">
        <v>2008</v>
      </c>
      <c r="EA658" s="169"/>
      <c r="EB658" s="169"/>
      <c r="EC658" s="169"/>
      <c r="ED658" s="169"/>
      <c r="EE658" s="169"/>
      <c r="EF658" s="169"/>
      <c r="EG658" s="169"/>
      <c r="EH658" s="169"/>
      <c r="EI658" s="169"/>
      <c r="EJ658" s="169"/>
      <c r="EK658" s="169"/>
      <c r="EL658" s="169"/>
      <c r="EM658" s="169"/>
      <c r="EN658" s="169"/>
      <c r="EO658" s="169"/>
      <c r="EP658" s="169"/>
      <c r="EQ658" s="169"/>
      <c r="ER658" s="169"/>
      <c r="ES658" s="169"/>
      <c r="ET658" s="169"/>
      <c r="EU658" s="169"/>
      <c r="EV658" s="169"/>
      <c r="EW658" s="169"/>
      <c r="EX658" s="169"/>
    </row>
    <row r="659" spans="1:154">
      <c r="A659" s="333">
        <f t="shared" si="21"/>
        <v>1900</v>
      </c>
      <c r="B659" s="333">
        <f t="shared" si="22"/>
        <v>1</v>
      </c>
      <c r="AI659" s="1878" t="s">
        <v>3</v>
      </c>
      <c r="AJ659" s="1827">
        <v>2016</v>
      </c>
      <c r="AK659" s="1822" t="s">
        <v>27</v>
      </c>
      <c r="AL659" s="1822">
        <v>8</v>
      </c>
      <c r="AM659" s="1891">
        <v>40861930.779999986</v>
      </c>
      <c r="AN659" s="1824">
        <v>2.0369039428991504E-2</v>
      </c>
      <c r="AO659" s="1822"/>
      <c r="AP659" s="1905" t="s">
        <v>2</v>
      </c>
      <c r="AQ659" s="1822" t="s">
        <v>498</v>
      </c>
      <c r="AR659" s="1822" t="s">
        <v>20</v>
      </c>
      <c r="AS659" s="1822">
        <v>5</v>
      </c>
      <c r="AT659" s="1891">
        <v>124664454.95307282</v>
      </c>
      <c r="AU659" s="1825">
        <v>3.7085791412341672E-3</v>
      </c>
      <c r="AV659" s="1822">
        <v>2008</v>
      </c>
      <c r="EA659" s="169"/>
      <c r="EB659" s="169"/>
      <c r="EC659" s="169"/>
      <c r="ED659" s="169"/>
      <c r="EE659" s="169"/>
      <c r="EF659" s="169"/>
      <c r="EG659" s="169"/>
      <c r="EH659" s="169"/>
      <c r="EI659" s="169"/>
      <c r="EJ659" s="169"/>
      <c r="EK659" s="169"/>
      <c r="EL659" s="169"/>
      <c r="EM659" s="169"/>
      <c r="EN659" s="169"/>
      <c r="EO659" s="169"/>
      <c r="EP659" s="169"/>
      <c r="EQ659" s="169"/>
      <c r="ER659" s="169"/>
      <c r="ES659" s="169"/>
      <c r="ET659" s="169"/>
      <c r="EU659" s="169"/>
      <c r="EV659" s="169"/>
      <c r="EW659" s="169"/>
      <c r="EX659" s="169"/>
    </row>
    <row r="660" spans="1:154">
      <c r="A660" s="333">
        <f t="shared" si="21"/>
        <v>1900</v>
      </c>
      <c r="B660" s="333">
        <f t="shared" si="22"/>
        <v>1</v>
      </c>
      <c r="AI660" s="1878" t="s">
        <v>3</v>
      </c>
      <c r="AJ660" s="1827">
        <v>2016</v>
      </c>
      <c r="AK660" s="1822" t="s">
        <v>63</v>
      </c>
      <c r="AL660" s="1822">
        <v>9</v>
      </c>
      <c r="AM660" s="1891">
        <v>26628063.220000003</v>
      </c>
      <c r="AN660" s="1824">
        <v>1.3273676972487367E-2</v>
      </c>
      <c r="AO660" s="1822"/>
      <c r="AP660" s="1905" t="s">
        <v>2</v>
      </c>
      <c r="AQ660" s="1822" t="s">
        <v>498</v>
      </c>
      <c r="AR660" s="1822" t="s">
        <v>39</v>
      </c>
      <c r="AS660" s="1822"/>
      <c r="AT660" s="1891">
        <v>349798789.28625667</v>
      </c>
      <c r="AU660" s="1825">
        <v>1.0405985363384461E-2</v>
      </c>
      <c r="AV660" s="1822">
        <v>2008</v>
      </c>
      <c r="EA660" s="169"/>
      <c r="EB660" s="169"/>
      <c r="EC660" s="169"/>
      <c r="ED660" s="169"/>
      <c r="EE660" s="169"/>
      <c r="EF660" s="169"/>
      <c r="EG660" s="169"/>
      <c r="EH660" s="169"/>
      <c r="EI660" s="169"/>
      <c r="EJ660" s="169"/>
      <c r="EK660" s="169"/>
      <c r="EL660" s="169"/>
      <c r="EM660" s="169"/>
      <c r="EN660" s="169"/>
      <c r="EO660" s="169"/>
      <c r="EP660" s="169"/>
      <c r="EQ660" s="169"/>
      <c r="ER660" s="169"/>
      <c r="ES660" s="169"/>
      <c r="ET660" s="169"/>
      <c r="EU660" s="169"/>
      <c r="EV660" s="169"/>
      <c r="EW660" s="169"/>
      <c r="EX660" s="169"/>
    </row>
    <row r="661" spans="1:154">
      <c r="A661" s="333">
        <f t="shared" si="21"/>
        <v>1900</v>
      </c>
      <c r="B661" s="333">
        <f t="shared" si="22"/>
        <v>1</v>
      </c>
      <c r="AI661" s="1878" t="s">
        <v>3</v>
      </c>
      <c r="AJ661" s="1827">
        <v>2016</v>
      </c>
      <c r="AK661" s="1822" t="s">
        <v>70</v>
      </c>
      <c r="AL661" s="1822">
        <v>10</v>
      </c>
      <c r="AM661" s="1891">
        <v>17107816.640000001</v>
      </c>
      <c r="AN661" s="1824">
        <v>8.5279815474279229E-3</v>
      </c>
      <c r="AO661" s="1822"/>
      <c r="AP661" s="1905" t="s">
        <v>2</v>
      </c>
      <c r="AQ661" s="1822" t="s">
        <v>498</v>
      </c>
      <c r="AR661" s="1822" t="s">
        <v>386</v>
      </c>
      <c r="AS661" s="1822"/>
      <c r="AT661" s="1891">
        <v>33615152921.230663</v>
      </c>
      <c r="AU661" s="1825"/>
      <c r="AV661" s="1822">
        <v>2008</v>
      </c>
      <c r="EA661" s="169"/>
      <c r="EB661" s="169"/>
      <c r="EC661" s="169"/>
      <c r="ED661" s="169"/>
      <c r="EE661" s="169"/>
      <c r="EF661" s="169"/>
      <c r="EG661" s="169"/>
      <c r="EH661" s="169"/>
      <c r="EI661" s="169"/>
      <c r="EJ661" s="169"/>
      <c r="EK661" s="169"/>
      <c r="EL661" s="169"/>
      <c r="EM661" s="169"/>
      <c r="EN661" s="169"/>
      <c r="EO661" s="169"/>
      <c r="EP661" s="169"/>
      <c r="EQ661" s="169"/>
      <c r="ER661" s="169"/>
      <c r="ES661" s="169"/>
      <c r="ET661" s="169"/>
      <c r="EU661" s="169"/>
      <c r="EV661" s="169"/>
      <c r="EW661" s="169"/>
      <c r="EX661" s="169"/>
    </row>
    <row r="662" spans="1:154">
      <c r="A662" s="333">
        <f t="shared" si="21"/>
        <v>1900</v>
      </c>
      <c r="B662" s="333">
        <f t="shared" si="22"/>
        <v>1</v>
      </c>
      <c r="AI662" s="1878" t="s">
        <v>3</v>
      </c>
      <c r="AJ662" s="1827">
        <v>2016</v>
      </c>
      <c r="AK662" s="1822" t="s">
        <v>39</v>
      </c>
      <c r="AL662" s="1822"/>
      <c r="AM662" s="1891">
        <v>28716044.940000057</v>
      </c>
      <c r="AN662" s="1824">
        <v>1.4314503511269307E-2</v>
      </c>
      <c r="AO662" s="1822"/>
      <c r="AP662" s="1905" t="s">
        <v>2</v>
      </c>
      <c r="AQ662" s="1822" t="s">
        <v>497</v>
      </c>
      <c r="AR662" s="1822" t="s">
        <v>18</v>
      </c>
      <c r="AS662" s="1822">
        <v>1</v>
      </c>
      <c r="AT662" s="1891">
        <v>13068287373.815794</v>
      </c>
      <c r="AU662" s="1825">
        <v>0.5900684503769309</v>
      </c>
      <c r="AV662" s="1822">
        <v>2007</v>
      </c>
      <c r="EA662" s="169"/>
      <c r="EB662" s="169"/>
      <c r="EC662" s="169"/>
      <c r="ED662" s="169"/>
      <c r="EE662" s="169"/>
      <c r="EF662" s="169"/>
      <c r="EG662" s="169"/>
      <c r="EH662" s="169"/>
      <c r="EI662" s="169"/>
      <c r="EJ662" s="169"/>
      <c r="EK662" s="169"/>
      <c r="EL662" s="169"/>
      <c r="EM662" s="169"/>
      <c r="EN662" s="169"/>
      <c r="EO662" s="169"/>
      <c r="EP662" s="169"/>
      <c r="EQ662" s="169"/>
      <c r="ER662" s="169"/>
      <c r="ES662" s="169"/>
      <c r="ET662" s="169"/>
      <c r="EU662" s="169"/>
      <c r="EV662" s="169"/>
      <c r="EW662" s="169"/>
      <c r="EX662" s="169"/>
    </row>
    <row r="663" spans="1:154">
      <c r="A663" s="333">
        <f t="shared" si="21"/>
        <v>1900</v>
      </c>
      <c r="B663" s="333">
        <f t="shared" si="22"/>
        <v>1</v>
      </c>
      <c r="AI663" s="1878" t="s">
        <v>3</v>
      </c>
      <c r="AJ663" s="1827">
        <v>2016</v>
      </c>
      <c r="AK663" s="1822" t="s">
        <v>114</v>
      </c>
      <c r="AL663" s="1822"/>
      <c r="AM663" s="1891">
        <v>2006080400.7203548</v>
      </c>
      <c r="AN663" s="1824"/>
      <c r="AO663" s="1822"/>
      <c r="AP663" s="1905" t="s">
        <v>2</v>
      </c>
      <c r="AQ663" s="1822" t="s">
        <v>497</v>
      </c>
      <c r="AR663" s="1822" t="s">
        <v>23</v>
      </c>
      <c r="AS663" s="1822">
        <v>2</v>
      </c>
      <c r="AT663" s="1891">
        <v>5659730157.2008905</v>
      </c>
      <c r="AU663" s="1825">
        <v>0.25555209400296336</v>
      </c>
      <c r="AV663" s="1822">
        <v>2007</v>
      </c>
      <c r="EA663" s="169"/>
      <c r="EB663" s="169"/>
      <c r="EC663" s="169"/>
      <c r="ED663" s="169"/>
      <c r="EE663" s="169"/>
      <c r="EF663" s="169"/>
      <c r="EG663" s="169"/>
      <c r="EH663" s="169"/>
      <c r="EI663" s="169"/>
      <c r="EJ663" s="169"/>
      <c r="EK663" s="169"/>
      <c r="EL663" s="169"/>
      <c r="EM663" s="169"/>
      <c r="EN663" s="169"/>
      <c r="EO663" s="169"/>
      <c r="EP663" s="169"/>
      <c r="EQ663" s="169"/>
      <c r="ER663" s="169"/>
      <c r="ES663" s="169"/>
      <c r="ET663" s="169"/>
      <c r="EU663" s="169"/>
      <c r="EV663" s="169"/>
      <c r="EW663" s="169"/>
      <c r="EX663" s="169"/>
    </row>
    <row r="664" spans="1:154">
      <c r="A664" s="333">
        <f t="shared" si="21"/>
        <v>1900</v>
      </c>
      <c r="B664" s="333">
        <f t="shared" si="22"/>
        <v>1</v>
      </c>
      <c r="AI664" s="1878" t="s">
        <v>2</v>
      </c>
      <c r="AJ664" s="1827">
        <v>2016</v>
      </c>
      <c r="AK664" s="1822" t="s">
        <v>18</v>
      </c>
      <c r="AL664" s="1822">
        <v>1</v>
      </c>
      <c r="AM664" s="1891">
        <v>43707756513.134193</v>
      </c>
      <c r="AN664" s="1824">
        <v>0.81117332360199623</v>
      </c>
      <c r="AO664" s="1822"/>
      <c r="AP664" s="1905" t="s">
        <v>2</v>
      </c>
      <c r="AQ664" s="1822" t="s">
        <v>497</v>
      </c>
      <c r="AR664" s="1822" t="s">
        <v>24</v>
      </c>
      <c r="AS664" s="1822">
        <v>3</v>
      </c>
      <c r="AT664" s="1891">
        <v>2344145245.6895409</v>
      </c>
      <c r="AU664" s="1825">
        <v>0.10584448543379381</v>
      </c>
      <c r="AV664" s="1822">
        <v>2007</v>
      </c>
      <c r="EA664" s="169"/>
      <c r="EB664" s="169"/>
      <c r="EC664" s="169"/>
      <c r="ED664" s="169"/>
      <c r="EE664" s="169"/>
      <c r="EF664" s="169"/>
      <c r="EG664" s="169"/>
      <c r="EH664" s="169"/>
      <c r="EI664" s="169"/>
      <c r="EJ664" s="169"/>
      <c r="EK664" s="169"/>
      <c r="EL664" s="169"/>
      <c r="EM664" s="169"/>
      <c r="EN664" s="169"/>
      <c r="EO664" s="169"/>
      <c r="EP664" s="169"/>
      <c r="EQ664" s="169"/>
      <c r="ER664" s="169"/>
      <c r="ES664" s="169"/>
      <c r="ET664" s="169"/>
      <c r="EU664" s="169"/>
      <c r="EV664" s="169"/>
      <c r="EW664" s="169"/>
      <c r="EX664" s="169"/>
    </row>
    <row r="665" spans="1:154">
      <c r="A665" s="333">
        <f t="shared" si="21"/>
        <v>1900</v>
      </c>
      <c r="B665" s="333">
        <f t="shared" si="22"/>
        <v>1</v>
      </c>
      <c r="AI665" s="1878" t="s">
        <v>2</v>
      </c>
      <c r="AJ665" s="1827">
        <v>2016</v>
      </c>
      <c r="AK665" s="1822" t="s">
        <v>23</v>
      </c>
      <c r="AL665" s="1822">
        <v>2</v>
      </c>
      <c r="AM665" s="1891">
        <v>5216384281.3427105</v>
      </c>
      <c r="AN665" s="1824">
        <v>9.6811003635257326E-2</v>
      </c>
      <c r="AO665" s="1822"/>
      <c r="AP665" s="1905" t="s">
        <v>2</v>
      </c>
      <c r="AQ665" s="1822" t="s">
        <v>497</v>
      </c>
      <c r="AR665" s="1822" t="s">
        <v>537</v>
      </c>
      <c r="AS665" s="1822">
        <v>4</v>
      </c>
      <c r="AT665" s="1891">
        <v>764903834.98100543</v>
      </c>
      <c r="AU665" s="1825">
        <v>3.4537472867251895E-2</v>
      </c>
      <c r="AV665" s="1822">
        <v>2007</v>
      </c>
      <c r="EA665" s="169"/>
      <c r="EB665" s="169"/>
      <c r="EC665" s="169"/>
      <c r="ED665" s="169"/>
      <c r="EE665" s="169"/>
      <c r="EF665" s="169"/>
      <c r="EG665" s="169"/>
      <c r="EH665" s="169"/>
      <c r="EI665" s="169"/>
      <c r="EJ665" s="169"/>
      <c r="EK665" s="169"/>
      <c r="EL665" s="169"/>
      <c r="EM665" s="169"/>
      <c r="EN665" s="169"/>
      <c r="EO665" s="169"/>
      <c r="EP665" s="169"/>
      <c r="EQ665" s="169"/>
      <c r="ER665" s="169"/>
      <c r="ES665" s="169"/>
      <c r="ET665" s="169"/>
      <c r="EU665" s="169"/>
      <c r="EV665" s="169"/>
      <c r="EW665" s="169"/>
      <c r="EX665" s="169"/>
    </row>
    <row r="666" spans="1:154">
      <c r="A666" s="333">
        <f t="shared" si="21"/>
        <v>1900</v>
      </c>
      <c r="B666" s="333">
        <f t="shared" si="22"/>
        <v>1</v>
      </c>
      <c r="Y666" s="451"/>
      <c r="AI666" s="1878" t="s">
        <v>2</v>
      </c>
      <c r="AJ666" s="1827">
        <v>2016</v>
      </c>
      <c r="AK666" s="1822" t="s">
        <v>24</v>
      </c>
      <c r="AL666" s="1822">
        <v>3</v>
      </c>
      <c r="AM666" s="1891">
        <v>3233991205.6600304</v>
      </c>
      <c r="AN666" s="1824">
        <v>6.0019721991600349E-2</v>
      </c>
      <c r="AO666" s="1822"/>
      <c r="AP666" s="1905" t="s">
        <v>2</v>
      </c>
      <c r="AQ666" s="1822" t="s">
        <v>497</v>
      </c>
      <c r="AR666" s="1822" t="s">
        <v>20</v>
      </c>
      <c r="AS666" s="1822">
        <v>5</v>
      </c>
      <c r="AT666" s="1891">
        <v>156814736.91208699</v>
      </c>
      <c r="AU666" s="1825">
        <v>7.0806086642524711E-3</v>
      </c>
      <c r="AV666" s="1822">
        <v>2007</v>
      </c>
      <c r="EA666" s="169"/>
      <c r="EB666" s="169"/>
      <c r="EC666" s="169"/>
      <c r="ED666" s="169"/>
      <c r="EE666" s="169"/>
      <c r="EF666" s="169"/>
      <c r="EG666" s="169"/>
      <c r="EH666" s="169"/>
      <c r="EI666" s="169"/>
      <c r="EJ666" s="169"/>
      <c r="EK666" s="169"/>
      <c r="EL666" s="169"/>
      <c r="EM666" s="169"/>
      <c r="EN666" s="169"/>
      <c r="EO666" s="169"/>
      <c r="EP666" s="169"/>
      <c r="EQ666" s="169"/>
      <c r="ER666" s="169"/>
      <c r="ES666" s="169"/>
      <c r="ET666" s="169"/>
      <c r="EU666" s="169"/>
      <c r="EV666" s="169"/>
      <c r="EW666" s="169"/>
      <c r="EX666" s="169"/>
    </row>
    <row r="667" spans="1:154">
      <c r="A667" s="333">
        <f t="shared" si="21"/>
        <v>1900</v>
      </c>
      <c r="B667" s="333">
        <f t="shared" si="22"/>
        <v>1</v>
      </c>
      <c r="Y667" s="451"/>
      <c r="AI667" s="1878" t="s">
        <v>2</v>
      </c>
      <c r="AJ667" s="1827">
        <v>2016</v>
      </c>
      <c r="AK667" s="1822" t="s">
        <v>537</v>
      </c>
      <c r="AL667" s="1822">
        <v>4</v>
      </c>
      <c r="AM667" s="1891">
        <v>1406831519.7881303</v>
      </c>
      <c r="AN667" s="1824">
        <v>2.6109420631362283E-2</v>
      </c>
      <c r="AO667" s="1822"/>
      <c r="AP667" s="1905" t="s">
        <v>2</v>
      </c>
      <c r="AQ667" s="1822" t="s">
        <v>497</v>
      </c>
      <c r="AR667" s="1822" t="s">
        <v>39</v>
      </c>
      <c r="AS667" s="1822"/>
      <c r="AT667" s="1891">
        <v>153188818.37517339</v>
      </c>
      <c r="AU667" s="1825">
        <v>6.9168886548075853E-3</v>
      </c>
      <c r="AV667" s="1822">
        <v>2007</v>
      </c>
      <c r="EA667" s="169"/>
      <c r="EB667" s="169"/>
      <c r="EC667" s="169"/>
      <c r="ED667" s="169"/>
      <c r="EE667" s="169"/>
      <c r="EF667" s="169"/>
      <c r="EG667" s="169"/>
      <c r="EH667" s="169"/>
      <c r="EI667" s="169"/>
      <c r="EJ667" s="169"/>
      <c r="EK667" s="169"/>
      <c r="EL667" s="169"/>
      <c r="EM667" s="169"/>
      <c r="EN667" s="169"/>
      <c r="EO667" s="169"/>
      <c r="EP667" s="169"/>
      <c r="EQ667" s="169"/>
      <c r="ER667" s="169"/>
      <c r="ES667" s="169"/>
      <c r="ET667" s="169"/>
      <c r="EU667" s="169"/>
      <c r="EV667" s="169"/>
      <c r="EW667" s="169"/>
      <c r="EX667" s="169"/>
    </row>
    <row r="668" spans="1:154">
      <c r="A668" s="333">
        <f t="shared" si="21"/>
        <v>1900</v>
      </c>
      <c r="B668" s="333">
        <f t="shared" si="22"/>
        <v>1</v>
      </c>
      <c r="AI668" s="1878" t="s">
        <v>2</v>
      </c>
      <c r="AJ668" s="1827">
        <v>2016</v>
      </c>
      <c r="AK668" s="1822" t="s">
        <v>22</v>
      </c>
      <c r="AL668" s="1822">
        <v>5</v>
      </c>
      <c r="AM668" s="1891">
        <v>221629215.81880534</v>
      </c>
      <c r="AN668" s="1824">
        <v>4.1132220444446872E-3</v>
      </c>
      <c r="AO668" s="1822"/>
      <c r="AP668" s="1905" t="s">
        <v>2</v>
      </c>
      <c r="AQ668" s="1822" t="s">
        <v>497</v>
      </c>
      <c r="AR668" s="1822" t="s">
        <v>386</v>
      </c>
      <c r="AS668" s="1822"/>
      <c r="AT668" s="1891">
        <v>22147070166.974491</v>
      </c>
      <c r="AU668" s="1825"/>
      <c r="AV668" s="1822">
        <v>2007</v>
      </c>
      <c r="EA668" s="169"/>
      <c r="EB668" s="169"/>
      <c r="EC668" s="169"/>
      <c r="ED668" s="169"/>
      <c r="EE668" s="169"/>
      <c r="EF668" s="169"/>
      <c r="EG668" s="169"/>
      <c r="EH668" s="169"/>
      <c r="EI668" s="169"/>
      <c r="EJ668" s="169"/>
      <c r="EK668" s="169"/>
      <c r="EL668" s="169"/>
      <c r="EM668" s="169"/>
      <c r="EN668" s="169"/>
      <c r="EO668" s="169"/>
      <c r="EP668" s="169"/>
      <c r="EQ668" s="169"/>
      <c r="ER668" s="169"/>
      <c r="ES668" s="169"/>
      <c r="ET668" s="169"/>
      <c r="EU668" s="169"/>
      <c r="EV668" s="169"/>
      <c r="EW668" s="169"/>
      <c r="EX668" s="169"/>
    </row>
    <row r="669" spans="1:154">
      <c r="A669" s="333">
        <f t="shared" si="21"/>
        <v>1900</v>
      </c>
      <c r="B669" s="333">
        <f t="shared" si="22"/>
        <v>1</v>
      </c>
      <c r="AI669" s="1878" t="s">
        <v>2</v>
      </c>
      <c r="AJ669" s="1827">
        <v>2016</v>
      </c>
      <c r="AK669" s="1822" t="s">
        <v>39</v>
      </c>
      <c r="AL669" s="1822"/>
      <c r="AM669" s="1891">
        <v>95549639.267835259</v>
      </c>
      <c r="AN669" s="1824">
        <v>1.7733080953393422E-3</v>
      </c>
      <c r="AO669" s="1822"/>
      <c r="AP669" s="1905" t="s">
        <v>4</v>
      </c>
      <c r="AQ669" s="1822" t="s">
        <v>505</v>
      </c>
      <c r="AR669" s="1822" t="s">
        <v>23</v>
      </c>
      <c r="AS669" s="1822">
        <v>1</v>
      </c>
      <c r="AT669" s="1823">
        <v>8337940889.7599955</v>
      </c>
      <c r="AU669" s="1825">
        <v>0.58528471532344073</v>
      </c>
      <c r="AV669" s="1822">
        <v>2015</v>
      </c>
      <c r="EA669" s="169"/>
      <c r="EB669" s="169"/>
      <c r="EC669" s="169"/>
      <c r="ED669" s="169"/>
      <c r="EE669" s="169"/>
      <c r="EF669" s="169"/>
      <c r="EG669" s="169"/>
      <c r="EH669" s="169"/>
      <c r="EI669" s="169"/>
      <c r="EJ669" s="169"/>
      <c r="EK669" s="169"/>
      <c r="EL669" s="169"/>
      <c r="EM669" s="169"/>
      <c r="EN669" s="169"/>
      <c r="EO669" s="169"/>
      <c r="EP669" s="169"/>
      <c r="EQ669" s="169"/>
      <c r="ER669" s="169"/>
      <c r="ES669" s="169"/>
      <c r="ET669" s="169"/>
      <c r="EU669" s="169"/>
      <c r="EV669" s="169"/>
      <c r="EW669" s="169"/>
      <c r="EX669" s="169"/>
    </row>
    <row r="670" spans="1:154">
      <c r="A670" s="333">
        <f t="shared" si="21"/>
        <v>1900</v>
      </c>
      <c r="B670" s="333">
        <f t="shared" si="22"/>
        <v>1</v>
      </c>
      <c r="AI670" s="1878" t="s">
        <v>2</v>
      </c>
      <c r="AJ670" s="1827">
        <v>2016</v>
      </c>
      <c r="AK670" s="1822" t="s">
        <v>386</v>
      </c>
      <c r="AL670" s="1822"/>
      <c r="AM670" s="1891">
        <v>53882142375.011696</v>
      </c>
      <c r="AN670" s="1824"/>
      <c r="AO670" s="1822"/>
      <c r="AP670" s="1905" t="s">
        <v>4</v>
      </c>
      <c r="AQ670" s="1822" t="s">
        <v>505</v>
      </c>
      <c r="AR670" s="1822" t="s">
        <v>18</v>
      </c>
      <c r="AS670" s="1822">
        <v>2</v>
      </c>
      <c r="AT670" s="1823">
        <v>1936328375.98</v>
      </c>
      <c r="AU670" s="1825">
        <v>0.13592125649391312</v>
      </c>
      <c r="AV670" s="1822">
        <v>2015</v>
      </c>
      <c r="EA670" s="169"/>
      <c r="EB670" s="169"/>
      <c r="EC670" s="169"/>
      <c r="ED670" s="169"/>
      <c r="EE670" s="169"/>
      <c r="EF670" s="169"/>
      <c r="EG670" s="169"/>
      <c r="EH670" s="169"/>
      <c r="EI670" s="169"/>
      <c r="EJ670" s="169"/>
      <c r="EK670" s="169"/>
      <c r="EL670" s="169"/>
      <c r="EM670" s="169"/>
      <c r="EN670" s="169"/>
      <c r="EO670" s="169"/>
      <c r="EP670" s="169"/>
      <c r="EQ670" s="169"/>
      <c r="ER670" s="169"/>
      <c r="ES670" s="169"/>
      <c r="ET670" s="169"/>
      <c r="EU670" s="169"/>
      <c r="EV670" s="169"/>
      <c r="EW670" s="169"/>
      <c r="EX670" s="169"/>
    </row>
    <row r="671" spans="1:154">
      <c r="A671" s="333">
        <f t="shared" si="21"/>
        <v>1900</v>
      </c>
      <c r="B671" s="333">
        <f t="shared" si="22"/>
        <v>1</v>
      </c>
      <c r="AI671" s="1878" t="s">
        <v>4</v>
      </c>
      <c r="AJ671" s="1827">
        <v>2016</v>
      </c>
      <c r="AK671" s="1822" t="s">
        <v>23</v>
      </c>
      <c r="AL671" s="1822">
        <v>1</v>
      </c>
      <c r="AM671" s="1891">
        <v>7804566507</v>
      </c>
      <c r="AN671" s="1824">
        <v>0.54800000000000004</v>
      </c>
      <c r="AO671" s="1822"/>
      <c r="AP671" s="1905" t="s">
        <v>4</v>
      </c>
      <c r="AQ671" s="1822" t="s">
        <v>505</v>
      </c>
      <c r="AR671" s="1822" t="s">
        <v>24</v>
      </c>
      <c r="AS671" s="1822">
        <v>3</v>
      </c>
      <c r="AT671" s="1823">
        <v>1449121793.45</v>
      </c>
      <c r="AU671" s="1825">
        <v>0.1017216177905515</v>
      </c>
      <c r="AV671" s="1822">
        <v>2015</v>
      </c>
      <c r="EA671" s="169"/>
      <c r="EB671" s="169"/>
      <c r="EC671" s="169"/>
      <c r="ED671" s="169"/>
      <c r="EE671" s="169"/>
      <c r="EF671" s="169"/>
      <c r="EG671" s="169"/>
      <c r="EH671" s="169"/>
      <c r="EI671" s="169"/>
      <c r="EJ671" s="169"/>
      <c r="EK671" s="169"/>
      <c r="EL671" s="169"/>
      <c r="EM671" s="169"/>
      <c r="EN671" s="169"/>
      <c r="EO671" s="169"/>
      <c r="EP671" s="169"/>
      <c r="EQ671" s="169"/>
      <c r="ER671" s="169"/>
      <c r="ES671" s="169"/>
      <c r="ET671" s="169"/>
      <c r="EU671" s="169"/>
      <c r="EV671" s="169"/>
      <c r="EW671" s="169"/>
      <c r="EX671" s="169"/>
    </row>
    <row r="672" spans="1:154">
      <c r="A672" s="333">
        <f t="shared" si="21"/>
        <v>1900</v>
      </c>
      <c r="B672" s="333">
        <f t="shared" si="22"/>
        <v>1</v>
      </c>
      <c r="AI672" s="1878" t="s">
        <v>4</v>
      </c>
      <c r="AJ672" s="1827">
        <v>2016</v>
      </c>
      <c r="AK672" s="1822" t="s">
        <v>18</v>
      </c>
      <c r="AL672" s="1822">
        <v>2</v>
      </c>
      <c r="AM672" s="1891">
        <v>1936328376</v>
      </c>
      <c r="AN672" s="1824">
        <v>0.13600000000000001</v>
      </c>
      <c r="AO672" s="1822"/>
      <c r="AP672" s="1905" t="s">
        <v>4</v>
      </c>
      <c r="AQ672" s="1822" t="s">
        <v>505</v>
      </c>
      <c r="AR672" s="1822" t="s">
        <v>61</v>
      </c>
      <c r="AS672" s="1822">
        <v>4</v>
      </c>
      <c r="AT672" s="1823">
        <v>598440244.89999998</v>
      </c>
      <c r="AU672" s="1825">
        <v>4.2007725049303953E-2</v>
      </c>
      <c r="AV672" s="1822">
        <v>2015</v>
      </c>
      <c r="EA672" s="169"/>
      <c r="EB672" s="169"/>
      <c r="EC672" s="169"/>
      <c r="ED672" s="169"/>
      <c r="EE672" s="169"/>
      <c r="EF672" s="169"/>
      <c r="EG672" s="169"/>
      <c r="EH672" s="169"/>
      <c r="EI672" s="169"/>
      <c r="EJ672" s="169"/>
      <c r="EK672" s="169"/>
      <c r="EL672" s="169"/>
      <c r="EM672" s="169"/>
      <c r="EN672" s="169"/>
      <c r="EO672" s="169"/>
      <c r="EP672" s="169"/>
      <c r="EQ672" s="169"/>
      <c r="ER672" s="169"/>
      <c r="ES672" s="169"/>
      <c r="ET672" s="169"/>
      <c r="EU672" s="169"/>
      <c r="EV672" s="169"/>
      <c r="EW672" s="169"/>
      <c r="EX672" s="169"/>
    </row>
    <row r="673" spans="1:154">
      <c r="A673" s="333">
        <f t="shared" si="21"/>
        <v>1900</v>
      </c>
      <c r="B673" s="333">
        <f t="shared" si="22"/>
        <v>1</v>
      </c>
      <c r="X673" s="636"/>
      <c r="Y673" s="451"/>
      <c r="AA673" s="1917"/>
      <c r="AI673" s="1878" t="s">
        <v>4</v>
      </c>
      <c r="AJ673" s="1827">
        <v>2016</v>
      </c>
      <c r="AK673" s="1822" t="s">
        <v>61</v>
      </c>
      <c r="AL673" s="1822">
        <v>3</v>
      </c>
      <c r="AM673" s="1891">
        <v>1100069778</v>
      </c>
      <c r="AN673" s="1824">
        <v>7.6999999999999999E-2</v>
      </c>
      <c r="AO673" s="1822"/>
      <c r="AP673" s="1905" t="s">
        <v>4</v>
      </c>
      <c r="AQ673" s="1822" t="s">
        <v>505</v>
      </c>
      <c r="AR673" s="1822" t="s">
        <v>22</v>
      </c>
      <c r="AS673" s="1822">
        <v>5</v>
      </c>
      <c r="AT673" s="1823">
        <v>389001810.10000002</v>
      </c>
      <c r="AU673" s="1825">
        <v>2.7306119903571929E-2</v>
      </c>
      <c r="AV673" s="1822">
        <v>2015</v>
      </c>
      <c r="EA673" s="169"/>
      <c r="EB673" s="169"/>
      <c r="EC673" s="169"/>
      <c r="ED673" s="169"/>
      <c r="EE673" s="169"/>
      <c r="EF673" s="169"/>
      <c r="EG673" s="169"/>
      <c r="EH673" s="169"/>
      <c r="EI673" s="169"/>
      <c r="EJ673" s="169"/>
      <c r="EK673" s="169"/>
      <c r="EL673" s="169"/>
      <c r="EM673" s="169"/>
      <c r="EN673" s="169"/>
      <c r="EO673" s="169"/>
      <c r="EP673" s="169"/>
      <c r="EQ673" s="169"/>
      <c r="ER673" s="169"/>
      <c r="ES673" s="169"/>
      <c r="ET673" s="169"/>
      <c r="EU673" s="169"/>
      <c r="EV673" s="169"/>
      <c r="EW673" s="169"/>
      <c r="EX673" s="169"/>
    </row>
    <row r="674" spans="1:154">
      <c r="A674" s="333">
        <f t="shared" si="21"/>
        <v>1900</v>
      </c>
      <c r="B674" s="333">
        <f t="shared" si="22"/>
        <v>1</v>
      </c>
      <c r="AI674" s="1878" t="s">
        <v>4</v>
      </c>
      <c r="AJ674" s="1827">
        <v>2016</v>
      </c>
      <c r="AK674" s="1822" t="s">
        <v>24</v>
      </c>
      <c r="AL674" s="1822">
        <v>4</v>
      </c>
      <c r="AM674" s="1891">
        <v>1073013912</v>
      </c>
      <c r="AN674" s="1824">
        <v>7.4999999999999997E-2</v>
      </c>
      <c r="AO674" s="1822"/>
      <c r="AP674" s="1905" t="s">
        <v>4</v>
      </c>
      <c r="AQ674" s="1822" t="s">
        <v>505</v>
      </c>
      <c r="AR674" s="1822" t="s">
        <v>33</v>
      </c>
      <c r="AS674" s="1822">
        <v>6</v>
      </c>
      <c r="AT674" s="1823">
        <v>352297445.79000002</v>
      </c>
      <c r="AU674" s="1825">
        <v>2.4729644044563463E-2</v>
      </c>
      <c r="AV674" s="1822">
        <v>2015</v>
      </c>
      <c r="EA674" s="169"/>
      <c r="EB674" s="169"/>
      <c r="EC674" s="169"/>
      <c r="ED674" s="169"/>
      <c r="EE674" s="169"/>
      <c r="EF674" s="169"/>
      <c r="EG674" s="169"/>
      <c r="EH674" s="169"/>
      <c r="EI674" s="169"/>
      <c r="EJ674" s="169"/>
      <c r="EK674" s="169"/>
      <c r="EL674" s="169"/>
      <c r="EM674" s="169"/>
      <c r="EN674" s="169"/>
      <c r="EO674" s="169"/>
      <c r="EP674" s="169"/>
      <c r="EQ674" s="169"/>
      <c r="ER674" s="169"/>
      <c r="ES674" s="169"/>
      <c r="ET674" s="169"/>
      <c r="EU674" s="169"/>
      <c r="EV674" s="169"/>
      <c r="EW674" s="169"/>
      <c r="EX674" s="169"/>
    </row>
    <row r="675" spans="1:154">
      <c r="A675" s="333">
        <f t="shared" si="21"/>
        <v>1900</v>
      </c>
      <c r="B675" s="333">
        <f t="shared" si="22"/>
        <v>1</v>
      </c>
      <c r="AI675" s="1878" t="s">
        <v>4</v>
      </c>
      <c r="AJ675" s="1827">
        <v>2016</v>
      </c>
      <c r="AK675" s="1822" t="s">
        <v>33</v>
      </c>
      <c r="AL675" s="1822">
        <v>5</v>
      </c>
      <c r="AM675" s="1891">
        <v>695159292</v>
      </c>
      <c r="AN675" s="1824">
        <v>4.9000000000000002E-2</v>
      </c>
      <c r="AO675" s="1822"/>
      <c r="AP675" s="1905" t="s">
        <v>4</v>
      </c>
      <c r="AQ675" s="1822" t="s">
        <v>505</v>
      </c>
      <c r="AR675" s="1822" t="s">
        <v>21</v>
      </c>
      <c r="AS675" s="1822">
        <v>7</v>
      </c>
      <c r="AT675" s="1823">
        <v>277793585.93000007</v>
      </c>
      <c r="AU675" s="1825">
        <v>1.9499819201092693E-2</v>
      </c>
      <c r="AV675" s="1822">
        <v>2015</v>
      </c>
      <c r="EA675" s="169"/>
      <c r="EB675" s="169"/>
      <c r="EC675" s="169"/>
      <c r="ED675" s="169"/>
      <c r="EE675" s="169"/>
      <c r="EF675" s="169"/>
      <c r="EG675" s="169"/>
      <c r="EH675" s="169"/>
      <c r="EI675" s="169"/>
      <c r="EJ675" s="169"/>
      <c r="EK675" s="169"/>
      <c r="EL675" s="169"/>
      <c r="EM675" s="169"/>
      <c r="EN675" s="169"/>
      <c r="EO675" s="169"/>
      <c r="EP675" s="169"/>
      <c r="EQ675" s="169"/>
      <c r="ER675" s="169"/>
      <c r="ES675" s="169"/>
      <c r="ET675" s="169"/>
      <c r="EU675" s="169"/>
      <c r="EV675" s="169"/>
      <c r="EW675" s="169"/>
      <c r="EX675" s="169"/>
    </row>
    <row r="676" spans="1:154">
      <c r="A676" s="333">
        <f t="shared" si="21"/>
        <v>1900</v>
      </c>
      <c r="B676" s="333">
        <f t="shared" si="22"/>
        <v>1</v>
      </c>
      <c r="AI676" s="1878" t="s">
        <v>4</v>
      </c>
      <c r="AJ676" s="1827">
        <v>2016</v>
      </c>
      <c r="AK676" s="1822" t="s">
        <v>22</v>
      </c>
      <c r="AL676" s="1822">
        <v>6</v>
      </c>
      <c r="AM676" s="1891">
        <v>655885163</v>
      </c>
      <c r="AN676" s="1824">
        <v>4.5999999999999999E-2</v>
      </c>
      <c r="AO676" s="1822"/>
      <c r="AP676" s="1905" t="s">
        <v>4</v>
      </c>
      <c r="AQ676" s="1822" t="s">
        <v>505</v>
      </c>
      <c r="AR676" s="1822" t="s">
        <v>25</v>
      </c>
      <c r="AS676" s="1822">
        <v>8</v>
      </c>
      <c r="AT676" s="1823">
        <v>253206484.62</v>
      </c>
      <c r="AU676" s="1825">
        <v>1.7773918912146629E-2</v>
      </c>
      <c r="AV676" s="1822">
        <v>2015</v>
      </c>
      <c r="EA676" s="169"/>
      <c r="EB676" s="169"/>
      <c r="EC676" s="169"/>
      <c r="ED676" s="169"/>
      <c r="EE676" s="169"/>
      <c r="EF676" s="169"/>
      <c r="EG676" s="169"/>
      <c r="EH676" s="169"/>
      <c r="EI676" s="169"/>
      <c r="EJ676" s="169"/>
      <c r="EK676" s="169"/>
      <c r="EL676" s="169"/>
      <c r="EM676" s="169"/>
      <c r="EN676" s="169"/>
      <c r="EO676" s="169"/>
      <c r="EP676" s="169"/>
      <c r="EQ676" s="169"/>
      <c r="ER676" s="169"/>
      <c r="ES676" s="169"/>
      <c r="ET676" s="169"/>
      <c r="EU676" s="169"/>
      <c r="EV676" s="169"/>
      <c r="EW676" s="169"/>
      <c r="EX676" s="169"/>
    </row>
    <row r="677" spans="1:154">
      <c r="A677" s="333">
        <f t="shared" si="21"/>
        <v>1900</v>
      </c>
      <c r="B677" s="333">
        <f t="shared" si="22"/>
        <v>1</v>
      </c>
      <c r="AI677" s="1878" t="s">
        <v>4</v>
      </c>
      <c r="AJ677" s="1827">
        <v>2016</v>
      </c>
      <c r="AK677" s="1822" t="s">
        <v>25</v>
      </c>
      <c r="AL677" s="1822">
        <v>7</v>
      </c>
      <c r="AM677" s="1891">
        <v>357107506</v>
      </c>
      <c r="AN677" s="1824">
        <v>2.5000000000000001E-2</v>
      </c>
      <c r="AO677" s="1822"/>
      <c r="AP677" s="1905" t="s">
        <v>4</v>
      </c>
      <c r="AQ677" s="1822" t="s">
        <v>505</v>
      </c>
      <c r="AR677" s="1822" t="s">
        <v>758</v>
      </c>
      <c r="AS677" s="1822">
        <v>9</v>
      </c>
      <c r="AT677" s="1823">
        <v>205282023.37000003</v>
      </c>
      <c r="AU677" s="1825">
        <v>1.440984437257012E-2</v>
      </c>
      <c r="AV677" s="1822">
        <v>2015</v>
      </c>
      <c r="EA677" s="169"/>
      <c r="EB677" s="169"/>
      <c r="EC677" s="169"/>
      <c r="ED677" s="169"/>
      <c r="EE677" s="169"/>
      <c r="EF677" s="169"/>
      <c r="EG677" s="169"/>
      <c r="EH677" s="169"/>
      <c r="EI677" s="169"/>
      <c r="EJ677" s="169"/>
      <c r="EK677" s="169"/>
      <c r="EL677" s="169"/>
      <c r="EM677" s="169"/>
      <c r="EN677" s="169"/>
      <c r="EO677" s="169"/>
      <c r="EP677" s="169"/>
      <c r="EQ677" s="169"/>
      <c r="ER677" s="169"/>
      <c r="ES677" s="169"/>
      <c r="ET677" s="169"/>
      <c r="EU677" s="169"/>
      <c r="EV677" s="169"/>
      <c r="EW677" s="169"/>
      <c r="EX677" s="169"/>
    </row>
    <row r="678" spans="1:154">
      <c r="A678" s="333">
        <f t="shared" si="21"/>
        <v>1900</v>
      </c>
      <c r="B678" s="333">
        <f t="shared" si="22"/>
        <v>1</v>
      </c>
      <c r="X678" s="637"/>
      <c r="Y678" s="460"/>
      <c r="Z678" s="460"/>
      <c r="AA678" s="1918"/>
      <c r="AI678" s="1878" t="s">
        <v>4</v>
      </c>
      <c r="AJ678" s="1827">
        <v>2016</v>
      </c>
      <c r="AK678" s="1822" t="s">
        <v>21</v>
      </c>
      <c r="AL678" s="1822">
        <v>8</v>
      </c>
      <c r="AM678" s="1891">
        <v>323494386</v>
      </c>
      <c r="AN678" s="1824">
        <v>2.3E-2</v>
      </c>
      <c r="AO678" s="1822"/>
      <c r="AP678" s="1905" t="s">
        <v>4</v>
      </c>
      <c r="AQ678" s="1822" t="s">
        <v>505</v>
      </c>
      <c r="AR678" s="1822" t="s">
        <v>537</v>
      </c>
      <c r="AS678" s="1822">
        <v>10</v>
      </c>
      <c r="AT678" s="1823">
        <v>145876042.13999999</v>
      </c>
      <c r="AU678" s="1825">
        <v>1.0239820469496964E-2</v>
      </c>
      <c r="AV678" s="1822">
        <v>2015</v>
      </c>
      <c r="EA678" s="169"/>
      <c r="EB678" s="169"/>
      <c r="EC678" s="169"/>
      <c r="ED678" s="169"/>
      <c r="EE678" s="169"/>
      <c r="EF678" s="169"/>
      <c r="EG678" s="169"/>
      <c r="EH678" s="169"/>
      <c r="EI678" s="169"/>
      <c r="EJ678" s="169"/>
      <c r="EK678" s="169"/>
      <c r="EL678" s="169"/>
      <c r="EM678" s="169"/>
      <c r="EN678" s="169"/>
      <c r="EO678" s="169"/>
      <c r="EP678" s="169"/>
      <c r="EQ678" s="169"/>
      <c r="ER678" s="169"/>
      <c r="ES678" s="169"/>
      <c r="ET678" s="169"/>
      <c r="EU678" s="169"/>
      <c r="EV678" s="169"/>
      <c r="EW678" s="169"/>
      <c r="EX678" s="169"/>
    </row>
    <row r="679" spans="1:154">
      <c r="A679" s="333">
        <f t="shared" si="21"/>
        <v>1900</v>
      </c>
      <c r="B679" s="333">
        <f t="shared" si="22"/>
        <v>1</v>
      </c>
      <c r="AI679" s="1878" t="s">
        <v>4</v>
      </c>
      <c r="AJ679" s="1827">
        <v>2016</v>
      </c>
      <c r="AK679" s="1822" t="s">
        <v>537</v>
      </c>
      <c r="AL679" s="1822">
        <v>9</v>
      </c>
      <c r="AM679" s="1891">
        <v>104617048</v>
      </c>
      <c r="AN679" s="1824">
        <v>7.0000000000000001E-3</v>
      </c>
      <c r="AO679" s="1822"/>
      <c r="AP679" s="1905" t="s">
        <v>4</v>
      </c>
      <c r="AQ679" s="1822" t="s">
        <v>505</v>
      </c>
      <c r="AR679" s="1822" t="s">
        <v>39</v>
      </c>
      <c r="AS679" s="1822"/>
      <c r="AT679" s="1823">
        <v>300668308.23999977</v>
      </c>
      <c r="AU679" s="1825">
        <v>2.1105518439348665E-2</v>
      </c>
      <c r="AV679" s="1822">
        <v>2015</v>
      </c>
      <c r="EA679" s="169"/>
      <c r="EB679" s="169"/>
      <c r="EC679" s="169"/>
      <c r="ED679" s="169"/>
      <c r="EE679" s="169"/>
      <c r="EF679" s="169"/>
      <c r="EG679" s="169"/>
      <c r="EH679" s="169"/>
      <c r="EI679" s="169"/>
      <c r="EJ679" s="169"/>
      <c r="EK679" s="169"/>
      <c r="EL679" s="169"/>
      <c r="EM679" s="169"/>
      <c r="EN679" s="169"/>
      <c r="EO679" s="169"/>
      <c r="EP679" s="169"/>
      <c r="EQ679" s="169"/>
      <c r="ER679" s="169"/>
      <c r="ES679" s="169"/>
      <c r="ET679" s="169"/>
      <c r="EU679" s="169"/>
      <c r="EV679" s="169"/>
      <c r="EW679" s="169"/>
      <c r="EX679" s="169"/>
    </row>
    <row r="680" spans="1:154">
      <c r="A680" s="333">
        <f t="shared" si="21"/>
        <v>1900</v>
      </c>
      <c r="B680" s="333">
        <f t="shared" si="22"/>
        <v>1</v>
      </c>
      <c r="AI680" s="1878" t="s">
        <v>4</v>
      </c>
      <c r="AJ680" s="1827">
        <v>2016</v>
      </c>
      <c r="AK680" s="1822" t="s">
        <v>28</v>
      </c>
      <c r="AL680" s="1822">
        <v>10</v>
      </c>
      <c r="AM680" s="1891">
        <v>88824877</v>
      </c>
      <c r="AN680" s="1824">
        <v>6.0000000000000001E-3</v>
      </c>
      <c r="AO680" s="1822"/>
      <c r="AP680" s="1905" t="s">
        <v>4</v>
      </c>
      <c r="AQ680" s="1822" t="s">
        <v>505</v>
      </c>
      <c r="AR680" s="1822" t="s">
        <v>386</v>
      </c>
      <c r="AS680" s="1822"/>
      <c r="AT680" s="1823">
        <v>14245957004.279999</v>
      </c>
      <c r="AU680" s="1825"/>
      <c r="AV680" s="1822">
        <v>2015</v>
      </c>
      <c r="EA680" s="169"/>
      <c r="EB680" s="169"/>
      <c r="EC680" s="169"/>
      <c r="ED680" s="169"/>
      <c r="EE680" s="169"/>
      <c r="EF680" s="169"/>
      <c r="EG680" s="169"/>
      <c r="EH680" s="169"/>
      <c r="EI680" s="169"/>
      <c r="EJ680" s="169"/>
      <c r="EK680" s="169"/>
      <c r="EL680" s="169"/>
      <c r="EM680" s="169"/>
      <c r="EN680" s="169"/>
      <c r="EO680" s="169"/>
      <c r="EP680" s="169"/>
      <c r="EQ680" s="169"/>
      <c r="ER680" s="169"/>
      <c r="ES680" s="169"/>
      <c r="ET680" s="169"/>
      <c r="EU680" s="169"/>
      <c r="EV680" s="169"/>
      <c r="EW680" s="169"/>
      <c r="EX680" s="169"/>
    </row>
    <row r="681" spans="1:154">
      <c r="A681" s="333">
        <f t="shared" si="21"/>
        <v>1900</v>
      </c>
      <c r="B681" s="333">
        <f t="shared" si="22"/>
        <v>1</v>
      </c>
      <c r="AI681" s="1878" t="s">
        <v>4</v>
      </c>
      <c r="AJ681" s="1827">
        <v>2016</v>
      </c>
      <c r="AK681" s="1822" t="s">
        <v>39</v>
      </c>
      <c r="AL681" s="1822"/>
      <c r="AM681" s="1891">
        <v>113587877</v>
      </c>
      <c r="AN681" s="1824">
        <v>8.0000000000000002E-3</v>
      </c>
      <c r="AO681" s="1822"/>
      <c r="AP681" s="1905" t="s">
        <v>4</v>
      </c>
      <c r="AQ681" s="1822" t="s">
        <v>504</v>
      </c>
      <c r="AR681" s="1822" t="s">
        <v>23</v>
      </c>
      <c r="AS681" s="1822">
        <v>1</v>
      </c>
      <c r="AT681" s="1823">
        <v>12251880772</v>
      </c>
      <c r="AU681" s="1825">
        <v>0.61899999999999999</v>
      </c>
      <c r="AV681" s="1822">
        <v>2014</v>
      </c>
      <c r="EA681" s="169"/>
      <c r="EB681" s="169"/>
      <c r="EC681" s="169"/>
      <c r="ED681" s="169"/>
      <c r="EE681" s="169"/>
      <c r="EF681" s="169"/>
      <c r="EG681" s="169"/>
      <c r="EH681" s="169"/>
      <c r="EI681" s="169"/>
      <c r="EJ681" s="169"/>
      <c r="EK681" s="169"/>
      <c r="EL681" s="169"/>
      <c r="EM681" s="169"/>
      <c r="EN681" s="169"/>
      <c r="EO681" s="169"/>
      <c r="EP681" s="169"/>
      <c r="EQ681" s="169"/>
      <c r="ER681" s="169"/>
      <c r="ES681" s="169"/>
      <c r="ET681" s="169"/>
      <c r="EU681" s="169"/>
      <c r="EV681" s="169"/>
      <c r="EW681" s="169"/>
      <c r="EX681" s="169"/>
    </row>
    <row r="682" spans="1:154">
      <c r="A682" s="333">
        <f t="shared" si="21"/>
        <v>1900</v>
      </c>
      <c r="B682" s="333">
        <f t="shared" si="22"/>
        <v>1</v>
      </c>
      <c r="AI682" s="1878" t="s">
        <v>4</v>
      </c>
      <c r="AJ682" s="1827">
        <v>2016</v>
      </c>
      <c r="AK682" s="1822" t="s">
        <v>114</v>
      </c>
      <c r="AL682" s="1822"/>
      <c r="AM682" s="1891">
        <v>14252654720</v>
      </c>
      <c r="AN682" s="1824">
        <v>1</v>
      </c>
      <c r="AO682" s="1822"/>
      <c r="AP682" s="1905" t="s">
        <v>4</v>
      </c>
      <c r="AQ682" s="1822" t="s">
        <v>504</v>
      </c>
      <c r="AR682" s="1822" t="s">
        <v>24</v>
      </c>
      <c r="AS682" s="1822">
        <v>2</v>
      </c>
      <c r="AT682" s="1823">
        <v>2271243378</v>
      </c>
      <c r="AU682" s="1825">
        <v>0.115</v>
      </c>
      <c r="AV682" s="1822">
        <v>2014</v>
      </c>
    </row>
    <row r="683" spans="1:154">
      <c r="A683" s="333">
        <f t="shared" si="21"/>
        <v>1900</v>
      </c>
      <c r="B683" s="333">
        <f t="shared" si="22"/>
        <v>1</v>
      </c>
      <c r="AI683" s="1878" t="s">
        <v>457</v>
      </c>
      <c r="AJ683" s="1827">
        <v>2016</v>
      </c>
      <c r="AK683" s="1822" t="s">
        <v>63</v>
      </c>
      <c r="AL683" s="1822">
        <v>1</v>
      </c>
      <c r="AM683" s="1891">
        <v>116184485.22999999</v>
      </c>
      <c r="AN683" s="1824">
        <v>0.15468502215532481</v>
      </c>
      <c r="AO683" s="1822"/>
      <c r="AP683" s="1905" t="s">
        <v>4</v>
      </c>
      <c r="AQ683" s="1822" t="s">
        <v>504</v>
      </c>
      <c r="AR683" s="1822" t="s">
        <v>18</v>
      </c>
      <c r="AS683" s="1822">
        <v>3</v>
      </c>
      <c r="AT683" s="1823">
        <v>1936328376</v>
      </c>
      <c r="AU683" s="1825">
        <v>9.8000000000000004E-2</v>
      </c>
      <c r="AV683" s="1822">
        <v>2014</v>
      </c>
    </row>
    <row r="684" spans="1:154">
      <c r="A684" s="333">
        <f t="shared" si="21"/>
        <v>1900</v>
      </c>
      <c r="B684" s="333">
        <f t="shared" si="22"/>
        <v>1</v>
      </c>
      <c r="AI684" s="1878" t="s">
        <v>457</v>
      </c>
      <c r="AJ684" s="1827">
        <v>2016</v>
      </c>
      <c r="AK684" s="1822" t="s">
        <v>758</v>
      </c>
      <c r="AL684" s="1822">
        <v>2</v>
      </c>
      <c r="AM684" s="1891">
        <v>110455581.50999999</v>
      </c>
      <c r="AN684" s="1824">
        <v>0.1470577077415316</v>
      </c>
      <c r="AO684" s="1822"/>
      <c r="AP684" s="1905" t="s">
        <v>4</v>
      </c>
      <c r="AQ684" s="1822" t="s">
        <v>504</v>
      </c>
      <c r="AR684" s="1822" t="s">
        <v>61</v>
      </c>
      <c r="AS684" s="1822">
        <v>4</v>
      </c>
      <c r="AT684" s="1823">
        <v>1472235510</v>
      </c>
      <c r="AU684" s="1825">
        <v>7.3999999999999996E-2</v>
      </c>
      <c r="AV684" s="1822">
        <v>2014</v>
      </c>
    </row>
    <row r="685" spans="1:154">
      <c r="A685" s="333">
        <f t="shared" si="21"/>
        <v>1900</v>
      </c>
      <c r="B685" s="333">
        <f t="shared" si="22"/>
        <v>1</v>
      </c>
      <c r="AI685" s="1878" t="s">
        <v>457</v>
      </c>
      <c r="AJ685" s="1827">
        <v>2016</v>
      </c>
      <c r="AK685" s="1822" t="s">
        <v>18</v>
      </c>
      <c r="AL685" s="1822">
        <v>3</v>
      </c>
      <c r="AM685" s="1891">
        <v>109730907.50999998</v>
      </c>
      <c r="AN685" s="1824">
        <v>0.14609289549897198</v>
      </c>
      <c r="AO685" s="1822"/>
      <c r="AP685" s="1905" t="s">
        <v>4</v>
      </c>
      <c r="AQ685" s="1822" t="s">
        <v>504</v>
      </c>
      <c r="AR685" s="1822" t="s">
        <v>25</v>
      </c>
      <c r="AS685" s="1822">
        <v>5</v>
      </c>
      <c r="AT685" s="1823">
        <v>684083684</v>
      </c>
      <c r="AU685" s="1825">
        <v>3.5000000000000003E-2</v>
      </c>
      <c r="AV685" s="1822">
        <v>2014</v>
      </c>
    </row>
    <row r="686" spans="1:154">
      <c r="A686" s="333">
        <f t="shared" si="21"/>
        <v>1900</v>
      </c>
      <c r="B686" s="333">
        <f t="shared" si="22"/>
        <v>1</v>
      </c>
      <c r="AI686" s="1878" t="s">
        <v>457</v>
      </c>
      <c r="AJ686" s="1827">
        <v>2016</v>
      </c>
      <c r="AK686" s="1822" t="s">
        <v>31</v>
      </c>
      <c r="AL686" s="1822">
        <v>4</v>
      </c>
      <c r="AM686" s="1891">
        <v>90044172.909999996</v>
      </c>
      <c r="AN686" s="1824">
        <v>0.11988248563453439</v>
      </c>
      <c r="AO686" s="1822"/>
      <c r="AP686" s="1905" t="s">
        <v>4</v>
      </c>
      <c r="AQ686" s="1822" t="s">
        <v>504</v>
      </c>
      <c r="AR686" s="1822" t="s">
        <v>33</v>
      </c>
      <c r="AS686" s="1822">
        <v>6</v>
      </c>
      <c r="AT686" s="1823">
        <v>456657713</v>
      </c>
      <c r="AU686" s="1825">
        <v>2.3E-2</v>
      </c>
      <c r="AV686" s="1822">
        <v>2014</v>
      </c>
    </row>
    <row r="687" spans="1:154">
      <c r="A687" s="333">
        <f t="shared" si="21"/>
        <v>1900</v>
      </c>
      <c r="B687" s="333">
        <f t="shared" si="22"/>
        <v>1</v>
      </c>
      <c r="AI687" s="1878" t="s">
        <v>457</v>
      </c>
      <c r="AJ687" s="1827">
        <v>2016</v>
      </c>
      <c r="AK687" s="1822" t="s">
        <v>27</v>
      </c>
      <c r="AL687" s="1822">
        <v>5</v>
      </c>
      <c r="AM687" s="1891">
        <v>65183914.619999997</v>
      </c>
      <c r="AN687" s="1824">
        <v>8.6784179980701717E-2</v>
      </c>
      <c r="AO687" s="1822"/>
      <c r="AP687" s="1905" t="s">
        <v>4</v>
      </c>
      <c r="AQ687" s="1822" t="s">
        <v>504</v>
      </c>
      <c r="AR687" s="1822" t="s">
        <v>125</v>
      </c>
      <c r="AS687" s="1822">
        <v>7</v>
      </c>
      <c r="AT687" s="1823">
        <v>193116456</v>
      </c>
      <c r="AU687" s="1825">
        <v>0.01</v>
      </c>
      <c r="AV687" s="1822">
        <v>2014</v>
      </c>
    </row>
    <row r="688" spans="1:154">
      <c r="A688" s="333">
        <f t="shared" si="21"/>
        <v>1900</v>
      </c>
      <c r="B688" s="333">
        <f t="shared" si="22"/>
        <v>1</v>
      </c>
      <c r="AI688" s="1878" t="s">
        <v>457</v>
      </c>
      <c r="AJ688" s="1827">
        <v>2016</v>
      </c>
      <c r="AK688" s="1822" t="s">
        <v>70</v>
      </c>
      <c r="AL688" s="1822">
        <v>6</v>
      </c>
      <c r="AM688" s="1891">
        <v>51054366.489999995</v>
      </c>
      <c r="AN688" s="1824">
        <v>6.7972464619506248E-2</v>
      </c>
      <c r="AO688" s="1822"/>
      <c r="AP688" s="1905" t="s">
        <v>4</v>
      </c>
      <c r="AQ688" s="1822" t="s">
        <v>504</v>
      </c>
      <c r="AR688" s="1822" t="s">
        <v>537</v>
      </c>
      <c r="AS688" s="1822">
        <v>8</v>
      </c>
      <c r="AT688" s="1823">
        <v>126956301</v>
      </c>
      <c r="AU688" s="1825">
        <v>6.0000000000000001E-3</v>
      </c>
      <c r="AV688" s="1822">
        <v>2014</v>
      </c>
    </row>
    <row r="689" spans="1:48">
      <c r="A689" s="333">
        <f t="shared" si="21"/>
        <v>1900</v>
      </c>
      <c r="B689" s="333">
        <f t="shared" si="22"/>
        <v>1</v>
      </c>
      <c r="AI689" s="1878" t="s">
        <v>457</v>
      </c>
      <c r="AJ689" s="1827">
        <v>2016</v>
      </c>
      <c r="AK689" s="1822" t="s">
        <v>25</v>
      </c>
      <c r="AL689" s="1822">
        <v>7</v>
      </c>
      <c r="AM689" s="1891">
        <v>33636942.020000011</v>
      </c>
      <c r="AN689" s="1824">
        <v>4.4783355637380548E-2</v>
      </c>
      <c r="AO689" s="1822"/>
      <c r="AP689" s="1905" t="s">
        <v>4</v>
      </c>
      <c r="AQ689" s="1822" t="s">
        <v>504</v>
      </c>
      <c r="AR689" s="1822" t="s">
        <v>21</v>
      </c>
      <c r="AS689" s="1822">
        <v>9</v>
      </c>
      <c r="AT689" s="1823">
        <v>123007257</v>
      </c>
      <c r="AU689" s="1825">
        <v>6.0000000000000001E-3</v>
      </c>
      <c r="AV689" s="1822">
        <v>2014</v>
      </c>
    </row>
    <row r="690" spans="1:48">
      <c r="A690" s="333">
        <f t="shared" si="21"/>
        <v>1900</v>
      </c>
      <c r="B690" s="333">
        <f t="shared" si="22"/>
        <v>1</v>
      </c>
      <c r="AI690" s="1878" t="s">
        <v>457</v>
      </c>
      <c r="AJ690" s="1827">
        <v>2016</v>
      </c>
      <c r="AK690" s="1822" t="s">
        <v>54</v>
      </c>
      <c r="AL690" s="1822">
        <v>8</v>
      </c>
      <c r="AM690" s="1891">
        <v>31618901.259999998</v>
      </c>
      <c r="AN690" s="1824">
        <v>4.2096588303058811E-2</v>
      </c>
      <c r="AO690" s="1822"/>
      <c r="AP690" s="1905" t="s">
        <v>4</v>
      </c>
      <c r="AQ690" s="1822" t="s">
        <v>504</v>
      </c>
      <c r="AR690" s="1822" t="s">
        <v>532</v>
      </c>
      <c r="AS690" s="1822">
        <v>10</v>
      </c>
      <c r="AT690" s="1823">
        <v>70357677</v>
      </c>
      <c r="AU690" s="1825">
        <v>4.0000000000000001E-3</v>
      </c>
      <c r="AV690" s="1822">
        <v>2014</v>
      </c>
    </row>
    <row r="691" spans="1:48">
      <c r="A691" s="333">
        <f t="shared" si="21"/>
        <v>1900</v>
      </c>
      <c r="B691" s="333">
        <f t="shared" si="22"/>
        <v>1</v>
      </c>
      <c r="AI691" s="1878" t="s">
        <v>457</v>
      </c>
      <c r="AJ691" s="1827">
        <v>2016</v>
      </c>
      <c r="AK691" s="1822" t="s">
        <v>21</v>
      </c>
      <c r="AL691" s="1822">
        <v>9</v>
      </c>
      <c r="AM691" s="1891">
        <v>29056666.979999997</v>
      </c>
      <c r="AN691" s="1824">
        <v>3.8685295774763526E-2</v>
      </c>
      <c r="AO691" s="1822"/>
      <c r="AP691" s="1905" t="s">
        <v>4</v>
      </c>
      <c r="AQ691" s="1822" t="s">
        <v>504</v>
      </c>
      <c r="AR691" s="1822" t="s">
        <v>39</v>
      </c>
      <c r="AS691" s="1822"/>
      <c r="AT691" s="1823">
        <v>217463237</v>
      </c>
      <c r="AU691" s="1825">
        <v>1.0999999999999999E-2</v>
      </c>
      <c r="AV691" s="1822">
        <v>2014</v>
      </c>
    </row>
    <row r="692" spans="1:48">
      <c r="A692" s="333">
        <f t="shared" si="21"/>
        <v>1900</v>
      </c>
      <c r="B692" s="333">
        <f t="shared" si="22"/>
        <v>1</v>
      </c>
      <c r="AI692" s="1878" t="s">
        <v>457</v>
      </c>
      <c r="AJ692" s="1827">
        <v>2016</v>
      </c>
      <c r="AK692" s="1822" t="s">
        <v>537</v>
      </c>
      <c r="AL692" s="1822">
        <v>10</v>
      </c>
      <c r="AM692" s="1891">
        <v>20632773.189999998</v>
      </c>
      <c r="AN692" s="1824">
        <v>2.7469941203447732E-2</v>
      </c>
      <c r="AO692" s="1822"/>
      <c r="AP692" s="1905" t="s">
        <v>4</v>
      </c>
      <c r="AQ692" s="1822" t="s">
        <v>504</v>
      </c>
      <c r="AR692" s="1822" t="s">
        <v>386</v>
      </c>
      <c r="AS692" s="1822"/>
      <c r="AT692" s="1823">
        <v>19803330360</v>
      </c>
      <c r="AU692" s="1825">
        <v>1</v>
      </c>
      <c r="AV692" s="1822">
        <v>2014</v>
      </c>
    </row>
    <row r="693" spans="1:48">
      <c r="A693" s="333">
        <f t="shared" si="21"/>
        <v>1900</v>
      </c>
      <c r="B693" s="333">
        <f t="shared" si="22"/>
        <v>1</v>
      </c>
      <c r="AI693" s="1878" t="s">
        <v>457</v>
      </c>
      <c r="AJ693" s="1827">
        <v>2016</v>
      </c>
      <c r="AK693" s="1822" t="s">
        <v>39</v>
      </c>
      <c r="AL693" s="1822"/>
      <c r="AM693" s="1891">
        <v>93504941.439999938</v>
      </c>
      <c r="AN693" s="1824">
        <v>0.12449006345077852</v>
      </c>
      <c r="AO693" s="1822"/>
      <c r="AP693" s="1905" t="s">
        <v>4</v>
      </c>
      <c r="AQ693" s="1822" t="s">
        <v>503</v>
      </c>
      <c r="AR693" s="1822" t="s">
        <v>23</v>
      </c>
      <c r="AS693" s="1822">
        <v>1</v>
      </c>
      <c r="AT693" s="1823">
        <v>12934183492</v>
      </c>
      <c r="AU693" s="1825">
        <v>0.61099999999999999</v>
      </c>
      <c r="AV693" s="1822">
        <v>2013</v>
      </c>
    </row>
    <row r="694" spans="1:48">
      <c r="A694" s="333">
        <f t="shared" si="21"/>
        <v>1900</v>
      </c>
      <c r="B694" s="333">
        <f t="shared" si="22"/>
        <v>1</v>
      </c>
      <c r="AI694" s="1878" t="s">
        <v>457</v>
      </c>
      <c r="AJ694" s="1827">
        <v>2016</v>
      </c>
      <c r="AK694" s="1822" t="s">
        <v>386</v>
      </c>
      <c r="AL694" s="1822"/>
      <c r="AM694" s="1891">
        <v>751103653.15999997</v>
      </c>
      <c r="AN694" s="1824"/>
      <c r="AO694" s="1822"/>
      <c r="AP694" s="1905" t="s">
        <v>4</v>
      </c>
      <c r="AQ694" s="1822" t="s">
        <v>503</v>
      </c>
      <c r="AR694" s="1822" t="s">
        <v>24</v>
      </c>
      <c r="AS694" s="1822">
        <v>2</v>
      </c>
      <c r="AT694" s="1823">
        <v>2210936410</v>
      </c>
      <c r="AU694" s="1825">
        <v>0.104</v>
      </c>
      <c r="AV694" s="1822">
        <v>2013</v>
      </c>
    </row>
    <row r="695" spans="1:48">
      <c r="A695" s="333">
        <f t="shared" si="21"/>
        <v>1900</v>
      </c>
      <c r="B695" s="333">
        <f t="shared" si="22"/>
        <v>1</v>
      </c>
      <c r="AI695" s="1878" t="s">
        <v>1</v>
      </c>
      <c r="AJ695" s="1827">
        <v>2016</v>
      </c>
      <c r="AK695" s="1822" t="s">
        <v>530</v>
      </c>
      <c r="AL695" s="1822">
        <v>1</v>
      </c>
      <c r="AM695" s="1891">
        <v>8826362000</v>
      </c>
      <c r="AN695" s="1824">
        <v>0.49722621569246023</v>
      </c>
      <c r="AO695" s="1822"/>
      <c r="AP695" s="1905" t="s">
        <v>4</v>
      </c>
      <c r="AQ695" s="1822" t="s">
        <v>503</v>
      </c>
      <c r="AR695" s="1822" t="s">
        <v>18</v>
      </c>
      <c r="AS695" s="1822">
        <v>3</v>
      </c>
      <c r="AT695" s="1823">
        <v>1936328376</v>
      </c>
      <c r="AU695" s="1825">
        <v>9.0999999999999998E-2</v>
      </c>
      <c r="AV695" s="1822">
        <v>2013</v>
      </c>
    </row>
    <row r="696" spans="1:48">
      <c r="A696" s="333">
        <f t="shared" si="21"/>
        <v>1900</v>
      </c>
      <c r="B696" s="333">
        <f t="shared" si="22"/>
        <v>1</v>
      </c>
      <c r="AI696" s="1878" t="s">
        <v>1</v>
      </c>
      <c r="AJ696" s="1827">
        <v>2016</v>
      </c>
      <c r="AK696" s="1822" t="s">
        <v>63</v>
      </c>
      <c r="AL696" s="1822">
        <v>2</v>
      </c>
      <c r="AM696" s="1891">
        <v>6962954000</v>
      </c>
      <c r="AN696" s="1824">
        <v>0.39225258010726033</v>
      </c>
      <c r="AO696" s="1822"/>
      <c r="AP696" s="1905" t="s">
        <v>4</v>
      </c>
      <c r="AQ696" s="1822" t="s">
        <v>503</v>
      </c>
      <c r="AR696" s="1822" t="s">
        <v>33</v>
      </c>
      <c r="AS696" s="1822">
        <v>4</v>
      </c>
      <c r="AT696" s="1823">
        <v>1124351431</v>
      </c>
      <c r="AU696" s="1825">
        <v>5.2999999999999999E-2</v>
      </c>
      <c r="AV696" s="1822">
        <v>2013</v>
      </c>
    </row>
    <row r="697" spans="1:48">
      <c r="A697" s="333">
        <f t="shared" si="21"/>
        <v>1900</v>
      </c>
      <c r="B697" s="333">
        <f t="shared" si="22"/>
        <v>1</v>
      </c>
      <c r="AI697" s="1878" t="s">
        <v>1</v>
      </c>
      <c r="AJ697" s="1827">
        <v>2016</v>
      </c>
      <c r="AK697" s="1822" t="s">
        <v>61</v>
      </c>
      <c r="AL697" s="1822">
        <v>3</v>
      </c>
      <c r="AM697" s="1891">
        <v>677095000</v>
      </c>
      <c r="AN697" s="1824">
        <v>3.8143618459597101E-2</v>
      </c>
      <c r="AO697" s="1822"/>
      <c r="AP697" s="1905" t="s">
        <v>4</v>
      </c>
      <c r="AQ697" s="1822" t="s">
        <v>503</v>
      </c>
      <c r="AR697" s="1822" t="s">
        <v>61</v>
      </c>
      <c r="AS697" s="1822">
        <v>5</v>
      </c>
      <c r="AT697" s="1823">
        <v>1108091708</v>
      </c>
      <c r="AU697" s="1825">
        <v>5.1999999999999998E-2</v>
      </c>
      <c r="AV697" s="1822">
        <v>2013</v>
      </c>
    </row>
    <row r="698" spans="1:48">
      <c r="A698" s="333">
        <f t="shared" si="21"/>
        <v>1900</v>
      </c>
      <c r="B698" s="333">
        <f t="shared" si="22"/>
        <v>1</v>
      </c>
      <c r="AI698" s="1878" t="s">
        <v>1</v>
      </c>
      <c r="AJ698" s="1827">
        <v>2016</v>
      </c>
      <c r="AK698" s="1822" t="s">
        <v>33</v>
      </c>
      <c r="AL698" s="1822">
        <v>4</v>
      </c>
      <c r="AM698" s="1891">
        <v>413398000</v>
      </c>
      <c r="AN698" s="1824">
        <v>2.3288453738338818E-2</v>
      </c>
      <c r="AO698" s="1822"/>
      <c r="AP698" s="1905" t="s">
        <v>4</v>
      </c>
      <c r="AQ698" s="1822" t="s">
        <v>503</v>
      </c>
      <c r="AR698" s="1822" t="s">
        <v>25</v>
      </c>
      <c r="AS698" s="1822">
        <v>6</v>
      </c>
      <c r="AT698" s="1823">
        <v>654849377</v>
      </c>
      <c r="AU698" s="1825">
        <v>3.1E-2</v>
      </c>
      <c r="AV698" s="1822">
        <v>2013</v>
      </c>
    </row>
    <row r="699" spans="1:48">
      <c r="A699" s="333">
        <f t="shared" si="21"/>
        <v>1900</v>
      </c>
      <c r="B699" s="333">
        <f t="shared" si="22"/>
        <v>1</v>
      </c>
      <c r="AI699" s="1878" t="s">
        <v>1</v>
      </c>
      <c r="AJ699" s="1827">
        <v>2016</v>
      </c>
      <c r="AK699" s="1822" t="s">
        <v>21</v>
      </c>
      <c r="AL699" s="1822">
        <v>5</v>
      </c>
      <c r="AM699" s="1891">
        <v>292369000</v>
      </c>
      <c r="AN699" s="1824">
        <v>1.647037946730362E-2</v>
      </c>
      <c r="AO699" s="1822"/>
      <c r="AP699" s="1905" t="s">
        <v>4</v>
      </c>
      <c r="AQ699" s="1822" t="s">
        <v>503</v>
      </c>
      <c r="AR699" s="1822" t="s">
        <v>125</v>
      </c>
      <c r="AS699" s="1822">
        <v>7</v>
      </c>
      <c r="AT699" s="1823">
        <v>425405185</v>
      </c>
      <c r="AU699" s="1825">
        <v>0.02</v>
      </c>
      <c r="AV699" s="1822">
        <v>2013</v>
      </c>
    </row>
    <row r="700" spans="1:48">
      <c r="A700" s="333">
        <f t="shared" si="21"/>
        <v>1900</v>
      </c>
      <c r="B700" s="333">
        <f t="shared" si="22"/>
        <v>1</v>
      </c>
      <c r="AI700" s="1878" t="s">
        <v>1</v>
      </c>
      <c r="AJ700" s="1827">
        <v>2016</v>
      </c>
      <c r="AK700" s="1822" t="s">
        <v>371</v>
      </c>
      <c r="AL700" s="1822">
        <v>6</v>
      </c>
      <c r="AM700" s="1891">
        <v>216016000</v>
      </c>
      <c r="AN700" s="1824">
        <v>1.2169092793726622E-2</v>
      </c>
      <c r="AO700" s="1822"/>
      <c r="AP700" s="1905" t="s">
        <v>4</v>
      </c>
      <c r="AQ700" s="1822" t="s">
        <v>503</v>
      </c>
      <c r="AR700" s="1822" t="s">
        <v>22</v>
      </c>
      <c r="AS700" s="1822">
        <v>8</v>
      </c>
      <c r="AT700" s="1823">
        <v>307454638</v>
      </c>
      <c r="AU700" s="1825">
        <v>1.4999999999999999E-2</v>
      </c>
      <c r="AV700" s="1822">
        <v>2013</v>
      </c>
    </row>
    <row r="701" spans="1:48">
      <c r="A701" s="333">
        <f t="shared" si="21"/>
        <v>1900</v>
      </c>
      <c r="B701" s="333">
        <f t="shared" si="22"/>
        <v>1</v>
      </c>
      <c r="AI701" s="1878" t="s">
        <v>1</v>
      </c>
      <c r="AJ701" s="1827">
        <v>2016</v>
      </c>
      <c r="AK701" s="1822" t="s">
        <v>758</v>
      </c>
      <c r="AL701" s="1822">
        <v>7</v>
      </c>
      <c r="AM701" s="1891">
        <v>147318000</v>
      </c>
      <c r="AN701" s="1824">
        <v>8.299044571634594E-3</v>
      </c>
      <c r="AO701" s="1822"/>
      <c r="AP701" s="1905" t="s">
        <v>4</v>
      </c>
      <c r="AQ701" s="1822" t="s">
        <v>503</v>
      </c>
      <c r="AR701" s="1822" t="s">
        <v>21</v>
      </c>
      <c r="AS701" s="1822">
        <v>9</v>
      </c>
      <c r="AT701" s="1823">
        <v>182139294</v>
      </c>
      <c r="AU701" s="1825">
        <v>8.9999999999999993E-3</v>
      </c>
      <c r="AV701" s="1822">
        <v>2013</v>
      </c>
    </row>
    <row r="702" spans="1:48">
      <c r="A702" s="333">
        <f t="shared" si="21"/>
        <v>1900</v>
      </c>
      <c r="B702" s="333">
        <f t="shared" si="22"/>
        <v>1</v>
      </c>
      <c r="AI702" s="1878" t="s">
        <v>1</v>
      </c>
      <c r="AJ702" s="1827">
        <v>2016</v>
      </c>
      <c r="AK702" s="1822" t="s">
        <v>71</v>
      </c>
      <c r="AL702" s="1822">
        <v>8</v>
      </c>
      <c r="AM702" s="1891">
        <v>74805000</v>
      </c>
      <c r="AN702" s="1824">
        <v>4.2140813015458106E-3</v>
      </c>
      <c r="AO702" s="1822"/>
      <c r="AP702" s="1905" t="s">
        <v>4</v>
      </c>
      <c r="AQ702" s="1822" t="s">
        <v>503</v>
      </c>
      <c r="AR702" s="1822" t="s">
        <v>537</v>
      </c>
      <c r="AS702" s="1822">
        <v>10</v>
      </c>
      <c r="AT702" s="1823">
        <v>165872276</v>
      </c>
      <c r="AU702" s="1825">
        <v>8.0000000000000002E-3</v>
      </c>
      <c r="AV702" s="1822">
        <v>2013</v>
      </c>
    </row>
    <row r="703" spans="1:48">
      <c r="A703" s="333">
        <f t="shared" si="21"/>
        <v>1900</v>
      </c>
      <c r="B703" s="333">
        <f t="shared" si="22"/>
        <v>1</v>
      </c>
      <c r="AI703" s="1878" t="s">
        <v>1</v>
      </c>
      <c r="AJ703" s="1827">
        <v>2016</v>
      </c>
      <c r="AK703" s="1822" t="s">
        <v>58</v>
      </c>
      <c r="AL703" s="1822">
        <v>9</v>
      </c>
      <c r="AM703" s="1891">
        <v>73367000</v>
      </c>
      <c r="AN703" s="1824">
        <v>4.133072693677047E-3</v>
      </c>
      <c r="AO703" s="1822"/>
      <c r="AP703" s="1905" t="s">
        <v>4</v>
      </c>
      <c r="AQ703" s="1822" t="s">
        <v>503</v>
      </c>
      <c r="AR703" s="1822" t="s">
        <v>39</v>
      </c>
      <c r="AS703" s="1822"/>
      <c r="AT703" s="1823">
        <v>113248309</v>
      </c>
      <c r="AU703" s="1825">
        <v>5.0000000000000001E-3</v>
      </c>
      <c r="AV703" s="1822">
        <v>2013</v>
      </c>
    </row>
    <row r="704" spans="1:48">
      <c r="A704" s="333">
        <f t="shared" si="21"/>
        <v>1900</v>
      </c>
      <c r="B704" s="333">
        <f t="shared" si="22"/>
        <v>1</v>
      </c>
      <c r="AI704" s="1878" t="s">
        <v>1</v>
      </c>
      <c r="AJ704" s="1827">
        <v>2016</v>
      </c>
      <c r="AK704" s="1822" t="s">
        <v>28</v>
      </c>
      <c r="AL704" s="1822">
        <v>10</v>
      </c>
      <c r="AM704" s="1891">
        <v>25361000</v>
      </c>
      <c r="AN704" s="1824">
        <v>1.4286921447564109E-3</v>
      </c>
      <c r="AO704" s="1822"/>
      <c r="AP704" s="1905" t="s">
        <v>4</v>
      </c>
      <c r="AQ704" s="1822" t="s">
        <v>503</v>
      </c>
      <c r="AR704" s="1822" t="s">
        <v>386</v>
      </c>
      <c r="AS704" s="1822"/>
      <c r="AT704" s="1823">
        <v>21162860496</v>
      </c>
      <c r="AU704" s="1825">
        <v>1</v>
      </c>
      <c r="AV704" s="1822">
        <v>2013</v>
      </c>
    </row>
    <row r="705" spans="1:48">
      <c r="A705" s="333">
        <f t="shared" si="21"/>
        <v>1900</v>
      </c>
      <c r="B705" s="333">
        <f t="shared" si="22"/>
        <v>1</v>
      </c>
      <c r="AI705" s="1878" t="s">
        <v>1</v>
      </c>
      <c r="AJ705" s="1827">
        <v>2016</v>
      </c>
      <c r="AK705" s="1822" t="s">
        <v>39</v>
      </c>
      <c r="AL705" s="1822"/>
      <c r="AM705" s="1822">
        <v>42155000</v>
      </c>
      <c r="AN705" s="1824">
        <v>2.3747690296994006E-3</v>
      </c>
      <c r="AO705" s="1822"/>
      <c r="AP705" s="1905" t="s">
        <v>4</v>
      </c>
      <c r="AQ705" s="1822" t="s">
        <v>502</v>
      </c>
      <c r="AR705" s="1822" t="s">
        <v>23</v>
      </c>
      <c r="AS705" s="1822">
        <v>1</v>
      </c>
      <c r="AT705" s="1823">
        <v>11181272350</v>
      </c>
      <c r="AU705" s="1825">
        <v>0.55800000000000005</v>
      </c>
      <c r="AV705" s="1822">
        <v>2012</v>
      </c>
    </row>
    <row r="706" spans="1:48">
      <c r="A706" s="333">
        <f t="shared" si="21"/>
        <v>1900</v>
      </c>
      <c r="B706" s="333">
        <f t="shared" si="22"/>
        <v>1</v>
      </c>
      <c r="AI706" s="1878" t="s">
        <v>1</v>
      </c>
      <c r="AJ706" s="1827">
        <v>2016</v>
      </c>
      <c r="AK706" s="1822" t="s">
        <v>386</v>
      </c>
      <c r="AL706" s="1822"/>
      <c r="AM706" s="1891">
        <v>17751200000</v>
      </c>
      <c r="AN706" s="1824"/>
      <c r="AO706" s="1822"/>
      <c r="AP706" s="1905" t="s">
        <v>4</v>
      </c>
      <c r="AQ706" s="1822" t="s">
        <v>502</v>
      </c>
      <c r="AR706" s="1822" t="s">
        <v>18</v>
      </c>
      <c r="AS706" s="1822">
        <v>2</v>
      </c>
      <c r="AT706" s="1823">
        <v>1936328376</v>
      </c>
      <c r="AU706" s="1825">
        <v>9.7000000000000003E-2</v>
      </c>
      <c r="AV706" s="1822">
        <v>2012</v>
      </c>
    </row>
    <row r="707" spans="1:48">
      <c r="A707" s="333">
        <f t="shared" si="21"/>
        <v>1900</v>
      </c>
      <c r="B707" s="333">
        <f t="shared" si="22"/>
        <v>1</v>
      </c>
      <c r="AI707" s="1878" t="s">
        <v>533</v>
      </c>
      <c r="AJ707" s="1827">
        <v>2016</v>
      </c>
      <c r="AK707" s="1822"/>
      <c r="AL707" s="1822"/>
      <c r="AM707" s="1891">
        <v>1571587536</v>
      </c>
      <c r="AN707" s="1824"/>
      <c r="AO707" s="1822"/>
      <c r="AP707" s="1905" t="s">
        <v>4</v>
      </c>
      <c r="AQ707" s="1822" t="s">
        <v>502</v>
      </c>
      <c r="AR707" s="1822" t="s">
        <v>24</v>
      </c>
      <c r="AS707" s="1822">
        <v>3</v>
      </c>
      <c r="AT707" s="1823">
        <v>1925099567</v>
      </c>
      <c r="AU707" s="1825">
        <v>9.6000000000000002E-2</v>
      </c>
      <c r="AV707" s="1822">
        <v>2012</v>
      </c>
    </row>
    <row r="708" spans="1:48">
      <c r="A708" s="333">
        <f t="shared" si="21"/>
        <v>1900</v>
      </c>
      <c r="B708" s="333">
        <f t="shared" si="22"/>
        <v>1</v>
      </c>
      <c r="AI708" s="1878" t="s">
        <v>533</v>
      </c>
      <c r="AJ708" s="1827">
        <v>2015</v>
      </c>
      <c r="AK708" s="1822"/>
      <c r="AL708" s="1822"/>
      <c r="AM708" s="1891">
        <v>1677383069.8900001</v>
      </c>
      <c r="AN708" s="1824"/>
      <c r="AO708" s="1822"/>
      <c r="AP708" s="1905" t="s">
        <v>4</v>
      </c>
      <c r="AQ708" s="1822" t="s">
        <v>502</v>
      </c>
      <c r="AR708" s="1822" t="s">
        <v>61</v>
      </c>
      <c r="AS708" s="1822">
        <v>4</v>
      </c>
      <c r="AT708" s="1823">
        <v>1895077906</v>
      </c>
      <c r="AU708" s="1825">
        <v>9.5000000000000001E-2</v>
      </c>
      <c r="AV708" s="1822">
        <v>2012</v>
      </c>
    </row>
    <row r="709" spans="1:48">
      <c r="A709" s="333">
        <f t="shared" si="21"/>
        <v>1900</v>
      </c>
      <c r="B709" s="333">
        <f t="shared" si="22"/>
        <v>1</v>
      </c>
      <c r="AI709" s="1878" t="s">
        <v>533</v>
      </c>
      <c r="AJ709" s="1827">
        <v>2014</v>
      </c>
      <c r="AK709" s="1822"/>
      <c r="AL709" s="1822"/>
      <c r="AM709" s="1891">
        <v>1394427032.1800001</v>
      </c>
      <c r="AN709" s="1824"/>
      <c r="AO709" s="1822"/>
      <c r="AP709" s="1905" t="s">
        <v>4</v>
      </c>
      <c r="AQ709" s="1822" t="s">
        <v>502</v>
      </c>
      <c r="AR709" s="1822" t="s">
        <v>33</v>
      </c>
      <c r="AS709" s="1822">
        <v>5</v>
      </c>
      <c r="AT709" s="1823">
        <v>725008512</v>
      </c>
      <c r="AU709" s="1825">
        <v>3.5999999999999997E-2</v>
      </c>
      <c r="AV709" s="1822">
        <v>2012</v>
      </c>
    </row>
    <row r="710" spans="1:48">
      <c r="A710" s="333">
        <f t="shared" si="21"/>
        <v>1900</v>
      </c>
      <c r="B710" s="333">
        <f t="shared" si="22"/>
        <v>1</v>
      </c>
      <c r="AI710" s="1878" t="s">
        <v>533</v>
      </c>
      <c r="AJ710" s="1827">
        <v>2013</v>
      </c>
      <c r="AK710" s="1822"/>
      <c r="AL710" s="1822"/>
      <c r="AM710" s="1891">
        <v>1437108629.9100001</v>
      </c>
      <c r="AN710" s="1824"/>
      <c r="AO710" s="1822"/>
      <c r="AP710" s="1905" t="s">
        <v>4</v>
      </c>
      <c r="AQ710" s="1822" t="s">
        <v>502</v>
      </c>
      <c r="AR710" s="1822" t="s">
        <v>25</v>
      </c>
      <c r="AS710" s="1822">
        <v>6</v>
      </c>
      <c r="AT710" s="1823">
        <v>692532916</v>
      </c>
      <c r="AU710" s="1825">
        <v>3.5000000000000003E-2</v>
      </c>
      <c r="AV710" s="1822">
        <v>2012</v>
      </c>
    </row>
    <row r="711" spans="1:48">
      <c r="A711" s="333">
        <f t="shared" si="21"/>
        <v>1900</v>
      </c>
      <c r="B711" s="333">
        <f t="shared" si="22"/>
        <v>1</v>
      </c>
      <c r="AI711" s="1878" t="s">
        <v>533</v>
      </c>
      <c r="AJ711" s="1827">
        <v>2012</v>
      </c>
      <c r="AK711" s="1822"/>
      <c r="AL711" s="1822"/>
      <c r="AM711" s="1891">
        <v>1538980691.24</v>
      </c>
      <c r="AN711" s="1824"/>
      <c r="AO711" s="1822"/>
      <c r="AP711" s="1905" t="s">
        <v>4</v>
      </c>
      <c r="AQ711" s="1822" t="s">
        <v>502</v>
      </c>
      <c r="AR711" s="1822" t="s">
        <v>125</v>
      </c>
      <c r="AS711" s="1822">
        <v>7</v>
      </c>
      <c r="AT711" s="1823">
        <v>544784212</v>
      </c>
      <c r="AU711" s="1825">
        <v>2.7E-2</v>
      </c>
      <c r="AV711" s="1822">
        <v>2012</v>
      </c>
    </row>
    <row r="712" spans="1:48">
      <c r="A712" s="333">
        <f t="shared" si="21"/>
        <v>1900</v>
      </c>
      <c r="B712" s="333">
        <f t="shared" si="22"/>
        <v>1</v>
      </c>
      <c r="AI712" s="1878" t="s">
        <v>533</v>
      </c>
      <c r="AJ712" s="1827">
        <v>2011</v>
      </c>
      <c r="AK712" s="1822"/>
      <c r="AL712" s="1822"/>
      <c r="AM712" s="1891">
        <v>1426935860.8</v>
      </c>
      <c r="AN712" s="1824"/>
      <c r="AO712" s="1822"/>
      <c r="AP712" s="1905" t="s">
        <v>4</v>
      </c>
      <c r="AQ712" s="1822" t="s">
        <v>502</v>
      </c>
      <c r="AR712" s="1822" t="s">
        <v>537</v>
      </c>
      <c r="AS712" s="1822">
        <v>8</v>
      </c>
      <c r="AT712" s="1823">
        <v>309798437</v>
      </c>
      <c r="AU712" s="1825">
        <v>1.4999999999999999E-2</v>
      </c>
      <c r="AV712" s="1822">
        <v>2012</v>
      </c>
    </row>
    <row r="713" spans="1:48">
      <c r="A713" s="333">
        <f t="shared" si="21"/>
        <v>1900</v>
      </c>
      <c r="B713" s="333">
        <f t="shared" si="22"/>
        <v>1</v>
      </c>
      <c r="AI713" s="1878" t="s">
        <v>533</v>
      </c>
      <c r="AJ713" s="1827">
        <v>2010</v>
      </c>
      <c r="AK713" s="1822"/>
      <c r="AL713" s="1822"/>
      <c r="AM713" s="1891">
        <v>1352345032.6700001</v>
      </c>
      <c r="AN713" s="1824"/>
      <c r="AO713" s="1822"/>
      <c r="AP713" s="1905" t="s">
        <v>4</v>
      </c>
      <c r="AQ713" s="1822" t="s">
        <v>502</v>
      </c>
      <c r="AR713" s="1822" t="s">
        <v>22</v>
      </c>
      <c r="AS713" s="1822">
        <v>9</v>
      </c>
      <c r="AT713" s="1823">
        <v>241839267</v>
      </c>
      <c r="AU713" s="1825">
        <v>1.2E-2</v>
      </c>
      <c r="AV713" s="1822">
        <v>2012</v>
      </c>
    </row>
    <row r="714" spans="1:48">
      <c r="A714" s="333">
        <f t="shared" ref="A714:A777" si="23">YEAR(C714)</f>
        <v>1900</v>
      </c>
      <c r="B714" s="333">
        <f t="shared" ref="B714:B777" si="24">IF(OR(MONTH(C714)=1,MONTH(C714)=2,MONTH(C714)=3),1,IF(OR(MONTH(C714)=4,MONTH(C714)=5,MONTH(C714)=6),2,IF(OR(MONTH(C714)=7,MONTH(C714)=8,MONTH(C714)=9),3,4)))</f>
        <v>1</v>
      </c>
      <c r="AI714" s="1878" t="s">
        <v>533</v>
      </c>
      <c r="AJ714" s="1827">
        <v>2009</v>
      </c>
      <c r="AK714" s="1822"/>
      <c r="AL714" s="1822"/>
      <c r="AM714" s="1891">
        <v>694236040.76999998</v>
      </c>
      <c r="AN714" s="1824"/>
      <c r="AO714" s="1822"/>
      <c r="AP714" s="1905" t="s">
        <v>4</v>
      </c>
      <c r="AQ714" s="1822" t="s">
        <v>502</v>
      </c>
      <c r="AR714" s="1822" t="s">
        <v>758</v>
      </c>
      <c r="AS714" s="1822">
        <v>10</v>
      </c>
      <c r="AT714" s="1823">
        <v>191997945</v>
      </c>
      <c r="AU714" s="1825">
        <v>0.01</v>
      </c>
      <c r="AV714" s="1822">
        <v>2012</v>
      </c>
    </row>
    <row r="715" spans="1:48">
      <c r="A715" s="333">
        <f t="shared" si="23"/>
        <v>1900</v>
      </c>
      <c r="B715" s="333">
        <f t="shared" si="24"/>
        <v>1</v>
      </c>
      <c r="AI715" s="1878" t="s">
        <v>533</v>
      </c>
      <c r="AJ715" s="1827">
        <v>2008</v>
      </c>
      <c r="AK715" s="1822"/>
      <c r="AL715" s="1822"/>
      <c r="AM715" s="1891">
        <v>491296568.06999999</v>
      </c>
      <c r="AN715" s="1824"/>
      <c r="AO715" s="1822"/>
      <c r="AP715" s="1905" t="s">
        <v>4</v>
      </c>
      <c r="AQ715" s="1822" t="s">
        <v>502</v>
      </c>
      <c r="AR715" s="1822" t="s">
        <v>39</v>
      </c>
      <c r="AS715" s="1822"/>
      <c r="AT715" s="1823">
        <v>391965781</v>
      </c>
      <c r="AU715" s="1825">
        <v>0.02</v>
      </c>
      <c r="AV715" s="1822">
        <v>2012</v>
      </c>
    </row>
    <row r="716" spans="1:48">
      <c r="A716" s="333">
        <f t="shared" si="23"/>
        <v>1900</v>
      </c>
      <c r="B716" s="333">
        <f t="shared" si="24"/>
        <v>1</v>
      </c>
      <c r="AI716" s="1878" t="s">
        <v>533</v>
      </c>
      <c r="AJ716" s="1827">
        <v>2007</v>
      </c>
      <c r="AK716" s="1822"/>
      <c r="AL716" s="1822"/>
      <c r="AM716" s="1891">
        <v>437912431</v>
      </c>
      <c r="AN716" s="1824"/>
      <c r="AO716" s="1822"/>
      <c r="AP716" s="1905" t="s">
        <v>4</v>
      </c>
      <c r="AQ716" s="1822" t="s">
        <v>502</v>
      </c>
      <c r="AR716" s="1822" t="s">
        <v>386</v>
      </c>
      <c r="AS716" s="1822"/>
      <c r="AT716" s="1823">
        <v>20035705269</v>
      </c>
      <c r="AU716" s="1825">
        <v>1</v>
      </c>
      <c r="AV716" s="1822">
        <v>2012</v>
      </c>
    </row>
    <row r="717" spans="1:48">
      <c r="A717" s="333">
        <f t="shared" si="23"/>
        <v>1900</v>
      </c>
      <c r="B717" s="333">
        <f t="shared" si="24"/>
        <v>1</v>
      </c>
      <c r="AI717" s="1878" t="s">
        <v>307</v>
      </c>
      <c r="AJ717" s="1827">
        <v>2016</v>
      </c>
      <c r="AK717" s="1822" t="s">
        <v>24</v>
      </c>
      <c r="AL717" s="1822">
        <v>1</v>
      </c>
      <c r="AM717" s="1891">
        <v>866456650</v>
      </c>
      <c r="AN717" s="1824">
        <v>0.27100000000000002</v>
      </c>
      <c r="AO717" s="1822"/>
      <c r="AP717" s="1905" t="s">
        <v>4</v>
      </c>
      <c r="AQ717" s="1822" t="s">
        <v>501</v>
      </c>
      <c r="AR717" s="1822" t="s">
        <v>23</v>
      </c>
      <c r="AS717" s="1822">
        <v>1</v>
      </c>
      <c r="AT717" s="1823">
        <v>10278079882</v>
      </c>
      <c r="AU717" s="1825">
        <v>0.48699999999999999</v>
      </c>
      <c r="AV717" s="1822">
        <v>2011</v>
      </c>
    </row>
    <row r="718" spans="1:48">
      <c r="A718" s="333">
        <f t="shared" si="23"/>
        <v>1900</v>
      </c>
      <c r="B718" s="333">
        <f t="shared" si="24"/>
        <v>1</v>
      </c>
      <c r="AI718" s="1878" t="s">
        <v>307</v>
      </c>
      <c r="AJ718" s="1827">
        <v>2016</v>
      </c>
      <c r="AK718" s="1822" t="s">
        <v>18</v>
      </c>
      <c r="AL718" s="1822">
        <v>2</v>
      </c>
      <c r="AM718" s="1891">
        <v>764196974</v>
      </c>
      <c r="AN718" s="1824">
        <v>0.23899999999999999</v>
      </c>
      <c r="AO718" s="1822"/>
      <c r="AP718" s="1905" t="s">
        <v>4</v>
      </c>
      <c r="AQ718" s="1822" t="s">
        <v>501</v>
      </c>
      <c r="AR718" s="1822" t="s">
        <v>18</v>
      </c>
      <c r="AS718" s="1822">
        <v>2</v>
      </c>
      <c r="AT718" s="1823">
        <v>3572345774</v>
      </c>
      <c r="AU718" s="1825">
        <v>0.16900000000000001</v>
      </c>
      <c r="AV718" s="1822">
        <v>2011</v>
      </c>
    </row>
    <row r="719" spans="1:48">
      <c r="A719" s="333">
        <f t="shared" si="23"/>
        <v>1900</v>
      </c>
      <c r="B719" s="333">
        <f t="shared" si="24"/>
        <v>1</v>
      </c>
      <c r="AI719" s="1878" t="s">
        <v>307</v>
      </c>
      <c r="AJ719" s="1827">
        <v>2016</v>
      </c>
      <c r="AK719" s="1822" t="s">
        <v>69</v>
      </c>
      <c r="AL719" s="1822">
        <v>3</v>
      </c>
      <c r="AM719" s="1891">
        <v>597028917</v>
      </c>
      <c r="AN719" s="1824">
        <v>0.187</v>
      </c>
      <c r="AO719" s="1822"/>
      <c r="AP719" s="1905" t="s">
        <v>4</v>
      </c>
      <c r="AQ719" s="1822" t="s">
        <v>501</v>
      </c>
      <c r="AR719" s="1822" t="s">
        <v>24</v>
      </c>
      <c r="AS719" s="1822">
        <v>3</v>
      </c>
      <c r="AT719" s="1823">
        <v>1939758548</v>
      </c>
      <c r="AU719" s="1825">
        <v>9.1999999999999998E-2</v>
      </c>
      <c r="AV719" s="1822">
        <v>2011</v>
      </c>
    </row>
    <row r="720" spans="1:48">
      <c r="A720" s="333">
        <f t="shared" si="23"/>
        <v>1900</v>
      </c>
      <c r="B720" s="333">
        <f t="shared" si="24"/>
        <v>1</v>
      </c>
      <c r="AI720" s="1878" t="s">
        <v>307</v>
      </c>
      <c r="AJ720" s="1827">
        <v>2016</v>
      </c>
      <c r="AK720" s="1822" t="s">
        <v>23</v>
      </c>
      <c r="AL720" s="1822">
        <v>4</v>
      </c>
      <c r="AM720" s="1891">
        <v>381058259</v>
      </c>
      <c r="AN720" s="1824">
        <v>0.11899999999999999</v>
      </c>
      <c r="AO720" s="1822"/>
      <c r="AP720" s="1905" t="s">
        <v>4</v>
      </c>
      <c r="AQ720" s="1822" t="s">
        <v>501</v>
      </c>
      <c r="AR720" s="1822" t="s">
        <v>33</v>
      </c>
      <c r="AS720" s="1822">
        <v>4</v>
      </c>
      <c r="AT720" s="1823">
        <v>1204001673</v>
      </c>
      <c r="AU720" s="1825">
        <v>5.7000000000000002E-2</v>
      </c>
      <c r="AV720" s="1822">
        <v>2011</v>
      </c>
    </row>
    <row r="721" spans="1:48">
      <c r="A721" s="333">
        <f t="shared" si="23"/>
        <v>1900</v>
      </c>
      <c r="B721" s="333">
        <f t="shared" si="24"/>
        <v>1</v>
      </c>
      <c r="AI721" s="1878" t="s">
        <v>307</v>
      </c>
      <c r="AJ721" s="1827">
        <v>2016</v>
      </c>
      <c r="AK721" s="1822" t="s">
        <v>58</v>
      </c>
      <c r="AL721" s="1822">
        <v>5</v>
      </c>
      <c r="AM721" s="1891">
        <v>300388036</v>
      </c>
      <c r="AN721" s="1824">
        <v>9.4E-2</v>
      </c>
      <c r="AO721" s="1822"/>
      <c r="AP721" s="1905" t="s">
        <v>4</v>
      </c>
      <c r="AQ721" s="1822" t="s">
        <v>501</v>
      </c>
      <c r="AR721" s="1822" t="s">
        <v>61</v>
      </c>
      <c r="AS721" s="1822">
        <v>5</v>
      </c>
      <c r="AT721" s="1823">
        <v>989510479.70000005</v>
      </c>
      <c r="AU721" s="1825">
        <v>4.7E-2</v>
      </c>
      <c r="AV721" s="1822">
        <v>2011</v>
      </c>
    </row>
    <row r="722" spans="1:48">
      <c r="A722" s="333">
        <f t="shared" si="23"/>
        <v>1900</v>
      </c>
      <c r="B722" s="333">
        <f t="shared" si="24"/>
        <v>1</v>
      </c>
      <c r="AI722" s="1878" t="s">
        <v>307</v>
      </c>
      <c r="AJ722" s="1827">
        <v>2016</v>
      </c>
      <c r="AK722" s="1822" t="s">
        <v>21</v>
      </c>
      <c r="AL722" s="1822">
        <v>6</v>
      </c>
      <c r="AM722" s="1891">
        <v>197316612</v>
      </c>
      <c r="AN722" s="1824">
        <v>6.2E-2</v>
      </c>
      <c r="AO722" s="1822"/>
      <c r="AP722" s="1905" t="s">
        <v>4</v>
      </c>
      <c r="AQ722" s="1822" t="s">
        <v>501</v>
      </c>
      <c r="AR722" s="1822" t="s">
        <v>21</v>
      </c>
      <c r="AS722" s="1822">
        <v>6</v>
      </c>
      <c r="AT722" s="1823">
        <v>968737223.60000002</v>
      </c>
      <c r="AU722" s="1825">
        <v>4.5999999999999999E-2</v>
      </c>
      <c r="AV722" s="1822">
        <v>2011</v>
      </c>
    </row>
    <row r="723" spans="1:48">
      <c r="A723" s="333">
        <f t="shared" si="23"/>
        <v>1900</v>
      </c>
      <c r="B723" s="333">
        <f t="shared" si="24"/>
        <v>1</v>
      </c>
      <c r="AI723" s="1878" t="s">
        <v>307</v>
      </c>
      <c r="AJ723" s="1827">
        <v>2016</v>
      </c>
      <c r="AK723" s="1822" t="s">
        <v>54</v>
      </c>
      <c r="AL723" s="1822">
        <v>7</v>
      </c>
      <c r="AM723" s="1891">
        <v>34609876</v>
      </c>
      <c r="AN723" s="1824">
        <v>1.0999999999999999E-2</v>
      </c>
      <c r="AO723" s="1822"/>
      <c r="AP723" s="1905" t="s">
        <v>4</v>
      </c>
      <c r="AQ723" s="1822" t="s">
        <v>501</v>
      </c>
      <c r="AR723" s="1822" t="s">
        <v>25</v>
      </c>
      <c r="AS723" s="1822">
        <v>7</v>
      </c>
      <c r="AT723" s="1823">
        <v>528099909.80000001</v>
      </c>
      <c r="AU723" s="1825">
        <v>2.5000000000000001E-2</v>
      </c>
      <c r="AV723" s="1822">
        <v>2011</v>
      </c>
    </row>
    <row r="724" spans="1:48">
      <c r="A724" s="333">
        <f t="shared" si="23"/>
        <v>1900</v>
      </c>
      <c r="B724" s="333">
        <f t="shared" si="24"/>
        <v>1</v>
      </c>
      <c r="AI724" s="1878" t="s">
        <v>307</v>
      </c>
      <c r="AJ724" s="1827">
        <v>2016</v>
      </c>
      <c r="AK724" s="1822" t="s">
        <v>537</v>
      </c>
      <c r="AL724" s="1822">
        <v>8</v>
      </c>
      <c r="AM724" s="1891">
        <v>29200956</v>
      </c>
      <c r="AN724" s="1824">
        <v>8.9999999999999993E-3</v>
      </c>
      <c r="AO724" s="1822"/>
      <c r="AP724" s="1905" t="s">
        <v>4</v>
      </c>
      <c r="AQ724" s="1822" t="s">
        <v>501</v>
      </c>
      <c r="AR724" s="1822" t="s">
        <v>537</v>
      </c>
      <c r="AS724" s="1822">
        <v>8</v>
      </c>
      <c r="AT724" s="1823">
        <v>392696843.60000002</v>
      </c>
      <c r="AU724" s="1825">
        <v>1.9E-2</v>
      </c>
      <c r="AV724" s="1822">
        <v>2011</v>
      </c>
    </row>
    <row r="725" spans="1:48">
      <c r="A725" s="333">
        <f t="shared" si="23"/>
        <v>1900</v>
      </c>
      <c r="B725" s="333">
        <f t="shared" si="24"/>
        <v>1</v>
      </c>
      <c r="AI725" s="1878" t="s">
        <v>307</v>
      </c>
      <c r="AJ725" s="1827">
        <v>2016</v>
      </c>
      <c r="AK725" s="1822" t="s">
        <v>57</v>
      </c>
      <c r="AL725" s="1822">
        <v>9</v>
      </c>
      <c r="AM725" s="1891">
        <v>26896181</v>
      </c>
      <c r="AN725" s="1824">
        <v>8.0000000000000002E-3</v>
      </c>
      <c r="AO725" s="1822"/>
      <c r="AP725" s="1905" t="s">
        <v>4</v>
      </c>
      <c r="AQ725" s="1822" t="s">
        <v>501</v>
      </c>
      <c r="AR725" s="1822" t="s">
        <v>125</v>
      </c>
      <c r="AS725" s="1822">
        <v>9</v>
      </c>
      <c r="AT725" s="1823">
        <v>362910453.19999999</v>
      </c>
      <c r="AU725" s="1825">
        <v>1.7000000000000001E-2</v>
      </c>
      <c r="AV725" s="1822">
        <v>2011</v>
      </c>
    </row>
    <row r="726" spans="1:48">
      <c r="A726" s="333">
        <f t="shared" si="23"/>
        <v>1900</v>
      </c>
      <c r="B726" s="333">
        <f t="shared" si="24"/>
        <v>1</v>
      </c>
      <c r="AI726" s="1878" t="s">
        <v>307</v>
      </c>
      <c r="AJ726" s="1827">
        <v>2016</v>
      </c>
      <c r="AK726" s="1822" t="s">
        <v>25</v>
      </c>
      <c r="AL726" s="1822">
        <v>10</v>
      </c>
      <c r="AM726" s="1891">
        <v>3402178</v>
      </c>
      <c r="AN726" s="1824">
        <v>1E-3</v>
      </c>
      <c r="AO726" s="1822"/>
      <c r="AP726" s="1905" t="s">
        <v>4</v>
      </c>
      <c r="AQ726" s="1822" t="s">
        <v>501</v>
      </c>
      <c r="AR726" s="1822" t="s">
        <v>22</v>
      </c>
      <c r="AS726" s="1822">
        <v>10</v>
      </c>
      <c r="AT726" s="1823">
        <v>307686624.39999998</v>
      </c>
      <c r="AU726" s="1825">
        <v>1.4999999999999999E-2</v>
      </c>
      <c r="AV726" s="1822">
        <v>2011</v>
      </c>
    </row>
    <row r="727" spans="1:48">
      <c r="A727" s="333">
        <f t="shared" si="23"/>
        <v>1900</v>
      </c>
      <c r="B727" s="333">
        <f t="shared" si="24"/>
        <v>1</v>
      </c>
      <c r="AI727" s="1878" t="s">
        <v>307</v>
      </c>
      <c r="AJ727" s="1827">
        <v>2016</v>
      </c>
      <c r="AK727" s="1822" t="s">
        <v>39</v>
      </c>
      <c r="AL727" s="1822"/>
      <c r="AM727" s="1822">
        <v>0</v>
      </c>
      <c r="AN727" s="1824">
        <v>0</v>
      </c>
      <c r="AO727" s="1822"/>
      <c r="AP727" s="1905" t="s">
        <v>4</v>
      </c>
      <c r="AQ727" s="1822" t="s">
        <v>501</v>
      </c>
      <c r="AR727" s="1822" t="s">
        <v>39</v>
      </c>
      <c r="AS727" s="1822"/>
      <c r="AT727" s="1823">
        <v>540163619.20000076</v>
      </c>
      <c r="AU727" s="1825"/>
      <c r="AV727" s="1822">
        <v>2011</v>
      </c>
    </row>
    <row r="728" spans="1:48">
      <c r="A728" s="333">
        <f t="shared" si="23"/>
        <v>1900</v>
      </c>
      <c r="B728" s="333">
        <f t="shared" si="24"/>
        <v>1</v>
      </c>
      <c r="AI728" s="1878" t="s">
        <v>307</v>
      </c>
      <c r="AJ728" s="1827">
        <v>2016</v>
      </c>
      <c r="AK728" s="1822" t="s">
        <v>114</v>
      </c>
      <c r="AL728" s="1822"/>
      <c r="AM728" s="1891">
        <v>3200554639</v>
      </c>
      <c r="AN728" s="1824"/>
      <c r="AO728" s="1822"/>
      <c r="AP728" s="1905" t="s">
        <v>4</v>
      </c>
      <c r="AQ728" s="1822" t="s">
        <v>501</v>
      </c>
      <c r="AR728" s="1822" t="s">
        <v>386</v>
      </c>
      <c r="AS728" s="1822"/>
      <c r="AT728" s="1823">
        <v>21083991030.5</v>
      </c>
      <c r="AU728" s="1825"/>
      <c r="AV728" s="1822">
        <v>2011</v>
      </c>
    </row>
    <row r="729" spans="1:48">
      <c r="A729" s="333">
        <f t="shared" si="23"/>
        <v>1900</v>
      </c>
      <c r="B729" s="333">
        <f t="shared" si="24"/>
        <v>1</v>
      </c>
      <c r="AI729" s="1878" t="s">
        <v>307</v>
      </c>
      <c r="AJ729" s="1827">
        <v>2015</v>
      </c>
      <c r="AK729" s="1822" t="s">
        <v>18</v>
      </c>
      <c r="AL729" s="1822">
        <v>1</v>
      </c>
      <c r="AM729" s="1891">
        <v>761233963</v>
      </c>
      <c r="AN729" s="1824">
        <v>0.26900000000000002</v>
      </c>
      <c r="AO729" s="1822"/>
      <c r="AP729" s="1905" t="s">
        <v>4</v>
      </c>
      <c r="AQ729" s="1822" t="s">
        <v>500</v>
      </c>
      <c r="AR729" s="1822" t="s">
        <v>23</v>
      </c>
      <c r="AS729" s="1822">
        <v>1</v>
      </c>
      <c r="AT729" s="1823">
        <v>7876986740.7000008</v>
      </c>
      <c r="AU729" s="1825">
        <v>0.42320556894639833</v>
      </c>
      <c r="AV729" s="1822">
        <v>2010</v>
      </c>
    </row>
    <row r="730" spans="1:48">
      <c r="A730" s="333">
        <f t="shared" si="23"/>
        <v>1900</v>
      </c>
      <c r="B730" s="333">
        <f t="shared" si="24"/>
        <v>1</v>
      </c>
      <c r="AI730" s="1878" t="s">
        <v>307</v>
      </c>
      <c r="AJ730" s="1827">
        <v>2015</v>
      </c>
      <c r="AK730" s="1822" t="s">
        <v>24</v>
      </c>
      <c r="AL730" s="1822">
        <v>2</v>
      </c>
      <c r="AM730" s="1891">
        <v>682922009</v>
      </c>
      <c r="AN730" s="1824">
        <v>0.24199999999999999</v>
      </c>
      <c r="AO730" s="1822"/>
      <c r="AP730" s="1905" t="s">
        <v>4</v>
      </c>
      <c r="AQ730" s="1822" t="s">
        <v>500</v>
      </c>
      <c r="AR730" s="1822" t="s">
        <v>18</v>
      </c>
      <c r="AS730" s="1822">
        <v>2</v>
      </c>
      <c r="AT730" s="1823">
        <v>2795098090.7600002</v>
      </c>
      <c r="AU730" s="1825">
        <v>0.15017177465198542</v>
      </c>
      <c r="AV730" s="1822">
        <v>2010</v>
      </c>
    </row>
    <row r="731" spans="1:48">
      <c r="A731" s="333">
        <f t="shared" si="23"/>
        <v>1900</v>
      </c>
      <c r="B731" s="333">
        <f t="shared" si="24"/>
        <v>1</v>
      </c>
      <c r="AI731" s="1878" t="s">
        <v>307</v>
      </c>
      <c r="AJ731" s="1827">
        <v>2015</v>
      </c>
      <c r="AK731" s="1822" t="s">
        <v>23</v>
      </c>
      <c r="AL731" s="1822">
        <v>3</v>
      </c>
      <c r="AM731" s="1891">
        <v>464918292</v>
      </c>
      <c r="AN731" s="1824">
        <v>0.16500000000000001</v>
      </c>
      <c r="AO731" s="1822"/>
      <c r="AP731" s="1905" t="s">
        <v>4</v>
      </c>
      <c r="AQ731" s="1822" t="s">
        <v>500</v>
      </c>
      <c r="AR731" s="1822" t="s">
        <v>24</v>
      </c>
      <c r="AS731" s="1822">
        <v>3</v>
      </c>
      <c r="AT731" s="1823">
        <v>2461601685.7299995</v>
      </c>
      <c r="AU731" s="1825">
        <v>0.13225406823983046</v>
      </c>
      <c r="AV731" s="1822">
        <v>2010</v>
      </c>
    </row>
    <row r="732" spans="1:48">
      <c r="A732" s="333">
        <f t="shared" si="23"/>
        <v>1900</v>
      </c>
      <c r="B732" s="333">
        <f t="shared" si="24"/>
        <v>1</v>
      </c>
      <c r="AI732" s="1878" t="s">
        <v>307</v>
      </c>
      <c r="AJ732" s="1827">
        <v>2015</v>
      </c>
      <c r="AK732" s="1822" t="s">
        <v>69</v>
      </c>
      <c r="AL732" s="1822">
        <v>4</v>
      </c>
      <c r="AM732" s="1891">
        <v>369239008</v>
      </c>
      <c r="AN732" s="1824">
        <v>0.13100000000000001</v>
      </c>
      <c r="AO732" s="1822"/>
      <c r="AP732" s="1905" t="s">
        <v>4</v>
      </c>
      <c r="AQ732" s="1822" t="s">
        <v>500</v>
      </c>
      <c r="AR732" s="1822" t="s">
        <v>33</v>
      </c>
      <c r="AS732" s="1822">
        <v>4</v>
      </c>
      <c r="AT732" s="1823">
        <v>1594005741.51</v>
      </c>
      <c r="AU732" s="1825">
        <v>8.5640883874284188E-2</v>
      </c>
      <c r="AV732" s="1822">
        <v>2010</v>
      </c>
    </row>
    <row r="733" spans="1:48">
      <c r="A733" s="333">
        <f t="shared" si="23"/>
        <v>1900</v>
      </c>
      <c r="B733" s="333">
        <f t="shared" si="24"/>
        <v>1</v>
      </c>
      <c r="AI733" s="1878" t="s">
        <v>307</v>
      </c>
      <c r="AJ733" s="1827">
        <v>2015</v>
      </c>
      <c r="AK733" s="1822" t="s">
        <v>58</v>
      </c>
      <c r="AL733" s="1822">
        <v>5</v>
      </c>
      <c r="AM733" s="1891">
        <v>253135438</v>
      </c>
      <c r="AN733" s="1824">
        <v>0.09</v>
      </c>
      <c r="AO733" s="1822"/>
      <c r="AP733" s="1905" t="s">
        <v>4</v>
      </c>
      <c r="AQ733" s="1822" t="s">
        <v>500</v>
      </c>
      <c r="AR733" s="1822" t="s">
        <v>61</v>
      </c>
      <c r="AS733" s="1822">
        <v>5</v>
      </c>
      <c r="AT733" s="1823">
        <v>1164623296.97</v>
      </c>
      <c r="AU733" s="1825">
        <v>6.2571524013841223E-2</v>
      </c>
      <c r="AV733" s="1822">
        <v>2010</v>
      </c>
    </row>
    <row r="734" spans="1:48">
      <c r="A734" s="333">
        <f t="shared" si="23"/>
        <v>1900</v>
      </c>
      <c r="B734" s="333">
        <f t="shared" si="24"/>
        <v>1</v>
      </c>
      <c r="AI734" s="1878" t="s">
        <v>307</v>
      </c>
      <c r="AJ734" s="1827">
        <v>2015</v>
      </c>
      <c r="AK734" s="1822" t="s">
        <v>21</v>
      </c>
      <c r="AL734" s="1822">
        <v>6</v>
      </c>
      <c r="AM734" s="1891">
        <v>156089315</v>
      </c>
      <c r="AN734" s="1824">
        <v>5.5E-2</v>
      </c>
      <c r="AO734" s="1822"/>
      <c r="AP734" s="1905" t="s">
        <v>4</v>
      </c>
      <c r="AQ734" s="1822" t="s">
        <v>500</v>
      </c>
      <c r="AR734" s="1822" t="s">
        <v>21</v>
      </c>
      <c r="AS734" s="1822">
        <v>6</v>
      </c>
      <c r="AT734" s="1823">
        <v>901731950.97000003</v>
      </c>
      <c r="AU734" s="1825">
        <v>4.8447203976566745E-2</v>
      </c>
      <c r="AV734" s="1822">
        <v>2010</v>
      </c>
    </row>
    <row r="735" spans="1:48">
      <c r="A735" s="333">
        <f t="shared" si="23"/>
        <v>1900</v>
      </c>
      <c r="B735" s="333">
        <f t="shared" si="24"/>
        <v>1</v>
      </c>
      <c r="AI735" s="1878" t="s">
        <v>307</v>
      </c>
      <c r="AJ735" s="1827">
        <v>2015</v>
      </c>
      <c r="AK735" s="1822" t="s">
        <v>537</v>
      </c>
      <c r="AL735" s="1822">
        <v>7</v>
      </c>
      <c r="AM735" s="1891">
        <v>57402316</v>
      </c>
      <c r="AN735" s="1824">
        <v>0.02</v>
      </c>
      <c r="AO735" s="1822"/>
      <c r="AP735" s="1905" t="s">
        <v>4</v>
      </c>
      <c r="AQ735" s="1822" t="s">
        <v>500</v>
      </c>
      <c r="AR735" s="1822" t="s">
        <v>25</v>
      </c>
      <c r="AS735" s="1822">
        <v>7</v>
      </c>
      <c r="AT735" s="1823">
        <v>532895170.69</v>
      </c>
      <c r="AU735" s="1825">
        <v>2.8630771045402056E-2</v>
      </c>
      <c r="AV735" s="1822">
        <v>2010</v>
      </c>
    </row>
    <row r="736" spans="1:48">
      <c r="A736" s="333">
        <f t="shared" si="23"/>
        <v>1900</v>
      </c>
      <c r="B736" s="333">
        <f t="shared" si="24"/>
        <v>1</v>
      </c>
      <c r="AI736" s="1878" t="s">
        <v>307</v>
      </c>
      <c r="AJ736" s="1827">
        <v>2015</v>
      </c>
      <c r="AK736" s="1822" t="s">
        <v>54</v>
      </c>
      <c r="AL736" s="1822">
        <v>8</v>
      </c>
      <c r="AM736" s="1891">
        <v>55730468</v>
      </c>
      <c r="AN736" s="1824">
        <v>0.02</v>
      </c>
      <c r="AO736" s="1822"/>
      <c r="AP736" s="1905" t="s">
        <v>4</v>
      </c>
      <c r="AQ736" s="1822" t="s">
        <v>500</v>
      </c>
      <c r="AR736" s="1822" t="s">
        <v>537</v>
      </c>
      <c r="AS736" s="1822">
        <v>8</v>
      </c>
      <c r="AT736" s="1823">
        <v>479497291.08999997</v>
      </c>
      <c r="AU736" s="1825">
        <v>2.5761871965010681E-2</v>
      </c>
      <c r="AV736" s="1822">
        <v>2010</v>
      </c>
    </row>
    <row r="737" spans="1:48">
      <c r="A737" s="333">
        <f t="shared" si="23"/>
        <v>1900</v>
      </c>
      <c r="B737" s="333">
        <f t="shared" si="24"/>
        <v>1</v>
      </c>
      <c r="AI737" s="1878" t="s">
        <v>307</v>
      </c>
      <c r="AJ737" s="1827">
        <v>2015</v>
      </c>
      <c r="AK737" s="1822" t="s">
        <v>33</v>
      </c>
      <c r="AL737" s="1822">
        <v>9</v>
      </c>
      <c r="AM737" s="1891">
        <v>17560885</v>
      </c>
      <c r="AN737" s="1824">
        <v>6.0000000000000001E-3</v>
      </c>
      <c r="AO737" s="1822"/>
      <c r="AP737" s="1905" t="s">
        <v>4</v>
      </c>
      <c r="AQ737" s="1822" t="s">
        <v>500</v>
      </c>
      <c r="AR737" s="1822" t="s">
        <v>125</v>
      </c>
      <c r="AS737" s="1822">
        <v>9</v>
      </c>
      <c r="AT737" s="1823">
        <v>372208692.46000004</v>
      </c>
      <c r="AU737" s="1825">
        <v>1.9997595101363719E-2</v>
      </c>
      <c r="AV737" s="1822">
        <v>2010</v>
      </c>
    </row>
    <row r="738" spans="1:48">
      <c r="A738" s="333">
        <f t="shared" si="23"/>
        <v>1900</v>
      </c>
      <c r="B738" s="333">
        <f t="shared" si="24"/>
        <v>1</v>
      </c>
      <c r="AI738" s="1878" t="s">
        <v>307</v>
      </c>
      <c r="AJ738" s="1827">
        <v>2015</v>
      </c>
      <c r="AK738" s="1822" t="s">
        <v>32</v>
      </c>
      <c r="AL738" s="1822">
        <v>10</v>
      </c>
      <c r="AM738" s="1891">
        <v>2957293</v>
      </c>
      <c r="AN738" s="1824">
        <v>1E-3</v>
      </c>
      <c r="AO738" s="1822"/>
      <c r="AP738" s="1905" t="s">
        <v>4</v>
      </c>
      <c r="AQ738" s="1822" t="s">
        <v>500</v>
      </c>
      <c r="AR738" s="1822" t="s">
        <v>22</v>
      </c>
      <c r="AS738" s="1822">
        <v>10</v>
      </c>
      <c r="AT738" s="1823">
        <v>178928500.53000003</v>
      </c>
      <c r="AU738" s="1825">
        <v>9.6132620709217173E-3</v>
      </c>
      <c r="AV738" s="1822">
        <v>2010</v>
      </c>
    </row>
    <row r="739" spans="1:48">
      <c r="A739" s="333">
        <f t="shared" si="23"/>
        <v>1900</v>
      </c>
      <c r="B739" s="333">
        <f t="shared" si="24"/>
        <v>1</v>
      </c>
      <c r="AI739" s="1878" t="s">
        <v>307</v>
      </c>
      <c r="AJ739" s="1827">
        <v>2015</v>
      </c>
      <c r="AK739" s="1822" t="s">
        <v>39</v>
      </c>
      <c r="AL739" s="1822"/>
      <c r="AM739" s="1891">
        <v>3718762</v>
      </c>
      <c r="AN739" s="1824">
        <v>1E-3</v>
      </c>
      <c r="AO739" s="1822"/>
      <c r="AP739" s="1905" t="s">
        <v>4</v>
      </c>
      <c r="AQ739" s="1822" t="s">
        <v>500</v>
      </c>
      <c r="AR739" s="1822" t="s">
        <v>39</v>
      </c>
      <c r="AS739" s="1822"/>
      <c r="AT739" s="1823">
        <v>255095541.15000153</v>
      </c>
      <c r="AU739" s="1825">
        <v>1.3705476114395734E-2</v>
      </c>
      <c r="AV739" s="1822">
        <v>2010</v>
      </c>
    </row>
    <row r="740" spans="1:48">
      <c r="A740" s="333">
        <f t="shared" si="23"/>
        <v>1900</v>
      </c>
      <c r="B740" s="333">
        <f t="shared" si="24"/>
        <v>1</v>
      </c>
      <c r="AI740" s="1878" t="s">
        <v>307</v>
      </c>
      <c r="AJ740" s="1827">
        <v>2015</v>
      </c>
      <c r="AK740" s="1822" t="s">
        <v>386</v>
      </c>
      <c r="AL740" s="1822"/>
      <c r="AM740" s="1891">
        <v>2824907750</v>
      </c>
      <c r="AN740" s="1824"/>
      <c r="AO740" s="1822"/>
      <c r="AP740" s="1905" t="s">
        <v>4</v>
      </c>
      <c r="AQ740" s="1822" t="s">
        <v>500</v>
      </c>
      <c r="AR740" s="1822" t="s">
        <v>386</v>
      </c>
      <c r="AS740" s="1822"/>
      <c r="AT740" s="1823">
        <v>18612672702.559998</v>
      </c>
      <c r="AU740" s="1825">
        <v>1</v>
      </c>
      <c r="AV740" s="1822">
        <v>2010</v>
      </c>
    </row>
    <row r="741" spans="1:48">
      <c r="A741" s="333">
        <f t="shared" si="23"/>
        <v>1900</v>
      </c>
      <c r="B741" s="333">
        <f t="shared" si="24"/>
        <v>1</v>
      </c>
      <c r="AI741" s="1878" t="s">
        <v>307</v>
      </c>
      <c r="AJ741" s="1827">
        <v>2014</v>
      </c>
      <c r="AK741" s="1822" t="s">
        <v>18</v>
      </c>
      <c r="AL741" s="1822">
        <v>1</v>
      </c>
      <c r="AM741" s="1891">
        <v>973599788</v>
      </c>
      <c r="AN741" s="1824">
        <v>0.35399999999999998</v>
      </c>
      <c r="AO741" s="1822"/>
      <c r="AP741" s="1905" t="s">
        <v>4</v>
      </c>
      <c r="AQ741" s="1822" t="s">
        <v>499</v>
      </c>
      <c r="AR741" s="1822" t="s">
        <v>23</v>
      </c>
      <c r="AS741" s="1822">
        <v>1</v>
      </c>
      <c r="AT741" s="1823">
        <v>5979438355.0500021</v>
      </c>
      <c r="AU741" s="1825">
        <v>0.46064543998597707</v>
      </c>
      <c r="AV741" s="1822">
        <v>2009</v>
      </c>
    </row>
    <row r="742" spans="1:48">
      <c r="A742" s="333">
        <f t="shared" si="23"/>
        <v>1900</v>
      </c>
      <c r="B742" s="333">
        <f t="shared" si="24"/>
        <v>1</v>
      </c>
      <c r="AI742" s="1878" t="s">
        <v>307</v>
      </c>
      <c r="AJ742" s="1827">
        <v>2014</v>
      </c>
      <c r="AK742" s="1822" t="s">
        <v>24</v>
      </c>
      <c r="AL742" s="1822">
        <v>2</v>
      </c>
      <c r="AM742" s="1891">
        <v>504391398</v>
      </c>
      <c r="AN742" s="1824">
        <v>0.183</v>
      </c>
      <c r="AO742" s="1822"/>
      <c r="AP742" s="1905" t="s">
        <v>4</v>
      </c>
      <c r="AQ742" s="1822" t="s">
        <v>499</v>
      </c>
      <c r="AR742" s="1822" t="s">
        <v>24</v>
      </c>
      <c r="AS742" s="1822">
        <v>2</v>
      </c>
      <c r="AT742" s="1823">
        <v>1652449589.97</v>
      </c>
      <c r="AU742" s="1825">
        <v>0.12730181719885172</v>
      </c>
      <c r="AV742" s="1822">
        <v>2009</v>
      </c>
    </row>
    <row r="743" spans="1:48">
      <c r="A743" s="333">
        <f t="shared" si="23"/>
        <v>1900</v>
      </c>
      <c r="B743" s="333">
        <f t="shared" si="24"/>
        <v>1</v>
      </c>
      <c r="AI743" s="1878" t="s">
        <v>307</v>
      </c>
      <c r="AJ743" s="1827">
        <v>2014</v>
      </c>
      <c r="AK743" s="1822" t="s">
        <v>69</v>
      </c>
      <c r="AL743" s="1822">
        <v>3</v>
      </c>
      <c r="AM743" s="1891">
        <v>392778223</v>
      </c>
      <c r="AN743" s="1824">
        <v>0.14299999999999999</v>
      </c>
      <c r="AO743" s="1822"/>
      <c r="AP743" s="1905" t="s">
        <v>4</v>
      </c>
      <c r="AQ743" s="1822" t="s">
        <v>499</v>
      </c>
      <c r="AR743" s="1822" t="s">
        <v>18</v>
      </c>
      <c r="AS743" s="1822">
        <v>3</v>
      </c>
      <c r="AT743" s="1823">
        <v>1397985090.3800001</v>
      </c>
      <c r="AU743" s="1825">
        <v>0.107698318606806</v>
      </c>
      <c r="AV743" s="1822">
        <v>2009</v>
      </c>
    </row>
    <row r="744" spans="1:48">
      <c r="A744" s="333">
        <f t="shared" si="23"/>
        <v>1900</v>
      </c>
      <c r="B744" s="333">
        <f t="shared" si="24"/>
        <v>1</v>
      </c>
      <c r="AI744" s="1878" t="s">
        <v>307</v>
      </c>
      <c r="AJ744" s="1827">
        <v>2014</v>
      </c>
      <c r="AK744" s="1822" t="s">
        <v>23</v>
      </c>
      <c r="AL744" s="1822">
        <v>4</v>
      </c>
      <c r="AM744" s="1891">
        <v>364022458</v>
      </c>
      <c r="AN744" s="1824">
        <v>0.13200000000000001</v>
      </c>
      <c r="AO744" s="1822"/>
      <c r="AP744" s="1905" t="s">
        <v>4</v>
      </c>
      <c r="AQ744" s="1822" t="s">
        <v>499</v>
      </c>
      <c r="AR744" s="1822" t="s">
        <v>61</v>
      </c>
      <c r="AS744" s="1822">
        <v>4</v>
      </c>
      <c r="AT744" s="1823">
        <v>1341637524.1100001</v>
      </c>
      <c r="AU744" s="1825">
        <v>0.10335740096281666</v>
      </c>
      <c r="AV744" s="1822">
        <v>2009</v>
      </c>
    </row>
    <row r="745" spans="1:48">
      <c r="A745" s="333">
        <f t="shared" si="23"/>
        <v>1900</v>
      </c>
      <c r="B745" s="333">
        <f t="shared" si="24"/>
        <v>1</v>
      </c>
      <c r="AI745" s="1878" t="s">
        <v>307</v>
      </c>
      <c r="AJ745" s="1827">
        <v>2014</v>
      </c>
      <c r="AK745" s="1822" t="s">
        <v>58</v>
      </c>
      <c r="AL745" s="1822">
        <v>5</v>
      </c>
      <c r="AM745" s="1891">
        <v>190807971</v>
      </c>
      <c r="AN745" s="1824">
        <v>6.9000000000000006E-2</v>
      </c>
      <c r="AO745" s="1822"/>
      <c r="AP745" s="1905" t="s">
        <v>4</v>
      </c>
      <c r="AQ745" s="1822" t="s">
        <v>499</v>
      </c>
      <c r="AR745" s="1822" t="s">
        <v>33</v>
      </c>
      <c r="AS745" s="1822">
        <v>5</v>
      </c>
      <c r="AT745" s="1823">
        <v>936982008.54999995</v>
      </c>
      <c r="AU745" s="1825">
        <v>7.2183450009637232E-2</v>
      </c>
      <c r="AV745" s="1822">
        <v>2009</v>
      </c>
    </row>
    <row r="746" spans="1:48">
      <c r="A746" s="333">
        <f t="shared" si="23"/>
        <v>1900</v>
      </c>
      <c r="B746" s="333">
        <f t="shared" si="24"/>
        <v>1</v>
      </c>
      <c r="AI746" s="1878" t="s">
        <v>307</v>
      </c>
      <c r="AJ746" s="1827">
        <v>2014</v>
      </c>
      <c r="AK746" s="1822" t="s">
        <v>21</v>
      </c>
      <c r="AL746" s="1822">
        <v>6</v>
      </c>
      <c r="AM746" s="1891">
        <v>187620288</v>
      </c>
      <c r="AN746" s="1824">
        <v>6.8000000000000005E-2</v>
      </c>
      <c r="AO746" s="1822"/>
      <c r="AP746" s="1905" t="s">
        <v>4</v>
      </c>
      <c r="AQ746" s="1822" t="s">
        <v>499</v>
      </c>
      <c r="AR746" s="1822" t="s">
        <v>21</v>
      </c>
      <c r="AS746" s="1822">
        <v>6</v>
      </c>
      <c r="AT746" s="1823">
        <v>435511897.07000005</v>
      </c>
      <c r="AU746" s="1825">
        <v>3.3551072447382077E-2</v>
      </c>
      <c r="AV746" s="1822">
        <v>2009</v>
      </c>
    </row>
    <row r="747" spans="1:48">
      <c r="A747" s="333">
        <f t="shared" si="23"/>
        <v>1900</v>
      </c>
      <c r="B747" s="333">
        <f t="shared" si="24"/>
        <v>1</v>
      </c>
      <c r="AI747" s="1878" t="s">
        <v>307</v>
      </c>
      <c r="AJ747" s="1827">
        <v>2014</v>
      </c>
      <c r="AK747" s="1822" t="s">
        <v>381</v>
      </c>
      <c r="AL747" s="1822">
        <v>7</v>
      </c>
      <c r="AM747" s="1891">
        <v>50575557</v>
      </c>
      <c r="AN747" s="1824">
        <v>1.7999999999999999E-2</v>
      </c>
      <c r="AO747" s="1822"/>
      <c r="AP747" s="1905" t="s">
        <v>4</v>
      </c>
      <c r="AQ747" s="1822" t="s">
        <v>499</v>
      </c>
      <c r="AR747" s="1822" t="s">
        <v>125</v>
      </c>
      <c r="AS747" s="1822">
        <v>7</v>
      </c>
      <c r="AT747" s="1823">
        <v>320329681.07999998</v>
      </c>
      <c r="AU747" s="1825">
        <v>2.46776366139877E-2</v>
      </c>
      <c r="AV747" s="1822">
        <v>2009</v>
      </c>
    </row>
    <row r="748" spans="1:48">
      <c r="A748" s="333">
        <f t="shared" si="23"/>
        <v>1900</v>
      </c>
      <c r="B748" s="333">
        <f t="shared" si="24"/>
        <v>1</v>
      </c>
      <c r="AI748" s="1878" t="s">
        <v>307</v>
      </c>
      <c r="AJ748" s="1827">
        <v>2014</v>
      </c>
      <c r="AK748" s="1822" t="s">
        <v>537</v>
      </c>
      <c r="AL748" s="1822">
        <v>8</v>
      </c>
      <c r="AM748" s="1891">
        <v>32206698</v>
      </c>
      <c r="AN748" s="1824">
        <v>1.2E-2</v>
      </c>
      <c r="AO748" s="1822"/>
      <c r="AP748" s="1905" t="s">
        <v>4</v>
      </c>
      <c r="AQ748" s="1822" t="s">
        <v>499</v>
      </c>
      <c r="AR748" s="1822" t="s">
        <v>537</v>
      </c>
      <c r="AS748" s="1822">
        <v>8</v>
      </c>
      <c r="AT748" s="1823">
        <v>290649015.20999998</v>
      </c>
      <c r="AU748" s="1825">
        <v>2.2391090189904931E-2</v>
      </c>
      <c r="AV748" s="1822">
        <v>2009</v>
      </c>
    </row>
    <row r="749" spans="1:48">
      <c r="A749" s="333">
        <f t="shared" si="23"/>
        <v>1900</v>
      </c>
      <c r="B749" s="333">
        <f t="shared" si="24"/>
        <v>1</v>
      </c>
      <c r="AI749" s="1878" t="s">
        <v>307</v>
      </c>
      <c r="AJ749" s="1827">
        <v>2014</v>
      </c>
      <c r="AK749" s="1822" t="s">
        <v>54</v>
      </c>
      <c r="AL749" s="1822">
        <v>9</v>
      </c>
      <c r="AM749" s="1891">
        <v>23029553</v>
      </c>
      <c r="AN749" s="1824">
        <v>8.0000000000000002E-3</v>
      </c>
      <c r="AO749" s="1822"/>
      <c r="AP749" s="1905" t="s">
        <v>4</v>
      </c>
      <c r="AQ749" s="1822" t="s">
        <v>499</v>
      </c>
      <c r="AR749" s="1822" t="s">
        <v>758</v>
      </c>
      <c r="AS749" s="1822">
        <v>9</v>
      </c>
      <c r="AT749" s="1823">
        <v>229174475.24000001</v>
      </c>
      <c r="AU749" s="1825">
        <v>1.7655199487310782E-2</v>
      </c>
      <c r="AV749" s="1822">
        <v>2009</v>
      </c>
    </row>
    <row r="750" spans="1:48">
      <c r="A750" s="333">
        <f t="shared" si="23"/>
        <v>1900</v>
      </c>
      <c r="B750" s="333">
        <f t="shared" si="24"/>
        <v>1</v>
      </c>
      <c r="AI750" s="1878" t="s">
        <v>307</v>
      </c>
      <c r="AJ750" s="1827">
        <v>2014</v>
      </c>
      <c r="AK750" s="1822" t="s">
        <v>22</v>
      </c>
      <c r="AL750" s="1822">
        <v>10</v>
      </c>
      <c r="AM750" s="1891">
        <v>15865259</v>
      </c>
      <c r="AN750" s="1824">
        <v>6.0000000000000001E-3</v>
      </c>
      <c r="AO750" s="1822"/>
      <c r="AP750" s="1905" t="s">
        <v>4</v>
      </c>
      <c r="AQ750" s="1822" t="s">
        <v>499</v>
      </c>
      <c r="AR750" s="1822" t="s">
        <v>25</v>
      </c>
      <c r="AS750" s="1822">
        <v>10</v>
      </c>
      <c r="AT750" s="1823">
        <v>202973606.83000001</v>
      </c>
      <c r="AU750" s="1825">
        <v>1.5636730554263605E-2</v>
      </c>
      <c r="AV750" s="1822">
        <v>2009</v>
      </c>
    </row>
    <row r="751" spans="1:48">
      <c r="A751" s="333">
        <f t="shared" si="23"/>
        <v>1900</v>
      </c>
      <c r="B751" s="333">
        <f t="shared" si="24"/>
        <v>1</v>
      </c>
      <c r="AI751" s="1878" t="s">
        <v>307</v>
      </c>
      <c r="AJ751" s="1827">
        <v>2014</v>
      </c>
      <c r="AK751" s="1822" t="s">
        <v>39</v>
      </c>
      <c r="AL751" s="1822"/>
      <c r="AM751" s="1891">
        <v>14407936</v>
      </c>
      <c r="AN751" s="1824">
        <v>5.0000000000000001E-3</v>
      </c>
      <c r="AO751" s="1822"/>
      <c r="AP751" s="1905" t="s">
        <v>4</v>
      </c>
      <c r="AQ751" s="1822" t="s">
        <v>499</v>
      </c>
      <c r="AR751" s="1822" t="s">
        <v>39</v>
      </c>
      <c r="AS751" s="1822"/>
      <c r="AT751" s="1823">
        <v>193434362.96000099</v>
      </c>
      <c r="AU751" s="1825">
        <v>1.4901843943062395E-2</v>
      </c>
      <c r="AV751" s="1822">
        <v>2009</v>
      </c>
    </row>
    <row r="752" spans="1:48">
      <c r="A752" s="333">
        <f t="shared" si="23"/>
        <v>1900</v>
      </c>
      <c r="B752" s="333">
        <f t="shared" si="24"/>
        <v>1</v>
      </c>
      <c r="AI752" s="1878" t="s">
        <v>307</v>
      </c>
      <c r="AJ752" s="1827">
        <v>2014</v>
      </c>
      <c r="AK752" s="1822" t="s">
        <v>386</v>
      </c>
      <c r="AL752" s="1822"/>
      <c r="AM752" s="1891">
        <v>2749305131</v>
      </c>
      <c r="AN752" s="1824"/>
      <c r="AO752" s="1822"/>
      <c r="AP752" s="1905" t="s">
        <v>4</v>
      </c>
      <c r="AQ752" s="1822" t="s">
        <v>499</v>
      </c>
      <c r="AR752" s="1822" t="s">
        <v>386</v>
      </c>
      <c r="AS752" s="1822"/>
      <c r="AT752" s="1823">
        <v>12980565606.450001</v>
      </c>
      <c r="AU752" s="1825">
        <v>1</v>
      </c>
      <c r="AV752" s="1822">
        <v>2009</v>
      </c>
    </row>
    <row r="753" spans="1:48">
      <c r="A753" s="333">
        <f t="shared" si="23"/>
        <v>1900</v>
      </c>
      <c r="B753" s="333">
        <f t="shared" si="24"/>
        <v>1</v>
      </c>
      <c r="AI753" s="1878" t="s">
        <v>307</v>
      </c>
      <c r="AJ753" s="1827">
        <v>2013</v>
      </c>
      <c r="AK753" s="1822" t="s">
        <v>18</v>
      </c>
      <c r="AL753" s="1822">
        <v>1</v>
      </c>
      <c r="AM753" s="1891">
        <v>893758146</v>
      </c>
      <c r="AN753" s="1824">
        <v>0.33301379192245451</v>
      </c>
      <c r="AO753" s="1822"/>
      <c r="AP753" s="1905" t="s">
        <v>4</v>
      </c>
      <c r="AQ753" s="1822" t="s">
        <v>498</v>
      </c>
      <c r="AR753" s="1822" t="s">
        <v>23</v>
      </c>
      <c r="AS753" s="1822">
        <v>1</v>
      </c>
      <c r="AT753" s="1823">
        <v>7537525484.4000053</v>
      </c>
      <c r="AU753" s="1825">
        <v>0.61116818224090752</v>
      </c>
      <c r="AV753" s="1822">
        <v>2008</v>
      </c>
    </row>
    <row r="754" spans="1:48">
      <c r="A754" s="333">
        <f t="shared" si="23"/>
        <v>1900</v>
      </c>
      <c r="B754" s="333">
        <f t="shared" si="24"/>
        <v>1</v>
      </c>
      <c r="AI754" s="1878" t="s">
        <v>307</v>
      </c>
      <c r="AJ754" s="1827">
        <v>2013</v>
      </c>
      <c r="AK754" s="1822" t="s">
        <v>24</v>
      </c>
      <c r="AL754" s="1822">
        <v>2</v>
      </c>
      <c r="AM754" s="1891">
        <v>499164434</v>
      </c>
      <c r="AN754" s="1824">
        <v>0.18598839261283306</v>
      </c>
      <c r="AO754" s="1822"/>
      <c r="AP754" s="1905" t="s">
        <v>4</v>
      </c>
      <c r="AQ754" s="1822" t="s">
        <v>498</v>
      </c>
      <c r="AR754" s="1822" t="s">
        <v>24</v>
      </c>
      <c r="AS754" s="1822">
        <v>2</v>
      </c>
      <c r="AT754" s="1823">
        <v>1476797969.1000001</v>
      </c>
      <c r="AU754" s="1825">
        <v>0.11974379817088694</v>
      </c>
      <c r="AV754" s="1822">
        <v>2008</v>
      </c>
    </row>
    <row r="755" spans="1:48">
      <c r="A755" s="333">
        <f t="shared" si="23"/>
        <v>1900</v>
      </c>
      <c r="B755" s="333">
        <f t="shared" si="24"/>
        <v>1</v>
      </c>
      <c r="AI755" s="1878" t="s">
        <v>307</v>
      </c>
      <c r="AJ755" s="1827">
        <v>2013</v>
      </c>
      <c r="AK755" s="1822" t="s">
        <v>23</v>
      </c>
      <c r="AL755" s="1822">
        <v>3</v>
      </c>
      <c r="AM755" s="1891">
        <v>333612601</v>
      </c>
      <c r="AN755" s="1824">
        <v>0.12430387100731705</v>
      </c>
      <c r="AO755" s="1822"/>
      <c r="AP755" s="1905" t="s">
        <v>4</v>
      </c>
      <c r="AQ755" s="1822" t="s">
        <v>498</v>
      </c>
      <c r="AR755" s="1822" t="s">
        <v>18</v>
      </c>
      <c r="AS755" s="1822">
        <v>3</v>
      </c>
      <c r="AT755" s="1823">
        <v>896703869.18999982</v>
      </c>
      <c r="AU755" s="1825">
        <v>7.2707797124597712E-2</v>
      </c>
      <c r="AV755" s="1822">
        <v>2008</v>
      </c>
    </row>
    <row r="756" spans="1:48">
      <c r="A756" s="333">
        <f t="shared" si="23"/>
        <v>1900</v>
      </c>
      <c r="B756" s="333">
        <f t="shared" si="24"/>
        <v>1</v>
      </c>
      <c r="AI756" s="1878" t="s">
        <v>307</v>
      </c>
      <c r="AJ756" s="1827">
        <v>2013</v>
      </c>
      <c r="AK756" s="1822" t="s">
        <v>69</v>
      </c>
      <c r="AL756" s="1822">
        <v>4</v>
      </c>
      <c r="AM756" s="1891">
        <v>294208904</v>
      </c>
      <c r="AN756" s="1824">
        <v>0.10962207525254757</v>
      </c>
      <c r="AO756" s="1822"/>
      <c r="AP756" s="1905" t="s">
        <v>4</v>
      </c>
      <c r="AQ756" s="1822" t="s">
        <v>498</v>
      </c>
      <c r="AR756" s="1822" t="s">
        <v>61</v>
      </c>
      <c r="AS756" s="1822">
        <v>4</v>
      </c>
      <c r="AT756" s="1823">
        <v>852033317.38999987</v>
      </c>
      <c r="AU756" s="1825">
        <v>6.9085756973647897E-2</v>
      </c>
      <c r="AV756" s="1822">
        <v>2008</v>
      </c>
    </row>
    <row r="757" spans="1:48">
      <c r="A757" s="333">
        <f t="shared" si="23"/>
        <v>1900</v>
      </c>
      <c r="B757" s="333">
        <f t="shared" si="24"/>
        <v>1</v>
      </c>
      <c r="AI757" s="1878" t="s">
        <v>307</v>
      </c>
      <c r="AJ757" s="1827">
        <v>2013</v>
      </c>
      <c r="AK757" s="1822" t="s">
        <v>21</v>
      </c>
      <c r="AL757" s="1822">
        <v>5</v>
      </c>
      <c r="AM757" s="1891">
        <v>289065688</v>
      </c>
      <c r="AN757" s="1824">
        <v>0.10770571580955766</v>
      </c>
      <c r="AO757" s="1822"/>
      <c r="AP757" s="1905" t="s">
        <v>4</v>
      </c>
      <c r="AQ757" s="1822" t="s">
        <v>498</v>
      </c>
      <c r="AR757" s="1822" t="s">
        <v>33</v>
      </c>
      <c r="AS757" s="1822">
        <v>5</v>
      </c>
      <c r="AT757" s="1823">
        <v>514536955.93999994</v>
      </c>
      <c r="AU757" s="1825">
        <v>4.1720405019984051E-2</v>
      </c>
      <c r="AV757" s="1822">
        <v>2008</v>
      </c>
    </row>
    <row r="758" spans="1:48">
      <c r="A758" s="333">
        <f t="shared" si="23"/>
        <v>1900</v>
      </c>
      <c r="B758" s="333">
        <f t="shared" si="24"/>
        <v>1</v>
      </c>
      <c r="AI758" s="1878" t="s">
        <v>307</v>
      </c>
      <c r="AJ758" s="1827">
        <v>2013</v>
      </c>
      <c r="AK758" s="1822" t="s">
        <v>58</v>
      </c>
      <c r="AL758" s="1822">
        <v>6</v>
      </c>
      <c r="AM758" s="1891">
        <v>198529645</v>
      </c>
      <c r="AN758" s="1824">
        <v>7.3972036155817877E-2</v>
      </c>
      <c r="AO758" s="1822"/>
      <c r="AP758" s="1905" t="s">
        <v>4</v>
      </c>
      <c r="AQ758" s="1822" t="s">
        <v>498</v>
      </c>
      <c r="AR758" s="1822" t="s">
        <v>758</v>
      </c>
      <c r="AS758" s="1822">
        <v>6</v>
      </c>
      <c r="AT758" s="1823">
        <v>221719373.13999999</v>
      </c>
      <c r="AU758" s="1825">
        <v>1.7977760278226621E-2</v>
      </c>
      <c r="AV758" s="1822">
        <v>2008</v>
      </c>
    </row>
    <row r="759" spans="1:48">
      <c r="A759" s="333">
        <f t="shared" si="23"/>
        <v>1900</v>
      </c>
      <c r="B759" s="333">
        <f t="shared" si="24"/>
        <v>1</v>
      </c>
      <c r="AI759" s="1878" t="s">
        <v>307</v>
      </c>
      <c r="AJ759" s="1827">
        <v>2013</v>
      </c>
      <c r="AK759" s="1822" t="s">
        <v>54</v>
      </c>
      <c r="AL759" s="1822">
        <v>7</v>
      </c>
      <c r="AM759" s="1891">
        <v>42798820</v>
      </c>
      <c r="AN759" s="1824">
        <v>1.5946816710755422E-2</v>
      </c>
      <c r="AO759" s="1822"/>
      <c r="AP759" s="1905" t="s">
        <v>4</v>
      </c>
      <c r="AQ759" s="1822" t="s">
        <v>498</v>
      </c>
      <c r="AR759" s="1822" t="s">
        <v>537</v>
      </c>
      <c r="AS759" s="1822">
        <v>7</v>
      </c>
      <c r="AT759" s="1823">
        <v>217793123.30000001</v>
      </c>
      <c r="AU759" s="1825">
        <v>1.7659406598003219E-2</v>
      </c>
      <c r="AV759" s="1822">
        <v>2008</v>
      </c>
    </row>
    <row r="760" spans="1:48">
      <c r="A760" s="333">
        <f t="shared" si="23"/>
        <v>1900</v>
      </c>
      <c r="B760" s="333">
        <f t="shared" si="24"/>
        <v>1</v>
      </c>
      <c r="AI760" s="1878" t="s">
        <v>307</v>
      </c>
      <c r="AJ760" s="1827">
        <v>2013</v>
      </c>
      <c r="AK760" s="1822" t="s">
        <v>537</v>
      </c>
      <c r="AL760" s="1822">
        <v>8</v>
      </c>
      <c r="AM760" s="1891">
        <v>40312589</v>
      </c>
      <c r="AN760" s="1824">
        <v>1.502044841233976E-2</v>
      </c>
      <c r="AO760" s="1822"/>
      <c r="AP760" s="1905" t="s">
        <v>4</v>
      </c>
      <c r="AQ760" s="1822" t="s">
        <v>498</v>
      </c>
      <c r="AR760" s="1822" t="s">
        <v>21</v>
      </c>
      <c r="AS760" s="1822">
        <v>8</v>
      </c>
      <c r="AT760" s="1823">
        <v>181852500.06999999</v>
      </c>
      <c r="AU760" s="1825">
        <v>1.474521872380687E-2</v>
      </c>
      <c r="AV760" s="1822">
        <v>2008</v>
      </c>
    </row>
    <row r="761" spans="1:48">
      <c r="A761" s="333">
        <f t="shared" si="23"/>
        <v>1900</v>
      </c>
      <c r="B761" s="333">
        <f t="shared" si="24"/>
        <v>1</v>
      </c>
      <c r="AI761" s="1878" t="s">
        <v>307</v>
      </c>
      <c r="AJ761" s="1827">
        <v>2013</v>
      </c>
      <c r="AK761" s="1822" t="s">
        <v>758</v>
      </c>
      <c r="AL761" s="1822">
        <v>9</v>
      </c>
      <c r="AM761" s="1891">
        <v>38193450</v>
      </c>
      <c r="AN761" s="1824">
        <v>1.4230858390521087E-2</v>
      </c>
      <c r="AO761" s="1822"/>
      <c r="AP761" s="1905" t="s">
        <v>4</v>
      </c>
      <c r="AQ761" s="1822" t="s">
        <v>498</v>
      </c>
      <c r="AR761" s="1822" t="s">
        <v>125</v>
      </c>
      <c r="AS761" s="1822">
        <v>9</v>
      </c>
      <c r="AT761" s="1823">
        <v>177395280.74000001</v>
      </c>
      <c r="AU761" s="1825">
        <v>1.4383812232856615E-2</v>
      </c>
      <c r="AV761" s="1822">
        <v>2008</v>
      </c>
    </row>
    <row r="762" spans="1:48">
      <c r="A762" s="333">
        <f t="shared" si="23"/>
        <v>1900</v>
      </c>
      <c r="B762" s="333">
        <f t="shared" si="24"/>
        <v>1</v>
      </c>
      <c r="AI762" s="1878" t="s">
        <v>307</v>
      </c>
      <c r="AJ762" s="1827">
        <v>2013</v>
      </c>
      <c r="AK762" s="1822" t="s">
        <v>33</v>
      </c>
      <c r="AL762" s="1822">
        <v>10</v>
      </c>
      <c r="AM762" s="1891">
        <v>18726083</v>
      </c>
      <c r="AN762" s="1824">
        <v>6.9773281906228496E-3</v>
      </c>
      <c r="AO762" s="1822"/>
      <c r="AP762" s="1905" t="s">
        <v>4</v>
      </c>
      <c r="AQ762" s="1822" t="s">
        <v>498</v>
      </c>
      <c r="AR762" s="1822" t="s">
        <v>28</v>
      </c>
      <c r="AS762" s="1822">
        <v>10</v>
      </c>
      <c r="AT762" s="1823">
        <v>73127857.849999994</v>
      </c>
      <c r="AU762" s="1825">
        <v>5.9294552364506691E-3</v>
      </c>
      <c r="AV762" s="1822">
        <v>2008</v>
      </c>
    </row>
    <row r="763" spans="1:48">
      <c r="A763" s="333">
        <f t="shared" si="23"/>
        <v>1900</v>
      </c>
      <c r="B763" s="333">
        <f t="shared" si="24"/>
        <v>1</v>
      </c>
      <c r="AI763" s="1878" t="s">
        <v>307</v>
      </c>
      <c r="AJ763" s="1827">
        <v>2013</v>
      </c>
      <c r="AK763" s="1822" t="s">
        <v>39</v>
      </c>
      <c r="AL763" s="1822"/>
      <c r="AM763" s="1891">
        <v>35476878</v>
      </c>
      <c r="AN763" s="1824">
        <v>1.3218665162633722E-2</v>
      </c>
      <c r="AO763" s="1822"/>
      <c r="AP763" s="1905" t="s">
        <v>4</v>
      </c>
      <c r="AQ763" s="1822" t="s">
        <v>498</v>
      </c>
      <c r="AR763" s="1822" t="s">
        <v>39</v>
      </c>
      <c r="AS763" s="1822"/>
      <c r="AT763" s="1823">
        <v>183495113.46999931</v>
      </c>
      <c r="AU763" s="1825">
        <v>1.4878407400631895E-2</v>
      </c>
      <c r="AV763" s="1822">
        <v>2008</v>
      </c>
    </row>
    <row r="764" spans="1:48">
      <c r="A764" s="333">
        <f t="shared" si="23"/>
        <v>1900</v>
      </c>
      <c r="B764" s="333">
        <f t="shared" si="24"/>
        <v>1</v>
      </c>
      <c r="AI764" s="1878" t="s">
        <v>307</v>
      </c>
      <c r="AJ764" s="1827">
        <v>2013</v>
      </c>
      <c r="AK764" s="1822" t="s">
        <v>386</v>
      </c>
      <c r="AL764" s="1822"/>
      <c r="AM764" s="1891">
        <v>2683847239</v>
      </c>
      <c r="AN764" s="1824"/>
      <c r="AO764" s="1822"/>
      <c r="AP764" s="1905" t="s">
        <v>4</v>
      </c>
      <c r="AQ764" s="1822" t="s">
        <v>498</v>
      </c>
      <c r="AR764" s="1822" t="s">
        <v>386</v>
      </c>
      <c r="AS764" s="1822"/>
      <c r="AT764" s="1823">
        <v>12332980844.590004</v>
      </c>
      <c r="AU764" s="1825">
        <v>1</v>
      </c>
      <c r="AV764" s="1822">
        <v>2008</v>
      </c>
    </row>
    <row r="765" spans="1:48">
      <c r="A765" s="333">
        <f t="shared" si="23"/>
        <v>1900</v>
      </c>
      <c r="B765" s="333">
        <f t="shared" si="24"/>
        <v>1</v>
      </c>
      <c r="AI765" s="1878" t="s">
        <v>307</v>
      </c>
      <c r="AJ765" s="1827">
        <v>2012</v>
      </c>
      <c r="AK765" s="1822" t="s">
        <v>24</v>
      </c>
      <c r="AL765" s="1822">
        <v>1</v>
      </c>
      <c r="AM765" s="1891">
        <v>628330244</v>
      </c>
      <c r="AN765" s="1824">
        <v>0.253</v>
      </c>
      <c r="AO765" s="1822"/>
      <c r="AP765" s="1905" t="s">
        <v>4</v>
      </c>
      <c r="AQ765" s="1822" t="s">
        <v>497</v>
      </c>
      <c r="AR765" s="1822" t="s">
        <v>23</v>
      </c>
      <c r="AS765" s="1822">
        <v>1</v>
      </c>
      <c r="AT765" s="1823">
        <v>5247427978.6699991</v>
      </c>
      <c r="AU765" s="1825">
        <v>0.49036192243478655</v>
      </c>
      <c r="AV765" s="1822">
        <v>2007</v>
      </c>
    </row>
    <row r="766" spans="1:48">
      <c r="A766" s="333">
        <f t="shared" si="23"/>
        <v>1900</v>
      </c>
      <c r="B766" s="333">
        <f t="shared" si="24"/>
        <v>1</v>
      </c>
      <c r="AI766" s="1878" t="s">
        <v>307</v>
      </c>
      <c r="AJ766" s="1827">
        <v>2012</v>
      </c>
      <c r="AK766" s="1822" t="s">
        <v>18</v>
      </c>
      <c r="AL766" s="1822">
        <v>2</v>
      </c>
      <c r="AM766" s="1891">
        <v>606672670</v>
      </c>
      <c r="AN766" s="1824">
        <v>0.245</v>
      </c>
      <c r="AO766" s="1822"/>
      <c r="AP766" s="1905" t="s">
        <v>4</v>
      </c>
      <c r="AQ766" s="1822" t="s">
        <v>497</v>
      </c>
      <c r="AR766" s="1822" t="s">
        <v>24</v>
      </c>
      <c r="AS766" s="1822">
        <v>2</v>
      </c>
      <c r="AT766" s="1823">
        <v>1687747371.78</v>
      </c>
      <c r="AU766" s="1825">
        <v>0.15771670410235197</v>
      </c>
      <c r="AV766" s="1822">
        <v>2007</v>
      </c>
    </row>
    <row r="767" spans="1:48">
      <c r="A767" s="333">
        <f t="shared" si="23"/>
        <v>1900</v>
      </c>
      <c r="B767" s="333">
        <f t="shared" si="24"/>
        <v>1</v>
      </c>
      <c r="AI767" s="1878" t="s">
        <v>307</v>
      </c>
      <c r="AJ767" s="1827">
        <v>2012</v>
      </c>
      <c r="AK767" s="1822" t="s">
        <v>23</v>
      </c>
      <c r="AL767" s="1822">
        <v>3</v>
      </c>
      <c r="AM767" s="1891">
        <v>473412647</v>
      </c>
      <c r="AN767" s="1824">
        <v>0.191</v>
      </c>
      <c r="AO767" s="1822"/>
      <c r="AP767" s="1905" t="s">
        <v>4</v>
      </c>
      <c r="AQ767" s="1822" t="s">
        <v>497</v>
      </c>
      <c r="AR767" s="1822" t="s">
        <v>61</v>
      </c>
      <c r="AS767" s="1822">
        <v>3</v>
      </c>
      <c r="AT767" s="1823">
        <v>1250954274.49</v>
      </c>
      <c r="AU767" s="1825">
        <v>0.11689924004872311</v>
      </c>
      <c r="AV767" s="1822">
        <v>2007</v>
      </c>
    </row>
    <row r="768" spans="1:48">
      <c r="A768" s="333">
        <f t="shared" si="23"/>
        <v>1900</v>
      </c>
      <c r="B768" s="333">
        <f t="shared" si="24"/>
        <v>1</v>
      </c>
      <c r="AI768" s="1878" t="s">
        <v>307</v>
      </c>
      <c r="AJ768" s="1827">
        <v>2012</v>
      </c>
      <c r="AK768" s="1822" t="s">
        <v>21</v>
      </c>
      <c r="AL768" s="1822">
        <v>4</v>
      </c>
      <c r="AM768" s="1891">
        <v>336543866</v>
      </c>
      <c r="AN768" s="1824">
        <v>0.13600000000000001</v>
      </c>
      <c r="AO768" s="1822"/>
      <c r="AP768" s="1905" t="s">
        <v>4</v>
      </c>
      <c r="AQ768" s="1822" t="s">
        <v>497</v>
      </c>
      <c r="AR768" s="1822" t="s">
        <v>18</v>
      </c>
      <c r="AS768" s="1822">
        <v>4</v>
      </c>
      <c r="AT768" s="1823">
        <v>769675146.28999996</v>
      </c>
      <c r="AU768" s="1825">
        <v>7.1924643066887756E-2</v>
      </c>
      <c r="AV768" s="1822">
        <v>2007</v>
      </c>
    </row>
    <row r="769" spans="1:49">
      <c r="A769" s="333">
        <f t="shared" si="23"/>
        <v>1900</v>
      </c>
      <c r="B769" s="333">
        <f t="shared" si="24"/>
        <v>1</v>
      </c>
      <c r="AI769" s="1878" t="s">
        <v>307</v>
      </c>
      <c r="AJ769" s="1827">
        <v>2012</v>
      </c>
      <c r="AK769" s="1822" t="s">
        <v>58</v>
      </c>
      <c r="AL769" s="1822">
        <v>5</v>
      </c>
      <c r="AM769" s="1891">
        <v>193176932</v>
      </c>
      <c r="AN769" s="1824">
        <v>7.8E-2</v>
      </c>
      <c r="AO769" s="1822"/>
      <c r="AP769" s="1905" t="s">
        <v>4</v>
      </c>
      <c r="AQ769" s="1822" t="s">
        <v>497</v>
      </c>
      <c r="AR769" s="1822" t="s">
        <v>33</v>
      </c>
      <c r="AS769" s="1822">
        <v>5</v>
      </c>
      <c r="AT769" s="1823">
        <v>561125122.26999998</v>
      </c>
      <c r="AU769" s="1825">
        <v>5.2436049584907662E-2</v>
      </c>
      <c r="AV769" s="1822">
        <v>2007</v>
      </c>
    </row>
    <row r="770" spans="1:49">
      <c r="A770" s="333">
        <f t="shared" si="23"/>
        <v>1900</v>
      </c>
      <c r="B770" s="333">
        <f t="shared" si="24"/>
        <v>1</v>
      </c>
      <c r="AI770" s="1878" t="s">
        <v>307</v>
      </c>
      <c r="AJ770" s="1827">
        <v>2012</v>
      </c>
      <c r="AK770" s="1822" t="s">
        <v>69</v>
      </c>
      <c r="AL770" s="1822">
        <v>6</v>
      </c>
      <c r="AM770" s="1891">
        <v>186862862</v>
      </c>
      <c r="AN770" s="1824">
        <v>7.4999999999999997E-2</v>
      </c>
      <c r="AO770" s="1822"/>
      <c r="AP770" s="1905" t="s">
        <v>4</v>
      </c>
      <c r="AQ770" s="1822" t="s">
        <v>497</v>
      </c>
      <c r="AR770" s="1822" t="s">
        <v>125</v>
      </c>
      <c r="AS770" s="1822">
        <v>6</v>
      </c>
      <c r="AT770" s="1823">
        <v>291379022.33999997</v>
      </c>
      <c r="AU770" s="1825">
        <v>2.722880202121904E-2</v>
      </c>
      <c r="AV770" s="1822">
        <v>2007</v>
      </c>
    </row>
    <row r="771" spans="1:49">
      <c r="A771" s="333">
        <f t="shared" si="23"/>
        <v>1900</v>
      </c>
      <c r="B771" s="333">
        <f t="shared" si="24"/>
        <v>1</v>
      </c>
      <c r="AI771" s="1878" t="s">
        <v>307</v>
      </c>
      <c r="AJ771" s="1827">
        <v>2012</v>
      </c>
      <c r="AK771" s="1822" t="s">
        <v>54</v>
      </c>
      <c r="AL771" s="1822">
        <v>7</v>
      </c>
      <c r="AM771" s="1891">
        <v>38732849</v>
      </c>
      <c r="AN771" s="1824">
        <v>1.6E-2</v>
      </c>
      <c r="AO771" s="1822"/>
      <c r="AP771" s="1905" t="s">
        <v>4</v>
      </c>
      <c r="AQ771" s="1822" t="s">
        <v>497</v>
      </c>
      <c r="AR771" s="1822" t="s">
        <v>28</v>
      </c>
      <c r="AS771" s="1822">
        <v>7</v>
      </c>
      <c r="AT771" s="1823">
        <v>244811358.72000003</v>
      </c>
      <c r="AU771" s="1825">
        <v>2.2877144571355888E-2</v>
      </c>
      <c r="AV771" s="1822">
        <v>2007</v>
      </c>
    </row>
    <row r="772" spans="1:49">
      <c r="A772" s="333">
        <f t="shared" si="23"/>
        <v>1900</v>
      </c>
      <c r="B772" s="333">
        <f t="shared" si="24"/>
        <v>1</v>
      </c>
      <c r="AI772" s="1878" t="s">
        <v>307</v>
      </c>
      <c r="AJ772" s="1827">
        <v>2012</v>
      </c>
      <c r="AK772" s="1781" t="s">
        <v>22</v>
      </c>
      <c r="AL772" s="1781">
        <v>8</v>
      </c>
      <c r="AM772" s="1880">
        <v>11002578</v>
      </c>
      <c r="AN772" s="1831">
        <v>4.0000000000000001E-3</v>
      </c>
      <c r="AO772" s="1822"/>
      <c r="AP772" s="1905" t="s">
        <v>4</v>
      </c>
      <c r="AQ772" s="1822" t="s">
        <v>497</v>
      </c>
      <c r="AR772" s="1822" t="s">
        <v>25</v>
      </c>
      <c r="AS772" s="1822">
        <v>8</v>
      </c>
      <c r="AT772" s="1823">
        <v>186951828.81999999</v>
      </c>
      <c r="AU772" s="1825">
        <v>1.7470284214574361E-2</v>
      </c>
      <c r="AV772" s="1822">
        <v>2007</v>
      </c>
    </row>
    <row r="773" spans="1:49">
      <c r="A773" s="333">
        <f t="shared" si="23"/>
        <v>1900</v>
      </c>
      <c r="B773" s="333">
        <f t="shared" si="24"/>
        <v>1</v>
      </c>
      <c r="AI773" s="1878" t="s">
        <v>307</v>
      </c>
      <c r="AJ773" s="1827">
        <v>2012</v>
      </c>
      <c r="AK773" s="1781" t="s">
        <v>33</v>
      </c>
      <c r="AL773" s="1781">
        <v>9</v>
      </c>
      <c r="AM773" s="1880">
        <v>6491219</v>
      </c>
      <c r="AN773" s="1831">
        <v>3.0000000000000001E-3</v>
      </c>
      <c r="AO773" s="1822"/>
      <c r="AP773" s="1905" t="s">
        <v>4</v>
      </c>
      <c r="AQ773" s="1822" t="s">
        <v>497</v>
      </c>
      <c r="AR773" s="1822" t="s">
        <v>758</v>
      </c>
      <c r="AS773" s="1822">
        <v>9</v>
      </c>
      <c r="AT773" s="1823">
        <v>136152981.06</v>
      </c>
      <c r="AU773" s="1825">
        <v>1.2723230849321841E-2</v>
      </c>
      <c r="AV773" s="1822">
        <v>2007</v>
      </c>
    </row>
    <row r="774" spans="1:49">
      <c r="A774" s="333">
        <f t="shared" si="23"/>
        <v>1900</v>
      </c>
      <c r="B774" s="333">
        <f t="shared" si="24"/>
        <v>1</v>
      </c>
      <c r="AI774" s="1878" t="s">
        <v>307</v>
      </c>
      <c r="AJ774" s="1827">
        <v>2012</v>
      </c>
      <c r="AK774" s="1781" t="s">
        <v>130</v>
      </c>
      <c r="AL774" s="1781">
        <v>10</v>
      </c>
      <c r="AM774" s="1880">
        <v>4235</v>
      </c>
      <c r="AN774" s="1831">
        <v>0</v>
      </c>
      <c r="AO774" s="1822"/>
      <c r="AP774" s="1905" t="s">
        <v>4</v>
      </c>
      <c r="AQ774" s="1822" t="s">
        <v>497</v>
      </c>
      <c r="AR774" s="1822" t="s">
        <v>22</v>
      </c>
      <c r="AS774" s="1822">
        <v>10</v>
      </c>
      <c r="AT774" s="1823">
        <v>113789725.36</v>
      </c>
      <c r="AU774" s="1825">
        <v>1.0633428168555533E-2</v>
      </c>
      <c r="AV774" s="1822">
        <v>2007</v>
      </c>
    </row>
    <row r="775" spans="1:49">
      <c r="A775" s="333">
        <f t="shared" si="23"/>
        <v>1900</v>
      </c>
      <c r="B775" s="333">
        <f t="shared" si="24"/>
        <v>1</v>
      </c>
      <c r="AI775" s="1878" t="s">
        <v>307</v>
      </c>
      <c r="AJ775" s="1827">
        <v>2012</v>
      </c>
      <c r="AK775" s="1781" t="s">
        <v>39</v>
      </c>
      <c r="AM775" s="1781" t="s">
        <v>518</v>
      </c>
      <c r="AN775" s="1831">
        <v>0</v>
      </c>
      <c r="AO775" s="1822"/>
      <c r="AP775" s="1905" t="s">
        <v>4</v>
      </c>
      <c r="AQ775" s="1822" t="s">
        <v>497</v>
      </c>
      <c r="AR775" s="1822" t="s">
        <v>39</v>
      </c>
      <c r="AS775" s="1822"/>
      <c r="AT775" s="1823">
        <v>211117840.57999992</v>
      </c>
      <c r="AU775" s="1825">
        <v>1.9728550937316257E-2</v>
      </c>
      <c r="AV775" s="1822">
        <v>2007</v>
      </c>
    </row>
    <row r="776" spans="1:49">
      <c r="A776" s="333">
        <f t="shared" si="23"/>
        <v>1900</v>
      </c>
      <c r="B776" s="333">
        <f t="shared" si="24"/>
        <v>1</v>
      </c>
      <c r="AI776" s="1878" t="s">
        <v>307</v>
      </c>
      <c r="AJ776" s="1827">
        <v>2012</v>
      </c>
      <c r="AK776" s="1822" t="s">
        <v>386</v>
      </c>
      <c r="AM776" s="1880">
        <v>2481230102</v>
      </c>
      <c r="AO776" s="1822"/>
      <c r="AP776" s="1905" t="s">
        <v>4</v>
      </c>
      <c r="AQ776" s="1822" t="s">
        <v>497</v>
      </c>
      <c r="AR776" s="1822" t="s">
        <v>386</v>
      </c>
      <c r="AS776" s="1822"/>
      <c r="AT776" s="1823">
        <v>10701132650.379999</v>
      </c>
      <c r="AU776" s="1825">
        <v>1</v>
      </c>
      <c r="AV776" s="1822">
        <v>2007</v>
      </c>
    </row>
    <row r="777" spans="1:49">
      <c r="A777" s="333">
        <f t="shared" si="23"/>
        <v>1900</v>
      </c>
      <c r="B777" s="333">
        <f t="shared" si="24"/>
        <v>1</v>
      </c>
      <c r="AI777" s="1878" t="s">
        <v>307</v>
      </c>
      <c r="AJ777" s="1827">
        <v>2011</v>
      </c>
      <c r="AK777" s="1781" t="s">
        <v>24</v>
      </c>
      <c r="AL777" s="1781">
        <v>1</v>
      </c>
      <c r="AM777" s="1880">
        <v>488514317</v>
      </c>
      <c r="AN777" s="1831">
        <v>0.23799999999999999</v>
      </c>
      <c r="AO777" s="1822"/>
      <c r="AP777" s="1878" t="s">
        <v>533</v>
      </c>
      <c r="AQ777" s="1822" t="s">
        <v>505</v>
      </c>
      <c r="AR777" s="1823"/>
      <c r="AS777" s="1822"/>
      <c r="AT777" s="1823">
        <v>1588816202.8699999</v>
      </c>
      <c r="AU777" s="1825"/>
      <c r="AV777" s="1822">
        <v>2015</v>
      </c>
    </row>
    <row r="778" spans="1:49">
      <c r="A778" s="333">
        <f t="shared" ref="A778:A841" si="25">YEAR(C778)</f>
        <v>1900</v>
      </c>
      <c r="B778" s="333">
        <f t="shared" ref="B778:B841" si="26">IF(OR(MONTH(C778)=1,MONTH(C778)=2,MONTH(C778)=3),1,IF(OR(MONTH(C778)=4,MONTH(C778)=5,MONTH(C778)=6),2,IF(OR(MONTH(C778)=7,MONTH(C778)=8,MONTH(C778)=9),3,4)))</f>
        <v>1</v>
      </c>
      <c r="AI778" s="1878" t="s">
        <v>307</v>
      </c>
      <c r="AJ778" s="1827">
        <v>2011</v>
      </c>
      <c r="AK778" s="1781" t="s">
        <v>18</v>
      </c>
      <c r="AL778" s="1781">
        <v>2</v>
      </c>
      <c r="AM778" s="1880">
        <v>487302886</v>
      </c>
      <c r="AN778" s="1831">
        <v>0.23799999999999999</v>
      </c>
      <c r="AO778" s="1822"/>
      <c r="AP778" s="1878" t="s">
        <v>533</v>
      </c>
      <c r="AQ778" s="1822" t="s">
        <v>504</v>
      </c>
      <c r="AR778" s="1823"/>
      <c r="AS778" s="1822"/>
      <c r="AT778" s="1823">
        <v>1520554770.7800002</v>
      </c>
      <c r="AV778" s="1822">
        <v>2014</v>
      </c>
    </row>
    <row r="779" spans="1:49">
      <c r="A779" s="333">
        <f t="shared" si="25"/>
        <v>1900</v>
      </c>
      <c r="B779" s="333">
        <f t="shared" si="26"/>
        <v>1</v>
      </c>
      <c r="AI779" s="1878" t="s">
        <v>307</v>
      </c>
      <c r="AJ779" s="1827">
        <v>2011</v>
      </c>
      <c r="AK779" s="1781" t="s">
        <v>21</v>
      </c>
      <c r="AL779" s="1781">
        <v>3</v>
      </c>
      <c r="AM779" s="1880">
        <v>413066524</v>
      </c>
      <c r="AN779" s="1831">
        <v>0.20100000000000001</v>
      </c>
      <c r="AO779" s="1822"/>
      <c r="AP779" s="1878" t="s">
        <v>533</v>
      </c>
      <c r="AQ779" s="1822" t="s">
        <v>503</v>
      </c>
      <c r="AR779" s="1823"/>
      <c r="AS779" s="1822"/>
      <c r="AT779" s="1823">
        <v>1450427560.1800001</v>
      </c>
      <c r="AV779" s="1822">
        <v>2013</v>
      </c>
    </row>
    <row r="780" spans="1:49">
      <c r="A780" s="333">
        <f t="shared" si="25"/>
        <v>1900</v>
      </c>
      <c r="B780" s="333">
        <f t="shared" si="26"/>
        <v>1</v>
      </c>
      <c r="AI780" s="1878" t="s">
        <v>307</v>
      </c>
      <c r="AJ780" s="1827">
        <v>2011</v>
      </c>
      <c r="AK780" s="1781" t="s">
        <v>23</v>
      </c>
      <c r="AL780" s="1781">
        <v>4</v>
      </c>
      <c r="AM780" s="1880">
        <v>290029875</v>
      </c>
      <c r="AN780" s="1831">
        <v>0.14099999999999999</v>
      </c>
      <c r="AO780" s="1822"/>
      <c r="AP780" s="1878" t="s">
        <v>533</v>
      </c>
      <c r="AQ780" s="1822" t="s">
        <v>502</v>
      </c>
      <c r="AR780" s="1823"/>
      <c r="AS780" s="1822"/>
      <c r="AT780" s="1823">
        <v>1541281662.23</v>
      </c>
      <c r="AV780" s="1822">
        <v>2012</v>
      </c>
    </row>
    <row r="781" spans="1:49">
      <c r="A781" s="333">
        <f t="shared" si="25"/>
        <v>1900</v>
      </c>
      <c r="B781" s="333">
        <f t="shared" si="26"/>
        <v>1</v>
      </c>
      <c r="AI781" s="1878" t="s">
        <v>307</v>
      </c>
      <c r="AJ781" s="1827">
        <v>2011</v>
      </c>
      <c r="AK781" s="1781" t="s">
        <v>69</v>
      </c>
      <c r="AL781" s="1781">
        <v>5</v>
      </c>
      <c r="AM781" s="1880">
        <v>177026486</v>
      </c>
      <c r="AN781" s="1831">
        <v>8.5999999999999993E-2</v>
      </c>
      <c r="AO781" s="1822"/>
      <c r="AP781" s="1878" t="s">
        <v>533</v>
      </c>
      <c r="AQ781" s="1822" t="s">
        <v>501</v>
      </c>
      <c r="AR781" s="1823"/>
      <c r="AS781" s="1822"/>
      <c r="AT781" s="1823">
        <v>1547839336.1300001</v>
      </c>
      <c r="AV781" s="1822">
        <v>2011</v>
      </c>
    </row>
    <row r="782" spans="1:49">
      <c r="A782" s="333">
        <f t="shared" si="25"/>
        <v>1900</v>
      </c>
      <c r="B782" s="333">
        <f t="shared" si="26"/>
        <v>1</v>
      </c>
      <c r="AI782" s="1878" t="s">
        <v>307</v>
      </c>
      <c r="AJ782" s="1827">
        <v>2011</v>
      </c>
      <c r="AK782" s="1781" t="s">
        <v>58</v>
      </c>
      <c r="AL782" s="1781">
        <v>6</v>
      </c>
      <c r="AM782" s="1880">
        <v>153540432</v>
      </c>
      <c r="AN782" s="1831">
        <v>7.4999999999999997E-2</v>
      </c>
      <c r="AO782" s="1822"/>
      <c r="AP782" s="1878" t="s">
        <v>533</v>
      </c>
      <c r="AQ782" s="1822" t="s">
        <v>500</v>
      </c>
      <c r="AR782" s="1823"/>
      <c r="AS782" s="1822"/>
      <c r="AT782" s="1823">
        <v>1349644552.73</v>
      </c>
      <c r="AV782" s="1822">
        <v>2010</v>
      </c>
      <c r="AW782" s="1926"/>
    </row>
    <row r="783" spans="1:49">
      <c r="A783" s="333">
        <f t="shared" si="25"/>
        <v>1900</v>
      </c>
      <c r="B783" s="333">
        <f t="shared" si="26"/>
        <v>1</v>
      </c>
      <c r="AI783" s="1878" t="s">
        <v>307</v>
      </c>
      <c r="AJ783" s="1827">
        <v>2011</v>
      </c>
      <c r="AK783" s="1781" t="s">
        <v>54</v>
      </c>
      <c r="AL783" s="1781">
        <v>7</v>
      </c>
      <c r="AM783" s="1880">
        <v>22577985</v>
      </c>
      <c r="AN783" s="1831">
        <v>1.0999999999999999E-2</v>
      </c>
      <c r="AP783" s="1878" t="s">
        <v>533</v>
      </c>
      <c r="AQ783" s="1822" t="s">
        <v>499</v>
      </c>
      <c r="AR783" s="1823"/>
      <c r="AS783" s="1822"/>
      <c r="AT783" s="1823">
        <v>966602084.71000004</v>
      </c>
      <c r="AV783" s="1822">
        <v>2009</v>
      </c>
      <c r="AW783" s="1926"/>
    </row>
    <row r="784" spans="1:49">
      <c r="A784" s="333">
        <f t="shared" si="25"/>
        <v>1900</v>
      </c>
      <c r="B784" s="333">
        <f t="shared" si="26"/>
        <v>1</v>
      </c>
      <c r="AI784" s="1878" t="s">
        <v>307</v>
      </c>
      <c r="AJ784" s="1827">
        <v>2011</v>
      </c>
      <c r="AK784" s="1781" t="s">
        <v>33</v>
      </c>
      <c r="AL784" s="1781">
        <v>8</v>
      </c>
      <c r="AM784" s="1880">
        <v>14988448</v>
      </c>
      <c r="AN784" s="1831">
        <v>7.0000000000000001E-3</v>
      </c>
      <c r="AP784" s="1878" t="s">
        <v>533</v>
      </c>
      <c r="AQ784" s="1822" t="s">
        <v>498</v>
      </c>
      <c r="AR784" s="1823"/>
      <c r="AS784" s="1822"/>
      <c r="AT784" s="1823">
        <v>621565632.72000003</v>
      </c>
      <c r="AV784" s="1822">
        <v>2008</v>
      </c>
      <c r="AW784" s="1926"/>
    </row>
    <row r="785" spans="1:49">
      <c r="A785" s="333">
        <f t="shared" si="25"/>
        <v>1900</v>
      </c>
      <c r="B785" s="333">
        <f t="shared" si="26"/>
        <v>1</v>
      </c>
      <c r="AI785" s="1878" t="s">
        <v>307</v>
      </c>
      <c r="AJ785" s="1827">
        <v>2011</v>
      </c>
      <c r="AK785" s="1781" t="s">
        <v>397</v>
      </c>
      <c r="AL785" s="1781">
        <v>9</v>
      </c>
      <c r="AM785" s="1880">
        <v>2750648</v>
      </c>
      <c r="AN785" s="1831">
        <v>1E-3</v>
      </c>
      <c r="AP785" s="1878" t="s">
        <v>533</v>
      </c>
      <c r="AQ785" s="1822" t="s">
        <v>497</v>
      </c>
      <c r="AR785" s="1823"/>
      <c r="AS785" s="1822"/>
      <c r="AT785" s="1823">
        <v>456211782.08000004</v>
      </c>
      <c r="AV785" s="1822">
        <v>2007</v>
      </c>
      <c r="AW785" s="1926"/>
    </row>
    <row r="786" spans="1:49">
      <c r="A786" s="333">
        <f t="shared" si="25"/>
        <v>1900</v>
      </c>
      <c r="B786" s="333">
        <f t="shared" si="26"/>
        <v>1</v>
      </c>
      <c r="AI786" s="1878" t="s">
        <v>307</v>
      </c>
      <c r="AJ786" s="1827">
        <v>2011</v>
      </c>
      <c r="AK786" s="1781" t="s">
        <v>70</v>
      </c>
      <c r="AL786" s="1781">
        <v>10</v>
      </c>
      <c r="AM786" s="1880">
        <v>270041</v>
      </c>
      <c r="AN786" s="1831">
        <v>0</v>
      </c>
      <c r="AP786" s="1878" t="s">
        <v>307</v>
      </c>
      <c r="AQ786" s="1822" t="s">
        <v>505</v>
      </c>
      <c r="AR786" s="1781" t="s">
        <v>18</v>
      </c>
      <c r="AS786" s="1781">
        <v>1</v>
      </c>
      <c r="AT786" s="1880">
        <v>847806669</v>
      </c>
      <c r="AU786" s="1909">
        <v>0.27600000000000002</v>
      </c>
      <c r="AV786" s="1822">
        <v>2015</v>
      </c>
      <c r="AW786" s="1926"/>
    </row>
    <row r="787" spans="1:49">
      <c r="A787" s="333">
        <f t="shared" si="25"/>
        <v>1900</v>
      </c>
      <c r="B787" s="333">
        <f t="shared" si="26"/>
        <v>1</v>
      </c>
      <c r="AI787" s="1878" t="s">
        <v>307</v>
      </c>
      <c r="AJ787" s="1827">
        <v>2011</v>
      </c>
      <c r="AK787" s="1781" t="s">
        <v>39</v>
      </c>
      <c r="AM787" s="1880">
        <v>91632</v>
      </c>
      <c r="AN787" s="1831">
        <v>0</v>
      </c>
      <c r="AP787" s="1878" t="s">
        <v>307</v>
      </c>
      <c r="AQ787" s="1822" t="s">
        <v>505</v>
      </c>
      <c r="AR787" s="1781" t="s">
        <v>24</v>
      </c>
      <c r="AS787" s="1781">
        <v>2</v>
      </c>
      <c r="AT787" s="1880">
        <v>816366257</v>
      </c>
      <c r="AU787" s="1909">
        <v>0.26600000000000001</v>
      </c>
      <c r="AV787" s="1822">
        <v>2015</v>
      </c>
      <c r="AW787" s="1926"/>
    </row>
    <row r="788" spans="1:49">
      <c r="A788" s="333">
        <f t="shared" si="25"/>
        <v>1900</v>
      </c>
      <c r="B788" s="333">
        <f t="shared" si="26"/>
        <v>1</v>
      </c>
      <c r="AI788" s="1878" t="s">
        <v>307</v>
      </c>
      <c r="AJ788" s="1827">
        <v>2011</v>
      </c>
      <c r="AK788" s="1822" t="s">
        <v>386</v>
      </c>
      <c r="AM788" s="1880">
        <v>2050159274</v>
      </c>
      <c r="AP788" s="1878" t="s">
        <v>307</v>
      </c>
      <c r="AQ788" s="1822" t="s">
        <v>505</v>
      </c>
      <c r="AR788" s="1781" t="s">
        <v>69</v>
      </c>
      <c r="AS788" s="1781">
        <v>3</v>
      </c>
      <c r="AT788" s="1880">
        <v>520528130</v>
      </c>
      <c r="AU788" s="1909">
        <v>0.16900000000000001</v>
      </c>
      <c r="AV788" s="1822">
        <v>2015</v>
      </c>
      <c r="AW788" s="1926"/>
    </row>
    <row r="789" spans="1:49">
      <c r="A789" s="333">
        <f t="shared" si="25"/>
        <v>1900</v>
      </c>
      <c r="B789" s="333">
        <f t="shared" si="26"/>
        <v>1</v>
      </c>
      <c r="AI789" s="1878" t="s">
        <v>307</v>
      </c>
      <c r="AJ789" s="1827">
        <v>2010</v>
      </c>
      <c r="AK789" s="1781" t="s">
        <v>18</v>
      </c>
      <c r="AL789" s="1781">
        <v>1</v>
      </c>
      <c r="AM789" s="1880">
        <v>839808558</v>
      </c>
      <c r="AN789" s="1831">
        <v>0.28000000000000003</v>
      </c>
      <c r="AP789" s="1878" t="s">
        <v>307</v>
      </c>
      <c r="AQ789" s="1822" t="s">
        <v>505</v>
      </c>
      <c r="AR789" s="1781" t="s">
        <v>23</v>
      </c>
      <c r="AS789" s="1781">
        <v>4</v>
      </c>
      <c r="AT789" s="1880">
        <v>371624283</v>
      </c>
      <c r="AU789" s="1909">
        <v>0.121</v>
      </c>
      <c r="AV789" s="1822">
        <v>2015</v>
      </c>
      <c r="AW789" s="1926"/>
    </row>
    <row r="790" spans="1:49">
      <c r="A790" s="333">
        <f t="shared" si="25"/>
        <v>1900</v>
      </c>
      <c r="B790" s="333">
        <f t="shared" si="26"/>
        <v>1</v>
      </c>
      <c r="AI790" s="1878" t="s">
        <v>307</v>
      </c>
      <c r="AJ790" s="1827">
        <v>2010</v>
      </c>
      <c r="AK790" s="1781" t="s">
        <v>24</v>
      </c>
      <c r="AL790" s="1781">
        <v>2</v>
      </c>
      <c r="AM790" s="1880">
        <v>754039946</v>
      </c>
      <c r="AN790" s="1831">
        <v>0.251</v>
      </c>
      <c r="AP790" s="1878" t="s">
        <v>307</v>
      </c>
      <c r="AQ790" s="1822" t="s">
        <v>505</v>
      </c>
      <c r="AR790" s="1781" t="s">
        <v>21</v>
      </c>
      <c r="AS790" s="1781">
        <v>5</v>
      </c>
      <c r="AT790" s="1880">
        <v>200594224</v>
      </c>
      <c r="AU790" s="1909">
        <v>6.5000000000000002E-2</v>
      </c>
      <c r="AV790" s="1822">
        <v>2015</v>
      </c>
      <c r="AW790" s="1926"/>
    </row>
    <row r="791" spans="1:49">
      <c r="A791" s="333">
        <f t="shared" si="25"/>
        <v>1900</v>
      </c>
      <c r="B791" s="333">
        <f t="shared" si="26"/>
        <v>1</v>
      </c>
      <c r="AI791" s="1878" t="s">
        <v>307</v>
      </c>
      <c r="AJ791" s="1827">
        <v>2010</v>
      </c>
      <c r="AK791" s="1781" t="s">
        <v>23</v>
      </c>
      <c r="AL791" s="1781">
        <v>3</v>
      </c>
      <c r="AM791" s="1880">
        <v>521627226</v>
      </c>
      <c r="AN791" s="1831">
        <v>0.17399999999999999</v>
      </c>
      <c r="AP791" s="1878" t="s">
        <v>307</v>
      </c>
      <c r="AQ791" s="1822" t="s">
        <v>505</v>
      </c>
      <c r="AR791" s="1781" t="s">
        <v>58</v>
      </c>
      <c r="AS791" s="1781">
        <v>6</v>
      </c>
      <c r="AT791" s="1880">
        <v>197377870</v>
      </c>
      <c r="AU791" s="1909">
        <v>6.4000000000000001E-2</v>
      </c>
      <c r="AV791" s="1822">
        <v>2015</v>
      </c>
    </row>
    <row r="792" spans="1:49">
      <c r="A792" s="333">
        <f t="shared" si="25"/>
        <v>1900</v>
      </c>
      <c r="B792" s="333">
        <f t="shared" si="26"/>
        <v>1</v>
      </c>
      <c r="AI792" s="1878" t="s">
        <v>307</v>
      </c>
      <c r="AJ792" s="1827">
        <v>2010</v>
      </c>
      <c r="AK792" s="1781" t="s">
        <v>21</v>
      </c>
      <c r="AL792" s="1781">
        <v>4</v>
      </c>
      <c r="AM792" s="1880">
        <v>473161178</v>
      </c>
      <c r="AN792" s="1831">
        <v>0.157</v>
      </c>
      <c r="AP792" s="1878" t="s">
        <v>307</v>
      </c>
      <c r="AQ792" s="1822" t="s">
        <v>505</v>
      </c>
      <c r="AR792" s="1781" t="s">
        <v>537</v>
      </c>
      <c r="AS792" s="1781">
        <v>7</v>
      </c>
      <c r="AT792" s="1880">
        <v>57402316</v>
      </c>
      <c r="AU792" s="1909">
        <v>1.9E-2</v>
      </c>
      <c r="AV792" s="1822">
        <v>2015</v>
      </c>
    </row>
    <row r="793" spans="1:49">
      <c r="A793" s="333">
        <f t="shared" si="25"/>
        <v>1900</v>
      </c>
      <c r="B793" s="333">
        <f t="shared" si="26"/>
        <v>1</v>
      </c>
      <c r="AI793" s="1878" t="s">
        <v>307</v>
      </c>
      <c r="AJ793" s="1827">
        <v>2010</v>
      </c>
      <c r="AK793" s="1781" t="s">
        <v>58</v>
      </c>
      <c r="AL793" s="1781">
        <v>5</v>
      </c>
      <c r="AM793" s="1880">
        <v>185377130</v>
      </c>
      <c r="AN793" s="1831">
        <v>6.2E-2</v>
      </c>
      <c r="AP793" s="1878" t="s">
        <v>307</v>
      </c>
      <c r="AQ793" s="1822" t="s">
        <v>505</v>
      </c>
      <c r="AR793" s="1781" t="s">
        <v>54</v>
      </c>
      <c r="AS793" s="1781">
        <v>8</v>
      </c>
      <c r="AT793" s="1880">
        <v>52861207</v>
      </c>
      <c r="AU793" s="1909">
        <v>1.7000000000000001E-2</v>
      </c>
      <c r="AV793" s="1822">
        <v>2015</v>
      </c>
    </row>
    <row r="794" spans="1:49">
      <c r="A794" s="333">
        <f t="shared" si="25"/>
        <v>1900</v>
      </c>
      <c r="B794" s="333">
        <f t="shared" si="26"/>
        <v>1</v>
      </c>
      <c r="AI794" s="1878" t="s">
        <v>307</v>
      </c>
      <c r="AJ794" s="1827">
        <v>2010</v>
      </c>
      <c r="AK794" s="1781" t="s">
        <v>69</v>
      </c>
      <c r="AL794" s="1781">
        <v>6</v>
      </c>
      <c r="AM794" s="1880">
        <v>159454759</v>
      </c>
      <c r="AN794" s="1831">
        <v>5.2999999999999999E-2</v>
      </c>
      <c r="AP794" s="1878" t="s">
        <v>307</v>
      </c>
      <c r="AQ794" s="1822" t="s">
        <v>505</v>
      </c>
      <c r="AR794" s="1781" t="s">
        <v>33</v>
      </c>
      <c r="AS794" s="1781">
        <v>9</v>
      </c>
      <c r="AT794" s="1880">
        <v>7460387</v>
      </c>
      <c r="AU794" s="1909">
        <v>2E-3</v>
      </c>
      <c r="AV794" s="1822">
        <v>2015</v>
      </c>
    </row>
    <row r="795" spans="1:49">
      <c r="A795" s="333">
        <f t="shared" si="25"/>
        <v>1900</v>
      </c>
      <c r="B795" s="333">
        <f t="shared" si="26"/>
        <v>1</v>
      </c>
      <c r="AI795" s="1878" t="s">
        <v>307</v>
      </c>
      <c r="AJ795" s="1827">
        <v>2010</v>
      </c>
      <c r="AK795" s="1781" t="s">
        <v>54</v>
      </c>
      <c r="AL795" s="1781">
        <v>7</v>
      </c>
      <c r="AM795" s="1880">
        <v>36370523</v>
      </c>
      <c r="AN795" s="1831">
        <v>1.2E-2</v>
      </c>
      <c r="AP795" s="1878" t="s">
        <v>307</v>
      </c>
      <c r="AQ795" s="1822" t="s">
        <v>505</v>
      </c>
      <c r="AR795" s="1781" t="s">
        <v>130</v>
      </c>
      <c r="AS795" s="1781">
        <v>10</v>
      </c>
      <c r="AT795" s="1880">
        <v>2043</v>
      </c>
      <c r="AU795" s="1909">
        <v>0</v>
      </c>
      <c r="AV795" s="1822">
        <v>2015</v>
      </c>
    </row>
    <row r="796" spans="1:49">
      <c r="A796" s="333">
        <f t="shared" si="25"/>
        <v>1900</v>
      </c>
      <c r="B796" s="333">
        <f t="shared" si="26"/>
        <v>1</v>
      </c>
      <c r="AI796" s="1878" t="s">
        <v>307</v>
      </c>
      <c r="AJ796" s="1827">
        <v>2010</v>
      </c>
      <c r="AK796" s="1781" t="s">
        <v>33</v>
      </c>
      <c r="AL796" s="1781">
        <v>8</v>
      </c>
      <c r="AM796" s="1880">
        <v>26759529</v>
      </c>
      <c r="AN796" s="1831">
        <v>8.9999999999999993E-3</v>
      </c>
      <c r="AP796" s="1878" t="s">
        <v>307</v>
      </c>
      <c r="AQ796" s="1822" t="s">
        <v>505</v>
      </c>
      <c r="AR796" s="1781" t="s">
        <v>39</v>
      </c>
      <c r="AU796" s="1909">
        <v>0</v>
      </c>
      <c r="AV796" s="1822">
        <v>2015</v>
      </c>
    </row>
    <row r="797" spans="1:49">
      <c r="A797" s="333">
        <f t="shared" si="25"/>
        <v>1900</v>
      </c>
      <c r="B797" s="333">
        <f t="shared" si="26"/>
        <v>1</v>
      </c>
      <c r="AI797" s="1878" t="s">
        <v>307</v>
      </c>
      <c r="AJ797" s="1827">
        <v>2010</v>
      </c>
      <c r="AK797" s="1781" t="s">
        <v>398</v>
      </c>
      <c r="AL797" s="1781">
        <v>9</v>
      </c>
      <c r="AM797" s="1880">
        <v>4939426</v>
      </c>
      <c r="AN797" s="1831">
        <v>2E-3</v>
      </c>
      <c r="AP797" s="1878" t="s">
        <v>307</v>
      </c>
      <c r="AQ797" s="1822" t="s">
        <v>505</v>
      </c>
      <c r="AR797" s="1781" t="s">
        <v>386</v>
      </c>
      <c r="AT797" s="1880">
        <v>3072023386</v>
      </c>
      <c r="AV797" s="1822">
        <v>2015</v>
      </c>
    </row>
    <row r="798" spans="1:49">
      <c r="A798" s="333">
        <f t="shared" si="25"/>
        <v>1900</v>
      </c>
      <c r="B798" s="333">
        <f t="shared" si="26"/>
        <v>1</v>
      </c>
      <c r="AI798" s="1878" t="s">
        <v>307</v>
      </c>
      <c r="AJ798" s="1827">
        <v>2010</v>
      </c>
      <c r="AK798" s="1781" t="s">
        <v>397</v>
      </c>
      <c r="AL798" s="1781">
        <v>10</v>
      </c>
      <c r="AM798" s="1880">
        <v>2197618</v>
      </c>
      <c r="AN798" s="1831">
        <v>1E-3</v>
      </c>
      <c r="AP798" s="1878" t="s">
        <v>307</v>
      </c>
      <c r="AQ798" s="1822" t="s">
        <v>504</v>
      </c>
      <c r="AR798" s="1781" t="s">
        <v>18</v>
      </c>
      <c r="AS798" s="1781">
        <v>1</v>
      </c>
      <c r="AT798" s="1880">
        <v>884908791</v>
      </c>
      <c r="AU798" s="1909">
        <v>0.314</v>
      </c>
      <c r="AV798" s="1822">
        <v>2014</v>
      </c>
    </row>
    <row r="799" spans="1:49">
      <c r="A799" s="333">
        <f t="shared" si="25"/>
        <v>1900</v>
      </c>
      <c r="B799" s="333">
        <f t="shared" si="26"/>
        <v>1</v>
      </c>
      <c r="AI799" s="1878" t="s">
        <v>307</v>
      </c>
      <c r="AJ799" s="1827">
        <v>2010</v>
      </c>
      <c r="AK799" s="1781" t="s">
        <v>39</v>
      </c>
      <c r="AM799" s="1880">
        <v>517109</v>
      </c>
      <c r="AN799" s="1831">
        <v>0</v>
      </c>
      <c r="AP799" s="1878" t="s">
        <v>307</v>
      </c>
      <c r="AQ799" s="1822" t="s">
        <v>504</v>
      </c>
      <c r="AR799" s="1781" t="s">
        <v>24</v>
      </c>
      <c r="AS799" s="1781">
        <v>2</v>
      </c>
      <c r="AT799" s="1880">
        <v>629178546</v>
      </c>
      <c r="AU799" s="1909">
        <v>0.224</v>
      </c>
      <c r="AV799" s="1822">
        <v>2014</v>
      </c>
    </row>
    <row r="800" spans="1:49">
      <c r="A800" s="333">
        <f t="shared" si="25"/>
        <v>1900</v>
      </c>
      <c r="B800" s="333">
        <f t="shared" si="26"/>
        <v>1</v>
      </c>
      <c r="AI800" s="1878" t="s">
        <v>307</v>
      </c>
      <c r="AJ800" s="1827">
        <v>2010</v>
      </c>
      <c r="AK800" s="1822" t="s">
        <v>386</v>
      </c>
      <c r="AM800" s="1880">
        <v>3004253002</v>
      </c>
      <c r="AP800" s="1878" t="s">
        <v>307</v>
      </c>
      <c r="AQ800" s="1822" t="s">
        <v>504</v>
      </c>
      <c r="AR800" s="1781" t="s">
        <v>23</v>
      </c>
      <c r="AS800" s="1781">
        <v>3</v>
      </c>
      <c r="AT800" s="1880">
        <v>453952993</v>
      </c>
      <c r="AU800" s="1909">
        <v>0.161</v>
      </c>
      <c r="AV800" s="1822">
        <v>2014</v>
      </c>
    </row>
    <row r="801" spans="1:48">
      <c r="A801" s="333">
        <f t="shared" si="25"/>
        <v>1900</v>
      </c>
      <c r="B801" s="333">
        <f t="shared" si="26"/>
        <v>1</v>
      </c>
      <c r="AI801" s="1878" t="s">
        <v>307</v>
      </c>
      <c r="AJ801" s="1827">
        <v>2009</v>
      </c>
      <c r="AK801" s="1781" t="s">
        <v>18</v>
      </c>
      <c r="AL801" s="1781">
        <v>1</v>
      </c>
      <c r="AM801" s="1880">
        <v>541226418</v>
      </c>
      <c r="AN801" s="1831">
        <v>0.36199999999999999</v>
      </c>
      <c r="AP801" s="1878" t="s">
        <v>307</v>
      </c>
      <c r="AQ801" s="1822" t="s">
        <v>504</v>
      </c>
      <c r="AR801" s="1781" t="s">
        <v>69</v>
      </c>
      <c r="AS801" s="1781">
        <v>4</v>
      </c>
      <c r="AT801" s="1880">
        <v>334968968</v>
      </c>
      <c r="AU801" s="1909">
        <v>0.11899999999999999</v>
      </c>
      <c r="AV801" s="1822">
        <v>2014</v>
      </c>
    </row>
    <row r="802" spans="1:48">
      <c r="A802" s="333">
        <f t="shared" si="25"/>
        <v>1900</v>
      </c>
      <c r="B802" s="333">
        <f t="shared" si="26"/>
        <v>1</v>
      </c>
      <c r="AI802" s="1878" t="s">
        <v>307</v>
      </c>
      <c r="AJ802" s="1827">
        <v>2009</v>
      </c>
      <c r="AK802" s="1781" t="s">
        <v>21</v>
      </c>
      <c r="AL802" s="1781">
        <v>2</v>
      </c>
      <c r="AM802" s="1880">
        <v>322634456</v>
      </c>
      <c r="AN802" s="1831">
        <v>0.216</v>
      </c>
      <c r="AP802" s="1878" t="s">
        <v>307</v>
      </c>
      <c r="AQ802" s="1822" t="s">
        <v>504</v>
      </c>
      <c r="AR802" s="1781" t="s">
        <v>58</v>
      </c>
      <c r="AS802" s="1781">
        <v>5</v>
      </c>
      <c r="AT802" s="1880">
        <v>244355877</v>
      </c>
      <c r="AU802" s="1909">
        <v>8.6999999999999994E-2</v>
      </c>
      <c r="AV802" s="1822">
        <v>2014</v>
      </c>
    </row>
    <row r="803" spans="1:48">
      <c r="A803" s="333">
        <f t="shared" si="25"/>
        <v>1900</v>
      </c>
      <c r="B803" s="333">
        <f t="shared" si="26"/>
        <v>1</v>
      </c>
      <c r="AI803" s="1878" t="s">
        <v>307</v>
      </c>
      <c r="AJ803" s="1827">
        <v>2009</v>
      </c>
      <c r="AK803" s="1781" t="s">
        <v>24</v>
      </c>
      <c r="AL803" s="1781">
        <v>3</v>
      </c>
      <c r="AM803" s="1880">
        <v>298376415</v>
      </c>
      <c r="AN803" s="1831">
        <v>0.2</v>
      </c>
      <c r="AP803" s="1878" t="s">
        <v>307</v>
      </c>
      <c r="AQ803" s="1822" t="s">
        <v>504</v>
      </c>
      <c r="AR803" s="1781" t="s">
        <v>21</v>
      </c>
      <c r="AS803" s="1781">
        <v>6</v>
      </c>
      <c r="AT803" s="1880">
        <v>114428051</v>
      </c>
      <c r="AU803" s="1909">
        <v>4.1000000000000002E-2</v>
      </c>
      <c r="AV803" s="1822">
        <v>2014</v>
      </c>
    </row>
    <row r="804" spans="1:48">
      <c r="A804" s="333">
        <f t="shared" si="25"/>
        <v>1900</v>
      </c>
      <c r="B804" s="333">
        <f t="shared" si="26"/>
        <v>1</v>
      </c>
      <c r="AI804" s="1878" t="s">
        <v>307</v>
      </c>
      <c r="AJ804" s="1827">
        <v>2009</v>
      </c>
      <c r="AK804" s="1781" t="s">
        <v>23</v>
      </c>
      <c r="AL804" s="1781">
        <v>4</v>
      </c>
      <c r="AM804" s="1880">
        <v>238807947</v>
      </c>
      <c r="AN804" s="1831">
        <v>0.16</v>
      </c>
      <c r="AP804" s="1878" t="s">
        <v>307</v>
      </c>
      <c r="AQ804" s="1822" t="s">
        <v>504</v>
      </c>
      <c r="AR804" s="1781" t="s">
        <v>381</v>
      </c>
      <c r="AS804" s="1781">
        <v>7</v>
      </c>
      <c r="AT804" s="1880">
        <v>50575557</v>
      </c>
      <c r="AU804" s="1909">
        <v>1.7999999999999999E-2</v>
      </c>
      <c r="AV804" s="1822">
        <v>2014</v>
      </c>
    </row>
    <row r="805" spans="1:48">
      <c r="A805" s="333">
        <f t="shared" si="25"/>
        <v>1900</v>
      </c>
      <c r="B805" s="333">
        <f t="shared" si="26"/>
        <v>1</v>
      </c>
      <c r="AI805" s="1878" t="s">
        <v>307</v>
      </c>
      <c r="AJ805" s="1827">
        <v>2009</v>
      </c>
      <c r="AK805" s="1781" t="s">
        <v>54</v>
      </c>
      <c r="AL805" s="1781">
        <v>5</v>
      </c>
      <c r="AM805" s="1880">
        <v>39789405</v>
      </c>
      <c r="AN805" s="1831">
        <v>2.7E-2</v>
      </c>
      <c r="AP805" s="1878" t="s">
        <v>307</v>
      </c>
      <c r="AQ805" s="1822" t="s">
        <v>504</v>
      </c>
      <c r="AR805" s="1781" t="s">
        <v>54</v>
      </c>
      <c r="AS805" s="1781">
        <v>8</v>
      </c>
      <c r="AT805" s="1880">
        <v>30474982</v>
      </c>
      <c r="AU805" s="1909">
        <v>1.0999999999999999E-2</v>
      </c>
      <c r="AV805" s="1822">
        <v>2014</v>
      </c>
    </row>
    <row r="806" spans="1:48">
      <c r="A806" s="333">
        <f t="shared" si="25"/>
        <v>1900</v>
      </c>
      <c r="B806" s="333">
        <f t="shared" si="26"/>
        <v>1</v>
      </c>
      <c r="AI806" s="1878" t="s">
        <v>307</v>
      </c>
      <c r="AJ806" s="1827">
        <v>2009</v>
      </c>
      <c r="AK806" s="1781" t="s">
        <v>58</v>
      </c>
      <c r="AL806" s="1781">
        <v>6</v>
      </c>
      <c r="AM806" s="1880">
        <v>22843790</v>
      </c>
      <c r="AN806" s="1831">
        <v>1.4999999999999999E-2</v>
      </c>
      <c r="AP806" s="1878" t="s">
        <v>307</v>
      </c>
      <c r="AQ806" s="1822" t="s">
        <v>504</v>
      </c>
      <c r="AR806" s="1781" t="s">
        <v>537</v>
      </c>
      <c r="AS806" s="1781">
        <v>9</v>
      </c>
      <c r="AT806" s="1880">
        <v>26382998</v>
      </c>
      <c r="AU806" s="1909">
        <v>8.9999999999999993E-3</v>
      </c>
      <c r="AV806" s="1822">
        <v>2014</v>
      </c>
    </row>
    <row r="807" spans="1:48">
      <c r="A807" s="333">
        <f t="shared" si="25"/>
        <v>1900</v>
      </c>
      <c r="B807" s="333">
        <f t="shared" si="26"/>
        <v>1</v>
      </c>
      <c r="AI807" s="1878" t="s">
        <v>307</v>
      </c>
      <c r="AJ807" s="1827">
        <v>2009</v>
      </c>
      <c r="AK807" s="1781" t="s">
        <v>33</v>
      </c>
      <c r="AL807" s="1781">
        <v>7</v>
      </c>
      <c r="AM807" s="1880">
        <v>19315224</v>
      </c>
      <c r="AN807" s="1831">
        <v>1.2999999999999999E-2</v>
      </c>
      <c r="AP807" s="1878" t="s">
        <v>307</v>
      </c>
      <c r="AQ807" s="1822" t="s">
        <v>504</v>
      </c>
      <c r="AR807" s="1781" t="s">
        <v>33</v>
      </c>
      <c r="AS807" s="1781">
        <v>10</v>
      </c>
      <c r="AT807" s="1880">
        <v>18821277</v>
      </c>
      <c r="AU807" s="1909">
        <v>7.0000000000000001E-3</v>
      </c>
      <c r="AV807" s="1822">
        <v>2014</v>
      </c>
    </row>
    <row r="808" spans="1:48">
      <c r="A808" s="333">
        <f t="shared" si="25"/>
        <v>1900</v>
      </c>
      <c r="B808" s="333">
        <f t="shared" si="26"/>
        <v>1</v>
      </c>
      <c r="AI808" s="1878" t="s">
        <v>307</v>
      </c>
      <c r="AJ808" s="1827">
        <v>2009</v>
      </c>
      <c r="AK808" s="1781" t="s">
        <v>69</v>
      </c>
      <c r="AL808" s="1781">
        <v>8</v>
      </c>
      <c r="AM808" s="1880">
        <v>7754809</v>
      </c>
      <c r="AN808" s="1831">
        <v>5.0000000000000001E-3</v>
      </c>
      <c r="AP808" s="1878" t="s">
        <v>307</v>
      </c>
      <c r="AQ808" s="1822" t="s">
        <v>504</v>
      </c>
      <c r="AR808" s="1781" t="s">
        <v>39</v>
      </c>
      <c r="AT808" s="1880">
        <v>26592680</v>
      </c>
      <c r="AU808" s="1909">
        <v>8.9999999999999993E-3</v>
      </c>
      <c r="AV808" s="1822">
        <v>2014</v>
      </c>
    </row>
    <row r="809" spans="1:48">
      <c r="A809" s="333">
        <f t="shared" si="25"/>
        <v>1900</v>
      </c>
      <c r="B809" s="333">
        <f t="shared" si="26"/>
        <v>1</v>
      </c>
      <c r="AI809" s="1878" t="s">
        <v>307</v>
      </c>
      <c r="AJ809" s="1827">
        <v>2009</v>
      </c>
      <c r="AK809" s="1781" t="s">
        <v>398</v>
      </c>
      <c r="AL809" s="1781">
        <v>9</v>
      </c>
      <c r="AM809" s="1880">
        <v>3259498</v>
      </c>
      <c r="AN809" s="1831">
        <v>2E-3</v>
      </c>
      <c r="AP809" s="1878" t="s">
        <v>307</v>
      </c>
      <c r="AQ809" s="1822" t="s">
        <v>504</v>
      </c>
      <c r="AR809" s="1781" t="s">
        <v>386</v>
      </c>
      <c r="AT809" s="1880">
        <v>2814640719</v>
      </c>
      <c r="AV809" s="1822">
        <v>2014</v>
      </c>
    </row>
    <row r="810" spans="1:48">
      <c r="A810" s="333">
        <f t="shared" si="25"/>
        <v>1900</v>
      </c>
      <c r="B810" s="333">
        <f t="shared" si="26"/>
        <v>1</v>
      </c>
      <c r="AI810" s="1878" t="s">
        <v>307</v>
      </c>
      <c r="AJ810" s="1827">
        <v>2009</v>
      </c>
      <c r="AN810" s="1831">
        <v>0</v>
      </c>
      <c r="AP810" s="1878" t="s">
        <v>307</v>
      </c>
      <c r="AQ810" s="1822" t="s">
        <v>503</v>
      </c>
      <c r="AR810" s="1781" t="s">
        <v>18</v>
      </c>
      <c r="AS810" s="1781">
        <v>1</v>
      </c>
      <c r="AT810" s="1880">
        <v>956010000</v>
      </c>
      <c r="AU810" s="1909">
        <v>0.373</v>
      </c>
      <c r="AV810" s="1822">
        <v>2013</v>
      </c>
    </row>
    <row r="811" spans="1:48">
      <c r="A811" s="333">
        <f t="shared" si="25"/>
        <v>1900</v>
      </c>
      <c r="B811" s="333">
        <f t="shared" si="26"/>
        <v>1</v>
      </c>
      <c r="AI811" s="1878" t="s">
        <v>307</v>
      </c>
      <c r="AJ811" s="1827">
        <v>2009</v>
      </c>
      <c r="AK811" s="1781" t="s">
        <v>39</v>
      </c>
      <c r="AM811" s="1781" t="s">
        <v>518</v>
      </c>
      <c r="AN811" s="1831">
        <v>0</v>
      </c>
      <c r="AP811" s="1878" t="s">
        <v>307</v>
      </c>
      <c r="AQ811" s="1822" t="s">
        <v>503</v>
      </c>
      <c r="AR811" s="1781" t="s">
        <v>24</v>
      </c>
      <c r="AS811" s="1781">
        <v>2</v>
      </c>
      <c r="AT811" s="1880">
        <v>502737544</v>
      </c>
      <c r="AU811" s="1909">
        <v>0.19600000000000001</v>
      </c>
      <c r="AV811" s="1822">
        <v>2013</v>
      </c>
    </row>
    <row r="812" spans="1:48">
      <c r="A812" s="333">
        <f t="shared" si="25"/>
        <v>1900</v>
      </c>
      <c r="B812" s="333">
        <f t="shared" si="26"/>
        <v>1</v>
      </c>
      <c r="AI812" s="1878" t="s">
        <v>307</v>
      </c>
      <c r="AJ812" s="1827">
        <v>2009</v>
      </c>
      <c r="AK812" s="1822" t="s">
        <v>386</v>
      </c>
      <c r="AM812" s="1880">
        <v>1494007960</v>
      </c>
      <c r="AP812" s="1878" t="s">
        <v>307</v>
      </c>
      <c r="AQ812" s="1822" t="s">
        <v>503</v>
      </c>
      <c r="AR812" s="1781" t="s">
        <v>69</v>
      </c>
      <c r="AS812" s="1781">
        <v>3</v>
      </c>
      <c r="AT812" s="1880">
        <v>357401377</v>
      </c>
      <c r="AU812" s="1909">
        <v>0.14000000000000001</v>
      </c>
      <c r="AV812" s="1822">
        <v>2013</v>
      </c>
    </row>
    <row r="813" spans="1:48">
      <c r="A813" s="333">
        <f t="shared" si="25"/>
        <v>1900</v>
      </c>
      <c r="B813" s="333">
        <f t="shared" si="26"/>
        <v>1</v>
      </c>
      <c r="AI813" s="1878" t="s">
        <v>307</v>
      </c>
      <c r="AJ813" s="1827">
        <v>2008</v>
      </c>
      <c r="AK813" s="1781" t="s">
        <v>21</v>
      </c>
      <c r="AL813" s="1781">
        <v>1</v>
      </c>
      <c r="AM813" s="1880">
        <v>464587044</v>
      </c>
      <c r="AN813" s="1831">
        <v>0.308</v>
      </c>
      <c r="AP813" s="1878" t="s">
        <v>307</v>
      </c>
      <c r="AQ813" s="1822" t="s">
        <v>503</v>
      </c>
      <c r="AR813" s="1781" t="s">
        <v>21</v>
      </c>
      <c r="AS813" s="1781">
        <v>4</v>
      </c>
      <c r="AT813" s="1880">
        <v>295726921</v>
      </c>
      <c r="AU813" s="1909">
        <v>0.11600000000000001</v>
      </c>
      <c r="AV813" s="1822">
        <v>2013</v>
      </c>
    </row>
    <row r="814" spans="1:48">
      <c r="A814" s="333">
        <f t="shared" si="25"/>
        <v>1900</v>
      </c>
      <c r="B814" s="333">
        <f t="shared" si="26"/>
        <v>1</v>
      </c>
      <c r="AI814" s="1878" t="s">
        <v>307</v>
      </c>
      <c r="AJ814" s="1827">
        <v>2008</v>
      </c>
      <c r="AK814" s="1781" t="s">
        <v>18</v>
      </c>
      <c r="AL814" s="1781">
        <v>2</v>
      </c>
      <c r="AM814" s="1880">
        <v>379573095</v>
      </c>
      <c r="AN814" s="1831">
        <v>0.251</v>
      </c>
      <c r="AP814" s="1878" t="s">
        <v>307</v>
      </c>
      <c r="AQ814" s="1822" t="s">
        <v>503</v>
      </c>
      <c r="AR814" s="1781" t="s">
        <v>23</v>
      </c>
      <c r="AS814" s="1781">
        <v>5</v>
      </c>
      <c r="AT814" s="1880">
        <v>229895487</v>
      </c>
      <c r="AU814" s="1909">
        <v>0.09</v>
      </c>
      <c r="AV814" s="1822">
        <v>2013</v>
      </c>
    </row>
    <row r="815" spans="1:48">
      <c r="A815" s="333">
        <f t="shared" si="25"/>
        <v>1900</v>
      </c>
      <c r="B815" s="333">
        <f t="shared" si="26"/>
        <v>1</v>
      </c>
      <c r="AI815" s="1878" t="s">
        <v>307</v>
      </c>
      <c r="AJ815" s="1827">
        <v>2008</v>
      </c>
      <c r="AK815" s="1781" t="s">
        <v>24</v>
      </c>
      <c r="AL815" s="1781">
        <v>3</v>
      </c>
      <c r="AM815" s="1880">
        <v>264550168</v>
      </c>
      <c r="AN815" s="1831">
        <v>0.17499999999999999</v>
      </c>
      <c r="AP815" s="1878" t="s">
        <v>307</v>
      </c>
      <c r="AQ815" s="1822" t="s">
        <v>503</v>
      </c>
      <c r="AR815" s="1781" t="s">
        <v>58</v>
      </c>
      <c r="AS815" s="1781">
        <v>6</v>
      </c>
      <c r="AT815" s="1880">
        <v>150596969</v>
      </c>
      <c r="AU815" s="1909">
        <v>5.8999999999999997E-2</v>
      </c>
      <c r="AV815" s="1822">
        <v>2013</v>
      </c>
    </row>
    <row r="816" spans="1:48">
      <c r="A816" s="333">
        <f t="shared" si="25"/>
        <v>1900</v>
      </c>
      <c r="B816" s="333">
        <f t="shared" si="26"/>
        <v>1</v>
      </c>
      <c r="AI816" s="1878" t="s">
        <v>307</v>
      </c>
      <c r="AJ816" s="1827">
        <v>2008</v>
      </c>
      <c r="AK816" s="1781" t="s">
        <v>23</v>
      </c>
      <c r="AL816" s="1781">
        <v>4</v>
      </c>
      <c r="AM816" s="1880">
        <v>237000783</v>
      </c>
      <c r="AN816" s="1831">
        <v>0.157</v>
      </c>
      <c r="AP816" s="1878" t="s">
        <v>307</v>
      </c>
      <c r="AQ816" s="1822" t="s">
        <v>503</v>
      </c>
      <c r="AR816" s="1781" t="s">
        <v>54</v>
      </c>
      <c r="AS816" s="1781">
        <v>7</v>
      </c>
      <c r="AT816" s="1880">
        <v>20214113</v>
      </c>
      <c r="AU816" s="1909">
        <v>8.0000000000000002E-3</v>
      </c>
      <c r="AV816" s="1822">
        <v>2013</v>
      </c>
    </row>
    <row r="817" spans="1:48">
      <c r="A817" s="333">
        <f t="shared" si="25"/>
        <v>1900</v>
      </c>
      <c r="B817" s="333">
        <f t="shared" si="26"/>
        <v>1</v>
      </c>
      <c r="AI817" s="1878" t="s">
        <v>307</v>
      </c>
      <c r="AJ817" s="1827">
        <v>2008</v>
      </c>
      <c r="AK817" s="1781" t="s">
        <v>69</v>
      </c>
      <c r="AL817" s="1781">
        <v>5</v>
      </c>
      <c r="AM817" s="1880">
        <v>62414814</v>
      </c>
      <c r="AN817" s="1831">
        <v>4.1000000000000002E-2</v>
      </c>
      <c r="AP817" s="1878" t="s">
        <v>307</v>
      </c>
      <c r="AQ817" s="1822" t="s">
        <v>503</v>
      </c>
      <c r="AR817" s="1781" t="s">
        <v>22</v>
      </c>
      <c r="AS817" s="1781">
        <v>8</v>
      </c>
      <c r="AT817" s="1880">
        <v>16007580</v>
      </c>
      <c r="AU817" s="1909">
        <v>6.0000000000000001E-3</v>
      </c>
      <c r="AV817" s="1822">
        <v>2013</v>
      </c>
    </row>
    <row r="818" spans="1:48">
      <c r="A818" s="333">
        <f t="shared" si="25"/>
        <v>1900</v>
      </c>
      <c r="B818" s="333">
        <f t="shared" si="26"/>
        <v>1</v>
      </c>
      <c r="AI818" s="1878" t="s">
        <v>307</v>
      </c>
      <c r="AJ818" s="1827">
        <v>2008</v>
      </c>
      <c r="AK818" s="1781" t="s">
        <v>33</v>
      </c>
      <c r="AL818" s="1781">
        <v>6</v>
      </c>
      <c r="AM818" s="1880">
        <v>60258530</v>
      </c>
      <c r="AN818" s="1831">
        <v>0.04</v>
      </c>
      <c r="AP818" s="1878" t="s">
        <v>307</v>
      </c>
      <c r="AQ818" s="1822" t="s">
        <v>503</v>
      </c>
      <c r="AR818" s="1781" t="s">
        <v>56</v>
      </c>
      <c r="AS818" s="1781">
        <v>9</v>
      </c>
      <c r="AT818" s="1880">
        <v>12434191</v>
      </c>
      <c r="AU818" s="1909">
        <v>5.0000000000000001E-3</v>
      </c>
      <c r="AV818" s="1822">
        <v>2013</v>
      </c>
    </row>
    <row r="819" spans="1:48">
      <c r="A819" s="333">
        <f t="shared" si="25"/>
        <v>1900</v>
      </c>
      <c r="B819" s="333">
        <f t="shared" si="26"/>
        <v>1</v>
      </c>
      <c r="AI819" s="1878" t="s">
        <v>307</v>
      </c>
      <c r="AJ819" s="1827">
        <v>2008</v>
      </c>
      <c r="AK819" s="1781" t="s">
        <v>32</v>
      </c>
      <c r="AL819" s="1781">
        <v>7</v>
      </c>
      <c r="AM819" s="1880">
        <v>14639640</v>
      </c>
      <c r="AN819" s="1831">
        <v>0.01</v>
      </c>
      <c r="AP819" s="1878" t="s">
        <v>307</v>
      </c>
      <c r="AQ819" s="1822" t="s">
        <v>503</v>
      </c>
      <c r="AR819" s="1781" t="s">
        <v>33</v>
      </c>
      <c r="AS819" s="1781">
        <v>10</v>
      </c>
      <c r="AT819" s="1880">
        <v>7190591</v>
      </c>
      <c r="AU819" s="1909">
        <v>3.0000000000000001E-3</v>
      </c>
      <c r="AV819" s="1822">
        <v>2013</v>
      </c>
    </row>
    <row r="820" spans="1:48">
      <c r="A820" s="333">
        <f t="shared" si="25"/>
        <v>1900</v>
      </c>
      <c r="B820" s="333">
        <f t="shared" si="26"/>
        <v>1</v>
      </c>
      <c r="AI820" s="1878" t="s">
        <v>307</v>
      </c>
      <c r="AJ820" s="1827">
        <v>2008</v>
      </c>
      <c r="AK820" s="1781" t="s">
        <v>27</v>
      </c>
      <c r="AL820" s="1781">
        <v>8</v>
      </c>
      <c r="AM820" s="1880">
        <v>13505402</v>
      </c>
      <c r="AN820" s="1831">
        <v>8.9999999999999993E-3</v>
      </c>
      <c r="AP820" s="1878" t="s">
        <v>307</v>
      </c>
      <c r="AQ820" s="1822" t="s">
        <v>503</v>
      </c>
      <c r="AR820" s="1781" t="s">
        <v>39</v>
      </c>
      <c r="AT820" s="1880">
        <v>12076932</v>
      </c>
      <c r="AU820" s="1909">
        <v>5.0000000000000001E-3</v>
      </c>
      <c r="AV820" s="1822">
        <v>2013</v>
      </c>
    </row>
    <row r="821" spans="1:48">
      <c r="A821" s="333">
        <f t="shared" si="25"/>
        <v>1900</v>
      </c>
      <c r="B821" s="333">
        <f t="shared" si="26"/>
        <v>1</v>
      </c>
      <c r="AI821" s="1878" t="s">
        <v>307</v>
      </c>
      <c r="AJ821" s="1827">
        <v>2008</v>
      </c>
      <c r="AK821" s="1781" t="s">
        <v>54</v>
      </c>
      <c r="AL821" s="1781">
        <v>9</v>
      </c>
      <c r="AM821" s="1880">
        <v>12863196</v>
      </c>
      <c r="AN821" s="1831">
        <v>8.9999999999999993E-3</v>
      </c>
      <c r="AP821" s="1878" t="s">
        <v>307</v>
      </c>
      <c r="AQ821" s="1822" t="s">
        <v>503</v>
      </c>
      <c r="AR821" s="1781" t="s">
        <v>386</v>
      </c>
      <c r="AT821" s="1880">
        <v>2560291703</v>
      </c>
      <c r="AV821" s="1822">
        <v>2013</v>
      </c>
    </row>
    <row r="822" spans="1:48">
      <c r="A822" s="333">
        <f t="shared" si="25"/>
        <v>1900</v>
      </c>
      <c r="B822" s="333">
        <f t="shared" si="26"/>
        <v>1</v>
      </c>
      <c r="AI822" s="1878" t="s">
        <v>307</v>
      </c>
      <c r="AJ822" s="1827">
        <v>2008</v>
      </c>
      <c r="AK822" s="1781" t="s">
        <v>130</v>
      </c>
      <c r="AL822" s="1781">
        <v>10</v>
      </c>
      <c r="AM822" s="1880">
        <v>2394</v>
      </c>
      <c r="AN822" s="1831">
        <v>0</v>
      </c>
      <c r="AP822" s="1878" t="s">
        <v>307</v>
      </c>
      <c r="AQ822" s="1822" t="s">
        <v>502</v>
      </c>
      <c r="AR822" s="1781" t="s">
        <v>18</v>
      </c>
      <c r="AS822" s="1781">
        <v>1</v>
      </c>
      <c r="AT822" s="1880">
        <v>822469101</v>
      </c>
      <c r="AU822" s="1909">
        <v>0.29899999999999999</v>
      </c>
      <c r="AV822" s="1822">
        <v>2012</v>
      </c>
    </row>
    <row r="823" spans="1:48">
      <c r="A823" s="333">
        <f t="shared" si="25"/>
        <v>1900</v>
      </c>
      <c r="B823" s="333">
        <f t="shared" si="26"/>
        <v>1</v>
      </c>
      <c r="AI823" s="1878" t="s">
        <v>307</v>
      </c>
      <c r="AJ823" s="1827">
        <v>2008</v>
      </c>
      <c r="AK823" s="1781" t="s">
        <v>39</v>
      </c>
      <c r="AM823" s="1781" t="s">
        <v>518</v>
      </c>
      <c r="AN823" s="1831">
        <v>0</v>
      </c>
      <c r="AP823" s="1878" t="s">
        <v>307</v>
      </c>
      <c r="AQ823" s="1822" t="s">
        <v>502</v>
      </c>
      <c r="AR823" s="1781" t="s">
        <v>24</v>
      </c>
      <c r="AS823" s="1781">
        <v>2</v>
      </c>
      <c r="AT823" s="1880">
        <v>537000994</v>
      </c>
      <c r="AU823" s="1909">
        <v>0.19500000000000001</v>
      </c>
      <c r="AV823" s="1822">
        <v>2012</v>
      </c>
    </row>
    <row r="824" spans="1:48">
      <c r="A824" s="333">
        <f t="shared" si="25"/>
        <v>1900</v>
      </c>
      <c r="B824" s="333">
        <f t="shared" si="26"/>
        <v>1</v>
      </c>
      <c r="AI824" s="1878" t="s">
        <v>307</v>
      </c>
      <c r="AJ824" s="1827">
        <v>2008</v>
      </c>
      <c r="AK824" s="1781" t="s">
        <v>386</v>
      </c>
      <c r="AM824" s="1880">
        <v>1509395066</v>
      </c>
      <c r="AP824" s="1878" t="s">
        <v>307</v>
      </c>
      <c r="AQ824" s="1822" t="s">
        <v>502</v>
      </c>
      <c r="AR824" s="1781" t="s">
        <v>23</v>
      </c>
      <c r="AS824" s="1781">
        <v>3</v>
      </c>
      <c r="AT824" s="1880">
        <v>456278097</v>
      </c>
      <c r="AU824" s="1909">
        <v>0.16600000000000001</v>
      </c>
      <c r="AV824" s="1822">
        <v>2012</v>
      </c>
    </row>
    <row r="825" spans="1:48">
      <c r="A825" s="333">
        <f t="shared" si="25"/>
        <v>1900</v>
      </c>
      <c r="B825" s="333">
        <f t="shared" si="26"/>
        <v>1</v>
      </c>
      <c r="AI825" s="1878" t="s">
        <v>307</v>
      </c>
      <c r="AJ825" s="1827">
        <v>2007</v>
      </c>
      <c r="AK825" s="1781" t="s">
        <v>21</v>
      </c>
      <c r="AL825" s="1781">
        <v>1</v>
      </c>
      <c r="AM825" s="1880">
        <v>379747670</v>
      </c>
      <c r="AN825" s="1831">
        <v>0.27500000000000002</v>
      </c>
      <c r="AP825" s="1878" t="s">
        <v>307</v>
      </c>
      <c r="AQ825" s="1822" t="s">
        <v>502</v>
      </c>
      <c r="AR825" s="1781" t="s">
        <v>21</v>
      </c>
      <c r="AS825" s="1781">
        <v>4</v>
      </c>
      <c r="AT825" s="1880">
        <v>292121906</v>
      </c>
      <c r="AU825" s="1909">
        <v>0.106</v>
      </c>
      <c r="AV825" s="1822">
        <v>2012</v>
      </c>
    </row>
    <row r="826" spans="1:48">
      <c r="A826" s="333">
        <f t="shared" si="25"/>
        <v>1900</v>
      </c>
      <c r="B826" s="333">
        <f t="shared" si="26"/>
        <v>1</v>
      </c>
      <c r="AI826" s="1878" t="s">
        <v>307</v>
      </c>
      <c r="AJ826" s="1827">
        <v>2007</v>
      </c>
      <c r="AK826" s="1781" t="s">
        <v>18</v>
      </c>
      <c r="AL826" s="1781">
        <v>2</v>
      </c>
      <c r="AM826" s="1880">
        <v>297492519</v>
      </c>
      <c r="AN826" s="1831">
        <v>0.216</v>
      </c>
      <c r="AP826" s="1878" t="s">
        <v>307</v>
      </c>
      <c r="AQ826" s="1822" t="s">
        <v>502</v>
      </c>
      <c r="AR826" s="1781" t="s">
        <v>69</v>
      </c>
      <c r="AS826" s="1781">
        <v>5</v>
      </c>
      <c r="AT826" s="1880">
        <v>265578998</v>
      </c>
      <c r="AU826" s="1909">
        <v>9.7000000000000003E-2</v>
      </c>
      <c r="AV826" s="1822">
        <v>2012</v>
      </c>
    </row>
    <row r="827" spans="1:48">
      <c r="A827" s="333">
        <f t="shared" si="25"/>
        <v>1900</v>
      </c>
      <c r="B827" s="333">
        <f t="shared" si="26"/>
        <v>1</v>
      </c>
      <c r="AI827" s="1878" t="s">
        <v>307</v>
      </c>
      <c r="AJ827" s="1827">
        <v>2007</v>
      </c>
      <c r="AK827" s="1781" t="s">
        <v>23</v>
      </c>
      <c r="AL827" s="1781">
        <v>3</v>
      </c>
      <c r="AM827" s="1880">
        <v>288281068</v>
      </c>
      <c r="AN827" s="1831">
        <v>0.20899999999999999</v>
      </c>
      <c r="AP827" s="1878" t="s">
        <v>307</v>
      </c>
      <c r="AQ827" s="1822" t="s">
        <v>502</v>
      </c>
      <c r="AR827" s="1781" t="s">
        <v>58</v>
      </c>
      <c r="AS827" s="1781">
        <v>6</v>
      </c>
      <c r="AT827" s="1880">
        <v>233320808</v>
      </c>
      <c r="AU827" s="1909">
        <v>8.5000000000000006E-2</v>
      </c>
      <c r="AV827" s="1822">
        <v>2012</v>
      </c>
    </row>
    <row r="828" spans="1:48">
      <c r="A828" s="333">
        <f t="shared" si="25"/>
        <v>1900</v>
      </c>
      <c r="B828" s="333">
        <f t="shared" si="26"/>
        <v>1</v>
      </c>
      <c r="AI828" s="1878" t="s">
        <v>307</v>
      </c>
      <c r="AJ828" s="1827">
        <v>2007</v>
      </c>
      <c r="AK828" s="1781" t="s">
        <v>24</v>
      </c>
      <c r="AL828" s="1781">
        <v>4</v>
      </c>
      <c r="AM828" s="1880">
        <v>239939224</v>
      </c>
      <c r="AN828" s="1831">
        <v>0.17399999999999999</v>
      </c>
      <c r="AP828" s="1878" t="s">
        <v>307</v>
      </c>
      <c r="AQ828" s="1822" t="s">
        <v>502</v>
      </c>
      <c r="AR828" s="1781" t="s">
        <v>54</v>
      </c>
      <c r="AS828" s="1781">
        <v>7</v>
      </c>
      <c r="AT828" s="1880">
        <v>51302871</v>
      </c>
      <c r="AU828" s="1909">
        <v>1.9E-2</v>
      </c>
      <c r="AV828" s="1822">
        <v>2012</v>
      </c>
    </row>
    <row r="829" spans="1:48">
      <c r="A829" s="333">
        <f t="shared" si="25"/>
        <v>1900</v>
      </c>
      <c r="B829" s="333">
        <f t="shared" si="26"/>
        <v>1</v>
      </c>
      <c r="AI829" s="1878" t="s">
        <v>307</v>
      </c>
      <c r="AJ829" s="1827">
        <v>2007</v>
      </c>
      <c r="AK829" s="1781" t="s">
        <v>33</v>
      </c>
      <c r="AL829" s="1781">
        <v>5</v>
      </c>
      <c r="AM829" s="1880">
        <v>91506671</v>
      </c>
      <c r="AN829" s="1831">
        <v>6.6000000000000003E-2</v>
      </c>
      <c r="AP829" s="1878" t="s">
        <v>307</v>
      </c>
      <c r="AQ829" s="1822" t="s">
        <v>502</v>
      </c>
      <c r="AR829" s="1781" t="s">
        <v>537</v>
      </c>
      <c r="AS829" s="1781">
        <v>8</v>
      </c>
      <c r="AT829" s="1880">
        <v>40312589</v>
      </c>
      <c r="AU829" s="1909">
        <v>1.4999999999999999E-2</v>
      </c>
      <c r="AV829" s="1822">
        <v>2012</v>
      </c>
    </row>
    <row r="830" spans="1:48">
      <c r="A830" s="333">
        <f t="shared" si="25"/>
        <v>1900</v>
      </c>
      <c r="B830" s="333">
        <f t="shared" si="26"/>
        <v>1</v>
      </c>
      <c r="AI830" s="1878" t="s">
        <v>307</v>
      </c>
      <c r="AJ830" s="1827">
        <v>2007</v>
      </c>
      <c r="AK830" s="1781" t="s">
        <v>54</v>
      </c>
      <c r="AL830" s="1781">
        <v>6</v>
      </c>
      <c r="AM830" s="1880">
        <v>49197222</v>
      </c>
      <c r="AN830" s="1831">
        <v>3.5999999999999997E-2</v>
      </c>
      <c r="AP830" s="1878" t="s">
        <v>307</v>
      </c>
      <c r="AQ830" s="1822" t="s">
        <v>502</v>
      </c>
      <c r="AR830" s="1781" t="s">
        <v>758</v>
      </c>
      <c r="AS830" s="1781">
        <v>9</v>
      </c>
      <c r="AT830" s="1880">
        <v>38193450</v>
      </c>
      <c r="AU830" s="1909">
        <v>1.4E-2</v>
      </c>
      <c r="AV830" s="1822">
        <v>2012</v>
      </c>
    </row>
    <row r="831" spans="1:48">
      <c r="A831" s="333">
        <f t="shared" si="25"/>
        <v>1900</v>
      </c>
      <c r="B831" s="333">
        <f t="shared" si="26"/>
        <v>1</v>
      </c>
      <c r="AI831" s="1878" t="s">
        <v>307</v>
      </c>
      <c r="AJ831" s="1827">
        <v>2007</v>
      </c>
      <c r="AK831" s="1781" t="s">
        <v>69</v>
      </c>
      <c r="AL831" s="1781">
        <v>7</v>
      </c>
      <c r="AM831" s="1880">
        <v>18168605</v>
      </c>
      <c r="AN831" s="1831">
        <v>1.2999999999999999E-2</v>
      </c>
      <c r="AP831" s="1878" t="s">
        <v>307</v>
      </c>
      <c r="AQ831" s="1822" t="s">
        <v>502</v>
      </c>
      <c r="AR831" s="1781" t="s">
        <v>33</v>
      </c>
      <c r="AS831" s="1781">
        <v>10</v>
      </c>
      <c r="AT831" s="1880">
        <v>11535492</v>
      </c>
      <c r="AU831" s="1909">
        <v>4.0000000000000001E-3</v>
      </c>
      <c r="AV831" s="1822">
        <v>2012</v>
      </c>
    </row>
    <row r="832" spans="1:48">
      <c r="A832" s="333">
        <f t="shared" si="25"/>
        <v>1900</v>
      </c>
      <c r="B832" s="333">
        <f t="shared" si="26"/>
        <v>1</v>
      </c>
      <c r="AI832" s="1878" t="s">
        <v>307</v>
      </c>
      <c r="AJ832" s="1827">
        <v>2007</v>
      </c>
      <c r="AK832" s="1781" t="s">
        <v>56</v>
      </c>
      <c r="AL832" s="1781">
        <v>8</v>
      </c>
      <c r="AM832" s="1880">
        <v>14456853</v>
      </c>
      <c r="AN832" s="1831">
        <v>0.01</v>
      </c>
      <c r="AP832" s="1878" t="s">
        <v>307</v>
      </c>
      <c r="AQ832" s="1822" t="s">
        <v>502</v>
      </c>
      <c r="AR832" s="1781" t="s">
        <v>39</v>
      </c>
      <c r="AT832" s="1880">
        <v>2417961</v>
      </c>
      <c r="AU832" s="1909">
        <v>1E-3</v>
      </c>
      <c r="AV832" s="1822">
        <v>2012</v>
      </c>
    </row>
    <row r="833" spans="1:48">
      <c r="A833" s="333">
        <f t="shared" si="25"/>
        <v>1900</v>
      </c>
      <c r="B833" s="333">
        <f t="shared" si="26"/>
        <v>1</v>
      </c>
      <c r="AI833" s="1878" t="s">
        <v>307</v>
      </c>
      <c r="AJ833" s="1827">
        <v>2007</v>
      </c>
      <c r="AK833" s="1781" t="s">
        <v>758</v>
      </c>
      <c r="AL833" s="1781">
        <v>9</v>
      </c>
      <c r="AM833" s="1880">
        <v>1700</v>
      </c>
      <c r="AN833" s="1831">
        <v>0</v>
      </c>
      <c r="AP833" s="1878" t="s">
        <v>307</v>
      </c>
      <c r="AQ833" s="1822" t="s">
        <v>502</v>
      </c>
      <c r="AR833" s="1781" t="s">
        <v>386</v>
      </c>
      <c r="AT833" s="1880">
        <v>2750532266</v>
      </c>
      <c r="AV833" s="1822">
        <v>2012</v>
      </c>
    </row>
    <row r="834" spans="1:48">
      <c r="A834" s="333">
        <f t="shared" si="25"/>
        <v>1900</v>
      </c>
      <c r="B834" s="333">
        <f t="shared" si="26"/>
        <v>1</v>
      </c>
      <c r="AI834" s="1878" t="s">
        <v>307</v>
      </c>
      <c r="AJ834" s="1827">
        <v>2007</v>
      </c>
      <c r="AN834" s="1831">
        <v>0</v>
      </c>
      <c r="AP834" s="1878" t="s">
        <v>307</v>
      </c>
      <c r="AQ834" s="1822" t="s">
        <v>501</v>
      </c>
      <c r="AR834" s="1781" t="s">
        <v>24</v>
      </c>
      <c r="AS834" s="1781">
        <v>1</v>
      </c>
      <c r="AT834" s="1880">
        <v>376008888</v>
      </c>
      <c r="AU834" s="1909">
        <v>0.31</v>
      </c>
      <c r="AV834" s="1822">
        <v>2011</v>
      </c>
    </row>
    <row r="835" spans="1:48">
      <c r="A835" s="333">
        <f t="shared" si="25"/>
        <v>1900</v>
      </c>
      <c r="B835" s="333">
        <f t="shared" si="26"/>
        <v>1</v>
      </c>
      <c r="AI835" s="1878" t="s">
        <v>307</v>
      </c>
      <c r="AJ835" s="1827">
        <v>2007</v>
      </c>
      <c r="AK835" s="1781" t="s">
        <v>39</v>
      </c>
      <c r="AM835" s="1781" t="s">
        <v>518</v>
      </c>
      <c r="AN835" s="1831">
        <v>0</v>
      </c>
      <c r="AP835" s="1878" t="s">
        <v>307</v>
      </c>
      <c r="AQ835" s="1822" t="s">
        <v>501</v>
      </c>
      <c r="AR835" s="1781" t="s">
        <v>23</v>
      </c>
      <c r="AS835" s="1781">
        <v>2</v>
      </c>
      <c r="AT835" s="1880">
        <v>290957394</v>
      </c>
      <c r="AU835" s="1909">
        <v>0.24</v>
      </c>
      <c r="AV835" s="1822">
        <v>2011</v>
      </c>
    </row>
    <row r="836" spans="1:48">
      <c r="A836" s="333">
        <f t="shared" si="25"/>
        <v>1900</v>
      </c>
      <c r="B836" s="333">
        <f t="shared" si="26"/>
        <v>1</v>
      </c>
      <c r="AI836" s="1878" t="s">
        <v>307</v>
      </c>
      <c r="AJ836" s="1827">
        <v>2007</v>
      </c>
      <c r="AK836" s="1781" t="s">
        <v>386</v>
      </c>
      <c r="AM836" s="1880">
        <v>1378791531</v>
      </c>
      <c r="AP836" s="1878" t="s">
        <v>307</v>
      </c>
      <c r="AQ836" s="1822" t="s">
        <v>501</v>
      </c>
      <c r="AR836" s="1781" t="s">
        <v>18</v>
      </c>
      <c r="AS836" s="1781">
        <v>3</v>
      </c>
      <c r="AT836" s="1880">
        <v>181537424</v>
      </c>
      <c r="AU836" s="1909">
        <v>0.15</v>
      </c>
      <c r="AV836" s="1822">
        <v>2011</v>
      </c>
    </row>
    <row r="837" spans="1:48">
      <c r="A837" s="333">
        <f t="shared" si="25"/>
        <v>1900</v>
      </c>
      <c r="B837" s="333">
        <f t="shared" si="26"/>
        <v>1</v>
      </c>
      <c r="AI837" s="1878" t="s">
        <v>0</v>
      </c>
      <c r="AJ837" s="1827">
        <v>2007</v>
      </c>
      <c r="AK837" s="1781" t="s">
        <v>18</v>
      </c>
      <c r="AL837" s="1781">
        <v>1</v>
      </c>
      <c r="AM837" s="1880">
        <v>837070605.00999999</v>
      </c>
      <c r="AN837" s="1831">
        <v>0.20177416774446275</v>
      </c>
      <c r="AP837" s="1878" t="s">
        <v>307</v>
      </c>
      <c r="AQ837" s="1822" t="s">
        <v>501</v>
      </c>
      <c r="AR837" s="1781" t="s">
        <v>21</v>
      </c>
      <c r="AS837" s="1781">
        <v>4</v>
      </c>
      <c r="AT837" s="1880">
        <v>165530679</v>
      </c>
      <c r="AU837" s="1909">
        <v>0.13700000000000001</v>
      </c>
      <c r="AV837" s="1822">
        <v>2011</v>
      </c>
    </row>
    <row r="838" spans="1:48">
      <c r="A838" s="333">
        <f t="shared" si="25"/>
        <v>1900</v>
      </c>
      <c r="B838" s="333">
        <f t="shared" si="26"/>
        <v>1</v>
      </c>
      <c r="AI838" s="1878" t="s">
        <v>0</v>
      </c>
      <c r="AJ838" s="1827">
        <v>2007</v>
      </c>
      <c r="AK838" s="1781" t="s">
        <v>17</v>
      </c>
      <c r="AL838" s="1781">
        <v>2</v>
      </c>
      <c r="AM838" s="1880">
        <v>716092011.2299999</v>
      </c>
      <c r="AN838" s="1831">
        <v>0.17261252363851146</v>
      </c>
      <c r="AP838" s="1878" t="s">
        <v>307</v>
      </c>
      <c r="AQ838" s="1822" t="s">
        <v>501</v>
      </c>
      <c r="AR838" s="1781" t="s">
        <v>58</v>
      </c>
      <c r="AS838" s="1781">
        <v>5</v>
      </c>
      <c r="AT838" s="1880">
        <v>104646144</v>
      </c>
      <c r="AU838" s="1909">
        <v>8.5999999999999993E-2</v>
      </c>
      <c r="AV838" s="1822">
        <v>2011</v>
      </c>
    </row>
    <row r="839" spans="1:48">
      <c r="A839" s="333">
        <f t="shared" si="25"/>
        <v>1900</v>
      </c>
      <c r="B839" s="333">
        <f t="shared" si="26"/>
        <v>1</v>
      </c>
      <c r="AI839" s="1878" t="s">
        <v>0</v>
      </c>
      <c r="AJ839" s="1827">
        <v>2007</v>
      </c>
      <c r="AK839" s="1781" t="s">
        <v>32</v>
      </c>
      <c r="AL839" s="1781">
        <v>3</v>
      </c>
      <c r="AM839" s="1880">
        <v>690266140.17999995</v>
      </c>
      <c r="AN839" s="1831">
        <v>0.16638724992061843</v>
      </c>
      <c r="AP839" s="1878" t="s">
        <v>307</v>
      </c>
      <c r="AQ839" s="1822" t="s">
        <v>501</v>
      </c>
      <c r="AR839" s="1781" t="s">
        <v>69</v>
      </c>
      <c r="AS839" s="1781">
        <v>6</v>
      </c>
      <c r="AT839" s="1880">
        <v>55207261</v>
      </c>
      <c r="AU839" s="1909">
        <v>4.5999999999999999E-2</v>
      </c>
      <c r="AV839" s="1822">
        <v>2011</v>
      </c>
    </row>
    <row r="840" spans="1:48">
      <c r="A840" s="333">
        <f t="shared" si="25"/>
        <v>1900</v>
      </c>
      <c r="B840" s="333">
        <f t="shared" si="26"/>
        <v>1</v>
      </c>
      <c r="AI840" s="1878" t="s">
        <v>0</v>
      </c>
      <c r="AJ840" s="1827">
        <v>2007</v>
      </c>
      <c r="AK840" s="1781" t="s">
        <v>34</v>
      </c>
      <c r="AL840" s="1781">
        <v>4</v>
      </c>
      <c r="AM840" s="1880">
        <v>590935072.19999993</v>
      </c>
      <c r="AN840" s="1831">
        <v>0.14244369790376829</v>
      </c>
      <c r="AP840" s="1878" t="s">
        <v>307</v>
      </c>
      <c r="AQ840" s="1822" t="s">
        <v>501</v>
      </c>
      <c r="AR840" s="1781" t="s">
        <v>54</v>
      </c>
      <c r="AS840" s="1781">
        <v>7</v>
      </c>
      <c r="AT840" s="1880">
        <v>20512816</v>
      </c>
      <c r="AU840" s="1909">
        <v>1.7000000000000001E-2</v>
      </c>
      <c r="AV840" s="1822">
        <v>2011</v>
      </c>
    </row>
    <row r="841" spans="1:48">
      <c r="A841" s="333">
        <f t="shared" si="25"/>
        <v>1900</v>
      </c>
      <c r="B841" s="333">
        <f t="shared" si="26"/>
        <v>1</v>
      </c>
      <c r="AI841" s="1878" t="s">
        <v>0</v>
      </c>
      <c r="AJ841" s="1827">
        <v>2007</v>
      </c>
      <c r="AK841" s="1781" t="s">
        <v>26</v>
      </c>
      <c r="AL841" s="1781">
        <v>5</v>
      </c>
      <c r="AM841" s="1880">
        <v>334448851.42999995</v>
      </c>
      <c r="AN841" s="1831">
        <v>8.0618215771145765E-2</v>
      </c>
      <c r="AP841" s="1878" t="s">
        <v>307</v>
      </c>
      <c r="AQ841" s="1822" t="s">
        <v>501</v>
      </c>
      <c r="AR841" s="1781" t="s">
        <v>22</v>
      </c>
      <c r="AS841" s="1781">
        <v>8</v>
      </c>
      <c r="AT841" s="1880">
        <v>11002578</v>
      </c>
      <c r="AU841" s="1909">
        <v>8.9999999999999993E-3</v>
      </c>
      <c r="AV841" s="1822">
        <v>2011</v>
      </c>
    </row>
    <row r="842" spans="1:48">
      <c r="A842" s="333">
        <f t="shared" ref="A842:A905" si="27">YEAR(C842)</f>
        <v>1900</v>
      </c>
      <c r="B842" s="333">
        <f t="shared" ref="B842:B905" si="28">IF(OR(MONTH(C842)=1,MONTH(C842)=2,MONTH(C842)=3),1,IF(OR(MONTH(C842)=4,MONTH(C842)=5,MONTH(C842)=6),2,IF(OR(MONTH(C842)=7,MONTH(C842)=8,MONTH(C842)=9),3,4)))</f>
        <v>1</v>
      </c>
      <c r="AI842" s="1878" t="s">
        <v>0</v>
      </c>
      <c r="AJ842" s="1827">
        <v>2007</v>
      </c>
      <c r="AK842" s="1781" t="s">
        <v>758</v>
      </c>
      <c r="AL842" s="1781">
        <v>6</v>
      </c>
      <c r="AM842" s="1880">
        <v>239638706.48999998</v>
      </c>
      <c r="AN842" s="1831">
        <v>5.7764423062976494E-2</v>
      </c>
      <c r="AP842" s="1878" t="s">
        <v>307</v>
      </c>
      <c r="AQ842" s="1822" t="s">
        <v>501</v>
      </c>
      <c r="AR842" s="1781" t="s">
        <v>33</v>
      </c>
      <c r="AS842" s="1781">
        <v>9</v>
      </c>
      <c r="AT842" s="1880">
        <v>6491219</v>
      </c>
      <c r="AU842" s="1909">
        <v>5.0000000000000001E-3</v>
      </c>
      <c r="AV842" s="1822">
        <v>2011</v>
      </c>
    </row>
    <row r="843" spans="1:48">
      <c r="A843" s="333">
        <f t="shared" si="27"/>
        <v>1900</v>
      </c>
      <c r="B843" s="333">
        <f t="shared" si="28"/>
        <v>1</v>
      </c>
      <c r="AI843" s="1878" t="s">
        <v>0</v>
      </c>
      <c r="AJ843" s="1827">
        <v>2007</v>
      </c>
      <c r="AK843" s="1781" t="s">
        <v>56</v>
      </c>
      <c r="AL843" s="1781">
        <v>7</v>
      </c>
      <c r="AM843" s="1880">
        <v>231221894.25999996</v>
      </c>
      <c r="AN843" s="1831">
        <v>5.5735567584591396E-2</v>
      </c>
      <c r="AP843" s="1878" t="s">
        <v>307</v>
      </c>
      <c r="AQ843" s="1822" t="s">
        <v>501</v>
      </c>
      <c r="AR843" s="1781" t="s">
        <v>130</v>
      </c>
      <c r="AS843" s="1781">
        <v>10</v>
      </c>
      <c r="AT843" s="1880">
        <v>1899</v>
      </c>
      <c r="AU843" s="1909">
        <v>0</v>
      </c>
      <c r="AV843" s="1822">
        <v>2011</v>
      </c>
    </row>
    <row r="844" spans="1:48">
      <c r="A844" s="333">
        <f t="shared" si="27"/>
        <v>1900</v>
      </c>
      <c r="B844" s="333">
        <f t="shared" si="28"/>
        <v>1</v>
      </c>
      <c r="AI844" s="1878" t="s">
        <v>0</v>
      </c>
      <c r="AJ844" s="1827">
        <v>2007</v>
      </c>
      <c r="AK844" s="1781" t="s">
        <v>30</v>
      </c>
      <c r="AL844" s="1781">
        <v>8</v>
      </c>
      <c r="AM844" s="1880">
        <v>115635007.34999999</v>
      </c>
      <c r="AN844" s="1831">
        <v>2.7873583459417199E-2</v>
      </c>
      <c r="AP844" s="1878" t="s">
        <v>307</v>
      </c>
      <c r="AQ844" s="1822" t="s">
        <v>501</v>
      </c>
      <c r="AR844" s="1781" t="s">
        <v>39</v>
      </c>
      <c r="AT844" s="1781" t="s">
        <v>518</v>
      </c>
      <c r="AU844" s="1909">
        <v>0</v>
      </c>
      <c r="AV844" s="1822">
        <v>2011</v>
      </c>
    </row>
    <row r="845" spans="1:48">
      <c r="A845" s="333">
        <f t="shared" si="27"/>
        <v>1900</v>
      </c>
      <c r="B845" s="333">
        <f t="shared" si="28"/>
        <v>1</v>
      </c>
      <c r="AI845" s="1878" t="s">
        <v>0</v>
      </c>
      <c r="AJ845" s="1827">
        <v>2007</v>
      </c>
      <c r="AK845" s="1781" t="s">
        <v>28</v>
      </c>
      <c r="AL845" s="1781">
        <v>9</v>
      </c>
      <c r="AM845" s="1880">
        <v>95825117.779999986</v>
      </c>
      <c r="AN845" s="1831">
        <v>2.3098449848019252E-2</v>
      </c>
      <c r="AP845" s="1878" t="s">
        <v>307</v>
      </c>
      <c r="AQ845" s="1822" t="s">
        <v>501</v>
      </c>
      <c r="AR845" s="1781" t="s">
        <v>386</v>
      </c>
      <c r="AT845" s="1880">
        <v>1211896302</v>
      </c>
      <c r="AV845" s="1822">
        <v>2011</v>
      </c>
    </row>
    <row r="846" spans="1:48">
      <c r="A846" s="333">
        <f t="shared" si="27"/>
        <v>1900</v>
      </c>
      <c r="B846" s="333">
        <f t="shared" si="28"/>
        <v>1</v>
      </c>
      <c r="AI846" s="1878" t="s">
        <v>0</v>
      </c>
      <c r="AJ846" s="1827">
        <v>2007</v>
      </c>
      <c r="AK846" s="1781" t="s">
        <v>22</v>
      </c>
      <c r="AL846" s="1781">
        <v>10</v>
      </c>
      <c r="AM846" s="1880">
        <v>72265104.310000002</v>
      </c>
      <c r="AN846" s="1831">
        <v>1.7419356493760578E-2</v>
      </c>
      <c r="AP846" s="1878" t="s">
        <v>307</v>
      </c>
      <c r="AQ846" s="1822" t="s">
        <v>500</v>
      </c>
      <c r="AR846" s="1781" t="s">
        <v>24</v>
      </c>
      <c r="AS846" s="1781">
        <v>1</v>
      </c>
      <c r="AT846" s="1880">
        <v>549299334</v>
      </c>
      <c r="AU846" s="1909">
        <v>0.245</v>
      </c>
      <c r="AV846" s="1822">
        <v>2010</v>
      </c>
    </row>
    <row r="847" spans="1:48">
      <c r="A847" s="333">
        <f t="shared" si="27"/>
        <v>1900</v>
      </c>
      <c r="B847" s="333">
        <f t="shared" si="28"/>
        <v>1</v>
      </c>
      <c r="AI847" s="1878" t="s">
        <v>0</v>
      </c>
      <c r="AJ847" s="1827">
        <v>2007</v>
      </c>
      <c r="AK847" s="1781" t="s">
        <v>39</v>
      </c>
      <c r="AM847" s="1880">
        <v>225153380.05999994</v>
      </c>
      <c r="AN847" s="1831">
        <v>5.4272764572728574E-2</v>
      </c>
      <c r="AP847" s="1878" t="s">
        <v>307</v>
      </c>
      <c r="AQ847" s="1822" t="s">
        <v>500</v>
      </c>
      <c r="AR847" s="1781" t="s">
        <v>18</v>
      </c>
      <c r="AS847" s="1781">
        <v>2</v>
      </c>
      <c r="AT847" s="1880">
        <v>543770287</v>
      </c>
      <c r="AU847" s="1909">
        <v>0.24199999999999999</v>
      </c>
      <c r="AV847" s="1822">
        <v>2010</v>
      </c>
    </row>
    <row r="848" spans="1:48">
      <c r="A848" s="333">
        <f t="shared" si="27"/>
        <v>1900</v>
      </c>
      <c r="B848" s="333">
        <f t="shared" si="28"/>
        <v>1</v>
      </c>
      <c r="AI848" s="1878" t="s">
        <v>0</v>
      </c>
      <c r="AJ848" s="1827">
        <v>2007</v>
      </c>
      <c r="AK848" s="1781" t="s">
        <v>386</v>
      </c>
      <c r="AM848" s="1880">
        <v>4148551890.2999988</v>
      </c>
      <c r="AP848" s="1878" t="s">
        <v>307</v>
      </c>
      <c r="AQ848" s="1822" t="s">
        <v>500</v>
      </c>
      <c r="AR848" s="1781" t="s">
        <v>21</v>
      </c>
      <c r="AS848" s="1781">
        <v>3</v>
      </c>
      <c r="AT848" s="1880">
        <v>445391954</v>
      </c>
      <c r="AU848" s="1909">
        <v>0.19900000000000001</v>
      </c>
      <c r="AV848" s="1822">
        <v>2010</v>
      </c>
    </row>
    <row r="849" spans="1:48">
      <c r="A849" s="333">
        <f t="shared" si="27"/>
        <v>1900</v>
      </c>
      <c r="B849" s="333">
        <f t="shared" si="28"/>
        <v>1</v>
      </c>
      <c r="AI849" s="1878" t="s">
        <v>3</v>
      </c>
      <c r="AJ849" s="1827">
        <v>2007</v>
      </c>
      <c r="AK849" s="1781" t="s">
        <v>18</v>
      </c>
      <c r="AL849" s="1781">
        <v>1</v>
      </c>
      <c r="AM849" s="1880">
        <v>1898006642.6199999</v>
      </c>
      <c r="AN849" s="1831">
        <v>0.35966858708361105</v>
      </c>
      <c r="AP849" s="1878" t="s">
        <v>307</v>
      </c>
      <c r="AQ849" s="1822" t="s">
        <v>500</v>
      </c>
      <c r="AR849" s="1781" t="s">
        <v>23</v>
      </c>
      <c r="AS849" s="1781">
        <v>4</v>
      </c>
      <c r="AT849" s="1880">
        <v>379078335</v>
      </c>
      <c r="AU849" s="1909">
        <v>0.16900000000000001</v>
      </c>
      <c r="AV849" s="1822">
        <v>2010</v>
      </c>
    </row>
    <row r="850" spans="1:48">
      <c r="A850" s="333">
        <f t="shared" si="27"/>
        <v>1900</v>
      </c>
      <c r="B850" s="333">
        <f t="shared" si="28"/>
        <v>1</v>
      </c>
      <c r="AI850" s="1878" t="s">
        <v>3</v>
      </c>
      <c r="AJ850" s="1827">
        <v>2007</v>
      </c>
      <c r="AK850" s="1781" t="s">
        <v>57</v>
      </c>
      <c r="AL850" s="1781">
        <v>2</v>
      </c>
      <c r="AM850" s="1880">
        <v>1038109679.0400001</v>
      </c>
      <c r="AN850" s="1831">
        <v>0.1967197759554371</v>
      </c>
      <c r="AP850" s="1878" t="s">
        <v>307</v>
      </c>
      <c r="AQ850" s="1822" t="s">
        <v>500</v>
      </c>
      <c r="AR850" s="1781" t="s">
        <v>69</v>
      </c>
      <c r="AS850" s="1781">
        <v>5</v>
      </c>
      <c r="AT850" s="1880">
        <v>176882617</v>
      </c>
      <c r="AU850" s="1909">
        <v>7.9000000000000001E-2</v>
      </c>
      <c r="AV850" s="1822">
        <v>2010</v>
      </c>
    </row>
    <row r="851" spans="1:48">
      <c r="A851" s="333">
        <f t="shared" si="27"/>
        <v>1900</v>
      </c>
      <c r="B851" s="333">
        <f t="shared" si="28"/>
        <v>1</v>
      </c>
      <c r="AI851" s="1878" t="s">
        <v>3</v>
      </c>
      <c r="AJ851" s="1827">
        <v>2007</v>
      </c>
      <c r="AK851" s="1781" t="s">
        <v>23</v>
      </c>
      <c r="AL851" s="1781">
        <v>3</v>
      </c>
      <c r="AM851" s="1880">
        <v>632438784.75</v>
      </c>
      <c r="AN851" s="1831">
        <v>0.11984592625761953</v>
      </c>
      <c r="AP851" s="1878" t="s">
        <v>307</v>
      </c>
      <c r="AQ851" s="1822" t="s">
        <v>500</v>
      </c>
      <c r="AR851" s="1781" t="s">
        <v>58</v>
      </c>
      <c r="AS851" s="1781">
        <v>6</v>
      </c>
      <c r="AT851" s="1880">
        <v>108183042</v>
      </c>
      <c r="AU851" s="1909">
        <v>4.8000000000000001E-2</v>
      </c>
      <c r="AV851" s="1822">
        <v>2010</v>
      </c>
    </row>
    <row r="852" spans="1:48">
      <c r="A852" s="333">
        <f t="shared" si="27"/>
        <v>1900</v>
      </c>
      <c r="B852" s="333">
        <f t="shared" si="28"/>
        <v>1</v>
      </c>
      <c r="AI852" s="1878" t="s">
        <v>3</v>
      </c>
      <c r="AJ852" s="1827">
        <v>2007</v>
      </c>
      <c r="AK852" s="1781" t="s">
        <v>27</v>
      </c>
      <c r="AL852" s="1781">
        <v>4</v>
      </c>
      <c r="AM852" s="1880">
        <v>468796418.55999988</v>
      </c>
      <c r="AN852" s="1831">
        <v>8.8836014430688157E-2</v>
      </c>
      <c r="AP852" s="1878" t="s">
        <v>307</v>
      </c>
      <c r="AQ852" s="1822" t="s">
        <v>500</v>
      </c>
      <c r="AR852" s="1781" t="s">
        <v>54</v>
      </c>
      <c r="AS852" s="1781">
        <v>7</v>
      </c>
      <c r="AT852" s="1880">
        <v>19493912</v>
      </c>
      <c r="AU852" s="1909">
        <v>8.9999999999999993E-3</v>
      </c>
      <c r="AV852" s="1822">
        <v>2010</v>
      </c>
    </row>
    <row r="853" spans="1:48">
      <c r="A853" s="333">
        <f t="shared" si="27"/>
        <v>1900</v>
      </c>
      <c r="B853" s="333">
        <f t="shared" si="28"/>
        <v>1</v>
      </c>
      <c r="AI853" s="1878" t="s">
        <v>3</v>
      </c>
      <c r="AJ853" s="1827">
        <v>2007</v>
      </c>
      <c r="AK853" s="1781" t="s">
        <v>758</v>
      </c>
      <c r="AL853" s="1781">
        <v>5</v>
      </c>
      <c r="AM853" s="1880">
        <v>345042014.34000003</v>
      </c>
      <c r="AN853" s="1831">
        <v>6.5384794233829827E-2</v>
      </c>
      <c r="AP853" s="1878" t="s">
        <v>307</v>
      </c>
      <c r="AQ853" s="1822" t="s">
        <v>500</v>
      </c>
      <c r="AR853" s="1781" t="s">
        <v>33</v>
      </c>
      <c r="AS853" s="1781">
        <v>8</v>
      </c>
      <c r="AT853" s="1880">
        <v>13723943</v>
      </c>
      <c r="AU853" s="1909">
        <v>6.0000000000000001E-3</v>
      </c>
      <c r="AV853" s="1822">
        <v>2010</v>
      </c>
    </row>
    <row r="854" spans="1:48">
      <c r="A854" s="333">
        <f t="shared" si="27"/>
        <v>1900</v>
      </c>
      <c r="B854" s="333">
        <f t="shared" si="28"/>
        <v>1</v>
      </c>
      <c r="AI854" s="1878" t="s">
        <v>3</v>
      </c>
      <c r="AJ854" s="1827">
        <v>2007</v>
      </c>
      <c r="AK854" s="1781" t="s">
        <v>54</v>
      </c>
      <c r="AL854" s="1781">
        <v>6</v>
      </c>
      <c r="AM854" s="1880">
        <v>200676667.62</v>
      </c>
      <c r="AN854" s="1831">
        <v>3.8027840305079177E-2</v>
      </c>
      <c r="AP854" s="1878" t="s">
        <v>307</v>
      </c>
      <c r="AQ854" s="1822" t="s">
        <v>500</v>
      </c>
      <c r="AR854" s="1781" t="s">
        <v>397</v>
      </c>
      <c r="AS854" s="1781">
        <v>9</v>
      </c>
      <c r="AT854" s="1880">
        <v>4948266</v>
      </c>
      <c r="AU854" s="1909">
        <v>2E-3</v>
      </c>
      <c r="AV854" s="1822">
        <v>2010</v>
      </c>
    </row>
    <row r="855" spans="1:48">
      <c r="A855" s="333">
        <f t="shared" si="27"/>
        <v>1900</v>
      </c>
      <c r="B855" s="333">
        <f t="shared" si="28"/>
        <v>1</v>
      </c>
      <c r="AI855" s="1878" t="s">
        <v>3</v>
      </c>
      <c r="AJ855" s="1827">
        <v>2007</v>
      </c>
      <c r="AK855" s="1781" t="s">
        <v>63</v>
      </c>
      <c r="AL855" s="1781">
        <v>7</v>
      </c>
      <c r="AM855" s="1880">
        <v>146610136.13999999</v>
      </c>
      <c r="AN855" s="1831">
        <v>2.7782337181296655E-2</v>
      </c>
      <c r="AP855" s="1878" t="s">
        <v>307</v>
      </c>
      <c r="AQ855" s="1822" t="s">
        <v>500</v>
      </c>
      <c r="AR855" s="1781" t="s">
        <v>398</v>
      </c>
      <c r="AS855" s="1781">
        <v>10</v>
      </c>
      <c r="AT855" s="1880">
        <v>1414878</v>
      </c>
      <c r="AU855" s="1909">
        <v>1E-3</v>
      </c>
      <c r="AV855" s="1822">
        <v>2010</v>
      </c>
    </row>
    <row r="856" spans="1:48">
      <c r="A856" s="333">
        <f t="shared" si="27"/>
        <v>1900</v>
      </c>
      <c r="B856" s="333">
        <f t="shared" si="28"/>
        <v>1</v>
      </c>
      <c r="AI856" s="1878" t="s">
        <v>3</v>
      </c>
      <c r="AJ856" s="1827">
        <v>2007</v>
      </c>
      <c r="AK856" s="1781" t="s">
        <v>59</v>
      </c>
      <c r="AL856" s="1781">
        <v>8</v>
      </c>
      <c r="AM856" s="1880">
        <v>136281734.66000006</v>
      </c>
      <c r="AN856" s="1831">
        <v>2.5825125081124046E-2</v>
      </c>
      <c r="AP856" s="1878" t="s">
        <v>307</v>
      </c>
      <c r="AQ856" s="1822" t="s">
        <v>500</v>
      </c>
      <c r="AR856" s="1781" t="s">
        <v>39</v>
      </c>
      <c r="AT856" s="1880">
        <v>408286</v>
      </c>
      <c r="AU856" s="1909">
        <v>0</v>
      </c>
      <c r="AV856" s="1822">
        <v>2010</v>
      </c>
    </row>
    <row r="857" spans="1:48">
      <c r="A857" s="333">
        <f t="shared" si="27"/>
        <v>1900</v>
      </c>
      <c r="B857" s="333">
        <f t="shared" si="28"/>
        <v>1</v>
      </c>
      <c r="AI857" s="1878" t="s">
        <v>3</v>
      </c>
      <c r="AJ857" s="1827">
        <v>2007</v>
      </c>
      <c r="AK857" s="1781" t="s">
        <v>56</v>
      </c>
      <c r="AL857" s="1781">
        <v>9</v>
      </c>
      <c r="AM857" s="1880">
        <v>118973233.83</v>
      </c>
      <c r="AN857" s="1831">
        <v>2.2545197657125034E-2</v>
      </c>
      <c r="AP857" s="1878" t="s">
        <v>307</v>
      </c>
      <c r="AQ857" s="1822" t="s">
        <v>500</v>
      </c>
      <c r="AR857" s="1781" t="s">
        <v>386</v>
      </c>
      <c r="AT857" s="1880">
        <v>2242594855</v>
      </c>
      <c r="AV857" s="1822">
        <v>2010</v>
      </c>
    </row>
    <row r="858" spans="1:48">
      <c r="A858" s="333">
        <f t="shared" si="27"/>
        <v>1900</v>
      </c>
      <c r="B858" s="333">
        <f t="shared" si="28"/>
        <v>1</v>
      </c>
      <c r="AI858" s="1878" t="s">
        <v>3</v>
      </c>
      <c r="AJ858" s="1827">
        <v>2007</v>
      </c>
      <c r="AK858" s="1781" t="s">
        <v>24</v>
      </c>
      <c r="AL858" s="1781">
        <v>10</v>
      </c>
      <c r="AM858" s="1880">
        <v>107449740.98000002</v>
      </c>
      <c r="AN858" s="1831">
        <v>2.0361518054241062E-2</v>
      </c>
      <c r="AP858" s="1878" t="s">
        <v>307</v>
      </c>
      <c r="AQ858" s="1822" t="s">
        <v>499</v>
      </c>
      <c r="AR858" s="1781" t="s">
        <v>18</v>
      </c>
      <c r="AS858" s="1781">
        <v>1</v>
      </c>
      <c r="AT858" s="1880">
        <v>757048804</v>
      </c>
      <c r="AU858" s="1909">
        <v>0.32900000000000001</v>
      </c>
      <c r="AV858" s="1822">
        <v>2009</v>
      </c>
    </row>
    <row r="859" spans="1:48">
      <c r="A859" s="333">
        <f t="shared" si="27"/>
        <v>1900</v>
      </c>
      <c r="B859" s="333">
        <f t="shared" si="28"/>
        <v>1</v>
      </c>
      <c r="AI859" s="1878" t="s">
        <v>3</v>
      </c>
      <c r="AJ859" s="1827">
        <v>2007</v>
      </c>
      <c r="AK859" s="1781" t="s">
        <v>39</v>
      </c>
      <c r="AM859" s="1880">
        <v>184713673.28999996</v>
      </c>
      <c r="AN859" s="1831">
        <v>3.5002883759948533E-2</v>
      </c>
      <c r="AP859" s="1878" t="s">
        <v>307</v>
      </c>
      <c r="AQ859" s="1822" t="s">
        <v>499</v>
      </c>
      <c r="AR859" s="1781" t="s">
        <v>24</v>
      </c>
      <c r="AS859" s="1781">
        <v>2</v>
      </c>
      <c r="AT859" s="1880">
        <v>473072647</v>
      </c>
      <c r="AU859" s="1909">
        <v>0.20599999999999999</v>
      </c>
      <c r="AV859" s="1822">
        <v>2009</v>
      </c>
    </row>
    <row r="860" spans="1:48">
      <c r="A860" s="333">
        <f t="shared" si="27"/>
        <v>1900</v>
      </c>
      <c r="B860" s="333">
        <f t="shared" si="28"/>
        <v>1</v>
      </c>
      <c r="AI860" s="1878" t="s">
        <v>3</v>
      </c>
      <c r="AJ860" s="1827">
        <v>2007</v>
      </c>
      <c r="AK860" s="1781" t="s">
        <v>386</v>
      </c>
      <c r="AM860" s="1880">
        <v>5277098725.829999</v>
      </c>
      <c r="AP860" s="1878" t="s">
        <v>307</v>
      </c>
      <c r="AQ860" s="1822" t="s">
        <v>499</v>
      </c>
      <c r="AR860" s="1781" t="s">
        <v>21</v>
      </c>
      <c r="AS860" s="1781">
        <v>3</v>
      </c>
      <c r="AT860" s="1880">
        <v>427718340</v>
      </c>
      <c r="AU860" s="1909">
        <v>0.186</v>
      </c>
      <c r="AV860" s="1822">
        <v>2009</v>
      </c>
    </row>
    <row r="861" spans="1:48">
      <c r="A861" s="333">
        <f t="shared" si="27"/>
        <v>1900</v>
      </c>
      <c r="B861" s="333">
        <f t="shared" si="28"/>
        <v>1</v>
      </c>
      <c r="AI861" s="1878" t="s">
        <v>0</v>
      </c>
      <c r="AJ861" s="1827">
        <v>2017</v>
      </c>
      <c r="AK861" s="1781" t="s">
        <v>34</v>
      </c>
      <c r="AL861" s="1781">
        <v>1</v>
      </c>
      <c r="AM861" s="1781">
        <v>1624053758.9600003</v>
      </c>
      <c r="AN861" s="1831">
        <v>0.26889193656596555</v>
      </c>
      <c r="AP861" s="1878" t="s">
        <v>307</v>
      </c>
      <c r="AQ861" s="1822" t="s">
        <v>499</v>
      </c>
      <c r="AR861" s="1781" t="s">
        <v>23</v>
      </c>
      <c r="AS861" s="1781">
        <v>4</v>
      </c>
      <c r="AT861" s="1880">
        <v>394060290</v>
      </c>
      <c r="AU861" s="1909">
        <v>0.17100000000000001</v>
      </c>
      <c r="AV861" s="1822">
        <v>2009</v>
      </c>
    </row>
    <row r="862" spans="1:48">
      <c r="A862" s="333">
        <f t="shared" si="27"/>
        <v>1900</v>
      </c>
      <c r="B862" s="333">
        <f t="shared" si="28"/>
        <v>1</v>
      </c>
      <c r="AI862" s="1878" t="s">
        <v>0</v>
      </c>
      <c r="AJ862" s="1827">
        <v>2017</v>
      </c>
      <c r="AK862" s="1781" t="s">
        <v>17</v>
      </c>
      <c r="AL862" s="1781">
        <v>2</v>
      </c>
      <c r="AM862" s="1781">
        <v>703176648.66999996</v>
      </c>
      <c r="AN862" s="1831">
        <v>0.11642381279910501</v>
      </c>
      <c r="AP862" s="1878" t="s">
        <v>307</v>
      </c>
      <c r="AQ862" s="1822" t="s">
        <v>499</v>
      </c>
      <c r="AR862" s="1781" t="s">
        <v>58</v>
      </c>
      <c r="AS862" s="1781">
        <v>5</v>
      </c>
      <c r="AT862" s="1880">
        <v>138660093</v>
      </c>
      <c r="AU862" s="1909">
        <v>0.06</v>
      </c>
      <c r="AV862" s="1822">
        <v>2009</v>
      </c>
    </row>
    <row r="863" spans="1:48">
      <c r="A863" s="333">
        <f t="shared" si="27"/>
        <v>1900</v>
      </c>
      <c r="B863" s="333">
        <f t="shared" si="28"/>
        <v>1</v>
      </c>
      <c r="AI863" s="1878" t="s">
        <v>0</v>
      </c>
      <c r="AJ863" s="1827">
        <v>2017</v>
      </c>
      <c r="AK863" s="1781" t="s">
        <v>21</v>
      </c>
      <c r="AL863" s="1781">
        <v>3</v>
      </c>
      <c r="AM863" s="1781">
        <v>631154374.48000002</v>
      </c>
      <c r="AN863" s="1831">
        <v>0.10449920212905205</v>
      </c>
      <c r="AP863" s="1878" t="s">
        <v>307</v>
      </c>
      <c r="AQ863" s="1822" t="s">
        <v>499</v>
      </c>
      <c r="AR863" s="1781" t="s">
        <v>69</v>
      </c>
      <c r="AS863" s="1781">
        <v>6</v>
      </c>
      <c r="AT863" s="1880">
        <v>49638125</v>
      </c>
      <c r="AU863" s="1909">
        <v>2.1999999999999999E-2</v>
      </c>
      <c r="AV863" s="1822">
        <v>2009</v>
      </c>
    </row>
    <row r="864" spans="1:48">
      <c r="A864" s="333">
        <f t="shared" si="27"/>
        <v>1900</v>
      </c>
      <c r="B864" s="333">
        <f t="shared" si="28"/>
        <v>1</v>
      </c>
      <c r="AI864" s="1878" t="s">
        <v>0</v>
      </c>
      <c r="AJ864" s="1827">
        <v>2017</v>
      </c>
      <c r="AK864" s="1781" t="s">
        <v>32</v>
      </c>
      <c r="AL864" s="1781">
        <v>4</v>
      </c>
      <c r="AM864" s="1781">
        <v>578768509.75999987</v>
      </c>
      <c r="AN864" s="1831">
        <v>9.5825759802694629E-2</v>
      </c>
      <c r="AP864" s="1878" t="s">
        <v>307</v>
      </c>
      <c r="AQ864" s="1822" t="s">
        <v>499</v>
      </c>
      <c r="AR864" s="1781" t="s">
        <v>33</v>
      </c>
      <c r="AS864" s="1781">
        <v>7</v>
      </c>
      <c r="AT864" s="1880">
        <v>29209847</v>
      </c>
      <c r="AU864" s="1909">
        <v>1.2999999999999999E-2</v>
      </c>
      <c r="AV864" s="1822">
        <v>2009</v>
      </c>
    </row>
    <row r="865" spans="1:48">
      <c r="A865" s="333">
        <f t="shared" si="27"/>
        <v>1900</v>
      </c>
      <c r="B865" s="333">
        <f t="shared" si="28"/>
        <v>1</v>
      </c>
      <c r="AI865" s="1878" t="s">
        <v>0</v>
      </c>
      <c r="AJ865" s="1827">
        <v>2017</v>
      </c>
      <c r="AK865" s="1781" t="s">
        <v>26</v>
      </c>
      <c r="AL865" s="1781">
        <v>5</v>
      </c>
      <c r="AM865" s="1781">
        <v>508372371.02000004</v>
      </c>
      <c r="AN865" s="1831">
        <v>8.4170385731403702E-2</v>
      </c>
      <c r="AP865" s="1878" t="s">
        <v>307</v>
      </c>
      <c r="AQ865" s="1822" t="s">
        <v>499</v>
      </c>
      <c r="AR865" s="1781" t="s">
        <v>54</v>
      </c>
      <c r="AS865" s="1781">
        <v>8</v>
      </c>
      <c r="AT865" s="1880">
        <v>22568061</v>
      </c>
      <c r="AU865" s="1909">
        <v>0.01</v>
      </c>
      <c r="AV865" s="1822">
        <v>2009</v>
      </c>
    </row>
    <row r="866" spans="1:48">
      <c r="A866" s="333">
        <f t="shared" si="27"/>
        <v>1900</v>
      </c>
      <c r="B866" s="333">
        <f t="shared" si="28"/>
        <v>1</v>
      </c>
      <c r="AI866" s="1878" t="s">
        <v>0</v>
      </c>
      <c r="AJ866" s="1827">
        <v>2017</v>
      </c>
      <c r="AK866" s="1781" t="s">
        <v>25</v>
      </c>
      <c r="AL866" s="1781">
        <v>6</v>
      </c>
      <c r="AM866" s="1781">
        <v>408860835.13999999</v>
      </c>
      <c r="AN866" s="1831">
        <v>6.7694422761703871E-2</v>
      </c>
      <c r="AP866" s="1878" t="s">
        <v>307</v>
      </c>
      <c r="AQ866" s="1822" t="s">
        <v>499</v>
      </c>
      <c r="AR866" s="1781" t="s">
        <v>398</v>
      </c>
      <c r="AS866" s="1781">
        <v>9</v>
      </c>
      <c r="AT866" s="1880">
        <v>6784046</v>
      </c>
      <c r="AU866" s="1909">
        <v>3.0000000000000001E-3</v>
      </c>
      <c r="AV866" s="1822">
        <v>2009</v>
      </c>
    </row>
    <row r="867" spans="1:48">
      <c r="A867" s="333">
        <f t="shared" si="27"/>
        <v>1900</v>
      </c>
      <c r="B867" s="333">
        <f t="shared" si="28"/>
        <v>1</v>
      </c>
      <c r="AI867" s="1878" t="s">
        <v>0</v>
      </c>
      <c r="AJ867" s="1827">
        <v>2017</v>
      </c>
      <c r="AK867" s="1781" t="s">
        <v>387</v>
      </c>
      <c r="AL867" s="1781">
        <v>7</v>
      </c>
      <c r="AM867" s="1781">
        <v>269526785.87</v>
      </c>
      <c r="AN867" s="1831">
        <v>4.4625111089545907E-2</v>
      </c>
      <c r="AP867" s="1878" t="s">
        <v>307</v>
      </c>
      <c r="AQ867" s="1822" t="s">
        <v>499</v>
      </c>
      <c r="AR867" s="1781" t="s">
        <v>70</v>
      </c>
      <c r="AS867" s="1781">
        <v>10</v>
      </c>
      <c r="AT867" s="1880">
        <v>418389</v>
      </c>
      <c r="AU867" s="1909">
        <v>0</v>
      </c>
      <c r="AV867" s="1822">
        <v>2009</v>
      </c>
    </row>
    <row r="868" spans="1:48">
      <c r="A868" s="333">
        <f t="shared" si="27"/>
        <v>1900</v>
      </c>
      <c r="B868" s="333">
        <f t="shared" si="28"/>
        <v>1</v>
      </c>
      <c r="AI868" s="1878" t="s">
        <v>0</v>
      </c>
      <c r="AJ868" s="1827">
        <v>2017</v>
      </c>
      <c r="AK868" s="1781" t="s">
        <v>18</v>
      </c>
      <c r="AL868" s="1781">
        <v>8</v>
      </c>
      <c r="AM868" s="1781">
        <v>261292134.10000002</v>
      </c>
      <c r="AN868" s="1831">
        <v>4.3261713203752036E-2</v>
      </c>
      <c r="AP868" s="1878" t="s">
        <v>307</v>
      </c>
      <c r="AQ868" s="1822" t="s">
        <v>499</v>
      </c>
      <c r="AR868" s="1781" t="s">
        <v>39</v>
      </c>
      <c r="AT868" s="1880">
        <v>52107</v>
      </c>
      <c r="AU868" s="1909">
        <v>0</v>
      </c>
      <c r="AV868" s="1822">
        <v>2009</v>
      </c>
    </row>
    <row r="869" spans="1:48">
      <c r="A869" s="333">
        <f t="shared" si="27"/>
        <v>1900</v>
      </c>
      <c r="B869" s="333">
        <f t="shared" si="28"/>
        <v>1</v>
      </c>
      <c r="AI869" s="1878" t="s">
        <v>0</v>
      </c>
      <c r="AJ869" s="1827">
        <v>2017</v>
      </c>
      <c r="AK869" s="1781" t="s">
        <v>16</v>
      </c>
      <c r="AL869" s="1781">
        <v>9</v>
      </c>
      <c r="AM869" s="1781">
        <v>207337004.41999999</v>
      </c>
      <c r="AN869" s="1831">
        <v>3.4328450233064661E-2</v>
      </c>
      <c r="AP869" s="1878" t="s">
        <v>307</v>
      </c>
      <c r="AQ869" s="1822" t="s">
        <v>499</v>
      </c>
      <c r="AR869" s="1781" t="s">
        <v>386</v>
      </c>
      <c r="AT869" s="1880">
        <v>2299230749</v>
      </c>
      <c r="AV869" s="1822">
        <v>2009</v>
      </c>
    </row>
    <row r="870" spans="1:48">
      <c r="A870" s="333">
        <f t="shared" si="27"/>
        <v>1900</v>
      </c>
      <c r="B870" s="333">
        <f t="shared" si="28"/>
        <v>1</v>
      </c>
      <c r="AI870" s="1878" t="s">
        <v>0</v>
      </c>
      <c r="AJ870" s="1827">
        <v>2017</v>
      </c>
      <c r="AK870" s="1781" t="s">
        <v>22</v>
      </c>
      <c r="AL870" s="1781">
        <v>10</v>
      </c>
      <c r="AM870" s="1781">
        <v>164780567.56000003</v>
      </c>
      <c r="AN870" s="1831">
        <v>2.7282450273087677E-2</v>
      </c>
      <c r="AP870" s="1878" t="s">
        <v>307</v>
      </c>
      <c r="AQ870" s="1822" t="s">
        <v>498</v>
      </c>
      <c r="AR870" s="1781" t="s">
        <v>18</v>
      </c>
      <c r="AS870" s="1781">
        <v>1</v>
      </c>
      <c r="AT870" s="1880">
        <v>421798865</v>
      </c>
      <c r="AU870" s="1909">
        <v>0.28399999999999997</v>
      </c>
      <c r="AV870" s="1822">
        <v>2008</v>
      </c>
    </row>
    <row r="871" spans="1:48">
      <c r="A871" s="333">
        <f t="shared" si="27"/>
        <v>1900</v>
      </c>
      <c r="B871" s="333">
        <f t="shared" si="28"/>
        <v>1</v>
      </c>
      <c r="AI871" s="1878" t="s">
        <v>0</v>
      </c>
      <c r="AJ871" s="1827">
        <v>2017</v>
      </c>
      <c r="AK871" s="1781" t="s">
        <v>39</v>
      </c>
      <c r="AM871" s="1781">
        <v>682477904.39000034</v>
      </c>
      <c r="AN871" s="1831">
        <v>0.11299675541062487</v>
      </c>
      <c r="AP871" s="1878" t="s">
        <v>307</v>
      </c>
      <c r="AQ871" s="1822" t="s">
        <v>498</v>
      </c>
      <c r="AR871" s="1781" t="s">
        <v>21</v>
      </c>
      <c r="AS871" s="1781">
        <v>2</v>
      </c>
      <c r="AT871" s="1880">
        <v>330805323</v>
      </c>
      <c r="AU871" s="1909">
        <v>0.223</v>
      </c>
      <c r="AV871" s="1822">
        <v>2008</v>
      </c>
    </row>
    <row r="872" spans="1:48">
      <c r="A872" s="333">
        <f t="shared" si="27"/>
        <v>1900</v>
      </c>
      <c r="B872" s="333">
        <f t="shared" si="28"/>
        <v>1</v>
      </c>
      <c r="AI872" s="1878" t="s">
        <v>0</v>
      </c>
      <c r="AJ872" s="1827">
        <v>2017</v>
      </c>
      <c r="AK872" s="1781" t="s">
        <v>386</v>
      </c>
      <c r="AM872" s="1781">
        <v>6039800894.3700008</v>
      </c>
      <c r="AP872" s="1878" t="s">
        <v>307</v>
      </c>
      <c r="AQ872" s="1822" t="s">
        <v>498</v>
      </c>
      <c r="AR872" s="1781" t="s">
        <v>24</v>
      </c>
      <c r="AS872" s="1781">
        <v>3</v>
      </c>
      <c r="AT872" s="1880">
        <v>308467547</v>
      </c>
      <c r="AU872" s="1909">
        <v>0.20799999999999999</v>
      </c>
      <c r="AV872" s="1822">
        <v>2008</v>
      </c>
    </row>
    <row r="873" spans="1:48">
      <c r="A873" s="333">
        <f t="shared" si="27"/>
        <v>1900</v>
      </c>
      <c r="B873" s="333">
        <f t="shared" si="28"/>
        <v>1</v>
      </c>
      <c r="AI873" s="1781" t="s">
        <v>457</v>
      </c>
      <c r="AJ873" s="1826">
        <v>2017</v>
      </c>
      <c r="AK873" s="1781" t="s">
        <v>18</v>
      </c>
      <c r="AL873" s="1781">
        <v>1</v>
      </c>
      <c r="AM873" s="1781">
        <v>248407213.91</v>
      </c>
      <c r="AN873" s="1831">
        <v>0.27070210670960199</v>
      </c>
      <c r="AP873" s="1878" t="s">
        <v>307</v>
      </c>
      <c r="AQ873" s="1822" t="s">
        <v>498</v>
      </c>
      <c r="AR873" s="1781" t="s">
        <v>23</v>
      </c>
      <c r="AS873" s="1781">
        <v>4</v>
      </c>
      <c r="AT873" s="1880">
        <v>254840208</v>
      </c>
      <c r="AU873" s="1909">
        <v>0.17199999999999999</v>
      </c>
      <c r="AV873" s="1822">
        <v>2008</v>
      </c>
    </row>
    <row r="874" spans="1:48">
      <c r="A874" s="333">
        <f t="shared" si="27"/>
        <v>1900</v>
      </c>
      <c r="B874" s="333">
        <f t="shared" si="28"/>
        <v>1</v>
      </c>
      <c r="AI874" s="1781" t="s">
        <v>457</v>
      </c>
      <c r="AJ874" s="1826">
        <v>2017</v>
      </c>
      <c r="AK874" s="1781" t="s">
        <v>31</v>
      </c>
      <c r="AL874" s="1781">
        <v>2</v>
      </c>
      <c r="AM874" s="1781">
        <v>115191379.36999999</v>
      </c>
      <c r="AN874" s="1831">
        <v>0.12552996581468717</v>
      </c>
      <c r="AP874" s="1878" t="s">
        <v>307</v>
      </c>
      <c r="AQ874" s="1822" t="s">
        <v>498</v>
      </c>
      <c r="AR874" s="1781" t="s">
        <v>33</v>
      </c>
      <c r="AS874" s="1781">
        <v>5</v>
      </c>
      <c r="AT874" s="1880">
        <v>62727851</v>
      </c>
      <c r="AU874" s="1909">
        <v>4.2000000000000003E-2</v>
      </c>
      <c r="AV874" s="1822">
        <v>2008</v>
      </c>
    </row>
    <row r="875" spans="1:48">
      <c r="A875" s="333">
        <f t="shared" si="27"/>
        <v>1900</v>
      </c>
      <c r="B875" s="333">
        <f t="shared" si="28"/>
        <v>1</v>
      </c>
      <c r="AI875" s="1781" t="s">
        <v>457</v>
      </c>
      <c r="AJ875" s="1826">
        <v>2017</v>
      </c>
      <c r="AK875" s="1781" t="s">
        <v>25</v>
      </c>
      <c r="AL875" s="1781">
        <v>3</v>
      </c>
      <c r="AM875" s="1781">
        <v>90739758.179999992</v>
      </c>
      <c r="AN875" s="1831">
        <v>9.8883777628718056E-2</v>
      </c>
      <c r="AP875" s="1878" t="s">
        <v>307</v>
      </c>
      <c r="AQ875" s="1822" t="s">
        <v>498</v>
      </c>
      <c r="AR875" s="1781" t="s">
        <v>54</v>
      </c>
      <c r="AS875" s="1781">
        <v>6</v>
      </c>
      <c r="AT875" s="1880">
        <v>46961150</v>
      </c>
      <c r="AU875" s="1909">
        <v>3.2000000000000001E-2</v>
      </c>
      <c r="AV875" s="1822">
        <v>2008</v>
      </c>
    </row>
    <row r="876" spans="1:48">
      <c r="A876" s="333">
        <f t="shared" si="27"/>
        <v>1900</v>
      </c>
      <c r="B876" s="333">
        <f t="shared" si="28"/>
        <v>1</v>
      </c>
      <c r="AI876" s="1781" t="s">
        <v>457</v>
      </c>
      <c r="AJ876" s="1826">
        <v>2017</v>
      </c>
      <c r="AK876" s="1781" t="s">
        <v>27</v>
      </c>
      <c r="AL876" s="1781">
        <v>4</v>
      </c>
      <c r="AM876" s="1781">
        <v>82714576.290000007</v>
      </c>
      <c r="AN876" s="1831">
        <v>9.0138324506982906E-2</v>
      </c>
      <c r="AP876" s="1878" t="s">
        <v>307</v>
      </c>
      <c r="AQ876" s="1822" t="s">
        <v>498</v>
      </c>
      <c r="AR876" s="1781" t="s">
        <v>69</v>
      </c>
      <c r="AS876" s="1781">
        <v>7</v>
      </c>
      <c r="AT876" s="1880">
        <v>33030544</v>
      </c>
      <c r="AU876" s="1909">
        <v>2.1999999999999999E-2</v>
      </c>
      <c r="AV876" s="1822">
        <v>2008</v>
      </c>
    </row>
    <row r="877" spans="1:48">
      <c r="A877" s="333">
        <f t="shared" si="27"/>
        <v>1900</v>
      </c>
      <c r="B877" s="333">
        <f t="shared" si="28"/>
        <v>1</v>
      </c>
      <c r="AI877" s="1781" t="s">
        <v>457</v>
      </c>
      <c r="AJ877" s="1826">
        <v>2017</v>
      </c>
      <c r="AK877" s="1781" t="s">
        <v>758</v>
      </c>
      <c r="AL877" s="1781">
        <v>5</v>
      </c>
      <c r="AM877" s="1781">
        <v>82456370.829999998</v>
      </c>
      <c r="AN877" s="1831">
        <v>8.9856944747974579E-2</v>
      </c>
      <c r="AP877" s="1878" t="s">
        <v>307</v>
      </c>
      <c r="AQ877" s="1822" t="s">
        <v>498</v>
      </c>
      <c r="AR877" s="1781" t="s">
        <v>27</v>
      </c>
      <c r="AS877" s="1781">
        <v>8</v>
      </c>
      <c r="AT877" s="1880">
        <v>13505402</v>
      </c>
      <c r="AU877" s="1909">
        <v>8.9999999999999993E-3</v>
      </c>
      <c r="AV877" s="1822">
        <v>2008</v>
      </c>
    </row>
    <row r="878" spans="1:48">
      <c r="A878" s="333">
        <f t="shared" si="27"/>
        <v>1900</v>
      </c>
      <c r="B878" s="333">
        <f t="shared" si="28"/>
        <v>1</v>
      </c>
      <c r="AI878" s="1781" t="s">
        <v>457</v>
      </c>
      <c r="AJ878" s="1826">
        <v>2017</v>
      </c>
      <c r="AK878" s="1781" t="s">
        <v>63</v>
      </c>
      <c r="AL878" s="1781">
        <v>6</v>
      </c>
      <c r="AM878" s="1781">
        <v>65236124.170000002</v>
      </c>
      <c r="AN878" s="1831">
        <v>7.10911570095802E-2</v>
      </c>
      <c r="AP878" s="1878" t="s">
        <v>307</v>
      </c>
      <c r="AQ878" s="1822" t="s">
        <v>498</v>
      </c>
      <c r="AR878" s="1781" t="s">
        <v>58</v>
      </c>
      <c r="AS878" s="1781">
        <v>9</v>
      </c>
      <c r="AT878" s="1880">
        <v>11787985</v>
      </c>
      <c r="AU878" s="1909">
        <v>8.0000000000000002E-3</v>
      </c>
      <c r="AV878" s="1822">
        <v>2008</v>
      </c>
    </row>
    <row r="879" spans="1:48">
      <c r="A879" s="333">
        <f t="shared" si="27"/>
        <v>1900</v>
      </c>
      <c r="B879" s="333">
        <f t="shared" si="28"/>
        <v>1</v>
      </c>
      <c r="AI879" s="1781" t="s">
        <v>457</v>
      </c>
      <c r="AJ879" s="1826">
        <v>2017</v>
      </c>
      <c r="AK879" s="1781" t="s">
        <v>537</v>
      </c>
      <c r="AL879" s="1781">
        <v>7</v>
      </c>
      <c r="AM879" s="1781">
        <v>58514030.589999996</v>
      </c>
      <c r="AN879" s="1831">
        <v>6.376574618530205E-2</v>
      </c>
      <c r="AP879" s="1878" t="s">
        <v>307</v>
      </c>
      <c r="AQ879" s="1822" t="s">
        <v>498</v>
      </c>
      <c r="AR879" s="1781" t="s">
        <v>130</v>
      </c>
      <c r="AS879" s="1781">
        <v>10</v>
      </c>
      <c r="AT879" s="1880">
        <v>2394</v>
      </c>
      <c r="AU879" s="1909">
        <v>0</v>
      </c>
      <c r="AV879" s="1822">
        <v>2008</v>
      </c>
    </row>
    <row r="880" spans="1:48">
      <c r="A880" s="333">
        <f t="shared" si="27"/>
        <v>1900</v>
      </c>
      <c r="B880" s="333">
        <f t="shared" si="28"/>
        <v>1</v>
      </c>
      <c r="AI880" s="1781" t="s">
        <v>457</v>
      </c>
      <c r="AJ880" s="1826">
        <v>2017</v>
      </c>
      <c r="AK880" s="1781" t="s">
        <v>70</v>
      </c>
      <c r="AL880" s="1781">
        <v>8</v>
      </c>
      <c r="AM880" s="1781">
        <v>54664160.530000009</v>
      </c>
      <c r="AN880" s="1831">
        <v>5.9570344935087942E-2</v>
      </c>
      <c r="AP880" s="1878" t="s">
        <v>307</v>
      </c>
      <c r="AQ880" s="1822" t="s">
        <v>498</v>
      </c>
      <c r="AR880" s="1781" t="s">
        <v>39</v>
      </c>
      <c r="AT880" s="1781" t="s">
        <v>518</v>
      </c>
      <c r="AU880" s="1909">
        <v>0</v>
      </c>
      <c r="AV880" s="1822">
        <v>2008</v>
      </c>
    </row>
    <row r="881" spans="1:48">
      <c r="A881" s="333">
        <f t="shared" si="27"/>
        <v>1900</v>
      </c>
      <c r="B881" s="333">
        <f t="shared" si="28"/>
        <v>1</v>
      </c>
      <c r="AI881" s="1781" t="s">
        <v>457</v>
      </c>
      <c r="AJ881" s="1826">
        <v>2017</v>
      </c>
      <c r="AK881" s="1781" t="s">
        <v>23</v>
      </c>
      <c r="AL881" s="1781">
        <v>9</v>
      </c>
      <c r="AM881" s="1781">
        <v>32256598.260000002</v>
      </c>
      <c r="AN881" s="1831">
        <v>3.5151672798966832E-2</v>
      </c>
      <c r="AP881" s="1878" t="s">
        <v>307</v>
      </c>
      <c r="AQ881" s="1822" t="s">
        <v>498</v>
      </c>
      <c r="AR881" s="1781" t="s">
        <v>386</v>
      </c>
      <c r="AT881" s="1880">
        <v>1483927269</v>
      </c>
      <c r="AV881" s="1822">
        <v>2008</v>
      </c>
    </row>
    <row r="882" spans="1:48">
      <c r="A882" s="333">
        <f t="shared" si="27"/>
        <v>1900</v>
      </c>
      <c r="B882" s="333">
        <f t="shared" si="28"/>
        <v>1</v>
      </c>
      <c r="AI882" s="1781" t="s">
        <v>457</v>
      </c>
      <c r="AJ882" s="1826">
        <v>2017</v>
      </c>
      <c r="AK882" s="1781" t="s">
        <v>34</v>
      </c>
      <c r="AL882" s="1781">
        <v>10</v>
      </c>
      <c r="AM882" s="1781">
        <v>14779667.939999999</v>
      </c>
      <c r="AN882" s="1831">
        <v>1.6106163685229841E-2</v>
      </c>
      <c r="AP882" s="1878" t="s">
        <v>307</v>
      </c>
      <c r="AQ882" s="1822" t="s">
        <v>497</v>
      </c>
      <c r="AR882" s="1781" t="s">
        <v>21</v>
      </c>
      <c r="AS882" s="1781">
        <v>1</v>
      </c>
      <c r="AT882" s="1880">
        <v>493447011</v>
      </c>
      <c r="AU882" s="1909">
        <v>0.315</v>
      </c>
      <c r="AV882" s="1822">
        <v>2007</v>
      </c>
    </row>
    <row r="883" spans="1:48">
      <c r="A883" s="333">
        <f t="shared" si="27"/>
        <v>1900</v>
      </c>
      <c r="B883" s="333">
        <f t="shared" si="28"/>
        <v>1</v>
      </c>
      <c r="AI883" s="1781" t="s">
        <v>457</v>
      </c>
      <c r="AJ883" s="1826">
        <v>2017</v>
      </c>
      <c r="AK883" s="1781" t="s">
        <v>39</v>
      </c>
      <c r="AM883" s="1781">
        <v>72680610.170000076</v>
      </c>
      <c r="AN883" s="1831">
        <v>7.9203795977868363E-2</v>
      </c>
      <c r="AP883" s="1878" t="s">
        <v>307</v>
      </c>
      <c r="AQ883" s="1822" t="s">
        <v>497</v>
      </c>
      <c r="AR883" s="1781" t="s">
        <v>18</v>
      </c>
      <c r="AS883" s="1781">
        <v>2</v>
      </c>
      <c r="AT883" s="1880">
        <v>379152167</v>
      </c>
      <c r="AU883" s="1909">
        <v>0.24199999999999999</v>
      </c>
      <c r="AV883" s="1822">
        <v>2007</v>
      </c>
    </row>
    <row r="884" spans="1:48">
      <c r="A884" s="333">
        <f t="shared" si="27"/>
        <v>1900</v>
      </c>
      <c r="B884" s="333">
        <f t="shared" si="28"/>
        <v>1</v>
      </c>
      <c r="AG884" s="1805"/>
      <c r="AI884" s="1781" t="s">
        <v>457</v>
      </c>
      <c r="AJ884" s="1826">
        <v>2017</v>
      </c>
      <c r="AK884" s="1781" t="s">
        <v>386</v>
      </c>
      <c r="AM884" s="1781">
        <v>917640490.24000013</v>
      </c>
      <c r="AP884" s="1878" t="s">
        <v>307</v>
      </c>
      <c r="AQ884" s="1822" t="s">
        <v>497</v>
      </c>
      <c r="AR884" s="1781" t="s">
        <v>24</v>
      </c>
      <c r="AS884" s="1781">
        <v>3</v>
      </c>
      <c r="AT884" s="1880">
        <v>268983201</v>
      </c>
      <c r="AU884" s="1909">
        <v>0.17199999999999999</v>
      </c>
      <c r="AV884" s="1822">
        <v>2007</v>
      </c>
    </row>
    <row r="885" spans="1:48">
      <c r="A885" s="333">
        <f t="shared" si="27"/>
        <v>1900</v>
      </c>
      <c r="B885" s="333">
        <f t="shared" si="28"/>
        <v>1</v>
      </c>
      <c r="AG885" s="1805"/>
      <c r="AI885" s="1781" t="s">
        <v>307</v>
      </c>
      <c r="AJ885" s="1826">
        <v>2017</v>
      </c>
      <c r="AK885" s="1781" t="s">
        <v>18</v>
      </c>
      <c r="AL885" s="1781">
        <v>1</v>
      </c>
      <c r="AM885" s="1781">
        <v>911567422.16099977</v>
      </c>
      <c r="AN885" s="1831">
        <v>0.25984922915411907</v>
      </c>
      <c r="AP885" s="1878" t="s">
        <v>307</v>
      </c>
      <c r="AQ885" s="1822" t="s">
        <v>497</v>
      </c>
      <c r="AR885" s="1781" t="s">
        <v>23</v>
      </c>
      <c r="AS885" s="1781">
        <v>4</v>
      </c>
      <c r="AT885" s="1880">
        <v>254992821</v>
      </c>
      <c r="AU885" s="1909">
        <v>0.16300000000000001</v>
      </c>
      <c r="AV885" s="1822">
        <v>2007</v>
      </c>
    </row>
    <row r="886" spans="1:48">
      <c r="A886" s="333">
        <f t="shared" si="27"/>
        <v>1900</v>
      </c>
      <c r="B886" s="333">
        <f t="shared" si="28"/>
        <v>1</v>
      </c>
      <c r="AI886" s="1781" t="s">
        <v>307</v>
      </c>
      <c r="AJ886" s="1826">
        <v>2017</v>
      </c>
      <c r="AK886" s="1781" t="s">
        <v>69</v>
      </c>
      <c r="AL886" s="1781">
        <v>2</v>
      </c>
      <c r="AM886" s="1781">
        <v>900882864.80999994</v>
      </c>
      <c r="AN886" s="1831">
        <v>0.25680351479003122</v>
      </c>
      <c r="AP886" s="1878" t="s">
        <v>307</v>
      </c>
      <c r="AQ886" s="1822" t="s">
        <v>497</v>
      </c>
      <c r="AR886" s="1781" t="s">
        <v>69</v>
      </c>
      <c r="AS886" s="1781">
        <v>5</v>
      </c>
      <c r="AT886" s="1880">
        <v>55307683</v>
      </c>
      <c r="AU886" s="1909">
        <v>3.5000000000000003E-2</v>
      </c>
      <c r="AV886" s="1822">
        <v>2007</v>
      </c>
    </row>
    <row r="887" spans="1:48">
      <c r="A887" s="333">
        <f t="shared" si="27"/>
        <v>1900</v>
      </c>
      <c r="B887" s="333">
        <f t="shared" si="28"/>
        <v>1</v>
      </c>
      <c r="AI887" s="1781" t="s">
        <v>307</v>
      </c>
      <c r="AJ887" s="1826">
        <v>2017</v>
      </c>
      <c r="AK887" s="1671" t="s">
        <v>24</v>
      </c>
      <c r="AL887" s="1781">
        <v>3</v>
      </c>
      <c r="AM887" s="1781">
        <v>745675037.17999983</v>
      </c>
      <c r="AN887" s="1831">
        <v>0.21256034265830734</v>
      </c>
      <c r="AP887" s="1878" t="s">
        <v>307</v>
      </c>
      <c r="AQ887" s="1822" t="s">
        <v>497</v>
      </c>
      <c r="AR887" s="1781" t="s">
        <v>33</v>
      </c>
      <c r="AS887" s="1781">
        <v>6</v>
      </c>
      <c r="AT887" s="1880">
        <v>48328777</v>
      </c>
      <c r="AU887" s="1909">
        <v>3.1E-2</v>
      </c>
      <c r="AV887" s="1822">
        <v>2007</v>
      </c>
    </row>
    <row r="888" spans="1:48">
      <c r="A888" s="333">
        <f t="shared" si="27"/>
        <v>1900</v>
      </c>
      <c r="B888" s="333">
        <f t="shared" si="28"/>
        <v>1</v>
      </c>
      <c r="AG888" s="1805"/>
      <c r="AI888" s="1781" t="s">
        <v>307</v>
      </c>
      <c r="AJ888" s="1826">
        <v>2017</v>
      </c>
      <c r="AK888" s="1671" t="s">
        <v>58</v>
      </c>
      <c r="AL888" s="1781">
        <v>4</v>
      </c>
      <c r="AM888" s="1781">
        <v>337072844.76999998</v>
      </c>
      <c r="AN888" s="1831">
        <v>9.608517894883789E-2</v>
      </c>
      <c r="AP888" s="1878" t="s">
        <v>307</v>
      </c>
      <c r="AQ888" s="1822" t="s">
        <v>497</v>
      </c>
      <c r="AR888" s="1781" t="s">
        <v>54</v>
      </c>
      <c r="AS888" s="1781">
        <v>7</v>
      </c>
      <c r="AT888" s="1880">
        <v>35640758</v>
      </c>
      <c r="AU888" s="1909">
        <v>2.3E-2</v>
      </c>
      <c r="AV888" s="1822">
        <v>2007</v>
      </c>
    </row>
    <row r="889" spans="1:48">
      <c r="A889" s="333">
        <f t="shared" si="27"/>
        <v>1900</v>
      </c>
      <c r="B889" s="333">
        <f t="shared" si="28"/>
        <v>1</v>
      </c>
      <c r="AG889" s="1805"/>
      <c r="AI889" s="1781" t="s">
        <v>307</v>
      </c>
      <c r="AJ889" s="1826">
        <v>2017</v>
      </c>
      <c r="AK889" s="1781" t="s">
        <v>23</v>
      </c>
      <c r="AL889" s="1781">
        <v>5</v>
      </c>
      <c r="AM889" s="1781">
        <v>331428242.59000003</v>
      </c>
      <c r="AN889" s="1831">
        <v>9.4476142151672063E-2</v>
      </c>
      <c r="AP889" s="1878" t="s">
        <v>307</v>
      </c>
      <c r="AQ889" s="1822" t="s">
        <v>497</v>
      </c>
      <c r="AR889" s="1781" t="s">
        <v>32</v>
      </c>
      <c r="AS889" s="1781">
        <v>8</v>
      </c>
      <c r="AT889" s="1880">
        <v>14639640</v>
      </c>
      <c r="AU889" s="1909">
        <v>8.9999999999999993E-3</v>
      </c>
      <c r="AV889" s="1822">
        <v>2007</v>
      </c>
    </row>
    <row r="890" spans="1:48">
      <c r="A890" s="333">
        <f t="shared" si="27"/>
        <v>1900</v>
      </c>
      <c r="B890" s="333">
        <f t="shared" si="28"/>
        <v>1</v>
      </c>
      <c r="AG890" s="1805"/>
      <c r="AI890" s="1781" t="s">
        <v>307</v>
      </c>
      <c r="AJ890" s="1826">
        <v>2017</v>
      </c>
      <c r="AK890" s="1781" t="s">
        <v>21</v>
      </c>
      <c r="AL890" s="1781">
        <v>6</v>
      </c>
      <c r="AM890" s="1781">
        <v>245558032.97999999</v>
      </c>
      <c r="AN890" s="1831">
        <v>6.9998185577089492E-2</v>
      </c>
      <c r="AP890" s="1878" t="s">
        <v>307</v>
      </c>
      <c r="AQ890" s="1822" t="s">
        <v>497</v>
      </c>
      <c r="AR890" s="1781" t="s">
        <v>56</v>
      </c>
      <c r="AS890" s="1781">
        <v>9</v>
      </c>
      <c r="AT890" s="1880">
        <v>14456853</v>
      </c>
      <c r="AU890" s="1909">
        <v>8.9999999999999993E-3</v>
      </c>
      <c r="AV890" s="1822">
        <v>2007</v>
      </c>
    </row>
    <row r="891" spans="1:48">
      <c r="A891" s="333">
        <f t="shared" si="27"/>
        <v>1900</v>
      </c>
      <c r="B891" s="333">
        <f t="shared" si="28"/>
        <v>1</v>
      </c>
      <c r="AI891" s="1781" t="s">
        <v>307</v>
      </c>
      <c r="AJ891" s="1826">
        <v>2017</v>
      </c>
      <c r="AK891" s="1781" t="s">
        <v>54</v>
      </c>
      <c r="AL891" s="1781">
        <v>7</v>
      </c>
      <c r="AM891" s="1781">
        <v>35878385.359999999</v>
      </c>
      <c r="AN891" s="1831">
        <v>1.0227406719942893E-2</v>
      </c>
      <c r="AP891" s="1878" t="s">
        <v>307</v>
      </c>
      <c r="AQ891" s="1822" t="s">
        <v>497</v>
      </c>
      <c r="AR891" s="1781" t="s">
        <v>758</v>
      </c>
      <c r="AS891" s="1781">
        <v>10</v>
      </c>
      <c r="AT891" s="1880">
        <v>1700</v>
      </c>
      <c r="AU891" s="1909">
        <v>0</v>
      </c>
      <c r="AV891" s="1822">
        <v>2007</v>
      </c>
    </row>
    <row r="892" spans="1:48">
      <c r="A892" s="333">
        <f t="shared" si="27"/>
        <v>1900</v>
      </c>
      <c r="B892" s="333">
        <f t="shared" si="28"/>
        <v>1</v>
      </c>
      <c r="AI892" s="1781" t="s">
        <v>307</v>
      </c>
      <c r="AJ892" s="1826">
        <v>2017</v>
      </c>
      <c r="AK892" s="1781" t="s">
        <v>547</v>
      </c>
      <c r="AL892" s="1781">
        <v>8</v>
      </c>
      <c r="AN892" s="1781"/>
      <c r="AP892" s="1878" t="s">
        <v>307</v>
      </c>
      <c r="AQ892" s="1822" t="s">
        <v>497</v>
      </c>
      <c r="AR892" s="1781" t="s">
        <v>39</v>
      </c>
      <c r="AT892" s="1781" t="s">
        <v>518</v>
      </c>
      <c r="AU892" s="1909">
        <v>0</v>
      </c>
      <c r="AV892" s="1822">
        <v>2007</v>
      </c>
    </row>
    <row r="893" spans="1:48">
      <c r="A893" s="333">
        <f t="shared" si="27"/>
        <v>1900</v>
      </c>
      <c r="B893" s="333">
        <f t="shared" si="28"/>
        <v>1</v>
      </c>
      <c r="AI893" s="1781" t="s">
        <v>307</v>
      </c>
      <c r="AJ893" s="1826">
        <v>2017</v>
      </c>
      <c r="AK893" s="1781" t="s">
        <v>547</v>
      </c>
      <c r="AL893" s="1781">
        <v>9</v>
      </c>
      <c r="AN893" s="1781"/>
      <c r="AP893" s="1878" t="s">
        <v>307</v>
      </c>
      <c r="AQ893" s="1822" t="s">
        <v>497</v>
      </c>
      <c r="AR893" s="1781" t="s">
        <v>386</v>
      </c>
      <c r="AT893" s="1880">
        <v>1564950612</v>
      </c>
      <c r="AV893" s="1822">
        <v>2007</v>
      </c>
    </row>
    <row r="894" spans="1:48">
      <c r="A894" s="333">
        <f t="shared" si="27"/>
        <v>1900</v>
      </c>
      <c r="B894" s="333">
        <f t="shared" si="28"/>
        <v>1</v>
      </c>
      <c r="AI894" s="1781" t="s">
        <v>307</v>
      </c>
      <c r="AJ894" s="1826">
        <v>2017</v>
      </c>
      <c r="AK894" s="1781" t="s">
        <v>547</v>
      </c>
      <c r="AL894" s="1781">
        <v>10</v>
      </c>
      <c r="AN894" s="1781"/>
      <c r="AP894" s="1878" t="s">
        <v>0</v>
      </c>
      <c r="AQ894" s="1822" t="s">
        <v>535</v>
      </c>
      <c r="AR894" s="1781" t="s">
        <v>34</v>
      </c>
      <c r="AS894" s="1781">
        <v>1</v>
      </c>
      <c r="AT894" s="1880">
        <v>1206670597.75</v>
      </c>
      <c r="AU894" s="1909">
        <v>0.22664407779028015</v>
      </c>
      <c r="AV894" s="1822">
        <v>2016</v>
      </c>
    </row>
    <row r="895" spans="1:48">
      <c r="A895" s="333">
        <f t="shared" si="27"/>
        <v>1900</v>
      </c>
      <c r="B895" s="333">
        <f t="shared" si="28"/>
        <v>1</v>
      </c>
      <c r="AI895" s="1781" t="s">
        <v>307</v>
      </c>
      <c r="AJ895" s="1826">
        <v>2017</v>
      </c>
      <c r="AK895" s="1781" t="s">
        <v>39</v>
      </c>
      <c r="AN895" s="1781"/>
      <c r="AP895" s="1781" t="s">
        <v>0</v>
      </c>
      <c r="AQ895" s="1822" t="s">
        <v>535</v>
      </c>
      <c r="AR895" s="1781" t="s">
        <v>17</v>
      </c>
      <c r="AS895" s="1781">
        <v>2</v>
      </c>
      <c r="AT895" s="1880">
        <v>764304801.37</v>
      </c>
      <c r="AU895" s="1909">
        <v>0.14355629214815424</v>
      </c>
      <c r="AV895" s="1822">
        <v>2016</v>
      </c>
    </row>
    <row r="896" spans="1:48">
      <c r="A896" s="333">
        <f t="shared" si="27"/>
        <v>1900</v>
      </c>
      <c r="B896" s="333">
        <f t="shared" si="28"/>
        <v>1</v>
      </c>
      <c r="Y896" s="492"/>
      <c r="Z896" s="492"/>
      <c r="AI896" s="1781" t="s">
        <v>307</v>
      </c>
      <c r="AJ896" s="1826">
        <v>2017</v>
      </c>
      <c r="AK896" s="1781" t="s">
        <v>386</v>
      </c>
      <c r="AM896" s="1781">
        <v>3508062829.8509998</v>
      </c>
      <c r="AP896" s="1781" t="s">
        <v>0</v>
      </c>
      <c r="AQ896" s="1822" t="s">
        <v>535</v>
      </c>
      <c r="AR896" s="1781" t="s">
        <v>21</v>
      </c>
      <c r="AS896" s="1781">
        <v>3</v>
      </c>
      <c r="AT896" s="1880">
        <v>459909051.93999994</v>
      </c>
      <c r="AU896" s="1909">
        <v>8.6382864668041792E-2</v>
      </c>
      <c r="AV896" s="1822">
        <v>2016</v>
      </c>
    </row>
    <row r="897" spans="1:58">
      <c r="A897" s="333">
        <f t="shared" si="27"/>
        <v>1900</v>
      </c>
      <c r="B897" s="333">
        <f t="shared" si="28"/>
        <v>1</v>
      </c>
      <c r="Z897" s="451"/>
      <c r="AI897" s="1822" t="s">
        <v>2</v>
      </c>
      <c r="AJ897" s="1827">
        <v>2017</v>
      </c>
      <c r="AK897" s="1781" t="s">
        <v>541</v>
      </c>
      <c r="AL897" s="1781">
        <v>1</v>
      </c>
      <c r="AM897" s="1781">
        <v>51318527000</v>
      </c>
      <c r="AN897" s="1831">
        <v>0.81901062814891057</v>
      </c>
      <c r="AP897" s="1781" t="s">
        <v>0</v>
      </c>
      <c r="AQ897" s="1822" t="s">
        <v>535</v>
      </c>
      <c r="AR897" s="1781" t="s">
        <v>26</v>
      </c>
      <c r="AS897" s="1781">
        <v>4</v>
      </c>
      <c r="AT897" s="1880">
        <v>435985698.21000004</v>
      </c>
      <c r="AU897" s="1909">
        <v>8.1889437502503243E-2</v>
      </c>
      <c r="AV897" s="1822">
        <v>2016</v>
      </c>
    </row>
    <row r="898" spans="1:58">
      <c r="A898" s="333">
        <f t="shared" si="27"/>
        <v>1900</v>
      </c>
      <c r="B898" s="333">
        <f t="shared" si="28"/>
        <v>1</v>
      </c>
      <c r="Z898" s="451"/>
      <c r="AI898" s="1822" t="s">
        <v>2</v>
      </c>
      <c r="AJ898" s="1827">
        <v>2017</v>
      </c>
      <c r="AK898" s="1781" t="s">
        <v>542</v>
      </c>
      <c r="AL898" s="1781">
        <v>2</v>
      </c>
      <c r="AM898" s="1781">
        <v>5538714000</v>
      </c>
      <c r="AN898" s="1831">
        <v>8.8394307036076175E-2</v>
      </c>
      <c r="AP898" s="1781" t="s">
        <v>0</v>
      </c>
      <c r="AQ898" s="1822" t="s">
        <v>535</v>
      </c>
      <c r="AR898" s="1781" t="s">
        <v>32</v>
      </c>
      <c r="AS898" s="1781">
        <v>5</v>
      </c>
      <c r="AT898" s="1880">
        <v>420447297.48000008</v>
      </c>
      <c r="AU898" s="1909">
        <v>7.8970922283558398E-2</v>
      </c>
      <c r="AV898" s="1822">
        <v>2016</v>
      </c>
    </row>
    <row r="899" spans="1:58">
      <c r="A899" s="333">
        <f t="shared" si="27"/>
        <v>1900</v>
      </c>
      <c r="B899" s="333">
        <f t="shared" si="28"/>
        <v>1</v>
      </c>
      <c r="AI899" s="1822" t="s">
        <v>2</v>
      </c>
      <c r="AJ899" s="1827">
        <v>2017</v>
      </c>
      <c r="AK899" s="1781" t="s">
        <v>543</v>
      </c>
      <c r="AL899" s="1781">
        <v>3</v>
      </c>
      <c r="AM899" s="1781">
        <v>3846110000</v>
      </c>
      <c r="AN899" s="1831">
        <v>6.1381437682921147E-2</v>
      </c>
      <c r="AP899" s="1781" t="s">
        <v>0</v>
      </c>
      <c r="AQ899" s="1822" t="s">
        <v>535</v>
      </c>
      <c r="AR899" s="1781" t="s">
        <v>25</v>
      </c>
      <c r="AS899" s="1781">
        <v>6</v>
      </c>
      <c r="AT899" s="1880">
        <v>418001102.38</v>
      </c>
      <c r="AU899" s="1909">
        <v>7.8511463311434271E-2</v>
      </c>
      <c r="AV899" s="1822">
        <v>2016</v>
      </c>
    </row>
    <row r="900" spans="1:58">
      <c r="A900" s="333">
        <f t="shared" si="27"/>
        <v>1900</v>
      </c>
      <c r="B900" s="333">
        <f t="shared" si="28"/>
        <v>1</v>
      </c>
      <c r="AI900" s="1822" t="s">
        <v>2</v>
      </c>
      <c r="AJ900" s="1827">
        <v>2017</v>
      </c>
      <c r="AK900" s="1781" t="s">
        <v>760</v>
      </c>
      <c r="AL900" s="1781">
        <v>4</v>
      </c>
      <c r="AM900" s="1781">
        <v>1392116000</v>
      </c>
      <c r="AN900" s="1831">
        <v>2.2217274467292266E-2</v>
      </c>
      <c r="AP900" s="1781" t="s">
        <v>0</v>
      </c>
      <c r="AQ900" s="1822" t="s">
        <v>535</v>
      </c>
      <c r="AR900" s="1781" t="s">
        <v>18</v>
      </c>
      <c r="AS900" s="1781">
        <v>7</v>
      </c>
      <c r="AT900" s="1880">
        <v>299086580.08999997</v>
      </c>
      <c r="AU900" s="1909">
        <v>5.6176227588824429E-2</v>
      </c>
      <c r="AV900" s="1822">
        <v>2016</v>
      </c>
    </row>
    <row r="901" spans="1:58">
      <c r="A901" s="333">
        <f t="shared" si="27"/>
        <v>1900</v>
      </c>
      <c r="B901" s="333">
        <f t="shared" si="28"/>
        <v>1</v>
      </c>
      <c r="AI901" s="1822" t="s">
        <v>2</v>
      </c>
      <c r="AJ901" s="1827">
        <v>2017</v>
      </c>
      <c r="AK901" s="1781" t="s">
        <v>544</v>
      </c>
      <c r="AL901" s="1781">
        <v>5</v>
      </c>
      <c r="AM901" s="1781">
        <v>280831000</v>
      </c>
      <c r="AN901" s="1831">
        <v>4.4818818301952954E-3</v>
      </c>
      <c r="AP901" s="1781" t="s">
        <v>0</v>
      </c>
      <c r="AQ901" s="1822" t="s">
        <v>535</v>
      </c>
      <c r="AR901" s="1781" t="s">
        <v>387</v>
      </c>
      <c r="AS901" s="1781">
        <v>8</v>
      </c>
      <c r="AT901" s="1880">
        <v>240535269.83999997</v>
      </c>
      <c r="AU901" s="1909">
        <v>4.5178770834870111E-2</v>
      </c>
      <c r="AV901" s="1822">
        <v>2016</v>
      </c>
    </row>
    <row r="902" spans="1:58">
      <c r="A902" s="333">
        <f t="shared" si="27"/>
        <v>1900</v>
      </c>
      <c r="B902" s="333">
        <f t="shared" si="28"/>
        <v>1</v>
      </c>
      <c r="Z902" s="460"/>
      <c r="AI902" s="1822" t="s">
        <v>2</v>
      </c>
      <c r="AJ902" s="1827">
        <v>2017</v>
      </c>
      <c r="AK902" s="1781" t="s">
        <v>39</v>
      </c>
      <c r="AM902" s="1781">
        <v>282873000</v>
      </c>
      <c r="AN902" s="1831">
        <v>4.5144708346045621E-3</v>
      </c>
      <c r="AP902" s="1781" t="s">
        <v>0</v>
      </c>
      <c r="AQ902" s="1822" t="s">
        <v>535</v>
      </c>
      <c r="AR902" s="1781" t="s">
        <v>22</v>
      </c>
      <c r="AS902" s="1781">
        <v>9</v>
      </c>
      <c r="AT902" s="1880">
        <v>204660764.86999997</v>
      </c>
      <c r="AU902" s="1909">
        <v>3.8440607072307786E-2</v>
      </c>
      <c r="AV902" s="1822">
        <v>2016</v>
      </c>
    </row>
    <row r="903" spans="1:58">
      <c r="A903" s="333">
        <f t="shared" si="27"/>
        <v>1900</v>
      </c>
      <c r="B903" s="333">
        <f t="shared" si="28"/>
        <v>1</v>
      </c>
      <c r="N903" s="633"/>
      <c r="AI903" s="1822" t="s">
        <v>2</v>
      </c>
      <c r="AJ903" s="1827">
        <v>2017</v>
      </c>
      <c r="AK903" s="1822" t="s">
        <v>114</v>
      </c>
      <c r="AM903" s="1781">
        <v>62659171000</v>
      </c>
      <c r="AP903" s="1781" t="s">
        <v>0</v>
      </c>
      <c r="AQ903" s="1822" t="s">
        <v>535</v>
      </c>
      <c r="AR903" s="1781" t="s">
        <v>29</v>
      </c>
      <c r="AS903" s="1781">
        <v>10</v>
      </c>
      <c r="AT903" s="1880">
        <v>170293338.83000001</v>
      </c>
      <c r="AU903" s="1909">
        <v>3.1985511874508633E-2</v>
      </c>
      <c r="AV903" s="1822">
        <v>2016</v>
      </c>
    </row>
    <row r="904" spans="1:58">
      <c r="A904" s="333">
        <f t="shared" si="27"/>
        <v>1900</v>
      </c>
      <c r="B904" s="333">
        <f t="shared" si="28"/>
        <v>1</v>
      </c>
      <c r="O904" s="633"/>
      <c r="AI904" s="1781" t="s">
        <v>1</v>
      </c>
      <c r="AJ904" s="1826">
        <v>2017</v>
      </c>
      <c r="AK904" s="1781" t="s">
        <v>530</v>
      </c>
      <c r="AL904" s="1781">
        <v>1</v>
      </c>
      <c r="AM904" s="1781">
        <v>9571487000</v>
      </c>
      <c r="AN904" s="1831">
        <v>0.59511152970388692</v>
      </c>
      <c r="AP904" s="1781" t="s">
        <v>0</v>
      </c>
      <c r="AQ904" s="1822" t="s">
        <v>535</v>
      </c>
      <c r="AR904" s="1781" t="s">
        <v>39</v>
      </c>
      <c r="AT904" s="1880">
        <v>704182832.56999969</v>
      </c>
      <c r="AU904" s="1909">
        <v>0.13226382492551692</v>
      </c>
      <c r="AV904" s="1822">
        <v>2016</v>
      </c>
    </row>
    <row r="905" spans="1:58">
      <c r="A905" s="333">
        <f t="shared" si="27"/>
        <v>1900</v>
      </c>
      <c r="B905" s="333">
        <f t="shared" si="28"/>
        <v>1</v>
      </c>
      <c r="AI905" s="1781" t="s">
        <v>1</v>
      </c>
      <c r="AJ905" s="1826">
        <v>2017</v>
      </c>
      <c r="AK905" s="1781" t="s">
        <v>63</v>
      </c>
      <c r="AL905" s="1781">
        <v>2</v>
      </c>
      <c r="AM905" s="1781">
        <v>2793864000</v>
      </c>
      <c r="AN905" s="1831">
        <v>0.17370975678331071</v>
      </c>
      <c r="AP905" s="1781" t="s">
        <v>0</v>
      </c>
      <c r="AQ905" s="1822" t="s">
        <v>535</v>
      </c>
      <c r="AR905" s="1781" t="s">
        <v>386</v>
      </c>
      <c r="AT905" s="1880">
        <v>5324077335.3299999</v>
      </c>
      <c r="AV905" s="1822">
        <v>2016</v>
      </c>
      <c r="BF905" s="1807"/>
    </row>
    <row r="906" spans="1:58">
      <c r="A906" s="333">
        <f t="shared" ref="A906:A969" si="29">YEAR(C906)</f>
        <v>1900</v>
      </c>
      <c r="B906" s="333">
        <f t="shared" ref="B906:B969" si="30">IF(OR(MONTH(C906)=1,MONTH(C906)=2,MONTH(C906)=3),1,IF(OR(MONTH(C906)=4,MONTH(C906)=5,MONTH(C906)=6),2,IF(OR(MONTH(C906)=7,MONTH(C906)=8,MONTH(C906)=9),3,4)))</f>
        <v>1</v>
      </c>
      <c r="AI906" s="1781" t="s">
        <v>1</v>
      </c>
      <c r="AJ906" s="1826">
        <v>2017</v>
      </c>
      <c r="AK906" s="1781" t="s">
        <v>33</v>
      </c>
      <c r="AL906" s="1781">
        <v>3</v>
      </c>
      <c r="AM906" s="1781">
        <v>941625000</v>
      </c>
      <c r="AN906" s="1831">
        <v>5.8545959907527693E-2</v>
      </c>
      <c r="AP906" s="1781" t="s">
        <v>3</v>
      </c>
      <c r="AQ906" s="1822" t="s">
        <v>535</v>
      </c>
      <c r="AR906" s="1781" t="s">
        <v>537</v>
      </c>
      <c r="AS906" s="1781">
        <v>1</v>
      </c>
      <c r="AT906" s="1910">
        <v>458833709.91362566</v>
      </c>
      <c r="AU906" s="1831">
        <v>0.2652486150278881</v>
      </c>
      <c r="AV906" s="1822">
        <v>2016</v>
      </c>
    </row>
    <row r="907" spans="1:58">
      <c r="A907" s="333">
        <f t="shared" si="29"/>
        <v>1900</v>
      </c>
      <c r="B907" s="333">
        <f t="shared" si="30"/>
        <v>1</v>
      </c>
      <c r="Y907" s="451"/>
      <c r="AI907" s="1781" t="s">
        <v>1</v>
      </c>
      <c r="AJ907" s="1826">
        <v>2017</v>
      </c>
      <c r="AK907" s="1781" t="s">
        <v>71</v>
      </c>
      <c r="AL907" s="1781">
        <v>4</v>
      </c>
      <c r="AM907" s="1781">
        <v>896500000</v>
      </c>
      <c r="AN907" s="1831">
        <v>5.5740292639956009E-2</v>
      </c>
      <c r="AP907" s="1781" t="s">
        <v>3</v>
      </c>
      <c r="AQ907" s="1822" t="s">
        <v>535</v>
      </c>
      <c r="AR907" s="1781" t="s">
        <v>18</v>
      </c>
      <c r="AS907" s="1781">
        <v>2</v>
      </c>
      <c r="AT907" s="1910">
        <v>447484057.32489848</v>
      </c>
      <c r="AU907" s="1831">
        <v>0.25868745885046973</v>
      </c>
      <c r="AV907" s="1822">
        <v>2016</v>
      </c>
    </row>
    <row r="908" spans="1:58">
      <c r="A908" s="333">
        <f t="shared" si="29"/>
        <v>1900</v>
      </c>
      <c r="B908" s="333">
        <f t="shared" si="30"/>
        <v>1</v>
      </c>
      <c r="N908" s="633"/>
      <c r="Y908" s="451"/>
      <c r="AI908" s="1781" t="s">
        <v>1</v>
      </c>
      <c r="AJ908" s="1826">
        <v>2017</v>
      </c>
      <c r="AK908" s="1781" t="s">
        <v>61</v>
      </c>
      <c r="AL908" s="1781">
        <v>5</v>
      </c>
      <c r="AM908" s="1781">
        <v>775645000</v>
      </c>
      <c r="AN908" s="1831">
        <v>4.8226078399016929E-2</v>
      </c>
      <c r="AP908" s="1781" t="s">
        <v>3</v>
      </c>
      <c r="AQ908" s="1822" t="s">
        <v>535</v>
      </c>
      <c r="AR908" s="1781" t="s">
        <v>25</v>
      </c>
      <c r="AS908" s="1781">
        <v>3</v>
      </c>
      <c r="AT908" s="1910">
        <v>252748675.40000007</v>
      </c>
      <c r="AU908" s="1831">
        <v>0.14611227259785167</v>
      </c>
      <c r="AV908" s="1822">
        <v>2016</v>
      </c>
    </row>
    <row r="909" spans="1:58">
      <c r="A909" s="333">
        <f t="shared" si="29"/>
        <v>1900</v>
      </c>
      <c r="B909" s="333">
        <f t="shared" si="30"/>
        <v>1</v>
      </c>
      <c r="AI909" s="1781" t="s">
        <v>1</v>
      </c>
      <c r="AJ909" s="1826">
        <v>2017</v>
      </c>
      <c r="AK909" s="1781" t="s">
        <v>21</v>
      </c>
      <c r="AL909" s="1781">
        <v>6</v>
      </c>
      <c r="AM909" s="1781">
        <v>688382000</v>
      </c>
      <c r="AN909" s="1831">
        <v>4.280046193873753E-2</v>
      </c>
      <c r="AP909" s="1781" t="s">
        <v>3</v>
      </c>
      <c r="AQ909" s="1822" t="s">
        <v>535</v>
      </c>
      <c r="AR909" s="1781" t="s">
        <v>23</v>
      </c>
      <c r="AS909" s="1781">
        <v>4</v>
      </c>
      <c r="AT909" s="1910">
        <v>204876484.44739115</v>
      </c>
      <c r="AU909" s="1831">
        <v>0.11843768794076427</v>
      </c>
      <c r="AV909" s="1822">
        <v>2016</v>
      </c>
      <c r="BC909" s="1808"/>
    </row>
    <row r="910" spans="1:58">
      <c r="A910" s="333">
        <f t="shared" si="29"/>
        <v>1900</v>
      </c>
      <c r="B910" s="333">
        <f t="shared" si="30"/>
        <v>1</v>
      </c>
      <c r="AI910" s="1781" t="s">
        <v>1</v>
      </c>
      <c r="AJ910" s="1826">
        <v>2017</v>
      </c>
      <c r="AK910" s="1781" t="s">
        <v>371</v>
      </c>
      <c r="AL910" s="1781">
        <v>7</v>
      </c>
      <c r="AM910" s="1781">
        <v>184030000</v>
      </c>
      <c r="AN910" s="1831">
        <v>1.1442148415539435E-2</v>
      </c>
      <c r="AP910" s="1781" t="s">
        <v>3</v>
      </c>
      <c r="AQ910" s="1822" t="s">
        <v>535</v>
      </c>
      <c r="AR910" s="1781" t="s">
        <v>24</v>
      </c>
      <c r="AS910" s="1781">
        <v>5</v>
      </c>
      <c r="AT910" s="1910">
        <v>174954118.66999999</v>
      </c>
      <c r="AU910" s="1831">
        <v>0.1011397738831747</v>
      </c>
      <c r="AV910" s="1822">
        <v>2016</v>
      </c>
    </row>
    <row r="911" spans="1:58">
      <c r="A911" s="333">
        <f t="shared" si="29"/>
        <v>1900</v>
      </c>
      <c r="B911" s="333">
        <f t="shared" si="30"/>
        <v>1</v>
      </c>
      <c r="AI911" s="1781" t="s">
        <v>1</v>
      </c>
      <c r="AJ911" s="1826">
        <v>2017</v>
      </c>
      <c r="AK911" s="1781" t="s">
        <v>372</v>
      </c>
      <c r="AL911" s="1781">
        <v>8</v>
      </c>
      <c r="AM911" s="1781">
        <v>93296000</v>
      </c>
      <c r="AN911" s="1831">
        <v>5.8007209616702015E-3</v>
      </c>
      <c r="AP911" s="1781" t="s">
        <v>3</v>
      </c>
      <c r="AQ911" s="1822" t="s">
        <v>535</v>
      </c>
      <c r="AR911" s="1781" t="s">
        <v>61</v>
      </c>
      <c r="AS911" s="1781">
        <v>6</v>
      </c>
      <c r="AT911" s="1910">
        <v>66386132.079999998</v>
      </c>
      <c r="AU911" s="1831">
        <v>3.8377366812462996E-2</v>
      </c>
      <c r="AV911" s="1822">
        <v>2016</v>
      </c>
    </row>
    <row r="912" spans="1:58">
      <c r="A912" s="333">
        <f t="shared" si="29"/>
        <v>1900</v>
      </c>
      <c r="B912" s="333">
        <f t="shared" si="30"/>
        <v>1</v>
      </c>
      <c r="Z912" s="460"/>
      <c r="AA912" s="1918"/>
      <c r="AI912" s="1781" t="s">
        <v>1</v>
      </c>
      <c r="AJ912" s="1826">
        <v>2017</v>
      </c>
      <c r="AK912" s="1781" t="s">
        <v>758</v>
      </c>
      <c r="AL912" s="1781">
        <v>9</v>
      </c>
      <c r="AM912" s="1781">
        <v>73897000</v>
      </c>
      <c r="AN912" s="1831">
        <v>4.5945793700109643E-3</v>
      </c>
      <c r="AP912" s="1781" t="s">
        <v>3</v>
      </c>
      <c r="AQ912" s="1822" t="s">
        <v>535</v>
      </c>
      <c r="AR912" s="1781" t="s">
        <v>21</v>
      </c>
      <c r="AS912" s="1781">
        <v>7</v>
      </c>
      <c r="AT912" s="1910">
        <v>42736860.600000001</v>
      </c>
      <c r="AU912" s="1831">
        <v>2.4705885465398505E-2</v>
      </c>
      <c r="AV912" s="1822">
        <v>2016</v>
      </c>
    </row>
    <row r="913" spans="1:48">
      <c r="A913" s="333">
        <f t="shared" si="29"/>
        <v>1900</v>
      </c>
      <c r="B913" s="333">
        <f t="shared" si="30"/>
        <v>1</v>
      </c>
      <c r="AI913" s="1781" t="s">
        <v>1</v>
      </c>
      <c r="AJ913" s="1826">
        <v>2017</v>
      </c>
      <c r="AK913" s="1781" t="s">
        <v>58</v>
      </c>
      <c r="AL913" s="1781">
        <v>10</v>
      </c>
      <c r="AM913" s="1781">
        <v>46846000</v>
      </c>
      <c r="AN913" s="1831">
        <v>2.9126712203138643E-3</v>
      </c>
      <c r="AP913" s="1781" t="s">
        <v>3</v>
      </c>
      <c r="AQ913" s="1822" t="s">
        <v>535</v>
      </c>
      <c r="AR913" s="1781" t="s">
        <v>70</v>
      </c>
      <c r="AS913" s="1781">
        <v>8</v>
      </c>
      <c r="AT913" s="1910">
        <v>21667394.889999997</v>
      </c>
      <c r="AU913" s="1831">
        <v>1.2525772107975118E-2</v>
      </c>
      <c r="AV913" s="1822">
        <v>2016</v>
      </c>
    </row>
    <row r="914" spans="1:48">
      <c r="A914" s="333">
        <f t="shared" si="29"/>
        <v>1900</v>
      </c>
      <c r="B914" s="333">
        <f t="shared" si="30"/>
        <v>1</v>
      </c>
      <c r="Y914" s="492"/>
      <c r="Z914" s="492"/>
      <c r="AI914" s="1781" t="s">
        <v>1</v>
      </c>
      <c r="AJ914" s="1826">
        <v>2017</v>
      </c>
      <c r="AK914" s="1781" t="s">
        <v>39</v>
      </c>
      <c r="AM914" s="1781">
        <v>17946000</v>
      </c>
      <c r="AN914" s="1831">
        <v>1.1158006600297274E-3</v>
      </c>
      <c r="AP914" s="1781" t="s">
        <v>3</v>
      </c>
      <c r="AQ914" s="1822" t="s">
        <v>535</v>
      </c>
      <c r="AR914" s="1781" t="s">
        <v>758</v>
      </c>
      <c r="AS914" s="1781">
        <v>9</v>
      </c>
      <c r="AT914" s="1910">
        <v>17495681.730000004</v>
      </c>
      <c r="AU914" s="1831">
        <v>1.0114133394263529E-2</v>
      </c>
      <c r="AV914" s="1822">
        <v>2016</v>
      </c>
    </row>
    <row r="915" spans="1:48">
      <c r="A915" s="333">
        <f t="shared" si="29"/>
        <v>1900</v>
      </c>
      <c r="B915" s="333">
        <f t="shared" si="30"/>
        <v>1</v>
      </c>
      <c r="AI915" s="1781" t="s">
        <v>1</v>
      </c>
      <c r="AJ915" s="1826">
        <v>2017</v>
      </c>
      <c r="AK915" s="1781" t="s">
        <v>114</v>
      </c>
      <c r="AM915" s="1781">
        <v>16083518000</v>
      </c>
      <c r="AP915" s="1781" t="s">
        <v>3</v>
      </c>
      <c r="AQ915" s="1822" t="s">
        <v>535</v>
      </c>
      <c r="AR915" s="1781" t="s">
        <v>27</v>
      </c>
      <c r="AS915" s="1781">
        <v>10</v>
      </c>
      <c r="AT915" s="1910">
        <v>17101124.370000001</v>
      </c>
      <c r="AU915" s="1831">
        <v>9.8860424954741576E-3</v>
      </c>
      <c r="AV915" s="1822">
        <v>2016</v>
      </c>
    </row>
    <row r="916" spans="1:48">
      <c r="A916" s="333">
        <f t="shared" si="29"/>
        <v>1900</v>
      </c>
      <c r="B916" s="333">
        <f t="shared" si="30"/>
        <v>1</v>
      </c>
      <c r="AI916" s="1878" t="s">
        <v>533</v>
      </c>
      <c r="AJ916" s="1827">
        <v>2017</v>
      </c>
      <c r="AM916" s="1781">
        <v>1835050789.6100001</v>
      </c>
      <c r="AP916" s="1781" t="s">
        <v>3</v>
      </c>
      <c r="AQ916" s="1822" t="s">
        <v>535</v>
      </c>
      <c r="AR916" s="1781" t="s">
        <v>39</v>
      </c>
      <c r="AT916" s="1910">
        <v>27796913.080000162</v>
      </c>
      <c r="AU916" s="1831">
        <v>1.6069204457337272E-2</v>
      </c>
      <c r="AV916" s="1822">
        <v>2016</v>
      </c>
    </row>
    <row r="917" spans="1:48">
      <c r="A917" s="333">
        <f t="shared" si="29"/>
        <v>1900</v>
      </c>
      <c r="B917" s="333">
        <f t="shared" si="30"/>
        <v>1</v>
      </c>
      <c r="AI917" s="1671" t="s">
        <v>4</v>
      </c>
      <c r="AJ917" s="1826">
        <v>2017</v>
      </c>
      <c r="AK917" s="1781" t="s">
        <v>23</v>
      </c>
      <c r="AL917" s="1781">
        <v>1</v>
      </c>
      <c r="AM917" s="1781">
        <v>9881228816.7434959</v>
      </c>
      <c r="AN917" s="1831">
        <v>0.50389426630022627</v>
      </c>
      <c r="AP917" s="1781" t="s">
        <v>3</v>
      </c>
      <c r="AQ917" s="1822" t="s">
        <v>535</v>
      </c>
      <c r="AR917" s="1822" t="s">
        <v>386</v>
      </c>
      <c r="AT917" s="1910">
        <v>1729825092.0759158</v>
      </c>
      <c r="AV917" s="1822">
        <v>2016</v>
      </c>
    </row>
    <row r="918" spans="1:48">
      <c r="A918" s="333">
        <f t="shared" si="29"/>
        <v>1900</v>
      </c>
      <c r="B918" s="333">
        <f t="shared" si="30"/>
        <v>1</v>
      </c>
      <c r="AI918" s="1671" t="s">
        <v>4</v>
      </c>
      <c r="AJ918" s="1826">
        <v>2017</v>
      </c>
      <c r="AK918" s="1781" t="s">
        <v>18</v>
      </c>
      <c r="AL918" s="1781">
        <v>2</v>
      </c>
      <c r="AM918" s="1781">
        <v>2256078304.9658995</v>
      </c>
      <c r="AN918" s="1831">
        <v>0.11504894211844671</v>
      </c>
      <c r="AP918" s="1781" t="s">
        <v>457</v>
      </c>
      <c r="AQ918" s="1822" t="s">
        <v>535</v>
      </c>
      <c r="AR918" s="1781" t="s">
        <v>18</v>
      </c>
      <c r="AS918" s="1781">
        <v>1</v>
      </c>
      <c r="AT918" s="1880">
        <v>198802462.11000001</v>
      </c>
      <c r="AU918" s="1909">
        <v>0.24650814024847517</v>
      </c>
      <c r="AV918" s="1822">
        <v>2016</v>
      </c>
    </row>
    <row r="919" spans="1:48">
      <c r="A919" s="333">
        <f t="shared" si="29"/>
        <v>1900</v>
      </c>
      <c r="B919" s="333">
        <f t="shared" si="30"/>
        <v>1</v>
      </c>
      <c r="M919" s="1683"/>
      <c r="N919" s="633"/>
      <c r="O919" s="633"/>
      <c r="AI919" s="1671" t="s">
        <v>4</v>
      </c>
      <c r="AJ919" s="1826">
        <v>2017</v>
      </c>
      <c r="AK919" s="1781" t="s">
        <v>61</v>
      </c>
      <c r="AL919" s="1781">
        <v>3</v>
      </c>
      <c r="AM919" s="1781">
        <v>2091137923.2131004</v>
      </c>
      <c r="AN919" s="1831">
        <v>0.10663779061209015</v>
      </c>
      <c r="AP919" s="1781" t="s">
        <v>457</v>
      </c>
      <c r="AQ919" s="1822" t="s">
        <v>535</v>
      </c>
      <c r="AR919" s="1781" t="s">
        <v>63</v>
      </c>
      <c r="AS919" s="1781">
        <v>2</v>
      </c>
      <c r="AT919" s="1880">
        <v>93030310.670000002</v>
      </c>
      <c r="AU919" s="1909">
        <v>0.11535435037676041</v>
      </c>
      <c r="AV919" s="1822">
        <v>2016</v>
      </c>
    </row>
    <row r="920" spans="1:48">
      <c r="A920" s="333">
        <f t="shared" si="29"/>
        <v>1900</v>
      </c>
      <c r="B920" s="333">
        <f t="shared" si="30"/>
        <v>1</v>
      </c>
      <c r="M920" s="1683"/>
      <c r="N920" s="633"/>
      <c r="O920" s="633"/>
      <c r="AI920" s="1671" t="s">
        <v>4</v>
      </c>
      <c r="AJ920" s="1826">
        <v>2017</v>
      </c>
      <c r="AK920" s="1781" t="s">
        <v>24</v>
      </c>
      <c r="AL920" s="1781">
        <v>4</v>
      </c>
      <c r="AM920" s="1781">
        <v>1951170878.1304998</v>
      </c>
      <c r="AN920" s="1831">
        <v>9.9500156943633983E-2</v>
      </c>
      <c r="AP920" s="1781" t="s">
        <v>457</v>
      </c>
      <c r="AQ920" s="1822" t="s">
        <v>535</v>
      </c>
      <c r="AR920" s="1781" t="s">
        <v>31</v>
      </c>
      <c r="AS920" s="1781">
        <v>3</v>
      </c>
      <c r="AT920" s="1880">
        <v>89107560.410000011</v>
      </c>
      <c r="AU920" s="1909">
        <v>0.11049027645640437</v>
      </c>
      <c r="AV920" s="1822">
        <v>2016</v>
      </c>
    </row>
    <row r="921" spans="1:48">
      <c r="A921" s="333">
        <f t="shared" si="29"/>
        <v>1900</v>
      </c>
      <c r="B921" s="333">
        <f t="shared" si="30"/>
        <v>1</v>
      </c>
      <c r="M921" s="1683"/>
      <c r="N921" s="633"/>
      <c r="O921" s="633"/>
      <c r="AB921" s="1919"/>
      <c r="AI921" s="1671" t="s">
        <v>4</v>
      </c>
      <c r="AJ921" s="1826">
        <v>2017</v>
      </c>
      <c r="AK921" s="1781" t="s">
        <v>22</v>
      </c>
      <c r="AL921" s="1781">
        <v>5</v>
      </c>
      <c r="AM921" s="1781">
        <v>1371868507.1600001</v>
      </c>
      <c r="AN921" s="1831">
        <v>6.9958573745850711E-2</v>
      </c>
      <c r="AP921" s="1781" t="s">
        <v>457</v>
      </c>
      <c r="AQ921" s="1822" t="s">
        <v>535</v>
      </c>
      <c r="AR921" s="1781" t="s">
        <v>758</v>
      </c>
      <c r="AS921" s="1781">
        <v>4</v>
      </c>
      <c r="AT921" s="1880">
        <v>88731810.769999996</v>
      </c>
      <c r="AU921" s="1909">
        <v>0.1100243599683873</v>
      </c>
      <c r="AV921" s="1822">
        <v>2016</v>
      </c>
    </row>
    <row r="922" spans="1:48">
      <c r="A922" s="333">
        <f t="shared" si="29"/>
        <v>1900</v>
      </c>
      <c r="B922" s="333">
        <f t="shared" si="30"/>
        <v>1</v>
      </c>
      <c r="M922" s="1683"/>
      <c r="N922" s="633"/>
      <c r="O922" s="633"/>
      <c r="AB922" s="1919"/>
      <c r="AI922" s="1671" t="s">
        <v>4</v>
      </c>
      <c r="AJ922" s="1826">
        <v>2017</v>
      </c>
      <c r="AK922" s="1781" t="s">
        <v>25</v>
      </c>
      <c r="AL922" s="1781">
        <v>6</v>
      </c>
      <c r="AM922" s="1781">
        <v>595242529.62559986</v>
      </c>
      <c r="AN922" s="1831">
        <v>3.0354453206077235E-2</v>
      </c>
      <c r="AP922" s="1781" t="s">
        <v>457</v>
      </c>
      <c r="AQ922" s="1822" t="s">
        <v>535</v>
      </c>
      <c r="AR922" s="1781" t="s">
        <v>27</v>
      </c>
      <c r="AS922" s="1781">
        <v>5</v>
      </c>
      <c r="AT922" s="1880">
        <v>69106573</v>
      </c>
      <c r="AU922" s="1909">
        <v>8.5689747543215108E-2</v>
      </c>
      <c r="AV922" s="1822">
        <v>2016</v>
      </c>
    </row>
    <row r="923" spans="1:48">
      <c r="A923" s="333">
        <f t="shared" si="29"/>
        <v>1900</v>
      </c>
      <c r="B923" s="333">
        <f t="shared" si="30"/>
        <v>1</v>
      </c>
      <c r="M923" s="1683"/>
      <c r="N923" s="633"/>
      <c r="O923" s="633"/>
      <c r="AI923" s="1671" t="s">
        <v>4</v>
      </c>
      <c r="AJ923" s="1826">
        <v>2017</v>
      </c>
      <c r="AK923" s="1781" t="s">
        <v>21</v>
      </c>
      <c r="AL923" s="1781">
        <v>7</v>
      </c>
      <c r="AM923" s="1781">
        <v>448804289.375</v>
      </c>
      <c r="AN923" s="1831">
        <v>2.2886820283303702E-2</v>
      </c>
      <c r="AP923" s="1781" t="s">
        <v>457</v>
      </c>
      <c r="AQ923" s="1822" t="s">
        <v>535</v>
      </c>
      <c r="AR923" s="1781" t="s">
        <v>70</v>
      </c>
      <c r="AS923" s="1781">
        <v>6</v>
      </c>
      <c r="AT923" s="1880">
        <v>47210202.740000002</v>
      </c>
      <c r="AU923" s="1909">
        <v>5.8539009802361382E-2</v>
      </c>
      <c r="AV923" s="1822">
        <v>2016</v>
      </c>
    </row>
    <row r="924" spans="1:48">
      <c r="A924" s="333">
        <f t="shared" si="29"/>
        <v>1900</v>
      </c>
      <c r="B924" s="333">
        <f t="shared" si="30"/>
        <v>1</v>
      </c>
      <c r="M924" s="1683"/>
      <c r="N924" s="633"/>
      <c r="O924" s="633"/>
      <c r="R924" s="633"/>
      <c r="S924" s="633"/>
      <c r="T924" s="633"/>
      <c r="U924" s="633"/>
      <c r="V924" s="633"/>
      <c r="W924" s="633"/>
      <c r="X924" s="633"/>
      <c r="AI924" s="1671" t="s">
        <v>4</v>
      </c>
      <c r="AJ924" s="1826">
        <v>2017</v>
      </c>
      <c r="AK924" s="1781" t="s">
        <v>33</v>
      </c>
      <c r="AL924" s="1781">
        <v>8</v>
      </c>
      <c r="AM924" s="1781">
        <v>324870231.67449999</v>
      </c>
      <c r="AN924" s="1831">
        <v>1.656679043349555E-2</v>
      </c>
      <c r="AP924" s="1781" t="s">
        <v>457</v>
      </c>
      <c r="AQ924" s="1822" t="s">
        <v>535</v>
      </c>
      <c r="AR924" s="1781" t="s">
        <v>25</v>
      </c>
      <c r="AS924" s="1781">
        <v>7</v>
      </c>
      <c r="AT924" s="1880">
        <v>42049046.180000007</v>
      </c>
      <c r="AU924" s="1909">
        <v>5.213935513192347E-2</v>
      </c>
      <c r="AV924" s="1822">
        <v>2016</v>
      </c>
    </row>
    <row r="925" spans="1:48">
      <c r="A925" s="333">
        <f t="shared" si="29"/>
        <v>1900</v>
      </c>
      <c r="B925" s="333">
        <f t="shared" si="30"/>
        <v>1</v>
      </c>
      <c r="M925" s="1683"/>
      <c r="R925" s="633"/>
      <c r="S925" s="633"/>
      <c r="T925" s="633"/>
      <c r="U925" s="633"/>
      <c r="V925" s="633"/>
      <c r="W925" s="633"/>
      <c r="X925" s="633"/>
      <c r="AI925" s="1671" t="s">
        <v>4</v>
      </c>
      <c r="AJ925" s="1826">
        <v>2017</v>
      </c>
      <c r="AK925" s="1781" t="s">
        <v>537</v>
      </c>
      <c r="AL925" s="1781">
        <v>9</v>
      </c>
      <c r="AM925" s="1781">
        <v>309772309.69260007</v>
      </c>
      <c r="AN925" s="1831">
        <v>1.5796870369825296E-2</v>
      </c>
      <c r="AP925" s="1781" t="s">
        <v>457</v>
      </c>
      <c r="AQ925" s="1822" t="s">
        <v>535</v>
      </c>
      <c r="AR925" s="1781" t="s">
        <v>537</v>
      </c>
      <c r="AS925" s="1781">
        <v>8</v>
      </c>
      <c r="AT925" s="1880">
        <v>40801116.100000001</v>
      </c>
      <c r="AU925" s="1909">
        <v>5.05919652258029E-2</v>
      </c>
      <c r="AV925" s="1822">
        <v>2016</v>
      </c>
    </row>
    <row r="926" spans="1:48">
      <c r="A926" s="333">
        <f t="shared" si="29"/>
        <v>1900</v>
      </c>
      <c r="B926" s="333">
        <f t="shared" si="30"/>
        <v>1</v>
      </c>
      <c r="M926" s="1683"/>
      <c r="AI926" s="1671" t="s">
        <v>4</v>
      </c>
      <c r="AJ926" s="1826">
        <v>2017</v>
      </c>
      <c r="AK926" s="1781" t="s">
        <v>527</v>
      </c>
      <c r="AL926" s="1781">
        <v>10</v>
      </c>
      <c r="AM926" s="1781">
        <v>123809336.19400001</v>
      </c>
      <c r="AN926" s="1831">
        <v>6.3136696639268979E-3</v>
      </c>
      <c r="AP926" s="1781" t="s">
        <v>457</v>
      </c>
      <c r="AQ926" s="1822" t="s">
        <v>535</v>
      </c>
      <c r="AR926" s="1781" t="s">
        <v>54</v>
      </c>
      <c r="AS926" s="1781">
        <v>9</v>
      </c>
      <c r="AT926" s="1880">
        <v>32970150.459999997</v>
      </c>
      <c r="AU926" s="1909">
        <v>4.0881840130883314E-2</v>
      </c>
      <c r="AV926" s="1822">
        <v>2016</v>
      </c>
    </row>
    <row r="927" spans="1:48">
      <c r="A927" s="333">
        <f t="shared" si="29"/>
        <v>1900</v>
      </c>
      <c r="B927" s="333">
        <f t="shared" si="30"/>
        <v>1</v>
      </c>
      <c r="M927" s="1683"/>
      <c r="Z927" s="492"/>
      <c r="AC927" s="1920"/>
      <c r="AI927" s="1671" t="s">
        <v>4</v>
      </c>
      <c r="AJ927" s="1826">
        <v>2017</v>
      </c>
      <c r="AK927" s="1781" t="s">
        <v>39</v>
      </c>
      <c r="AM927" s="1781">
        <v>255743511.50409698</v>
      </c>
      <c r="AN927" s="1831">
        <v>1.3041666323123431E-2</v>
      </c>
      <c r="AP927" s="1781" t="s">
        <v>457</v>
      </c>
      <c r="AQ927" s="1822" t="s">
        <v>535</v>
      </c>
      <c r="AR927" s="1781" t="s">
        <v>23</v>
      </c>
      <c r="AS927" s="1781">
        <v>10</v>
      </c>
      <c r="AT927" s="1880">
        <v>19268603.990000002</v>
      </c>
      <c r="AU927" s="1909">
        <v>2.3892398938857633E-2</v>
      </c>
      <c r="AV927" s="1822">
        <v>2016</v>
      </c>
    </row>
    <row r="928" spans="1:48">
      <c r="A928" s="333">
        <f t="shared" si="29"/>
        <v>1900</v>
      </c>
      <c r="B928" s="333">
        <f t="shared" si="30"/>
        <v>1</v>
      </c>
      <c r="M928" s="1683"/>
      <c r="R928" s="632"/>
      <c r="Z928" s="492"/>
      <c r="AC928" s="1920"/>
      <c r="AI928" s="1671" t="s">
        <v>4</v>
      </c>
      <c r="AJ928" s="1826">
        <v>2017</v>
      </c>
      <c r="AK928" s="1781" t="s">
        <v>386</v>
      </c>
      <c r="AM928" s="1781">
        <v>19609726638.278793</v>
      </c>
      <c r="AP928" s="1781" t="s">
        <v>457</v>
      </c>
      <c r="AQ928" s="1822" t="s">
        <v>535</v>
      </c>
      <c r="AR928" s="1781" t="s">
        <v>39</v>
      </c>
      <c r="AT928" s="1880">
        <v>85396391.599999905</v>
      </c>
      <c r="AU928" s="1909">
        <v>0.10588855617692874</v>
      </c>
      <c r="AV928" s="1822">
        <v>2016</v>
      </c>
    </row>
    <row r="929" spans="1:48">
      <c r="A929" s="333">
        <f t="shared" si="29"/>
        <v>1900</v>
      </c>
      <c r="B929" s="333">
        <f t="shared" si="30"/>
        <v>1</v>
      </c>
      <c r="M929" s="1683"/>
      <c r="Z929" s="492"/>
      <c r="AB929" s="1917"/>
      <c r="AI929" s="1671" t="s">
        <v>3</v>
      </c>
      <c r="AJ929" s="1826">
        <v>2017</v>
      </c>
      <c r="AK929" s="1781" t="s">
        <v>18</v>
      </c>
      <c r="AL929" s="1781">
        <v>1</v>
      </c>
      <c r="AM929" s="1911">
        <v>647128003.12756264</v>
      </c>
      <c r="AN929" s="1831">
        <v>0.32380470261317279</v>
      </c>
      <c r="AP929" s="1781" t="s">
        <v>457</v>
      </c>
      <c r="AQ929" s="1822" t="s">
        <v>535</v>
      </c>
      <c r="AR929" s="1781" t="s">
        <v>386</v>
      </c>
      <c r="AT929" s="1880">
        <v>806474228.03000009</v>
      </c>
      <c r="AU929" s="1909">
        <v>1</v>
      </c>
      <c r="AV929" s="1822">
        <v>2016</v>
      </c>
    </row>
    <row r="930" spans="1:48">
      <c r="A930" s="333">
        <f t="shared" si="29"/>
        <v>1900</v>
      </c>
      <c r="B930" s="333">
        <f t="shared" si="30"/>
        <v>1</v>
      </c>
      <c r="M930" s="1683"/>
      <c r="Z930" s="492"/>
      <c r="AB930" s="1917"/>
      <c r="AC930" s="1921"/>
      <c r="AI930" s="1671" t="s">
        <v>3</v>
      </c>
      <c r="AJ930" s="1826">
        <v>2017</v>
      </c>
      <c r="AK930" s="1781" t="s">
        <v>537</v>
      </c>
      <c r="AL930" s="1781">
        <v>2</v>
      </c>
      <c r="AM930" s="1911">
        <v>461334745.78768671</v>
      </c>
      <c r="AN930" s="1831">
        <v>0.23083896762764436</v>
      </c>
      <c r="AP930" s="1781" t="s">
        <v>1</v>
      </c>
      <c r="AQ930" s="1822" t="s">
        <v>535</v>
      </c>
      <c r="AR930" s="1781" t="s">
        <v>370</v>
      </c>
      <c r="AS930" s="1781">
        <v>1</v>
      </c>
      <c r="AT930" s="1880">
        <v>9377899000</v>
      </c>
      <c r="AU930" s="1831">
        <v>0.52859672573132632</v>
      </c>
      <c r="AV930" s="1822">
        <v>2016</v>
      </c>
    </row>
    <row r="931" spans="1:48">
      <c r="A931" s="333">
        <f t="shared" si="29"/>
        <v>1900</v>
      </c>
      <c r="B931" s="333">
        <f t="shared" si="30"/>
        <v>1</v>
      </c>
      <c r="AB931" s="1917"/>
      <c r="AI931" s="1671" t="s">
        <v>3</v>
      </c>
      <c r="AJ931" s="1826">
        <v>2017</v>
      </c>
      <c r="AK931" s="1781" t="s">
        <v>23</v>
      </c>
      <c r="AL931" s="1781">
        <v>4</v>
      </c>
      <c r="AM931" s="1911">
        <v>212010429.77000001</v>
      </c>
      <c r="AN931" s="1831">
        <v>0.10608407275033876</v>
      </c>
      <c r="AP931" s="1781" t="s">
        <v>1</v>
      </c>
      <c r="AQ931" s="1822" t="s">
        <v>535</v>
      </c>
      <c r="AR931" s="1781" t="s">
        <v>63</v>
      </c>
      <c r="AS931" s="1781">
        <v>2</v>
      </c>
      <c r="AT931" s="1880">
        <v>3912536000</v>
      </c>
      <c r="AU931" s="1831">
        <v>0.22053486808782444</v>
      </c>
      <c r="AV931" s="1822">
        <v>2016</v>
      </c>
    </row>
    <row r="932" spans="1:48">
      <c r="A932" s="333">
        <f t="shared" si="29"/>
        <v>1900</v>
      </c>
      <c r="B932" s="333">
        <f t="shared" si="30"/>
        <v>1</v>
      </c>
      <c r="M932" s="1683"/>
      <c r="AB932" s="1917"/>
      <c r="AI932" s="1671" t="s">
        <v>3</v>
      </c>
      <c r="AJ932" s="1826">
        <v>2017</v>
      </c>
      <c r="AK932" s="1781" t="s">
        <v>25</v>
      </c>
      <c r="AL932" s="1781">
        <v>3</v>
      </c>
      <c r="AM932" s="1911">
        <v>221747674.39709127</v>
      </c>
      <c r="AN932" s="1831">
        <v>0.11095631685893668</v>
      </c>
      <c r="AP932" s="1781" t="s">
        <v>1</v>
      </c>
      <c r="AQ932" s="1822" t="s">
        <v>535</v>
      </c>
      <c r="AR932" s="1781" t="s">
        <v>18</v>
      </c>
      <c r="AS932" s="1781">
        <v>3</v>
      </c>
      <c r="AT932" s="1880">
        <v>2318885000</v>
      </c>
      <c r="AU932" s="1831">
        <v>0.13070678393395863</v>
      </c>
      <c r="AV932" s="1822">
        <v>2016</v>
      </c>
    </row>
    <row r="933" spans="1:48">
      <c r="A933" s="333">
        <f t="shared" si="29"/>
        <v>1900</v>
      </c>
      <c r="B933" s="333">
        <f t="shared" si="30"/>
        <v>1</v>
      </c>
      <c r="AI933" s="1671" t="s">
        <v>3</v>
      </c>
      <c r="AJ933" s="1826">
        <v>2017</v>
      </c>
      <c r="AK933" s="1781" t="s">
        <v>24</v>
      </c>
      <c r="AL933" s="1781">
        <v>5</v>
      </c>
      <c r="AM933" s="1911">
        <v>181173187.66999999</v>
      </c>
      <c r="AN933" s="1831">
        <v>9.065398170290713E-2</v>
      </c>
      <c r="AP933" s="1781" t="s">
        <v>1</v>
      </c>
      <c r="AQ933" s="1822" t="s">
        <v>535</v>
      </c>
      <c r="AR933" s="1781" t="s">
        <v>33</v>
      </c>
      <c r="AS933" s="1781">
        <v>4</v>
      </c>
      <c r="AT933" s="1880">
        <v>518399000</v>
      </c>
      <c r="AU933" s="1831">
        <v>2.9220192499662647E-2</v>
      </c>
      <c r="AV933" s="1822">
        <v>2016</v>
      </c>
    </row>
    <row r="934" spans="1:48">
      <c r="A934" s="333">
        <f t="shared" si="29"/>
        <v>1900</v>
      </c>
      <c r="B934" s="333">
        <f t="shared" si="30"/>
        <v>1</v>
      </c>
      <c r="AI934" s="1671" t="s">
        <v>3</v>
      </c>
      <c r="AJ934" s="1826">
        <v>2017</v>
      </c>
      <c r="AK934" s="1781" t="s">
        <v>61</v>
      </c>
      <c r="AL934" s="1781">
        <v>6</v>
      </c>
      <c r="AM934" s="1911">
        <v>77786746.549999997</v>
      </c>
      <c r="AN934" s="1831">
        <v>3.89223062703778E-2</v>
      </c>
      <c r="AP934" s="1781" t="s">
        <v>1</v>
      </c>
      <c r="AQ934" s="1822" t="s">
        <v>535</v>
      </c>
      <c r="AR934" s="1781" t="s">
        <v>21</v>
      </c>
      <c r="AS934" s="1781">
        <v>5</v>
      </c>
      <c r="AT934" s="1880">
        <v>409430000</v>
      </c>
      <c r="AU934" s="1831">
        <v>2.3078021784642484E-2</v>
      </c>
      <c r="AV934" s="1822">
        <v>2016</v>
      </c>
    </row>
    <row r="935" spans="1:48">
      <c r="A935" s="333">
        <f t="shared" si="29"/>
        <v>1900</v>
      </c>
      <c r="B935" s="333">
        <f t="shared" si="30"/>
        <v>1</v>
      </c>
      <c r="AC935" s="1920"/>
      <c r="AI935" s="1671" t="s">
        <v>3</v>
      </c>
      <c r="AJ935" s="1826">
        <v>2017</v>
      </c>
      <c r="AK935" s="1781" t="s">
        <v>21</v>
      </c>
      <c r="AL935" s="1781">
        <v>7</v>
      </c>
      <c r="AM935" s="1911">
        <v>59613196.99000001</v>
      </c>
      <c r="AN935" s="1831">
        <v>2.9828771788388216E-2</v>
      </c>
      <c r="AP935" s="1781" t="s">
        <v>1</v>
      </c>
      <c r="AQ935" s="1822" t="s">
        <v>535</v>
      </c>
      <c r="AR935" s="1781" t="s">
        <v>71</v>
      </c>
      <c r="AS935" s="1781">
        <v>6</v>
      </c>
      <c r="AT935" s="1880">
        <v>402094000</v>
      </c>
      <c r="AU935" s="1831">
        <v>2.2664519188808914E-2</v>
      </c>
      <c r="AV935" s="1822">
        <v>2016</v>
      </c>
    </row>
    <row r="936" spans="1:48">
      <c r="A936" s="333">
        <f t="shared" si="29"/>
        <v>1900</v>
      </c>
      <c r="B936" s="333">
        <f t="shared" si="30"/>
        <v>1</v>
      </c>
      <c r="AI936" s="1671" t="s">
        <v>3</v>
      </c>
      <c r="AJ936" s="1826">
        <v>2017</v>
      </c>
      <c r="AK936" s="1781" t="s">
        <v>57</v>
      </c>
      <c r="AL936" s="1781">
        <v>8</v>
      </c>
      <c r="AM936" s="1911">
        <v>33378104.359999999</v>
      </c>
      <c r="AN936" s="1831">
        <v>1.6701467258172047E-2</v>
      </c>
      <c r="AP936" s="1781" t="s">
        <v>1</v>
      </c>
      <c r="AQ936" s="1822" t="s">
        <v>535</v>
      </c>
      <c r="AR936" s="1781" t="s">
        <v>61</v>
      </c>
      <c r="AS936" s="1781">
        <v>7</v>
      </c>
      <c r="AT936" s="1880">
        <v>271351000</v>
      </c>
      <c r="AU936" s="1831">
        <v>1.5295030381956677E-2</v>
      </c>
      <c r="AV936" s="1822">
        <v>2016</v>
      </c>
    </row>
    <row r="937" spans="1:48">
      <c r="A937" s="333">
        <f t="shared" si="29"/>
        <v>1900</v>
      </c>
      <c r="B937" s="333">
        <f t="shared" si="30"/>
        <v>1</v>
      </c>
      <c r="AI937" s="1671" t="s">
        <v>3</v>
      </c>
      <c r="AJ937" s="1826">
        <v>2017</v>
      </c>
      <c r="AK937" s="1781" t="s">
        <v>70</v>
      </c>
      <c r="AL937" s="1781">
        <v>9</v>
      </c>
      <c r="AM937" s="1911">
        <v>31378041.370000005</v>
      </c>
      <c r="AN937" s="1831">
        <v>1.5700691834214849E-2</v>
      </c>
      <c r="AP937" s="1781" t="s">
        <v>1</v>
      </c>
      <c r="AQ937" s="1822" t="s">
        <v>535</v>
      </c>
      <c r="AR937" s="1781" t="s">
        <v>371</v>
      </c>
      <c r="AS937" s="1781">
        <v>8</v>
      </c>
      <c r="AT937" s="1880">
        <v>210629000</v>
      </c>
      <c r="AU937" s="1831">
        <v>1.187236072216853E-2</v>
      </c>
      <c r="AV937" s="1822">
        <v>2016</v>
      </c>
    </row>
    <row r="938" spans="1:48">
      <c r="A938" s="333">
        <f t="shared" si="29"/>
        <v>1900</v>
      </c>
      <c r="B938" s="333">
        <f t="shared" si="30"/>
        <v>1</v>
      </c>
      <c r="AI938" s="1671" t="s">
        <v>3</v>
      </c>
      <c r="AJ938" s="1826">
        <v>2017</v>
      </c>
      <c r="AK938" s="1781" t="s">
        <v>27</v>
      </c>
      <c r="AL938" s="1781">
        <v>10</v>
      </c>
      <c r="AM938" s="1911">
        <v>30326061.709999997</v>
      </c>
      <c r="AN938" s="1831">
        <v>1.5174310717472692E-2</v>
      </c>
      <c r="AP938" s="1781" t="s">
        <v>1</v>
      </c>
      <c r="AQ938" s="1822" t="s">
        <v>535</v>
      </c>
      <c r="AR938" s="1781" t="s">
        <v>758</v>
      </c>
      <c r="AS938" s="1781">
        <v>9</v>
      </c>
      <c r="AT938" s="1880">
        <v>141435000</v>
      </c>
      <c r="AU938" s="1831">
        <v>7.9721564397110846E-3</v>
      </c>
      <c r="AV938" s="1822">
        <v>2016</v>
      </c>
    </row>
    <row r="939" spans="1:48">
      <c r="A939" s="333">
        <f t="shared" si="29"/>
        <v>1900</v>
      </c>
      <c r="B939" s="333">
        <f t="shared" si="30"/>
        <v>1</v>
      </c>
      <c r="AI939" s="1671" t="s">
        <v>3</v>
      </c>
      <c r="AJ939" s="1826">
        <v>2017</v>
      </c>
      <c r="AK939" s="1781" t="s">
        <v>39</v>
      </c>
      <c r="AM939" s="1911">
        <v>42637103.180000067</v>
      </c>
      <c r="AN939" s="1831">
        <v>2.1334410578374572E-2</v>
      </c>
      <c r="AP939" s="1781" t="s">
        <v>1</v>
      </c>
      <c r="AQ939" s="1822" t="s">
        <v>535</v>
      </c>
      <c r="AR939" s="1781" t="s">
        <v>372</v>
      </c>
      <c r="AS939" s="1781">
        <v>10</v>
      </c>
      <c r="AT939" s="1880">
        <v>70268000</v>
      </c>
      <c r="AU939" s="1831">
        <v>3.9607416036031998E-3</v>
      </c>
      <c r="AV939" s="1822">
        <v>2016</v>
      </c>
    </row>
    <row r="940" spans="1:48">
      <c r="A940" s="333">
        <f t="shared" si="29"/>
        <v>1900</v>
      </c>
      <c r="B940" s="333">
        <f t="shared" si="30"/>
        <v>1</v>
      </c>
      <c r="AI940" s="1671" t="s">
        <v>3</v>
      </c>
      <c r="AJ940" s="1826">
        <v>2017</v>
      </c>
      <c r="AK940" s="1781" t="s">
        <v>114</v>
      </c>
      <c r="AM940" s="1912">
        <v>1998513294.9123409</v>
      </c>
      <c r="AP940" s="1781" t="s">
        <v>1</v>
      </c>
      <c r="AQ940" s="1822" t="s">
        <v>535</v>
      </c>
      <c r="AR940" s="1781" t="s">
        <v>39</v>
      </c>
      <c r="AT940" s="1880">
        <v>108196000</v>
      </c>
      <c r="AU940" s="1831">
        <v>6.0985996263370488E-3</v>
      </c>
      <c r="AV940" s="1822">
        <v>2016</v>
      </c>
    </row>
    <row r="941" spans="1:48">
      <c r="A941" s="333">
        <f t="shared" si="29"/>
        <v>1900</v>
      </c>
      <c r="B941" s="333">
        <f t="shared" si="30"/>
        <v>1</v>
      </c>
      <c r="AI941" s="1781" t="s">
        <v>0</v>
      </c>
      <c r="AJ941" s="1826">
        <v>2018</v>
      </c>
      <c r="AK941" s="1781" t="s">
        <v>34</v>
      </c>
      <c r="AL941" s="1781">
        <v>1</v>
      </c>
      <c r="AM941" s="1781">
        <v>2175721657.9100003</v>
      </c>
      <c r="AN941" s="1831">
        <v>0.24937642131078225</v>
      </c>
      <c r="AP941" s="1781" t="s">
        <v>1</v>
      </c>
      <c r="AQ941" s="1822" t="s">
        <v>535</v>
      </c>
      <c r="AR941" s="1781" t="s">
        <v>114</v>
      </c>
      <c r="AT941" s="1880">
        <v>17741122000</v>
      </c>
      <c r="AU941" s="1831"/>
      <c r="AV941" s="1822">
        <v>2016</v>
      </c>
    </row>
    <row r="942" spans="1:48">
      <c r="A942" s="333">
        <f t="shared" si="29"/>
        <v>1900</v>
      </c>
      <c r="B942" s="333">
        <f t="shared" si="30"/>
        <v>1</v>
      </c>
      <c r="AI942" s="1781" t="s">
        <v>0</v>
      </c>
      <c r="AJ942" s="1826">
        <v>2018</v>
      </c>
      <c r="AK942" s="1781" t="s">
        <v>17</v>
      </c>
      <c r="AL942" s="1781">
        <v>2</v>
      </c>
      <c r="AM942" s="1781">
        <v>1290432081.1700003</v>
      </c>
      <c r="AN942" s="1831">
        <v>0.14790648113321814</v>
      </c>
      <c r="AP942" s="1781" t="s">
        <v>2</v>
      </c>
      <c r="AQ942" s="1822" t="s">
        <v>535</v>
      </c>
      <c r="AR942" s="1781" t="s">
        <v>18</v>
      </c>
      <c r="AS942" s="1781">
        <v>1</v>
      </c>
      <c r="AT942" s="1880">
        <v>50862455000</v>
      </c>
      <c r="AU942" s="1831">
        <v>0.82154759108869024</v>
      </c>
      <c r="AV942" s="1822">
        <v>2016</v>
      </c>
    </row>
    <row r="943" spans="1:48">
      <c r="A943" s="333">
        <f t="shared" si="29"/>
        <v>1900</v>
      </c>
      <c r="B943" s="333">
        <f t="shared" si="30"/>
        <v>1</v>
      </c>
      <c r="AI943" s="1781" t="s">
        <v>0</v>
      </c>
      <c r="AJ943" s="1826">
        <v>2018</v>
      </c>
      <c r="AK943" s="1781" t="s">
        <v>32</v>
      </c>
      <c r="AL943" s="1781">
        <v>3</v>
      </c>
      <c r="AM943" s="1781">
        <v>987248765.07000017</v>
      </c>
      <c r="AN943" s="1831">
        <v>0.11315627763394258</v>
      </c>
      <c r="AP943" s="1781" t="s">
        <v>2</v>
      </c>
      <c r="AQ943" s="1822" t="s">
        <v>535</v>
      </c>
      <c r="AR943" s="1781" t="s">
        <v>23</v>
      </c>
      <c r="AS943" s="1781">
        <v>2</v>
      </c>
      <c r="AT943" s="1880">
        <v>5362634000</v>
      </c>
      <c r="AU943" s="1831">
        <v>8.6619079723743331E-2</v>
      </c>
      <c r="AV943" s="1822">
        <v>2016</v>
      </c>
    </row>
    <row r="944" spans="1:48">
      <c r="A944" s="333">
        <f t="shared" si="29"/>
        <v>1900</v>
      </c>
      <c r="B944" s="333">
        <f t="shared" si="30"/>
        <v>1</v>
      </c>
      <c r="AI944" s="1671" t="s">
        <v>0</v>
      </c>
      <c r="AJ944" s="1826">
        <v>2018</v>
      </c>
      <c r="AK944" s="1781" t="s">
        <v>26</v>
      </c>
      <c r="AL944" s="1781">
        <v>4</v>
      </c>
      <c r="AM944" s="1911">
        <v>831018578.97000015</v>
      </c>
      <c r="AN944" s="1831">
        <v>9.5249518022163637E-2</v>
      </c>
      <c r="AP944" s="1781" t="s">
        <v>2</v>
      </c>
      <c r="AQ944" s="1822" t="s">
        <v>535</v>
      </c>
      <c r="AR944" s="1781" t="s">
        <v>371</v>
      </c>
      <c r="AS944" s="1781">
        <v>3</v>
      </c>
      <c r="AT944" s="1880">
        <v>3899533000</v>
      </c>
      <c r="AU944" s="1831">
        <v>6.2986577083643594E-2</v>
      </c>
      <c r="AV944" s="1822">
        <v>2016</v>
      </c>
    </row>
    <row r="945" spans="1:48">
      <c r="A945" s="333">
        <f t="shared" si="29"/>
        <v>1900</v>
      </c>
      <c r="B945" s="333">
        <f t="shared" si="30"/>
        <v>1</v>
      </c>
      <c r="AI945" s="1671" t="s">
        <v>0</v>
      </c>
      <c r="AJ945" s="1826">
        <v>2018</v>
      </c>
      <c r="AK945" s="1781" t="s">
        <v>21</v>
      </c>
      <c r="AL945" s="1781">
        <v>5</v>
      </c>
      <c r="AM945" s="1911">
        <v>646412689.55000007</v>
      </c>
      <c r="AN945" s="1831">
        <v>7.4090397833657465E-2</v>
      </c>
      <c r="AP945" s="1781" t="s">
        <v>2</v>
      </c>
      <c r="AQ945" s="1822" t="s">
        <v>535</v>
      </c>
      <c r="AR945" s="1781" t="s">
        <v>537</v>
      </c>
      <c r="AS945" s="1781">
        <v>4</v>
      </c>
      <c r="AT945" s="1880">
        <v>1431845000</v>
      </c>
      <c r="AU945" s="1831">
        <v>2.3127645147336787E-2</v>
      </c>
      <c r="AV945" s="1822">
        <v>2016</v>
      </c>
    </row>
    <row r="946" spans="1:48">
      <c r="A946" s="333">
        <f t="shared" si="29"/>
        <v>1900</v>
      </c>
      <c r="B946" s="333">
        <f t="shared" si="30"/>
        <v>1</v>
      </c>
      <c r="AI946" s="1781" t="s">
        <v>0</v>
      </c>
      <c r="AJ946" s="1826">
        <v>2018</v>
      </c>
      <c r="AK946" s="1781" t="s">
        <v>387</v>
      </c>
      <c r="AL946" s="1781">
        <v>6</v>
      </c>
      <c r="AM946" s="1781">
        <v>425784431.76999998</v>
      </c>
      <c r="AN946" s="1831">
        <v>4.8802473174185658E-2</v>
      </c>
      <c r="AP946" s="1781" t="s">
        <v>2</v>
      </c>
      <c r="AQ946" s="1822" t="s">
        <v>535</v>
      </c>
      <c r="AR946" s="1781" t="s">
        <v>22</v>
      </c>
      <c r="AS946" s="1781">
        <v>5</v>
      </c>
      <c r="AT946" s="1880">
        <v>288925000</v>
      </c>
      <c r="AU946" s="1831">
        <v>4.6668144067229913E-3</v>
      </c>
      <c r="AV946" s="1822">
        <v>2016</v>
      </c>
    </row>
    <row r="947" spans="1:48">
      <c r="A947" s="333">
        <f t="shared" si="29"/>
        <v>1900</v>
      </c>
      <c r="B947" s="333">
        <f t="shared" si="30"/>
        <v>1</v>
      </c>
      <c r="AI947" s="1781" t="s">
        <v>0</v>
      </c>
      <c r="AJ947" s="1826">
        <v>2018</v>
      </c>
      <c r="AK947" s="1781" t="s">
        <v>16</v>
      </c>
      <c r="AL947" s="1781">
        <v>7</v>
      </c>
      <c r="AM947" s="1781">
        <v>353281454.40999997</v>
      </c>
      <c r="AN947" s="1831">
        <v>4.0492341700023818E-2</v>
      </c>
      <c r="AP947" s="1781" t="s">
        <v>2</v>
      </c>
      <c r="AQ947" s="1822" t="s">
        <v>535</v>
      </c>
      <c r="AR947" s="1781" t="s">
        <v>39</v>
      </c>
      <c r="AT947" s="1880">
        <v>142137000</v>
      </c>
      <c r="AU947" s="1831">
        <v>2.2958449401345878E-3</v>
      </c>
      <c r="AV947" s="1822">
        <v>2016</v>
      </c>
    </row>
    <row r="948" spans="1:48">
      <c r="A948" s="333">
        <f t="shared" si="29"/>
        <v>1900</v>
      </c>
      <c r="B948" s="333">
        <f t="shared" si="30"/>
        <v>1</v>
      </c>
      <c r="AI948" s="1781" t="s">
        <v>0</v>
      </c>
      <c r="AJ948" s="1826">
        <v>2018</v>
      </c>
      <c r="AK948" s="1781" t="s">
        <v>29</v>
      </c>
      <c r="AL948" s="1781">
        <v>8</v>
      </c>
      <c r="AM948" s="1781">
        <v>279632886.12</v>
      </c>
      <c r="AN948" s="1831">
        <v>3.2050905118257401E-2</v>
      </c>
      <c r="AP948" s="1781" t="s">
        <v>2</v>
      </c>
      <c r="AQ948" s="1822" t="s">
        <v>535</v>
      </c>
      <c r="AR948" s="1781" t="s">
        <v>114</v>
      </c>
      <c r="AT948" s="1880">
        <v>61910540000</v>
      </c>
      <c r="AU948" s="1831"/>
      <c r="AV948" s="1822">
        <v>2016</v>
      </c>
    </row>
    <row r="949" spans="1:48">
      <c r="A949" s="333">
        <f t="shared" si="29"/>
        <v>1900</v>
      </c>
      <c r="B949" s="333">
        <f t="shared" si="30"/>
        <v>1</v>
      </c>
      <c r="AI949" s="1781" t="s">
        <v>0</v>
      </c>
      <c r="AJ949" s="1826">
        <v>2018</v>
      </c>
      <c r="AK949" s="1781" t="s">
        <v>758</v>
      </c>
      <c r="AL949" s="1781">
        <v>9</v>
      </c>
      <c r="AM949" s="1781">
        <v>274192558.38999999</v>
      </c>
      <c r="AN949" s="1831">
        <v>3.1427346743897855E-2</v>
      </c>
      <c r="AP949" s="1781" t="s">
        <v>4</v>
      </c>
      <c r="AQ949" s="1822" t="s">
        <v>535</v>
      </c>
      <c r="AR949" s="1781" t="s">
        <v>23</v>
      </c>
      <c r="AS949" s="1781">
        <v>1</v>
      </c>
      <c r="AT949" s="1880">
        <v>8636425613.9699898</v>
      </c>
      <c r="AU949" s="1831">
        <v>0.51251929691735121</v>
      </c>
      <c r="AV949" s="1822">
        <v>2016</v>
      </c>
    </row>
    <row r="950" spans="1:48">
      <c r="A950" s="333">
        <f t="shared" si="29"/>
        <v>1900</v>
      </c>
      <c r="B950" s="333">
        <f t="shared" si="30"/>
        <v>1</v>
      </c>
      <c r="AC950" s="1922"/>
      <c r="AI950" s="1781" t="s">
        <v>0</v>
      </c>
      <c r="AJ950" s="1826">
        <v>2018</v>
      </c>
      <c r="AK950" s="1781" t="s">
        <v>19</v>
      </c>
      <c r="AL950" s="1781">
        <v>10</v>
      </c>
      <c r="AM950" s="1781">
        <v>250540372.52000001</v>
      </c>
      <c r="AN950" s="1831">
        <v>2.8716385327029879E-2</v>
      </c>
      <c r="AP950" s="1781" t="s">
        <v>4</v>
      </c>
      <c r="AQ950" s="1822" t="s">
        <v>535</v>
      </c>
      <c r="AR950" s="1781" t="s">
        <v>18</v>
      </c>
      <c r="AS950" s="1781">
        <v>2</v>
      </c>
      <c r="AT950" s="1880">
        <v>1976863947.2599993</v>
      </c>
      <c r="AU950" s="1831">
        <v>0.1173148436214245</v>
      </c>
      <c r="AV950" s="1822">
        <v>2016</v>
      </c>
    </row>
    <row r="951" spans="1:48">
      <c r="A951" s="333">
        <f t="shared" si="29"/>
        <v>1900</v>
      </c>
      <c r="B951" s="333">
        <f t="shared" si="30"/>
        <v>1</v>
      </c>
      <c r="AC951" s="1922"/>
      <c r="AI951" s="1781" t="s">
        <v>0</v>
      </c>
      <c r="AJ951" s="1826">
        <v>2018</v>
      </c>
      <c r="AK951" s="1781" t="s">
        <v>39</v>
      </c>
      <c r="AM951" s="1781">
        <v>1210383175.6399994</v>
      </c>
      <c r="AN951" s="1831">
        <v>0.13873145200284109</v>
      </c>
      <c r="AP951" s="1781" t="s">
        <v>4</v>
      </c>
      <c r="AQ951" s="1822" t="s">
        <v>535</v>
      </c>
      <c r="AR951" s="1781" t="s">
        <v>61</v>
      </c>
      <c r="AS951" s="1781">
        <v>3</v>
      </c>
      <c r="AT951" s="1880">
        <v>1648954757.3499992</v>
      </c>
      <c r="AU951" s="1831">
        <v>9.7855428930980856E-2</v>
      </c>
      <c r="AV951" s="1822">
        <v>2016</v>
      </c>
    </row>
    <row r="952" spans="1:48">
      <c r="A952" s="333">
        <f t="shared" si="29"/>
        <v>1900</v>
      </c>
      <c r="B952" s="333">
        <f t="shared" si="30"/>
        <v>1</v>
      </c>
      <c r="AC952" s="1922"/>
      <c r="AI952" s="1781" t="s">
        <v>0</v>
      </c>
      <c r="AJ952" s="1826">
        <v>2018</v>
      </c>
      <c r="AK952" s="1781" t="s">
        <v>386</v>
      </c>
      <c r="AM952" s="1781">
        <v>8724648651.5200024</v>
      </c>
      <c r="AN952" s="1831">
        <v>1</v>
      </c>
      <c r="AP952" s="1781" t="s">
        <v>4</v>
      </c>
      <c r="AQ952" s="1822" t="s">
        <v>535</v>
      </c>
      <c r="AR952" s="1781" t="s">
        <v>24</v>
      </c>
      <c r="AS952" s="1781">
        <v>4</v>
      </c>
      <c r="AT952" s="1880">
        <v>1276555069.71</v>
      </c>
      <c r="AU952" s="1831">
        <v>7.575577397965913E-2</v>
      </c>
      <c r="AV952" s="1822">
        <v>2016</v>
      </c>
    </row>
    <row r="953" spans="1:48">
      <c r="A953" s="333">
        <f t="shared" si="29"/>
        <v>1900</v>
      </c>
      <c r="B953" s="333">
        <f t="shared" si="30"/>
        <v>1</v>
      </c>
      <c r="AC953" s="1922"/>
      <c r="AI953" s="1781" t="s">
        <v>307</v>
      </c>
      <c r="AJ953" s="1826">
        <v>2018</v>
      </c>
      <c r="AK953" s="1781" t="s">
        <v>18</v>
      </c>
      <c r="AL953" s="1781">
        <v>1</v>
      </c>
      <c r="AM953" s="1781">
        <v>1726941785.7999997</v>
      </c>
      <c r="AN953" s="1831">
        <v>0.37071499580019079</v>
      </c>
      <c r="AP953" s="1781" t="s">
        <v>4</v>
      </c>
      <c r="AQ953" s="1822" t="s">
        <v>535</v>
      </c>
      <c r="AR953" s="1781" t="s">
        <v>22</v>
      </c>
      <c r="AS953" s="1781">
        <v>5</v>
      </c>
      <c r="AT953" s="1880">
        <v>994545355.19000006</v>
      </c>
      <c r="AU953" s="1831">
        <v>5.902021379885266E-2</v>
      </c>
      <c r="AV953" s="1822">
        <v>2016</v>
      </c>
    </row>
    <row r="954" spans="1:48">
      <c r="A954" s="333">
        <f t="shared" si="29"/>
        <v>1900</v>
      </c>
      <c r="B954" s="333">
        <f t="shared" si="30"/>
        <v>1</v>
      </c>
      <c r="AC954" s="1922"/>
      <c r="AI954" s="1781" t="s">
        <v>307</v>
      </c>
      <c r="AJ954" s="1826">
        <v>2018</v>
      </c>
      <c r="AK954" s="1781" t="s">
        <v>23</v>
      </c>
      <c r="AL954" s="1781">
        <v>2</v>
      </c>
      <c r="AM954" s="1781">
        <v>739850287.18000019</v>
      </c>
      <c r="AN954" s="1831">
        <v>0.15882040631592423</v>
      </c>
      <c r="AP954" s="1781" t="s">
        <v>4</v>
      </c>
      <c r="AQ954" s="1822" t="s">
        <v>535</v>
      </c>
      <c r="AR954" s="1781" t="s">
        <v>33</v>
      </c>
      <c r="AS954" s="1781">
        <v>6</v>
      </c>
      <c r="AT954" s="1880">
        <v>749475485.49999988</v>
      </c>
      <c r="AU954" s="1831">
        <v>4.4476808584318704E-2</v>
      </c>
      <c r="AV954" s="1822">
        <v>2016</v>
      </c>
    </row>
    <row r="955" spans="1:48">
      <c r="A955" s="333">
        <f t="shared" si="29"/>
        <v>1900</v>
      </c>
      <c r="B955" s="333">
        <f t="shared" si="30"/>
        <v>1</v>
      </c>
      <c r="AC955" s="1922"/>
      <c r="AI955" s="1781" t="s">
        <v>307</v>
      </c>
      <c r="AJ955" s="1826">
        <v>2018</v>
      </c>
      <c r="AK955" s="1781" t="s">
        <v>24</v>
      </c>
      <c r="AL955" s="1781">
        <v>3</v>
      </c>
      <c r="AM955" s="1781">
        <v>724667296.74000001</v>
      </c>
      <c r="AN955" s="1831">
        <v>0.15556114055289702</v>
      </c>
      <c r="AP955" s="1781" t="s">
        <v>4</v>
      </c>
      <c r="AQ955" s="1822" t="s">
        <v>535</v>
      </c>
      <c r="AR955" s="1781" t="s">
        <v>25</v>
      </c>
      <c r="AS955" s="1781">
        <v>7</v>
      </c>
      <c r="AT955" s="1880">
        <v>652047262.18000007</v>
      </c>
      <c r="AU955" s="1831">
        <v>3.869503650084221E-2</v>
      </c>
      <c r="AV955" s="1822">
        <v>2016</v>
      </c>
    </row>
    <row r="956" spans="1:48">
      <c r="A956" s="333">
        <f t="shared" si="29"/>
        <v>1900</v>
      </c>
      <c r="B956" s="333">
        <f t="shared" si="30"/>
        <v>1</v>
      </c>
      <c r="AC956" s="1922"/>
      <c r="AI956" s="1781" t="s">
        <v>307</v>
      </c>
      <c r="AJ956" s="1826">
        <v>2018</v>
      </c>
      <c r="AK956" s="1781" t="s">
        <v>69</v>
      </c>
      <c r="AL956" s="1781">
        <v>4</v>
      </c>
      <c r="AM956" s="1781">
        <v>511442050.61999995</v>
      </c>
      <c r="AN956" s="1831">
        <v>0.10978901501291953</v>
      </c>
      <c r="AP956" s="1781" t="s">
        <v>4</v>
      </c>
      <c r="AQ956" s="1822" t="s">
        <v>535</v>
      </c>
      <c r="AR956" s="1781" t="s">
        <v>21</v>
      </c>
      <c r="AS956" s="1781">
        <v>8</v>
      </c>
      <c r="AT956" s="1880">
        <v>479810892.17999995</v>
      </c>
      <c r="AU956" s="1831">
        <v>2.8473856211486508E-2</v>
      </c>
      <c r="AV956" s="1822">
        <v>2016</v>
      </c>
    </row>
    <row r="957" spans="1:48">
      <c r="A957" s="333">
        <f t="shared" si="29"/>
        <v>1900</v>
      </c>
      <c r="B957" s="333">
        <f t="shared" si="30"/>
        <v>1</v>
      </c>
      <c r="AC957" s="1922"/>
      <c r="AI957" s="1781" t="s">
        <v>307</v>
      </c>
      <c r="AJ957" s="1826">
        <v>2018</v>
      </c>
      <c r="AK957" s="1781" t="s">
        <v>58</v>
      </c>
      <c r="AL957" s="1781">
        <v>5</v>
      </c>
      <c r="AM957" s="1781">
        <v>423507584.44</v>
      </c>
      <c r="AN957" s="1831">
        <v>9.0912510009301534E-2</v>
      </c>
      <c r="AP957" s="1781" t="s">
        <v>4</v>
      </c>
      <c r="AQ957" s="1822" t="s">
        <v>535</v>
      </c>
      <c r="AR957" s="1781" t="s">
        <v>537</v>
      </c>
      <c r="AS957" s="1781">
        <v>9</v>
      </c>
      <c r="AT957" s="1880">
        <v>183246831.55000004</v>
      </c>
      <c r="AU957" s="1831">
        <v>1.0874584170147946E-2</v>
      </c>
      <c r="AV957" s="1822">
        <v>2016</v>
      </c>
    </row>
    <row r="958" spans="1:48">
      <c r="A958" s="333">
        <f t="shared" si="29"/>
        <v>1900</v>
      </c>
      <c r="B958" s="333">
        <f t="shared" si="30"/>
        <v>1</v>
      </c>
      <c r="AC958" s="1922"/>
      <c r="AI958" s="1781" t="s">
        <v>307</v>
      </c>
      <c r="AJ958" s="1826">
        <v>2018</v>
      </c>
      <c r="AK958" s="1781" t="s">
        <v>21</v>
      </c>
      <c r="AL958" s="1781">
        <v>6</v>
      </c>
      <c r="AM958" s="1781">
        <v>236685915.11000001</v>
      </c>
      <c r="AN958" s="1831">
        <v>5.0808324141234054E-2</v>
      </c>
      <c r="AP958" s="1781" t="s">
        <v>4</v>
      </c>
      <c r="AQ958" s="1822" t="s">
        <v>535</v>
      </c>
      <c r="AR958" s="1781" t="s">
        <v>758</v>
      </c>
      <c r="AS958" s="1781">
        <v>10</v>
      </c>
      <c r="AT958" s="1880">
        <v>86031559.040000007</v>
      </c>
      <c r="AU958" s="1831">
        <v>5.1054494211773575E-3</v>
      </c>
      <c r="AV958" s="1822">
        <v>2016</v>
      </c>
    </row>
    <row r="959" spans="1:48">
      <c r="A959" s="333">
        <f t="shared" si="29"/>
        <v>1900</v>
      </c>
      <c r="B959" s="333">
        <f t="shared" si="30"/>
        <v>1</v>
      </c>
      <c r="AC959" s="1922"/>
      <c r="AI959" s="1781" t="s">
        <v>307</v>
      </c>
      <c r="AJ959" s="1826">
        <v>2018</v>
      </c>
      <c r="AK959" s="1781" t="s">
        <v>25</v>
      </c>
      <c r="AL959" s="1781">
        <v>7</v>
      </c>
      <c r="AM959" s="1781">
        <v>179627951.43000001</v>
      </c>
      <c r="AN959" s="1831">
        <v>3.855994209389136E-2</v>
      </c>
      <c r="AP959" s="1781" t="s">
        <v>4</v>
      </c>
      <c r="AQ959" s="1822" t="s">
        <v>535</v>
      </c>
      <c r="AR959" s="1781" t="s">
        <v>39</v>
      </c>
      <c r="AT959" s="1880">
        <v>166970919.75</v>
      </c>
      <c r="AU959" s="1831">
        <v>9.9087078637589282E-3</v>
      </c>
      <c r="AV959" s="1822">
        <v>2016</v>
      </c>
    </row>
    <row r="960" spans="1:48">
      <c r="A960" s="333">
        <f t="shared" si="29"/>
        <v>1900</v>
      </c>
      <c r="B960" s="333">
        <f t="shared" si="30"/>
        <v>1</v>
      </c>
      <c r="AC960" s="1922"/>
      <c r="AI960" s="1781" t="s">
        <v>307</v>
      </c>
      <c r="AJ960" s="1826">
        <v>2018</v>
      </c>
      <c r="AK960" s="1781" t="s">
        <v>537</v>
      </c>
      <c r="AL960" s="1781">
        <v>8</v>
      </c>
      <c r="AM960" s="1781">
        <v>46128421.840000004</v>
      </c>
      <c r="AN960" s="1831">
        <v>9.9021853830256849E-3</v>
      </c>
      <c r="AP960" s="1781" t="s">
        <v>4</v>
      </c>
      <c r="AQ960" s="1822" t="s">
        <v>535</v>
      </c>
      <c r="AR960" s="1781" t="s">
        <v>386</v>
      </c>
      <c r="AT960" s="1880">
        <v>16850927693.679989</v>
      </c>
      <c r="AU960" s="1831"/>
      <c r="AV960" s="1822">
        <v>2016</v>
      </c>
    </row>
    <row r="961" spans="1:50">
      <c r="A961" s="333">
        <f t="shared" si="29"/>
        <v>1900</v>
      </c>
      <c r="B961" s="333">
        <f t="shared" si="30"/>
        <v>1</v>
      </c>
      <c r="AI961" s="1781" t="s">
        <v>307</v>
      </c>
      <c r="AJ961" s="1826">
        <v>2018</v>
      </c>
      <c r="AK961" s="1781" t="s">
        <v>381</v>
      </c>
      <c r="AL961" s="1781">
        <v>9</v>
      </c>
      <c r="AM961" s="1781">
        <v>42235675.07</v>
      </c>
      <c r="AN961" s="1831">
        <v>9.06654655932136E-3</v>
      </c>
      <c r="AP961" s="1781" t="s">
        <v>307</v>
      </c>
      <c r="AQ961" s="1822" t="s">
        <v>535</v>
      </c>
      <c r="AR961" s="1781" t="s">
        <v>69</v>
      </c>
      <c r="AS961" s="1781">
        <v>1</v>
      </c>
      <c r="AT961" s="1880">
        <v>784209544.47104001</v>
      </c>
      <c r="AU961" s="1909">
        <v>0.25600000000000001</v>
      </c>
      <c r="AV961" s="1822">
        <v>2016</v>
      </c>
    </row>
    <row r="962" spans="1:50">
      <c r="A962" s="333">
        <f t="shared" si="29"/>
        <v>1900</v>
      </c>
      <c r="B962" s="333">
        <f t="shared" si="30"/>
        <v>1</v>
      </c>
      <c r="AI962" s="1781" t="s">
        <v>307</v>
      </c>
      <c r="AJ962" s="1826">
        <v>2018</v>
      </c>
      <c r="AK962" s="1781" t="s">
        <v>54</v>
      </c>
      <c r="AL962" s="1781">
        <v>10</v>
      </c>
      <c r="AM962" s="1781">
        <v>27321257.399999999</v>
      </c>
      <c r="AN962" s="1831">
        <v>5.8649341312944055E-3</v>
      </c>
      <c r="AP962" s="1781" t="s">
        <v>307</v>
      </c>
      <c r="AQ962" s="1822" t="s">
        <v>535</v>
      </c>
      <c r="AR962" s="1781" t="s">
        <v>24</v>
      </c>
      <c r="AS962" s="1781">
        <v>2</v>
      </c>
      <c r="AT962" s="1880">
        <v>698436625.54452002</v>
      </c>
      <c r="AU962" s="1909">
        <v>0.22800000000000001</v>
      </c>
      <c r="AV962" s="1822">
        <v>2016</v>
      </c>
    </row>
    <row r="963" spans="1:50">
      <c r="A963" s="333">
        <f t="shared" si="29"/>
        <v>1900</v>
      </c>
      <c r="B963" s="333">
        <f t="shared" si="30"/>
        <v>1</v>
      </c>
      <c r="AI963" s="1781" t="s">
        <v>307</v>
      </c>
      <c r="AJ963" s="1826">
        <v>2018</v>
      </c>
      <c r="AK963" s="1781" t="s">
        <v>39</v>
      </c>
      <c r="AM963" s="1781">
        <v>0</v>
      </c>
      <c r="AN963" s="1831">
        <v>0</v>
      </c>
      <c r="AP963" s="1781" t="s">
        <v>307</v>
      </c>
      <c r="AQ963" s="1822" t="s">
        <v>535</v>
      </c>
      <c r="AR963" s="1781" t="s">
        <v>18</v>
      </c>
      <c r="AS963" s="1781">
        <v>3</v>
      </c>
      <c r="AT963" s="1880">
        <v>615727025.15109003</v>
      </c>
      <c r="AU963" s="1909">
        <v>0.20100000000000001</v>
      </c>
      <c r="AV963" s="1822">
        <v>2016</v>
      </c>
    </row>
    <row r="964" spans="1:50">
      <c r="A964" s="333">
        <f t="shared" si="29"/>
        <v>1900</v>
      </c>
      <c r="B964" s="333">
        <f t="shared" si="30"/>
        <v>1</v>
      </c>
      <c r="AI964" s="1781" t="s">
        <v>307</v>
      </c>
      <c r="AJ964" s="1826">
        <v>2018</v>
      </c>
      <c r="AK964" s="1781" t="s">
        <v>386</v>
      </c>
      <c r="AM964" s="1781">
        <v>4658408225.6300001</v>
      </c>
      <c r="AP964" s="1781" t="s">
        <v>307</v>
      </c>
      <c r="AQ964" s="1822" t="s">
        <v>535</v>
      </c>
      <c r="AR964" s="1781" t="s">
        <v>23</v>
      </c>
      <c r="AS964" s="1781">
        <v>4</v>
      </c>
      <c r="AT964" s="1880">
        <v>416611320.50024003</v>
      </c>
      <c r="AU964" s="1909">
        <v>0.13600000000000001</v>
      </c>
      <c r="AV964" s="1822">
        <v>2016</v>
      </c>
    </row>
    <row r="965" spans="1:50">
      <c r="A965" s="333">
        <f t="shared" si="29"/>
        <v>1900</v>
      </c>
      <c r="B965" s="333">
        <f t="shared" si="30"/>
        <v>1</v>
      </c>
      <c r="AI965" s="1781" t="s">
        <v>533</v>
      </c>
      <c r="AJ965" s="1826">
        <v>2018</v>
      </c>
      <c r="AM965" s="1781">
        <v>3279671896.6100001</v>
      </c>
      <c r="AP965" s="1781" t="s">
        <v>307</v>
      </c>
      <c r="AQ965" s="1822" t="s">
        <v>535</v>
      </c>
      <c r="AR965" s="1781" t="s">
        <v>58</v>
      </c>
      <c r="AS965" s="1781">
        <v>5</v>
      </c>
      <c r="AT965" s="1880">
        <v>300205216.24282002</v>
      </c>
      <c r="AU965" s="1909">
        <v>9.8000000000000004E-2</v>
      </c>
      <c r="AV965" s="1822">
        <v>2016</v>
      </c>
    </row>
    <row r="966" spans="1:50">
      <c r="A966" s="333">
        <f t="shared" si="29"/>
        <v>1900</v>
      </c>
      <c r="B966" s="333">
        <f t="shared" si="30"/>
        <v>1</v>
      </c>
      <c r="AI966" s="1781" t="s">
        <v>3</v>
      </c>
      <c r="AJ966" s="1826">
        <v>2018</v>
      </c>
      <c r="AK966" s="1781" t="s">
        <v>18</v>
      </c>
      <c r="AL966" s="1781">
        <v>1</v>
      </c>
      <c r="AM966" s="1781">
        <v>1311401863.4700005</v>
      </c>
      <c r="AN966" s="1831">
        <v>0.50140855911586424</v>
      </c>
      <c r="AP966" s="1781" t="s">
        <v>307</v>
      </c>
      <c r="AQ966" s="1822" t="s">
        <v>535</v>
      </c>
      <c r="AR966" s="1781" t="s">
        <v>21</v>
      </c>
      <c r="AS966" s="1781">
        <v>6</v>
      </c>
      <c r="AT966" s="1880">
        <v>153165926.65450001</v>
      </c>
      <c r="AU966" s="1909">
        <v>0.05</v>
      </c>
      <c r="AV966" s="1822">
        <v>2016</v>
      </c>
    </row>
    <row r="967" spans="1:50">
      <c r="A967" s="333">
        <f t="shared" si="29"/>
        <v>1900</v>
      </c>
      <c r="B967" s="333">
        <f t="shared" si="30"/>
        <v>1</v>
      </c>
      <c r="AI967" s="1781" t="s">
        <v>3</v>
      </c>
      <c r="AJ967" s="1826">
        <v>2018</v>
      </c>
      <c r="AK967" s="1781" t="s">
        <v>23</v>
      </c>
      <c r="AL967" s="1781">
        <v>2</v>
      </c>
      <c r="AM967" s="1781">
        <v>473716584.11474049</v>
      </c>
      <c r="AN967" s="1831">
        <v>0.181123389013466</v>
      </c>
      <c r="AP967" s="1781" t="s">
        <v>307</v>
      </c>
      <c r="AQ967" s="1822" t="s">
        <v>535</v>
      </c>
      <c r="AR967" s="1781" t="s">
        <v>537</v>
      </c>
      <c r="AS967" s="1781">
        <v>7</v>
      </c>
      <c r="AT967" s="1880">
        <v>45949777.996349998</v>
      </c>
      <c r="AU967" s="1909">
        <v>1.4999999999999999E-2</v>
      </c>
      <c r="AV967" s="1822">
        <v>2016</v>
      </c>
    </row>
    <row r="968" spans="1:50">
      <c r="A968" s="333">
        <f t="shared" si="29"/>
        <v>1900</v>
      </c>
      <c r="B968" s="333">
        <f t="shared" si="30"/>
        <v>1</v>
      </c>
      <c r="AI968" s="1781" t="s">
        <v>3</v>
      </c>
      <c r="AJ968" s="1826">
        <v>2018</v>
      </c>
      <c r="AK968" s="1781" t="s">
        <v>537</v>
      </c>
      <c r="AL968" s="1781">
        <v>3</v>
      </c>
      <c r="AM968" s="1781">
        <v>337494394.45923591</v>
      </c>
      <c r="AN968" s="1831">
        <v>0.12903945216893289</v>
      </c>
      <c r="AP968" s="1781" t="s">
        <v>307</v>
      </c>
      <c r="AQ968" s="1822" t="s">
        <v>535</v>
      </c>
      <c r="AR968" s="1781" t="s">
        <v>54</v>
      </c>
      <c r="AS968" s="1781">
        <v>8</v>
      </c>
      <c r="AT968" s="1880">
        <v>24506548.26472</v>
      </c>
      <c r="AU968" s="1909">
        <v>8.0000000000000002E-3</v>
      </c>
      <c r="AV968" s="1822">
        <v>2016</v>
      </c>
    </row>
    <row r="969" spans="1:50">
      <c r="A969" s="333">
        <f t="shared" si="29"/>
        <v>1900</v>
      </c>
      <c r="B969" s="333">
        <f t="shared" si="30"/>
        <v>1</v>
      </c>
      <c r="AI969" s="1781" t="s">
        <v>3</v>
      </c>
      <c r="AJ969" s="1826">
        <v>2018</v>
      </c>
      <c r="AK969" s="1781" t="s">
        <v>27</v>
      </c>
      <c r="AL969" s="1781">
        <v>4</v>
      </c>
      <c r="AM969" s="1781">
        <v>148509267.09000003</v>
      </c>
      <c r="AN969" s="1831">
        <v>5.6781845215559568E-2</v>
      </c>
      <c r="AP969" s="1781" t="s">
        <v>307</v>
      </c>
      <c r="AQ969" s="1822" t="s">
        <v>535</v>
      </c>
      <c r="AR969" s="1781" t="s">
        <v>57</v>
      </c>
      <c r="AS969" s="1781">
        <v>9</v>
      </c>
      <c r="AT969" s="1880">
        <v>21443229.731630001</v>
      </c>
      <c r="AU969" s="1909">
        <v>7.0000000000000001E-3</v>
      </c>
      <c r="AV969" s="1822">
        <v>2016</v>
      </c>
    </row>
    <row r="970" spans="1:50">
      <c r="A970" s="333">
        <f t="shared" ref="A970:A1033" si="31">YEAR(C970)</f>
        <v>1900</v>
      </c>
      <c r="B970" s="333">
        <f t="shared" ref="B970:B1033" si="32">IF(OR(MONTH(C970)=1,MONTH(C970)=2,MONTH(C970)=3),1,IF(OR(MONTH(C970)=4,MONTH(C970)=5,MONTH(C970)=6),2,IF(OR(MONTH(C970)=7,MONTH(C970)=8,MONTH(C970)=9),3,4)))</f>
        <v>1</v>
      </c>
      <c r="AI970" s="1781" t="s">
        <v>3</v>
      </c>
      <c r="AJ970" s="1826">
        <v>2018</v>
      </c>
      <c r="AK970" s="1781" t="s">
        <v>24</v>
      </c>
      <c r="AL970" s="1781">
        <v>5</v>
      </c>
      <c r="AM970" s="1781">
        <v>99628564.416659206</v>
      </c>
      <c r="AN970" s="1831">
        <v>3.8092530079801817E-2</v>
      </c>
      <c r="AP970" s="1781" t="s">
        <v>307</v>
      </c>
      <c r="AQ970" s="1822" t="s">
        <v>535</v>
      </c>
      <c r="AR970" s="1781" t="s">
        <v>25</v>
      </c>
      <c r="AS970" s="1781">
        <v>10</v>
      </c>
      <c r="AT970" s="1880">
        <v>3063318.53309</v>
      </c>
      <c r="AU970" s="1909">
        <v>1E-3</v>
      </c>
      <c r="AV970" s="1822">
        <v>2016</v>
      </c>
    </row>
    <row r="971" spans="1:50">
      <c r="A971" s="333">
        <f t="shared" si="31"/>
        <v>1900</v>
      </c>
      <c r="B971" s="333">
        <f t="shared" si="32"/>
        <v>1</v>
      </c>
      <c r="AI971" s="1781" t="s">
        <v>3</v>
      </c>
      <c r="AJ971" s="1826">
        <v>2018</v>
      </c>
      <c r="AK971" s="1781" t="s">
        <v>70</v>
      </c>
      <c r="AL971" s="1781">
        <v>6</v>
      </c>
      <c r="AM971" s="1781">
        <v>46454610.100000001</v>
      </c>
      <c r="AN971" s="1831">
        <v>1.7761709635593419E-2</v>
      </c>
      <c r="AP971" s="1781" t="s">
        <v>307</v>
      </c>
      <c r="AQ971" s="1822" t="s">
        <v>535</v>
      </c>
      <c r="AR971" s="1781" t="s">
        <v>39</v>
      </c>
      <c r="AT971" s="1781" t="s">
        <v>518</v>
      </c>
      <c r="AU971" s="1909">
        <v>0</v>
      </c>
      <c r="AV971" s="1822">
        <v>2016</v>
      </c>
      <c r="AX971" s="1782">
        <f>SUM(AT961:AT970)</f>
        <v>3063318533.0899997</v>
      </c>
    </row>
    <row r="972" spans="1:50">
      <c r="A972" s="333">
        <f t="shared" si="31"/>
        <v>1900</v>
      </c>
      <c r="B972" s="333">
        <f t="shared" si="32"/>
        <v>1</v>
      </c>
      <c r="AI972" s="1781" t="s">
        <v>3</v>
      </c>
      <c r="AJ972" s="1826">
        <v>2018</v>
      </c>
      <c r="AK972" s="1880" t="s">
        <v>758</v>
      </c>
      <c r="AL972" s="1781">
        <v>7</v>
      </c>
      <c r="AM972" s="1781">
        <v>44350895.299999997</v>
      </c>
      <c r="AN972" s="1831">
        <v>1.6957363816023176E-2</v>
      </c>
      <c r="AP972" s="1781" t="s">
        <v>307</v>
      </c>
      <c r="AQ972" s="1822" t="s">
        <v>535</v>
      </c>
      <c r="AR972" s="1781" t="s">
        <v>386</v>
      </c>
      <c r="AT972" s="1880">
        <v>3063318533.0900002</v>
      </c>
      <c r="AV972" s="1822">
        <v>2016</v>
      </c>
    </row>
    <row r="973" spans="1:50">
      <c r="A973" s="333">
        <f t="shared" si="31"/>
        <v>1900</v>
      </c>
      <c r="B973" s="333">
        <f t="shared" si="32"/>
        <v>1</v>
      </c>
      <c r="AI973" s="1781" t="s">
        <v>3</v>
      </c>
      <c r="AJ973" s="1826">
        <v>2018</v>
      </c>
      <c r="AK973" s="1781" t="s">
        <v>63</v>
      </c>
      <c r="AL973" s="1781">
        <v>8</v>
      </c>
      <c r="AM973" s="1781">
        <v>31461746.760000005</v>
      </c>
      <c r="AN973" s="1831">
        <v>1.2029256286443185E-2</v>
      </c>
      <c r="AP973" s="1781" t="s">
        <v>533</v>
      </c>
      <c r="AQ973" s="1822" t="s">
        <v>535</v>
      </c>
      <c r="AT973" s="1880">
        <v>1679735037.0899999</v>
      </c>
      <c r="AV973" s="1822">
        <v>2016</v>
      </c>
    </row>
    <row r="974" spans="1:50">
      <c r="A974" s="333">
        <f t="shared" si="31"/>
        <v>1900</v>
      </c>
      <c r="B974" s="333">
        <f t="shared" si="32"/>
        <v>1</v>
      </c>
      <c r="AI974" s="1781" t="s">
        <v>3</v>
      </c>
      <c r="AJ974" s="1826">
        <v>2018</v>
      </c>
      <c r="AK974" s="1781" t="s">
        <v>62</v>
      </c>
      <c r="AL974" s="1781">
        <v>9</v>
      </c>
      <c r="AM974" s="1781">
        <v>30426874.020000003</v>
      </c>
      <c r="AN974" s="1831">
        <v>1.1633577384433179E-2</v>
      </c>
      <c r="AP974" s="1822" t="s">
        <v>3</v>
      </c>
      <c r="AQ974" s="1822" t="s">
        <v>499</v>
      </c>
      <c r="AR974" s="1781" t="s">
        <v>18</v>
      </c>
      <c r="AS974" s="1781">
        <v>1</v>
      </c>
      <c r="AT974" s="1880">
        <v>1399822013.5600002</v>
      </c>
      <c r="AU974" s="1909">
        <v>0.40431147064738998</v>
      </c>
      <c r="AV974" s="1822">
        <v>2009</v>
      </c>
    </row>
    <row r="975" spans="1:50">
      <c r="A975" s="333">
        <f t="shared" si="31"/>
        <v>1900</v>
      </c>
      <c r="B975" s="333">
        <f t="shared" si="32"/>
        <v>1</v>
      </c>
      <c r="AI975" s="1781" t="s">
        <v>3</v>
      </c>
      <c r="AJ975" s="1826">
        <v>2018</v>
      </c>
      <c r="AK975" s="1781" t="s">
        <v>25</v>
      </c>
      <c r="AL975" s="1781">
        <v>10</v>
      </c>
      <c r="AM975" s="1781">
        <v>26654791.665688124</v>
      </c>
      <c r="AN975" s="1831">
        <v>1.0191338791651766E-2</v>
      </c>
      <c r="AP975" s="1822" t="s">
        <v>3</v>
      </c>
      <c r="AQ975" s="1822" t="s">
        <v>499</v>
      </c>
      <c r="AR975" s="1781" t="s">
        <v>758</v>
      </c>
      <c r="AS975" s="1781">
        <v>2</v>
      </c>
      <c r="AT975" s="1880">
        <v>320515425.62</v>
      </c>
      <c r="AU975" s="1909">
        <v>9.2574671524153634E-2</v>
      </c>
      <c r="AV975" s="1822">
        <v>2009</v>
      </c>
    </row>
    <row r="976" spans="1:50">
      <c r="A976" s="333">
        <f t="shared" si="31"/>
        <v>1900</v>
      </c>
      <c r="B976" s="333">
        <f t="shared" si="32"/>
        <v>1</v>
      </c>
      <c r="AI976" s="1781" t="s">
        <v>3</v>
      </c>
      <c r="AJ976" s="1826">
        <v>2018</v>
      </c>
      <c r="AK976" s="1781" t="s">
        <v>39</v>
      </c>
      <c r="AM976" s="1781">
        <v>65336143.850000001</v>
      </c>
      <c r="AP976" s="1822" t="s">
        <v>3</v>
      </c>
      <c r="AQ976" s="1822" t="s">
        <v>499</v>
      </c>
      <c r="AR976" s="1781" t="s">
        <v>57</v>
      </c>
      <c r="AS976" s="1781">
        <v>3</v>
      </c>
      <c r="AT976" s="1880">
        <v>268601489.02999997</v>
      </c>
      <c r="AU976" s="1909">
        <v>7.7580336639807568E-2</v>
      </c>
      <c r="AV976" s="1822">
        <v>2009</v>
      </c>
    </row>
    <row r="977" spans="1:48">
      <c r="A977" s="333">
        <f t="shared" si="31"/>
        <v>1900</v>
      </c>
      <c r="B977" s="333">
        <f t="shared" si="32"/>
        <v>1</v>
      </c>
      <c r="AI977" s="1781" t="s">
        <v>3</v>
      </c>
      <c r="AJ977" s="1826">
        <v>2018</v>
      </c>
      <c r="AK977" s="1781" t="s">
        <v>386</v>
      </c>
      <c r="AM977" s="1781">
        <v>2615435735.2463245</v>
      </c>
      <c r="AP977" s="1822" t="s">
        <v>3</v>
      </c>
      <c r="AQ977" s="1822" t="s">
        <v>499</v>
      </c>
      <c r="AR977" s="1781" t="s">
        <v>27</v>
      </c>
      <c r="AS977" s="1781">
        <v>4</v>
      </c>
      <c r="AT977" s="1880">
        <v>267555154.00999999</v>
      </c>
      <c r="AU977" s="1909">
        <v>7.7278123039344046E-2</v>
      </c>
      <c r="AV977" s="1822">
        <v>2009</v>
      </c>
    </row>
    <row r="978" spans="1:48">
      <c r="A978" s="333">
        <f t="shared" si="31"/>
        <v>1900</v>
      </c>
      <c r="B978" s="333">
        <f t="shared" si="32"/>
        <v>1</v>
      </c>
      <c r="AI978" s="1781" t="s">
        <v>1</v>
      </c>
      <c r="AJ978" s="1826">
        <v>2018</v>
      </c>
      <c r="AK978" s="1781" t="s">
        <v>370</v>
      </c>
      <c r="AL978" s="1781">
        <v>1</v>
      </c>
      <c r="AM978" s="1781">
        <v>6701769000</v>
      </c>
      <c r="AN978" s="1831">
        <v>0.38370601678299338</v>
      </c>
      <c r="AP978" s="1822" t="s">
        <v>3</v>
      </c>
      <c r="AQ978" s="1822" t="s">
        <v>499</v>
      </c>
      <c r="AR978" s="1781" t="s">
        <v>56</v>
      </c>
      <c r="AS978" s="1781">
        <v>5</v>
      </c>
      <c r="AT978" s="1880">
        <v>252880396.18000001</v>
      </c>
      <c r="AU978" s="1909">
        <v>7.3039603526029298E-2</v>
      </c>
      <c r="AV978" s="1822">
        <v>2009</v>
      </c>
    </row>
    <row r="979" spans="1:48">
      <c r="A979" s="333">
        <f t="shared" si="31"/>
        <v>1900</v>
      </c>
      <c r="B979" s="333">
        <f t="shared" si="32"/>
        <v>1</v>
      </c>
      <c r="AG979" s="1809"/>
      <c r="AI979" s="1781" t="s">
        <v>1</v>
      </c>
      <c r="AJ979" s="1826">
        <v>2018</v>
      </c>
      <c r="AK979" s="1781" t="s">
        <v>18</v>
      </c>
      <c r="AL979" s="1781">
        <v>2</v>
      </c>
      <c r="AM979" s="1781">
        <v>5789108000</v>
      </c>
      <c r="AN979" s="1831">
        <v>0.33145212426846721</v>
      </c>
      <c r="AP979" s="1822" t="s">
        <v>3</v>
      </c>
      <c r="AQ979" s="1822" t="s">
        <v>499</v>
      </c>
      <c r="AR979" s="1781" t="s">
        <v>23</v>
      </c>
      <c r="AS979" s="1781">
        <v>6</v>
      </c>
      <c r="AT979" s="1880">
        <v>244881844.29000002</v>
      </c>
      <c r="AU979" s="1909">
        <v>7.0729376764077659E-2</v>
      </c>
      <c r="AV979" s="1822">
        <v>2009</v>
      </c>
    </row>
    <row r="980" spans="1:48">
      <c r="A980" s="333">
        <f t="shared" si="31"/>
        <v>1900</v>
      </c>
      <c r="B980" s="333">
        <f t="shared" si="32"/>
        <v>1</v>
      </c>
      <c r="AI980" s="1781" t="s">
        <v>1</v>
      </c>
      <c r="AJ980" s="1826">
        <v>2018</v>
      </c>
      <c r="AK980" s="1781" t="s">
        <v>63</v>
      </c>
      <c r="AL980" s="1781">
        <v>3</v>
      </c>
      <c r="AM980" s="1781">
        <v>1572102000</v>
      </c>
      <c r="AN980" s="1831">
        <v>9.0009816273371623E-2</v>
      </c>
      <c r="AP980" s="1822" t="s">
        <v>3</v>
      </c>
      <c r="AQ980" s="1822" t="s">
        <v>499</v>
      </c>
      <c r="AR980" s="1781" t="s">
        <v>61</v>
      </c>
      <c r="AS980" s="1781">
        <v>7</v>
      </c>
      <c r="AT980" s="1880">
        <v>162518266.65000001</v>
      </c>
      <c r="AU980" s="1909">
        <v>4.6940252946314848E-2</v>
      </c>
      <c r="AV980" s="1822">
        <v>2009</v>
      </c>
    </row>
    <row r="981" spans="1:48">
      <c r="A981" s="333">
        <f t="shared" si="31"/>
        <v>1900</v>
      </c>
      <c r="B981" s="333">
        <f t="shared" si="32"/>
        <v>1</v>
      </c>
      <c r="AI981" s="1781" t="s">
        <v>1</v>
      </c>
      <c r="AJ981" s="1826">
        <v>2018</v>
      </c>
      <c r="AK981" s="1781" t="s">
        <v>33</v>
      </c>
      <c r="AL981" s="1781">
        <v>4</v>
      </c>
      <c r="AM981" s="1781">
        <v>1427440000</v>
      </c>
      <c r="AN981" s="1831">
        <v>8.1727274783227541E-2</v>
      </c>
      <c r="AP981" s="1822" t="s">
        <v>3</v>
      </c>
      <c r="AQ981" s="1822" t="s">
        <v>499</v>
      </c>
      <c r="AR981" s="1781" t="s">
        <v>24</v>
      </c>
      <c r="AS981" s="1781">
        <v>8</v>
      </c>
      <c r="AT981" s="1880">
        <v>145823727.25</v>
      </c>
      <c r="AU981" s="1909">
        <v>4.2118358654604962E-2</v>
      </c>
      <c r="AV981" s="1822">
        <v>2009</v>
      </c>
    </row>
    <row r="982" spans="1:48">
      <c r="A982" s="333">
        <f t="shared" si="31"/>
        <v>1900</v>
      </c>
      <c r="B982" s="333">
        <f t="shared" si="32"/>
        <v>1</v>
      </c>
      <c r="AI982" s="1781" t="s">
        <v>1</v>
      </c>
      <c r="AJ982" s="1826">
        <v>2018</v>
      </c>
      <c r="AK982" s="1781" t="s">
        <v>61</v>
      </c>
      <c r="AL982" s="1781">
        <v>5</v>
      </c>
      <c r="AM982" s="1781">
        <v>773060000</v>
      </c>
      <c r="AN982" s="1831">
        <v>4.4261115734406969E-2</v>
      </c>
      <c r="AP982" s="1822" t="s">
        <v>3</v>
      </c>
      <c r="AQ982" s="1822" t="s">
        <v>499</v>
      </c>
      <c r="AR982" s="1781" t="s">
        <v>54</v>
      </c>
      <c r="AS982" s="1781">
        <v>9</v>
      </c>
      <c r="AT982" s="1880">
        <v>106442005.94</v>
      </c>
      <c r="AU982" s="1909">
        <v>3.0743711374285367E-2</v>
      </c>
      <c r="AV982" s="1822">
        <v>2009</v>
      </c>
    </row>
    <row r="983" spans="1:48">
      <c r="A983" s="333">
        <f t="shared" si="31"/>
        <v>1900</v>
      </c>
      <c r="B983" s="333">
        <f t="shared" si="32"/>
        <v>1</v>
      </c>
      <c r="AI983" s="1781" t="s">
        <v>1</v>
      </c>
      <c r="AJ983" s="1826">
        <v>2018</v>
      </c>
      <c r="AK983" s="1781" t="s">
        <v>21</v>
      </c>
      <c r="AL983" s="1781">
        <v>6</v>
      </c>
      <c r="AM983" s="1781">
        <v>709187000</v>
      </c>
      <c r="AN983" s="1831">
        <v>4.0604103024780583E-2</v>
      </c>
      <c r="AP983" s="1822" t="s">
        <v>3</v>
      </c>
      <c r="AQ983" s="1822" t="s">
        <v>499</v>
      </c>
      <c r="AR983" s="1781" t="s">
        <v>21</v>
      </c>
      <c r="AS983" s="1781">
        <v>10</v>
      </c>
      <c r="AT983" s="1880">
        <v>76825484.26000002</v>
      </c>
      <c r="AU983" s="1909">
        <v>2.2189552831337257E-2</v>
      </c>
      <c r="AV983" s="1822">
        <v>2009</v>
      </c>
    </row>
    <row r="984" spans="1:48">
      <c r="A984" s="333">
        <f t="shared" si="31"/>
        <v>1900</v>
      </c>
      <c r="B984" s="333">
        <f t="shared" si="32"/>
        <v>1</v>
      </c>
      <c r="AI984" s="1781" t="s">
        <v>1</v>
      </c>
      <c r="AJ984" s="1826">
        <v>2018</v>
      </c>
      <c r="AK984" s="1781" t="s">
        <v>371</v>
      </c>
      <c r="AL984" s="1781">
        <v>7</v>
      </c>
      <c r="AM984" s="1781">
        <v>157727000</v>
      </c>
      <c r="AN984" s="1831">
        <v>9.0305707208247852E-3</v>
      </c>
      <c r="AP984" s="1822" t="s">
        <v>3</v>
      </c>
      <c r="AQ984" s="1822" t="s">
        <v>499</v>
      </c>
      <c r="AR984" s="1781" t="s">
        <v>39</v>
      </c>
      <c r="AT984" s="1880">
        <v>216370897.29999924</v>
      </c>
      <c r="AU984" s="1909">
        <v>6.2494542052655318E-2</v>
      </c>
      <c r="AV984" s="1822">
        <v>2009</v>
      </c>
    </row>
    <row r="985" spans="1:48">
      <c r="A985" s="333">
        <f t="shared" si="31"/>
        <v>1900</v>
      </c>
      <c r="B985" s="333">
        <f t="shared" si="32"/>
        <v>1</v>
      </c>
      <c r="AI985" s="1781" t="s">
        <v>1</v>
      </c>
      <c r="AJ985" s="1826">
        <v>2018</v>
      </c>
      <c r="AK985" s="1781" t="s">
        <v>372</v>
      </c>
      <c r="AL985" s="1781">
        <v>8</v>
      </c>
      <c r="AM985" s="1781">
        <v>116958000</v>
      </c>
      <c r="AN985" s="1831">
        <v>6.6963645435862288E-3</v>
      </c>
      <c r="AP985" s="1822" t="s">
        <v>3</v>
      </c>
      <c r="AQ985" s="1822" t="s">
        <v>499</v>
      </c>
      <c r="AR985" s="1822" t="s">
        <v>386</v>
      </c>
      <c r="AT985" s="1880">
        <v>3462236704.0899997</v>
      </c>
      <c r="AV985" s="1822">
        <v>2009</v>
      </c>
    </row>
    <row r="986" spans="1:48">
      <c r="A986" s="333">
        <f t="shared" si="31"/>
        <v>1900</v>
      </c>
      <c r="B986" s="333">
        <f t="shared" si="32"/>
        <v>1</v>
      </c>
      <c r="AI986" s="1781" t="s">
        <v>1</v>
      </c>
      <c r="AJ986" s="1826">
        <v>2018</v>
      </c>
      <c r="AK986" s="1781" t="s">
        <v>758</v>
      </c>
      <c r="AL986" s="1781">
        <v>9</v>
      </c>
      <c r="AM986" s="1781">
        <v>98194000</v>
      </c>
      <c r="AN986" s="1831">
        <v>5.6220422715240184E-3</v>
      </c>
      <c r="AP986" s="1781" t="s">
        <v>3</v>
      </c>
      <c r="AQ986" s="1781" t="s">
        <v>498</v>
      </c>
      <c r="AR986" s="1822" t="s">
        <v>540</v>
      </c>
      <c r="AS986" s="1822">
        <v>10</v>
      </c>
      <c r="AT986" s="1823">
        <v>0</v>
      </c>
      <c r="AU986" s="1825">
        <v>0</v>
      </c>
      <c r="AV986" s="1781">
        <v>2008</v>
      </c>
    </row>
    <row r="987" spans="1:48">
      <c r="A987" s="333">
        <f t="shared" si="31"/>
        <v>1900</v>
      </c>
      <c r="B987" s="333">
        <f t="shared" si="32"/>
        <v>1</v>
      </c>
      <c r="AI987" s="1781" t="s">
        <v>1</v>
      </c>
      <c r="AJ987" s="1826">
        <v>2018</v>
      </c>
      <c r="AK987" s="1781" t="s">
        <v>58</v>
      </c>
      <c r="AL987" s="1781">
        <v>10</v>
      </c>
      <c r="AM987" s="1781">
        <v>51469000</v>
      </c>
      <c r="AN987" s="1831">
        <v>2.9468286623731562E-3</v>
      </c>
      <c r="AP987" s="1781" t="s">
        <v>457</v>
      </c>
      <c r="AQ987" s="1781" t="s">
        <v>558</v>
      </c>
      <c r="AR987" s="1781" t="s">
        <v>18</v>
      </c>
      <c r="AS987" s="1781">
        <v>1</v>
      </c>
      <c r="AT987" s="1781">
        <v>337323211.82999998</v>
      </c>
      <c r="AU987" s="1831">
        <v>0.33463862169216807</v>
      </c>
      <c r="AV987" s="1781">
        <f>_xlfn.NUMBERVALUE(LEFT(AQ987,4))</f>
        <v>2017</v>
      </c>
    </row>
    <row r="988" spans="1:48">
      <c r="A988" s="333">
        <f t="shared" si="31"/>
        <v>1900</v>
      </c>
      <c r="B988" s="333">
        <f t="shared" si="32"/>
        <v>1</v>
      </c>
      <c r="AI988" s="1781" t="s">
        <v>1</v>
      </c>
      <c r="AJ988" s="1826">
        <v>2018</v>
      </c>
      <c r="AK988" s="1781" t="s">
        <v>39</v>
      </c>
      <c r="AM988" s="1781">
        <v>68881000</v>
      </c>
      <c r="AN988" s="1831">
        <v>3.943742934444527E-3</v>
      </c>
      <c r="AP988" s="1781" t="s">
        <v>457</v>
      </c>
      <c r="AQ988" s="1781" t="s">
        <v>558</v>
      </c>
      <c r="AR988" s="1781" t="s">
        <v>25</v>
      </c>
      <c r="AS988" s="1781">
        <v>2</v>
      </c>
      <c r="AT988" s="1781">
        <v>104662015.46000001</v>
      </c>
      <c r="AU988" s="1831">
        <v>0.10382906176853826</v>
      </c>
      <c r="AV988" s="1781">
        <f t="shared" ref="AV988:AV1051" si="33">_xlfn.NUMBERVALUE(LEFT(AQ988,4))</f>
        <v>2017</v>
      </c>
    </row>
    <row r="989" spans="1:48">
      <c r="A989" s="333">
        <f t="shared" si="31"/>
        <v>1900</v>
      </c>
      <c r="B989" s="333">
        <f t="shared" si="32"/>
        <v>1</v>
      </c>
      <c r="AI989" s="1781" t="s">
        <v>1</v>
      </c>
      <c r="AJ989" s="1826">
        <v>2018</v>
      </c>
      <c r="AK989" s="1781" t="s">
        <v>114</v>
      </c>
      <c r="AM989" s="1781">
        <v>17465895000</v>
      </c>
      <c r="AP989" s="1781" t="s">
        <v>457</v>
      </c>
      <c r="AQ989" s="1781" t="s">
        <v>558</v>
      </c>
      <c r="AR989" s="1781" t="s">
        <v>758</v>
      </c>
      <c r="AS989" s="1781">
        <v>3</v>
      </c>
      <c r="AT989" s="1781">
        <v>100616447.56</v>
      </c>
      <c r="AU989" s="1831">
        <v>9.9815690560925208E-2</v>
      </c>
      <c r="AV989" s="1781">
        <f t="shared" si="33"/>
        <v>2017</v>
      </c>
    </row>
    <row r="990" spans="1:48">
      <c r="A990" s="333">
        <f t="shared" si="31"/>
        <v>1900</v>
      </c>
      <c r="B990" s="333">
        <f t="shared" si="32"/>
        <v>1</v>
      </c>
      <c r="AI990" s="1781" t="s">
        <v>4</v>
      </c>
      <c r="AJ990" s="1826">
        <v>2018</v>
      </c>
      <c r="AK990" s="1781" t="s">
        <v>23</v>
      </c>
      <c r="AL990" s="1781">
        <v>1</v>
      </c>
      <c r="AM990" s="1781">
        <v>17155691057.169285</v>
      </c>
      <c r="AN990" s="1831">
        <v>0.50778680240504515</v>
      </c>
      <c r="AP990" s="1781" t="s">
        <v>457</v>
      </c>
      <c r="AQ990" s="1781" t="s">
        <v>558</v>
      </c>
      <c r="AR990" s="1781" t="s">
        <v>31</v>
      </c>
      <c r="AS990" s="1781">
        <v>4</v>
      </c>
      <c r="AT990" s="1781">
        <v>96490586.5</v>
      </c>
      <c r="AU990" s="1831">
        <v>9.5722665207224972E-2</v>
      </c>
      <c r="AV990" s="1781">
        <f t="shared" si="33"/>
        <v>2017</v>
      </c>
    </row>
    <row r="991" spans="1:48">
      <c r="A991" s="333">
        <f t="shared" si="31"/>
        <v>1900</v>
      </c>
      <c r="B991" s="333">
        <f t="shared" si="32"/>
        <v>1</v>
      </c>
      <c r="AI991" s="1781" t="s">
        <v>4</v>
      </c>
      <c r="AJ991" s="1826">
        <v>2018</v>
      </c>
      <c r="AK991" s="1781" t="s">
        <v>18</v>
      </c>
      <c r="AL991" s="1781">
        <v>2</v>
      </c>
      <c r="AM991" s="1781">
        <v>4062799440.0511003</v>
      </c>
      <c r="AN991" s="1831">
        <v>0.12025373560305651</v>
      </c>
      <c r="AP991" s="1781" t="s">
        <v>457</v>
      </c>
      <c r="AQ991" s="1781" t="s">
        <v>558</v>
      </c>
      <c r="AR991" s="1781" t="s">
        <v>27</v>
      </c>
      <c r="AS991" s="1781">
        <v>5</v>
      </c>
      <c r="AT991" s="1781">
        <v>72449178.929999992</v>
      </c>
      <c r="AU991" s="1831">
        <v>7.1872591418591147E-2</v>
      </c>
      <c r="AV991" s="1781">
        <f t="shared" si="33"/>
        <v>2017</v>
      </c>
    </row>
    <row r="992" spans="1:48">
      <c r="A992" s="333">
        <f t="shared" si="31"/>
        <v>1900</v>
      </c>
      <c r="B992" s="333">
        <f t="shared" si="32"/>
        <v>1</v>
      </c>
      <c r="AI992" s="1781" t="s">
        <v>4</v>
      </c>
      <c r="AJ992" s="1826">
        <v>2018</v>
      </c>
      <c r="AK992" s="1781" t="s">
        <v>61</v>
      </c>
      <c r="AL992" s="1781">
        <v>3</v>
      </c>
      <c r="AM992" s="1781">
        <v>4047099474.4535003</v>
      </c>
      <c r="AN992" s="1831">
        <v>0.11978903643692511</v>
      </c>
      <c r="AP992" s="1781" t="s">
        <v>457</v>
      </c>
      <c r="AQ992" s="1781" t="s">
        <v>558</v>
      </c>
      <c r="AR992" s="1781" t="s">
        <v>537</v>
      </c>
      <c r="AS992" s="1781">
        <v>6</v>
      </c>
      <c r="AT992" s="1781">
        <v>62005005.68</v>
      </c>
      <c r="AU992" s="1831">
        <v>6.1511538225324423E-2</v>
      </c>
      <c r="AV992" s="1781">
        <f t="shared" si="33"/>
        <v>2017</v>
      </c>
    </row>
    <row r="993" spans="1:48">
      <c r="A993" s="333">
        <f t="shared" si="31"/>
        <v>1900</v>
      </c>
      <c r="B993" s="333">
        <f t="shared" si="32"/>
        <v>1</v>
      </c>
      <c r="AI993" s="1781" t="s">
        <v>4</v>
      </c>
      <c r="AJ993" s="1826">
        <v>2018</v>
      </c>
      <c r="AK993" s="1781" t="s">
        <v>24</v>
      </c>
      <c r="AL993" s="1781">
        <v>4</v>
      </c>
      <c r="AM993" s="1781">
        <v>3123236534.3716006</v>
      </c>
      <c r="AN993" s="1831">
        <v>9.244385945504735E-2</v>
      </c>
      <c r="AP993" s="1781" t="s">
        <v>457</v>
      </c>
      <c r="AQ993" s="1781" t="s">
        <v>558</v>
      </c>
      <c r="AR993" s="1781" t="s">
        <v>63</v>
      </c>
      <c r="AS993" s="1781">
        <v>7</v>
      </c>
      <c r="AT993" s="1781">
        <v>52313733.399999991</v>
      </c>
      <c r="AU993" s="1831">
        <v>5.1897394032196308E-2</v>
      </c>
      <c r="AV993" s="1781">
        <f t="shared" si="33"/>
        <v>2017</v>
      </c>
    </row>
    <row r="994" spans="1:48">
      <c r="A994" s="333">
        <f t="shared" si="31"/>
        <v>1900</v>
      </c>
      <c r="B994" s="333">
        <f t="shared" si="32"/>
        <v>1</v>
      </c>
      <c r="AI994" s="1781" t="s">
        <v>4</v>
      </c>
      <c r="AJ994" s="1826">
        <v>2018</v>
      </c>
      <c r="AK994" s="1781" t="s">
        <v>537</v>
      </c>
      <c r="AL994" s="1781">
        <v>5</v>
      </c>
      <c r="AM994" s="1781">
        <v>1128269839.5990002</v>
      </c>
      <c r="AN994" s="1831">
        <v>3.3395363217420995E-2</v>
      </c>
      <c r="AP994" s="1781" t="s">
        <v>457</v>
      </c>
      <c r="AQ994" s="1781" t="s">
        <v>558</v>
      </c>
      <c r="AR994" s="1781" t="s">
        <v>70</v>
      </c>
      <c r="AS994" s="1781">
        <v>8</v>
      </c>
      <c r="AT994" s="1781">
        <v>45668295.689999998</v>
      </c>
      <c r="AU994" s="1831">
        <v>4.5304844104335759E-2</v>
      </c>
      <c r="AV994" s="1781">
        <f t="shared" si="33"/>
        <v>2017</v>
      </c>
    </row>
    <row r="995" spans="1:48">
      <c r="A995" s="333">
        <f t="shared" si="31"/>
        <v>1900</v>
      </c>
      <c r="B995" s="333">
        <f t="shared" si="32"/>
        <v>1</v>
      </c>
      <c r="AI995" s="1781" t="s">
        <v>4</v>
      </c>
      <c r="AJ995" s="1826">
        <v>2018</v>
      </c>
      <c r="AK995" s="1781" t="s">
        <v>33</v>
      </c>
      <c r="AL995" s="1781">
        <v>6</v>
      </c>
      <c r="AM995" s="1781">
        <v>972422002.8132</v>
      </c>
      <c r="AN995" s="1831">
        <v>2.8782463950379599E-2</v>
      </c>
      <c r="AP995" s="1781" t="s">
        <v>457</v>
      </c>
      <c r="AQ995" s="1781" t="s">
        <v>558</v>
      </c>
      <c r="AR995" s="1781" t="s">
        <v>23</v>
      </c>
      <c r="AS995" s="1781">
        <v>9</v>
      </c>
      <c r="AT995" s="1781">
        <v>36690745.719999999</v>
      </c>
      <c r="AU995" s="1831">
        <v>3.639874205510174E-2</v>
      </c>
      <c r="AV995" s="1781">
        <f t="shared" si="33"/>
        <v>2017</v>
      </c>
    </row>
    <row r="996" spans="1:48">
      <c r="A996" s="333">
        <f t="shared" si="31"/>
        <v>1900</v>
      </c>
      <c r="B996" s="333">
        <f t="shared" si="32"/>
        <v>1</v>
      </c>
      <c r="AI996" s="1781" t="s">
        <v>4</v>
      </c>
      <c r="AJ996" s="1826">
        <v>2018</v>
      </c>
      <c r="AK996" s="1781" t="s">
        <v>25</v>
      </c>
      <c r="AL996" s="1781">
        <v>7</v>
      </c>
      <c r="AM996" s="1781">
        <v>874233343.37600029</v>
      </c>
      <c r="AN996" s="1831">
        <v>2.5876203558891739E-2</v>
      </c>
      <c r="AP996" s="1781" t="s">
        <v>457</v>
      </c>
      <c r="AQ996" s="1781" t="s">
        <v>558</v>
      </c>
      <c r="AR996" s="1781" t="s">
        <v>66</v>
      </c>
      <c r="AS996" s="1781">
        <v>10</v>
      </c>
      <c r="AT996" s="1781">
        <v>22922907.990000002</v>
      </c>
      <c r="AU996" s="1831">
        <v>2.2740475798670706E-2</v>
      </c>
      <c r="AV996" s="1781">
        <f t="shared" si="33"/>
        <v>2017</v>
      </c>
    </row>
    <row r="997" spans="1:48">
      <c r="A997" s="333">
        <f t="shared" si="31"/>
        <v>1900</v>
      </c>
      <c r="B997" s="333">
        <f t="shared" si="32"/>
        <v>1</v>
      </c>
      <c r="AI997" s="1781" t="s">
        <v>4</v>
      </c>
      <c r="AJ997" s="1826">
        <v>2018</v>
      </c>
      <c r="AK997" s="1781" t="s">
        <v>21</v>
      </c>
      <c r="AL997" s="1781">
        <v>8</v>
      </c>
      <c r="AM997" s="1781">
        <v>838450450.84820008</v>
      </c>
      <c r="AN997" s="1831">
        <v>2.4817075103095616E-2</v>
      </c>
      <c r="AP997" s="1781" t="s">
        <v>457</v>
      </c>
      <c r="AQ997" s="1781" t="s">
        <v>558</v>
      </c>
      <c r="AR997" s="1781" t="s">
        <v>39</v>
      </c>
      <c r="AT997" s="1781">
        <v>76880227.190000176</v>
      </c>
      <c r="AU997" s="1831">
        <v>7.6268375136923652E-2</v>
      </c>
      <c r="AV997" s="1781">
        <f t="shared" si="33"/>
        <v>2017</v>
      </c>
    </row>
    <row r="998" spans="1:48">
      <c r="A998" s="333">
        <f t="shared" si="31"/>
        <v>1900</v>
      </c>
      <c r="B998" s="333">
        <f t="shared" si="32"/>
        <v>1</v>
      </c>
      <c r="AI998" s="1781" t="s">
        <v>4</v>
      </c>
      <c r="AJ998" s="1826">
        <v>2018</v>
      </c>
      <c r="AK998" s="1781" t="s">
        <v>22</v>
      </c>
      <c r="AL998" s="1781">
        <v>9</v>
      </c>
      <c r="AM998" s="1781">
        <v>676750721.11200023</v>
      </c>
      <c r="AN998" s="1831">
        <v>2.003096719063167E-2</v>
      </c>
      <c r="AP998" s="1781" t="s">
        <v>457</v>
      </c>
      <c r="AQ998" s="1781" t="s">
        <v>558</v>
      </c>
      <c r="AR998" s="1781" t="s">
        <v>386</v>
      </c>
      <c r="AT998" s="1781">
        <v>1008022355.9499999</v>
      </c>
      <c r="AV998" s="1781">
        <f t="shared" si="33"/>
        <v>2017</v>
      </c>
    </row>
    <row r="999" spans="1:48">
      <c r="A999" s="333">
        <f t="shared" si="31"/>
        <v>1900</v>
      </c>
      <c r="B999" s="333">
        <f t="shared" si="32"/>
        <v>1</v>
      </c>
      <c r="AI999" s="1781" t="s">
        <v>4</v>
      </c>
      <c r="AJ999" s="1826">
        <v>2018</v>
      </c>
      <c r="AK999" s="1781" t="s">
        <v>125</v>
      </c>
      <c r="AL999" s="1781">
        <v>10</v>
      </c>
      <c r="AM999" s="1781">
        <v>359232314.81600004</v>
      </c>
      <c r="AN999" s="1831">
        <v>1.0632823117011626E-2</v>
      </c>
      <c r="AP999" s="1781" t="s">
        <v>0</v>
      </c>
      <c r="AQ999" s="1781" t="s">
        <v>558</v>
      </c>
      <c r="AR999" s="1781" t="s">
        <v>34</v>
      </c>
      <c r="AS999" s="1781">
        <v>1</v>
      </c>
      <c r="AT999" s="1781">
        <v>1811920569</v>
      </c>
      <c r="AU999" s="1909">
        <v>0.27584234566108368</v>
      </c>
      <c r="AV999" s="1781">
        <f t="shared" si="33"/>
        <v>2017</v>
      </c>
    </row>
    <row r="1000" spans="1:48">
      <c r="A1000" s="333">
        <f t="shared" si="31"/>
        <v>1900</v>
      </c>
      <c r="B1000" s="333">
        <f t="shared" si="32"/>
        <v>1</v>
      </c>
      <c r="AI1000" s="1781" t="s">
        <v>4</v>
      </c>
      <c r="AJ1000" s="1826">
        <v>2018</v>
      </c>
      <c r="AK1000" s="1781" t="s">
        <v>39</v>
      </c>
      <c r="AM1000" s="1781">
        <v>547039202.79249191</v>
      </c>
      <c r="AN1000" s="1831">
        <v>1.6191669962494562E-2</v>
      </c>
      <c r="AP1000" s="1781" t="s">
        <v>0</v>
      </c>
      <c r="AQ1000" s="1781" t="s">
        <v>558</v>
      </c>
      <c r="AR1000" s="1781" t="s">
        <v>17</v>
      </c>
      <c r="AS1000" s="1781">
        <v>2</v>
      </c>
      <c r="AT1000" s="1781">
        <v>801226013.67999995</v>
      </c>
      <c r="AU1000" s="1909">
        <v>0.12197668418773312</v>
      </c>
      <c r="AV1000" s="1781">
        <f t="shared" si="33"/>
        <v>2017</v>
      </c>
    </row>
    <row r="1001" spans="1:48">
      <c r="A1001" s="333">
        <f t="shared" si="31"/>
        <v>1900</v>
      </c>
      <c r="B1001" s="333">
        <f t="shared" si="32"/>
        <v>1</v>
      </c>
      <c r="AI1001" s="1781" t="s">
        <v>4</v>
      </c>
      <c r="AJ1001" s="1826">
        <v>2018</v>
      </c>
      <c r="AK1001" s="1781" t="s">
        <v>386</v>
      </c>
      <c r="AM1001" s="1781">
        <v>33785224381.402382</v>
      </c>
      <c r="AP1001" s="1781" t="s">
        <v>0</v>
      </c>
      <c r="AQ1001" s="1781" t="s">
        <v>558</v>
      </c>
      <c r="AR1001" s="1781" t="s">
        <v>32</v>
      </c>
      <c r="AS1001" s="1781">
        <v>3</v>
      </c>
      <c r="AT1001" s="1781">
        <v>746048839.8599999</v>
      </c>
      <c r="AU1001" s="1909">
        <v>0.11357664650735171</v>
      </c>
      <c r="AV1001" s="1781">
        <f t="shared" si="33"/>
        <v>2017</v>
      </c>
    </row>
    <row r="1002" spans="1:48">
      <c r="A1002" s="333">
        <f t="shared" si="31"/>
        <v>1900</v>
      </c>
      <c r="B1002" s="333">
        <f t="shared" si="32"/>
        <v>1</v>
      </c>
      <c r="AI1002" s="1822" t="s">
        <v>2</v>
      </c>
      <c r="AJ1002" s="1826">
        <v>2018</v>
      </c>
      <c r="AK1002" s="1781" t="s">
        <v>562</v>
      </c>
      <c r="AL1002" s="1781">
        <v>1</v>
      </c>
      <c r="AM1002" s="1781">
        <v>50660973</v>
      </c>
      <c r="AN1002" s="1831">
        <v>0.81270321200577977</v>
      </c>
      <c r="AP1002" s="1781" t="s">
        <v>0</v>
      </c>
      <c r="AQ1002" s="1781" t="s">
        <v>558</v>
      </c>
      <c r="AR1002" s="1781" t="s">
        <v>21</v>
      </c>
      <c r="AS1002" s="1781">
        <v>4</v>
      </c>
      <c r="AT1002" s="1781">
        <v>656964081.34000003</v>
      </c>
      <c r="AU1002" s="1909">
        <v>0.1000146012536958</v>
      </c>
      <c r="AV1002" s="1781">
        <f t="shared" si="33"/>
        <v>2017</v>
      </c>
    </row>
    <row r="1003" spans="1:48">
      <c r="A1003" s="333">
        <f t="shared" si="31"/>
        <v>1900</v>
      </c>
      <c r="B1003" s="333">
        <f t="shared" si="32"/>
        <v>1</v>
      </c>
      <c r="AI1003" s="1822" t="s">
        <v>2</v>
      </c>
      <c r="AJ1003" s="1826">
        <v>2018</v>
      </c>
      <c r="AK1003" s="1781" t="s">
        <v>569</v>
      </c>
      <c r="AL1003" s="1781">
        <v>2</v>
      </c>
      <c r="AM1003" s="1781">
        <v>5102286</v>
      </c>
      <c r="AN1003" s="1831">
        <v>8.18508602425011E-2</v>
      </c>
      <c r="AP1003" s="1781" t="s">
        <v>0</v>
      </c>
      <c r="AQ1003" s="1781" t="s">
        <v>558</v>
      </c>
      <c r="AR1003" s="1781" t="s">
        <v>26</v>
      </c>
      <c r="AS1003" s="1781">
        <v>5</v>
      </c>
      <c r="AT1003" s="1781">
        <v>552007697.13000011</v>
      </c>
      <c r="AU1003" s="1909">
        <v>8.4036298612884877E-2</v>
      </c>
      <c r="AV1003" s="1781">
        <f t="shared" si="33"/>
        <v>2017</v>
      </c>
    </row>
    <row r="1004" spans="1:48">
      <c r="A1004" s="333">
        <f t="shared" si="31"/>
        <v>1900</v>
      </c>
      <c r="B1004" s="333">
        <f t="shared" si="32"/>
        <v>1</v>
      </c>
      <c r="AI1004" s="1822" t="s">
        <v>2</v>
      </c>
      <c r="AJ1004" s="1826">
        <v>2018</v>
      </c>
      <c r="AK1004" s="1781" t="s">
        <v>567</v>
      </c>
      <c r="AL1004" s="1781">
        <v>3</v>
      </c>
      <c r="AM1004" s="1781">
        <v>3736593</v>
      </c>
      <c r="AN1004" s="1831">
        <v>5.9942416286760079E-2</v>
      </c>
      <c r="AP1004" s="1781" t="s">
        <v>0</v>
      </c>
      <c r="AQ1004" s="1781" t="s">
        <v>558</v>
      </c>
      <c r="AR1004" s="1781" t="s">
        <v>387</v>
      </c>
      <c r="AS1004" s="1781">
        <v>6</v>
      </c>
      <c r="AT1004" s="1781">
        <v>317856916.91999996</v>
      </c>
      <c r="AU1004" s="1909">
        <v>4.8389757833701696E-2</v>
      </c>
      <c r="AV1004" s="1781">
        <f t="shared" si="33"/>
        <v>2017</v>
      </c>
    </row>
    <row r="1005" spans="1:48">
      <c r="A1005" s="333">
        <f t="shared" si="31"/>
        <v>1900</v>
      </c>
      <c r="B1005" s="333">
        <f t="shared" si="32"/>
        <v>1</v>
      </c>
      <c r="AI1005" s="1822" t="s">
        <v>2</v>
      </c>
      <c r="AJ1005" s="1826">
        <v>2018</v>
      </c>
      <c r="AK1005" s="1781" t="s">
        <v>761</v>
      </c>
      <c r="AL1005" s="1781">
        <v>4</v>
      </c>
      <c r="AM1005" s="1781">
        <v>1425982</v>
      </c>
      <c r="AN1005" s="1831">
        <v>2.287559995467173E-2</v>
      </c>
      <c r="AP1005" s="1781" t="s">
        <v>0</v>
      </c>
      <c r="AQ1005" s="1781" t="s">
        <v>558</v>
      </c>
      <c r="AR1005" s="1781" t="s">
        <v>25</v>
      </c>
      <c r="AS1005" s="1781">
        <v>7</v>
      </c>
      <c r="AT1005" s="1781">
        <v>299269768.27000004</v>
      </c>
      <c r="AU1005" s="1909">
        <v>4.5560095887981371E-2</v>
      </c>
      <c r="AV1005" s="1781">
        <f t="shared" si="33"/>
        <v>2017</v>
      </c>
    </row>
    <row r="1006" spans="1:48">
      <c r="A1006" s="333">
        <f t="shared" si="31"/>
        <v>1900</v>
      </c>
      <c r="B1006" s="333">
        <f t="shared" si="32"/>
        <v>1</v>
      </c>
      <c r="AI1006" s="1822" t="s">
        <v>2</v>
      </c>
      <c r="AJ1006" s="1826">
        <v>2018</v>
      </c>
      <c r="AK1006" s="1781" t="s">
        <v>565</v>
      </c>
      <c r="AL1006" s="1781">
        <v>5</v>
      </c>
      <c r="AM1006" s="1781">
        <v>439847</v>
      </c>
      <c r="AN1006" s="1831">
        <v>7.0560245594001167E-3</v>
      </c>
      <c r="AP1006" s="1781" t="s">
        <v>0</v>
      </c>
      <c r="AQ1006" s="1781" t="s">
        <v>558</v>
      </c>
      <c r="AR1006" s="1781" t="s">
        <v>16</v>
      </c>
      <c r="AS1006" s="1781">
        <v>8</v>
      </c>
      <c r="AT1006" s="1781">
        <v>231378099.76999998</v>
      </c>
      <c r="AU1006" s="1909">
        <v>3.5224434705979121E-2</v>
      </c>
      <c r="AV1006" s="1781">
        <f t="shared" si="33"/>
        <v>2017</v>
      </c>
    </row>
    <row r="1007" spans="1:48">
      <c r="A1007" s="333">
        <f t="shared" si="31"/>
        <v>1900</v>
      </c>
      <c r="B1007" s="333">
        <f t="shared" si="32"/>
        <v>1</v>
      </c>
      <c r="AI1007" s="1822" t="s">
        <v>2</v>
      </c>
      <c r="AJ1007" s="1826">
        <v>2018</v>
      </c>
      <c r="AK1007" s="1781" t="s">
        <v>39</v>
      </c>
      <c r="AM1007" s="1781">
        <v>1001666</v>
      </c>
      <c r="AN1007" s="1781"/>
      <c r="AP1007" s="1781" t="s">
        <v>0</v>
      </c>
      <c r="AQ1007" s="1781" t="s">
        <v>558</v>
      </c>
      <c r="AR1007" s="1781" t="s">
        <v>758</v>
      </c>
      <c r="AS1007" s="1781">
        <v>9</v>
      </c>
      <c r="AT1007" s="1781">
        <v>213832835.59999999</v>
      </c>
      <c r="AU1007" s="1909">
        <v>3.2553386699406071E-2</v>
      </c>
      <c r="AV1007" s="1781">
        <f t="shared" si="33"/>
        <v>2017</v>
      </c>
    </row>
    <row r="1008" spans="1:48">
      <c r="A1008" s="333">
        <f t="shared" si="31"/>
        <v>1900</v>
      </c>
      <c r="B1008" s="333">
        <f t="shared" si="32"/>
        <v>1</v>
      </c>
      <c r="AI1008" s="1822" t="s">
        <v>2</v>
      </c>
      <c r="AJ1008" s="1826">
        <v>2018</v>
      </c>
      <c r="AK1008" s="1781" t="s">
        <v>386</v>
      </c>
      <c r="AM1008" s="1781">
        <v>62336376</v>
      </c>
      <c r="AN1008" s="1781"/>
      <c r="AP1008" s="1781" t="s">
        <v>0</v>
      </c>
      <c r="AQ1008" s="1781" t="s">
        <v>558</v>
      </c>
      <c r="AR1008" s="1781" t="s">
        <v>18</v>
      </c>
      <c r="AS1008" s="1781">
        <v>10</v>
      </c>
      <c r="AT1008" s="1781">
        <v>196364807.43999997</v>
      </c>
      <c r="AU1008" s="1909">
        <v>2.9894096913658144E-2</v>
      </c>
      <c r="AV1008" s="1781">
        <f t="shared" si="33"/>
        <v>2017</v>
      </c>
    </row>
    <row r="1009" spans="1:48">
      <c r="A1009" s="333">
        <f t="shared" si="31"/>
        <v>1900</v>
      </c>
      <c r="B1009" s="333">
        <f t="shared" si="32"/>
        <v>1</v>
      </c>
      <c r="AI1009" s="1671" t="s">
        <v>457</v>
      </c>
      <c r="AJ1009" s="1826">
        <v>2018</v>
      </c>
      <c r="AK1009" s="1781" t="s">
        <v>18</v>
      </c>
      <c r="AL1009" s="1781">
        <v>1</v>
      </c>
      <c r="AM1009" s="1781">
        <v>497274488.33000004</v>
      </c>
      <c r="AN1009" s="1831">
        <v>0.34690250808418993</v>
      </c>
      <c r="AP1009" s="1781" t="s">
        <v>0</v>
      </c>
      <c r="AQ1009" s="1781" t="s">
        <v>558</v>
      </c>
      <c r="AR1009" s="1781" t="s">
        <v>39</v>
      </c>
      <c r="AT1009" s="1781">
        <v>741812074.50999928</v>
      </c>
      <c r="AU1009" s="1909">
        <v>0.11293165173652421</v>
      </c>
      <c r="AV1009" s="1781">
        <f t="shared" si="33"/>
        <v>2017</v>
      </c>
    </row>
    <row r="1010" spans="1:48">
      <c r="A1010" s="333">
        <f t="shared" si="31"/>
        <v>1900</v>
      </c>
      <c r="B1010" s="333">
        <f t="shared" si="32"/>
        <v>1</v>
      </c>
      <c r="AI1010" s="1671" t="s">
        <v>457</v>
      </c>
      <c r="AJ1010" s="1826">
        <v>2018</v>
      </c>
      <c r="AK1010" s="1781" t="s">
        <v>758</v>
      </c>
      <c r="AL1010" s="1781">
        <v>2</v>
      </c>
      <c r="AM1010" s="1781">
        <v>152671738.78999999</v>
      </c>
      <c r="AN1010" s="1831">
        <v>0.10650497932779263</v>
      </c>
      <c r="AP1010" s="1781" t="s">
        <v>0</v>
      </c>
      <c r="AQ1010" s="1781" t="s">
        <v>558</v>
      </c>
      <c r="AR1010" s="1781" t="s">
        <v>386</v>
      </c>
      <c r="AT1010" s="1781">
        <v>6568681703.5200005</v>
      </c>
      <c r="AV1010" s="1781">
        <f t="shared" si="33"/>
        <v>2017</v>
      </c>
    </row>
    <row r="1011" spans="1:48">
      <c r="A1011" s="333">
        <f t="shared" si="31"/>
        <v>1900</v>
      </c>
      <c r="B1011" s="333">
        <f t="shared" si="32"/>
        <v>1</v>
      </c>
      <c r="AI1011" s="1671" t="s">
        <v>457</v>
      </c>
      <c r="AJ1011" s="1826">
        <v>2018</v>
      </c>
      <c r="AK1011" s="1781" t="s">
        <v>25</v>
      </c>
      <c r="AL1011" s="1781">
        <v>3</v>
      </c>
      <c r="AM1011" s="1781">
        <v>133353205.06000002</v>
      </c>
      <c r="AN1011" s="1831">
        <v>9.3028221599978755E-2</v>
      </c>
      <c r="AP1011" s="1781" t="s">
        <v>1</v>
      </c>
      <c r="AQ1011" s="1781" t="s">
        <v>558</v>
      </c>
      <c r="AR1011" s="1781" t="s">
        <v>370</v>
      </c>
      <c r="AS1011" s="1781">
        <v>1</v>
      </c>
      <c r="AT1011" s="1781">
        <v>7831646000</v>
      </c>
      <c r="AU1011" s="1909">
        <v>0.44246215102483033</v>
      </c>
      <c r="AV1011" s="1781">
        <f t="shared" si="33"/>
        <v>2017</v>
      </c>
    </row>
    <row r="1012" spans="1:48">
      <c r="A1012" s="333">
        <f t="shared" si="31"/>
        <v>1900</v>
      </c>
      <c r="B1012" s="333">
        <f t="shared" si="32"/>
        <v>1</v>
      </c>
      <c r="AI1012" s="1671" t="s">
        <v>457</v>
      </c>
      <c r="AJ1012" s="1826">
        <v>2018</v>
      </c>
      <c r="AK1012" s="1781" t="s">
        <v>70</v>
      </c>
      <c r="AL1012" s="1781">
        <v>4</v>
      </c>
      <c r="AM1012" s="1781">
        <v>104300570.58</v>
      </c>
      <c r="AN1012" s="1831">
        <v>7.2760880314461221E-2</v>
      </c>
      <c r="AP1012" s="1781" t="s">
        <v>1</v>
      </c>
      <c r="AQ1012" s="1781" t="s">
        <v>558</v>
      </c>
      <c r="AR1012" s="1781" t="s">
        <v>63</v>
      </c>
      <c r="AS1012" s="1781">
        <v>2</v>
      </c>
      <c r="AT1012" s="1781">
        <v>3262126000</v>
      </c>
      <c r="AU1012" s="1909">
        <v>0.1842993525082755</v>
      </c>
      <c r="AV1012" s="1781">
        <f t="shared" si="33"/>
        <v>2017</v>
      </c>
    </row>
    <row r="1013" spans="1:48">
      <c r="A1013" s="333">
        <f t="shared" si="31"/>
        <v>1900</v>
      </c>
      <c r="B1013" s="333">
        <f t="shared" si="32"/>
        <v>1</v>
      </c>
      <c r="AI1013" s="1671" t="s">
        <v>457</v>
      </c>
      <c r="AJ1013" s="1826">
        <v>2018</v>
      </c>
      <c r="AK1013" s="1781" t="s">
        <v>31</v>
      </c>
      <c r="AL1013" s="1781">
        <v>5</v>
      </c>
      <c r="AM1013" s="1781">
        <v>104159490.41</v>
      </c>
      <c r="AN1013" s="1831">
        <v>7.2662461702683437E-2</v>
      </c>
      <c r="AP1013" s="1781" t="s">
        <v>1</v>
      </c>
      <c r="AQ1013" s="1781" t="s">
        <v>558</v>
      </c>
      <c r="AR1013" s="1781" t="s">
        <v>18</v>
      </c>
      <c r="AS1013" s="1781">
        <v>3</v>
      </c>
      <c r="AT1013" s="1781">
        <v>2941209000</v>
      </c>
      <c r="AU1013" s="1909">
        <v>0.166168601179572</v>
      </c>
      <c r="AV1013" s="1781">
        <f t="shared" si="33"/>
        <v>2017</v>
      </c>
    </row>
    <row r="1014" spans="1:48">
      <c r="A1014" s="333">
        <f t="shared" si="31"/>
        <v>1900</v>
      </c>
      <c r="B1014" s="333">
        <f t="shared" si="32"/>
        <v>1</v>
      </c>
      <c r="AI1014" s="1671" t="s">
        <v>457</v>
      </c>
      <c r="AJ1014" s="1826">
        <v>2018</v>
      </c>
      <c r="AK1014" s="1781" t="s">
        <v>27</v>
      </c>
      <c r="AL1014" s="1781">
        <v>6</v>
      </c>
      <c r="AM1014" s="1781">
        <v>91812142.260000005</v>
      </c>
      <c r="AN1014" s="1831">
        <v>6.4048856657694303E-2</v>
      </c>
      <c r="AP1014" s="1781" t="s">
        <v>1</v>
      </c>
      <c r="AQ1014" s="1781" t="s">
        <v>558</v>
      </c>
      <c r="AR1014" s="1781" t="s">
        <v>33</v>
      </c>
      <c r="AS1014" s="1781">
        <v>4</v>
      </c>
      <c r="AT1014" s="1781">
        <v>1142513000</v>
      </c>
      <c r="AU1014" s="1909">
        <v>6.4548213690178546E-2</v>
      </c>
      <c r="AV1014" s="1781">
        <f t="shared" si="33"/>
        <v>2017</v>
      </c>
    </row>
    <row r="1015" spans="1:48">
      <c r="A1015" s="333">
        <f t="shared" si="31"/>
        <v>1900</v>
      </c>
      <c r="B1015" s="333">
        <f t="shared" si="32"/>
        <v>1</v>
      </c>
      <c r="AI1015" s="1671" t="s">
        <v>457</v>
      </c>
      <c r="AJ1015" s="1826">
        <v>2018</v>
      </c>
      <c r="AK1015" s="1781" t="s">
        <v>63</v>
      </c>
      <c r="AL1015" s="1781">
        <v>7</v>
      </c>
      <c r="AM1015" s="1781">
        <v>70704398.099999994</v>
      </c>
      <c r="AN1015" s="1831">
        <v>4.9323931971342418E-2</v>
      </c>
      <c r="AP1015" s="1781" t="s">
        <v>1</v>
      </c>
      <c r="AQ1015" s="1781" t="s">
        <v>558</v>
      </c>
      <c r="AR1015" s="1781" t="s">
        <v>61</v>
      </c>
      <c r="AS1015" s="1781">
        <v>5</v>
      </c>
      <c r="AT1015" s="1781">
        <v>862700000</v>
      </c>
      <c r="AU1015" s="1909">
        <v>4.8739702699677839E-2</v>
      </c>
      <c r="AV1015" s="1781">
        <f t="shared" si="33"/>
        <v>2017</v>
      </c>
    </row>
    <row r="1016" spans="1:48">
      <c r="A1016" s="333">
        <f t="shared" si="31"/>
        <v>1900</v>
      </c>
      <c r="B1016" s="333">
        <f t="shared" si="32"/>
        <v>1</v>
      </c>
      <c r="AI1016" s="1671" t="s">
        <v>457</v>
      </c>
      <c r="AJ1016" s="1826">
        <v>2018</v>
      </c>
      <c r="AK1016" s="1781" t="s">
        <v>537</v>
      </c>
      <c r="AL1016" s="1781">
        <v>8</v>
      </c>
      <c r="AM1016" s="1781">
        <v>63001491.090000004</v>
      </c>
      <c r="AN1016" s="1831">
        <v>4.3950324790563433E-2</v>
      </c>
      <c r="AP1016" s="1781" t="s">
        <v>1</v>
      </c>
      <c r="AQ1016" s="1781" t="s">
        <v>558</v>
      </c>
      <c r="AR1016" s="1781" t="s">
        <v>21</v>
      </c>
      <c r="AS1016" s="1781">
        <v>6</v>
      </c>
      <c r="AT1016" s="1781">
        <v>731920000</v>
      </c>
      <c r="AU1016" s="1909">
        <v>4.135106433284827E-2</v>
      </c>
      <c r="AV1016" s="1781">
        <f t="shared" si="33"/>
        <v>2017</v>
      </c>
    </row>
    <row r="1017" spans="1:48">
      <c r="A1017" s="333">
        <f t="shared" si="31"/>
        <v>1900</v>
      </c>
      <c r="B1017" s="333">
        <f t="shared" si="32"/>
        <v>1</v>
      </c>
      <c r="AI1017" s="1671" t="s">
        <v>457</v>
      </c>
      <c r="AJ1017" s="1826">
        <v>2018</v>
      </c>
      <c r="AK1017" s="1781" t="s">
        <v>54</v>
      </c>
      <c r="AL1017" s="1781">
        <v>9</v>
      </c>
      <c r="AM1017" s="1781">
        <v>37609916.329999998</v>
      </c>
      <c r="AN1017" s="1831">
        <v>2.62369669265143E-2</v>
      </c>
      <c r="AP1017" s="1781" t="s">
        <v>1</v>
      </c>
      <c r="AQ1017" s="1781" t="s">
        <v>558</v>
      </c>
      <c r="AR1017" s="1781" t="s">
        <v>71</v>
      </c>
      <c r="AS1017" s="1781">
        <v>7</v>
      </c>
      <c r="AT1017" s="1781">
        <v>579967000</v>
      </c>
      <c r="AU1017" s="1909">
        <v>3.2766221346498273E-2</v>
      </c>
      <c r="AV1017" s="1781">
        <f t="shared" si="33"/>
        <v>2017</v>
      </c>
    </row>
    <row r="1018" spans="1:48">
      <c r="A1018" s="333">
        <f t="shared" si="31"/>
        <v>1900</v>
      </c>
      <c r="B1018" s="333">
        <f t="shared" si="32"/>
        <v>1</v>
      </c>
      <c r="AI1018" s="1671" t="s">
        <v>457</v>
      </c>
      <c r="AJ1018" s="1826">
        <v>2018</v>
      </c>
      <c r="AK1018" s="1781" t="s">
        <v>23</v>
      </c>
      <c r="AL1018" s="1781">
        <v>10</v>
      </c>
      <c r="AM1018" s="1781">
        <v>35324554.43</v>
      </c>
      <c r="AN1018" s="1831">
        <v>2.464268088611736E-2</v>
      </c>
      <c r="AP1018" s="1781" t="s">
        <v>1</v>
      </c>
      <c r="AQ1018" s="1781" t="s">
        <v>558</v>
      </c>
      <c r="AR1018" s="1781" t="s">
        <v>371</v>
      </c>
      <c r="AS1018" s="1781">
        <v>8</v>
      </c>
      <c r="AT1018" s="1781">
        <v>142103000</v>
      </c>
      <c r="AU1018" s="1909">
        <v>8.0283504958065608E-3</v>
      </c>
      <c r="AV1018" s="1781">
        <f t="shared" si="33"/>
        <v>2017</v>
      </c>
    </row>
    <row r="1019" spans="1:48">
      <c r="A1019" s="333">
        <f t="shared" si="31"/>
        <v>1900</v>
      </c>
      <c r="B1019" s="333">
        <f t="shared" si="32"/>
        <v>1</v>
      </c>
      <c r="AI1019" s="1671" t="s">
        <v>457</v>
      </c>
      <c r="AJ1019" s="1826">
        <v>2018</v>
      </c>
      <c r="AK1019" s="1781" t="s">
        <v>39</v>
      </c>
      <c r="AM1019" s="1781">
        <v>143258437.21000099</v>
      </c>
      <c r="AN1019" s="1831">
        <v>9.9938187738662324E-2</v>
      </c>
      <c r="AP1019" s="1781" t="s">
        <v>1</v>
      </c>
      <c r="AQ1019" s="1781" t="s">
        <v>558</v>
      </c>
      <c r="AR1019" s="1781" t="s">
        <v>372</v>
      </c>
      <c r="AS1019" s="1781">
        <v>9</v>
      </c>
      <c r="AT1019" s="1781">
        <v>99514000</v>
      </c>
      <c r="AU1019" s="1909">
        <v>5.6222125587756348E-3</v>
      </c>
      <c r="AV1019" s="1781">
        <f t="shared" si="33"/>
        <v>2017</v>
      </c>
    </row>
    <row r="1020" spans="1:48">
      <c r="A1020" s="333">
        <f t="shared" si="31"/>
        <v>1900</v>
      </c>
      <c r="B1020" s="333">
        <f t="shared" si="32"/>
        <v>1</v>
      </c>
      <c r="AI1020" s="1671" t="s">
        <v>457</v>
      </c>
      <c r="AJ1020" s="1826">
        <v>2018</v>
      </c>
      <c r="AK1020" s="1781" t="s">
        <v>386</v>
      </c>
      <c r="AM1020" s="1781">
        <v>1433470432.5900009</v>
      </c>
      <c r="AN1020" s="1831">
        <v>1</v>
      </c>
      <c r="AP1020" s="1781" t="s">
        <v>1</v>
      </c>
      <c r="AQ1020" s="1781" t="s">
        <v>558</v>
      </c>
      <c r="AR1020" s="1781" t="s">
        <v>758</v>
      </c>
      <c r="AS1020" s="1781">
        <v>10</v>
      </c>
      <c r="AT1020" s="1781">
        <v>61383000</v>
      </c>
      <c r="AU1020" s="1909">
        <v>3.4679369083277208E-3</v>
      </c>
      <c r="AV1020" s="1781">
        <f t="shared" si="33"/>
        <v>2017</v>
      </c>
    </row>
    <row r="1021" spans="1:48">
      <c r="A1021" s="333">
        <f t="shared" si="31"/>
        <v>1900</v>
      </c>
      <c r="B1021" s="333">
        <f t="shared" si="32"/>
        <v>1</v>
      </c>
      <c r="AI1021" s="1822" t="s">
        <v>307</v>
      </c>
      <c r="AJ1021" s="1827">
        <v>2019</v>
      </c>
      <c r="AK1021" s="1822" t="s">
        <v>18</v>
      </c>
      <c r="AL1021" s="1781">
        <v>1</v>
      </c>
      <c r="AM1021" s="1913">
        <v>1368600228.1699998</v>
      </c>
      <c r="AN1021" s="1781">
        <v>0.31570715793888132</v>
      </c>
      <c r="AP1021" s="1781" t="s">
        <v>1</v>
      </c>
      <c r="AQ1021" s="1781" t="s">
        <v>558</v>
      </c>
      <c r="AR1021" s="1781" t="s">
        <v>39</v>
      </c>
      <c r="AT1021" s="1781">
        <v>45068000</v>
      </c>
      <c r="AU1021" s="1909">
        <v>2.5461932552093207E-3</v>
      </c>
      <c r="AV1021" s="1781">
        <f t="shared" si="33"/>
        <v>2017</v>
      </c>
    </row>
    <row r="1022" spans="1:48">
      <c r="A1022" s="333">
        <f t="shared" si="31"/>
        <v>1900</v>
      </c>
      <c r="B1022" s="333">
        <f t="shared" si="32"/>
        <v>1</v>
      </c>
      <c r="AI1022" s="1781" t="s">
        <v>307</v>
      </c>
      <c r="AJ1022" s="1826">
        <v>2019</v>
      </c>
      <c r="AK1022" s="1781" t="s">
        <v>69</v>
      </c>
      <c r="AL1022" s="1781">
        <v>2</v>
      </c>
      <c r="AM1022" s="1781">
        <v>924469747.8499999</v>
      </c>
      <c r="AN1022" s="1831">
        <v>0.21325563936552572</v>
      </c>
      <c r="AP1022" s="1781" t="s">
        <v>1</v>
      </c>
      <c r="AQ1022" s="1781" t="s">
        <v>558</v>
      </c>
      <c r="AR1022" s="1781" t="s">
        <v>114</v>
      </c>
      <c r="AT1022" s="1781">
        <v>17700149000</v>
      </c>
      <c r="AV1022" s="1781">
        <f t="shared" si="33"/>
        <v>2017</v>
      </c>
    </row>
    <row r="1023" spans="1:48">
      <c r="A1023" s="333">
        <f t="shared" si="31"/>
        <v>1900</v>
      </c>
      <c r="B1023" s="333">
        <f t="shared" si="32"/>
        <v>1</v>
      </c>
      <c r="AI1023" s="1781" t="s">
        <v>307</v>
      </c>
      <c r="AJ1023" s="1826">
        <v>2019</v>
      </c>
      <c r="AK1023" s="1781" t="s">
        <v>24</v>
      </c>
      <c r="AL1023" s="1781">
        <v>3</v>
      </c>
      <c r="AM1023" s="1781">
        <v>792521389.20000005</v>
      </c>
      <c r="AN1023" s="1831">
        <v>0.18281794072522034</v>
      </c>
      <c r="AP1023" s="1781" t="s">
        <v>2</v>
      </c>
      <c r="AQ1023" s="1781" t="s">
        <v>558</v>
      </c>
      <c r="AR1023" s="1781" t="s">
        <v>18</v>
      </c>
      <c r="AS1023" s="1781">
        <v>1</v>
      </c>
      <c r="AT1023" s="1781">
        <v>49594679000</v>
      </c>
      <c r="AU1023" s="1909">
        <v>0.83017743113299725</v>
      </c>
      <c r="AV1023" s="1781">
        <f t="shared" si="33"/>
        <v>2017</v>
      </c>
    </row>
    <row r="1024" spans="1:48">
      <c r="A1024" s="333">
        <f t="shared" si="31"/>
        <v>1900</v>
      </c>
      <c r="B1024" s="333">
        <f t="shared" si="32"/>
        <v>1</v>
      </c>
      <c r="AI1024" s="1781" t="s">
        <v>307</v>
      </c>
      <c r="AJ1024" s="1826">
        <v>2019</v>
      </c>
      <c r="AK1024" s="1781" t="s">
        <v>23</v>
      </c>
      <c r="AL1024" s="1781">
        <v>4</v>
      </c>
      <c r="AM1024" s="1781">
        <v>454873935.83999997</v>
      </c>
      <c r="AN1024" s="1831">
        <v>0.10492980678261395</v>
      </c>
      <c r="AP1024" s="1781" t="s">
        <v>2</v>
      </c>
      <c r="AQ1024" s="1781" t="s">
        <v>558</v>
      </c>
      <c r="AR1024" s="1781" t="s">
        <v>23</v>
      </c>
      <c r="AS1024" s="1781">
        <v>2</v>
      </c>
      <c r="AT1024" s="1781">
        <v>5283052000</v>
      </c>
      <c r="AU1024" s="1909">
        <v>7.8169816061696457E-2</v>
      </c>
      <c r="AV1024" s="1781">
        <f t="shared" si="33"/>
        <v>2017</v>
      </c>
    </row>
    <row r="1025" spans="1:48">
      <c r="A1025" s="333">
        <f t="shared" si="31"/>
        <v>1900</v>
      </c>
      <c r="B1025" s="333">
        <f t="shared" si="32"/>
        <v>1</v>
      </c>
      <c r="AI1025" s="1781" t="s">
        <v>307</v>
      </c>
      <c r="AJ1025" s="1826">
        <v>2019</v>
      </c>
      <c r="AK1025" s="1781" t="s">
        <v>58</v>
      </c>
      <c r="AL1025" s="1781">
        <v>5</v>
      </c>
      <c r="AM1025" s="1781">
        <v>377132891.69000006</v>
      </c>
      <c r="AN1025" s="1831">
        <v>8.6996590348319358E-2</v>
      </c>
      <c r="AP1025" s="1781" t="s">
        <v>2</v>
      </c>
      <c r="AQ1025" s="1781" t="s">
        <v>558</v>
      </c>
      <c r="AR1025" s="1781" t="s">
        <v>371</v>
      </c>
      <c r="AS1025" s="1781">
        <v>3</v>
      </c>
      <c r="AT1025" s="1781">
        <v>3543117000</v>
      </c>
      <c r="AU1025" s="1909">
        <v>5.6560991748880102E-2</v>
      </c>
      <c r="AV1025" s="1781">
        <f t="shared" si="33"/>
        <v>2017</v>
      </c>
    </row>
    <row r="1026" spans="1:48">
      <c r="A1026" s="333">
        <f t="shared" si="31"/>
        <v>1900</v>
      </c>
      <c r="B1026" s="333">
        <f t="shared" si="32"/>
        <v>1</v>
      </c>
      <c r="AI1026" s="1781" t="s">
        <v>307</v>
      </c>
      <c r="AJ1026" s="1826">
        <v>2019</v>
      </c>
      <c r="AK1026" s="1781" t="s">
        <v>21</v>
      </c>
      <c r="AL1026" s="1781">
        <v>6</v>
      </c>
      <c r="AM1026" s="1781">
        <v>154806579.99000001</v>
      </c>
      <c r="AN1026" s="1831">
        <v>3.571060737307593E-2</v>
      </c>
      <c r="AP1026" s="1781" t="s">
        <v>2</v>
      </c>
      <c r="AQ1026" s="1781" t="s">
        <v>558</v>
      </c>
      <c r="AR1026" s="1781" t="s">
        <v>537</v>
      </c>
      <c r="AS1026" s="1781">
        <v>4</v>
      </c>
      <c r="AT1026" s="1781">
        <v>1234003000</v>
      </c>
      <c r="AU1026" s="1909">
        <v>1.9968479378269399E-2</v>
      </c>
      <c r="AV1026" s="1781">
        <f t="shared" si="33"/>
        <v>2017</v>
      </c>
    </row>
    <row r="1027" spans="1:48">
      <c r="A1027" s="333">
        <f t="shared" si="31"/>
        <v>1900</v>
      </c>
      <c r="B1027" s="333">
        <f t="shared" si="32"/>
        <v>1</v>
      </c>
      <c r="AI1027" s="1781" t="s">
        <v>307</v>
      </c>
      <c r="AJ1027" s="1826">
        <v>2019</v>
      </c>
      <c r="AK1027" s="1781" t="s">
        <v>537</v>
      </c>
      <c r="AL1027" s="1781">
        <v>7</v>
      </c>
      <c r="AM1027" s="1781">
        <v>150962776.15000001</v>
      </c>
      <c r="AN1027" s="1831">
        <v>3.4823923036026251E-2</v>
      </c>
      <c r="AP1027" s="1781" t="s">
        <v>2</v>
      </c>
      <c r="AQ1027" s="1781" t="s">
        <v>558</v>
      </c>
      <c r="AR1027" s="1781" t="s">
        <v>137</v>
      </c>
      <c r="AS1027" s="1781">
        <v>5</v>
      </c>
      <c r="AT1027" s="1781">
        <v>318585000</v>
      </c>
      <c r="AU1027" s="1909">
        <v>4.7889014350693425E-3</v>
      </c>
      <c r="AV1027" s="1781">
        <f t="shared" si="33"/>
        <v>2017</v>
      </c>
    </row>
    <row r="1028" spans="1:48">
      <c r="A1028" s="333">
        <f t="shared" si="31"/>
        <v>1900</v>
      </c>
      <c r="B1028" s="333">
        <f t="shared" si="32"/>
        <v>1</v>
      </c>
      <c r="AI1028" s="1781" t="s">
        <v>307</v>
      </c>
      <c r="AJ1028" s="1826">
        <v>2019</v>
      </c>
      <c r="AK1028" s="1781" t="s">
        <v>25</v>
      </c>
      <c r="AL1028" s="1781">
        <v>8</v>
      </c>
      <c r="AM1028" s="1781">
        <v>61935693.209999993</v>
      </c>
      <c r="AN1028" s="1831">
        <v>1.4287255895353202E-2</v>
      </c>
      <c r="AP1028" s="1781" t="s">
        <v>2</v>
      </c>
      <c r="AQ1028" s="1781" t="s">
        <v>558</v>
      </c>
      <c r="AR1028" s="1781" t="s">
        <v>39</v>
      </c>
      <c r="AT1028" s="1781">
        <v>729319000</v>
      </c>
      <c r="AU1028" s="1909">
        <v>1.0334380243087261E-2</v>
      </c>
      <c r="AV1028" s="1781">
        <f t="shared" si="33"/>
        <v>2017</v>
      </c>
    </row>
    <row r="1029" spans="1:48">
      <c r="A1029" s="333">
        <f t="shared" si="31"/>
        <v>1900</v>
      </c>
      <c r="B1029" s="333">
        <f t="shared" si="32"/>
        <v>1</v>
      </c>
      <c r="AI1029" s="1781" t="s">
        <v>307</v>
      </c>
      <c r="AJ1029" s="1826">
        <v>2019</v>
      </c>
      <c r="AK1029" s="1781" t="s">
        <v>62</v>
      </c>
      <c r="AL1029" s="1781">
        <v>9</v>
      </c>
      <c r="AM1029" s="1781">
        <v>33412653.98</v>
      </c>
      <c r="AN1029" s="1831">
        <v>7.7075933571382994E-3</v>
      </c>
      <c r="AP1029" s="1781" t="s">
        <v>2</v>
      </c>
      <c r="AQ1029" s="1781" t="s">
        <v>558</v>
      </c>
      <c r="AR1029" s="1781" t="s">
        <v>386</v>
      </c>
      <c r="AT1029" s="1671">
        <v>60702755000</v>
      </c>
      <c r="AV1029" s="1781">
        <f t="shared" si="33"/>
        <v>2017</v>
      </c>
    </row>
    <row r="1030" spans="1:48">
      <c r="A1030" s="333">
        <f t="shared" si="31"/>
        <v>1900</v>
      </c>
      <c r="B1030" s="333">
        <f t="shared" si="32"/>
        <v>1</v>
      </c>
      <c r="AI1030" s="1781" t="s">
        <v>307</v>
      </c>
      <c r="AJ1030" s="1826">
        <v>2019</v>
      </c>
      <c r="AK1030" s="1781" t="s">
        <v>54</v>
      </c>
      <c r="AL1030" s="1781">
        <v>10</v>
      </c>
      <c r="AM1030" s="1781">
        <v>16314823.859999999</v>
      </c>
      <c r="AN1030" s="1831">
        <v>3.7634851778457087E-3</v>
      </c>
      <c r="AP1030" s="1781" t="s">
        <v>4</v>
      </c>
      <c r="AQ1030" s="1781" t="s">
        <v>558</v>
      </c>
      <c r="AR1030" s="1781" t="s">
        <v>23</v>
      </c>
      <c r="AS1030" s="1781">
        <v>1</v>
      </c>
      <c r="AT1030" s="1781">
        <v>12822999713.367197</v>
      </c>
      <c r="AU1030" s="1909">
        <v>0.51848528729157473</v>
      </c>
      <c r="AV1030" s="1781">
        <f t="shared" si="33"/>
        <v>2017</v>
      </c>
    </row>
    <row r="1031" spans="1:48">
      <c r="A1031" s="333">
        <f t="shared" si="31"/>
        <v>1900</v>
      </c>
      <c r="B1031" s="333">
        <f t="shared" si="32"/>
        <v>1</v>
      </c>
      <c r="AI1031" s="1781" t="s">
        <v>307</v>
      </c>
      <c r="AJ1031" s="1826">
        <v>2019</v>
      </c>
      <c r="AK1031" s="1781" t="s">
        <v>39</v>
      </c>
      <c r="AM1031" s="1781">
        <v>0</v>
      </c>
      <c r="AN1031" s="1831">
        <v>0</v>
      </c>
      <c r="AP1031" s="1781" t="s">
        <v>4</v>
      </c>
      <c r="AQ1031" s="1781" t="s">
        <v>558</v>
      </c>
      <c r="AR1031" s="1781" t="s">
        <v>61</v>
      </c>
      <c r="AS1031" s="1781">
        <v>2</v>
      </c>
      <c r="AT1031" s="1781">
        <v>2870569202.0437999</v>
      </c>
      <c r="AU1031" s="1909">
        <v>0.11606862128059739</v>
      </c>
      <c r="AV1031" s="1781">
        <f t="shared" si="33"/>
        <v>2017</v>
      </c>
    </row>
    <row r="1032" spans="1:48">
      <c r="A1032" s="333">
        <f t="shared" si="31"/>
        <v>1900</v>
      </c>
      <c r="B1032" s="333">
        <f t="shared" si="32"/>
        <v>1</v>
      </c>
      <c r="AI1032" s="1781" t="s">
        <v>307</v>
      </c>
      <c r="AJ1032" s="1826">
        <v>2019</v>
      </c>
      <c r="AK1032" s="1822" t="s">
        <v>386</v>
      </c>
      <c r="AM1032" s="1781">
        <v>4335030719.9399996</v>
      </c>
      <c r="AP1032" s="1781" t="s">
        <v>4</v>
      </c>
      <c r="AQ1032" s="1781" t="s">
        <v>558</v>
      </c>
      <c r="AR1032" s="1781" t="s">
        <v>24</v>
      </c>
      <c r="AS1032" s="1781">
        <v>3</v>
      </c>
      <c r="AT1032" s="1781">
        <v>2451617608.7446003</v>
      </c>
      <c r="AU1032" s="1909">
        <v>9.9128728738405433E-2</v>
      </c>
      <c r="AV1032" s="1781">
        <f t="shared" si="33"/>
        <v>2017</v>
      </c>
    </row>
    <row r="1033" spans="1:48">
      <c r="A1033" s="333">
        <f t="shared" si="31"/>
        <v>1900</v>
      </c>
      <c r="B1033" s="333">
        <f t="shared" si="32"/>
        <v>1</v>
      </c>
      <c r="AI1033" s="1781" t="s">
        <v>533</v>
      </c>
      <c r="AJ1033" s="1826">
        <v>2019</v>
      </c>
      <c r="AK1033" s="1822"/>
      <c r="AM1033" s="1781">
        <v>2052623200.4800005</v>
      </c>
      <c r="AP1033" s="1781" t="s">
        <v>4</v>
      </c>
      <c r="AQ1033" s="1781" t="s">
        <v>558</v>
      </c>
      <c r="AR1033" s="1781" t="s">
        <v>18</v>
      </c>
      <c r="AS1033" s="1781">
        <v>4</v>
      </c>
      <c r="AT1033" s="1781">
        <v>2271314449.5001998</v>
      </c>
      <c r="AU1033" s="1909">
        <v>9.1838349154059071E-2</v>
      </c>
      <c r="AV1033" s="1781">
        <f t="shared" si="33"/>
        <v>2017</v>
      </c>
    </row>
    <row r="1034" spans="1:48">
      <c r="A1034" s="333">
        <f t="shared" ref="A1034:A1097" si="34">YEAR(C1034)</f>
        <v>1900</v>
      </c>
      <c r="B1034" s="333">
        <f t="shared" ref="B1034:B1097" si="35">IF(OR(MONTH(C1034)=1,MONTH(C1034)=2,MONTH(C1034)=3),1,IF(OR(MONTH(C1034)=4,MONTH(C1034)=5,MONTH(C1034)=6),2,IF(OR(MONTH(C1034)=7,MONTH(C1034)=8,MONTH(C1034)=9),3,4)))</f>
        <v>1</v>
      </c>
      <c r="AI1034" s="1781" t="s">
        <v>0</v>
      </c>
      <c r="AJ1034" s="1826">
        <v>2019</v>
      </c>
      <c r="AK1034" s="1781" t="s">
        <v>34</v>
      </c>
      <c r="AL1034" s="1781">
        <v>1</v>
      </c>
      <c r="AM1034" s="1781">
        <v>1837757847.8699996</v>
      </c>
      <c r="AN1034" s="1831">
        <v>0.26447483185983806</v>
      </c>
      <c r="AP1034" s="1781" t="s">
        <v>4</v>
      </c>
      <c r="AQ1034" s="1781" t="s">
        <v>558</v>
      </c>
      <c r="AR1034" s="1781" t="s">
        <v>22</v>
      </c>
      <c r="AS1034" s="1781">
        <v>5</v>
      </c>
      <c r="AT1034" s="1781">
        <v>1206201197.2130003</v>
      </c>
      <c r="AU1034" s="1909">
        <v>4.8771550202600794E-2</v>
      </c>
      <c r="AV1034" s="1781">
        <f t="shared" si="33"/>
        <v>2017</v>
      </c>
    </row>
    <row r="1035" spans="1:48">
      <c r="A1035" s="333">
        <f t="shared" si="34"/>
        <v>1900</v>
      </c>
      <c r="B1035" s="333">
        <f t="shared" si="35"/>
        <v>1</v>
      </c>
      <c r="AI1035" s="1781" t="s">
        <v>0</v>
      </c>
      <c r="AJ1035" s="1826">
        <v>2019</v>
      </c>
      <c r="AK1035" s="1781" t="s">
        <v>17</v>
      </c>
      <c r="AL1035" s="1781">
        <v>2</v>
      </c>
      <c r="AM1035" s="1781">
        <v>922879918.53999984</v>
      </c>
      <c r="AN1035" s="1831">
        <v>0.13281320581249575</v>
      </c>
      <c r="AP1035" s="1781" t="s">
        <v>4</v>
      </c>
      <c r="AQ1035" s="1781" t="s">
        <v>558</v>
      </c>
      <c r="AR1035" s="1781" t="s">
        <v>21</v>
      </c>
      <c r="AS1035" s="1781">
        <v>6</v>
      </c>
      <c r="AT1035" s="1781">
        <v>713960169.44699991</v>
      </c>
      <c r="AU1035" s="1909">
        <v>2.8868271999147068E-2</v>
      </c>
      <c r="AV1035" s="1781">
        <f t="shared" si="33"/>
        <v>2017</v>
      </c>
    </row>
    <row r="1036" spans="1:48">
      <c r="A1036" s="333">
        <f t="shared" si="34"/>
        <v>1900</v>
      </c>
      <c r="B1036" s="333">
        <f t="shared" si="35"/>
        <v>1</v>
      </c>
      <c r="AI1036" s="1781" t="s">
        <v>0</v>
      </c>
      <c r="AJ1036" s="1826">
        <v>2019</v>
      </c>
      <c r="AK1036" s="1781" t="s">
        <v>32</v>
      </c>
      <c r="AL1036" s="1781">
        <v>3</v>
      </c>
      <c r="AM1036" s="1781">
        <v>644281242.38</v>
      </c>
      <c r="AN1036" s="1831">
        <v>9.2719600379555372E-2</v>
      </c>
      <c r="AP1036" s="1781" t="s">
        <v>4</v>
      </c>
      <c r="AQ1036" s="1781" t="s">
        <v>558</v>
      </c>
      <c r="AR1036" s="1781" t="s">
        <v>25</v>
      </c>
      <c r="AS1036" s="1781">
        <v>7</v>
      </c>
      <c r="AT1036" s="1781">
        <v>703176870.44700015</v>
      </c>
      <c r="AU1036" s="1909">
        <v>2.8432259989091605E-2</v>
      </c>
      <c r="AV1036" s="1781">
        <f t="shared" si="33"/>
        <v>2017</v>
      </c>
    </row>
    <row r="1037" spans="1:48">
      <c r="A1037" s="333">
        <f t="shared" si="34"/>
        <v>1900</v>
      </c>
      <c r="B1037" s="333">
        <f t="shared" si="35"/>
        <v>1</v>
      </c>
      <c r="AI1037" s="1781" t="s">
        <v>0</v>
      </c>
      <c r="AJ1037" s="1826">
        <v>2019</v>
      </c>
      <c r="AK1037" s="1781" t="s">
        <v>26</v>
      </c>
      <c r="AL1037" s="1781">
        <v>4</v>
      </c>
      <c r="AM1037" s="1781">
        <v>556741623.00999987</v>
      </c>
      <c r="AN1037" s="1831">
        <v>8.0121626092143836E-2</v>
      </c>
      <c r="AP1037" s="1781" t="s">
        <v>4</v>
      </c>
      <c r="AQ1037" s="1781" t="s">
        <v>558</v>
      </c>
      <c r="AR1037" s="1781" t="s">
        <v>33</v>
      </c>
      <c r="AS1037" s="1781">
        <v>8</v>
      </c>
      <c r="AT1037" s="1781">
        <v>692696308.48200011</v>
      </c>
      <c r="AU1037" s="1909">
        <v>2.8008488851068766E-2</v>
      </c>
      <c r="AV1037" s="1781">
        <f t="shared" si="33"/>
        <v>2017</v>
      </c>
    </row>
    <row r="1038" spans="1:48">
      <c r="A1038" s="333">
        <f t="shared" si="34"/>
        <v>1900</v>
      </c>
      <c r="B1038" s="333">
        <f t="shared" si="35"/>
        <v>1</v>
      </c>
      <c r="AI1038" s="1781" t="s">
        <v>0</v>
      </c>
      <c r="AJ1038" s="1826">
        <v>2019</v>
      </c>
      <c r="AK1038" s="1781" t="s">
        <v>18</v>
      </c>
      <c r="AL1038" s="1781">
        <v>5</v>
      </c>
      <c r="AM1038" s="1781">
        <v>370893636.01999998</v>
      </c>
      <c r="AN1038" s="1831">
        <v>5.3375928791687233E-2</v>
      </c>
      <c r="AP1038" s="1781" t="s">
        <v>4</v>
      </c>
      <c r="AQ1038" s="1781" t="s">
        <v>558</v>
      </c>
      <c r="AR1038" s="1781" t="s">
        <v>537</v>
      </c>
      <c r="AS1038" s="1781">
        <v>9</v>
      </c>
      <c r="AT1038" s="1781">
        <v>691410066.87120008</v>
      </c>
      <c r="AU1038" s="1909">
        <v>2.795648094605362E-2</v>
      </c>
      <c r="AV1038" s="1781">
        <f t="shared" si="33"/>
        <v>2017</v>
      </c>
    </row>
    <row r="1039" spans="1:48">
      <c r="A1039" s="333">
        <f t="shared" si="34"/>
        <v>1900</v>
      </c>
      <c r="B1039" s="333">
        <f t="shared" si="35"/>
        <v>1</v>
      </c>
      <c r="AI1039" s="1781" t="s">
        <v>0</v>
      </c>
      <c r="AJ1039" s="1826">
        <v>2019</v>
      </c>
      <c r="AK1039" s="1781" t="s">
        <v>21</v>
      </c>
      <c r="AL1039" s="1781">
        <v>6</v>
      </c>
      <c r="AM1039" s="1781">
        <v>312617871.83999997</v>
      </c>
      <c r="AN1039" s="1831">
        <v>4.4989365267623135E-2</v>
      </c>
      <c r="AP1039" s="1781" t="s">
        <v>4</v>
      </c>
      <c r="AQ1039" s="1781" t="s">
        <v>558</v>
      </c>
      <c r="AR1039" s="1781" t="s">
        <v>28</v>
      </c>
      <c r="AS1039" s="1781">
        <v>10</v>
      </c>
      <c r="AT1039" s="1781">
        <v>76903548.173999995</v>
      </c>
      <c r="AU1039" s="1909">
        <v>3.1095187678412167E-3</v>
      </c>
      <c r="AV1039" s="1781">
        <f t="shared" si="33"/>
        <v>2017</v>
      </c>
    </row>
    <row r="1040" spans="1:48">
      <c r="A1040" s="333">
        <f t="shared" si="34"/>
        <v>1900</v>
      </c>
      <c r="B1040" s="333">
        <f t="shared" si="35"/>
        <v>1</v>
      </c>
      <c r="AI1040" s="1781" t="s">
        <v>0</v>
      </c>
      <c r="AJ1040" s="1826">
        <v>2019</v>
      </c>
      <c r="AK1040" s="1781" t="s">
        <v>387</v>
      </c>
      <c r="AL1040" s="1781">
        <v>7</v>
      </c>
      <c r="AM1040" s="1781">
        <v>302864629.45999998</v>
      </c>
      <c r="AN1040" s="1831">
        <v>4.3585759704720263E-2</v>
      </c>
      <c r="AP1040" s="1781" t="s">
        <v>4</v>
      </c>
      <c r="AQ1040" s="1781" t="s">
        <v>558</v>
      </c>
      <c r="AR1040" s="1781" t="s">
        <v>39</v>
      </c>
      <c r="AT1040" s="1781">
        <v>230806763.50999832</v>
      </c>
      <c r="AU1040" s="1909">
        <v>9.3324427795604976E-3</v>
      </c>
      <c r="AV1040" s="1781">
        <f t="shared" si="33"/>
        <v>2017</v>
      </c>
    </row>
    <row r="1041" spans="1:48">
      <c r="A1041" s="333">
        <f t="shared" si="34"/>
        <v>1900</v>
      </c>
      <c r="B1041" s="333">
        <f t="shared" si="35"/>
        <v>1</v>
      </c>
      <c r="AI1041" s="1781" t="s">
        <v>0</v>
      </c>
      <c r="AJ1041" s="1826">
        <v>2019</v>
      </c>
      <c r="AK1041" s="1781" t="s">
        <v>758</v>
      </c>
      <c r="AL1041" s="1781">
        <v>8</v>
      </c>
      <c r="AM1041" s="1781">
        <v>282442992.11000001</v>
      </c>
      <c r="AN1041" s="1831">
        <v>4.064684742598685E-2</v>
      </c>
      <c r="AP1041" s="1781" t="s">
        <v>4</v>
      </c>
      <c r="AQ1041" s="1781" t="s">
        <v>558</v>
      </c>
      <c r="AR1041" s="1781" t="s">
        <v>386</v>
      </c>
      <c r="AT1041" s="1781">
        <v>24731655897.799992</v>
      </c>
      <c r="AV1041" s="1781">
        <f t="shared" si="33"/>
        <v>2017</v>
      </c>
    </row>
    <row r="1042" spans="1:48">
      <c r="A1042" s="333">
        <f t="shared" si="34"/>
        <v>1900</v>
      </c>
      <c r="B1042" s="333">
        <f t="shared" si="35"/>
        <v>1</v>
      </c>
      <c r="AI1042" s="1781" t="s">
        <v>0</v>
      </c>
      <c r="AJ1042" s="1826">
        <v>2019</v>
      </c>
      <c r="AK1042" s="1781" t="s">
        <v>29</v>
      </c>
      <c r="AL1042" s="1781">
        <v>9</v>
      </c>
      <c r="AM1042" s="1781">
        <v>250637686.71000004</v>
      </c>
      <c r="AN1042" s="1831">
        <v>3.6069692275940757E-2</v>
      </c>
      <c r="AP1042" s="1781" t="s">
        <v>307</v>
      </c>
      <c r="AQ1042" s="1781" t="s">
        <v>558</v>
      </c>
      <c r="AR1042" s="1781" t="s">
        <v>18</v>
      </c>
      <c r="AS1042" s="1781">
        <v>1</v>
      </c>
      <c r="AT1042" s="1781">
        <v>1513370673.61077</v>
      </c>
      <c r="AU1042" s="1909">
        <v>0.35031833466489881</v>
      </c>
      <c r="AV1042" s="1781">
        <f t="shared" si="33"/>
        <v>2017</v>
      </c>
    </row>
    <row r="1043" spans="1:48">
      <c r="A1043" s="333">
        <f t="shared" si="34"/>
        <v>1900</v>
      </c>
      <c r="B1043" s="333">
        <f t="shared" si="35"/>
        <v>1</v>
      </c>
      <c r="AI1043" s="1781" t="s">
        <v>0</v>
      </c>
      <c r="AJ1043" s="1826">
        <v>2019</v>
      </c>
      <c r="AK1043" s="1781" t="s">
        <v>16</v>
      </c>
      <c r="AL1043" s="1781">
        <v>10</v>
      </c>
      <c r="AM1043" s="1781">
        <v>248750030.32000005</v>
      </c>
      <c r="AN1043" s="1831">
        <v>3.5798036460712966E-2</v>
      </c>
      <c r="AP1043" s="1781" t="s">
        <v>307</v>
      </c>
      <c r="AQ1043" s="1781" t="s">
        <v>558</v>
      </c>
      <c r="AR1043" s="1781" t="s">
        <v>24</v>
      </c>
      <c r="AS1043" s="1781">
        <v>2</v>
      </c>
      <c r="AT1043" s="1781">
        <v>828044736.21000004</v>
      </c>
      <c r="AU1043" s="1909">
        <v>0.19167759629240003</v>
      </c>
      <c r="AV1043" s="1781">
        <f t="shared" si="33"/>
        <v>2017</v>
      </c>
    </row>
    <row r="1044" spans="1:48">
      <c r="A1044" s="333">
        <f t="shared" si="34"/>
        <v>1900</v>
      </c>
      <c r="B1044" s="333">
        <f t="shared" si="35"/>
        <v>1</v>
      </c>
      <c r="AI1044" s="1781" t="s">
        <v>0</v>
      </c>
      <c r="AJ1044" s="1826">
        <v>2019</v>
      </c>
      <c r="AK1044" s="1781" t="s">
        <v>39</v>
      </c>
      <c r="AM1044" s="1781">
        <v>1218838509.9299984</v>
      </c>
      <c r="AN1044" s="1831">
        <v>0.17540510592929578</v>
      </c>
      <c r="AP1044" s="1781" t="s">
        <v>307</v>
      </c>
      <c r="AQ1044" s="1781" t="s">
        <v>558</v>
      </c>
      <c r="AR1044" s="1781" t="s">
        <v>69</v>
      </c>
      <c r="AS1044" s="1781">
        <v>3</v>
      </c>
      <c r="AT1044" s="1781">
        <v>597463198.82000005</v>
      </c>
      <c r="AU1044" s="1909">
        <v>0.13830208057012811</v>
      </c>
      <c r="AV1044" s="1781">
        <f t="shared" si="33"/>
        <v>2017</v>
      </c>
    </row>
    <row r="1045" spans="1:48">
      <c r="A1045" s="333">
        <f t="shared" si="34"/>
        <v>1900</v>
      </c>
      <c r="B1045" s="333">
        <f t="shared" si="35"/>
        <v>1</v>
      </c>
      <c r="AI1045" s="1781" t="s">
        <v>0</v>
      </c>
      <c r="AJ1045" s="1826">
        <v>2019</v>
      </c>
      <c r="AK1045" s="1781" t="s">
        <v>386</v>
      </c>
      <c r="AM1045" s="1781">
        <v>6948705988.1899977</v>
      </c>
      <c r="AP1045" s="1781" t="s">
        <v>307</v>
      </c>
      <c r="AQ1045" s="1781" t="s">
        <v>558</v>
      </c>
      <c r="AR1045" s="1781" t="s">
        <v>23</v>
      </c>
      <c r="AS1045" s="1781">
        <v>4</v>
      </c>
      <c r="AT1045" s="1781">
        <v>568100515.20999992</v>
      </c>
      <c r="AU1045" s="1909">
        <v>0.13150514271285788</v>
      </c>
      <c r="AV1045" s="1781">
        <f t="shared" si="33"/>
        <v>2017</v>
      </c>
    </row>
    <row r="1046" spans="1:48">
      <c r="A1046" s="333">
        <f t="shared" si="34"/>
        <v>1900</v>
      </c>
      <c r="B1046" s="333">
        <f t="shared" si="35"/>
        <v>1</v>
      </c>
      <c r="AI1046" s="1781" t="s">
        <v>3</v>
      </c>
      <c r="AJ1046" s="1826">
        <v>2019</v>
      </c>
      <c r="AK1046" s="1781" t="s">
        <v>18</v>
      </c>
      <c r="AL1046" s="1781">
        <v>1</v>
      </c>
      <c r="AM1046" s="1781">
        <v>1783706083.5057464</v>
      </c>
      <c r="AN1046" s="1831">
        <v>0.44265579388403997</v>
      </c>
      <c r="AP1046" s="1781" t="s">
        <v>307</v>
      </c>
      <c r="AQ1046" s="1781" t="s">
        <v>558</v>
      </c>
      <c r="AR1046" s="1781" t="s">
        <v>58</v>
      </c>
      <c r="AS1046" s="1781">
        <v>5</v>
      </c>
      <c r="AT1046" s="1781">
        <v>346622814.47000003</v>
      </c>
      <c r="AU1046" s="1909">
        <v>8.0237002896503359E-2</v>
      </c>
      <c r="AV1046" s="1781">
        <f t="shared" si="33"/>
        <v>2017</v>
      </c>
    </row>
    <row r="1047" spans="1:48">
      <c r="A1047" s="333">
        <f t="shared" si="34"/>
        <v>1900</v>
      </c>
      <c r="B1047" s="333">
        <f t="shared" si="35"/>
        <v>1</v>
      </c>
      <c r="AI1047" s="1781" t="s">
        <v>3</v>
      </c>
      <c r="AJ1047" s="1826">
        <v>2019</v>
      </c>
      <c r="AK1047" s="1781" t="s">
        <v>23</v>
      </c>
      <c r="AL1047" s="1781">
        <v>2</v>
      </c>
      <c r="AM1047" s="1781">
        <v>423780056.69589889</v>
      </c>
      <c r="AN1047" s="1831">
        <v>0.10516794171619041</v>
      </c>
      <c r="AP1047" s="1781" t="s">
        <v>307</v>
      </c>
      <c r="AQ1047" s="1781" t="s">
        <v>558</v>
      </c>
      <c r="AR1047" s="1781" t="s">
        <v>21</v>
      </c>
      <c r="AS1047" s="1781">
        <v>6</v>
      </c>
      <c r="AT1047" s="1781">
        <v>291408345.84000003</v>
      </c>
      <c r="AU1047" s="1909">
        <v>6.7455837622751202E-2</v>
      </c>
      <c r="AV1047" s="1781">
        <f t="shared" si="33"/>
        <v>2017</v>
      </c>
    </row>
    <row r="1048" spans="1:48">
      <c r="A1048" s="333">
        <f t="shared" si="34"/>
        <v>1900</v>
      </c>
      <c r="B1048" s="333">
        <f t="shared" si="35"/>
        <v>1</v>
      </c>
      <c r="AI1048" s="1781" t="s">
        <v>3</v>
      </c>
      <c r="AJ1048" s="1826">
        <v>2019</v>
      </c>
      <c r="AK1048" s="1781" t="s">
        <v>25</v>
      </c>
      <c r="AL1048" s="1781">
        <v>3</v>
      </c>
      <c r="AM1048" s="1781">
        <v>366680510.71748519</v>
      </c>
      <c r="AN1048" s="1831">
        <v>9.0997756903109614E-2</v>
      </c>
      <c r="AP1048" s="1781" t="s">
        <v>307</v>
      </c>
      <c r="AQ1048" s="1781" t="s">
        <v>558</v>
      </c>
      <c r="AR1048" s="1781" t="s">
        <v>25</v>
      </c>
      <c r="AS1048" s="1781">
        <v>7</v>
      </c>
      <c r="AT1048" s="1781">
        <v>124134055.75</v>
      </c>
      <c r="AU1048" s="1909">
        <v>2.8734821180183751E-2</v>
      </c>
      <c r="AV1048" s="1781">
        <f t="shared" si="33"/>
        <v>2017</v>
      </c>
    </row>
    <row r="1049" spans="1:48">
      <c r="A1049" s="333">
        <f t="shared" si="34"/>
        <v>1900</v>
      </c>
      <c r="B1049" s="333">
        <f t="shared" si="35"/>
        <v>1</v>
      </c>
      <c r="AI1049" s="1781" t="s">
        <v>3</v>
      </c>
      <c r="AJ1049" s="1826">
        <v>2019</v>
      </c>
      <c r="AK1049" s="1781" t="s">
        <v>24</v>
      </c>
      <c r="AL1049" s="1781">
        <v>4</v>
      </c>
      <c r="AM1049" s="1781">
        <v>360224044.49219596</v>
      </c>
      <c r="AN1049" s="1831">
        <v>8.9395479370353928E-2</v>
      </c>
      <c r="AP1049" s="1781" t="s">
        <v>307</v>
      </c>
      <c r="AQ1049" s="1781" t="s">
        <v>558</v>
      </c>
      <c r="AR1049" s="1781" t="s">
        <v>54</v>
      </c>
      <c r="AS1049" s="1781">
        <v>8</v>
      </c>
      <c r="AT1049" s="1781">
        <v>50842722.879999995</v>
      </c>
      <c r="AU1049" s="1909">
        <v>1.1769184060277004E-2</v>
      </c>
      <c r="AV1049" s="1781">
        <f t="shared" si="33"/>
        <v>2017</v>
      </c>
    </row>
    <row r="1050" spans="1:48">
      <c r="A1050" s="333">
        <f t="shared" si="34"/>
        <v>1900</v>
      </c>
      <c r="B1050" s="333">
        <f t="shared" si="35"/>
        <v>1</v>
      </c>
      <c r="AI1050" s="1781" t="s">
        <v>3</v>
      </c>
      <c r="AJ1050" s="1826">
        <v>2019</v>
      </c>
      <c r="AK1050" s="1781" t="s">
        <v>537</v>
      </c>
      <c r="AL1050" s="1781">
        <v>5</v>
      </c>
      <c r="AM1050" s="1781">
        <v>318056053.23906589</v>
      </c>
      <c r="AN1050" s="1831">
        <v>7.8930803705872785E-2</v>
      </c>
      <c r="AP1050" s="1781" t="s">
        <v>307</v>
      </c>
      <c r="AQ1050" s="1781" t="s">
        <v>558</v>
      </c>
      <c r="AR1050" s="1781" t="s">
        <v>540</v>
      </c>
      <c r="AS1050" s="1781">
        <v>9</v>
      </c>
      <c r="AT1050" s="1781">
        <v>0</v>
      </c>
      <c r="AU1050" s="1909">
        <v>0</v>
      </c>
      <c r="AV1050" s="1781">
        <f t="shared" si="33"/>
        <v>2017</v>
      </c>
    </row>
    <row r="1051" spans="1:48">
      <c r="A1051" s="333">
        <f t="shared" si="34"/>
        <v>1900</v>
      </c>
      <c r="B1051" s="333">
        <f t="shared" si="35"/>
        <v>1</v>
      </c>
      <c r="AI1051" s="1781" t="s">
        <v>3</v>
      </c>
      <c r="AJ1051" s="1826">
        <v>2019</v>
      </c>
      <c r="AK1051" s="1781" t="s">
        <v>27</v>
      </c>
      <c r="AL1051" s="1781">
        <v>6</v>
      </c>
      <c r="AM1051" s="1781">
        <v>210819257.83086553</v>
      </c>
      <c r="AN1051" s="1831">
        <v>5.2318241667792829E-2</v>
      </c>
      <c r="AP1051" s="1781" t="s">
        <v>307</v>
      </c>
      <c r="AQ1051" s="1781" t="s">
        <v>558</v>
      </c>
      <c r="AR1051" s="1781" t="s">
        <v>540</v>
      </c>
      <c r="AS1051" s="1781">
        <v>10</v>
      </c>
      <c r="AT1051" s="1781">
        <v>0</v>
      </c>
      <c r="AU1051" s="1909">
        <v>0</v>
      </c>
      <c r="AV1051" s="1781">
        <f t="shared" si="33"/>
        <v>2017</v>
      </c>
    </row>
    <row r="1052" spans="1:48">
      <c r="A1052" s="333">
        <f t="shared" si="34"/>
        <v>1900</v>
      </c>
      <c r="B1052" s="333">
        <f t="shared" si="35"/>
        <v>1</v>
      </c>
      <c r="AI1052" s="1781" t="s">
        <v>3</v>
      </c>
      <c r="AJ1052" s="1826">
        <v>2019</v>
      </c>
      <c r="AK1052" s="1781" t="s">
        <v>758</v>
      </c>
      <c r="AL1052" s="1781">
        <v>7</v>
      </c>
      <c r="AM1052" s="1781">
        <v>210707851.8669765</v>
      </c>
      <c r="AN1052" s="1831">
        <v>5.2290594458510573E-2</v>
      </c>
      <c r="AP1052" s="1781" t="s">
        <v>307</v>
      </c>
      <c r="AQ1052" s="1781" t="s">
        <v>558</v>
      </c>
      <c r="AR1052" s="1781" t="s">
        <v>39</v>
      </c>
      <c r="AT1052" s="1781">
        <v>0</v>
      </c>
      <c r="AU1052" s="1909">
        <v>0</v>
      </c>
      <c r="AV1052" s="1781">
        <f t="shared" ref="AV1052:AV1116" si="36">_xlfn.NUMBERVALUE(LEFT(AQ1052,4))</f>
        <v>2017</v>
      </c>
    </row>
    <row r="1053" spans="1:48">
      <c r="A1053" s="333">
        <f t="shared" si="34"/>
        <v>1900</v>
      </c>
      <c r="B1053" s="333">
        <f t="shared" si="35"/>
        <v>1</v>
      </c>
      <c r="AI1053" s="1781" t="s">
        <v>3</v>
      </c>
      <c r="AJ1053" s="1826">
        <v>2019</v>
      </c>
      <c r="AK1053" s="1781" t="s">
        <v>60</v>
      </c>
      <c r="AL1053" s="1781">
        <v>8</v>
      </c>
      <c r="AM1053" s="1781">
        <v>116274344.44341117</v>
      </c>
      <c r="AN1053" s="1831">
        <v>2.8855377421141522E-2</v>
      </c>
      <c r="AP1053" s="1781" t="s">
        <v>307</v>
      </c>
      <c r="AQ1053" s="1781" t="s">
        <v>558</v>
      </c>
      <c r="AR1053" s="1781" t="s">
        <v>386</v>
      </c>
      <c r="AT1053" s="1781">
        <v>4319987062.7907696</v>
      </c>
      <c r="AV1053" s="1781">
        <f t="shared" si="36"/>
        <v>2017</v>
      </c>
    </row>
    <row r="1054" spans="1:48">
      <c r="A1054" s="333">
        <f t="shared" si="34"/>
        <v>1900</v>
      </c>
      <c r="B1054" s="333">
        <f t="shared" si="35"/>
        <v>1</v>
      </c>
      <c r="AI1054" s="1781" t="s">
        <v>3</v>
      </c>
      <c r="AJ1054" s="1826">
        <v>2019</v>
      </c>
      <c r="AK1054" s="1781" t="s">
        <v>70</v>
      </c>
      <c r="AL1054" s="1781">
        <v>9</v>
      </c>
      <c r="AM1054" s="1781">
        <v>58976921.539999992</v>
      </c>
      <c r="AN1054" s="1831">
        <v>1.4636086217643564E-2</v>
      </c>
      <c r="AP1054" s="1781" t="s">
        <v>533</v>
      </c>
      <c r="AQ1054" s="1781" t="s">
        <v>558</v>
      </c>
      <c r="AT1054" s="1781">
        <v>2581868368.1500001</v>
      </c>
      <c r="AV1054" s="1781">
        <f t="shared" si="36"/>
        <v>2017</v>
      </c>
    </row>
    <row r="1055" spans="1:48">
      <c r="A1055" s="333">
        <f t="shared" si="34"/>
        <v>1900</v>
      </c>
      <c r="B1055" s="333">
        <f t="shared" si="35"/>
        <v>1</v>
      </c>
      <c r="AI1055" s="1781" t="s">
        <v>3</v>
      </c>
      <c r="AJ1055" s="1826">
        <v>2019</v>
      </c>
      <c r="AK1055" s="1781" t="s">
        <v>61</v>
      </c>
      <c r="AL1055" s="1781">
        <v>10</v>
      </c>
      <c r="AM1055" s="1781">
        <v>58036221.710000001</v>
      </c>
      <c r="AN1055" s="1831">
        <v>1.4402636192493226E-2</v>
      </c>
      <c r="AP1055" s="1781" t="s">
        <v>3</v>
      </c>
      <c r="AQ1055" s="1781" t="s">
        <v>558</v>
      </c>
      <c r="AR1055" s="1781" t="s">
        <v>18</v>
      </c>
      <c r="AS1055" s="1781">
        <v>1</v>
      </c>
      <c r="AT1055" s="1781">
        <v>549993682.473948</v>
      </c>
      <c r="AU1055" s="1909">
        <v>0.32380470261317296</v>
      </c>
      <c r="AV1055" s="1781">
        <f t="shared" si="36"/>
        <v>2017</v>
      </c>
    </row>
    <row r="1056" spans="1:48">
      <c r="A1056" s="333">
        <f t="shared" si="34"/>
        <v>1900</v>
      </c>
      <c r="B1056" s="333">
        <f t="shared" si="35"/>
        <v>1</v>
      </c>
      <c r="AI1056" s="1781" t="s">
        <v>3</v>
      </c>
      <c r="AJ1056" s="1826">
        <v>2019</v>
      </c>
      <c r="AK1056" s="1781" t="s">
        <v>39</v>
      </c>
      <c r="AM1056" s="1781">
        <v>122294141.88000059</v>
      </c>
      <c r="AN1056" s="1831">
        <v>3.0349288462851558E-2</v>
      </c>
      <c r="AP1056" s="1781" t="s">
        <v>3</v>
      </c>
      <c r="AQ1056" s="1781" t="s">
        <v>558</v>
      </c>
      <c r="AR1056" s="1781" t="s">
        <v>23</v>
      </c>
      <c r="AS1056" s="1781">
        <v>2</v>
      </c>
      <c r="AT1056" s="1781">
        <v>345958125.41885078</v>
      </c>
      <c r="AU1056" s="1909">
        <v>0.20368028122426307</v>
      </c>
      <c r="AV1056" s="1781">
        <f t="shared" si="36"/>
        <v>2017</v>
      </c>
    </row>
    <row r="1057" spans="1:48">
      <c r="A1057" s="333">
        <f t="shared" si="34"/>
        <v>1900</v>
      </c>
      <c r="B1057" s="333">
        <f t="shared" si="35"/>
        <v>1</v>
      </c>
      <c r="AI1057" s="1781" t="s">
        <v>3</v>
      </c>
      <c r="AJ1057" s="1826">
        <v>2019</v>
      </c>
      <c r="AK1057" s="1781" t="s">
        <v>386</v>
      </c>
      <c r="AM1057" s="1781">
        <v>4029555487.9216461</v>
      </c>
      <c r="AP1057" s="1781" t="s">
        <v>3</v>
      </c>
      <c r="AQ1057" s="1781" t="s">
        <v>558</v>
      </c>
      <c r="AR1057" s="1781" t="s">
        <v>537</v>
      </c>
      <c r="AS1057" s="1781">
        <v>3</v>
      </c>
      <c r="AT1057" s="1781">
        <v>324600456.40450531</v>
      </c>
      <c r="AU1057" s="1909">
        <v>0.19110611194909455</v>
      </c>
      <c r="AV1057" s="1781">
        <f t="shared" si="36"/>
        <v>2017</v>
      </c>
    </row>
    <row r="1058" spans="1:48">
      <c r="A1058" s="333">
        <f t="shared" si="34"/>
        <v>1900</v>
      </c>
      <c r="B1058" s="333">
        <f t="shared" si="35"/>
        <v>1</v>
      </c>
      <c r="AI1058" s="1781" t="s">
        <v>457</v>
      </c>
      <c r="AJ1058" s="1826">
        <v>2019</v>
      </c>
      <c r="AK1058" s="1781" t="s">
        <v>18</v>
      </c>
      <c r="AL1058" s="1781">
        <v>1</v>
      </c>
      <c r="AM1058" s="1781">
        <v>557290457.57999969</v>
      </c>
      <c r="AN1058" s="1831">
        <v>0.47280289025586464</v>
      </c>
      <c r="AP1058" s="1781" t="s">
        <v>3</v>
      </c>
      <c r="AQ1058" s="1781" t="s">
        <v>558</v>
      </c>
      <c r="AR1058" s="1781" t="s">
        <v>25</v>
      </c>
      <c r="AS1058" s="1781">
        <v>4</v>
      </c>
      <c r="AT1058" s="1781">
        <v>170869359.41179702</v>
      </c>
      <c r="AU1058" s="1909">
        <v>0.10059806843810626</v>
      </c>
      <c r="AV1058" s="1781">
        <f t="shared" si="36"/>
        <v>2017</v>
      </c>
    </row>
    <row r="1059" spans="1:48">
      <c r="A1059" s="333">
        <f t="shared" si="34"/>
        <v>1900</v>
      </c>
      <c r="B1059" s="333">
        <f t="shared" si="35"/>
        <v>1</v>
      </c>
      <c r="AI1059" s="1781" t="s">
        <v>457</v>
      </c>
      <c r="AJ1059" s="1826">
        <v>2019</v>
      </c>
      <c r="AK1059" s="1781" t="s">
        <v>758</v>
      </c>
      <c r="AL1059" s="1781">
        <v>2</v>
      </c>
      <c r="AM1059" s="1781">
        <v>76551033.550000012</v>
      </c>
      <c r="AN1059" s="1831">
        <v>6.4945576264991117E-2</v>
      </c>
      <c r="AP1059" s="1781" t="s">
        <v>3</v>
      </c>
      <c r="AQ1059" s="1781" t="s">
        <v>558</v>
      </c>
      <c r="AR1059" s="1781" t="s">
        <v>24</v>
      </c>
      <c r="AS1059" s="1781">
        <v>5</v>
      </c>
      <c r="AT1059" s="1781">
        <v>132690563.09999999</v>
      </c>
      <c r="AU1059" s="1909">
        <v>7.8120585187276506E-2</v>
      </c>
      <c r="AV1059" s="1781">
        <f t="shared" si="36"/>
        <v>2017</v>
      </c>
    </row>
    <row r="1060" spans="1:48">
      <c r="A1060" s="333">
        <f t="shared" si="34"/>
        <v>1900</v>
      </c>
      <c r="B1060" s="333">
        <f t="shared" si="35"/>
        <v>1</v>
      </c>
      <c r="AI1060" s="1781" t="s">
        <v>457</v>
      </c>
      <c r="AJ1060" s="1826">
        <v>2019</v>
      </c>
      <c r="AK1060" s="1781" t="s">
        <v>63</v>
      </c>
      <c r="AL1060" s="1781">
        <v>3</v>
      </c>
      <c r="AM1060" s="1781">
        <v>73777353.059999987</v>
      </c>
      <c r="AN1060" s="1831">
        <v>6.2592397353561327E-2</v>
      </c>
      <c r="AP1060" s="1781" t="s">
        <v>3</v>
      </c>
      <c r="AQ1060" s="1781" t="s">
        <v>558</v>
      </c>
      <c r="AR1060" s="1781" t="s">
        <v>57</v>
      </c>
      <c r="AS1060" s="1781">
        <v>6</v>
      </c>
      <c r="AT1060" s="1781">
        <v>33378104.359999999</v>
      </c>
      <c r="AU1060" s="1909">
        <v>1.9651111459072446E-2</v>
      </c>
      <c r="AV1060" s="1781">
        <f t="shared" si="36"/>
        <v>2017</v>
      </c>
    </row>
    <row r="1061" spans="1:48">
      <c r="A1061" s="333">
        <f t="shared" si="34"/>
        <v>1900</v>
      </c>
      <c r="B1061" s="333">
        <f t="shared" si="35"/>
        <v>1</v>
      </c>
      <c r="AI1061" s="1781" t="s">
        <v>457</v>
      </c>
      <c r="AJ1061" s="1826">
        <v>2019</v>
      </c>
      <c r="AK1061" s="1781" t="s">
        <v>27</v>
      </c>
      <c r="AL1061" s="1781">
        <v>4</v>
      </c>
      <c r="AM1061" s="1781">
        <v>71157428.269999996</v>
      </c>
      <c r="AN1061" s="1831">
        <v>6.0369664134076469E-2</v>
      </c>
      <c r="AP1061" s="1781" t="s">
        <v>3</v>
      </c>
      <c r="AQ1061" s="1781" t="s">
        <v>558</v>
      </c>
      <c r="AR1061" s="1781" t="s">
        <v>56</v>
      </c>
      <c r="AS1061" s="1781">
        <v>7</v>
      </c>
      <c r="AT1061" s="1781">
        <v>29260479.68</v>
      </c>
      <c r="AU1061" s="1909">
        <v>1.7226890458964472E-2</v>
      </c>
      <c r="AV1061" s="1781">
        <f t="shared" si="36"/>
        <v>2017</v>
      </c>
    </row>
    <row r="1062" spans="1:48">
      <c r="A1062" s="333">
        <f t="shared" si="34"/>
        <v>1900</v>
      </c>
      <c r="B1062" s="333">
        <f t="shared" si="35"/>
        <v>1</v>
      </c>
      <c r="AI1062" s="1781" t="s">
        <v>457</v>
      </c>
      <c r="AJ1062" s="1826">
        <v>2019</v>
      </c>
      <c r="AK1062" s="1781" t="s">
        <v>70</v>
      </c>
      <c r="AL1062" s="1781">
        <v>5</v>
      </c>
      <c r="AM1062" s="1781">
        <v>47928980.200000003</v>
      </c>
      <c r="AN1062" s="1831">
        <v>4.0662746073169762E-2</v>
      </c>
      <c r="AP1062" s="1781" t="s">
        <v>3</v>
      </c>
      <c r="AQ1062" s="1781" t="s">
        <v>558</v>
      </c>
      <c r="AR1062" s="1781" t="s">
        <v>27</v>
      </c>
      <c r="AS1062" s="1781">
        <v>8</v>
      </c>
      <c r="AT1062" s="1781">
        <v>27616178.609999999</v>
      </c>
      <c r="AU1062" s="1909">
        <v>1.6258820395717716E-2</v>
      </c>
      <c r="AV1062" s="1781">
        <f t="shared" si="36"/>
        <v>2017</v>
      </c>
    </row>
    <row r="1063" spans="1:48">
      <c r="A1063" s="333">
        <f t="shared" si="34"/>
        <v>1900</v>
      </c>
      <c r="B1063" s="333">
        <f t="shared" si="35"/>
        <v>1</v>
      </c>
      <c r="AI1063" s="1781" t="s">
        <v>457</v>
      </c>
      <c r="AJ1063" s="1826">
        <v>2019</v>
      </c>
      <c r="AK1063" s="1781" t="s">
        <v>537</v>
      </c>
      <c r="AL1063" s="1781">
        <v>6</v>
      </c>
      <c r="AM1063" s="1781">
        <v>46179712.670000002</v>
      </c>
      <c r="AN1063" s="1831">
        <v>3.9178674826721022E-2</v>
      </c>
      <c r="AP1063" s="1781" t="s">
        <v>3</v>
      </c>
      <c r="AQ1063" s="1781" t="s">
        <v>558</v>
      </c>
      <c r="AR1063" s="1781" t="s">
        <v>61</v>
      </c>
      <c r="AS1063" s="1781">
        <v>9</v>
      </c>
      <c r="AT1063" s="1781">
        <v>25534170.959999997</v>
      </c>
      <c r="AU1063" s="1909">
        <v>1.5033053828883494E-2</v>
      </c>
      <c r="AV1063" s="1781">
        <f t="shared" si="36"/>
        <v>2017</v>
      </c>
    </row>
    <row r="1064" spans="1:48">
      <c r="A1064" s="333">
        <f t="shared" si="34"/>
        <v>1900</v>
      </c>
      <c r="B1064" s="333">
        <f t="shared" si="35"/>
        <v>1</v>
      </c>
      <c r="AI1064" s="1781" t="s">
        <v>457</v>
      </c>
      <c r="AJ1064" s="1826">
        <v>2019</v>
      </c>
      <c r="AK1064" s="1781" t="s">
        <v>66</v>
      </c>
      <c r="AL1064" s="1781">
        <v>7</v>
      </c>
      <c r="AM1064" s="1781">
        <v>39895639.969999999</v>
      </c>
      <c r="AN1064" s="1831">
        <v>3.3847293865992001E-2</v>
      </c>
      <c r="AP1064" s="1781" t="s">
        <v>3</v>
      </c>
      <c r="AQ1064" s="1781" t="s">
        <v>558</v>
      </c>
      <c r="AR1064" s="1781" t="s">
        <v>70</v>
      </c>
      <c r="AS1064" s="1781">
        <v>10</v>
      </c>
      <c r="AT1064" s="1781">
        <v>20951501.390000004</v>
      </c>
      <c r="AU1064" s="1909">
        <v>1.2335041097876217E-2</v>
      </c>
      <c r="AV1064" s="1781">
        <f t="shared" si="36"/>
        <v>2017</v>
      </c>
    </row>
    <row r="1065" spans="1:48">
      <c r="A1065" s="333">
        <f t="shared" si="34"/>
        <v>1900</v>
      </c>
      <c r="B1065" s="333">
        <f t="shared" si="35"/>
        <v>1</v>
      </c>
      <c r="AI1065" s="1781" t="s">
        <v>457</v>
      </c>
      <c r="AJ1065" s="1826">
        <v>2019</v>
      </c>
      <c r="AK1065" s="1781" t="s">
        <v>21</v>
      </c>
      <c r="AL1065" s="1781">
        <v>8</v>
      </c>
      <c r="AM1065" s="1781">
        <v>39869108.760000005</v>
      </c>
      <c r="AN1065" s="1831">
        <v>3.3824784898541786E-2</v>
      </c>
      <c r="AP1065" s="1781" t="s">
        <v>3</v>
      </c>
      <c r="AQ1065" s="1781" t="s">
        <v>558</v>
      </c>
      <c r="AR1065" s="1781" t="s">
        <v>39</v>
      </c>
      <c r="AT1065" s="1781">
        <v>37682569.420000076</v>
      </c>
      <c r="AU1065" s="1909">
        <v>2.2185333347572302E-2</v>
      </c>
      <c r="AV1065" s="1781">
        <f t="shared" si="36"/>
        <v>2017</v>
      </c>
    </row>
    <row r="1066" spans="1:48">
      <c r="A1066" s="333">
        <f t="shared" si="34"/>
        <v>1900</v>
      </c>
      <c r="B1066" s="333">
        <f t="shared" si="35"/>
        <v>1</v>
      </c>
      <c r="AI1066" s="1781" t="s">
        <v>457</v>
      </c>
      <c r="AJ1066" s="1826">
        <v>2019</v>
      </c>
      <c r="AK1066" s="1781" t="s">
        <v>54</v>
      </c>
      <c r="AL1066" s="1781">
        <v>9</v>
      </c>
      <c r="AM1066" s="1781">
        <v>39497483.310000002</v>
      </c>
      <c r="AN1066" s="1831">
        <v>3.3509499423144219E-2</v>
      </c>
      <c r="AP1066" s="1781" t="s">
        <v>3</v>
      </c>
      <c r="AQ1066" s="1781" t="s">
        <v>558</v>
      </c>
      <c r="AR1066" s="1781" t="s">
        <v>386</v>
      </c>
      <c r="AT1066" s="1781">
        <v>1698535191.2291012</v>
      </c>
      <c r="AV1066" s="1781">
        <f t="shared" si="36"/>
        <v>2017</v>
      </c>
    </row>
    <row r="1067" spans="1:48">
      <c r="A1067" s="333">
        <f t="shared" si="34"/>
        <v>1900</v>
      </c>
      <c r="B1067" s="333">
        <f t="shared" si="35"/>
        <v>1</v>
      </c>
      <c r="AI1067" s="1781" t="s">
        <v>457</v>
      </c>
      <c r="AJ1067" s="1826">
        <v>2019</v>
      </c>
      <c r="AK1067" s="1781" t="s">
        <v>25</v>
      </c>
      <c r="AL1067" s="1781">
        <v>10</v>
      </c>
      <c r="AM1067" s="1781">
        <v>35621466.850000001</v>
      </c>
      <c r="AN1067" s="1831">
        <v>3.0221103291394134E-2</v>
      </c>
      <c r="AP1067" s="1781" t="s">
        <v>0</v>
      </c>
      <c r="AQ1067" s="1781" t="s">
        <v>572</v>
      </c>
      <c r="AR1067" s="1781" t="s">
        <v>34</v>
      </c>
      <c r="AS1067" s="1781">
        <v>1</v>
      </c>
      <c r="AT1067" s="1781">
        <v>2447938951.9499998</v>
      </c>
      <c r="AU1067" s="1909">
        <v>0.26418813943596842</v>
      </c>
      <c r="AV1067" s="1781">
        <f t="shared" si="36"/>
        <v>2018</v>
      </c>
    </row>
    <row r="1068" spans="1:48">
      <c r="A1068" s="333">
        <f t="shared" si="34"/>
        <v>1900</v>
      </c>
      <c r="B1068" s="333">
        <f t="shared" si="35"/>
        <v>1</v>
      </c>
      <c r="AI1068" s="1781" t="s">
        <v>457</v>
      </c>
      <c r="AJ1068" s="1826">
        <v>2019</v>
      </c>
      <c r="AK1068" s="1781" t="s">
        <v>39</v>
      </c>
      <c r="AM1068" s="1781">
        <v>150926451.79000032</v>
      </c>
      <c r="AN1068" s="1831">
        <v>0.12804536961254354</v>
      </c>
      <c r="AP1068" s="1781" t="s">
        <v>0</v>
      </c>
      <c r="AQ1068" s="1781" t="s">
        <v>572</v>
      </c>
      <c r="AR1068" s="1781" t="s">
        <v>17</v>
      </c>
      <c r="AS1068" s="1781">
        <v>2</v>
      </c>
      <c r="AT1068" s="1781">
        <v>1376678510.8000002</v>
      </c>
      <c r="AU1068" s="1909">
        <v>0.14857483846973019</v>
      </c>
      <c r="AV1068" s="1781">
        <f t="shared" si="36"/>
        <v>2018</v>
      </c>
    </row>
    <row r="1069" spans="1:48">
      <c r="A1069" s="333">
        <f t="shared" si="34"/>
        <v>1900</v>
      </c>
      <c r="B1069" s="333">
        <f t="shared" si="35"/>
        <v>1</v>
      </c>
      <c r="AI1069" s="1781" t="s">
        <v>457</v>
      </c>
      <c r="AJ1069" s="1826">
        <v>2019</v>
      </c>
      <c r="AK1069" s="1781" t="s">
        <v>386</v>
      </c>
      <c r="AM1069" s="1781">
        <v>1178695116.01</v>
      </c>
      <c r="AP1069" s="1781" t="s">
        <v>0</v>
      </c>
      <c r="AQ1069" s="1781" t="s">
        <v>572</v>
      </c>
      <c r="AR1069" s="1781" t="s">
        <v>32</v>
      </c>
      <c r="AS1069" s="1781">
        <v>3</v>
      </c>
      <c r="AT1069" s="1781">
        <v>1019876321.77</v>
      </c>
      <c r="AU1069" s="1909">
        <v>0.11006778894080801</v>
      </c>
      <c r="AV1069" s="1781">
        <f t="shared" si="36"/>
        <v>2018</v>
      </c>
    </row>
    <row r="1070" spans="1:48">
      <c r="A1070" s="333">
        <f t="shared" si="34"/>
        <v>1900</v>
      </c>
      <c r="B1070" s="333">
        <f t="shared" si="35"/>
        <v>1</v>
      </c>
      <c r="AI1070" s="1781" t="s">
        <v>2</v>
      </c>
      <c r="AJ1070" s="1826">
        <v>2019</v>
      </c>
      <c r="AK1070" s="1781" t="s">
        <v>562</v>
      </c>
      <c r="AL1070" s="1781">
        <v>1</v>
      </c>
      <c r="AM1070" s="1781">
        <v>78719315000</v>
      </c>
      <c r="AN1070" s="1831">
        <v>0.82164233725168911</v>
      </c>
      <c r="AP1070" s="1781" t="s">
        <v>0</v>
      </c>
      <c r="AQ1070" s="1781" t="s">
        <v>572</v>
      </c>
      <c r="AR1070" s="1781" t="s">
        <v>26</v>
      </c>
      <c r="AS1070" s="1781">
        <v>4</v>
      </c>
      <c r="AT1070" s="1781">
        <v>804624484.98000002</v>
      </c>
      <c r="AU1070" s="1909">
        <v>8.6837233200671909E-2</v>
      </c>
      <c r="AV1070" s="1781">
        <f t="shared" si="36"/>
        <v>2018</v>
      </c>
    </row>
    <row r="1071" spans="1:48">
      <c r="A1071" s="333">
        <f t="shared" si="34"/>
        <v>1900</v>
      </c>
      <c r="B1071" s="333">
        <f t="shared" si="35"/>
        <v>1</v>
      </c>
      <c r="AI1071" s="1781" t="s">
        <v>2</v>
      </c>
      <c r="AJ1071" s="1826">
        <v>2019</v>
      </c>
      <c r="AK1071" s="1781" t="s">
        <v>569</v>
      </c>
      <c r="AL1071" s="1781">
        <v>2</v>
      </c>
      <c r="AM1071" s="1781">
        <v>7159053000</v>
      </c>
      <c r="AN1071" s="1831">
        <v>7.4723478468133486E-2</v>
      </c>
      <c r="AP1071" s="1781" t="s">
        <v>0</v>
      </c>
      <c r="AQ1071" s="1781" t="s">
        <v>572</v>
      </c>
      <c r="AR1071" s="1781" t="s">
        <v>21</v>
      </c>
      <c r="AS1071" s="1781">
        <v>5</v>
      </c>
      <c r="AT1071" s="1781">
        <v>525934770.19999999</v>
      </c>
      <c r="AU1071" s="1909">
        <v>5.6760291466067418E-2</v>
      </c>
      <c r="AV1071" s="1781">
        <f t="shared" si="36"/>
        <v>2018</v>
      </c>
    </row>
    <row r="1072" spans="1:48">
      <c r="A1072" s="333">
        <f t="shared" si="34"/>
        <v>1900</v>
      </c>
      <c r="B1072" s="333">
        <f t="shared" si="35"/>
        <v>1</v>
      </c>
      <c r="AI1072" s="1781" t="s">
        <v>2</v>
      </c>
      <c r="AJ1072" s="1826">
        <v>2019</v>
      </c>
      <c r="AK1072" s="1781" t="s">
        <v>567</v>
      </c>
      <c r="AL1072" s="1781">
        <v>3</v>
      </c>
      <c r="AM1072" s="1781">
        <v>5992212000</v>
      </c>
      <c r="AN1072" s="1831">
        <v>6.2544434907590582E-2</v>
      </c>
      <c r="AP1072" s="1781" t="s">
        <v>0</v>
      </c>
      <c r="AQ1072" s="1781" t="s">
        <v>572</v>
      </c>
      <c r="AR1072" s="1781" t="s">
        <v>387</v>
      </c>
      <c r="AS1072" s="1781">
        <v>6</v>
      </c>
      <c r="AT1072" s="1781">
        <v>499737874.36000001</v>
      </c>
      <c r="AU1072" s="1909">
        <v>5.3933052181585124E-2</v>
      </c>
      <c r="AV1072" s="1781">
        <f t="shared" si="36"/>
        <v>2018</v>
      </c>
    </row>
    <row r="1073" spans="1:48">
      <c r="A1073" s="333">
        <f t="shared" si="34"/>
        <v>1900</v>
      </c>
      <c r="B1073" s="333">
        <f t="shared" si="35"/>
        <v>1</v>
      </c>
      <c r="AI1073" s="1781" t="s">
        <v>2</v>
      </c>
      <c r="AJ1073" s="1826">
        <v>2019</v>
      </c>
      <c r="AK1073" s="1781" t="s">
        <v>761</v>
      </c>
      <c r="AL1073" s="1781">
        <v>4</v>
      </c>
      <c r="AM1073" s="1781">
        <v>1892914000</v>
      </c>
      <c r="AN1073" s="1831">
        <v>1.975751800147707E-2</v>
      </c>
      <c r="AP1073" s="1781" t="s">
        <v>0</v>
      </c>
      <c r="AQ1073" s="1781" t="s">
        <v>572</v>
      </c>
      <c r="AR1073" s="1781" t="s">
        <v>16</v>
      </c>
      <c r="AS1073" s="1781">
        <v>7</v>
      </c>
      <c r="AT1073" s="1781">
        <v>382990417.67999995</v>
      </c>
      <c r="AU1073" s="1909">
        <v>4.1333353427005837E-2</v>
      </c>
      <c r="AV1073" s="1781">
        <f t="shared" si="36"/>
        <v>2018</v>
      </c>
    </row>
    <row r="1074" spans="1:48">
      <c r="A1074" s="333">
        <f t="shared" si="34"/>
        <v>1900</v>
      </c>
      <c r="B1074" s="333">
        <f t="shared" si="35"/>
        <v>1</v>
      </c>
      <c r="AI1074" s="1781" t="s">
        <v>2</v>
      </c>
      <c r="AJ1074" s="1826">
        <v>2019</v>
      </c>
      <c r="AK1074" s="1781" t="s">
        <v>573</v>
      </c>
      <c r="AL1074" s="1781">
        <v>5</v>
      </c>
      <c r="AM1074" s="1781">
        <v>708598000</v>
      </c>
      <c r="AN1074" s="1831">
        <v>7.3960770224165747E-3</v>
      </c>
      <c r="AP1074" s="1781" t="s">
        <v>0</v>
      </c>
      <c r="AQ1074" s="1781" t="s">
        <v>572</v>
      </c>
      <c r="AR1074" s="1781" t="s">
        <v>29</v>
      </c>
      <c r="AS1074" s="1781">
        <v>8</v>
      </c>
      <c r="AT1074" s="1781">
        <v>379478309.70000005</v>
      </c>
      <c r="AU1074" s="1909">
        <v>4.095431731093143E-2</v>
      </c>
      <c r="AV1074" s="1781">
        <f t="shared" si="36"/>
        <v>2018</v>
      </c>
    </row>
    <row r="1075" spans="1:48">
      <c r="A1075" s="333">
        <f t="shared" si="34"/>
        <v>1900</v>
      </c>
      <c r="B1075" s="333">
        <f t="shared" si="35"/>
        <v>1</v>
      </c>
      <c r="AI1075" s="1781" t="s">
        <v>2</v>
      </c>
      <c r="AJ1075" s="1826">
        <v>2019</v>
      </c>
      <c r="AK1075" s="1781" t="s">
        <v>39</v>
      </c>
      <c r="AM1075" s="1781">
        <v>1335185000</v>
      </c>
      <c r="AN1075" s="1831">
        <v>1.3936154348693159E-2</v>
      </c>
      <c r="AP1075" s="1781" t="s">
        <v>0</v>
      </c>
      <c r="AQ1075" s="1781" t="s">
        <v>572</v>
      </c>
      <c r="AR1075" s="1781" t="s">
        <v>758</v>
      </c>
      <c r="AS1075" s="1781">
        <v>9</v>
      </c>
      <c r="AT1075" s="1781">
        <v>322625317.02999997</v>
      </c>
      <c r="AU1075" s="1909">
        <v>3.4818589807233104E-2</v>
      </c>
      <c r="AV1075" s="1781">
        <f t="shared" si="36"/>
        <v>2018</v>
      </c>
    </row>
    <row r="1076" spans="1:48">
      <c r="A1076" s="333">
        <f t="shared" si="34"/>
        <v>1900</v>
      </c>
      <c r="B1076" s="333">
        <f t="shared" si="35"/>
        <v>1</v>
      </c>
      <c r="AI1076" s="1781" t="s">
        <v>2</v>
      </c>
      <c r="AJ1076" s="1826">
        <v>2019</v>
      </c>
      <c r="AK1076" s="1781" t="s">
        <v>386</v>
      </c>
      <c r="AM1076" s="1781">
        <v>95807277000</v>
      </c>
      <c r="AP1076" s="1781" t="s">
        <v>0</v>
      </c>
      <c r="AQ1076" s="1781" t="s">
        <v>572</v>
      </c>
      <c r="AR1076" s="1781" t="s">
        <v>19</v>
      </c>
      <c r="AS1076" s="1781">
        <v>10</v>
      </c>
      <c r="AT1076" s="1781">
        <v>257160750.98000002</v>
      </c>
      <c r="AU1076" s="1909">
        <v>2.7753478199790609E-2</v>
      </c>
      <c r="AV1076" s="1781">
        <f t="shared" si="36"/>
        <v>2018</v>
      </c>
    </row>
    <row r="1077" spans="1:48">
      <c r="A1077" s="333">
        <f t="shared" si="34"/>
        <v>1900</v>
      </c>
      <c r="B1077" s="333">
        <f t="shared" si="35"/>
        <v>1</v>
      </c>
      <c r="AI1077" s="1781" t="s">
        <v>1</v>
      </c>
      <c r="AJ1077" s="1826">
        <v>2019</v>
      </c>
      <c r="AK1077" s="1781" t="s">
        <v>561</v>
      </c>
      <c r="AL1077" s="1781">
        <v>1</v>
      </c>
      <c r="AM1077" s="1781">
        <v>11983964000</v>
      </c>
      <c r="AN1077" s="1831">
        <v>0.58163745997226346</v>
      </c>
      <c r="AP1077" s="1781" t="s">
        <v>0</v>
      </c>
      <c r="AQ1077" s="1781" t="s">
        <v>572</v>
      </c>
      <c r="AR1077" s="1781" t="s">
        <v>39</v>
      </c>
      <c r="AT1077" s="1781">
        <v>1248846987.9899998</v>
      </c>
      <c r="AU1077" s="1909">
        <v>0.1347789175602081</v>
      </c>
      <c r="AV1077" s="1781">
        <f t="shared" si="36"/>
        <v>2018</v>
      </c>
    </row>
    <row r="1078" spans="1:48">
      <c r="A1078" s="333">
        <f t="shared" si="34"/>
        <v>1900</v>
      </c>
      <c r="B1078" s="333">
        <f t="shared" si="35"/>
        <v>1</v>
      </c>
      <c r="AI1078" s="1781" t="s">
        <v>1</v>
      </c>
      <c r="AJ1078" s="1826">
        <v>2019</v>
      </c>
      <c r="AK1078" s="1781" t="s">
        <v>560</v>
      </c>
      <c r="AL1078" s="1781">
        <v>2</v>
      </c>
      <c r="AM1078" s="1781">
        <v>3396127000</v>
      </c>
      <c r="AN1078" s="1831">
        <v>0.16482982442397381</v>
      </c>
      <c r="AP1078" s="1781" t="s">
        <v>0</v>
      </c>
      <c r="AQ1078" s="1781" t="s">
        <v>572</v>
      </c>
      <c r="AR1078" s="1781" t="s">
        <v>386</v>
      </c>
      <c r="AT1078" s="1781">
        <v>9265892697.4399986</v>
      </c>
      <c r="AV1078" s="1781">
        <f t="shared" si="36"/>
        <v>2018</v>
      </c>
    </row>
    <row r="1079" spans="1:48">
      <c r="A1079" s="333">
        <f t="shared" si="34"/>
        <v>1900</v>
      </c>
      <c r="B1079" s="333">
        <f t="shared" si="35"/>
        <v>1</v>
      </c>
      <c r="AI1079" s="1781" t="s">
        <v>1</v>
      </c>
      <c r="AJ1079" s="1826">
        <v>2019</v>
      </c>
      <c r="AK1079" s="1781" t="s">
        <v>562</v>
      </c>
      <c r="AL1079" s="1781">
        <v>3</v>
      </c>
      <c r="AM1079" s="1781">
        <v>2990924000</v>
      </c>
      <c r="AN1079" s="1831">
        <v>0.14516343993774364</v>
      </c>
      <c r="AP1079" s="1781" t="s">
        <v>307</v>
      </c>
      <c r="AQ1079" s="1781" t="s">
        <v>572</v>
      </c>
      <c r="AR1079" s="1781" t="s">
        <v>18</v>
      </c>
      <c r="AS1079" s="1781">
        <v>1</v>
      </c>
      <c r="AT1079" s="1781">
        <v>1849671381.7699997</v>
      </c>
      <c r="AU1079" s="1909">
        <v>0.37493240526394805</v>
      </c>
      <c r="AV1079" s="1781">
        <f t="shared" si="36"/>
        <v>2018</v>
      </c>
    </row>
    <row r="1080" spans="1:48">
      <c r="A1080" s="333">
        <f t="shared" si="34"/>
        <v>1900</v>
      </c>
      <c r="B1080" s="333">
        <f t="shared" si="35"/>
        <v>1</v>
      </c>
      <c r="AI1080" s="1781" t="s">
        <v>1</v>
      </c>
      <c r="AJ1080" s="1826">
        <v>2019</v>
      </c>
      <c r="AK1080" s="1781" t="s">
        <v>564</v>
      </c>
      <c r="AL1080" s="1781">
        <v>4</v>
      </c>
      <c r="AM1080" s="1781">
        <v>1363404000</v>
      </c>
      <c r="AN1080" s="1831">
        <v>6.6172331582106211E-2</v>
      </c>
      <c r="AP1080" s="1781" t="s">
        <v>307</v>
      </c>
      <c r="AQ1080" s="1781" t="s">
        <v>572</v>
      </c>
      <c r="AR1080" s="1781" t="s">
        <v>69</v>
      </c>
      <c r="AS1080" s="1781">
        <v>2</v>
      </c>
      <c r="AT1080" s="1781">
        <v>879650801.70000005</v>
      </c>
      <c r="AU1080" s="1909">
        <v>0.17830712748452521</v>
      </c>
      <c r="AV1080" s="1781">
        <f t="shared" si="36"/>
        <v>2018</v>
      </c>
    </row>
    <row r="1081" spans="1:48">
      <c r="A1081" s="333">
        <f t="shared" si="34"/>
        <v>1900</v>
      </c>
      <c r="B1081" s="333">
        <f t="shared" si="35"/>
        <v>1</v>
      </c>
      <c r="AI1081" s="1781" t="s">
        <v>1</v>
      </c>
      <c r="AJ1081" s="1826">
        <v>2019</v>
      </c>
      <c r="AK1081" s="1781" t="s">
        <v>565</v>
      </c>
      <c r="AL1081" s="1781">
        <v>5</v>
      </c>
      <c r="AM1081" s="1781">
        <v>265817000</v>
      </c>
      <c r="AN1081" s="1831">
        <v>1.290133420773353E-2</v>
      </c>
      <c r="AP1081" s="1781" t="s">
        <v>307</v>
      </c>
      <c r="AQ1081" s="1781" t="s">
        <v>572</v>
      </c>
      <c r="AR1081" s="1781" t="s">
        <v>24</v>
      </c>
      <c r="AS1081" s="1781">
        <v>3</v>
      </c>
      <c r="AT1081" s="1781">
        <v>656981517.92999995</v>
      </c>
      <c r="AU1081" s="1909">
        <v>0.13317158018401129</v>
      </c>
      <c r="AV1081" s="1781">
        <f t="shared" si="36"/>
        <v>2018</v>
      </c>
    </row>
    <row r="1082" spans="1:48">
      <c r="A1082" s="333">
        <f t="shared" si="34"/>
        <v>1900</v>
      </c>
      <c r="B1082" s="333">
        <f t="shared" si="35"/>
        <v>1</v>
      </c>
      <c r="AI1082" s="1781" t="s">
        <v>1</v>
      </c>
      <c r="AJ1082" s="1826">
        <v>2019</v>
      </c>
      <c r="AK1082" s="1781" t="s">
        <v>568</v>
      </c>
      <c r="AL1082" s="1781">
        <v>6</v>
      </c>
      <c r="AM1082" s="1781">
        <v>151869000</v>
      </c>
      <c r="AN1082" s="1831">
        <v>7.3709082744680869E-3</v>
      </c>
      <c r="AP1082" s="1781" t="s">
        <v>307</v>
      </c>
      <c r="AQ1082" s="1781" t="s">
        <v>572</v>
      </c>
      <c r="AR1082" s="1781" t="s">
        <v>23</v>
      </c>
      <c r="AS1082" s="1781">
        <v>4</v>
      </c>
      <c r="AT1082" s="1781">
        <v>425596461.69999999</v>
      </c>
      <c r="AU1082" s="1909">
        <v>8.6269326881356648E-2</v>
      </c>
      <c r="AV1082" s="1781">
        <f t="shared" si="36"/>
        <v>2018</v>
      </c>
    </row>
    <row r="1083" spans="1:48">
      <c r="A1083" s="333">
        <f t="shared" si="34"/>
        <v>1900</v>
      </c>
      <c r="B1083" s="333">
        <f t="shared" si="35"/>
        <v>1</v>
      </c>
      <c r="AI1083" s="1781" t="s">
        <v>1</v>
      </c>
      <c r="AJ1083" s="1826">
        <v>2019</v>
      </c>
      <c r="AK1083" s="1781" t="s">
        <v>759</v>
      </c>
      <c r="AL1083" s="1781">
        <v>7</v>
      </c>
      <c r="AM1083" s="1781">
        <v>116526000</v>
      </c>
      <c r="AN1083" s="1831">
        <v>5.6555482527090341E-3</v>
      </c>
      <c r="AP1083" s="1781" t="s">
        <v>307</v>
      </c>
      <c r="AQ1083" s="1781" t="s">
        <v>572</v>
      </c>
      <c r="AR1083" s="1781" t="s">
        <v>58</v>
      </c>
      <c r="AS1083" s="1781">
        <v>5</v>
      </c>
      <c r="AT1083" s="1781">
        <v>360180909.46000004</v>
      </c>
      <c r="AU1083" s="1909">
        <v>7.3009452405955161E-2</v>
      </c>
      <c r="AV1083" s="1781">
        <f t="shared" si="36"/>
        <v>2018</v>
      </c>
    </row>
    <row r="1084" spans="1:48">
      <c r="A1084" s="333">
        <f t="shared" si="34"/>
        <v>1900</v>
      </c>
      <c r="B1084" s="333">
        <f t="shared" si="35"/>
        <v>1</v>
      </c>
      <c r="AI1084" s="1781" t="s">
        <v>1</v>
      </c>
      <c r="AJ1084" s="1826">
        <v>2019</v>
      </c>
      <c r="AK1084" s="1781" t="s">
        <v>567</v>
      </c>
      <c r="AL1084" s="1781">
        <v>8</v>
      </c>
      <c r="AM1084" s="1781">
        <v>112952000</v>
      </c>
      <c r="AN1084" s="1831">
        <v>5.4820854250552734E-3</v>
      </c>
      <c r="AP1084" s="1781" t="s">
        <v>307</v>
      </c>
      <c r="AQ1084" s="1781" t="s">
        <v>572</v>
      </c>
      <c r="AR1084" s="1781" t="s">
        <v>21</v>
      </c>
      <c r="AS1084" s="1781">
        <v>6</v>
      </c>
      <c r="AT1084" s="1781">
        <v>316761255.86000001</v>
      </c>
      <c r="AU1084" s="1909">
        <v>6.4208194344430078E-2</v>
      </c>
      <c r="AV1084" s="1781">
        <f t="shared" si="36"/>
        <v>2018</v>
      </c>
    </row>
    <row r="1085" spans="1:48">
      <c r="A1085" s="333">
        <f t="shared" si="34"/>
        <v>1900</v>
      </c>
      <c r="B1085" s="333">
        <f t="shared" si="35"/>
        <v>1</v>
      </c>
      <c r="AI1085" s="1781" t="s">
        <v>1</v>
      </c>
      <c r="AJ1085" s="1826">
        <v>2019</v>
      </c>
      <c r="AK1085" s="1781" t="s">
        <v>563</v>
      </c>
      <c r="AL1085" s="1781">
        <v>9</v>
      </c>
      <c r="AM1085" s="1781">
        <v>92815000</v>
      </c>
      <c r="AN1085" s="1831">
        <v>4.5047432424968588E-3</v>
      </c>
      <c r="AP1085" s="1781" t="s">
        <v>307</v>
      </c>
      <c r="AQ1085" s="1781" t="s">
        <v>572</v>
      </c>
      <c r="AR1085" s="1781" t="s">
        <v>537</v>
      </c>
      <c r="AS1085" s="1781">
        <v>7</v>
      </c>
      <c r="AT1085" s="1781">
        <v>187269616.85999998</v>
      </c>
      <c r="AU1085" s="1909">
        <v>3.7959957954795558E-2</v>
      </c>
      <c r="AV1085" s="1781">
        <f t="shared" si="36"/>
        <v>2018</v>
      </c>
    </row>
    <row r="1086" spans="1:48">
      <c r="A1086" s="333">
        <f t="shared" si="34"/>
        <v>1900</v>
      </c>
      <c r="B1086" s="333">
        <f t="shared" si="35"/>
        <v>1</v>
      </c>
      <c r="AI1086" s="1781" t="s">
        <v>1</v>
      </c>
      <c r="AJ1086" s="1826">
        <v>2019</v>
      </c>
      <c r="AK1086" s="1781" t="s">
        <v>566</v>
      </c>
      <c r="AL1086" s="1781">
        <v>10</v>
      </c>
      <c r="AM1086" s="1781">
        <v>54470000</v>
      </c>
      <c r="AN1086" s="1831">
        <v>2.643682211052135E-3</v>
      </c>
      <c r="AP1086" s="1781" t="s">
        <v>307</v>
      </c>
      <c r="AQ1086" s="1781" t="s">
        <v>572</v>
      </c>
      <c r="AR1086" s="1781" t="s">
        <v>25</v>
      </c>
      <c r="AS1086" s="1781">
        <v>8</v>
      </c>
      <c r="AT1086" s="1781">
        <v>95315065.400000006</v>
      </c>
      <c r="AU1086" s="1909">
        <v>1.9320570713547567E-2</v>
      </c>
      <c r="AV1086" s="1781">
        <f t="shared" si="36"/>
        <v>2018</v>
      </c>
    </row>
    <row r="1087" spans="1:48">
      <c r="A1087" s="333">
        <f t="shared" si="34"/>
        <v>1900</v>
      </c>
      <c r="B1087" s="333">
        <f t="shared" si="35"/>
        <v>1</v>
      </c>
      <c r="AI1087" s="1781" t="s">
        <v>1</v>
      </c>
      <c r="AJ1087" s="1826">
        <v>2019</v>
      </c>
      <c r="AK1087" s="1781" t="s">
        <v>39</v>
      </c>
      <c r="AM1087" s="1781">
        <v>74970000</v>
      </c>
      <c r="AN1087" s="1831">
        <v>3.6386424703979911E-3</v>
      </c>
      <c r="AP1087" s="1781" t="s">
        <v>307</v>
      </c>
      <c r="AQ1087" s="1781" t="s">
        <v>572</v>
      </c>
      <c r="AR1087" s="1781" t="s">
        <v>381</v>
      </c>
      <c r="AS1087" s="1781">
        <v>9</v>
      </c>
      <c r="AT1087" s="1781">
        <v>92038894.219999999</v>
      </c>
      <c r="AU1087" s="1909">
        <v>1.8656483701832871E-2</v>
      </c>
      <c r="AV1087" s="1781">
        <f t="shared" si="36"/>
        <v>2018</v>
      </c>
    </row>
    <row r="1088" spans="1:48">
      <c r="A1088" s="333">
        <f t="shared" si="34"/>
        <v>1900</v>
      </c>
      <c r="B1088" s="333">
        <f t="shared" si="35"/>
        <v>1</v>
      </c>
      <c r="AI1088" s="1781" t="s">
        <v>1</v>
      </c>
      <c r="AJ1088" s="1826">
        <v>2019</v>
      </c>
      <c r="AK1088" s="1781" t="s">
        <v>386</v>
      </c>
      <c r="AM1088" s="1781">
        <v>20603838000</v>
      </c>
      <c r="AP1088" s="1781" t="s">
        <v>307</v>
      </c>
      <c r="AQ1088" s="1781" t="s">
        <v>572</v>
      </c>
      <c r="AR1088" s="1781" t="s">
        <v>62</v>
      </c>
      <c r="AS1088" s="1781">
        <v>10</v>
      </c>
      <c r="AT1088" s="1781">
        <v>33412653.98</v>
      </c>
      <c r="AU1088" s="1909">
        <v>6.77281751041936E-3</v>
      </c>
      <c r="AV1088" s="1781">
        <f t="shared" si="36"/>
        <v>2018</v>
      </c>
    </row>
    <row r="1089" spans="1:48">
      <c r="A1089" s="333">
        <f t="shared" si="34"/>
        <v>1900</v>
      </c>
      <c r="B1089" s="333">
        <f t="shared" si="35"/>
        <v>1</v>
      </c>
      <c r="AI1089" s="1781" t="s">
        <v>4</v>
      </c>
      <c r="AJ1089" s="1826">
        <v>2019</v>
      </c>
      <c r="AK1089" s="1781" t="s">
        <v>23</v>
      </c>
      <c r="AL1089" s="1781">
        <v>1</v>
      </c>
      <c r="AM1089" s="1781">
        <v>15512007283.194126</v>
      </c>
      <c r="AN1089" s="1831">
        <v>0.42057267868769044</v>
      </c>
      <c r="AP1089" s="1781" t="s">
        <v>307</v>
      </c>
      <c r="AQ1089" s="1781" t="s">
        <v>572</v>
      </c>
      <c r="AR1089" s="1781" t="s">
        <v>39</v>
      </c>
      <c r="AT1089" s="1781">
        <v>36467707.81000042</v>
      </c>
      <c r="AU1089" s="1909">
        <v>7.3920835551785071E-3</v>
      </c>
      <c r="AV1089" s="1781">
        <f t="shared" si="36"/>
        <v>2018</v>
      </c>
    </row>
    <row r="1090" spans="1:48">
      <c r="A1090" s="333">
        <f t="shared" si="34"/>
        <v>1900</v>
      </c>
      <c r="B1090" s="333">
        <f t="shared" si="35"/>
        <v>1</v>
      </c>
      <c r="AI1090" s="1781" t="s">
        <v>4</v>
      </c>
      <c r="AJ1090" s="1826">
        <v>2019</v>
      </c>
      <c r="AK1090" s="1781" t="s">
        <v>18</v>
      </c>
      <c r="AL1090" s="1781">
        <v>2</v>
      </c>
      <c r="AM1090" s="1781">
        <v>6105389093.0109987</v>
      </c>
      <c r="AN1090" s="1831">
        <v>0.16553369260341844</v>
      </c>
      <c r="AP1090" s="1781" t="s">
        <v>307</v>
      </c>
      <c r="AQ1090" s="1781" t="s">
        <v>572</v>
      </c>
      <c r="AR1090" s="1781" t="s">
        <v>386</v>
      </c>
      <c r="AT1090" s="1781">
        <v>4933346266.6899986</v>
      </c>
      <c r="AV1090" s="1781">
        <f t="shared" si="36"/>
        <v>2018</v>
      </c>
    </row>
    <row r="1091" spans="1:48">
      <c r="A1091" s="333">
        <f t="shared" si="34"/>
        <v>1900</v>
      </c>
      <c r="B1091" s="333">
        <f t="shared" si="35"/>
        <v>1</v>
      </c>
      <c r="AI1091" s="1781" t="s">
        <v>4</v>
      </c>
      <c r="AJ1091" s="1826">
        <v>2019</v>
      </c>
      <c r="AK1091" s="1781" t="s">
        <v>61</v>
      </c>
      <c r="AL1091" s="1781">
        <v>3</v>
      </c>
      <c r="AM1091" s="1781">
        <v>5497002088.1683006</v>
      </c>
      <c r="AN1091" s="1831">
        <v>0.14903866732176532</v>
      </c>
      <c r="AP1091" s="1781" t="s">
        <v>533</v>
      </c>
      <c r="AQ1091" s="1781" t="s">
        <v>572</v>
      </c>
      <c r="AT1091" s="1781">
        <v>1698686583.2099996</v>
      </c>
      <c r="AV1091" s="1781">
        <f t="shared" si="36"/>
        <v>2018</v>
      </c>
    </row>
    <row r="1092" spans="1:48">
      <c r="A1092" s="333">
        <f t="shared" si="34"/>
        <v>1900</v>
      </c>
      <c r="B1092" s="333">
        <f t="shared" si="35"/>
        <v>1</v>
      </c>
      <c r="AI1092" s="1781" t="s">
        <v>4</v>
      </c>
      <c r="AJ1092" s="1826">
        <v>2019</v>
      </c>
      <c r="AK1092" s="1781" t="s">
        <v>24</v>
      </c>
      <c r="AL1092" s="1781">
        <v>4</v>
      </c>
      <c r="AM1092" s="1781">
        <v>3028046255.7830997</v>
      </c>
      <c r="AN1092" s="1831">
        <v>8.2098564146799224E-2</v>
      </c>
      <c r="AP1092" s="1781" t="s">
        <v>3</v>
      </c>
      <c r="AQ1092" s="1781" t="s">
        <v>572</v>
      </c>
      <c r="AR1092" s="1781" t="s">
        <v>18</v>
      </c>
      <c r="AS1092" s="1781">
        <v>1</v>
      </c>
      <c r="AT1092" s="1781">
        <v>1168828700.1600051</v>
      </c>
      <c r="AU1092" s="1909">
        <v>0.4316061328750041</v>
      </c>
      <c r="AV1092" s="1781">
        <f t="shared" si="36"/>
        <v>2018</v>
      </c>
    </row>
    <row r="1093" spans="1:48">
      <c r="A1093" s="333">
        <f t="shared" si="34"/>
        <v>1900</v>
      </c>
      <c r="B1093" s="333">
        <f t="shared" si="35"/>
        <v>1</v>
      </c>
      <c r="AI1093" s="1781" t="s">
        <v>4</v>
      </c>
      <c r="AJ1093" s="1826">
        <v>2019</v>
      </c>
      <c r="AK1093" s="1781" t="s">
        <v>25</v>
      </c>
      <c r="AL1093" s="1781">
        <v>5</v>
      </c>
      <c r="AM1093" s="1781">
        <v>2029774809.0510001</v>
      </c>
      <c r="AN1093" s="1831">
        <v>5.5032711949551963E-2</v>
      </c>
      <c r="AP1093" s="1781" t="s">
        <v>3</v>
      </c>
      <c r="AQ1093" s="1781" t="s">
        <v>572</v>
      </c>
      <c r="AR1093" s="1781" t="s">
        <v>23</v>
      </c>
      <c r="AS1093" s="1781">
        <v>2</v>
      </c>
      <c r="AT1093" s="1781">
        <v>470486886.43001038</v>
      </c>
      <c r="AU1093" s="1825">
        <v>0.17373377774917723</v>
      </c>
      <c r="AV1093" s="1781">
        <f t="shared" si="36"/>
        <v>2018</v>
      </c>
    </row>
    <row r="1094" spans="1:48">
      <c r="A1094" s="333">
        <f t="shared" si="34"/>
        <v>1900</v>
      </c>
      <c r="B1094" s="333">
        <f t="shared" si="35"/>
        <v>1</v>
      </c>
      <c r="AI1094" s="1781" t="s">
        <v>4</v>
      </c>
      <c r="AJ1094" s="1826">
        <v>2019</v>
      </c>
      <c r="AK1094" s="1781" t="s">
        <v>537</v>
      </c>
      <c r="AL1094" s="1781">
        <v>6</v>
      </c>
      <c r="AM1094" s="1781">
        <v>1373377702.1822</v>
      </c>
      <c r="AN1094" s="1831">
        <v>3.7236002311737987E-2</v>
      </c>
      <c r="AP1094" s="1781" t="s">
        <v>3</v>
      </c>
      <c r="AQ1094" s="1781" t="s">
        <v>572</v>
      </c>
      <c r="AR1094" s="1781" t="s">
        <v>24</v>
      </c>
      <c r="AS1094" s="1781">
        <v>3</v>
      </c>
      <c r="AT1094" s="1781">
        <v>285405319</v>
      </c>
      <c r="AU1094" s="1825">
        <v>0.10538985397833234</v>
      </c>
      <c r="AV1094" s="1781">
        <f t="shared" si="36"/>
        <v>2018</v>
      </c>
    </row>
    <row r="1095" spans="1:48">
      <c r="A1095" s="333">
        <f t="shared" si="34"/>
        <v>1900</v>
      </c>
      <c r="B1095" s="333">
        <f t="shared" si="35"/>
        <v>1</v>
      </c>
      <c r="AI1095" s="1781" t="s">
        <v>4</v>
      </c>
      <c r="AJ1095" s="1826">
        <v>2019</v>
      </c>
      <c r="AK1095" s="1781" t="s">
        <v>33</v>
      </c>
      <c r="AL1095" s="1781">
        <v>7</v>
      </c>
      <c r="AM1095" s="1781">
        <v>1074962675.6193004</v>
      </c>
      <c r="AN1095" s="1831">
        <v>2.9145159857184046E-2</v>
      </c>
      <c r="AP1095" s="1781" t="s">
        <v>3</v>
      </c>
      <c r="AQ1095" s="1781" t="s">
        <v>572</v>
      </c>
      <c r="AR1095" s="1781" t="s">
        <v>537</v>
      </c>
      <c r="AS1095" s="1781">
        <v>4</v>
      </c>
      <c r="AT1095" s="1781">
        <v>270601031.06953681</v>
      </c>
      <c r="AU1095" s="1825">
        <v>9.9923166291111268E-2</v>
      </c>
      <c r="AV1095" s="1781">
        <f t="shared" si="36"/>
        <v>2018</v>
      </c>
    </row>
    <row r="1096" spans="1:48">
      <c r="A1096" s="333">
        <f t="shared" si="34"/>
        <v>1900</v>
      </c>
      <c r="B1096" s="333">
        <f t="shared" si="35"/>
        <v>1</v>
      </c>
      <c r="AI1096" s="1781" t="s">
        <v>4</v>
      </c>
      <c r="AJ1096" s="1826">
        <v>2019</v>
      </c>
      <c r="AK1096" s="1781" t="s">
        <v>22</v>
      </c>
      <c r="AL1096" s="1781">
        <v>8</v>
      </c>
      <c r="AM1096" s="1781">
        <v>844450915.12579989</v>
      </c>
      <c r="AN1096" s="1831">
        <v>2.2895359505117414E-2</v>
      </c>
      <c r="AP1096" s="1781" t="s">
        <v>3</v>
      </c>
      <c r="AQ1096" s="1781" t="s">
        <v>572</v>
      </c>
      <c r="AR1096" s="1781" t="s">
        <v>27</v>
      </c>
      <c r="AS1096" s="1781">
        <v>5</v>
      </c>
      <c r="AT1096" s="1781">
        <v>180682147.58000001</v>
      </c>
      <c r="AU1096" s="1825">
        <v>6.6719377258514567E-2</v>
      </c>
      <c r="AV1096" s="1781">
        <f t="shared" si="36"/>
        <v>2018</v>
      </c>
    </row>
    <row r="1097" spans="1:48">
      <c r="A1097" s="333">
        <f t="shared" si="34"/>
        <v>1900</v>
      </c>
      <c r="B1097" s="333">
        <f t="shared" si="35"/>
        <v>1</v>
      </c>
      <c r="AI1097" s="1781" t="s">
        <v>4</v>
      </c>
      <c r="AJ1097" s="1826">
        <v>2019</v>
      </c>
      <c r="AK1097" s="1781" t="s">
        <v>21</v>
      </c>
      <c r="AL1097" s="1781">
        <v>9</v>
      </c>
      <c r="AM1097" s="1781">
        <v>475090531.245</v>
      </c>
      <c r="AN1097" s="1831">
        <v>1.2880995586002846E-2</v>
      </c>
      <c r="AP1097" s="1781" t="s">
        <v>3</v>
      </c>
      <c r="AQ1097" s="1781" t="s">
        <v>572</v>
      </c>
      <c r="AR1097" s="1781" t="s">
        <v>70</v>
      </c>
      <c r="AS1097" s="1781">
        <v>6</v>
      </c>
      <c r="AT1097" s="1781">
        <v>83704696.170000002</v>
      </c>
      <c r="AU1097" s="1825">
        <v>3.0909114579805622E-2</v>
      </c>
      <c r="AV1097" s="1781">
        <f t="shared" si="36"/>
        <v>2018</v>
      </c>
    </row>
    <row r="1098" spans="1:48">
      <c r="A1098" s="333">
        <f t="shared" ref="A1098:A1161" si="37">YEAR(C1098)</f>
        <v>1900</v>
      </c>
      <c r="B1098" s="333">
        <f t="shared" ref="B1098:B1161" si="38">IF(OR(MONTH(C1098)=1,MONTH(C1098)=2,MONTH(C1098)=3),1,IF(OR(MONTH(C1098)=4,MONTH(C1098)=5,MONTH(C1098)=6),2,IF(OR(MONTH(C1098)=7,MONTH(C1098)=8,MONTH(C1098)=9),3,4)))</f>
        <v>1</v>
      </c>
      <c r="AI1098" s="1781" t="s">
        <v>4</v>
      </c>
      <c r="AJ1098" s="1826">
        <v>2019</v>
      </c>
      <c r="AK1098" s="1781" t="s">
        <v>34</v>
      </c>
      <c r="AL1098" s="1781">
        <v>10</v>
      </c>
      <c r="AM1098" s="1781">
        <v>399984046.64059997</v>
      </c>
      <c r="AN1098" s="1831">
        <v>1.0844654650867341E-2</v>
      </c>
      <c r="AP1098" s="1781" t="s">
        <v>3</v>
      </c>
      <c r="AQ1098" s="1781" t="s">
        <v>572</v>
      </c>
      <c r="AR1098" s="1781" t="s">
        <v>60</v>
      </c>
      <c r="AS1098" s="1781">
        <v>7</v>
      </c>
      <c r="AT1098" s="1781">
        <v>61835664.579999998</v>
      </c>
      <c r="AU1098" s="1825">
        <v>2.2833672769565088E-2</v>
      </c>
      <c r="AV1098" s="1781">
        <f t="shared" si="36"/>
        <v>2018</v>
      </c>
    </row>
    <row r="1099" spans="1:48">
      <c r="A1099" s="333">
        <f t="shared" si="37"/>
        <v>1900</v>
      </c>
      <c r="B1099" s="333">
        <f t="shared" si="38"/>
        <v>1</v>
      </c>
      <c r="AI1099" s="1781" t="s">
        <v>4</v>
      </c>
      <c r="AJ1099" s="1826">
        <v>2019</v>
      </c>
      <c r="AK1099" s="1781" t="s">
        <v>39</v>
      </c>
      <c r="AM1099" s="1781">
        <v>542974459.20798492</v>
      </c>
      <c r="AN1099" s="1831">
        <v>1.4721513379864786E-2</v>
      </c>
      <c r="AP1099" s="1781" t="s">
        <v>3</v>
      </c>
      <c r="AQ1099" s="1781" t="s">
        <v>572</v>
      </c>
      <c r="AR1099" s="1781" t="s">
        <v>63</v>
      </c>
      <c r="AS1099" s="1781">
        <v>8</v>
      </c>
      <c r="AT1099" s="1781">
        <v>47633436</v>
      </c>
      <c r="AU1099" s="1825">
        <v>1.7589303808757114E-2</v>
      </c>
      <c r="AV1099" s="1781">
        <f t="shared" si="36"/>
        <v>2018</v>
      </c>
    </row>
    <row r="1100" spans="1:48">
      <c r="A1100" s="333">
        <f t="shared" si="37"/>
        <v>1900</v>
      </c>
      <c r="B1100" s="333">
        <f t="shared" si="38"/>
        <v>1</v>
      </c>
      <c r="AI1100" s="1781" t="s">
        <v>4</v>
      </c>
      <c r="AJ1100" s="1826">
        <v>2019</v>
      </c>
      <c r="AK1100" s="1781" t="s">
        <v>386</v>
      </c>
      <c r="AM1100" s="1781">
        <v>36883059859.228416</v>
      </c>
      <c r="AP1100" s="1781" t="s">
        <v>3</v>
      </c>
      <c r="AQ1100" s="1781" t="s">
        <v>572</v>
      </c>
      <c r="AR1100" s="1781" t="s">
        <v>62</v>
      </c>
      <c r="AS1100" s="1781">
        <v>9</v>
      </c>
      <c r="AT1100" s="1781">
        <v>35239658.309999995</v>
      </c>
      <c r="AU1100" s="1825">
        <v>1.3012730304221223E-2</v>
      </c>
      <c r="AV1100" s="1781">
        <f t="shared" si="36"/>
        <v>2018</v>
      </c>
    </row>
    <row r="1101" spans="1:48">
      <c r="A1101" s="333">
        <f t="shared" si="37"/>
        <v>1900</v>
      </c>
      <c r="B1101" s="333">
        <f t="shared" si="38"/>
        <v>1</v>
      </c>
      <c r="AI1101" s="1781" t="s">
        <v>0</v>
      </c>
      <c r="AJ1101" s="1827">
        <v>2020</v>
      </c>
      <c r="AK1101" s="1781" t="s">
        <v>34</v>
      </c>
      <c r="AL1101" s="1781">
        <v>1</v>
      </c>
      <c r="AM1101" s="1880">
        <v>1741960629.3199999</v>
      </c>
      <c r="AN1101" s="1831">
        <v>0.26932348709612991</v>
      </c>
      <c r="AP1101" s="1781" t="s">
        <v>3</v>
      </c>
      <c r="AQ1101" s="1781" t="s">
        <v>572</v>
      </c>
      <c r="AR1101" s="1781" t="s">
        <v>758</v>
      </c>
      <c r="AS1101" s="1781">
        <v>10</v>
      </c>
      <c r="AT1101" s="1781">
        <v>29638823.149999999</v>
      </c>
      <c r="AU1101" s="1825">
        <v>1.0944544603487632E-2</v>
      </c>
      <c r="AV1101" s="1781">
        <f t="shared" si="36"/>
        <v>2018</v>
      </c>
    </row>
    <row r="1102" spans="1:48">
      <c r="A1102" s="333">
        <f t="shared" si="37"/>
        <v>1900</v>
      </c>
      <c r="B1102" s="333">
        <f t="shared" si="38"/>
        <v>1</v>
      </c>
      <c r="AI1102" s="1781" t="s">
        <v>0</v>
      </c>
      <c r="AJ1102" s="1826">
        <v>2020</v>
      </c>
      <c r="AK1102" s="1781" t="s">
        <v>17</v>
      </c>
      <c r="AL1102" s="1781">
        <v>2</v>
      </c>
      <c r="AM1102" s="1880">
        <v>836627245.89999974</v>
      </c>
      <c r="AN1102" s="1831">
        <v>0.12935043621128084</v>
      </c>
      <c r="AP1102" s="1781" t="s">
        <v>3</v>
      </c>
      <c r="AQ1102" s="1781" t="s">
        <v>572</v>
      </c>
      <c r="AR1102" s="1781" t="s">
        <v>39</v>
      </c>
      <c r="AT1102" s="1781">
        <v>74034675.029994965</v>
      </c>
      <c r="AU1102" s="1825">
        <v>2.7338325782023904E-2</v>
      </c>
      <c r="AV1102" s="1781">
        <f t="shared" si="36"/>
        <v>2018</v>
      </c>
    </row>
    <row r="1103" spans="1:48">
      <c r="A1103" s="333">
        <f t="shared" si="37"/>
        <v>1900</v>
      </c>
      <c r="B1103" s="333">
        <f t="shared" si="38"/>
        <v>1</v>
      </c>
      <c r="AI1103" s="1781" t="s">
        <v>0</v>
      </c>
      <c r="AJ1103" s="1826">
        <v>2020</v>
      </c>
      <c r="AK1103" s="1781" t="s">
        <v>18</v>
      </c>
      <c r="AL1103" s="1781">
        <v>3</v>
      </c>
      <c r="AM1103" s="1880">
        <v>629853734.78000009</v>
      </c>
      <c r="AN1103" s="1831">
        <v>9.7381307795509645E-2</v>
      </c>
      <c r="AP1103" s="1781" t="s">
        <v>3</v>
      </c>
      <c r="AQ1103" s="1781" t="s">
        <v>572</v>
      </c>
      <c r="AR1103" s="1781" t="s">
        <v>386</v>
      </c>
      <c r="AT1103" s="1781">
        <v>2708091037.479547</v>
      </c>
      <c r="AU1103" s="1825"/>
      <c r="AV1103" s="1781">
        <f t="shared" si="36"/>
        <v>2018</v>
      </c>
    </row>
    <row r="1104" spans="1:48">
      <c r="A1104" s="333">
        <f t="shared" si="37"/>
        <v>1900</v>
      </c>
      <c r="B1104" s="333">
        <f t="shared" si="38"/>
        <v>1</v>
      </c>
      <c r="AI1104" s="1781" t="s">
        <v>0</v>
      </c>
      <c r="AJ1104" s="1826">
        <v>2020</v>
      </c>
      <c r="AK1104" s="1781" t="s">
        <v>32</v>
      </c>
      <c r="AL1104" s="1781">
        <v>4</v>
      </c>
      <c r="AM1104" s="1880">
        <v>628861657.38</v>
      </c>
      <c r="AN1104" s="1831">
        <v>9.7227923304298955E-2</v>
      </c>
      <c r="AP1104" s="1781" t="s">
        <v>1</v>
      </c>
      <c r="AQ1104" s="1781" t="s">
        <v>572</v>
      </c>
      <c r="AR1104" s="1781" t="s">
        <v>18</v>
      </c>
      <c r="AS1104" s="1781">
        <v>1</v>
      </c>
      <c r="AT1104" s="1781">
        <v>5071740000</v>
      </c>
      <c r="AU1104" s="1909">
        <v>0.30504772810192965</v>
      </c>
      <c r="AV1104" s="1781">
        <f t="shared" si="36"/>
        <v>2018</v>
      </c>
    </row>
    <row r="1105" spans="1:48">
      <c r="A1105" s="333">
        <f t="shared" si="37"/>
        <v>1900</v>
      </c>
      <c r="B1105" s="333">
        <f t="shared" si="38"/>
        <v>1</v>
      </c>
      <c r="AI1105" s="1781" t="s">
        <v>0</v>
      </c>
      <c r="AJ1105" s="1826">
        <v>2020</v>
      </c>
      <c r="AK1105" s="1781" t="s">
        <v>26</v>
      </c>
      <c r="AL1105" s="1781">
        <v>5</v>
      </c>
      <c r="AM1105" s="1880">
        <v>532042638.28999996</v>
      </c>
      <c r="AN1105" s="1831">
        <v>8.2258792889035454E-2</v>
      </c>
      <c r="AP1105" s="1781" t="s">
        <v>1</v>
      </c>
      <c r="AQ1105" s="1781" t="s">
        <v>572</v>
      </c>
      <c r="AR1105" s="1781" t="s">
        <v>63</v>
      </c>
      <c r="AS1105" s="1781">
        <v>2</v>
      </c>
      <c r="AT1105" s="1781">
        <v>4316792000</v>
      </c>
      <c r="AU1105" s="1909">
        <v>0.25964020085583744</v>
      </c>
      <c r="AV1105" s="1781">
        <f t="shared" si="36"/>
        <v>2018</v>
      </c>
    </row>
    <row r="1106" spans="1:48">
      <c r="A1106" s="333">
        <f t="shared" si="37"/>
        <v>1900</v>
      </c>
      <c r="B1106" s="333">
        <f t="shared" si="38"/>
        <v>1</v>
      </c>
      <c r="AI1106" s="1781" t="s">
        <v>0</v>
      </c>
      <c r="AJ1106" s="1826">
        <v>2020</v>
      </c>
      <c r="AK1106" s="1781" t="s">
        <v>25</v>
      </c>
      <c r="AL1106" s="1781">
        <v>6</v>
      </c>
      <c r="AM1106" s="1880">
        <v>455337809.89000016</v>
      </c>
      <c r="AN1106" s="1831">
        <v>7.0399505420602526E-2</v>
      </c>
      <c r="AP1106" s="1781" t="s">
        <v>1</v>
      </c>
      <c r="AQ1106" s="1781" t="s">
        <v>572</v>
      </c>
      <c r="AR1106" s="1781" t="s">
        <v>370</v>
      </c>
      <c r="AS1106" s="1781">
        <v>3</v>
      </c>
      <c r="AT1106" s="1781">
        <v>3784997000</v>
      </c>
      <c r="AU1106" s="1909">
        <v>0.22765455952446684</v>
      </c>
      <c r="AV1106" s="1781">
        <f t="shared" si="36"/>
        <v>2018</v>
      </c>
    </row>
    <row r="1107" spans="1:48">
      <c r="A1107" s="333">
        <f t="shared" si="37"/>
        <v>1900</v>
      </c>
      <c r="B1107" s="333">
        <f t="shared" si="38"/>
        <v>1</v>
      </c>
      <c r="AI1107" s="1781" t="s">
        <v>0</v>
      </c>
      <c r="AJ1107" s="1826">
        <v>2020</v>
      </c>
      <c r="AK1107" s="1781" t="s">
        <v>21</v>
      </c>
      <c r="AL1107" s="1781">
        <v>7</v>
      </c>
      <c r="AM1107" s="1880">
        <v>430910259.41000009</v>
      </c>
      <c r="AN1107" s="1831">
        <v>6.662277650620764E-2</v>
      </c>
      <c r="AP1107" s="1781" t="s">
        <v>1</v>
      </c>
      <c r="AQ1107" s="1781" t="s">
        <v>572</v>
      </c>
      <c r="AR1107" s="1781" t="s">
        <v>61</v>
      </c>
      <c r="AS1107" s="1781">
        <v>4</v>
      </c>
      <c r="AT1107" s="1781">
        <v>1276083000</v>
      </c>
      <c r="AU1107" s="1909">
        <v>7.675200621867341E-2</v>
      </c>
      <c r="AV1107" s="1781">
        <f t="shared" si="36"/>
        <v>2018</v>
      </c>
    </row>
    <row r="1108" spans="1:48">
      <c r="A1108" s="333">
        <f t="shared" si="37"/>
        <v>1900</v>
      </c>
      <c r="B1108" s="333">
        <f t="shared" si="38"/>
        <v>1</v>
      </c>
      <c r="AI1108" s="1781" t="s">
        <v>0</v>
      </c>
      <c r="AJ1108" s="1826">
        <v>2020</v>
      </c>
      <c r="AK1108" s="1781" t="s">
        <v>29</v>
      </c>
      <c r="AL1108" s="1781">
        <v>8</v>
      </c>
      <c r="AM1108" s="1880">
        <v>241478975.00000003</v>
      </c>
      <c r="AN1108" s="1831">
        <v>3.7334919350494697E-2</v>
      </c>
      <c r="AP1108" s="1781" t="s">
        <v>1</v>
      </c>
      <c r="AQ1108" s="1781" t="s">
        <v>572</v>
      </c>
      <c r="AR1108" s="1781" t="s">
        <v>33</v>
      </c>
      <c r="AS1108" s="1781">
        <v>5</v>
      </c>
      <c r="AT1108" s="1781">
        <v>1129607000</v>
      </c>
      <c r="AU1108" s="1909">
        <v>6.7941978295030195E-2</v>
      </c>
      <c r="AV1108" s="1781">
        <f t="shared" si="36"/>
        <v>2018</v>
      </c>
    </row>
    <row r="1109" spans="1:48">
      <c r="A1109" s="333">
        <f t="shared" si="37"/>
        <v>1900</v>
      </c>
      <c r="B1109" s="333">
        <f t="shared" si="38"/>
        <v>1</v>
      </c>
      <c r="AI1109" s="1781" t="s">
        <v>0</v>
      </c>
      <c r="AJ1109" s="1826">
        <v>2020</v>
      </c>
      <c r="AK1109" s="1781" t="s">
        <v>16</v>
      </c>
      <c r="AL1109" s="1781">
        <v>9</v>
      </c>
      <c r="AM1109" s="1880">
        <v>138225255.53</v>
      </c>
      <c r="AN1109" s="1831">
        <v>2.1370923772614452E-2</v>
      </c>
      <c r="AP1109" s="1781" t="s">
        <v>1</v>
      </c>
      <c r="AQ1109" s="1781" t="s">
        <v>572</v>
      </c>
      <c r="AR1109" s="1781" t="s">
        <v>21</v>
      </c>
      <c r="AS1109" s="1781">
        <v>6</v>
      </c>
      <c r="AT1109" s="1781">
        <v>578984000</v>
      </c>
      <c r="AU1109" s="1909">
        <v>3.4823897480424401E-2</v>
      </c>
      <c r="AV1109" s="1781">
        <f t="shared" si="36"/>
        <v>2018</v>
      </c>
    </row>
    <row r="1110" spans="1:48">
      <c r="A1110" s="333">
        <f t="shared" si="37"/>
        <v>1900</v>
      </c>
      <c r="B1110" s="333">
        <f t="shared" si="38"/>
        <v>1</v>
      </c>
      <c r="AI1110" s="1781" t="s">
        <v>0</v>
      </c>
      <c r="AJ1110" s="1826">
        <v>2020</v>
      </c>
      <c r="AK1110" s="1781" t="s">
        <v>22</v>
      </c>
      <c r="AL1110" s="1781">
        <v>10</v>
      </c>
      <c r="AM1110" s="1880">
        <v>124098606.56000002</v>
      </c>
      <c r="AN1110" s="1831">
        <v>1.9186811056434095E-2</v>
      </c>
      <c r="AP1110" s="1781" t="s">
        <v>1</v>
      </c>
      <c r="AQ1110" s="1781" t="s">
        <v>572</v>
      </c>
      <c r="AR1110" s="1781" t="s">
        <v>758</v>
      </c>
      <c r="AS1110" s="1781">
        <v>7</v>
      </c>
      <c r="AT1110" s="1781">
        <v>124207000</v>
      </c>
      <c r="AU1110" s="1909">
        <v>7.4706241180258403E-3</v>
      </c>
      <c r="AV1110" s="1781">
        <f t="shared" si="36"/>
        <v>2018</v>
      </c>
    </row>
    <row r="1111" spans="1:48">
      <c r="A1111" s="333">
        <f t="shared" si="37"/>
        <v>1900</v>
      </c>
      <c r="B1111" s="333">
        <f t="shared" si="38"/>
        <v>1</v>
      </c>
      <c r="AI1111" s="1781" t="s">
        <v>0</v>
      </c>
      <c r="AJ1111" s="1826">
        <v>2020</v>
      </c>
      <c r="AK1111" s="1781" t="s">
        <v>39</v>
      </c>
      <c r="AM1111" s="1880">
        <v>708515244.56000042</v>
      </c>
      <c r="AN1111" s="1831">
        <v>0.10954311659739172</v>
      </c>
      <c r="AP1111" s="1781" t="s">
        <v>1</v>
      </c>
      <c r="AQ1111" s="1781" t="s">
        <v>572</v>
      </c>
      <c r="AR1111" s="1781" t="s">
        <v>371</v>
      </c>
      <c r="AS1111" s="1781">
        <v>8</v>
      </c>
      <c r="AT1111" s="1781">
        <v>118040000</v>
      </c>
      <c r="AU1111" s="1909">
        <v>7.0997002656192501E-3</v>
      </c>
      <c r="AV1111" s="1781">
        <f t="shared" si="36"/>
        <v>2018</v>
      </c>
    </row>
    <row r="1112" spans="1:48">
      <c r="A1112" s="333">
        <f t="shared" si="37"/>
        <v>1900</v>
      </c>
      <c r="B1112" s="333">
        <f t="shared" si="38"/>
        <v>1</v>
      </c>
      <c r="AI1112" s="1781" t="s">
        <v>0</v>
      </c>
      <c r="AJ1112" s="1826">
        <v>2020</v>
      </c>
      <c r="AK1112" s="1781" t="s">
        <v>386</v>
      </c>
      <c r="AM1112" s="1880">
        <v>6467912056.6200008</v>
      </c>
      <c r="AP1112" s="1781" t="s">
        <v>1</v>
      </c>
      <c r="AQ1112" s="1781" t="s">
        <v>572</v>
      </c>
      <c r="AR1112" s="1781" t="s">
        <v>372</v>
      </c>
      <c r="AS1112" s="1781">
        <v>9</v>
      </c>
      <c r="AT1112" s="1781">
        <v>107295000</v>
      </c>
      <c r="AU1112" s="1909">
        <v>6.4534254489970978E-3</v>
      </c>
      <c r="AV1112" s="1781">
        <f t="shared" si="36"/>
        <v>2018</v>
      </c>
    </row>
    <row r="1113" spans="1:48">
      <c r="A1113" s="333">
        <f t="shared" si="37"/>
        <v>1900</v>
      </c>
      <c r="B1113" s="333">
        <f t="shared" si="38"/>
        <v>1</v>
      </c>
      <c r="AI1113" s="1822" t="s">
        <v>307</v>
      </c>
      <c r="AJ1113" s="1826">
        <v>2020</v>
      </c>
      <c r="AK1113" s="1781" t="s">
        <v>540</v>
      </c>
      <c r="AL1113" s="1781">
        <v>1</v>
      </c>
      <c r="AM1113" s="1826" t="s">
        <v>540</v>
      </c>
      <c r="AN1113" s="1826" t="s">
        <v>540</v>
      </c>
      <c r="AP1113" s="1781" t="s">
        <v>1</v>
      </c>
      <c r="AQ1113" s="1781" t="s">
        <v>572</v>
      </c>
      <c r="AR1113" s="1781" t="s">
        <v>58</v>
      </c>
      <c r="AS1113" s="1781">
        <v>10</v>
      </c>
      <c r="AT1113" s="1781">
        <v>44386000</v>
      </c>
      <c r="AU1113" s="1909">
        <v>2.6696653336985431E-3</v>
      </c>
      <c r="AV1113" s="1781">
        <f t="shared" si="36"/>
        <v>2018</v>
      </c>
    </row>
    <row r="1114" spans="1:48">
      <c r="A1114" s="333">
        <f t="shared" si="37"/>
        <v>1900</v>
      </c>
      <c r="B1114" s="333">
        <f t="shared" si="38"/>
        <v>1</v>
      </c>
      <c r="AI1114" s="1822" t="s">
        <v>307</v>
      </c>
      <c r="AJ1114" s="1826">
        <v>2020</v>
      </c>
      <c r="AK1114" s="1781" t="s">
        <v>540</v>
      </c>
      <c r="AL1114" s="1781">
        <v>2</v>
      </c>
      <c r="AM1114" s="1826" t="s">
        <v>540</v>
      </c>
      <c r="AN1114" s="1826" t="s">
        <v>540</v>
      </c>
      <c r="AP1114" s="1781" t="s">
        <v>1</v>
      </c>
      <c r="AQ1114" s="1781" t="s">
        <v>572</v>
      </c>
      <c r="AR1114" s="1781" t="s">
        <v>39</v>
      </c>
      <c r="AT1114" s="1781">
        <v>73923000</v>
      </c>
      <c r="AU1114" s="1909">
        <v>4.4462143572972877E-3</v>
      </c>
      <c r="AV1114" s="1781">
        <f t="shared" si="36"/>
        <v>2018</v>
      </c>
    </row>
    <row r="1115" spans="1:48">
      <c r="A1115" s="333">
        <f t="shared" si="37"/>
        <v>1900</v>
      </c>
      <c r="B1115" s="333">
        <f t="shared" si="38"/>
        <v>1</v>
      </c>
      <c r="AI1115" s="1822" t="s">
        <v>307</v>
      </c>
      <c r="AJ1115" s="1826">
        <v>2020</v>
      </c>
      <c r="AK1115" s="1781" t="s">
        <v>540</v>
      </c>
      <c r="AL1115" s="1781">
        <v>3</v>
      </c>
      <c r="AM1115" s="1826" t="s">
        <v>540</v>
      </c>
      <c r="AN1115" s="1826" t="s">
        <v>540</v>
      </c>
      <c r="AP1115" s="1781" t="s">
        <v>1</v>
      </c>
      <c r="AQ1115" s="1781" t="s">
        <v>572</v>
      </c>
      <c r="AR1115" s="1781" t="s">
        <v>114</v>
      </c>
      <c r="AT1115" s="1781">
        <v>16626054000</v>
      </c>
      <c r="AV1115" s="1781">
        <f t="shared" si="36"/>
        <v>2018</v>
      </c>
    </row>
    <row r="1116" spans="1:48">
      <c r="A1116" s="333">
        <f t="shared" si="37"/>
        <v>1900</v>
      </c>
      <c r="B1116" s="333">
        <f t="shared" si="38"/>
        <v>1</v>
      </c>
      <c r="AI1116" s="1822" t="s">
        <v>307</v>
      </c>
      <c r="AJ1116" s="1826">
        <v>2020</v>
      </c>
      <c r="AK1116" s="1781" t="s">
        <v>540</v>
      </c>
      <c r="AL1116" s="1781">
        <v>4</v>
      </c>
      <c r="AM1116" s="1826" t="s">
        <v>540</v>
      </c>
      <c r="AN1116" s="1826" t="s">
        <v>540</v>
      </c>
      <c r="AP1116" s="1781" t="s">
        <v>457</v>
      </c>
      <c r="AQ1116" s="1781" t="s">
        <v>572</v>
      </c>
      <c r="AR1116" s="1781" t="s">
        <v>18</v>
      </c>
      <c r="AS1116" s="1781">
        <v>1</v>
      </c>
      <c r="AT1116" s="1781">
        <v>608817843.95999992</v>
      </c>
      <c r="AU1116" s="1909">
        <v>0.40686085123877858</v>
      </c>
      <c r="AV1116" s="1781">
        <f t="shared" si="36"/>
        <v>2018</v>
      </c>
    </row>
    <row r="1117" spans="1:48">
      <c r="A1117" s="333">
        <f t="shared" si="37"/>
        <v>1900</v>
      </c>
      <c r="B1117" s="333">
        <f t="shared" si="38"/>
        <v>1</v>
      </c>
      <c r="AI1117" s="1822" t="s">
        <v>307</v>
      </c>
      <c r="AJ1117" s="1826">
        <v>2020</v>
      </c>
      <c r="AK1117" s="1781" t="s">
        <v>540</v>
      </c>
      <c r="AL1117" s="1781">
        <v>5</v>
      </c>
      <c r="AM1117" s="1826" t="s">
        <v>540</v>
      </c>
      <c r="AN1117" s="1826" t="s">
        <v>540</v>
      </c>
      <c r="AP1117" s="1781" t="s">
        <v>457</v>
      </c>
      <c r="AQ1117" s="1781" t="s">
        <v>572</v>
      </c>
      <c r="AR1117" s="1781" t="s">
        <v>758</v>
      </c>
      <c r="AS1117" s="1781">
        <v>2</v>
      </c>
      <c r="AT1117" s="1781">
        <v>127675624</v>
      </c>
      <c r="AU1117" s="1909">
        <v>8.5323079108856018E-2</v>
      </c>
      <c r="AV1117" s="1781">
        <f t="shared" ref="AV1117:AV1180" si="39">_xlfn.NUMBERVALUE(LEFT(AQ1117,4))</f>
        <v>2018</v>
      </c>
    </row>
    <row r="1118" spans="1:48">
      <c r="A1118" s="333">
        <f t="shared" si="37"/>
        <v>1900</v>
      </c>
      <c r="B1118" s="333">
        <f t="shared" si="38"/>
        <v>1</v>
      </c>
      <c r="AI1118" s="1822" t="s">
        <v>307</v>
      </c>
      <c r="AJ1118" s="1826">
        <v>2020</v>
      </c>
      <c r="AK1118" s="1781" t="s">
        <v>540</v>
      </c>
      <c r="AL1118" s="1781">
        <v>6</v>
      </c>
      <c r="AM1118" s="1826" t="s">
        <v>540</v>
      </c>
      <c r="AN1118" s="1826" t="s">
        <v>540</v>
      </c>
      <c r="AP1118" s="1781" t="s">
        <v>457</v>
      </c>
      <c r="AQ1118" s="1781" t="s">
        <v>572</v>
      </c>
      <c r="AR1118" s="1781" t="s">
        <v>25</v>
      </c>
      <c r="AS1118" s="1781">
        <v>3</v>
      </c>
      <c r="AT1118" s="1781">
        <v>120950226.28</v>
      </c>
      <c r="AU1118" s="1909">
        <v>8.0828629630370755E-2</v>
      </c>
      <c r="AV1118" s="1781">
        <f t="shared" si="39"/>
        <v>2018</v>
      </c>
    </row>
    <row r="1119" spans="1:48">
      <c r="A1119" s="333">
        <f t="shared" si="37"/>
        <v>1900</v>
      </c>
      <c r="B1119" s="333">
        <f t="shared" si="38"/>
        <v>1</v>
      </c>
      <c r="AI1119" s="1822" t="s">
        <v>307</v>
      </c>
      <c r="AJ1119" s="1826">
        <v>2020</v>
      </c>
      <c r="AK1119" s="1781" t="s">
        <v>540</v>
      </c>
      <c r="AL1119" s="1781">
        <v>7</v>
      </c>
      <c r="AM1119" s="1826" t="s">
        <v>540</v>
      </c>
      <c r="AN1119" s="1826" t="s">
        <v>540</v>
      </c>
      <c r="AP1119" s="1781" t="s">
        <v>457</v>
      </c>
      <c r="AQ1119" s="1781" t="s">
        <v>572</v>
      </c>
      <c r="AR1119" s="1781" t="s">
        <v>27</v>
      </c>
      <c r="AS1119" s="1781">
        <v>4</v>
      </c>
      <c r="AT1119" s="1781">
        <v>90819022.150000006</v>
      </c>
      <c r="AU1119" s="1909">
        <v>6.0692545442295215E-2</v>
      </c>
      <c r="AV1119" s="1781">
        <f t="shared" si="39"/>
        <v>2018</v>
      </c>
    </row>
    <row r="1120" spans="1:48">
      <c r="A1120" s="333">
        <f t="shared" si="37"/>
        <v>1900</v>
      </c>
      <c r="B1120" s="333">
        <f t="shared" si="38"/>
        <v>1</v>
      </c>
      <c r="AI1120" s="1822" t="s">
        <v>307</v>
      </c>
      <c r="AJ1120" s="1826">
        <v>2020</v>
      </c>
      <c r="AK1120" s="1781" t="s">
        <v>540</v>
      </c>
      <c r="AL1120" s="1781">
        <v>8</v>
      </c>
      <c r="AM1120" s="1826" t="s">
        <v>540</v>
      </c>
      <c r="AN1120" s="1826" t="s">
        <v>540</v>
      </c>
      <c r="AP1120" s="1781" t="s">
        <v>457</v>
      </c>
      <c r="AQ1120" s="1781" t="s">
        <v>572</v>
      </c>
      <c r="AR1120" s="1781" t="s">
        <v>70</v>
      </c>
      <c r="AS1120" s="1781">
        <v>5</v>
      </c>
      <c r="AT1120" s="1781">
        <v>85506882.879999995</v>
      </c>
      <c r="AU1120" s="1909">
        <v>5.7142548465805229E-2</v>
      </c>
      <c r="AV1120" s="1781">
        <f t="shared" si="39"/>
        <v>2018</v>
      </c>
    </row>
    <row r="1121" spans="1:48">
      <c r="A1121" s="333">
        <f t="shared" si="37"/>
        <v>1900</v>
      </c>
      <c r="B1121" s="333">
        <f t="shared" si="38"/>
        <v>1</v>
      </c>
      <c r="AI1121" s="1822" t="s">
        <v>307</v>
      </c>
      <c r="AJ1121" s="1826">
        <v>2020</v>
      </c>
      <c r="AK1121" s="1781" t="s">
        <v>540</v>
      </c>
      <c r="AL1121" s="1781">
        <v>9</v>
      </c>
      <c r="AM1121" s="1826" t="s">
        <v>540</v>
      </c>
      <c r="AN1121" s="1826" t="s">
        <v>540</v>
      </c>
      <c r="AP1121" s="1781" t="s">
        <v>457</v>
      </c>
      <c r="AQ1121" s="1781" t="s">
        <v>572</v>
      </c>
      <c r="AR1121" s="1781" t="s">
        <v>31</v>
      </c>
      <c r="AS1121" s="1781">
        <v>6</v>
      </c>
      <c r="AT1121" s="1781">
        <v>76339125.120000005</v>
      </c>
      <c r="AU1121" s="1909">
        <v>5.1015918369152577E-2</v>
      </c>
      <c r="AV1121" s="1781">
        <f t="shared" si="39"/>
        <v>2018</v>
      </c>
    </row>
    <row r="1122" spans="1:48">
      <c r="A1122" s="333">
        <f t="shared" si="37"/>
        <v>1900</v>
      </c>
      <c r="B1122" s="333">
        <f t="shared" si="38"/>
        <v>1</v>
      </c>
      <c r="AI1122" s="1822" t="s">
        <v>307</v>
      </c>
      <c r="AJ1122" s="1826">
        <v>2020</v>
      </c>
      <c r="AK1122" s="1781" t="s">
        <v>540</v>
      </c>
      <c r="AL1122" s="1781">
        <v>10</v>
      </c>
      <c r="AM1122" s="1927"/>
      <c r="AP1122" s="1781" t="s">
        <v>457</v>
      </c>
      <c r="AQ1122" s="1781" t="s">
        <v>572</v>
      </c>
      <c r="AR1122" s="1781" t="s">
        <v>63</v>
      </c>
      <c r="AS1122" s="1781">
        <v>7</v>
      </c>
      <c r="AT1122" s="1781">
        <v>68398199.99000001</v>
      </c>
      <c r="AU1122" s="1909">
        <v>4.5709156108374498E-2</v>
      </c>
      <c r="AV1122" s="1781">
        <f t="shared" si="39"/>
        <v>2018</v>
      </c>
    </row>
    <row r="1123" spans="1:48">
      <c r="A1123" s="333">
        <f t="shared" si="37"/>
        <v>1900</v>
      </c>
      <c r="B1123" s="333">
        <f t="shared" si="38"/>
        <v>1</v>
      </c>
      <c r="AI1123" s="1822" t="s">
        <v>307</v>
      </c>
      <c r="AJ1123" s="1826">
        <v>2020</v>
      </c>
      <c r="AK1123" s="1781" t="s">
        <v>386</v>
      </c>
      <c r="AM1123" s="1826" t="s">
        <v>540</v>
      </c>
      <c r="AP1123" s="1781" t="s">
        <v>457</v>
      </c>
      <c r="AQ1123" s="1781" t="s">
        <v>572</v>
      </c>
      <c r="AR1123" s="1781" t="s">
        <v>21</v>
      </c>
      <c r="AS1123" s="1781">
        <v>8</v>
      </c>
      <c r="AT1123" s="1781">
        <v>57909525.269999996</v>
      </c>
      <c r="AU1123" s="1909">
        <v>3.8699783490139875E-2</v>
      </c>
      <c r="AV1123" s="1781">
        <f t="shared" si="39"/>
        <v>2018</v>
      </c>
    </row>
    <row r="1124" spans="1:48">
      <c r="A1124" s="333">
        <f t="shared" si="37"/>
        <v>1900</v>
      </c>
      <c r="B1124" s="333">
        <f t="shared" si="38"/>
        <v>1</v>
      </c>
      <c r="AI1124" s="1822" t="s">
        <v>4</v>
      </c>
      <c r="AJ1124" s="1826">
        <v>2020</v>
      </c>
      <c r="AK1124" s="1781" t="s">
        <v>23</v>
      </c>
      <c r="AL1124" s="1781">
        <v>1</v>
      </c>
      <c r="AM1124" s="1880">
        <v>10059215100.426813</v>
      </c>
      <c r="AN1124" s="1831">
        <v>0.41711208225637009</v>
      </c>
      <c r="AP1124" s="1781" t="s">
        <v>457</v>
      </c>
      <c r="AQ1124" s="1781" t="s">
        <v>572</v>
      </c>
      <c r="AR1124" s="1781" t="s">
        <v>23</v>
      </c>
      <c r="AS1124" s="1781">
        <v>9</v>
      </c>
      <c r="AT1124" s="1781">
        <v>48093142.900000006</v>
      </c>
      <c r="AU1124" s="1909">
        <v>3.2139690472554237E-2</v>
      </c>
      <c r="AV1124" s="1781">
        <f t="shared" si="39"/>
        <v>2018</v>
      </c>
    </row>
    <row r="1125" spans="1:48">
      <c r="A1125" s="333">
        <f t="shared" si="37"/>
        <v>1900</v>
      </c>
      <c r="B1125" s="333">
        <f t="shared" si="38"/>
        <v>1</v>
      </c>
      <c r="AI1125" s="1822" t="s">
        <v>4</v>
      </c>
      <c r="AJ1125" s="1826">
        <v>2020</v>
      </c>
      <c r="AK1125" s="1781" t="s">
        <v>18</v>
      </c>
      <c r="AL1125" s="1781">
        <v>2</v>
      </c>
      <c r="AM1125" s="1880">
        <v>4557362453.9748001</v>
      </c>
      <c r="AN1125" s="1831">
        <v>0.18897408235099505</v>
      </c>
      <c r="AP1125" s="1781" t="s">
        <v>457</v>
      </c>
      <c r="AQ1125" s="1781" t="s">
        <v>572</v>
      </c>
      <c r="AR1125" s="1781" t="s">
        <v>537</v>
      </c>
      <c r="AS1125" s="1781">
        <v>10</v>
      </c>
      <c r="AT1125" s="1781">
        <v>46120988.479999997</v>
      </c>
      <c r="AU1125" s="1909">
        <v>3.0821738914373165E-2</v>
      </c>
      <c r="AV1125" s="1781">
        <f t="shared" si="39"/>
        <v>2018</v>
      </c>
    </row>
    <row r="1126" spans="1:48">
      <c r="A1126" s="333">
        <f t="shared" si="37"/>
        <v>1900</v>
      </c>
      <c r="B1126" s="333">
        <f t="shared" si="38"/>
        <v>1</v>
      </c>
      <c r="AI1126" s="1822" t="s">
        <v>4</v>
      </c>
      <c r="AJ1126" s="1826">
        <v>2020</v>
      </c>
      <c r="AK1126" s="1781" t="s">
        <v>61</v>
      </c>
      <c r="AL1126" s="1781">
        <v>3</v>
      </c>
      <c r="AM1126" s="1880">
        <v>3825222112.0399995</v>
      </c>
      <c r="AN1126" s="1831">
        <v>0.15861539337978914</v>
      </c>
      <c r="AP1126" s="1781" t="s">
        <v>457</v>
      </c>
      <c r="AQ1126" s="1781" t="s">
        <v>572</v>
      </c>
      <c r="AR1126" s="1781" t="s">
        <v>39</v>
      </c>
      <c r="AT1126" s="1781">
        <v>165747952.58000016</v>
      </c>
      <c r="AU1126" s="1909">
        <v>0.11076605875929982</v>
      </c>
      <c r="AV1126" s="1781">
        <f t="shared" si="39"/>
        <v>2018</v>
      </c>
    </row>
    <row r="1127" spans="1:48">
      <c r="A1127" s="333">
        <f t="shared" si="37"/>
        <v>1900</v>
      </c>
      <c r="B1127" s="333">
        <f t="shared" si="38"/>
        <v>1</v>
      </c>
      <c r="AI1127" s="1822" t="s">
        <v>4</v>
      </c>
      <c r="AJ1127" s="1826">
        <v>2020</v>
      </c>
      <c r="AK1127" s="1781" t="s">
        <v>24</v>
      </c>
      <c r="AL1127" s="1781">
        <v>4</v>
      </c>
      <c r="AM1127" s="1880">
        <v>1825926467.5287998</v>
      </c>
      <c r="AN1127" s="1831">
        <v>7.5713262249023847E-2</v>
      </c>
      <c r="AP1127" s="1781" t="s">
        <v>457</v>
      </c>
      <c r="AQ1127" s="1781" t="s">
        <v>572</v>
      </c>
      <c r="AR1127" s="1781" t="s">
        <v>386</v>
      </c>
      <c r="AT1127" s="1781">
        <v>1496378533.6100001</v>
      </c>
      <c r="AU1127" s="1909">
        <v>1</v>
      </c>
      <c r="AV1127" s="1781">
        <f t="shared" si="39"/>
        <v>2018</v>
      </c>
    </row>
    <row r="1128" spans="1:48">
      <c r="A1128" s="333">
        <f t="shared" si="37"/>
        <v>1900</v>
      </c>
      <c r="B1128" s="333">
        <f t="shared" si="38"/>
        <v>1</v>
      </c>
      <c r="AI1128" s="1822" t="s">
        <v>4</v>
      </c>
      <c r="AJ1128" s="1826">
        <v>2020</v>
      </c>
      <c r="AK1128" s="1781" t="s">
        <v>33</v>
      </c>
      <c r="AL1128" s="1781">
        <v>5</v>
      </c>
      <c r="AM1128" s="1880">
        <v>749452435.80320001</v>
      </c>
      <c r="AN1128" s="1831">
        <v>3.1076546522672274E-2</v>
      </c>
      <c r="AP1128" s="1781" t="s">
        <v>2</v>
      </c>
      <c r="AQ1128" s="1781" t="s">
        <v>572</v>
      </c>
      <c r="AR1128" s="1781" t="s">
        <v>18</v>
      </c>
      <c r="AS1128" s="1781">
        <v>1</v>
      </c>
      <c r="AT1128" s="1781">
        <v>62396417000</v>
      </c>
      <c r="AU1128" s="1909">
        <v>0.81883534691564352</v>
      </c>
      <c r="AV1128" s="1781">
        <f t="shared" si="39"/>
        <v>2018</v>
      </c>
    </row>
    <row r="1129" spans="1:48">
      <c r="A1129" s="333">
        <f t="shared" si="37"/>
        <v>1900</v>
      </c>
      <c r="B1129" s="333">
        <f t="shared" si="38"/>
        <v>1</v>
      </c>
      <c r="AI1129" s="1822" t="s">
        <v>4</v>
      </c>
      <c r="AJ1129" s="1826">
        <v>2020</v>
      </c>
      <c r="AK1129" s="1781" t="s">
        <v>22</v>
      </c>
      <c r="AL1129" s="1781">
        <v>6</v>
      </c>
      <c r="AM1129" s="1880">
        <v>724255842.87199998</v>
      </c>
      <c r="AN1129" s="1831">
        <v>3.0031752944010948E-2</v>
      </c>
      <c r="AP1129" s="1781" t="s">
        <v>2</v>
      </c>
      <c r="AQ1129" s="1781" t="s">
        <v>572</v>
      </c>
      <c r="AR1129" s="1781" t="s">
        <v>23</v>
      </c>
      <c r="AS1129" s="1781">
        <v>2</v>
      </c>
      <c r="AT1129" s="1781">
        <v>5730626000</v>
      </c>
      <c r="AU1129" s="1909">
        <v>7.5203663196779499E-2</v>
      </c>
      <c r="AV1129" s="1781">
        <f t="shared" si="39"/>
        <v>2018</v>
      </c>
    </row>
    <row r="1130" spans="1:48">
      <c r="A1130" s="333">
        <f t="shared" si="37"/>
        <v>1900</v>
      </c>
      <c r="B1130" s="333">
        <f t="shared" si="38"/>
        <v>1</v>
      </c>
      <c r="AI1130" s="1822" t="s">
        <v>4</v>
      </c>
      <c r="AJ1130" s="1826">
        <v>2020</v>
      </c>
      <c r="AK1130" s="1781" t="s">
        <v>537</v>
      </c>
      <c r="AL1130" s="1781">
        <v>7</v>
      </c>
      <c r="AM1130" s="1880">
        <v>697185378.02280021</v>
      </c>
      <c r="AN1130" s="1831">
        <v>2.890925801292845E-2</v>
      </c>
      <c r="AP1130" s="1781" t="s">
        <v>2</v>
      </c>
      <c r="AQ1130" s="1781" t="s">
        <v>572</v>
      </c>
      <c r="AR1130" s="1781" t="s">
        <v>371</v>
      </c>
      <c r="AS1130" s="1781">
        <v>3</v>
      </c>
      <c r="AT1130" s="1781">
        <v>4520131000</v>
      </c>
      <c r="AU1130" s="1909">
        <v>5.9318198278743385E-2</v>
      </c>
      <c r="AV1130" s="1781">
        <f t="shared" si="39"/>
        <v>2018</v>
      </c>
    </row>
    <row r="1131" spans="1:48">
      <c r="A1131" s="333">
        <f t="shared" si="37"/>
        <v>1900</v>
      </c>
      <c r="B1131" s="333">
        <f t="shared" si="38"/>
        <v>1</v>
      </c>
      <c r="AI1131" s="1822" t="s">
        <v>4</v>
      </c>
      <c r="AJ1131" s="1826">
        <v>2020</v>
      </c>
      <c r="AK1131" s="1781" t="s">
        <v>25</v>
      </c>
      <c r="AL1131" s="1781">
        <v>8</v>
      </c>
      <c r="AM1131" s="1880">
        <v>572254188.81599998</v>
      </c>
      <c r="AN1131" s="1831">
        <v>2.3728902692104072E-2</v>
      </c>
      <c r="AP1131" s="1781" t="s">
        <v>2</v>
      </c>
      <c r="AQ1131" s="1781" t="s">
        <v>572</v>
      </c>
      <c r="AR1131" s="1781" t="s">
        <v>537</v>
      </c>
      <c r="AS1131" s="1781">
        <v>4</v>
      </c>
      <c r="AT1131" s="1781">
        <v>1739740000</v>
      </c>
      <c r="AU1131" s="1909">
        <v>2.2830807840184503E-2</v>
      </c>
      <c r="AV1131" s="1781">
        <f t="shared" si="39"/>
        <v>2018</v>
      </c>
    </row>
    <row r="1132" spans="1:48">
      <c r="A1132" s="333">
        <f t="shared" si="37"/>
        <v>1900</v>
      </c>
      <c r="B1132" s="333">
        <f t="shared" si="38"/>
        <v>1</v>
      </c>
      <c r="AI1132" s="1822" t="s">
        <v>4</v>
      </c>
      <c r="AJ1132" s="1826">
        <v>2020</v>
      </c>
      <c r="AK1132" s="1781" t="s">
        <v>21</v>
      </c>
      <c r="AL1132" s="1781">
        <v>9</v>
      </c>
      <c r="AM1132" s="1880">
        <v>384609004.49080002</v>
      </c>
      <c r="AN1132" s="1831">
        <v>1.5948069617370081E-2</v>
      </c>
      <c r="AP1132" s="1781" t="s">
        <v>2</v>
      </c>
      <c r="AQ1132" s="1781" t="s">
        <v>572</v>
      </c>
      <c r="AR1132" s="1781" t="s">
        <v>527</v>
      </c>
      <c r="AS1132" s="1781">
        <v>5</v>
      </c>
      <c r="AT1132" s="1781">
        <v>615882000</v>
      </c>
      <c r="AU1132" s="1909">
        <v>8.0822902239578963E-3</v>
      </c>
      <c r="AV1132" s="1781">
        <f t="shared" si="39"/>
        <v>2018</v>
      </c>
    </row>
    <row r="1133" spans="1:48">
      <c r="A1133" s="333">
        <f t="shared" si="37"/>
        <v>1900</v>
      </c>
      <c r="B1133" s="333">
        <f t="shared" si="38"/>
        <v>1</v>
      </c>
      <c r="AI1133" s="1822" t="s">
        <v>4</v>
      </c>
      <c r="AJ1133" s="1826">
        <v>2020</v>
      </c>
      <c r="AK1133" s="1781" t="s">
        <v>799</v>
      </c>
      <c r="AL1133" s="1781">
        <v>10</v>
      </c>
      <c r="AM1133" s="1880">
        <v>314486454.20999998</v>
      </c>
      <c r="AN1133" s="1831">
        <v>1.304039116843121E-2</v>
      </c>
      <c r="AP1133" s="1781" t="s">
        <v>2</v>
      </c>
      <c r="AQ1133" s="1781" t="s">
        <v>572</v>
      </c>
      <c r="AR1133" s="1781" t="s">
        <v>39</v>
      </c>
      <c r="AT1133" s="1781">
        <v>1198625000</v>
      </c>
      <c r="AU1133" s="1909">
        <v>1.5729693544691246E-2</v>
      </c>
      <c r="AV1133" s="1781">
        <f t="shared" si="39"/>
        <v>2018</v>
      </c>
    </row>
    <row r="1134" spans="1:48">
      <c r="A1134" s="333">
        <f t="shared" si="37"/>
        <v>1900</v>
      </c>
      <c r="B1134" s="333">
        <f t="shared" si="38"/>
        <v>1</v>
      </c>
      <c r="AI1134" s="1822" t="s">
        <v>4</v>
      </c>
      <c r="AJ1134" s="1826">
        <v>2020</v>
      </c>
      <c r="AK1134" s="1781" t="s">
        <v>39</v>
      </c>
      <c r="AM1134" s="1880">
        <v>406366502.05280304</v>
      </c>
      <c r="AN1134" s="1831">
        <v>1.6850258806304905E-2</v>
      </c>
      <c r="AP1134" s="1781" t="s">
        <v>2</v>
      </c>
      <c r="AQ1134" s="1781" t="s">
        <v>572</v>
      </c>
      <c r="AR1134" s="1781" t="s">
        <v>386</v>
      </c>
      <c r="AT1134" s="1781">
        <v>76201421000</v>
      </c>
      <c r="AU1134" s="1909">
        <v>1</v>
      </c>
      <c r="AV1134" s="1781">
        <f t="shared" si="39"/>
        <v>2018</v>
      </c>
    </row>
    <row r="1135" spans="1:48">
      <c r="A1135" s="333">
        <f t="shared" si="37"/>
        <v>1900</v>
      </c>
      <c r="B1135" s="333">
        <f t="shared" si="38"/>
        <v>1</v>
      </c>
      <c r="AI1135" s="1822" t="s">
        <v>4</v>
      </c>
      <c r="AJ1135" s="1826">
        <v>2020</v>
      </c>
      <c r="AK1135" s="1781" t="s">
        <v>386</v>
      </c>
      <c r="AM1135" s="1880">
        <v>24116335940.238014</v>
      </c>
      <c r="AP1135" s="1781" t="s">
        <v>4</v>
      </c>
      <c r="AQ1135" s="1781" t="s">
        <v>572</v>
      </c>
      <c r="AR1135" s="1781" t="s">
        <v>23</v>
      </c>
      <c r="AS1135" s="1781">
        <v>1</v>
      </c>
      <c r="AT1135" s="1781">
        <v>15928444499.216007</v>
      </c>
      <c r="AU1135" s="1909">
        <v>0.43724908067981028</v>
      </c>
      <c r="AV1135" s="1781">
        <f t="shared" si="39"/>
        <v>2018</v>
      </c>
    </row>
    <row r="1136" spans="1:48">
      <c r="A1136" s="333">
        <f t="shared" si="37"/>
        <v>1900</v>
      </c>
      <c r="B1136" s="333">
        <f t="shared" si="38"/>
        <v>1</v>
      </c>
      <c r="AI1136" s="1822" t="s">
        <v>3</v>
      </c>
      <c r="AJ1136" s="1826">
        <v>2020</v>
      </c>
      <c r="AK1136" s="1781" t="s">
        <v>18</v>
      </c>
      <c r="AL1136" s="1781">
        <v>1</v>
      </c>
      <c r="AM1136" s="1880">
        <v>1318494634.2871852</v>
      </c>
      <c r="AN1136" s="1831">
        <v>0.42699999999999999</v>
      </c>
      <c r="AP1136" s="1781" t="s">
        <v>4</v>
      </c>
      <c r="AQ1136" s="1781" t="s">
        <v>572</v>
      </c>
      <c r="AR1136" s="1781" t="s">
        <v>18</v>
      </c>
      <c r="AS1136" s="1781">
        <v>2</v>
      </c>
      <c r="AT1136" s="1781">
        <v>6006652465.4380007</v>
      </c>
      <c r="AU1136" s="1909">
        <v>0.16488761778371722</v>
      </c>
      <c r="AV1136" s="1781">
        <f t="shared" si="39"/>
        <v>2018</v>
      </c>
    </row>
    <row r="1137" spans="1:48">
      <c r="A1137" s="333">
        <f t="shared" si="37"/>
        <v>1900</v>
      </c>
      <c r="B1137" s="333">
        <f t="shared" si="38"/>
        <v>1</v>
      </c>
      <c r="AI1137" s="1822" t="s">
        <v>3</v>
      </c>
      <c r="AJ1137" s="1826">
        <v>2020</v>
      </c>
      <c r="AK1137" s="1781" t="s">
        <v>23</v>
      </c>
      <c r="AL1137" s="1781">
        <v>2</v>
      </c>
      <c r="AM1137" s="1880">
        <v>350570547.20339251</v>
      </c>
      <c r="AN1137" s="1831">
        <v>0.113</v>
      </c>
      <c r="AP1137" s="1781" t="s">
        <v>4</v>
      </c>
      <c r="AQ1137" s="1781" t="s">
        <v>572</v>
      </c>
      <c r="AR1137" s="1781" t="s">
        <v>61</v>
      </c>
      <c r="AS1137" s="1781">
        <v>3</v>
      </c>
      <c r="AT1137" s="1781">
        <v>4765508292.3060007</v>
      </c>
      <c r="AU1137" s="1909">
        <v>0.13081717551800939</v>
      </c>
      <c r="AV1137" s="1781">
        <f t="shared" si="39"/>
        <v>2018</v>
      </c>
    </row>
    <row r="1138" spans="1:48">
      <c r="A1138" s="333">
        <f t="shared" si="37"/>
        <v>1900</v>
      </c>
      <c r="B1138" s="333">
        <f t="shared" si="38"/>
        <v>1</v>
      </c>
      <c r="AI1138" s="1822" t="s">
        <v>3</v>
      </c>
      <c r="AJ1138" s="1826">
        <v>2020</v>
      </c>
      <c r="AK1138" s="1781" t="s">
        <v>24</v>
      </c>
      <c r="AL1138" s="1781">
        <v>3</v>
      </c>
      <c r="AM1138" s="1880">
        <v>336379199.91312361</v>
      </c>
      <c r="AN1138" s="1831">
        <v>0.109</v>
      </c>
      <c r="AP1138" s="1781" t="s">
        <v>4</v>
      </c>
      <c r="AQ1138" s="1781" t="s">
        <v>572</v>
      </c>
      <c r="AR1138" s="1781" t="s">
        <v>24</v>
      </c>
      <c r="AS1138" s="1781">
        <v>4</v>
      </c>
      <c r="AT1138" s="1781">
        <v>3371530052.717</v>
      </c>
      <c r="AU1138" s="1909">
        <v>9.2551310713825205E-2</v>
      </c>
      <c r="AV1138" s="1781">
        <f t="shared" si="39"/>
        <v>2018</v>
      </c>
    </row>
    <row r="1139" spans="1:48">
      <c r="A1139" s="333">
        <f t="shared" si="37"/>
        <v>1900</v>
      </c>
      <c r="B1139" s="333">
        <f t="shared" si="38"/>
        <v>1</v>
      </c>
      <c r="AI1139" s="1822" t="s">
        <v>3</v>
      </c>
      <c r="AJ1139" s="1826">
        <v>2020</v>
      </c>
      <c r="AK1139" s="1781" t="s">
        <v>35</v>
      </c>
      <c r="AL1139" s="1781">
        <v>4</v>
      </c>
      <c r="AM1139" s="1880">
        <v>236258371.02465194</v>
      </c>
      <c r="AN1139" s="1831">
        <v>9.5000000000000001E-2</v>
      </c>
      <c r="AP1139" s="1781" t="s">
        <v>4</v>
      </c>
      <c r="AQ1139" s="1781" t="s">
        <v>572</v>
      </c>
      <c r="AR1139" s="1781" t="s">
        <v>537</v>
      </c>
      <c r="AS1139" s="1781">
        <v>5</v>
      </c>
      <c r="AT1139" s="1781">
        <v>1388257453.4720001</v>
      </c>
      <c r="AU1139" s="1909">
        <v>3.8108824455985242E-2</v>
      </c>
      <c r="AV1139" s="1781">
        <f t="shared" si="39"/>
        <v>2018</v>
      </c>
    </row>
    <row r="1140" spans="1:48">
      <c r="A1140" s="333">
        <f t="shared" si="37"/>
        <v>1900</v>
      </c>
      <c r="B1140" s="333">
        <f t="shared" si="38"/>
        <v>1</v>
      </c>
      <c r="AI1140" s="1822" t="s">
        <v>3</v>
      </c>
      <c r="AJ1140" s="1826">
        <v>2020</v>
      </c>
      <c r="AK1140" s="1781" t="s">
        <v>27</v>
      </c>
      <c r="AL1140" s="1781">
        <v>5</v>
      </c>
      <c r="AM1140" s="1880">
        <v>192043174.96378368</v>
      </c>
      <c r="AN1140" s="1831">
        <v>7.5999999999999998E-2</v>
      </c>
      <c r="AP1140" s="1781" t="s">
        <v>4</v>
      </c>
      <c r="AQ1140" s="1781" t="s">
        <v>572</v>
      </c>
      <c r="AR1140" s="1781" t="s">
        <v>25</v>
      </c>
      <c r="AS1140" s="1781">
        <v>6</v>
      </c>
      <c r="AT1140" s="1781">
        <v>1319526572.2449999</v>
      </c>
      <c r="AU1140" s="1909">
        <v>3.622210446695566E-2</v>
      </c>
      <c r="AV1140" s="1781">
        <f t="shared" si="39"/>
        <v>2018</v>
      </c>
    </row>
    <row r="1141" spans="1:48">
      <c r="A1141" s="333">
        <f t="shared" si="37"/>
        <v>1900</v>
      </c>
      <c r="B1141" s="333">
        <f t="shared" si="38"/>
        <v>1</v>
      </c>
      <c r="AI1141" s="1822" t="s">
        <v>3</v>
      </c>
      <c r="AJ1141" s="1826">
        <v>2020</v>
      </c>
      <c r="AK1141" s="1781" t="s">
        <v>537</v>
      </c>
      <c r="AL1141" s="1781">
        <v>6</v>
      </c>
      <c r="AM1141" s="1880">
        <v>127075452.49981523</v>
      </c>
      <c r="AN1141" s="1831">
        <v>6.2E-2</v>
      </c>
      <c r="AP1141" s="1781" t="s">
        <v>4</v>
      </c>
      <c r="AQ1141" s="1781" t="s">
        <v>572</v>
      </c>
      <c r="AR1141" s="1781" t="s">
        <v>33</v>
      </c>
      <c r="AS1141" s="1781">
        <v>7</v>
      </c>
      <c r="AT1141" s="1781">
        <v>1071511041.229</v>
      </c>
      <c r="AU1141" s="1909">
        <v>2.9413871375745873E-2</v>
      </c>
      <c r="AV1141" s="1781">
        <f t="shared" si="39"/>
        <v>2018</v>
      </c>
    </row>
    <row r="1142" spans="1:48">
      <c r="A1142" s="333">
        <f t="shared" si="37"/>
        <v>1900</v>
      </c>
      <c r="B1142" s="333">
        <f t="shared" si="38"/>
        <v>1</v>
      </c>
      <c r="AI1142" s="1822" t="s">
        <v>3</v>
      </c>
      <c r="AJ1142" s="1826">
        <v>2020</v>
      </c>
      <c r="AK1142" s="1781" t="s">
        <v>61</v>
      </c>
      <c r="AL1142" s="1781">
        <v>7</v>
      </c>
      <c r="AM1142" s="1880">
        <v>118116090.02999997</v>
      </c>
      <c r="AN1142" s="1831">
        <v>4.1000000000000002E-2</v>
      </c>
      <c r="AP1142" s="1781" t="s">
        <v>4</v>
      </c>
      <c r="AQ1142" s="1781" t="s">
        <v>572</v>
      </c>
      <c r="AR1142" s="1781" t="s">
        <v>22</v>
      </c>
      <c r="AS1142" s="1781">
        <v>8</v>
      </c>
      <c r="AT1142" s="1781">
        <v>624084508.89100015</v>
      </c>
      <c r="AU1142" s="1909">
        <v>1.7131640053900544E-2</v>
      </c>
      <c r="AV1142" s="1781">
        <f t="shared" si="39"/>
        <v>2018</v>
      </c>
    </row>
    <row r="1143" spans="1:48">
      <c r="A1143" s="333">
        <f t="shared" si="37"/>
        <v>1900</v>
      </c>
      <c r="B1143" s="333">
        <f t="shared" si="38"/>
        <v>1</v>
      </c>
      <c r="AI1143" s="1822" t="s">
        <v>3</v>
      </c>
      <c r="AJ1143" s="1826">
        <v>2020</v>
      </c>
      <c r="AK1143" s="1781" t="s">
        <v>60</v>
      </c>
      <c r="AL1143" s="1781">
        <v>8</v>
      </c>
      <c r="AM1143" s="1880">
        <v>74233561.07425718</v>
      </c>
      <c r="AN1143" s="1831">
        <v>2.4E-2</v>
      </c>
      <c r="AP1143" s="1781" t="s">
        <v>4</v>
      </c>
      <c r="AQ1143" s="1781" t="s">
        <v>572</v>
      </c>
      <c r="AR1143" s="1781" t="s">
        <v>21</v>
      </c>
      <c r="AS1143" s="1781">
        <v>9</v>
      </c>
      <c r="AT1143" s="1781">
        <v>615532093.29100001</v>
      </c>
      <c r="AU1143" s="1909">
        <v>1.6896869115729161E-2</v>
      </c>
      <c r="AV1143" s="1781">
        <f t="shared" si="39"/>
        <v>2018</v>
      </c>
    </row>
    <row r="1144" spans="1:48">
      <c r="A1144" s="333">
        <f t="shared" si="37"/>
        <v>1900</v>
      </c>
      <c r="B1144" s="333">
        <f t="shared" si="38"/>
        <v>1</v>
      </c>
      <c r="AI1144" s="1822" t="s">
        <v>3</v>
      </c>
      <c r="AJ1144" s="1826">
        <v>2020</v>
      </c>
      <c r="AK1144" s="1781" t="s">
        <v>70</v>
      </c>
      <c r="AL1144" s="1781">
        <v>9</v>
      </c>
      <c r="AM1144" s="1880">
        <v>59544624.159999989</v>
      </c>
      <c r="AN1144" s="1831">
        <v>1.2999999999999999E-2</v>
      </c>
      <c r="AP1144" s="1781" t="s">
        <v>4</v>
      </c>
      <c r="AQ1144" s="1781" t="s">
        <v>572</v>
      </c>
      <c r="AR1144" s="1781" t="s">
        <v>125</v>
      </c>
      <c r="AS1144" s="1781">
        <v>10</v>
      </c>
      <c r="AT1144" s="1781">
        <v>576052909.58600008</v>
      </c>
      <c r="AU1144" s="1909">
        <v>1.5813132610143183E-2</v>
      </c>
      <c r="AV1144" s="1781">
        <f t="shared" si="39"/>
        <v>2018</v>
      </c>
    </row>
    <row r="1145" spans="1:48">
      <c r="A1145" s="333">
        <f t="shared" si="37"/>
        <v>1900</v>
      </c>
      <c r="B1145" s="333">
        <f t="shared" si="38"/>
        <v>1</v>
      </c>
      <c r="AI1145" s="1822" t="s">
        <v>3</v>
      </c>
      <c r="AJ1145" s="1826">
        <v>2020</v>
      </c>
      <c r="AK1145" s="1781" t="s">
        <v>63</v>
      </c>
      <c r="AL1145" s="1781">
        <v>10</v>
      </c>
      <c r="AM1145" s="1880">
        <v>33695536.469999999</v>
      </c>
      <c r="AN1145" s="1831">
        <v>8.9999999999999993E-3</v>
      </c>
      <c r="AP1145" s="1781" t="s">
        <v>4</v>
      </c>
      <c r="AQ1145" s="1781" t="s">
        <v>572</v>
      </c>
      <c r="AR1145" s="1781" t="s">
        <v>39</v>
      </c>
      <c r="AT1145" s="1781">
        <v>761666238.34700012</v>
      </c>
      <c r="AU1145" s="1909">
        <v>2.0908373226178306E-2</v>
      </c>
      <c r="AV1145" s="1781">
        <f t="shared" si="39"/>
        <v>2018</v>
      </c>
    </row>
    <row r="1146" spans="1:48">
      <c r="A1146" s="333">
        <f t="shared" si="37"/>
        <v>1900</v>
      </c>
      <c r="B1146" s="333">
        <f t="shared" si="38"/>
        <v>1</v>
      </c>
      <c r="AI1146" s="1822" t="s">
        <v>3</v>
      </c>
      <c r="AJ1146" s="1826">
        <v>2020</v>
      </c>
      <c r="AK1146" s="1781" t="s">
        <v>39</v>
      </c>
      <c r="AM1146" s="1880">
        <v>131752982.56281519</v>
      </c>
      <c r="AN1146" s="1831">
        <v>2.9000000000000001E-2</v>
      </c>
      <c r="AP1146" s="1781" t="s">
        <v>4</v>
      </c>
      <c r="AQ1146" s="1781" t="s">
        <v>572</v>
      </c>
      <c r="AR1146" s="1781" t="s">
        <v>386</v>
      </c>
      <c r="AT1146" s="1781">
        <v>36428766126.738007</v>
      </c>
      <c r="AU1146" s="1909">
        <v>1</v>
      </c>
      <c r="AV1146" s="1781">
        <f t="shared" si="39"/>
        <v>2018</v>
      </c>
    </row>
    <row r="1147" spans="1:48">
      <c r="A1147" s="333">
        <f t="shared" si="37"/>
        <v>1900</v>
      </c>
      <c r="B1147" s="333">
        <f t="shared" si="38"/>
        <v>1</v>
      </c>
      <c r="AI1147" s="1822" t="s">
        <v>3</v>
      </c>
      <c r="AJ1147" s="1826">
        <v>2020</v>
      </c>
      <c r="AK1147" s="1781" t="s">
        <v>386</v>
      </c>
      <c r="AM1147" s="1880">
        <v>2978164174.1890244</v>
      </c>
      <c r="AP1147" s="1781" t="s">
        <v>0</v>
      </c>
      <c r="AQ1147" s="1781" t="s">
        <v>666</v>
      </c>
      <c r="AR1147" s="1781" t="s">
        <v>34</v>
      </c>
      <c r="AS1147" s="1781">
        <v>1</v>
      </c>
      <c r="AT1147" s="1781">
        <v>1898150104.9300001</v>
      </c>
      <c r="AU1147" s="1909">
        <v>0.3156128417025062</v>
      </c>
      <c r="AV1147" s="1781">
        <f t="shared" si="39"/>
        <v>2019</v>
      </c>
    </row>
    <row r="1148" spans="1:48">
      <c r="A1148" s="333">
        <f t="shared" si="37"/>
        <v>1900</v>
      </c>
      <c r="B1148" s="333">
        <f t="shared" si="38"/>
        <v>1</v>
      </c>
      <c r="AI1148" s="1781" t="s">
        <v>457</v>
      </c>
      <c r="AJ1148" s="1826">
        <v>2020</v>
      </c>
      <c r="AK1148" s="1781" t="s">
        <v>18</v>
      </c>
      <c r="AL1148" s="1781">
        <v>1</v>
      </c>
      <c r="AM1148" s="1880">
        <v>646160213.89999998</v>
      </c>
      <c r="AN1148" s="1831">
        <v>0.46855332729001598</v>
      </c>
      <c r="AP1148" s="1781" t="s">
        <v>0</v>
      </c>
      <c r="AQ1148" s="1781" t="s">
        <v>666</v>
      </c>
      <c r="AR1148" s="1781" t="s">
        <v>17</v>
      </c>
      <c r="AS1148" s="1781">
        <v>2</v>
      </c>
      <c r="AT1148" s="1781">
        <v>553498932.84000003</v>
      </c>
      <c r="AU1148" s="1909">
        <v>9.2032432324091307E-2</v>
      </c>
      <c r="AV1148" s="1781">
        <f t="shared" si="39"/>
        <v>2019</v>
      </c>
    </row>
    <row r="1149" spans="1:48">
      <c r="A1149" s="333">
        <f t="shared" si="37"/>
        <v>1900</v>
      </c>
      <c r="B1149" s="333">
        <f t="shared" si="38"/>
        <v>1</v>
      </c>
      <c r="AI1149" s="1781" t="s">
        <v>457</v>
      </c>
      <c r="AJ1149" s="1826">
        <v>2020</v>
      </c>
      <c r="AK1149" s="1781" t="s">
        <v>27</v>
      </c>
      <c r="AL1149" s="1781">
        <v>2</v>
      </c>
      <c r="AM1149" s="1880">
        <v>112964248.48999998</v>
      </c>
      <c r="AN1149" s="1831">
        <v>8.191431994139628E-2</v>
      </c>
      <c r="AP1149" s="1781" t="s">
        <v>0</v>
      </c>
      <c r="AQ1149" s="1781" t="s">
        <v>666</v>
      </c>
      <c r="AR1149" s="1781" t="s">
        <v>18</v>
      </c>
      <c r="AS1149" s="1781">
        <v>3</v>
      </c>
      <c r="AT1149" s="1781">
        <v>520068808.38000005</v>
      </c>
      <c r="AU1149" s="1909">
        <v>8.6473874783312338E-2</v>
      </c>
      <c r="AV1149" s="1781">
        <f t="shared" si="39"/>
        <v>2019</v>
      </c>
    </row>
    <row r="1150" spans="1:48">
      <c r="A1150" s="333">
        <f t="shared" si="37"/>
        <v>1900</v>
      </c>
      <c r="B1150" s="333">
        <f t="shared" si="38"/>
        <v>1</v>
      </c>
      <c r="AI1150" s="1781" t="s">
        <v>457</v>
      </c>
      <c r="AJ1150" s="1826">
        <v>2020</v>
      </c>
      <c r="AK1150" s="1781" t="s">
        <v>63</v>
      </c>
      <c r="AL1150" s="1781">
        <v>3</v>
      </c>
      <c r="AM1150" s="1880">
        <v>105823637.76000001</v>
      </c>
      <c r="AN1150" s="1831">
        <v>7.6736413836298215E-2</v>
      </c>
      <c r="AP1150" s="1781" t="s">
        <v>0</v>
      </c>
      <c r="AQ1150" s="1781" t="s">
        <v>666</v>
      </c>
      <c r="AR1150" s="1781" t="s">
        <v>32</v>
      </c>
      <c r="AS1150" s="1781">
        <v>4</v>
      </c>
      <c r="AT1150" s="1781">
        <v>490903522.14999998</v>
      </c>
      <c r="AU1150" s="1909">
        <v>8.162444857502163E-2</v>
      </c>
      <c r="AV1150" s="1781">
        <f t="shared" si="39"/>
        <v>2019</v>
      </c>
    </row>
    <row r="1151" spans="1:48">
      <c r="A1151" s="333">
        <f t="shared" si="37"/>
        <v>1900</v>
      </c>
      <c r="B1151" s="333">
        <f t="shared" si="38"/>
        <v>1</v>
      </c>
      <c r="AI1151" s="1781" t="s">
        <v>457</v>
      </c>
      <c r="AJ1151" s="1826">
        <v>2020</v>
      </c>
      <c r="AK1151" s="1781" t="s">
        <v>31</v>
      </c>
      <c r="AL1151" s="1781">
        <v>4</v>
      </c>
      <c r="AM1151" s="1880">
        <v>75685814.170000002</v>
      </c>
      <c r="AN1151" s="1831">
        <v>5.4882425898626408E-2</v>
      </c>
      <c r="AP1151" s="1781" t="s">
        <v>0</v>
      </c>
      <c r="AQ1151" s="1781" t="s">
        <v>666</v>
      </c>
      <c r="AR1151" s="1781" t="s">
        <v>26</v>
      </c>
      <c r="AS1151" s="1781">
        <v>5</v>
      </c>
      <c r="AT1151" s="1781">
        <v>446494966.74000001</v>
      </c>
      <c r="AU1151" s="1909">
        <v>7.4240464383017915E-2</v>
      </c>
      <c r="AV1151" s="1781">
        <f t="shared" si="39"/>
        <v>2019</v>
      </c>
    </row>
    <row r="1152" spans="1:48">
      <c r="A1152" s="333">
        <f t="shared" si="37"/>
        <v>1900</v>
      </c>
      <c r="B1152" s="333">
        <f t="shared" si="38"/>
        <v>1</v>
      </c>
      <c r="AI1152" s="1781" t="s">
        <v>457</v>
      </c>
      <c r="AJ1152" s="1826">
        <v>2020</v>
      </c>
      <c r="AK1152" s="1781" t="s">
        <v>70</v>
      </c>
      <c r="AL1152" s="1781">
        <v>5</v>
      </c>
      <c r="AM1152" s="1880">
        <v>71572532.839999989</v>
      </c>
      <c r="AN1152" s="1831">
        <v>5.1899742019625349E-2</v>
      </c>
      <c r="AP1152" s="1781" t="s">
        <v>0</v>
      </c>
      <c r="AQ1152" s="1781" t="s">
        <v>666</v>
      </c>
      <c r="AR1152" s="1781" t="s">
        <v>25</v>
      </c>
      <c r="AS1152" s="1781">
        <v>6</v>
      </c>
      <c r="AT1152" s="1781">
        <v>396871242.23999995</v>
      </c>
      <c r="AU1152" s="1909">
        <v>6.5989333629644292E-2</v>
      </c>
      <c r="AV1152" s="1781">
        <f t="shared" si="39"/>
        <v>2019</v>
      </c>
    </row>
    <row r="1153" spans="1:48">
      <c r="A1153" s="333">
        <f t="shared" si="37"/>
        <v>1900</v>
      </c>
      <c r="B1153" s="333">
        <f t="shared" si="38"/>
        <v>1</v>
      </c>
      <c r="AI1153" s="1781" t="s">
        <v>457</v>
      </c>
      <c r="AJ1153" s="1826">
        <v>2020</v>
      </c>
      <c r="AK1153" s="1781" t="s">
        <v>537</v>
      </c>
      <c r="AL1153" s="1781">
        <v>6</v>
      </c>
      <c r="AM1153" s="1880">
        <v>54555843.400000006</v>
      </c>
      <c r="AN1153" s="1831">
        <v>3.9560346487286353E-2</v>
      </c>
      <c r="AP1153" s="1781" t="s">
        <v>0</v>
      </c>
      <c r="AQ1153" s="1781" t="s">
        <v>666</v>
      </c>
      <c r="AR1153" s="1781" t="s">
        <v>21</v>
      </c>
      <c r="AS1153" s="1781">
        <v>7</v>
      </c>
      <c r="AT1153" s="1781">
        <v>382317854.16999996</v>
      </c>
      <c r="AU1153" s="1909">
        <v>6.3569484876248972E-2</v>
      </c>
      <c r="AV1153" s="1781">
        <f t="shared" si="39"/>
        <v>2019</v>
      </c>
    </row>
    <row r="1154" spans="1:48">
      <c r="A1154" s="333">
        <f t="shared" si="37"/>
        <v>1900</v>
      </c>
      <c r="B1154" s="333">
        <f t="shared" si="38"/>
        <v>1</v>
      </c>
      <c r="AI1154" s="1781" t="s">
        <v>457</v>
      </c>
      <c r="AJ1154" s="1826">
        <v>2020</v>
      </c>
      <c r="AK1154" s="1781" t="s">
        <v>66</v>
      </c>
      <c r="AL1154" s="1781">
        <v>7</v>
      </c>
      <c r="AM1154" s="1880">
        <v>51553903.730000004</v>
      </c>
      <c r="AN1154" s="1831">
        <v>3.7383535240718212E-2</v>
      </c>
      <c r="AP1154" s="1781" t="s">
        <v>0</v>
      </c>
      <c r="AQ1154" s="1781" t="s">
        <v>666</v>
      </c>
      <c r="AR1154" s="1781" t="s">
        <v>29</v>
      </c>
      <c r="AS1154" s="1781">
        <v>8</v>
      </c>
      <c r="AT1154" s="1781">
        <v>181843832.45000002</v>
      </c>
      <c r="AU1154" s="1909">
        <v>3.0235885221382649E-2</v>
      </c>
      <c r="AV1154" s="1781">
        <f t="shared" si="39"/>
        <v>2019</v>
      </c>
    </row>
    <row r="1155" spans="1:48">
      <c r="A1155" s="333">
        <f t="shared" si="37"/>
        <v>1900</v>
      </c>
      <c r="B1155" s="333">
        <f t="shared" si="38"/>
        <v>1</v>
      </c>
      <c r="AI1155" s="1781" t="s">
        <v>457</v>
      </c>
      <c r="AJ1155" s="1826">
        <v>2020</v>
      </c>
      <c r="AK1155" s="1781" t="s">
        <v>35</v>
      </c>
      <c r="AL1155" s="1781">
        <v>8</v>
      </c>
      <c r="AM1155" s="1880">
        <v>49249656.639999993</v>
      </c>
      <c r="AN1155" s="1831">
        <v>3.5712645238993451E-2</v>
      </c>
      <c r="AP1155" s="1781" t="s">
        <v>0</v>
      </c>
      <c r="AQ1155" s="1781" t="s">
        <v>666</v>
      </c>
      <c r="AR1155" s="1781" t="s">
        <v>16</v>
      </c>
      <c r="AS1155" s="1781">
        <v>9</v>
      </c>
      <c r="AT1155" s="1781">
        <v>172834897.82999998</v>
      </c>
      <c r="AU1155" s="1909">
        <v>2.8737934427741304E-2</v>
      </c>
      <c r="AV1155" s="1781">
        <f t="shared" si="39"/>
        <v>2019</v>
      </c>
    </row>
    <row r="1156" spans="1:48">
      <c r="A1156" s="333">
        <f t="shared" si="37"/>
        <v>1900</v>
      </c>
      <c r="B1156" s="333">
        <f t="shared" si="38"/>
        <v>1</v>
      </c>
      <c r="AI1156" s="1781" t="s">
        <v>457</v>
      </c>
      <c r="AJ1156" s="1826">
        <v>2020</v>
      </c>
      <c r="AK1156" s="1781" t="s">
        <v>21</v>
      </c>
      <c r="AL1156" s="1781">
        <v>9</v>
      </c>
      <c r="AM1156" s="1880">
        <v>46639533.780000009</v>
      </c>
      <c r="AN1156" s="1831">
        <v>3.3819954038915953E-2</v>
      </c>
      <c r="AP1156" s="1781" t="s">
        <v>0</v>
      </c>
      <c r="AQ1156" s="1781" t="s">
        <v>666</v>
      </c>
      <c r="AR1156" s="1781" t="s">
        <v>35</v>
      </c>
      <c r="AS1156" s="1781">
        <v>10</v>
      </c>
      <c r="AT1156" s="1781">
        <v>157469741.20999998</v>
      </c>
      <c r="AU1156" s="1909">
        <v>2.6183109742671882E-2</v>
      </c>
      <c r="AV1156" s="1781">
        <f t="shared" si="39"/>
        <v>2019</v>
      </c>
    </row>
    <row r="1157" spans="1:48">
      <c r="A1157" s="333">
        <f t="shared" si="37"/>
        <v>1900</v>
      </c>
      <c r="B1157" s="333">
        <f t="shared" si="38"/>
        <v>1</v>
      </c>
      <c r="AI1157" s="1781" t="s">
        <v>457</v>
      </c>
      <c r="AJ1157" s="1826">
        <v>2020</v>
      </c>
      <c r="AK1157" s="1781" t="s">
        <v>54</v>
      </c>
      <c r="AL1157" s="1781">
        <v>10</v>
      </c>
      <c r="AM1157" s="1880">
        <v>31310906.889999997</v>
      </c>
      <c r="AN1157" s="1831">
        <v>2.2704631588548792E-2</v>
      </c>
      <c r="AP1157" s="1781" t="s">
        <v>0</v>
      </c>
      <c r="AQ1157" s="1781" t="s">
        <v>666</v>
      </c>
      <c r="AR1157" s="1781" t="s">
        <v>39</v>
      </c>
      <c r="AT1157" s="1781">
        <v>813718697.54999924</v>
      </c>
      <c r="AU1157" s="1909">
        <v>0.13530019033436158</v>
      </c>
      <c r="AV1157" s="1781">
        <f t="shared" si="39"/>
        <v>2019</v>
      </c>
    </row>
    <row r="1158" spans="1:48">
      <c r="A1158" s="333">
        <f t="shared" si="37"/>
        <v>1900</v>
      </c>
      <c r="B1158" s="333">
        <f t="shared" si="38"/>
        <v>1</v>
      </c>
      <c r="AI1158" s="1781" t="s">
        <v>457</v>
      </c>
      <c r="AJ1158" s="1826">
        <v>2020</v>
      </c>
      <c r="AK1158" s="1781" t="s">
        <v>39</v>
      </c>
      <c r="AM1158" s="1880">
        <v>133537438.82000041</v>
      </c>
      <c r="AN1158" s="1831">
        <v>9.6832658419574877E-2</v>
      </c>
      <c r="AP1158" s="1781" t="s">
        <v>0</v>
      </c>
      <c r="AQ1158" s="1781" t="s">
        <v>666</v>
      </c>
      <c r="AR1158" s="1781" t="s">
        <v>386</v>
      </c>
      <c r="AT1158" s="1781">
        <v>6014172600.4899988</v>
      </c>
      <c r="AV1158" s="1781">
        <f t="shared" si="39"/>
        <v>2019</v>
      </c>
    </row>
    <row r="1159" spans="1:48">
      <c r="A1159" s="333">
        <f t="shared" si="37"/>
        <v>1900</v>
      </c>
      <c r="B1159" s="333">
        <f t="shared" si="38"/>
        <v>1</v>
      </c>
      <c r="AI1159" s="1781" t="s">
        <v>457</v>
      </c>
      <c r="AJ1159" s="1826">
        <v>2020</v>
      </c>
      <c r="AK1159" s="1781" t="s">
        <v>386</v>
      </c>
      <c r="AM1159" s="1880">
        <v>1379053730.4200006</v>
      </c>
      <c r="AP1159" s="1781" t="s">
        <v>307</v>
      </c>
      <c r="AQ1159" s="1781" t="s">
        <v>666</v>
      </c>
      <c r="AR1159" s="1781" t="s">
        <v>18</v>
      </c>
      <c r="AS1159" s="1781">
        <v>1</v>
      </c>
      <c r="AT1159" s="1781">
        <v>1079266343</v>
      </c>
      <c r="AU1159" s="1909">
        <v>0.52257537050961167</v>
      </c>
      <c r="AV1159" s="1781">
        <f t="shared" si="39"/>
        <v>2019</v>
      </c>
    </row>
    <row r="1160" spans="1:48">
      <c r="A1160" s="333">
        <f t="shared" si="37"/>
        <v>1900</v>
      </c>
      <c r="B1160" s="333">
        <f t="shared" si="38"/>
        <v>1</v>
      </c>
      <c r="AI1160" s="1781" t="s">
        <v>2</v>
      </c>
      <c r="AJ1160" s="1826">
        <v>2020</v>
      </c>
      <c r="AK1160" s="1781" t="s">
        <v>18</v>
      </c>
      <c r="AL1160" s="1781">
        <v>1</v>
      </c>
      <c r="AM1160" s="1880">
        <v>91957110000</v>
      </c>
      <c r="AN1160" s="1831">
        <v>0.79900000000000004</v>
      </c>
      <c r="AP1160" s="1781" t="s">
        <v>307</v>
      </c>
      <c r="AQ1160" s="1781" t="s">
        <v>666</v>
      </c>
      <c r="AR1160" s="1781" t="s">
        <v>537</v>
      </c>
      <c r="AS1160" s="1781">
        <v>2</v>
      </c>
      <c r="AT1160" s="1781">
        <v>237333562</v>
      </c>
      <c r="AU1160" s="1909">
        <v>0.11491572483560335</v>
      </c>
      <c r="AV1160" s="1781">
        <f t="shared" si="39"/>
        <v>2019</v>
      </c>
    </row>
    <row r="1161" spans="1:48">
      <c r="A1161" s="333">
        <f t="shared" si="37"/>
        <v>1900</v>
      </c>
      <c r="B1161" s="333">
        <f t="shared" si="38"/>
        <v>1</v>
      </c>
      <c r="AI1161" s="1781" t="s">
        <v>2</v>
      </c>
      <c r="AJ1161" s="1826">
        <v>2020</v>
      </c>
      <c r="AK1161" s="1781" t="s">
        <v>23</v>
      </c>
      <c r="AL1161" s="1781">
        <v>2</v>
      </c>
      <c r="AM1161" s="1880">
        <v>6636786000</v>
      </c>
      <c r="AN1161" s="1831">
        <v>5.8000000000000003E-2</v>
      </c>
      <c r="AP1161" s="1781" t="s">
        <v>307</v>
      </c>
      <c r="AQ1161" s="1781" t="s">
        <v>666</v>
      </c>
      <c r="AR1161" s="1781" t="s">
        <v>69</v>
      </c>
      <c r="AS1161" s="1781">
        <v>3</v>
      </c>
      <c r="AT1161" s="1781">
        <v>222046776</v>
      </c>
      <c r="AU1161" s="1909">
        <v>0.10751393943789901</v>
      </c>
      <c r="AV1161" s="1781">
        <f t="shared" si="39"/>
        <v>2019</v>
      </c>
    </row>
    <row r="1162" spans="1:48">
      <c r="A1162" s="333">
        <f t="shared" ref="A1162:A1225" si="40">YEAR(C1162)</f>
        <v>1900</v>
      </c>
      <c r="B1162" s="333">
        <f t="shared" ref="B1162:B1225" si="41">IF(OR(MONTH(C1162)=1,MONTH(C1162)=2,MONTH(C1162)=3),1,IF(OR(MONTH(C1162)=4,MONTH(C1162)=5,MONTH(C1162)=6),2,IF(OR(MONTH(C1162)=7,MONTH(C1162)=8,MONTH(C1162)=9),3,4)))</f>
        <v>1</v>
      </c>
      <c r="AI1162" s="1781" t="s">
        <v>2</v>
      </c>
      <c r="AJ1162" s="1826">
        <v>2020</v>
      </c>
      <c r="AK1162" s="1781" t="s">
        <v>371</v>
      </c>
      <c r="AL1162" s="1781">
        <v>3</v>
      </c>
      <c r="AM1162" s="1880">
        <v>6556744000</v>
      </c>
      <c r="AN1162" s="1831">
        <v>5.7000000000000002E-2</v>
      </c>
      <c r="AP1162" s="1781" t="s">
        <v>307</v>
      </c>
      <c r="AQ1162" s="1781" t="s">
        <v>666</v>
      </c>
      <c r="AR1162" s="1781" t="s">
        <v>385</v>
      </c>
      <c r="AS1162" s="1781">
        <v>4</v>
      </c>
      <c r="AT1162" s="1781">
        <v>183496532</v>
      </c>
      <c r="AU1162" s="1909">
        <v>8.8848103917133658E-2</v>
      </c>
      <c r="AV1162" s="1781">
        <f t="shared" si="39"/>
        <v>2019</v>
      </c>
    </row>
    <row r="1163" spans="1:48">
      <c r="A1163" s="333">
        <f t="shared" si="40"/>
        <v>1900</v>
      </c>
      <c r="B1163" s="333">
        <f t="shared" si="41"/>
        <v>1</v>
      </c>
      <c r="AI1163" s="1781" t="s">
        <v>2</v>
      </c>
      <c r="AJ1163" s="1826">
        <v>2020</v>
      </c>
      <c r="AK1163" s="1781" t="s">
        <v>61</v>
      </c>
      <c r="AL1163" s="1781">
        <v>4</v>
      </c>
      <c r="AM1163" s="1880">
        <v>3093325000</v>
      </c>
      <c r="AN1163" s="1831">
        <v>2.7E-2</v>
      </c>
      <c r="AP1163" s="1781" t="s">
        <v>307</v>
      </c>
      <c r="AQ1163" s="1781" t="s">
        <v>666</v>
      </c>
      <c r="AR1163" s="1781" t="s">
        <v>23</v>
      </c>
      <c r="AS1163" s="1781">
        <v>5</v>
      </c>
      <c r="AT1163" s="1781">
        <v>177061904</v>
      </c>
      <c r="AU1163" s="1909">
        <v>8.5732489191444466E-2</v>
      </c>
      <c r="AV1163" s="1781">
        <f t="shared" si="39"/>
        <v>2019</v>
      </c>
    </row>
    <row r="1164" spans="1:48">
      <c r="A1164" s="333">
        <f t="shared" si="40"/>
        <v>1900</v>
      </c>
      <c r="B1164" s="333">
        <f t="shared" si="41"/>
        <v>1</v>
      </c>
      <c r="AI1164" s="1781" t="s">
        <v>2</v>
      </c>
      <c r="AJ1164" s="1826">
        <v>2020</v>
      </c>
      <c r="AK1164" s="1781" t="s">
        <v>370</v>
      </c>
      <c r="AL1164" s="1781">
        <v>5</v>
      </c>
      <c r="AM1164" s="1880">
        <v>2821739000</v>
      </c>
      <c r="AN1164" s="1831">
        <v>2.5000000000000001E-2</v>
      </c>
      <c r="AP1164" s="1781" t="s">
        <v>307</v>
      </c>
      <c r="AQ1164" s="1781" t="s">
        <v>666</v>
      </c>
      <c r="AR1164" s="1781" t="s">
        <v>25</v>
      </c>
      <c r="AS1164" s="1781">
        <v>6</v>
      </c>
      <c r="AT1164" s="1781">
        <v>84699725</v>
      </c>
      <c r="AU1164" s="1909">
        <v>4.101118362581721E-2</v>
      </c>
      <c r="AV1164" s="1781">
        <f t="shared" si="39"/>
        <v>2019</v>
      </c>
    </row>
    <row r="1165" spans="1:48">
      <c r="A1165" s="333">
        <f t="shared" si="40"/>
        <v>1900</v>
      </c>
      <c r="B1165" s="333">
        <f t="shared" si="41"/>
        <v>1</v>
      </c>
      <c r="AI1165" s="1781" t="s">
        <v>2</v>
      </c>
      <c r="AJ1165" s="1826">
        <v>2020</v>
      </c>
      <c r="AK1165" s="1781" t="s">
        <v>39</v>
      </c>
      <c r="AM1165" s="1880">
        <v>4028813000</v>
      </c>
      <c r="AN1165" s="1831">
        <v>3.5000000000000003E-2</v>
      </c>
      <c r="AP1165" s="1781" t="s">
        <v>307</v>
      </c>
      <c r="AQ1165" s="1781" t="s">
        <v>666</v>
      </c>
      <c r="AR1165" s="1781" t="s">
        <v>21</v>
      </c>
      <c r="AS1165" s="1781">
        <v>7</v>
      </c>
      <c r="AT1165" s="1781">
        <v>81378759</v>
      </c>
      <c r="AU1165" s="1909">
        <v>3.9403188482490643E-2</v>
      </c>
      <c r="AV1165" s="1781">
        <f t="shared" si="39"/>
        <v>2019</v>
      </c>
    </row>
    <row r="1166" spans="1:48">
      <c r="A1166" s="333">
        <f t="shared" si="40"/>
        <v>1900</v>
      </c>
      <c r="B1166" s="333">
        <f t="shared" si="41"/>
        <v>1</v>
      </c>
      <c r="AI1166" s="1781" t="s">
        <v>2</v>
      </c>
      <c r="AJ1166" s="1826">
        <v>2020</v>
      </c>
      <c r="AK1166" s="1781" t="s">
        <v>386</v>
      </c>
      <c r="AM1166" s="1880">
        <v>115094517000</v>
      </c>
      <c r="AP1166" s="1781" t="s">
        <v>307</v>
      </c>
      <c r="AQ1166" s="1781" t="s">
        <v>666</v>
      </c>
      <c r="AR1166" s="1822" t="s">
        <v>540</v>
      </c>
      <c r="AS1166" s="1822">
        <v>8</v>
      </c>
      <c r="AV1166" s="1781">
        <f t="shared" si="39"/>
        <v>2019</v>
      </c>
    </row>
    <row r="1167" spans="1:48">
      <c r="A1167" s="333">
        <f t="shared" si="40"/>
        <v>1900</v>
      </c>
      <c r="B1167" s="333">
        <f t="shared" si="41"/>
        <v>1</v>
      </c>
      <c r="AI1167" s="1781" t="s">
        <v>1</v>
      </c>
      <c r="AJ1167" s="1826">
        <v>2020</v>
      </c>
      <c r="AK1167" s="1781" t="s">
        <v>63</v>
      </c>
      <c r="AL1167" s="1781">
        <v>1</v>
      </c>
      <c r="AM1167" s="1880">
        <v>11891502000</v>
      </c>
      <c r="AN1167" s="1831">
        <v>0.54600000000000004</v>
      </c>
      <c r="AP1167" s="1781" t="s">
        <v>307</v>
      </c>
      <c r="AQ1167" s="1781" t="s">
        <v>666</v>
      </c>
      <c r="AR1167" s="1822" t="s">
        <v>540</v>
      </c>
      <c r="AS1167" s="1822">
        <v>9</v>
      </c>
      <c r="AV1167" s="1781">
        <f t="shared" si="39"/>
        <v>2019</v>
      </c>
    </row>
    <row r="1168" spans="1:48">
      <c r="A1168" s="333">
        <f t="shared" si="40"/>
        <v>1900</v>
      </c>
      <c r="B1168" s="333">
        <f t="shared" si="41"/>
        <v>1</v>
      </c>
      <c r="AI1168" s="1781" t="s">
        <v>1</v>
      </c>
      <c r="AJ1168" s="1826">
        <v>2020</v>
      </c>
      <c r="AK1168" s="1781" t="s">
        <v>800</v>
      </c>
      <c r="AL1168" s="1781">
        <v>2</v>
      </c>
      <c r="AM1168" s="1880">
        <v>5647549000</v>
      </c>
      <c r="AN1168" s="1831">
        <v>0.25900000000000001</v>
      </c>
      <c r="AP1168" s="1781" t="s">
        <v>307</v>
      </c>
      <c r="AQ1168" s="1781" t="s">
        <v>666</v>
      </c>
      <c r="AR1168" s="1822" t="s">
        <v>540</v>
      </c>
      <c r="AS1168" s="1781">
        <v>10</v>
      </c>
      <c r="AV1168" s="1781">
        <f t="shared" ref="AV1168" si="42">_xlfn.NUMBERVALUE(LEFT(AQ1168,4))</f>
        <v>2019</v>
      </c>
    </row>
    <row r="1169" spans="1:48">
      <c r="A1169" s="333">
        <f t="shared" si="40"/>
        <v>1900</v>
      </c>
      <c r="B1169" s="333">
        <f t="shared" si="41"/>
        <v>1</v>
      </c>
      <c r="AI1169" s="1781" t="s">
        <v>1</v>
      </c>
      <c r="AJ1169" s="1826">
        <v>2020</v>
      </c>
      <c r="AK1169" s="1781" t="s">
        <v>370</v>
      </c>
      <c r="AL1169" s="1781">
        <v>3</v>
      </c>
      <c r="AM1169" s="1880">
        <v>1539036000</v>
      </c>
      <c r="AN1169" s="1831">
        <v>7.0999999999999994E-2</v>
      </c>
      <c r="AP1169" s="1781" t="s">
        <v>307</v>
      </c>
      <c r="AQ1169" s="1781" t="s">
        <v>666</v>
      </c>
      <c r="AR1169" s="1781" t="s">
        <v>386</v>
      </c>
      <c r="AT1169" s="1781">
        <v>2065283601</v>
      </c>
      <c r="AV1169" s="1781">
        <f t="shared" si="39"/>
        <v>2019</v>
      </c>
    </row>
    <row r="1170" spans="1:48">
      <c r="A1170" s="333">
        <f t="shared" si="40"/>
        <v>1900</v>
      </c>
      <c r="B1170" s="333">
        <f t="shared" si="41"/>
        <v>1</v>
      </c>
      <c r="AI1170" s="1781" t="s">
        <v>1</v>
      </c>
      <c r="AJ1170" s="1826">
        <v>2020</v>
      </c>
      <c r="AK1170" s="1781" t="s">
        <v>61</v>
      </c>
      <c r="AL1170" s="1781">
        <v>4</v>
      </c>
      <c r="AM1170" s="1880">
        <v>752604000</v>
      </c>
      <c r="AN1170" s="1831">
        <v>3.5000000000000003E-2</v>
      </c>
      <c r="AP1170" s="1781" t="s">
        <v>533</v>
      </c>
      <c r="AQ1170" s="1781" t="s">
        <v>666</v>
      </c>
      <c r="AV1170" s="1781">
        <f t="shared" si="39"/>
        <v>2019</v>
      </c>
    </row>
    <row r="1171" spans="1:48">
      <c r="A1171" s="333">
        <f t="shared" si="40"/>
        <v>1900</v>
      </c>
      <c r="B1171" s="333">
        <f t="shared" si="41"/>
        <v>1</v>
      </c>
      <c r="AI1171" s="1781" t="s">
        <v>1</v>
      </c>
      <c r="AJ1171" s="1826">
        <v>2020</v>
      </c>
      <c r="AK1171" s="1781" t="s">
        <v>58</v>
      </c>
      <c r="AL1171" s="1781">
        <v>5</v>
      </c>
      <c r="AM1171" s="1880">
        <v>476102000</v>
      </c>
      <c r="AN1171" s="1831">
        <v>2.1999999999999999E-2</v>
      </c>
      <c r="AP1171" s="1822" t="s">
        <v>4</v>
      </c>
      <c r="AQ1171" s="1822" t="s">
        <v>666</v>
      </c>
      <c r="AR1171" s="1822" t="s">
        <v>23</v>
      </c>
      <c r="AS1171" s="1822">
        <v>1</v>
      </c>
      <c r="AT1171" s="1822">
        <v>15176187419.566801</v>
      </c>
      <c r="AU1171" s="1825">
        <v>0.43174114549549852</v>
      </c>
      <c r="AV1171" s="1822">
        <f t="shared" si="39"/>
        <v>2019</v>
      </c>
    </row>
    <row r="1172" spans="1:48">
      <c r="A1172" s="333">
        <f t="shared" si="40"/>
        <v>1900</v>
      </c>
      <c r="B1172" s="333">
        <f t="shared" si="41"/>
        <v>1</v>
      </c>
      <c r="AI1172" s="1781" t="s">
        <v>1</v>
      </c>
      <c r="AJ1172" s="1826">
        <v>2020</v>
      </c>
      <c r="AK1172" s="1781" t="s">
        <v>372</v>
      </c>
      <c r="AL1172" s="1781">
        <v>6</v>
      </c>
      <c r="AM1172" s="1880">
        <v>473196000</v>
      </c>
      <c r="AN1172" s="1831">
        <v>2.1999999999999999E-2</v>
      </c>
      <c r="AP1172" s="1781" t="s">
        <v>4</v>
      </c>
      <c r="AQ1172" s="1781" t="s">
        <v>666</v>
      </c>
      <c r="AR1172" s="1781" t="s">
        <v>18</v>
      </c>
      <c r="AS1172" s="1781">
        <v>2</v>
      </c>
      <c r="AT1172" s="1781">
        <v>6105488851.9808025</v>
      </c>
      <c r="AU1172" s="1909">
        <v>0.17369255386010721</v>
      </c>
      <c r="AV1172" s="1822">
        <f t="shared" si="39"/>
        <v>2019</v>
      </c>
    </row>
    <row r="1173" spans="1:48">
      <c r="A1173" s="333">
        <f t="shared" si="40"/>
        <v>1900</v>
      </c>
      <c r="B1173" s="333">
        <f t="shared" si="41"/>
        <v>1</v>
      </c>
      <c r="AI1173" s="1781" t="s">
        <v>1</v>
      </c>
      <c r="AJ1173" s="1826">
        <v>2020</v>
      </c>
      <c r="AK1173" s="1781" t="s">
        <v>20</v>
      </c>
      <c r="AL1173" s="1781">
        <v>7</v>
      </c>
      <c r="AM1173" s="1880">
        <v>427159000</v>
      </c>
      <c r="AN1173" s="1831">
        <v>0.02</v>
      </c>
      <c r="AP1173" s="1781" t="s">
        <v>4</v>
      </c>
      <c r="AQ1173" s="1781" t="s">
        <v>666</v>
      </c>
      <c r="AR1173" s="1781" t="s">
        <v>61</v>
      </c>
      <c r="AS1173" s="1781">
        <v>3</v>
      </c>
      <c r="AT1173" s="1781">
        <v>5471821469.7020006</v>
      </c>
      <c r="AU1173" s="1909">
        <v>0.155665609811205</v>
      </c>
      <c r="AV1173" s="1822">
        <f t="shared" si="39"/>
        <v>2019</v>
      </c>
    </row>
    <row r="1174" spans="1:48">
      <c r="A1174" s="333">
        <f t="shared" si="40"/>
        <v>1900</v>
      </c>
      <c r="B1174" s="333">
        <f t="shared" si="41"/>
        <v>1</v>
      </c>
      <c r="AI1174" s="1781" t="s">
        <v>1</v>
      </c>
      <c r="AJ1174" s="1826">
        <v>2020</v>
      </c>
      <c r="AK1174" s="1781" t="s">
        <v>371</v>
      </c>
      <c r="AL1174" s="1781">
        <v>8</v>
      </c>
      <c r="AM1174" s="1880">
        <v>244849000</v>
      </c>
      <c r="AN1174" s="1831">
        <v>1.0999999999999999E-2</v>
      </c>
      <c r="AP1174" s="1781" t="s">
        <v>4</v>
      </c>
      <c r="AQ1174" s="1781" t="s">
        <v>666</v>
      </c>
      <c r="AR1174" s="1781" t="s">
        <v>24</v>
      </c>
      <c r="AS1174" s="1781">
        <v>4</v>
      </c>
      <c r="AT1174" s="1781">
        <v>2885079429.8668003</v>
      </c>
      <c r="AU1174" s="1909">
        <v>8.2076444067250953E-2</v>
      </c>
      <c r="AV1174" s="1822">
        <f t="shared" si="39"/>
        <v>2019</v>
      </c>
    </row>
    <row r="1175" spans="1:48">
      <c r="A1175" s="333">
        <f t="shared" si="40"/>
        <v>1900</v>
      </c>
      <c r="B1175" s="333">
        <f t="shared" si="41"/>
        <v>1</v>
      </c>
      <c r="AI1175" s="1781" t="s">
        <v>1</v>
      </c>
      <c r="AJ1175" s="1826">
        <v>2020</v>
      </c>
      <c r="AK1175" s="1781" t="s">
        <v>23</v>
      </c>
      <c r="AL1175" s="1781">
        <v>9</v>
      </c>
      <c r="AM1175" s="1880">
        <v>125997000</v>
      </c>
      <c r="AN1175" s="1831">
        <v>6.0000000000000001E-3</v>
      </c>
      <c r="AP1175" s="1781" t="s">
        <v>4</v>
      </c>
      <c r="AQ1175" s="1781" t="s">
        <v>666</v>
      </c>
      <c r="AR1175" s="1781" t="s">
        <v>22</v>
      </c>
      <c r="AS1175" s="1781">
        <v>5</v>
      </c>
      <c r="AT1175" s="1781">
        <v>1367416762.0719998</v>
      </c>
      <c r="AU1175" s="1909">
        <v>3.8901079889507757E-2</v>
      </c>
      <c r="AV1175" s="1822">
        <f t="shared" si="39"/>
        <v>2019</v>
      </c>
    </row>
    <row r="1176" spans="1:48">
      <c r="A1176" s="333">
        <f t="shared" si="40"/>
        <v>1900</v>
      </c>
      <c r="B1176" s="333">
        <f t="shared" si="41"/>
        <v>1</v>
      </c>
      <c r="AI1176" s="1781" t="s">
        <v>1</v>
      </c>
      <c r="AJ1176" s="1826">
        <v>2020</v>
      </c>
      <c r="AK1176" s="1781" t="s">
        <v>21</v>
      </c>
      <c r="AL1176" s="1781">
        <v>10</v>
      </c>
      <c r="AM1176" s="1880">
        <v>87558000</v>
      </c>
      <c r="AN1176" s="1831">
        <v>4.0000000000000001E-3</v>
      </c>
      <c r="AP1176" s="1781" t="s">
        <v>4</v>
      </c>
      <c r="AQ1176" s="1781" t="s">
        <v>666</v>
      </c>
      <c r="AR1176" s="1781" t="s">
        <v>25</v>
      </c>
      <c r="AS1176" s="1781">
        <v>6</v>
      </c>
      <c r="AT1176" s="1781">
        <v>1100690902.0699999</v>
      </c>
      <c r="AU1176" s="1909">
        <v>3.1313105047943601E-2</v>
      </c>
      <c r="AV1176" s="1822">
        <f t="shared" si="39"/>
        <v>2019</v>
      </c>
    </row>
    <row r="1177" spans="1:48">
      <c r="A1177" s="333">
        <f t="shared" si="40"/>
        <v>1900</v>
      </c>
      <c r="B1177" s="333">
        <f t="shared" si="41"/>
        <v>1</v>
      </c>
      <c r="AI1177" s="1781" t="s">
        <v>1</v>
      </c>
      <c r="AJ1177" s="1826">
        <v>2020</v>
      </c>
      <c r="AK1177" s="1781" t="s">
        <v>39</v>
      </c>
      <c r="AM1177" s="1880">
        <v>129335000</v>
      </c>
      <c r="AN1177" s="1831">
        <v>6.0000000000000001E-3</v>
      </c>
      <c r="AP1177" s="1781" t="s">
        <v>4</v>
      </c>
      <c r="AQ1177" s="1781" t="s">
        <v>666</v>
      </c>
      <c r="AR1177" s="1781" t="s">
        <v>537</v>
      </c>
      <c r="AS1177" s="1781">
        <v>7</v>
      </c>
      <c r="AT1177" s="1781">
        <v>1074520170.2452002</v>
      </c>
      <c r="AU1177" s="1909">
        <v>3.0568584607854235E-2</v>
      </c>
      <c r="AV1177" s="1822">
        <f t="shared" si="39"/>
        <v>2019</v>
      </c>
    </row>
    <row r="1178" spans="1:48">
      <c r="A1178" s="333">
        <f t="shared" si="40"/>
        <v>1900</v>
      </c>
      <c r="B1178" s="333">
        <f t="shared" si="41"/>
        <v>1</v>
      </c>
      <c r="AI1178" s="1781" t="s">
        <v>1</v>
      </c>
      <c r="AJ1178" s="1826">
        <v>2020</v>
      </c>
      <c r="AK1178" s="1781" t="s">
        <v>386</v>
      </c>
      <c r="AM1178" s="1880">
        <v>21794887000</v>
      </c>
      <c r="AP1178" s="1781" t="s">
        <v>4</v>
      </c>
      <c r="AQ1178" s="1781" t="s">
        <v>666</v>
      </c>
      <c r="AR1178" s="1781" t="s">
        <v>33</v>
      </c>
      <c r="AS1178" s="1781">
        <v>8</v>
      </c>
      <c r="AT1178" s="1781">
        <v>1058064912.0771999</v>
      </c>
      <c r="AU1178" s="1909">
        <v>3.010045570205825E-2</v>
      </c>
      <c r="AV1178" s="1822">
        <f t="shared" si="39"/>
        <v>2019</v>
      </c>
    </row>
    <row r="1179" spans="1:48">
      <c r="A1179" s="333">
        <f t="shared" si="40"/>
        <v>1900</v>
      </c>
      <c r="B1179" s="333">
        <f t="shared" si="41"/>
        <v>1</v>
      </c>
      <c r="AI1179" s="1822"/>
      <c r="AJ1179" s="1827"/>
      <c r="AK1179" s="1822"/>
      <c r="AL1179" s="1822"/>
      <c r="AM1179" s="1891"/>
      <c r="AN1179" s="1824"/>
      <c r="AO1179" s="1822"/>
      <c r="AP1179" s="1822" t="s">
        <v>4</v>
      </c>
      <c r="AQ1179" s="1781" t="s">
        <v>666</v>
      </c>
      <c r="AR1179" s="1781" t="s">
        <v>21</v>
      </c>
      <c r="AS1179" s="1781">
        <v>9</v>
      </c>
      <c r="AT1179" s="1781">
        <v>311550876.28799999</v>
      </c>
      <c r="AU1179" s="1909">
        <v>8.8631833865785888E-3</v>
      </c>
      <c r="AV1179" s="1822">
        <f t="shared" si="39"/>
        <v>2019</v>
      </c>
    </row>
    <row r="1180" spans="1:48">
      <c r="A1180" s="333">
        <f t="shared" si="40"/>
        <v>1900</v>
      </c>
      <c r="B1180" s="333">
        <f t="shared" si="41"/>
        <v>1</v>
      </c>
      <c r="AI1180" s="1822"/>
      <c r="AJ1180" s="1827"/>
      <c r="AK1180" s="1822"/>
      <c r="AL1180" s="1822"/>
      <c r="AM1180" s="1891"/>
      <c r="AN1180" s="1824"/>
      <c r="AO1180" s="1822"/>
      <c r="AP1180" s="1822" t="s">
        <v>4</v>
      </c>
      <c r="AQ1180" s="1781" t="s">
        <v>666</v>
      </c>
      <c r="AR1180" s="1781" t="s">
        <v>34</v>
      </c>
      <c r="AS1180" s="1781">
        <v>10</v>
      </c>
      <c r="AT1180" s="1781">
        <v>301362519.68000001</v>
      </c>
      <c r="AU1180" s="1909">
        <v>8.5733389987198028E-3</v>
      </c>
      <c r="AV1180" s="1822">
        <f t="shared" si="39"/>
        <v>2019</v>
      </c>
    </row>
    <row r="1181" spans="1:48">
      <c r="A1181" s="333">
        <f t="shared" si="40"/>
        <v>1900</v>
      </c>
      <c r="B1181" s="333">
        <f t="shared" si="41"/>
        <v>1</v>
      </c>
      <c r="AI1181" s="1822"/>
      <c r="AJ1181" s="1827"/>
      <c r="AK1181" s="1822"/>
      <c r="AL1181" s="1822"/>
      <c r="AM1181" s="1891"/>
      <c r="AN1181" s="1824"/>
      <c r="AO1181" s="1822"/>
      <c r="AP1181" s="1822" t="s">
        <v>4</v>
      </c>
      <c r="AQ1181" s="1781" t="s">
        <v>666</v>
      </c>
      <c r="AR1181" s="1781" t="s">
        <v>39</v>
      </c>
      <c r="AT1181" s="1781">
        <v>298942720.89359283</v>
      </c>
      <c r="AU1181" s="1909">
        <v>8.9538642308954041E-3</v>
      </c>
      <c r="AV1181" s="1781">
        <f t="shared" ref="AV1181:AV1225" si="43">_xlfn.NUMBERVALUE(LEFT(AQ1181,4))</f>
        <v>2019</v>
      </c>
    </row>
    <row r="1182" spans="1:48">
      <c r="A1182" s="333">
        <f t="shared" si="40"/>
        <v>1900</v>
      </c>
      <c r="B1182" s="333">
        <f t="shared" si="41"/>
        <v>1</v>
      </c>
      <c r="AI1182" s="1822"/>
      <c r="AJ1182" s="1827"/>
      <c r="AK1182" s="1822"/>
      <c r="AL1182" s="1822"/>
      <c r="AM1182" s="1891"/>
      <c r="AN1182" s="1824"/>
      <c r="AO1182" s="1822"/>
      <c r="AP1182" s="1822" t="s">
        <v>4</v>
      </c>
      <c r="AQ1182" s="1781" t="s">
        <v>666</v>
      </c>
      <c r="AR1182" s="1781" t="s">
        <v>386</v>
      </c>
      <c r="AT1182" s="1781">
        <v>35151126034.442398</v>
      </c>
      <c r="AV1182" s="1781">
        <f t="shared" si="43"/>
        <v>2019</v>
      </c>
    </row>
    <row r="1183" spans="1:48">
      <c r="A1183" s="333">
        <f t="shared" si="40"/>
        <v>1900</v>
      </c>
      <c r="B1183" s="333">
        <f t="shared" si="41"/>
        <v>1</v>
      </c>
      <c r="AI1183" s="1822"/>
      <c r="AJ1183" s="1827"/>
      <c r="AK1183" s="1822"/>
      <c r="AL1183" s="1822"/>
      <c r="AM1183" s="1891"/>
      <c r="AN1183" s="1824"/>
      <c r="AO1183" s="1822"/>
      <c r="AP1183" s="1822" t="s">
        <v>3</v>
      </c>
      <c r="AQ1183" s="1781" t="s">
        <v>666</v>
      </c>
      <c r="AR1183" s="1781" t="s">
        <v>18</v>
      </c>
      <c r="AS1183" s="1781">
        <v>1</v>
      </c>
      <c r="AT1183" s="1781">
        <v>1573385686.3909135</v>
      </c>
      <c r="AU1183" s="1909">
        <v>0.3993463821424475</v>
      </c>
      <c r="AV1183" s="1822">
        <f t="shared" si="43"/>
        <v>2019</v>
      </c>
    </row>
    <row r="1184" spans="1:48">
      <c r="A1184" s="333">
        <f t="shared" si="40"/>
        <v>1900</v>
      </c>
      <c r="B1184" s="333">
        <f t="shared" si="41"/>
        <v>1</v>
      </c>
      <c r="AI1184" s="1822"/>
      <c r="AJ1184" s="1827"/>
      <c r="AK1184" s="1822"/>
      <c r="AL1184" s="1822"/>
      <c r="AM1184" s="1891"/>
      <c r="AN1184" s="1824"/>
      <c r="AO1184" s="1822"/>
      <c r="AP1184" s="1822" t="s">
        <v>3</v>
      </c>
      <c r="AQ1184" s="1781" t="s">
        <v>666</v>
      </c>
      <c r="AR1184" s="1781" t="s">
        <v>25</v>
      </c>
      <c r="AS1184" s="1781">
        <v>2</v>
      </c>
      <c r="AT1184" s="1781">
        <v>393276899.84383363</v>
      </c>
      <c r="AU1184" s="1909">
        <v>9.981894998237073E-2</v>
      </c>
      <c r="AV1184" s="1822">
        <f t="shared" si="43"/>
        <v>2019</v>
      </c>
    </row>
    <row r="1185" spans="1:48">
      <c r="A1185" s="333">
        <f t="shared" si="40"/>
        <v>1900</v>
      </c>
      <c r="B1185" s="333">
        <f t="shared" si="41"/>
        <v>1</v>
      </c>
      <c r="AI1185" s="1822"/>
      <c r="AJ1185" s="1827"/>
      <c r="AK1185" s="1822"/>
      <c r="AL1185" s="1822"/>
      <c r="AM1185" s="1891"/>
      <c r="AN1185" s="1824"/>
      <c r="AO1185" s="1822"/>
      <c r="AP1185" s="1822" t="s">
        <v>3</v>
      </c>
      <c r="AQ1185" s="1781" t="s">
        <v>666</v>
      </c>
      <c r="AR1185" s="1781" t="s">
        <v>23</v>
      </c>
      <c r="AS1185" s="1781">
        <v>3</v>
      </c>
      <c r="AT1185" s="1781">
        <v>373252467.59454536</v>
      </c>
      <c r="AU1185" s="1909">
        <v>9.4736480602880646E-2</v>
      </c>
      <c r="AV1185" s="1822">
        <f t="shared" si="43"/>
        <v>2019</v>
      </c>
    </row>
    <row r="1186" spans="1:48">
      <c r="A1186" s="333">
        <f t="shared" si="40"/>
        <v>1900</v>
      </c>
      <c r="B1186" s="333">
        <f t="shared" si="41"/>
        <v>1</v>
      </c>
      <c r="AI1186" s="1822"/>
      <c r="AJ1186" s="1827"/>
      <c r="AK1186" s="1822"/>
      <c r="AL1186" s="1822"/>
      <c r="AM1186" s="1891"/>
      <c r="AN1186" s="1824"/>
      <c r="AO1186" s="1822"/>
      <c r="AP1186" s="1822" t="s">
        <v>3</v>
      </c>
      <c r="AQ1186" s="1781" t="s">
        <v>666</v>
      </c>
      <c r="AR1186" s="1781" t="s">
        <v>24</v>
      </c>
      <c r="AS1186" s="1781">
        <v>4</v>
      </c>
      <c r="AT1186" s="1781">
        <v>340835704.89656436</v>
      </c>
      <c r="AU1186" s="1909">
        <v>8.6508671607170365E-2</v>
      </c>
      <c r="AV1186" s="1822">
        <f t="shared" si="43"/>
        <v>2019</v>
      </c>
    </row>
    <row r="1187" spans="1:48">
      <c r="A1187" s="333">
        <f t="shared" si="40"/>
        <v>1900</v>
      </c>
      <c r="B1187" s="333">
        <f t="shared" si="41"/>
        <v>1</v>
      </c>
      <c r="AI1187" s="1822"/>
      <c r="AJ1187" s="1827"/>
      <c r="AK1187" s="1822"/>
      <c r="AL1187" s="1822"/>
      <c r="AM1187" s="1891"/>
      <c r="AN1187" s="1824"/>
      <c r="AO1187" s="1822"/>
      <c r="AP1187" s="1822" t="s">
        <v>3</v>
      </c>
      <c r="AQ1187" s="1781" t="s">
        <v>666</v>
      </c>
      <c r="AR1187" s="1781" t="s">
        <v>537</v>
      </c>
      <c r="AS1187" s="1781">
        <v>5</v>
      </c>
      <c r="AT1187" s="1781">
        <v>329284195.6571514</v>
      </c>
      <c r="AU1187" s="1909">
        <v>8.3576743687051674E-2</v>
      </c>
      <c r="AV1187" s="1822">
        <f t="shared" si="43"/>
        <v>2019</v>
      </c>
    </row>
    <row r="1188" spans="1:48">
      <c r="A1188" s="333">
        <f t="shared" si="40"/>
        <v>1900</v>
      </c>
      <c r="B1188" s="333">
        <f t="shared" si="41"/>
        <v>1</v>
      </c>
      <c r="AI1188" s="1822"/>
      <c r="AJ1188" s="1827"/>
      <c r="AK1188" s="1822"/>
      <c r="AL1188" s="1822"/>
      <c r="AM1188" s="1891"/>
      <c r="AN1188" s="1824"/>
      <c r="AO1188" s="1822"/>
      <c r="AP1188" s="1822" t="s">
        <v>3</v>
      </c>
      <c r="AQ1188" s="1781" t="s">
        <v>666</v>
      </c>
      <c r="AR1188" s="1781" t="s">
        <v>758</v>
      </c>
      <c r="AS1188" s="1781">
        <v>6</v>
      </c>
      <c r="AT1188" s="1781">
        <v>259437691.72491229</v>
      </c>
      <c r="AU1188" s="1909">
        <v>6.5848764532353929E-2</v>
      </c>
      <c r="AV1188" s="1822">
        <f t="shared" si="43"/>
        <v>2019</v>
      </c>
    </row>
    <row r="1189" spans="1:48">
      <c r="A1189" s="333">
        <f t="shared" si="40"/>
        <v>1900</v>
      </c>
      <c r="B1189" s="333">
        <f t="shared" si="41"/>
        <v>1</v>
      </c>
      <c r="AI1189" s="1822"/>
      <c r="AJ1189" s="1827"/>
      <c r="AK1189" s="1822"/>
      <c r="AL1189" s="1822"/>
      <c r="AM1189" s="1891"/>
      <c r="AN1189" s="1824"/>
      <c r="AO1189" s="1822"/>
      <c r="AP1189" s="1822" t="s">
        <v>3</v>
      </c>
      <c r="AQ1189" s="1781" t="s">
        <v>666</v>
      </c>
      <c r="AR1189" s="1781" t="s">
        <v>61</v>
      </c>
      <c r="AS1189" s="1781">
        <v>7</v>
      </c>
      <c r="AT1189" s="1781">
        <v>238759618.41</v>
      </c>
      <c r="AU1189" s="1909">
        <v>6.0600392286812313E-2</v>
      </c>
      <c r="AV1189" s="1822">
        <f t="shared" si="43"/>
        <v>2019</v>
      </c>
    </row>
    <row r="1190" spans="1:48">
      <c r="A1190" s="333">
        <f t="shared" si="40"/>
        <v>1900</v>
      </c>
      <c r="B1190" s="333">
        <f t="shared" si="41"/>
        <v>1</v>
      </c>
      <c r="AI1190" s="1822"/>
      <c r="AJ1190" s="1827"/>
      <c r="AK1190" s="1822"/>
      <c r="AL1190" s="1822"/>
      <c r="AM1190" s="1891"/>
      <c r="AN1190" s="1824"/>
      <c r="AO1190" s="1822"/>
      <c r="AP1190" s="1822" t="s">
        <v>3</v>
      </c>
      <c r="AQ1190" s="1781" t="s">
        <v>666</v>
      </c>
      <c r="AR1190" s="1781" t="s">
        <v>27</v>
      </c>
      <c r="AS1190" s="1781">
        <v>8</v>
      </c>
      <c r="AT1190" s="1781">
        <v>192981283.23632091</v>
      </c>
      <c r="AU1190" s="1909">
        <v>4.8981237053458415E-2</v>
      </c>
      <c r="AV1190" s="1822">
        <f t="shared" si="43"/>
        <v>2019</v>
      </c>
    </row>
    <row r="1191" spans="1:48">
      <c r="A1191" s="333">
        <f t="shared" si="40"/>
        <v>1900</v>
      </c>
      <c r="B1191" s="333">
        <f t="shared" si="41"/>
        <v>1</v>
      </c>
      <c r="AI1191" s="1822"/>
      <c r="AJ1191" s="1827"/>
      <c r="AK1191" s="1822"/>
      <c r="AL1191" s="1822"/>
      <c r="AM1191" s="1891"/>
      <c r="AN1191" s="1824"/>
      <c r="AO1191" s="1822"/>
      <c r="AP1191" s="1822" t="s">
        <v>3</v>
      </c>
      <c r="AQ1191" s="1781" t="s">
        <v>666</v>
      </c>
      <c r="AR1191" s="1781" t="s">
        <v>60</v>
      </c>
      <c r="AS1191" s="1781">
        <v>9</v>
      </c>
      <c r="AT1191" s="1781">
        <v>88519925.087380648</v>
      </c>
      <c r="AU1191" s="1909">
        <v>2.2467543805011501E-2</v>
      </c>
      <c r="AV1191" s="1781">
        <f t="shared" si="43"/>
        <v>2019</v>
      </c>
    </row>
    <row r="1192" spans="1:48">
      <c r="A1192" s="333">
        <f t="shared" si="40"/>
        <v>1900</v>
      </c>
      <c r="B1192" s="333">
        <f t="shared" si="41"/>
        <v>1</v>
      </c>
      <c r="AI1192" s="1822"/>
      <c r="AJ1192" s="1827"/>
      <c r="AK1192" s="1822"/>
      <c r="AL1192" s="1822"/>
      <c r="AM1192" s="1891"/>
      <c r="AN1192" s="1824"/>
      <c r="AO1192" s="1822"/>
      <c r="AP1192" s="1822" t="s">
        <v>3</v>
      </c>
      <c r="AQ1192" s="1781" t="s">
        <v>666</v>
      </c>
      <c r="AR1192" s="1781" t="s">
        <v>70</v>
      </c>
      <c r="AS1192" s="1781">
        <v>10</v>
      </c>
      <c r="AT1192" s="1781">
        <v>36340805.630000003</v>
      </c>
      <c r="AU1192" s="1909">
        <v>9.2237837028833168E-3</v>
      </c>
      <c r="AV1192" s="1781">
        <f t="shared" si="43"/>
        <v>2019</v>
      </c>
    </row>
    <row r="1193" spans="1:48">
      <c r="A1193" s="333">
        <f t="shared" si="40"/>
        <v>1900</v>
      </c>
      <c r="B1193" s="333">
        <f t="shared" si="41"/>
        <v>1</v>
      </c>
      <c r="AI1193" s="1822"/>
      <c r="AJ1193" s="1827"/>
      <c r="AK1193" s="1822"/>
      <c r="AL1193" s="1822"/>
      <c r="AM1193" s="1891"/>
      <c r="AN1193" s="1824"/>
      <c r="AO1193" s="1822"/>
      <c r="AP1193" s="1822" t="s">
        <v>3</v>
      </c>
      <c r="AQ1193" s="1781" t="s">
        <v>666</v>
      </c>
      <c r="AR1193" s="1781" t="s">
        <v>39</v>
      </c>
      <c r="AT1193" s="1781">
        <v>113827913.57999992</v>
      </c>
      <c r="AU1193" s="1909">
        <v>2.8891050597559739E-2</v>
      </c>
      <c r="AV1193" s="1781">
        <f t="shared" si="43"/>
        <v>2019</v>
      </c>
    </row>
    <row r="1194" spans="1:48">
      <c r="A1194" s="333">
        <f t="shared" si="40"/>
        <v>1900</v>
      </c>
      <c r="B1194" s="333">
        <f t="shared" si="41"/>
        <v>1</v>
      </c>
      <c r="AI1194" s="1822"/>
      <c r="AJ1194" s="1827"/>
      <c r="AK1194" s="1822"/>
      <c r="AL1194" s="1822"/>
      <c r="AM1194" s="1891"/>
      <c r="AN1194" s="1824"/>
      <c r="AO1194" s="1822"/>
      <c r="AP1194" s="1822" t="s">
        <v>3</v>
      </c>
      <c r="AQ1194" s="1781" t="s">
        <v>666</v>
      </c>
      <c r="AR1194" s="1781" t="s">
        <v>386</v>
      </c>
      <c r="AT1194" s="1781">
        <v>3939902192.0516214</v>
      </c>
      <c r="AV1194" s="1781">
        <f t="shared" si="43"/>
        <v>2019</v>
      </c>
    </row>
    <row r="1195" spans="1:48">
      <c r="A1195" s="333">
        <f t="shared" si="40"/>
        <v>1900</v>
      </c>
      <c r="B1195" s="333">
        <f t="shared" si="41"/>
        <v>1</v>
      </c>
      <c r="AP1195" s="1781" t="s">
        <v>457</v>
      </c>
      <c r="AQ1195" s="1781" t="s">
        <v>666</v>
      </c>
      <c r="AR1195" s="1781" t="s">
        <v>18</v>
      </c>
      <c r="AS1195" s="1781">
        <v>1</v>
      </c>
      <c r="AT1195" s="1781">
        <v>503069856.33000004</v>
      </c>
      <c r="AU1195" s="1909">
        <v>0.41994067250380901</v>
      </c>
      <c r="AV1195" s="1822">
        <f t="shared" si="43"/>
        <v>2019</v>
      </c>
    </row>
    <row r="1196" spans="1:48">
      <c r="A1196" s="333">
        <f t="shared" si="40"/>
        <v>1900</v>
      </c>
      <c r="B1196" s="333">
        <f t="shared" si="41"/>
        <v>1</v>
      </c>
      <c r="AP1196" s="1781" t="s">
        <v>457</v>
      </c>
      <c r="AQ1196" s="1781" t="s">
        <v>666</v>
      </c>
      <c r="AR1196" s="1781" t="s">
        <v>63</v>
      </c>
      <c r="AS1196" s="1781">
        <v>2</v>
      </c>
      <c r="AT1196" s="1781">
        <v>112946948.53</v>
      </c>
      <c r="AU1196" s="1909">
        <v>9.4283163513235541E-2</v>
      </c>
      <c r="AV1196" s="1822">
        <f t="shared" si="43"/>
        <v>2019</v>
      </c>
    </row>
    <row r="1197" spans="1:48">
      <c r="A1197" s="333">
        <f t="shared" si="40"/>
        <v>1900</v>
      </c>
      <c r="B1197" s="333">
        <f t="shared" si="41"/>
        <v>1</v>
      </c>
      <c r="AP1197" s="1781" t="s">
        <v>457</v>
      </c>
      <c r="AQ1197" s="1781" t="s">
        <v>666</v>
      </c>
      <c r="AR1197" s="1781" t="s">
        <v>27</v>
      </c>
      <c r="AS1197" s="1781">
        <v>3</v>
      </c>
      <c r="AT1197" s="1781">
        <v>84940743.800000012</v>
      </c>
      <c r="AU1197" s="1909">
        <v>7.0904810983043992E-2</v>
      </c>
      <c r="AV1197" s="1781">
        <f t="shared" si="43"/>
        <v>2019</v>
      </c>
    </row>
    <row r="1198" spans="1:48">
      <c r="A1198" s="333">
        <f t="shared" si="40"/>
        <v>1900</v>
      </c>
      <c r="B1198" s="333">
        <f t="shared" si="41"/>
        <v>1</v>
      </c>
      <c r="AP1198" s="1781" t="s">
        <v>457</v>
      </c>
      <c r="AQ1198" s="1781" t="s">
        <v>666</v>
      </c>
      <c r="AR1198" s="1781" t="s">
        <v>66</v>
      </c>
      <c r="AS1198" s="1781">
        <v>4</v>
      </c>
      <c r="AT1198" s="1781">
        <v>65648759.810000002</v>
      </c>
      <c r="AU1198" s="1909">
        <v>5.4800708086091721E-2</v>
      </c>
      <c r="AV1198" s="1781">
        <f t="shared" si="43"/>
        <v>2019</v>
      </c>
    </row>
    <row r="1199" spans="1:48">
      <c r="A1199" s="333">
        <f t="shared" si="40"/>
        <v>1900</v>
      </c>
      <c r="B1199" s="333">
        <f t="shared" si="41"/>
        <v>1</v>
      </c>
      <c r="AP1199" s="1781" t="s">
        <v>457</v>
      </c>
      <c r="AQ1199" s="1781" t="s">
        <v>666</v>
      </c>
      <c r="AR1199" s="1781" t="s">
        <v>31</v>
      </c>
      <c r="AS1199" s="1781">
        <v>5</v>
      </c>
      <c r="AT1199" s="1781">
        <v>61636550.229999997</v>
      </c>
      <c r="AU1199" s="1909">
        <v>5.1451491336070056E-2</v>
      </c>
      <c r="AV1199" s="1781">
        <f t="shared" si="43"/>
        <v>2019</v>
      </c>
    </row>
    <row r="1200" spans="1:48">
      <c r="A1200" s="333">
        <f t="shared" si="40"/>
        <v>1900</v>
      </c>
      <c r="B1200" s="333">
        <f t="shared" si="41"/>
        <v>1</v>
      </c>
      <c r="AP1200" s="1781" t="s">
        <v>457</v>
      </c>
      <c r="AQ1200" s="1781" t="s">
        <v>666</v>
      </c>
      <c r="AR1200" s="1781" t="s">
        <v>35</v>
      </c>
      <c r="AS1200" s="1781">
        <v>6</v>
      </c>
      <c r="AT1200" s="1781">
        <v>60111326.660000004</v>
      </c>
      <c r="AU1200" s="1909">
        <v>5.0178301532218431E-2</v>
      </c>
      <c r="AV1200" s="1781">
        <f t="shared" si="43"/>
        <v>2019</v>
      </c>
    </row>
    <row r="1201" spans="1:48">
      <c r="A1201" s="333">
        <f t="shared" si="40"/>
        <v>1900</v>
      </c>
      <c r="B1201" s="333">
        <f t="shared" si="41"/>
        <v>1</v>
      </c>
      <c r="AP1201" s="1781" t="s">
        <v>457</v>
      </c>
      <c r="AQ1201" s="1781" t="s">
        <v>666</v>
      </c>
      <c r="AR1201" s="1781" t="s">
        <v>537</v>
      </c>
      <c r="AS1201" s="1781">
        <v>7</v>
      </c>
      <c r="AT1201" s="1781">
        <v>59511989.880000003</v>
      </c>
      <c r="AU1201" s="1909">
        <v>4.9678001450067677E-2</v>
      </c>
      <c r="AV1201" s="1822">
        <f t="shared" si="43"/>
        <v>2019</v>
      </c>
    </row>
    <row r="1202" spans="1:48">
      <c r="A1202" s="333">
        <f t="shared" si="40"/>
        <v>1900</v>
      </c>
      <c r="B1202" s="333">
        <f t="shared" si="41"/>
        <v>1</v>
      </c>
      <c r="AP1202" s="1781" t="s">
        <v>457</v>
      </c>
      <c r="AQ1202" s="1781" t="s">
        <v>666</v>
      </c>
      <c r="AR1202" s="1781" t="s">
        <v>54</v>
      </c>
      <c r="AS1202" s="1781">
        <v>8</v>
      </c>
      <c r="AT1202" s="1781">
        <v>49830755.359999999</v>
      </c>
      <c r="AU1202" s="1909">
        <v>4.1596531085981686E-2</v>
      </c>
      <c r="AV1202" s="1822">
        <f t="shared" si="43"/>
        <v>2019</v>
      </c>
    </row>
    <row r="1203" spans="1:48">
      <c r="A1203" s="333">
        <f t="shared" si="40"/>
        <v>1900</v>
      </c>
      <c r="B1203" s="333">
        <f t="shared" si="41"/>
        <v>1</v>
      </c>
      <c r="AP1203" s="1781" t="s">
        <v>457</v>
      </c>
      <c r="AQ1203" s="1781" t="s">
        <v>666</v>
      </c>
      <c r="AR1203" s="1781" t="s">
        <v>70</v>
      </c>
      <c r="AS1203" s="1781">
        <v>9</v>
      </c>
      <c r="AT1203" s="1781">
        <v>48685995.550000004</v>
      </c>
      <c r="AU1203" s="1909">
        <v>4.0640935757782604E-2</v>
      </c>
      <c r="AV1203" s="1781">
        <f t="shared" si="43"/>
        <v>2019</v>
      </c>
    </row>
    <row r="1204" spans="1:48">
      <c r="A1204" s="333">
        <f t="shared" si="40"/>
        <v>1900</v>
      </c>
      <c r="B1204" s="333">
        <f t="shared" si="41"/>
        <v>1</v>
      </c>
      <c r="AP1204" s="1781" t="s">
        <v>457</v>
      </c>
      <c r="AQ1204" s="1781" t="s">
        <v>666</v>
      </c>
      <c r="AR1204" s="1781" t="s">
        <v>23</v>
      </c>
      <c r="AS1204" s="1781">
        <v>10</v>
      </c>
      <c r="AT1204" s="1781">
        <v>27154952.300000001</v>
      </c>
      <c r="AU1204" s="1909">
        <v>2.2667764301883539E-2</v>
      </c>
      <c r="AV1204" s="1781">
        <f t="shared" si="43"/>
        <v>2019</v>
      </c>
    </row>
    <row r="1205" spans="1:48">
      <c r="A1205" s="333">
        <f t="shared" si="40"/>
        <v>1900</v>
      </c>
      <c r="B1205" s="333">
        <f t="shared" si="41"/>
        <v>1</v>
      </c>
      <c r="AP1205" s="1781" t="s">
        <v>457</v>
      </c>
      <c r="AQ1205" s="1781" t="s">
        <v>666</v>
      </c>
      <c r="AR1205" s="1781" t="s">
        <v>39</v>
      </c>
      <c r="AT1205" s="1781">
        <v>124416711.97000039</v>
      </c>
      <c r="AU1205" s="1909">
        <v>0.10385761944981584</v>
      </c>
      <c r="AV1205" s="1781">
        <f t="shared" si="43"/>
        <v>2019</v>
      </c>
    </row>
    <row r="1206" spans="1:48">
      <c r="A1206" s="333">
        <f t="shared" si="40"/>
        <v>1900</v>
      </c>
      <c r="B1206" s="333">
        <f t="shared" si="41"/>
        <v>1</v>
      </c>
      <c r="AP1206" s="1781" t="s">
        <v>457</v>
      </c>
      <c r="AQ1206" s="1781" t="s">
        <v>666</v>
      </c>
      <c r="AR1206" s="1781" t="s">
        <v>386</v>
      </c>
      <c r="AT1206" s="1781">
        <v>1197954590.4200003</v>
      </c>
      <c r="AV1206" s="1781">
        <f t="shared" si="43"/>
        <v>2019</v>
      </c>
    </row>
    <row r="1207" spans="1:48">
      <c r="A1207" s="333">
        <f t="shared" si="40"/>
        <v>1900</v>
      </c>
      <c r="B1207" s="333">
        <f t="shared" si="41"/>
        <v>1</v>
      </c>
      <c r="AP1207" s="1781" t="s">
        <v>2</v>
      </c>
      <c r="AQ1207" s="1781" t="s">
        <v>666</v>
      </c>
      <c r="AR1207" s="1781" t="s">
        <v>18</v>
      </c>
      <c r="AS1207" s="1781">
        <v>1</v>
      </c>
      <c r="AT1207" s="1781">
        <v>83864856000</v>
      </c>
      <c r="AU1207" s="1909">
        <v>0.82954344141442871</v>
      </c>
      <c r="AV1207" s="1822">
        <f t="shared" si="43"/>
        <v>2019</v>
      </c>
    </row>
    <row r="1208" spans="1:48">
      <c r="A1208" s="333">
        <f t="shared" si="40"/>
        <v>1900</v>
      </c>
      <c r="B1208" s="333">
        <f t="shared" si="41"/>
        <v>1</v>
      </c>
      <c r="AP1208" s="1781" t="s">
        <v>2</v>
      </c>
      <c r="AQ1208" s="1781" t="s">
        <v>666</v>
      </c>
      <c r="AR1208" s="1781" t="s">
        <v>23</v>
      </c>
      <c r="AS1208" s="1781">
        <v>2</v>
      </c>
      <c r="AT1208" s="1781">
        <v>7044756000</v>
      </c>
      <c r="AU1208" s="1909">
        <v>6.9682718302943786E-2</v>
      </c>
      <c r="AV1208" s="1822">
        <f t="shared" si="43"/>
        <v>2019</v>
      </c>
    </row>
    <row r="1209" spans="1:48">
      <c r="A1209" s="333">
        <f t="shared" si="40"/>
        <v>1900</v>
      </c>
      <c r="B1209" s="333">
        <f t="shared" si="41"/>
        <v>1</v>
      </c>
      <c r="AP1209" s="1781" t="s">
        <v>2</v>
      </c>
      <c r="AQ1209" s="1781" t="s">
        <v>666</v>
      </c>
      <c r="AR1209" s="1781" t="s">
        <v>371</v>
      </c>
      <c r="AS1209" s="1781">
        <v>3</v>
      </c>
      <c r="AT1209" s="1781">
        <v>6132240000</v>
      </c>
      <c r="AU1209" s="1909">
        <v>6.0656629198519302E-2</v>
      </c>
      <c r="AV1209" s="1781">
        <f t="shared" si="43"/>
        <v>2019</v>
      </c>
    </row>
    <row r="1210" spans="1:48">
      <c r="A1210" s="333">
        <f t="shared" si="40"/>
        <v>1900</v>
      </c>
      <c r="B1210" s="333">
        <f t="shared" si="41"/>
        <v>1</v>
      </c>
      <c r="AP1210" s="1781" t="s">
        <v>2</v>
      </c>
      <c r="AQ1210" s="1781" t="s">
        <v>666</v>
      </c>
      <c r="AR1210" s="1781" t="s">
        <v>537</v>
      </c>
      <c r="AS1210" s="1781">
        <v>4</v>
      </c>
      <c r="AT1210" s="1781">
        <v>1873631000</v>
      </c>
      <c r="AU1210" s="1909">
        <v>1.8532891866895444E-2</v>
      </c>
      <c r="AV1210" s="1781">
        <f t="shared" si="43"/>
        <v>2019</v>
      </c>
    </row>
    <row r="1211" spans="1:48">
      <c r="A1211" s="333">
        <f t="shared" si="40"/>
        <v>1900</v>
      </c>
      <c r="B1211" s="333">
        <f t="shared" si="41"/>
        <v>1</v>
      </c>
      <c r="AP1211" s="1781" t="s">
        <v>2</v>
      </c>
      <c r="AQ1211" s="1781" t="s">
        <v>666</v>
      </c>
      <c r="AR1211" s="1781" t="s">
        <v>527</v>
      </c>
      <c r="AS1211" s="1781">
        <v>5</v>
      </c>
      <c r="AT1211" s="1781">
        <v>764897000</v>
      </c>
      <c r="AU1211" s="1909">
        <v>7.5659259428952257E-3</v>
      </c>
      <c r="AV1211" s="1781">
        <f t="shared" si="43"/>
        <v>2019</v>
      </c>
    </row>
    <row r="1212" spans="1:48">
      <c r="A1212" s="333">
        <f t="shared" si="40"/>
        <v>1900</v>
      </c>
      <c r="B1212" s="333">
        <f t="shared" si="41"/>
        <v>1</v>
      </c>
      <c r="AP1212" s="1781" t="s">
        <v>2</v>
      </c>
      <c r="AQ1212" s="1781" t="s">
        <v>666</v>
      </c>
      <c r="AR1212" s="1781" t="s">
        <v>39</v>
      </c>
      <c r="AT1212" s="1781">
        <v>1417226000</v>
      </c>
      <c r="AU1212" s="1909">
        <v>1.4018393274317495E-2</v>
      </c>
      <c r="AV1212" s="1781">
        <f t="shared" si="43"/>
        <v>2019</v>
      </c>
    </row>
    <row r="1213" spans="1:48">
      <c r="A1213" s="333">
        <f t="shared" si="40"/>
        <v>1900</v>
      </c>
      <c r="B1213" s="333">
        <f t="shared" si="41"/>
        <v>1</v>
      </c>
      <c r="AP1213" s="1781" t="s">
        <v>2</v>
      </c>
      <c r="AQ1213" s="1781" t="s">
        <v>666</v>
      </c>
      <c r="AR1213" s="1781" t="s">
        <v>386</v>
      </c>
      <c r="AT1213" s="1781">
        <v>101097606000</v>
      </c>
      <c r="AV1213" s="1822">
        <f t="shared" si="43"/>
        <v>2019</v>
      </c>
    </row>
    <row r="1214" spans="1:48">
      <c r="A1214" s="333">
        <f t="shared" si="40"/>
        <v>1900</v>
      </c>
      <c r="B1214" s="333">
        <f t="shared" si="41"/>
        <v>1</v>
      </c>
      <c r="AP1214" s="1781" t="s">
        <v>1</v>
      </c>
      <c r="AQ1214" s="1781" t="s">
        <v>666</v>
      </c>
      <c r="AR1214" s="1781" t="s">
        <v>63</v>
      </c>
      <c r="AS1214" s="1781">
        <v>1</v>
      </c>
      <c r="AT1214" s="1781">
        <v>12705259000</v>
      </c>
      <c r="AU1214" s="1909">
        <v>0.59051249583558907</v>
      </c>
      <c r="AV1214" s="1822">
        <f t="shared" si="43"/>
        <v>2019</v>
      </c>
    </row>
    <row r="1215" spans="1:48">
      <c r="A1215" s="333">
        <f t="shared" si="40"/>
        <v>1900</v>
      </c>
      <c r="B1215" s="333">
        <f t="shared" si="41"/>
        <v>1</v>
      </c>
      <c r="AP1215" s="1781" t="s">
        <v>1</v>
      </c>
      <c r="AQ1215" s="1781" t="s">
        <v>666</v>
      </c>
      <c r="AR1215" s="1781" t="s">
        <v>758</v>
      </c>
      <c r="AS1215" s="1781">
        <v>2</v>
      </c>
      <c r="AT1215" s="1781">
        <v>3011200000</v>
      </c>
      <c r="AU1215" s="1909">
        <v>0.13995395351327555</v>
      </c>
      <c r="AV1215" s="1822">
        <f t="shared" si="43"/>
        <v>2019</v>
      </c>
    </row>
    <row r="1216" spans="1:48">
      <c r="A1216" s="333">
        <f t="shared" si="40"/>
        <v>1900</v>
      </c>
      <c r="B1216" s="333">
        <f t="shared" si="41"/>
        <v>1</v>
      </c>
      <c r="AP1216" s="1781" t="s">
        <v>1</v>
      </c>
      <c r="AQ1216" s="1781" t="s">
        <v>666</v>
      </c>
      <c r="AR1216" s="1781" t="s">
        <v>370</v>
      </c>
      <c r="AS1216" s="1781">
        <v>3</v>
      </c>
      <c r="AT1216" s="1781">
        <v>2971013000</v>
      </c>
      <c r="AU1216" s="1909">
        <v>0.13808615013593828</v>
      </c>
      <c r="AV1216" s="1781">
        <f t="shared" si="43"/>
        <v>2019</v>
      </c>
    </row>
    <row r="1217" spans="1:48">
      <c r="A1217" s="333">
        <f t="shared" si="40"/>
        <v>1900</v>
      </c>
      <c r="B1217" s="333">
        <f t="shared" si="41"/>
        <v>1</v>
      </c>
      <c r="AP1217" s="1781" t="s">
        <v>1</v>
      </c>
      <c r="AQ1217" s="1781" t="s">
        <v>666</v>
      </c>
      <c r="AR1217" s="1781" t="s">
        <v>61</v>
      </c>
      <c r="AS1217" s="1781">
        <v>4</v>
      </c>
      <c r="AT1217" s="1781">
        <v>853932000</v>
      </c>
      <c r="AU1217" s="1909">
        <v>3.9688881320237256E-2</v>
      </c>
      <c r="AV1217" s="1781">
        <f t="shared" si="43"/>
        <v>2019</v>
      </c>
    </row>
    <row r="1218" spans="1:48">
      <c r="A1218" s="333">
        <f t="shared" si="40"/>
        <v>1900</v>
      </c>
      <c r="B1218" s="333">
        <f t="shared" si="41"/>
        <v>1</v>
      </c>
      <c r="AP1218" s="1781" t="s">
        <v>1</v>
      </c>
      <c r="AQ1218" s="1781" t="s">
        <v>666</v>
      </c>
      <c r="AR1218" s="1781" t="s">
        <v>18</v>
      </c>
      <c r="AS1218" s="1781">
        <v>5</v>
      </c>
      <c r="AT1218" s="1781">
        <v>823663000</v>
      </c>
      <c r="AU1218" s="1909">
        <v>3.828204477039223E-2</v>
      </c>
      <c r="AV1218" s="1781">
        <f t="shared" si="43"/>
        <v>2019</v>
      </c>
    </row>
    <row r="1219" spans="1:48">
      <c r="A1219" s="333">
        <f t="shared" si="40"/>
        <v>1900</v>
      </c>
      <c r="B1219" s="333">
        <f t="shared" si="41"/>
        <v>1</v>
      </c>
      <c r="AP1219" s="1781" t="s">
        <v>1</v>
      </c>
      <c r="AQ1219" s="1781" t="s">
        <v>666</v>
      </c>
      <c r="AR1219" s="1781" t="s">
        <v>58</v>
      </c>
      <c r="AS1219" s="1781">
        <v>6</v>
      </c>
      <c r="AT1219" s="1781">
        <v>404170000</v>
      </c>
      <c r="AU1219" s="1909">
        <v>1.8784932715017459E-2</v>
      </c>
      <c r="AV1219" s="1781">
        <f t="shared" si="43"/>
        <v>2019</v>
      </c>
    </row>
    <row r="1220" spans="1:48">
      <c r="A1220" s="333">
        <f t="shared" si="40"/>
        <v>1900</v>
      </c>
      <c r="B1220" s="333">
        <f t="shared" si="41"/>
        <v>1</v>
      </c>
      <c r="AP1220" s="1781" t="s">
        <v>1</v>
      </c>
      <c r="AQ1220" s="1781" t="s">
        <v>666</v>
      </c>
      <c r="AR1220" s="1781" t="s">
        <v>371</v>
      </c>
      <c r="AS1220" s="1781">
        <v>7</v>
      </c>
      <c r="AT1220" s="1781">
        <v>192807000</v>
      </c>
      <c r="AU1220" s="1909">
        <v>8.9612453224741356E-3</v>
      </c>
      <c r="AV1220" s="1822">
        <f t="shared" si="43"/>
        <v>2019</v>
      </c>
    </row>
    <row r="1221" spans="1:48">
      <c r="A1221" s="333">
        <f t="shared" si="40"/>
        <v>1900</v>
      </c>
      <c r="B1221" s="333">
        <f t="shared" si="41"/>
        <v>1</v>
      </c>
      <c r="AP1221" s="1781" t="s">
        <v>1</v>
      </c>
      <c r="AQ1221" s="1781" t="s">
        <v>666</v>
      </c>
      <c r="AR1221" s="1781" t="s">
        <v>372</v>
      </c>
      <c r="AS1221" s="1781">
        <v>8</v>
      </c>
      <c r="AT1221" s="1781">
        <v>174732000</v>
      </c>
      <c r="AU1221" s="1909">
        <v>8.1211590745489046E-3</v>
      </c>
      <c r="AV1221" s="1822">
        <f t="shared" si="43"/>
        <v>2019</v>
      </c>
    </row>
    <row r="1222" spans="1:48">
      <c r="A1222" s="333">
        <f t="shared" si="40"/>
        <v>1900</v>
      </c>
      <c r="B1222" s="333">
        <f t="shared" si="41"/>
        <v>1</v>
      </c>
      <c r="AP1222" s="1781" t="s">
        <v>1</v>
      </c>
      <c r="AQ1222" s="1781" t="s">
        <v>666</v>
      </c>
      <c r="AR1222" s="1781" t="s">
        <v>23</v>
      </c>
      <c r="AS1222" s="1781">
        <v>9</v>
      </c>
      <c r="AT1222" s="1781">
        <v>123730000</v>
      </c>
      <c r="AU1222" s="1909">
        <v>5.7506982824779432E-3</v>
      </c>
      <c r="AV1222" s="1781">
        <f t="shared" si="43"/>
        <v>2019</v>
      </c>
    </row>
    <row r="1223" spans="1:48">
      <c r="A1223" s="333">
        <f t="shared" si="40"/>
        <v>1900</v>
      </c>
      <c r="B1223" s="333">
        <f t="shared" si="41"/>
        <v>1</v>
      </c>
      <c r="AP1223" s="1781" t="s">
        <v>1</v>
      </c>
      <c r="AQ1223" s="1781" t="s">
        <v>666</v>
      </c>
      <c r="AR1223" s="1781" t="s">
        <v>71</v>
      </c>
      <c r="AS1223" s="1781">
        <v>10</v>
      </c>
      <c r="AT1223" s="1781">
        <v>112245000</v>
      </c>
      <c r="AU1223" s="1909">
        <v>5.2169007412651482E-3</v>
      </c>
      <c r="AV1223" s="1781">
        <f t="shared" si="43"/>
        <v>2019</v>
      </c>
    </row>
    <row r="1224" spans="1:48">
      <c r="A1224" s="333">
        <f t="shared" si="40"/>
        <v>1900</v>
      </c>
      <c r="B1224" s="333">
        <f t="shared" si="41"/>
        <v>1</v>
      </c>
      <c r="AP1224" s="1781" t="s">
        <v>1</v>
      </c>
      <c r="AQ1224" s="1781" t="s">
        <v>666</v>
      </c>
      <c r="AR1224" s="1781" t="s">
        <v>39</v>
      </c>
      <c r="AT1224" s="1781">
        <v>142897000</v>
      </c>
      <c r="AU1224" s="1909">
        <v>6.6415382887840511E-3</v>
      </c>
      <c r="AV1224" s="1781">
        <f t="shared" si="43"/>
        <v>2019</v>
      </c>
    </row>
    <row r="1225" spans="1:48">
      <c r="A1225" s="333">
        <f t="shared" si="40"/>
        <v>1900</v>
      </c>
      <c r="B1225" s="333">
        <f t="shared" si="41"/>
        <v>1</v>
      </c>
      <c r="AP1225" s="1781" t="s">
        <v>1</v>
      </c>
      <c r="AQ1225" s="1781" t="s">
        <v>666</v>
      </c>
      <c r="AR1225" s="1781" t="s">
        <v>386</v>
      </c>
      <c r="AT1225" s="1781">
        <v>21515648000</v>
      </c>
      <c r="AV1225" s="1781">
        <f t="shared" si="43"/>
        <v>2019</v>
      </c>
    </row>
    <row r="1226" spans="1:48">
      <c r="A1226" s="333">
        <f t="shared" ref="A1226:A1289" si="44">YEAR(C1226)</f>
        <v>1900</v>
      </c>
      <c r="B1226" s="333">
        <f t="shared" ref="B1226:B1289" si="45">IF(OR(MONTH(C1226)=1,MONTH(C1226)=2,MONTH(C1226)=3),1,IF(OR(MONTH(C1226)=4,MONTH(C1226)=5,MONTH(C1226)=6),2,IF(OR(MONTH(C1226)=7,MONTH(C1226)=8,MONTH(C1226)=9),3,4)))</f>
        <v>1</v>
      </c>
      <c r="AP1226" s="1822" t="s">
        <v>0</v>
      </c>
      <c r="AQ1226" s="1822" t="s">
        <v>808</v>
      </c>
      <c r="AR1226" s="1822" t="s">
        <v>17</v>
      </c>
      <c r="AS1226" s="1822">
        <v>1</v>
      </c>
      <c r="AT1226" s="1822">
        <v>1054643125.9399999</v>
      </c>
      <c r="AU1226" s="1825">
        <v>0.18606815446650138</v>
      </c>
      <c r="AV1226" s="1822">
        <v>2020</v>
      </c>
    </row>
    <row r="1227" spans="1:48">
      <c r="A1227" s="333">
        <f t="shared" si="44"/>
        <v>1900</v>
      </c>
      <c r="B1227" s="333">
        <f t="shared" si="45"/>
        <v>1</v>
      </c>
      <c r="AP1227" s="1822" t="s">
        <v>0</v>
      </c>
      <c r="AQ1227" s="1822" t="s">
        <v>808</v>
      </c>
      <c r="AR1227" s="1822" t="s">
        <v>34</v>
      </c>
      <c r="AS1227" s="1822">
        <v>2</v>
      </c>
      <c r="AT1227" s="1822">
        <v>848125326.12</v>
      </c>
      <c r="AU1227" s="1825">
        <v>0.14963271490229768</v>
      </c>
      <c r="AV1227" s="1822">
        <v>2020</v>
      </c>
    </row>
    <row r="1228" spans="1:48">
      <c r="A1228" s="333">
        <f t="shared" si="44"/>
        <v>1900</v>
      </c>
      <c r="B1228" s="333">
        <f t="shared" si="45"/>
        <v>1</v>
      </c>
      <c r="AP1228" s="1822" t="s">
        <v>0</v>
      </c>
      <c r="AQ1228" s="1822" t="s">
        <v>808</v>
      </c>
      <c r="AR1228" s="1822" t="s">
        <v>18</v>
      </c>
      <c r="AS1228" s="1822">
        <v>3</v>
      </c>
      <c r="AT1228" s="1822">
        <v>649071666.27999997</v>
      </c>
      <c r="AU1228" s="1825">
        <v>0.11451415563304712</v>
      </c>
      <c r="AV1228" s="1822">
        <v>2020</v>
      </c>
    </row>
    <row r="1229" spans="1:48">
      <c r="A1229" s="333">
        <f t="shared" si="44"/>
        <v>1900</v>
      </c>
      <c r="B1229" s="333">
        <f t="shared" si="45"/>
        <v>1</v>
      </c>
      <c r="AP1229" s="1822" t="s">
        <v>0</v>
      </c>
      <c r="AQ1229" s="1822" t="s">
        <v>808</v>
      </c>
      <c r="AR1229" s="1822" t="s">
        <v>32</v>
      </c>
      <c r="AS1229" s="1822">
        <v>4</v>
      </c>
      <c r="AT1229" s="1822">
        <v>606515305.56999993</v>
      </c>
      <c r="AU1229" s="1825">
        <v>0.10700603909261758</v>
      </c>
      <c r="AV1229" s="1822">
        <v>2020</v>
      </c>
    </row>
    <row r="1230" spans="1:48">
      <c r="A1230" s="333">
        <f t="shared" si="44"/>
        <v>1900</v>
      </c>
      <c r="B1230" s="333">
        <f t="shared" si="45"/>
        <v>1</v>
      </c>
      <c r="AP1230" s="1822" t="s">
        <v>0</v>
      </c>
      <c r="AQ1230" s="1822" t="s">
        <v>808</v>
      </c>
      <c r="AR1230" s="1822" t="s">
        <v>26</v>
      </c>
      <c r="AS1230" s="1822">
        <v>5</v>
      </c>
      <c r="AT1230" s="1822">
        <v>494147508.14000005</v>
      </c>
      <c r="AU1230" s="1825">
        <v>8.7181258391913291E-2</v>
      </c>
      <c r="AV1230" s="1822">
        <v>2020</v>
      </c>
    </row>
    <row r="1231" spans="1:48">
      <c r="A1231" s="333">
        <f t="shared" si="44"/>
        <v>1900</v>
      </c>
      <c r="B1231" s="333">
        <f t="shared" si="45"/>
        <v>1</v>
      </c>
      <c r="AP1231" s="1822" t="s">
        <v>0</v>
      </c>
      <c r="AQ1231" s="1822" t="s">
        <v>808</v>
      </c>
      <c r="AR1231" s="1822" t="s">
        <v>25</v>
      </c>
      <c r="AS1231" s="1822">
        <v>6</v>
      </c>
      <c r="AT1231" s="1822">
        <v>402630686.25</v>
      </c>
      <c r="AU1231" s="1825">
        <v>7.1035165241650253E-2</v>
      </c>
      <c r="AV1231" s="1822">
        <v>2020</v>
      </c>
    </row>
    <row r="1232" spans="1:48">
      <c r="A1232" s="333">
        <f t="shared" si="44"/>
        <v>1900</v>
      </c>
      <c r="B1232" s="333">
        <f t="shared" si="45"/>
        <v>1</v>
      </c>
      <c r="AP1232" s="1822" t="s">
        <v>0</v>
      </c>
      <c r="AQ1232" s="1822" t="s">
        <v>808</v>
      </c>
      <c r="AR1232" s="1822" t="s">
        <v>21</v>
      </c>
      <c r="AS1232" s="1822">
        <v>7</v>
      </c>
      <c r="AT1232" s="1822">
        <v>394443551.61000001</v>
      </c>
      <c r="AU1232" s="1825">
        <v>6.9590728734774246E-2</v>
      </c>
      <c r="AV1232" s="1822">
        <v>2020</v>
      </c>
    </row>
    <row r="1233" spans="1:48">
      <c r="A1233" s="333">
        <f t="shared" si="44"/>
        <v>1900</v>
      </c>
      <c r="B1233" s="333">
        <f t="shared" si="45"/>
        <v>1</v>
      </c>
      <c r="AP1233" s="1822" t="s">
        <v>0</v>
      </c>
      <c r="AQ1233" s="1822" t="s">
        <v>808</v>
      </c>
      <c r="AR1233" s="1822" t="s">
        <v>29</v>
      </c>
      <c r="AS1233" s="1822">
        <v>8</v>
      </c>
      <c r="AT1233" s="1822">
        <v>275365489.21000004</v>
      </c>
      <c r="AU1233" s="1825">
        <v>4.8582072097045022E-2</v>
      </c>
      <c r="AV1233" s="1822">
        <v>2020</v>
      </c>
    </row>
    <row r="1234" spans="1:48">
      <c r="A1234" s="333">
        <f t="shared" si="44"/>
        <v>1900</v>
      </c>
      <c r="B1234" s="333">
        <f t="shared" si="45"/>
        <v>1</v>
      </c>
      <c r="AP1234" s="1822" t="s">
        <v>0</v>
      </c>
      <c r="AQ1234" s="1822" t="s">
        <v>808</v>
      </c>
      <c r="AR1234" s="1822" t="s">
        <v>22</v>
      </c>
      <c r="AS1234" s="1822">
        <v>9</v>
      </c>
      <c r="AT1234" s="1822">
        <v>176256150.48999998</v>
      </c>
      <c r="AU1234" s="1825">
        <v>3.1096449432421579E-2</v>
      </c>
      <c r="AV1234" s="1822">
        <v>2020</v>
      </c>
    </row>
    <row r="1235" spans="1:48">
      <c r="A1235" s="333">
        <f t="shared" si="44"/>
        <v>1900</v>
      </c>
      <c r="B1235" s="333">
        <f t="shared" si="45"/>
        <v>1</v>
      </c>
      <c r="AP1235" s="1822" t="s">
        <v>0</v>
      </c>
      <c r="AQ1235" s="1822" t="s">
        <v>808</v>
      </c>
      <c r="AR1235" s="1822" t="s">
        <v>30</v>
      </c>
      <c r="AS1235" s="1822">
        <v>10</v>
      </c>
      <c r="AT1235" s="1822">
        <v>173935891.63000003</v>
      </c>
      <c r="AU1235" s="1825">
        <v>3.0687091732792195E-2</v>
      </c>
      <c r="AV1235" s="1822">
        <v>2020</v>
      </c>
    </row>
    <row r="1236" spans="1:48">
      <c r="A1236" s="333">
        <f t="shared" si="44"/>
        <v>1900</v>
      </c>
      <c r="B1236" s="333">
        <f t="shared" si="45"/>
        <v>1</v>
      </c>
      <c r="AP1236" s="1822" t="s">
        <v>0</v>
      </c>
      <c r="AQ1236" s="1822" t="s">
        <v>808</v>
      </c>
      <c r="AR1236" s="1822" t="s">
        <v>39</v>
      </c>
      <c r="AS1236" s="1822"/>
      <c r="AT1236" s="1822">
        <v>592912735.27000046</v>
      </c>
      <c r="AU1236" s="1825">
        <v>0.10460617027493968</v>
      </c>
      <c r="AV1236" s="1822">
        <v>2020</v>
      </c>
    </row>
    <row r="1237" spans="1:48">
      <c r="A1237" s="333">
        <f t="shared" si="44"/>
        <v>1900</v>
      </c>
      <c r="B1237" s="333">
        <f t="shared" si="45"/>
        <v>1</v>
      </c>
      <c r="AP1237" s="1822" t="s">
        <v>0</v>
      </c>
      <c r="AQ1237" s="1822" t="s">
        <v>808</v>
      </c>
      <c r="AR1237" s="1822" t="s">
        <v>386</v>
      </c>
      <c r="AS1237" s="1822"/>
      <c r="AT1237" s="1822">
        <v>5668047436.5100002</v>
      </c>
      <c r="AU1237" s="1825"/>
      <c r="AV1237" s="1822">
        <v>2020</v>
      </c>
    </row>
    <row r="1238" spans="1:48">
      <c r="A1238" s="333">
        <f t="shared" si="44"/>
        <v>1900</v>
      </c>
      <c r="B1238" s="333">
        <f t="shared" si="45"/>
        <v>1</v>
      </c>
      <c r="AP1238" s="1822" t="s">
        <v>307</v>
      </c>
      <c r="AQ1238" s="1822" t="s">
        <v>808</v>
      </c>
      <c r="AR1238" s="1781" t="s">
        <v>540</v>
      </c>
      <c r="AS1238" s="1822">
        <v>1</v>
      </c>
      <c r="AT1238" s="1826" t="s">
        <v>540</v>
      </c>
      <c r="AU1238" s="1826" t="s">
        <v>540</v>
      </c>
      <c r="AV1238" s="1822">
        <v>2020</v>
      </c>
    </row>
    <row r="1239" spans="1:48">
      <c r="A1239" s="333">
        <f t="shared" si="44"/>
        <v>1900</v>
      </c>
      <c r="B1239" s="333">
        <f t="shared" si="45"/>
        <v>1</v>
      </c>
      <c r="AP1239" s="1822" t="s">
        <v>307</v>
      </c>
      <c r="AQ1239" s="1822" t="s">
        <v>808</v>
      </c>
      <c r="AR1239" s="1781" t="s">
        <v>540</v>
      </c>
      <c r="AS1239" s="1822">
        <v>2</v>
      </c>
      <c r="AT1239" s="1826" t="s">
        <v>540</v>
      </c>
      <c r="AU1239" s="1826" t="s">
        <v>540</v>
      </c>
      <c r="AV1239" s="1822">
        <v>2020</v>
      </c>
    </row>
    <row r="1240" spans="1:48">
      <c r="A1240" s="333">
        <f t="shared" si="44"/>
        <v>1900</v>
      </c>
      <c r="B1240" s="333">
        <f t="shared" si="45"/>
        <v>1</v>
      </c>
      <c r="AP1240" s="1822" t="s">
        <v>307</v>
      </c>
      <c r="AQ1240" s="1822" t="s">
        <v>808</v>
      </c>
      <c r="AR1240" s="1781" t="s">
        <v>540</v>
      </c>
      <c r="AS1240" s="1822">
        <v>3</v>
      </c>
      <c r="AT1240" s="1826" t="s">
        <v>540</v>
      </c>
      <c r="AU1240" s="1826" t="s">
        <v>540</v>
      </c>
      <c r="AV1240" s="1822">
        <v>2020</v>
      </c>
    </row>
    <row r="1241" spans="1:48">
      <c r="A1241" s="333">
        <f t="shared" si="44"/>
        <v>1900</v>
      </c>
      <c r="B1241" s="333">
        <f t="shared" si="45"/>
        <v>1</v>
      </c>
      <c r="AP1241" s="1781" t="s">
        <v>307</v>
      </c>
      <c r="AQ1241" s="1822" t="s">
        <v>808</v>
      </c>
      <c r="AR1241" s="1781" t="s">
        <v>540</v>
      </c>
      <c r="AS1241" s="1781">
        <v>4</v>
      </c>
      <c r="AT1241" s="1826" t="s">
        <v>540</v>
      </c>
      <c r="AU1241" s="1826" t="s">
        <v>540</v>
      </c>
      <c r="AV1241" s="1822">
        <v>2020</v>
      </c>
    </row>
    <row r="1242" spans="1:48">
      <c r="A1242" s="333">
        <f t="shared" si="44"/>
        <v>1900</v>
      </c>
      <c r="B1242" s="333">
        <f t="shared" si="45"/>
        <v>1</v>
      </c>
      <c r="AP1242" s="1781" t="s">
        <v>307</v>
      </c>
      <c r="AQ1242" s="1822" t="s">
        <v>808</v>
      </c>
      <c r="AR1242" s="1781" t="s">
        <v>540</v>
      </c>
      <c r="AS1242" s="1781">
        <v>5</v>
      </c>
      <c r="AT1242" s="1826" t="s">
        <v>540</v>
      </c>
      <c r="AU1242" s="1826" t="s">
        <v>540</v>
      </c>
      <c r="AV1242" s="1822">
        <v>2020</v>
      </c>
    </row>
    <row r="1243" spans="1:48">
      <c r="A1243" s="333">
        <f t="shared" si="44"/>
        <v>1900</v>
      </c>
      <c r="B1243" s="333">
        <f t="shared" si="45"/>
        <v>1</v>
      </c>
      <c r="AP1243" s="1781" t="s">
        <v>307</v>
      </c>
      <c r="AQ1243" s="1822" t="s">
        <v>808</v>
      </c>
      <c r="AR1243" s="1781" t="s">
        <v>540</v>
      </c>
      <c r="AS1243" s="1781">
        <v>6</v>
      </c>
      <c r="AT1243" s="1826" t="s">
        <v>540</v>
      </c>
      <c r="AU1243" s="1826" t="s">
        <v>540</v>
      </c>
      <c r="AV1243" s="1822">
        <v>2020</v>
      </c>
    </row>
    <row r="1244" spans="1:48">
      <c r="A1244" s="333">
        <f t="shared" si="44"/>
        <v>1900</v>
      </c>
      <c r="B1244" s="333">
        <f t="shared" si="45"/>
        <v>1</v>
      </c>
      <c r="AP1244" s="1781" t="s">
        <v>307</v>
      </c>
      <c r="AQ1244" s="1822" t="s">
        <v>808</v>
      </c>
      <c r="AR1244" s="1781" t="s">
        <v>540</v>
      </c>
      <c r="AS1244" s="1781">
        <v>7</v>
      </c>
      <c r="AT1244" s="1826" t="s">
        <v>540</v>
      </c>
      <c r="AU1244" s="1826" t="s">
        <v>540</v>
      </c>
      <c r="AV1244" s="1822">
        <v>2020</v>
      </c>
    </row>
    <row r="1245" spans="1:48">
      <c r="A1245" s="333">
        <f t="shared" si="44"/>
        <v>1900</v>
      </c>
      <c r="B1245" s="333">
        <f t="shared" si="45"/>
        <v>1</v>
      </c>
      <c r="AP1245" s="1781" t="s">
        <v>307</v>
      </c>
      <c r="AQ1245" s="1822" t="s">
        <v>808</v>
      </c>
      <c r="AR1245" s="1781" t="s">
        <v>540</v>
      </c>
      <c r="AS1245" s="1781">
        <v>8</v>
      </c>
      <c r="AT1245" s="1826" t="s">
        <v>540</v>
      </c>
      <c r="AU1245" s="1826" t="s">
        <v>540</v>
      </c>
      <c r="AV1245" s="1822">
        <v>2020</v>
      </c>
    </row>
    <row r="1246" spans="1:48">
      <c r="A1246" s="333">
        <f t="shared" si="44"/>
        <v>1900</v>
      </c>
      <c r="B1246" s="333">
        <f t="shared" si="45"/>
        <v>1</v>
      </c>
      <c r="AP1246" s="1781" t="s">
        <v>307</v>
      </c>
      <c r="AQ1246" s="1822" t="s">
        <v>808</v>
      </c>
      <c r="AR1246" s="1781" t="s">
        <v>540</v>
      </c>
      <c r="AS1246" s="1781">
        <v>9</v>
      </c>
      <c r="AT1246" s="1826" t="s">
        <v>540</v>
      </c>
      <c r="AU1246" s="1826" t="s">
        <v>540</v>
      </c>
      <c r="AV1246" s="1822">
        <v>2020</v>
      </c>
    </row>
    <row r="1247" spans="1:48">
      <c r="A1247" s="333">
        <f t="shared" si="44"/>
        <v>1900</v>
      </c>
      <c r="B1247" s="333">
        <f t="shared" si="45"/>
        <v>1</v>
      </c>
      <c r="AP1247" s="1781" t="s">
        <v>307</v>
      </c>
      <c r="AQ1247" s="1822" t="s">
        <v>808</v>
      </c>
      <c r="AR1247" s="1781" t="s">
        <v>540</v>
      </c>
      <c r="AS1247" s="1781">
        <v>10</v>
      </c>
      <c r="AT1247" s="1826" t="s">
        <v>540</v>
      </c>
      <c r="AU1247" s="1826" t="s">
        <v>540</v>
      </c>
      <c r="AV1247" s="1822">
        <v>2020</v>
      </c>
    </row>
    <row r="1248" spans="1:48">
      <c r="A1248" s="333">
        <f t="shared" si="44"/>
        <v>1900</v>
      </c>
      <c r="B1248" s="333">
        <f t="shared" si="45"/>
        <v>1</v>
      </c>
      <c r="AP1248" s="1781" t="s">
        <v>307</v>
      </c>
      <c r="AQ1248" s="1822" t="s">
        <v>808</v>
      </c>
      <c r="AR1248" s="1781" t="s">
        <v>386</v>
      </c>
      <c r="AT1248" s="1826" t="s">
        <v>540</v>
      </c>
      <c r="AU1248" s="1826" t="s">
        <v>540</v>
      </c>
      <c r="AV1248" s="1822">
        <v>2020</v>
      </c>
    </row>
    <row r="1249" spans="1:48">
      <c r="A1249" s="333">
        <f t="shared" si="44"/>
        <v>1900</v>
      </c>
      <c r="B1249" s="333">
        <f t="shared" si="45"/>
        <v>1</v>
      </c>
      <c r="AP1249" s="1781" t="s">
        <v>533</v>
      </c>
      <c r="AQ1249" s="1822" t="s">
        <v>808</v>
      </c>
      <c r="AV1249" s="1822">
        <v>2020</v>
      </c>
    </row>
    <row r="1250" spans="1:48">
      <c r="A1250" s="333">
        <f t="shared" si="44"/>
        <v>1900</v>
      </c>
      <c r="B1250" s="333">
        <f t="shared" si="45"/>
        <v>1</v>
      </c>
      <c r="AP1250" s="1781" t="s">
        <v>4</v>
      </c>
      <c r="AQ1250" s="1822" t="s">
        <v>808</v>
      </c>
      <c r="AR1250" s="1781" t="s">
        <v>23</v>
      </c>
      <c r="AS1250" s="1781">
        <v>1</v>
      </c>
      <c r="AT1250" s="1781">
        <v>7997870279.7149982</v>
      </c>
      <c r="AU1250" s="1909">
        <v>0.36611090550173542</v>
      </c>
      <c r="AV1250" s="1822">
        <v>2020</v>
      </c>
    </row>
    <row r="1251" spans="1:48">
      <c r="A1251" s="333">
        <f t="shared" si="44"/>
        <v>1900</v>
      </c>
      <c r="B1251" s="333">
        <f t="shared" si="45"/>
        <v>1</v>
      </c>
      <c r="AP1251" s="1781" t="s">
        <v>4</v>
      </c>
      <c r="AQ1251" s="1822" t="s">
        <v>808</v>
      </c>
      <c r="AR1251" s="1781" t="s">
        <v>61</v>
      </c>
      <c r="AS1251" s="1781">
        <v>2</v>
      </c>
      <c r="AT1251" s="1781">
        <v>4157147717.4239998</v>
      </c>
      <c r="AU1251" s="1909">
        <v>0.19029779952680206</v>
      </c>
      <c r="AV1251" s="1822">
        <v>2020</v>
      </c>
    </row>
    <row r="1252" spans="1:48">
      <c r="A1252" s="333">
        <f t="shared" si="44"/>
        <v>1900</v>
      </c>
      <c r="B1252" s="333">
        <f t="shared" si="45"/>
        <v>1</v>
      </c>
      <c r="AP1252" s="1781" t="s">
        <v>4</v>
      </c>
      <c r="AQ1252" s="1822" t="s">
        <v>808</v>
      </c>
      <c r="AR1252" s="1781" t="s">
        <v>18</v>
      </c>
      <c r="AS1252" s="1781">
        <v>3</v>
      </c>
      <c r="AT1252" s="1781">
        <v>3786433098.2314982</v>
      </c>
      <c r="AU1252" s="1909">
        <v>0.17332794878296953</v>
      </c>
      <c r="AV1252" s="1822">
        <v>2020</v>
      </c>
    </row>
    <row r="1253" spans="1:48">
      <c r="A1253" s="333">
        <f t="shared" si="44"/>
        <v>1900</v>
      </c>
      <c r="B1253" s="333">
        <f t="shared" si="45"/>
        <v>1</v>
      </c>
      <c r="AP1253" s="1781" t="s">
        <v>4</v>
      </c>
      <c r="AQ1253" s="1822" t="s">
        <v>808</v>
      </c>
      <c r="AR1253" s="1781" t="s">
        <v>24</v>
      </c>
      <c r="AS1253" s="1781">
        <v>4</v>
      </c>
      <c r="AT1253" s="1781">
        <v>1824758818.233</v>
      </c>
      <c r="AU1253" s="1909">
        <v>8.353024991665238E-2</v>
      </c>
      <c r="AV1253" s="1822">
        <v>2020</v>
      </c>
    </row>
    <row r="1254" spans="1:48">
      <c r="A1254" s="333">
        <f t="shared" si="44"/>
        <v>1900</v>
      </c>
      <c r="B1254" s="333">
        <f t="shared" si="45"/>
        <v>1</v>
      </c>
      <c r="AP1254" s="1781" t="s">
        <v>4</v>
      </c>
      <c r="AQ1254" s="1822" t="s">
        <v>808</v>
      </c>
      <c r="AR1254" s="1781" t="s">
        <v>537</v>
      </c>
      <c r="AS1254" s="1781">
        <v>5</v>
      </c>
      <c r="AT1254" s="1781">
        <v>841179979.13999999</v>
      </c>
      <c r="AU1254" s="1909">
        <v>3.8505896330172859E-2</v>
      </c>
      <c r="AV1254" s="1822">
        <v>2020</v>
      </c>
    </row>
    <row r="1255" spans="1:48">
      <c r="A1255" s="333">
        <f t="shared" si="44"/>
        <v>1900</v>
      </c>
      <c r="B1255" s="333">
        <f t="shared" si="45"/>
        <v>1</v>
      </c>
      <c r="AP1255" s="1781" t="s">
        <v>4</v>
      </c>
      <c r="AQ1255" s="1822" t="s">
        <v>808</v>
      </c>
      <c r="AR1255" s="1781" t="s">
        <v>22</v>
      </c>
      <c r="AS1255" s="1781">
        <v>6</v>
      </c>
      <c r="AT1255" s="1781">
        <v>776405478.75600004</v>
      </c>
      <c r="AU1255" s="1909">
        <v>3.5540775596825107E-2</v>
      </c>
      <c r="AV1255" s="1822">
        <v>2020</v>
      </c>
    </row>
    <row r="1256" spans="1:48">
      <c r="A1256" s="333">
        <f t="shared" si="44"/>
        <v>1900</v>
      </c>
      <c r="B1256" s="333">
        <f t="shared" si="45"/>
        <v>1</v>
      </c>
      <c r="AP1256" s="1781" t="s">
        <v>4</v>
      </c>
      <c r="AQ1256" s="1822" t="s">
        <v>808</v>
      </c>
      <c r="AR1256" s="1781" t="s">
        <v>25</v>
      </c>
      <c r="AS1256" s="1781">
        <v>7</v>
      </c>
      <c r="AT1256" s="1781">
        <v>625426968.59200001</v>
      </c>
      <c r="AU1256" s="1909">
        <v>2.8629575848107158E-2</v>
      </c>
      <c r="AV1256" s="1822">
        <v>2020</v>
      </c>
    </row>
    <row r="1257" spans="1:48">
      <c r="A1257" s="333">
        <f t="shared" si="44"/>
        <v>1900</v>
      </c>
      <c r="B1257" s="333">
        <f t="shared" si="45"/>
        <v>1</v>
      </c>
      <c r="AP1257" s="1781" t="s">
        <v>4</v>
      </c>
      <c r="AQ1257" s="1822" t="s">
        <v>808</v>
      </c>
      <c r="AR1257" s="1781" t="s">
        <v>799</v>
      </c>
      <c r="AS1257" s="1781">
        <v>8</v>
      </c>
      <c r="AT1257" s="1781">
        <v>613771277.93599999</v>
      </c>
      <c r="AU1257" s="1909">
        <v>2.8096024376143506E-2</v>
      </c>
      <c r="AV1257" s="1822">
        <v>2020</v>
      </c>
    </row>
    <row r="1258" spans="1:48">
      <c r="A1258" s="333">
        <f t="shared" si="44"/>
        <v>1900</v>
      </c>
      <c r="B1258" s="333">
        <f t="shared" si="45"/>
        <v>1</v>
      </c>
      <c r="AP1258" s="1781" t="s">
        <v>4</v>
      </c>
      <c r="AQ1258" s="1822" t="s">
        <v>808</v>
      </c>
      <c r="AR1258" s="1781" t="s">
        <v>33</v>
      </c>
      <c r="AS1258" s="1781">
        <v>9</v>
      </c>
      <c r="AT1258" s="1781">
        <v>542591394.829</v>
      </c>
      <c r="AU1258" s="1909">
        <v>2.4837690526455201E-2</v>
      </c>
      <c r="AV1258" s="1822">
        <v>2020</v>
      </c>
    </row>
    <row r="1259" spans="1:48">
      <c r="A1259" s="333">
        <f t="shared" si="44"/>
        <v>1900</v>
      </c>
      <c r="B1259" s="333">
        <f t="shared" si="45"/>
        <v>1</v>
      </c>
      <c r="AP1259" s="1781" t="s">
        <v>4</v>
      </c>
      <c r="AQ1259" s="1822" t="s">
        <v>808</v>
      </c>
      <c r="AR1259" s="1781" t="s">
        <v>21</v>
      </c>
      <c r="AS1259" s="1781">
        <v>10</v>
      </c>
      <c r="AT1259" s="1781">
        <v>307770894.85300004</v>
      </c>
      <c r="AU1259" s="1909">
        <v>1.4088535705248586E-2</v>
      </c>
      <c r="AV1259" s="1822">
        <v>2020</v>
      </c>
    </row>
    <row r="1260" spans="1:48">
      <c r="A1260" s="333">
        <f t="shared" si="44"/>
        <v>1900</v>
      </c>
      <c r="B1260" s="333">
        <f t="shared" si="45"/>
        <v>1</v>
      </c>
      <c r="AP1260" s="1781" t="s">
        <v>4</v>
      </c>
      <c r="AQ1260" s="1822" t="s">
        <v>808</v>
      </c>
      <c r="AR1260" s="1781" t="s">
        <v>39</v>
      </c>
      <c r="AT1260" s="1781">
        <v>372129051.97599798</v>
      </c>
      <c r="AV1260" s="1822">
        <v>2020</v>
      </c>
    </row>
    <row r="1261" spans="1:48">
      <c r="A1261" s="333">
        <f t="shared" si="44"/>
        <v>1900</v>
      </c>
      <c r="B1261" s="333">
        <f t="shared" si="45"/>
        <v>1</v>
      </c>
      <c r="AP1261" s="1781" t="s">
        <v>4</v>
      </c>
      <c r="AQ1261" s="1822" t="s">
        <v>808</v>
      </c>
      <c r="AR1261" s="1781" t="s">
        <v>386</v>
      </c>
      <c r="AT1261" s="1781">
        <v>21845484959.685493</v>
      </c>
      <c r="AV1261" s="1822">
        <v>2020</v>
      </c>
    </row>
    <row r="1262" spans="1:48">
      <c r="A1262" s="333">
        <f t="shared" si="44"/>
        <v>1900</v>
      </c>
      <c r="B1262" s="333">
        <f t="shared" si="45"/>
        <v>1</v>
      </c>
      <c r="AP1262" s="1781" t="s">
        <v>3</v>
      </c>
      <c r="AQ1262" s="1822" t="s">
        <v>808</v>
      </c>
      <c r="AR1262" s="1781" t="s">
        <v>18</v>
      </c>
      <c r="AS1262" s="1781">
        <v>1</v>
      </c>
      <c r="AT1262" s="1781">
        <v>1216637639.0058341</v>
      </c>
      <c r="AU1262" s="1909">
        <v>0.44240970918661932</v>
      </c>
      <c r="AV1262" s="1822">
        <v>2020</v>
      </c>
    </row>
    <row r="1263" spans="1:48">
      <c r="A1263" s="333">
        <f t="shared" si="44"/>
        <v>1900</v>
      </c>
      <c r="B1263" s="333">
        <f t="shared" si="45"/>
        <v>1</v>
      </c>
      <c r="AP1263" s="1781" t="s">
        <v>3</v>
      </c>
      <c r="AQ1263" s="1822" t="s">
        <v>808</v>
      </c>
      <c r="AR1263" s="1781" t="s">
        <v>24</v>
      </c>
      <c r="AS1263" s="1781">
        <v>2</v>
      </c>
      <c r="AT1263" s="1781">
        <v>437980495.7916671</v>
      </c>
      <c r="AU1263" s="1909">
        <v>0.15926420288208232</v>
      </c>
      <c r="AV1263" s="1822">
        <v>2020</v>
      </c>
    </row>
    <row r="1264" spans="1:48">
      <c r="A1264" s="333">
        <f t="shared" si="44"/>
        <v>1900</v>
      </c>
      <c r="B1264" s="333">
        <f t="shared" si="45"/>
        <v>1</v>
      </c>
      <c r="AP1264" s="1781" t="s">
        <v>3</v>
      </c>
      <c r="AQ1264" s="1822" t="s">
        <v>808</v>
      </c>
      <c r="AR1264" s="1781" t="s">
        <v>23</v>
      </c>
      <c r="AS1264" s="1781">
        <v>3</v>
      </c>
      <c r="AT1264" s="1781">
        <v>212451663.36933169</v>
      </c>
      <c r="AU1264" s="1909">
        <v>7.7254455718009277E-2</v>
      </c>
      <c r="AV1264" s="1822">
        <v>2020</v>
      </c>
    </row>
    <row r="1265" spans="1:48">
      <c r="A1265" s="333">
        <f t="shared" si="44"/>
        <v>1900</v>
      </c>
      <c r="B1265" s="333">
        <f t="shared" si="45"/>
        <v>1</v>
      </c>
      <c r="AP1265" s="1781" t="s">
        <v>3</v>
      </c>
      <c r="AQ1265" s="1822" t="s">
        <v>808</v>
      </c>
      <c r="AR1265" s="1781" t="s">
        <v>27</v>
      </c>
      <c r="AS1265" s="1781">
        <v>4</v>
      </c>
      <c r="AT1265" s="1781">
        <v>196125478.85615754</v>
      </c>
      <c r="AU1265" s="1909">
        <v>7.1317714727074155E-2</v>
      </c>
      <c r="AV1265" s="1822">
        <v>2020</v>
      </c>
    </row>
    <row r="1266" spans="1:48">
      <c r="A1266" s="333">
        <f t="shared" si="44"/>
        <v>1900</v>
      </c>
      <c r="B1266" s="333">
        <f t="shared" si="45"/>
        <v>1</v>
      </c>
      <c r="AP1266" s="1781" t="s">
        <v>3</v>
      </c>
      <c r="AQ1266" s="1822" t="s">
        <v>808</v>
      </c>
      <c r="AR1266" s="1781" t="s">
        <v>35</v>
      </c>
      <c r="AS1266" s="1781">
        <v>5</v>
      </c>
      <c r="AT1266" s="1781">
        <v>194260176.14829916</v>
      </c>
      <c r="AU1266" s="1909">
        <v>7.0639428931804041E-2</v>
      </c>
      <c r="AV1266" s="1822">
        <v>2020</v>
      </c>
    </row>
    <row r="1267" spans="1:48">
      <c r="A1267" s="333">
        <f t="shared" si="44"/>
        <v>1900</v>
      </c>
      <c r="B1267" s="333">
        <f t="shared" si="45"/>
        <v>1</v>
      </c>
      <c r="AP1267" s="1781" t="s">
        <v>3</v>
      </c>
      <c r="AQ1267" s="1822" t="s">
        <v>808</v>
      </c>
      <c r="AR1267" s="1781" t="s">
        <v>61</v>
      </c>
      <c r="AS1267" s="1781">
        <v>6</v>
      </c>
      <c r="AT1267" s="1781">
        <v>157406155.53999999</v>
      </c>
      <c r="AU1267" s="1909">
        <v>5.7238087384456821E-2</v>
      </c>
      <c r="AV1267" s="1822">
        <v>2020</v>
      </c>
    </row>
    <row r="1268" spans="1:48">
      <c r="A1268" s="333">
        <f t="shared" si="44"/>
        <v>1900</v>
      </c>
      <c r="B1268" s="333">
        <f t="shared" si="45"/>
        <v>1</v>
      </c>
      <c r="AP1268" s="1781" t="s">
        <v>3</v>
      </c>
      <c r="AQ1268" s="1822" t="s">
        <v>808</v>
      </c>
      <c r="AR1268" s="1781" t="s">
        <v>60</v>
      </c>
      <c r="AS1268" s="1781">
        <v>7</v>
      </c>
      <c r="AT1268" s="1781">
        <v>114276787.02262953</v>
      </c>
      <c r="AU1268" s="1909">
        <v>4.1554821659779612E-2</v>
      </c>
      <c r="AV1268" s="1822">
        <v>2020</v>
      </c>
    </row>
    <row r="1269" spans="1:48">
      <c r="A1269" s="333">
        <f t="shared" si="44"/>
        <v>1900</v>
      </c>
      <c r="B1269" s="333">
        <f t="shared" si="45"/>
        <v>1</v>
      </c>
      <c r="AP1269" s="1781" t="s">
        <v>3</v>
      </c>
      <c r="AQ1269" s="1822" t="s">
        <v>808</v>
      </c>
      <c r="AR1269" s="1781" t="s">
        <v>537</v>
      </c>
      <c r="AS1269" s="1781">
        <v>8</v>
      </c>
      <c r="AT1269" s="1781">
        <v>113195749.68402028</v>
      </c>
      <c r="AU1269" s="1909">
        <v>4.1161720707400068E-2</v>
      </c>
      <c r="AV1269" s="1822">
        <v>2020</v>
      </c>
    </row>
    <row r="1270" spans="1:48">
      <c r="A1270" s="333">
        <f t="shared" si="44"/>
        <v>1900</v>
      </c>
      <c r="B1270" s="333">
        <f t="shared" si="45"/>
        <v>1</v>
      </c>
      <c r="AP1270" s="1781" t="s">
        <v>3</v>
      </c>
      <c r="AQ1270" s="1822" t="s">
        <v>808</v>
      </c>
      <c r="AR1270" s="1781" t="s">
        <v>70</v>
      </c>
      <c r="AS1270" s="1781">
        <v>9</v>
      </c>
      <c r="AT1270" s="1781">
        <v>43189319.609999992</v>
      </c>
      <c r="AU1270" s="1909">
        <v>1.5705065925990497E-2</v>
      </c>
      <c r="AV1270" s="1822">
        <v>2020</v>
      </c>
    </row>
    <row r="1271" spans="1:48">
      <c r="A1271" s="333">
        <f t="shared" si="44"/>
        <v>1900</v>
      </c>
      <c r="B1271" s="333">
        <f t="shared" si="45"/>
        <v>1</v>
      </c>
      <c r="AP1271" s="1781" t="s">
        <v>3</v>
      </c>
      <c r="AQ1271" s="1822" t="s">
        <v>808</v>
      </c>
      <c r="AR1271" s="1781" t="s">
        <v>56</v>
      </c>
      <c r="AS1271" s="1781">
        <v>10</v>
      </c>
      <c r="AT1271" s="1781">
        <v>18836206.189999998</v>
      </c>
      <c r="AU1271" s="1909">
        <v>6.8494679397775367E-3</v>
      </c>
      <c r="AV1271" s="1822">
        <v>2020</v>
      </c>
    </row>
    <row r="1272" spans="1:48">
      <c r="A1272" s="333">
        <f t="shared" si="44"/>
        <v>1900</v>
      </c>
      <c r="B1272" s="333">
        <f t="shared" si="45"/>
        <v>1</v>
      </c>
      <c r="AP1272" s="1781" t="s">
        <v>3</v>
      </c>
      <c r="AQ1272" s="1822" t="s">
        <v>808</v>
      </c>
      <c r="AR1272" s="1781" t="s">
        <v>263</v>
      </c>
      <c r="AT1272" s="1781">
        <v>45665054.149528503</v>
      </c>
      <c r="AV1272" s="1822">
        <v>2020</v>
      </c>
    </row>
    <row r="1273" spans="1:48">
      <c r="A1273" s="333">
        <f t="shared" si="44"/>
        <v>1900</v>
      </c>
      <c r="B1273" s="333">
        <f t="shared" si="45"/>
        <v>1</v>
      </c>
      <c r="AP1273" s="1781" t="s">
        <v>3</v>
      </c>
      <c r="AQ1273" s="1822" t="s">
        <v>808</v>
      </c>
      <c r="AR1273" s="1781" t="s">
        <v>386</v>
      </c>
      <c r="AT1273" s="1781">
        <v>2750024725.3674679</v>
      </c>
      <c r="AV1273" s="1822">
        <v>2020</v>
      </c>
    </row>
    <row r="1274" spans="1:48">
      <c r="A1274" s="333">
        <f t="shared" si="44"/>
        <v>1900</v>
      </c>
      <c r="B1274" s="333">
        <f t="shared" si="45"/>
        <v>1</v>
      </c>
      <c r="AP1274" s="1781" t="s">
        <v>457</v>
      </c>
      <c r="AQ1274" s="1822" t="s">
        <v>808</v>
      </c>
      <c r="AR1274" s="1781" t="s">
        <v>18</v>
      </c>
      <c r="AS1274" s="1781">
        <v>1</v>
      </c>
      <c r="AT1274" s="1781">
        <v>744695730.33000004</v>
      </c>
      <c r="AU1274" s="1909">
        <v>0.50686490250089133</v>
      </c>
      <c r="AV1274" s="1822">
        <v>2020</v>
      </c>
    </row>
    <row r="1275" spans="1:48">
      <c r="A1275" s="333">
        <f t="shared" si="44"/>
        <v>1900</v>
      </c>
      <c r="B1275" s="333">
        <f t="shared" si="45"/>
        <v>1</v>
      </c>
      <c r="AP1275" s="1781" t="s">
        <v>457</v>
      </c>
      <c r="AQ1275" s="1822" t="s">
        <v>808</v>
      </c>
      <c r="AR1275" s="1781" t="s">
        <v>27</v>
      </c>
      <c r="AS1275" s="1781">
        <v>2</v>
      </c>
      <c r="AT1275" s="1781">
        <v>112028921.86999999</v>
      </c>
      <c r="AU1275" s="1909">
        <v>7.6250643381230082E-2</v>
      </c>
      <c r="AV1275" s="1822">
        <v>2020</v>
      </c>
    </row>
    <row r="1276" spans="1:48">
      <c r="A1276" s="333">
        <f t="shared" si="44"/>
        <v>1900</v>
      </c>
      <c r="B1276" s="333">
        <f t="shared" si="45"/>
        <v>1</v>
      </c>
      <c r="AP1276" s="1781" t="s">
        <v>457</v>
      </c>
      <c r="AQ1276" s="1822" t="s">
        <v>808</v>
      </c>
      <c r="AR1276" s="1781" t="s">
        <v>35</v>
      </c>
      <c r="AS1276" s="1781">
        <v>3</v>
      </c>
      <c r="AT1276" s="1781">
        <v>86376943.719999999</v>
      </c>
      <c r="AU1276" s="1909">
        <v>5.8791046294251928E-2</v>
      </c>
      <c r="AV1276" s="1822">
        <v>2020</v>
      </c>
    </row>
    <row r="1277" spans="1:48">
      <c r="A1277" s="333">
        <f t="shared" si="44"/>
        <v>1900</v>
      </c>
      <c r="B1277" s="333">
        <f t="shared" si="45"/>
        <v>1</v>
      </c>
      <c r="AP1277" s="1781" t="s">
        <v>457</v>
      </c>
      <c r="AQ1277" s="1822" t="s">
        <v>808</v>
      </c>
      <c r="AR1277" s="1781" t="s">
        <v>31</v>
      </c>
      <c r="AS1277" s="1781">
        <v>4</v>
      </c>
      <c r="AT1277" s="1781">
        <v>80086532.449999988</v>
      </c>
      <c r="AU1277" s="1909">
        <v>5.4509581307677905E-2</v>
      </c>
      <c r="AV1277" s="1822">
        <v>2020</v>
      </c>
    </row>
    <row r="1278" spans="1:48">
      <c r="A1278" s="333">
        <f t="shared" si="44"/>
        <v>1900</v>
      </c>
      <c r="B1278" s="333">
        <f t="shared" si="45"/>
        <v>1</v>
      </c>
      <c r="AP1278" s="1781" t="s">
        <v>457</v>
      </c>
      <c r="AQ1278" s="1822" t="s">
        <v>808</v>
      </c>
      <c r="AR1278" s="1781" t="s">
        <v>70</v>
      </c>
      <c r="AS1278" s="1781">
        <v>5</v>
      </c>
      <c r="AT1278" s="1781">
        <v>79104146.169999987</v>
      </c>
      <c r="AU1278" s="1909">
        <v>5.3840936241309978E-2</v>
      </c>
      <c r="AV1278" s="1822">
        <v>2020</v>
      </c>
    </row>
    <row r="1279" spans="1:48">
      <c r="A1279" s="333">
        <f t="shared" si="44"/>
        <v>1900</v>
      </c>
      <c r="B1279" s="333">
        <f t="shared" si="45"/>
        <v>1</v>
      </c>
      <c r="AP1279" s="1781" t="s">
        <v>457</v>
      </c>
      <c r="AQ1279" s="1822" t="s">
        <v>808</v>
      </c>
      <c r="AR1279" s="1781" t="s">
        <v>537</v>
      </c>
      <c r="AS1279" s="1781">
        <v>6</v>
      </c>
      <c r="AT1279" s="1781">
        <v>65228124.480000004</v>
      </c>
      <c r="AU1279" s="1909">
        <v>4.4396450265963491E-2</v>
      </c>
      <c r="AV1279" s="1822">
        <v>2020</v>
      </c>
    </row>
    <row r="1280" spans="1:48">
      <c r="A1280" s="333">
        <f t="shared" si="44"/>
        <v>1900</v>
      </c>
      <c r="B1280" s="333">
        <f t="shared" si="45"/>
        <v>1</v>
      </c>
      <c r="AP1280" s="1781" t="s">
        <v>457</v>
      </c>
      <c r="AQ1280" s="1822" t="s">
        <v>808</v>
      </c>
      <c r="AR1280" s="1781" t="s">
        <v>63</v>
      </c>
      <c r="AS1280" s="1781">
        <v>7</v>
      </c>
      <c r="AT1280" s="1781">
        <v>64481780.540000007</v>
      </c>
      <c r="AU1280" s="1909">
        <v>4.388846353665514E-2</v>
      </c>
      <c r="AV1280" s="1822">
        <v>2020</v>
      </c>
    </row>
    <row r="1281" spans="1:48">
      <c r="A1281" s="333">
        <f t="shared" si="44"/>
        <v>1900</v>
      </c>
      <c r="B1281" s="333">
        <f t="shared" si="45"/>
        <v>1</v>
      </c>
      <c r="AP1281" s="1781" t="s">
        <v>457</v>
      </c>
      <c r="AQ1281" s="1822" t="s">
        <v>808</v>
      </c>
      <c r="AR1281" s="1781" t="s">
        <v>21</v>
      </c>
      <c r="AS1281" s="1781">
        <v>8</v>
      </c>
      <c r="AT1281" s="1781">
        <v>62928999.770000003</v>
      </c>
      <c r="AU1281" s="1909">
        <v>4.2831588840673548E-2</v>
      </c>
      <c r="AV1281" s="1822">
        <v>2020</v>
      </c>
    </row>
    <row r="1282" spans="1:48">
      <c r="A1282" s="333">
        <f t="shared" si="44"/>
        <v>1900</v>
      </c>
      <c r="B1282" s="333">
        <f t="shared" si="45"/>
        <v>1</v>
      </c>
      <c r="AP1282" s="1781" t="s">
        <v>457</v>
      </c>
      <c r="AQ1282" s="1822" t="s">
        <v>808</v>
      </c>
      <c r="AR1282" s="1781" t="s">
        <v>66</v>
      </c>
      <c r="AS1282" s="1781">
        <v>9</v>
      </c>
      <c r="AT1282" s="1781">
        <v>41841006.269999996</v>
      </c>
      <c r="AU1282" s="1909">
        <v>2.8478392852050945E-2</v>
      </c>
      <c r="AV1282" s="1822">
        <v>2020</v>
      </c>
    </row>
    <row r="1283" spans="1:48">
      <c r="A1283" s="333">
        <f t="shared" si="44"/>
        <v>1900</v>
      </c>
      <c r="B1283" s="333">
        <f t="shared" si="45"/>
        <v>1</v>
      </c>
      <c r="AP1283" s="1781" t="s">
        <v>457</v>
      </c>
      <c r="AQ1283" s="1822" t="s">
        <v>808</v>
      </c>
      <c r="AR1283" s="1781" t="s">
        <v>25</v>
      </c>
      <c r="AS1283" s="1781">
        <v>10</v>
      </c>
      <c r="AT1283" s="1781">
        <v>35799482.050000004</v>
      </c>
      <c r="AU1283" s="1909">
        <v>2.4366328743169741E-2</v>
      </c>
      <c r="AV1283" s="1822">
        <v>2020</v>
      </c>
    </row>
    <row r="1284" spans="1:48">
      <c r="A1284" s="333">
        <f t="shared" si="44"/>
        <v>1900</v>
      </c>
      <c r="B1284" s="333">
        <f t="shared" si="45"/>
        <v>1</v>
      </c>
      <c r="AP1284" s="1781" t="s">
        <v>457</v>
      </c>
      <c r="AQ1284" s="1822" t="s">
        <v>808</v>
      </c>
      <c r="AR1284" s="1781" t="s">
        <v>263</v>
      </c>
      <c r="AT1284" s="1781">
        <v>96647697.619999886</v>
      </c>
      <c r="AV1284" s="1822">
        <v>2020</v>
      </c>
    </row>
    <row r="1285" spans="1:48">
      <c r="A1285" s="333">
        <f t="shared" si="44"/>
        <v>1900</v>
      </c>
      <c r="B1285" s="333">
        <f t="shared" si="45"/>
        <v>1</v>
      </c>
      <c r="AP1285" s="1781" t="s">
        <v>457</v>
      </c>
      <c r="AQ1285" s="1822" t="s">
        <v>808</v>
      </c>
      <c r="AR1285" s="1914" t="s">
        <v>386</v>
      </c>
      <c r="AT1285" s="1781">
        <v>1469219365.27</v>
      </c>
      <c r="AV1285" s="1822">
        <v>2020</v>
      </c>
    </row>
    <row r="1286" spans="1:48">
      <c r="A1286" s="333">
        <f t="shared" si="44"/>
        <v>1900</v>
      </c>
      <c r="B1286" s="333">
        <f t="shared" si="45"/>
        <v>1</v>
      </c>
      <c r="AP1286" s="1781" t="s">
        <v>2</v>
      </c>
      <c r="AQ1286" s="1822" t="s">
        <v>808</v>
      </c>
      <c r="AR1286" s="1914" t="s">
        <v>18</v>
      </c>
      <c r="AS1286" s="1781">
        <v>1</v>
      </c>
      <c r="AT1286" s="1781">
        <v>122655235000</v>
      </c>
      <c r="AU1286" s="1909">
        <v>0.81685193718408322</v>
      </c>
      <c r="AV1286" s="1822">
        <v>2020</v>
      </c>
    </row>
    <row r="1287" spans="1:48">
      <c r="A1287" s="333">
        <f t="shared" si="44"/>
        <v>1900</v>
      </c>
      <c r="B1287" s="333">
        <f t="shared" si="45"/>
        <v>1</v>
      </c>
      <c r="AP1287" s="1781" t="s">
        <v>2</v>
      </c>
      <c r="AQ1287" s="1822" t="s">
        <v>808</v>
      </c>
      <c r="AR1287" s="1914" t="s">
        <v>23</v>
      </c>
      <c r="AS1287" s="1781">
        <v>2</v>
      </c>
      <c r="AT1287" s="1781">
        <v>8905082000</v>
      </c>
      <c r="AU1287" s="1909">
        <v>5.9305528072104791E-2</v>
      </c>
      <c r="AV1287" s="1822">
        <v>2020</v>
      </c>
    </row>
    <row r="1288" spans="1:48">
      <c r="A1288" s="333">
        <f t="shared" si="44"/>
        <v>1900</v>
      </c>
      <c r="B1288" s="333">
        <f t="shared" si="45"/>
        <v>1</v>
      </c>
      <c r="AP1288" s="1781" t="s">
        <v>2</v>
      </c>
      <c r="AQ1288" s="1822" t="s">
        <v>808</v>
      </c>
      <c r="AR1288" s="1914" t="s">
        <v>371</v>
      </c>
      <c r="AS1288" s="1781">
        <v>3</v>
      </c>
      <c r="AT1288" s="1781">
        <v>8622225000</v>
      </c>
      <c r="AU1288" s="1909">
        <v>5.7421774081530493E-2</v>
      </c>
      <c r="AV1288" s="1822">
        <v>2020</v>
      </c>
    </row>
    <row r="1289" spans="1:48">
      <c r="A1289" s="333">
        <f t="shared" si="44"/>
        <v>1900</v>
      </c>
      <c r="B1289" s="333">
        <f t="shared" si="45"/>
        <v>1</v>
      </c>
      <c r="AP1289" s="1781" t="s">
        <v>2</v>
      </c>
      <c r="AQ1289" s="1822" t="s">
        <v>808</v>
      </c>
      <c r="AR1289" s="1914" t="s">
        <v>61</v>
      </c>
      <c r="AS1289" s="1781">
        <v>4</v>
      </c>
      <c r="AT1289" s="1781">
        <v>5129073000</v>
      </c>
      <c r="AU1289" s="1909">
        <v>3.4158291050590518E-2</v>
      </c>
      <c r="AV1289" s="1822">
        <v>2020</v>
      </c>
    </row>
    <row r="1290" spans="1:48">
      <c r="A1290" s="333">
        <f t="shared" ref="A1290:A1300" si="46">YEAR(C1290)</f>
        <v>1900</v>
      </c>
      <c r="B1290" s="333">
        <f t="shared" ref="B1290:B1300" si="47">IF(OR(MONTH(C1290)=1,MONTH(C1290)=2,MONTH(C1290)=3),1,IF(OR(MONTH(C1290)=4,MONTH(C1290)=5,MONTH(C1290)=6),2,IF(OR(MONTH(C1290)=7,MONTH(C1290)=8,MONTH(C1290)=9),3,4)))</f>
        <v>1</v>
      </c>
      <c r="AP1290" s="1781" t="s">
        <v>2</v>
      </c>
      <c r="AQ1290" s="1822" t="s">
        <v>808</v>
      </c>
      <c r="AR1290" s="1914" t="s">
        <v>370</v>
      </c>
      <c r="AS1290" s="1781">
        <v>5</v>
      </c>
      <c r="AT1290" s="1781">
        <v>3819574000</v>
      </c>
      <c r="AU1290" s="1909">
        <v>2.5437368581275453E-2</v>
      </c>
      <c r="AV1290" s="1822">
        <v>2020</v>
      </c>
    </row>
    <row r="1291" spans="1:48">
      <c r="A1291" s="333">
        <f t="shared" si="46"/>
        <v>1900</v>
      </c>
      <c r="B1291" s="333">
        <f t="shared" si="47"/>
        <v>1</v>
      </c>
      <c r="AP1291" s="1781" t="s">
        <v>2</v>
      </c>
      <c r="AQ1291" s="1822" t="s">
        <v>808</v>
      </c>
      <c r="AR1291" s="1914" t="s">
        <v>263</v>
      </c>
      <c r="AT1291" s="1781">
        <v>1024830000</v>
      </c>
      <c r="AV1291" s="1822">
        <v>2020</v>
      </c>
    </row>
    <row r="1292" spans="1:48">
      <c r="A1292" s="333">
        <f t="shared" si="46"/>
        <v>1900</v>
      </c>
      <c r="B1292" s="333">
        <f t="shared" si="47"/>
        <v>1</v>
      </c>
      <c r="AP1292" s="1781" t="s">
        <v>2</v>
      </c>
      <c r="AQ1292" s="1822" t="s">
        <v>808</v>
      </c>
      <c r="AR1292" s="1914" t="s">
        <v>386</v>
      </c>
      <c r="AT1292" s="1781">
        <v>150156019000</v>
      </c>
      <c r="AV1292" s="1822">
        <v>2020</v>
      </c>
    </row>
    <row r="1293" spans="1:48">
      <c r="A1293" s="333">
        <f t="shared" si="46"/>
        <v>1900</v>
      </c>
      <c r="B1293" s="333">
        <f t="shared" si="47"/>
        <v>1</v>
      </c>
      <c r="AP1293" s="1781" t="s">
        <v>1</v>
      </c>
      <c r="AQ1293" s="1822" t="s">
        <v>808</v>
      </c>
      <c r="AR1293" s="1914" t="s">
        <v>63</v>
      </c>
      <c r="AS1293" s="1781">
        <v>1</v>
      </c>
      <c r="AT1293" s="1781">
        <v>8765311000</v>
      </c>
      <c r="AU1293" s="1909">
        <v>0.39814085492003104</v>
      </c>
      <c r="AV1293" s="1822">
        <v>2020</v>
      </c>
    </row>
    <row r="1294" spans="1:48">
      <c r="A1294" s="333">
        <f t="shared" si="46"/>
        <v>1900</v>
      </c>
      <c r="B1294" s="333">
        <f t="shared" si="47"/>
        <v>1</v>
      </c>
      <c r="AP1294" s="1781" t="s">
        <v>1</v>
      </c>
      <c r="AQ1294" s="1822" t="s">
        <v>808</v>
      </c>
      <c r="AR1294" s="1914" t="s">
        <v>800</v>
      </c>
      <c r="AS1294" s="1781">
        <v>2</v>
      </c>
      <c r="AT1294" s="1781">
        <v>3618673000</v>
      </c>
      <c r="AU1294" s="1909">
        <v>0.16436856169690198</v>
      </c>
      <c r="AV1294" s="1822">
        <v>2020</v>
      </c>
    </row>
    <row r="1295" spans="1:48">
      <c r="A1295" s="333">
        <f t="shared" si="46"/>
        <v>1900</v>
      </c>
      <c r="B1295" s="333">
        <f t="shared" si="47"/>
        <v>1</v>
      </c>
      <c r="AP1295" s="1781" t="s">
        <v>1</v>
      </c>
      <c r="AQ1295" s="1822" t="s">
        <v>808</v>
      </c>
      <c r="AR1295" s="1914" t="s">
        <v>61</v>
      </c>
      <c r="AS1295" s="1781">
        <v>3</v>
      </c>
      <c r="AT1295" s="1781">
        <v>2164409000</v>
      </c>
      <c r="AU1295" s="1909">
        <v>9.8312501365508814E-2</v>
      </c>
      <c r="AV1295" s="1822">
        <v>2020</v>
      </c>
    </row>
    <row r="1296" spans="1:48">
      <c r="A1296" s="333">
        <f t="shared" si="46"/>
        <v>1900</v>
      </c>
      <c r="B1296" s="333">
        <f t="shared" si="47"/>
        <v>1</v>
      </c>
      <c r="AP1296" s="1781" t="s">
        <v>1</v>
      </c>
      <c r="AQ1296" s="1822" t="s">
        <v>808</v>
      </c>
      <c r="AR1296" s="1914" t="s">
        <v>18</v>
      </c>
      <c r="AS1296" s="1781">
        <v>4</v>
      </c>
      <c r="AT1296" s="1781">
        <v>2028145000</v>
      </c>
      <c r="AU1296" s="1909">
        <v>9.2123072895164401E-2</v>
      </c>
      <c r="AV1296" s="1822">
        <v>2020</v>
      </c>
    </row>
    <row r="1297" spans="1:48">
      <c r="A1297" s="333">
        <f t="shared" si="46"/>
        <v>1900</v>
      </c>
      <c r="B1297" s="333">
        <f t="shared" si="47"/>
        <v>1</v>
      </c>
      <c r="AP1297" s="1781" t="s">
        <v>1</v>
      </c>
      <c r="AQ1297" s="1822" t="s">
        <v>808</v>
      </c>
      <c r="AR1297" s="1914" t="s">
        <v>21</v>
      </c>
      <c r="AS1297" s="1781">
        <v>5</v>
      </c>
      <c r="AT1297" s="1781">
        <v>1395638000</v>
      </c>
      <c r="AU1297" s="1909">
        <v>6.3393130771843956E-2</v>
      </c>
      <c r="AV1297" s="1822">
        <v>2020</v>
      </c>
    </row>
    <row r="1298" spans="1:48">
      <c r="A1298" s="333">
        <f t="shared" si="46"/>
        <v>1900</v>
      </c>
      <c r="B1298" s="333">
        <f t="shared" si="47"/>
        <v>1</v>
      </c>
      <c r="AP1298" s="1781" t="s">
        <v>1</v>
      </c>
      <c r="AQ1298" s="1822" t="s">
        <v>808</v>
      </c>
      <c r="AR1298" s="1914" t="s">
        <v>370</v>
      </c>
      <c r="AS1298" s="1781">
        <v>6</v>
      </c>
      <c r="AT1298" s="1781">
        <v>1392759000</v>
      </c>
      <c r="AU1298" s="1909">
        <v>6.3262359881762043E-2</v>
      </c>
      <c r="AV1298" s="1822">
        <v>2020</v>
      </c>
    </row>
    <row r="1299" spans="1:48">
      <c r="A1299" s="333">
        <f t="shared" si="46"/>
        <v>1900</v>
      </c>
      <c r="B1299" s="333">
        <f t="shared" si="47"/>
        <v>1</v>
      </c>
      <c r="AP1299" s="1781" t="s">
        <v>1</v>
      </c>
      <c r="AQ1299" s="1822" t="s">
        <v>808</v>
      </c>
      <c r="AR1299" s="1914" t="s">
        <v>20</v>
      </c>
      <c r="AS1299" s="1781">
        <v>7</v>
      </c>
      <c r="AT1299" s="1781">
        <v>806767000</v>
      </c>
      <c r="AU1299" s="1909">
        <v>3.6645237470897346E-2</v>
      </c>
      <c r="AV1299" s="1822">
        <v>2020</v>
      </c>
    </row>
    <row r="1300" spans="1:48">
      <c r="A1300" s="333">
        <f t="shared" si="46"/>
        <v>1900</v>
      </c>
      <c r="B1300" s="333">
        <f t="shared" si="47"/>
        <v>1</v>
      </c>
      <c r="AP1300" s="1781" t="s">
        <v>1</v>
      </c>
      <c r="AQ1300" s="1822" t="s">
        <v>808</v>
      </c>
      <c r="AR1300" s="1914" t="s">
        <v>33</v>
      </c>
      <c r="AS1300" s="1781">
        <v>8</v>
      </c>
      <c r="AT1300" s="1781">
        <v>636346000</v>
      </c>
      <c r="AU1300" s="1909">
        <v>2.8904318450873229E-2</v>
      </c>
      <c r="AV1300" s="1822">
        <v>2020</v>
      </c>
    </row>
    <row r="1301" spans="1:48">
      <c r="AP1301" s="1781" t="s">
        <v>1</v>
      </c>
      <c r="AQ1301" s="1822" t="s">
        <v>808</v>
      </c>
      <c r="AR1301" s="1914" t="s">
        <v>371</v>
      </c>
      <c r="AS1301" s="1781">
        <v>9</v>
      </c>
      <c r="AT1301" s="1781">
        <v>564228000</v>
      </c>
      <c r="AU1301" s="1909">
        <v>2.562855080553551E-2</v>
      </c>
      <c r="AV1301" s="1822">
        <v>2020</v>
      </c>
    </row>
    <row r="1302" spans="1:48">
      <c r="AP1302" s="1781" t="s">
        <v>1</v>
      </c>
      <c r="AQ1302" s="1822" t="s">
        <v>808</v>
      </c>
      <c r="AR1302" s="1914" t="s">
        <v>372</v>
      </c>
      <c r="AS1302" s="1781">
        <v>10</v>
      </c>
      <c r="AT1302" s="1781">
        <v>402547000</v>
      </c>
      <c r="AU1302" s="1909">
        <v>1.8284622955819108E-2</v>
      </c>
      <c r="AV1302" s="1822">
        <v>2020</v>
      </c>
    </row>
    <row r="1303" spans="1:48">
      <c r="AP1303" s="1781" t="s">
        <v>1</v>
      </c>
      <c r="AQ1303" s="1822" t="s">
        <v>808</v>
      </c>
      <c r="AR1303" s="1914" t="s">
        <v>263</v>
      </c>
      <c r="AT1303" s="1781">
        <v>240780000</v>
      </c>
      <c r="AV1303" s="1822">
        <v>2020</v>
      </c>
    </row>
    <row r="1304" spans="1:48">
      <c r="AP1304" s="1781" t="s">
        <v>1</v>
      </c>
      <c r="AQ1304" s="1822" t="s">
        <v>808</v>
      </c>
      <c r="AR1304" s="1914" t="s">
        <v>386</v>
      </c>
      <c r="AT1304" s="1781">
        <v>22015603000</v>
      </c>
      <c r="AV1304" s="1822">
        <v>2020</v>
      </c>
    </row>
    <row r="1305" spans="1:48">
      <c r="AQ1305" s="1822"/>
      <c r="AV1305" s="1822"/>
    </row>
    <row r="1306" spans="1:48">
      <c r="AQ1306" s="1822"/>
      <c r="AV1306" s="1822"/>
    </row>
  </sheetData>
  <sortState ref="AK929:AM938">
    <sortCondition descending="1" ref="AM929:AM938"/>
  </sortState>
  <mergeCells count="2">
    <mergeCell ref="AI5:AN5"/>
    <mergeCell ref="AP5:AV5"/>
  </mergeCells>
  <hyperlinks>
    <hyperlink ref="AE546" location="'Calendar Commodity Summary'!AP10:BX50" display="Click for Summary Table"/>
    <hyperlink ref="AD547" location="'Calendar Commodity Summary'!AP10:BX50" display="Click for Summary Table"/>
    <hyperlink ref="AQ118" location="'Calendar Commodity Summary'!AP10:BX50" display="Click for Summary Table"/>
    <hyperlink ref="AI533" location="'Calendar Commodity Summary'!AP10:BX50" display="Click for Summary Table"/>
    <hyperlink ref="Z550" location="'Calendar Commodity Summary'!AP10:BX50" display="Click for Summary Table"/>
    <hyperlink ref="AA549" location="'Calendar Commodity Summary'!AP10:BX50" display="Click for Summary Tabl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8" tint="0.39997558519241921"/>
  </sheetPr>
  <dimension ref="A1:Z363"/>
  <sheetViews>
    <sheetView showGridLines="0" zoomScaleNormal="100" workbookViewId="0">
      <selection activeCell="Z53" sqref="Z53"/>
    </sheetView>
  </sheetViews>
  <sheetFormatPr defaultRowHeight="15"/>
  <cols>
    <col min="1" max="1" width="7.85546875" style="20" bestFit="1" customWidth="1"/>
    <col min="2" max="2" width="14" style="20" customWidth="1"/>
    <col min="3" max="3" width="16" style="20" bestFit="1" customWidth="1"/>
    <col min="4" max="4" width="14" style="20" customWidth="1"/>
    <col min="5" max="5" width="16" style="20" bestFit="1" customWidth="1"/>
    <col min="6" max="6" width="14" style="20" customWidth="1"/>
    <col min="7" max="7" width="16" style="20" bestFit="1" customWidth="1"/>
    <col min="8" max="8" width="14" style="25" hidden="1" customWidth="1"/>
    <col min="9" max="9" width="4" style="20" hidden="1" customWidth="1"/>
    <col min="10" max="18" width="9.140625" style="20"/>
    <col min="19" max="19" width="20" style="20" customWidth="1"/>
    <col min="20" max="20" width="13" style="20" customWidth="1"/>
    <col min="21" max="26" width="19.85546875" style="20" customWidth="1"/>
    <col min="27" max="16384" width="9.140625" style="20"/>
  </cols>
  <sheetData>
    <row r="1" spans="1:22">
      <c r="A1" s="118" t="s">
        <v>369</v>
      </c>
    </row>
    <row r="2" spans="1:22">
      <c r="A2" s="118" t="s">
        <v>382</v>
      </c>
    </row>
    <row r="5" spans="1:22">
      <c r="A5" s="1992" t="s">
        <v>752</v>
      </c>
      <c r="B5" s="1992"/>
      <c r="C5" s="1992"/>
      <c r="D5" s="1992"/>
      <c r="E5" s="1992"/>
      <c r="F5" s="1992"/>
      <c r="G5" s="1992"/>
      <c r="H5" s="100"/>
    </row>
    <row r="6" spans="1:22" ht="15.75" thickBot="1">
      <c r="A6" s="2009" t="s">
        <v>744</v>
      </c>
      <c r="B6" s="2009"/>
      <c r="C6" s="2009"/>
      <c r="D6" s="2009"/>
      <c r="E6" s="2009"/>
      <c r="F6" s="2009"/>
      <c r="G6" s="2009"/>
      <c r="H6" s="101"/>
    </row>
    <row r="7" spans="1:22" s="34" customFormat="1">
      <c r="A7" s="1397"/>
      <c r="B7" s="2060" t="s">
        <v>79</v>
      </c>
      <c r="C7" s="2060"/>
      <c r="D7" s="2060" t="s">
        <v>80</v>
      </c>
      <c r="E7" s="2060"/>
      <c r="F7" s="2060" t="s">
        <v>81</v>
      </c>
      <c r="G7" s="2060"/>
      <c r="H7" s="95"/>
    </row>
    <row r="8" spans="1:22" ht="15.75" thickBot="1">
      <c r="A8" s="1396" t="s">
        <v>6</v>
      </c>
      <c r="B8" s="1391" t="s">
        <v>82</v>
      </c>
      <c r="C8" s="1392" t="s">
        <v>635</v>
      </c>
      <c r="D8" s="1393" t="s">
        <v>82</v>
      </c>
      <c r="E8" s="1392" t="s">
        <v>635</v>
      </c>
      <c r="F8" s="1393" t="s">
        <v>82</v>
      </c>
      <c r="G8" s="1392" t="s">
        <v>635</v>
      </c>
      <c r="H8" s="94"/>
      <c r="T8" s="1993" t="s">
        <v>753</v>
      </c>
      <c r="U8" s="1993"/>
      <c r="V8" s="1993"/>
    </row>
    <row r="9" spans="1:22" ht="15.75" thickBot="1">
      <c r="A9" s="1072">
        <v>36220</v>
      </c>
      <c r="B9" s="706">
        <v>1.7620640000000001</v>
      </c>
      <c r="C9" s="705">
        <v>200.01295300000001</v>
      </c>
      <c r="D9" s="1062">
        <v>1.245798</v>
      </c>
      <c r="E9" s="933">
        <v>148.50315900000001</v>
      </c>
      <c r="F9" s="706">
        <f>D9+B9</f>
        <v>3.0078620000000003</v>
      </c>
      <c r="G9" s="705">
        <f>E9+C9</f>
        <v>348.51611200000002</v>
      </c>
      <c r="H9" s="97">
        <f>YEAR(A9)</f>
        <v>1999</v>
      </c>
      <c r="I9" s="98" t="str">
        <f>IF(MONTH(A9)=3,"1",IF(MONTH(A9)=6,"2",IF(MONTH(A9)=9,"3","4")))</f>
        <v>1</v>
      </c>
      <c r="T9" s="1988" t="s">
        <v>43</v>
      </c>
      <c r="U9" s="1988"/>
      <c r="V9" s="1988"/>
    </row>
    <row r="10" spans="1:22" ht="15.75" thickBot="1">
      <c r="A10" s="1072">
        <v>36312</v>
      </c>
      <c r="B10" s="1063">
        <v>1.4574940000000001</v>
      </c>
      <c r="C10" s="1064">
        <v>207.42253199999999</v>
      </c>
      <c r="D10" s="1065">
        <v>1.2554799999999999</v>
      </c>
      <c r="E10" s="1064">
        <v>193.994733</v>
      </c>
      <c r="F10" s="1063">
        <f t="shared" ref="F10:F68" si="0">D10+B10</f>
        <v>2.712974</v>
      </c>
      <c r="G10" s="1064">
        <f t="shared" ref="G10:G68" si="1">E10+C10</f>
        <v>401.41726499999999</v>
      </c>
      <c r="H10" s="97">
        <f t="shared" ref="H10:H73" si="2">YEAR(A10)</f>
        <v>1999</v>
      </c>
      <c r="I10" s="98" t="str">
        <f>IF(MONTH(A10)=3,"1",IF(MONTH(A10)=6,"2",IF(MONTH(A10)=9,"3","4")))</f>
        <v>2</v>
      </c>
      <c r="T10" s="1070" t="s">
        <v>6</v>
      </c>
      <c r="U10" s="1394" t="s">
        <v>82</v>
      </c>
      <c r="V10" s="1395" t="s">
        <v>635</v>
      </c>
    </row>
    <row r="11" spans="1:22">
      <c r="A11" s="1072">
        <v>36404</v>
      </c>
      <c r="B11" s="706">
        <v>2.2850799999999998</v>
      </c>
      <c r="C11" s="705">
        <v>475.87644</v>
      </c>
      <c r="D11" s="714">
        <v>1.5781829999999999</v>
      </c>
      <c r="E11" s="705">
        <v>318.31437699999998</v>
      </c>
      <c r="F11" s="706">
        <f t="shared" si="0"/>
        <v>3.8632629999999999</v>
      </c>
      <c r="G11" s="705">
        <f t="shared" si="1"/>
        <v>794.19081699999992</v>
      </c>
      <c r="H11" s="97">
        <f t="shared" si="2"/>
        <v>1999</v>
      </c>
      <c r="I11" s="98" t="str">
        <f t="shared" ref="I11:I74" si="3">IF(MONTH(A11)=3,"1",IF(MONTH(A11)=6,"2",IF(MONTH(A11)=9,"3","4")))</f>
        <v>3</v>
      </c>
      <c r="T11" s="1071">
        <f>LARGE(A$9:A$739,10)</f>
        <v>43525</v>
      </c>
      <c r="U11" s="1198">
        <f t="shared" ref="U11:U20" si="4">SUMIF($A$9:$A$739,$T11,F$9:F$739)</f>
        <v>3.5495012977590017</v>
      </c>
      <c r="V11" s="1122">
        <f t="shared" ref="V11:V20" si="5">SUMIF($A$9:$A$739,$T11,G$9:G$739)</f>
        <v>1828.318417249669</v>
      </c>
    </row>
    <row r="12" spans="1:22">
      <c r="A12" s="1072">
        <v>36495</v>
      </c>
      <c r="B12" s="1063">
        <v>2.9858009999999999</v>
      </c>
      <c r="C12" s="1064">
        <v>675.97909800000002</v>
      </c>
      <c r="D12" s="1065">
        <v>1.485668</v>
      </c>
      <c r="E12" s="1064">
        <v>352.48540500000001</v>
      </c>
      <c r="F12" s="1063">
        <f t="shared" si="0"/>
        <v>4.4714689999999999</v>
      </c>
      <c r="G12" s="1064">
        <f t="shared" si="1"/>
        <v>1028.4645030000001</v>
      </c>
      <c r="H12" s="97">
        <f t="shared" si="2"/>
        <v>1999</v>
      </c>
      <c r="I12" s="98" t="str">
        <f t="shared" si="3"/>
        <v>4</v>
      </c>
      <c r="T12" s="1072">
        <f>LARGE(A$9:A$739,9)</f>
        <v>43617</v>
      </c>
      <c r="U12" s="740">
        <f t="shared" si="4"/>
        <v>4.21977745917461</v>
      </c>
      <c r="V12" s="1930">
        <f t="shared" si="5"/>
        <v>2439.3721182597228</v>
      </c>
    </row>
    <row r="13" spans="1:22">
      <c r="A13" s="1072">
        <v>36586</v>
      </c>
      <c r="B13" s="706">
        <v>3.5222440000000002</v>
      </c>
      <c r="C13" s="705">
        <v>988.31516999999997</v>
      </c>
      <c r="D13" s="714">
        <v>1.7186859999999999</v>
      </c>
      <c r="E13" s="705">
        <v>477.41885100000002</v>
      </c>
      <c r="F13" s="706">
        <f t="shared" si="0"/>
        <v>5.2409300000000005</v>
      </c>
      <c r="G13" s="705">
        <f t="shared" si="1"/>
        <v>1465.734021</v>
      </c>
      <c r="H13" s="97">
        <f t="shared" si="2"/>
        <v>2000</v>
      </c>
      <c r="I13" s="98" t="str">
        <f t="shared" si="3"/>
        <v>1</v>
      </c>
      <c r="T13" s="1072">
        <f>LARGE(A$9:A$739,8)</f>
        <v>43709</v>
      </c>
      <c r="U13" s="1198">
        <f t="shared" si="4"/>
        <v>4.6273817190707014</v>
      </c>
      <c r="V13" s="1122">
        <f t="shared" si="5"/>
        <v>2518.1322412946538</v>
      </c>
    </row>
    <row r="14" spans="1:22">
      <c r="A14" s="1072">
        <v>36678</v>
      </c>
      <c r="B14" s="1063">
        <v>3.260481</v>
      </c>
      <c r="C14" s="1064">
        <v>1004.59593</v>
      </c>
      <c r="D14" s="1065">
        <v>1.5651109999999999</v>
      </c>
      <c r="E14" s="1064">
        <v>435.71981599999998</v>
      </c>
      <c r="F14" s="1063">
        <f t="shared" si="0"/>
        <v>4.8255920000000003</v>
      </c>
      <c r="G14" s="1064">
        <f t="shared" si="1"/>
        <v>1440.315746</v>
      </c>
      <c r="H14" s="97">
        <f t="shared" si="2"/>
        <v>2000</v>
      </c>
      <c r="I14" s="98" t="str">
        <f t="shared" si="3"/>
        <v>2</v>
      </c>
      <c r="T14" s="1072">
        <f>LARGE(A$9:A$739,7)</f>
        <v>43800</v>
      </c>
      <c r="U14" s="740">
        <f t="shared" si="4"/>
        <v>4.6376158204368814</v>
      </c>
      <c r="V14" s="1930">
        <f t="shared" si="5"/>
        <v>2594.4654479422738</v>
      </c>
    </row>
    <row r="15" spans="1:22">
      <c r="A15" s="1072">
        <v>36770</v>
      </c>
      <c r="B15" s="706">
        <v>3.5014810000000001</v>
      </c>
      <c r="C15" s="705">
        <v>1287.8987099999999</v>
      </c>
      <c r="D15" s="714">
        <v>1.521156</v>
      </c>
      <c r="E15" s="705">
        <v>524.73260700000003</v>
      </c>
      <c r="F15" s="706">
        <f t="shared" si="0"/>
        <v>5.0226369999999996</v>
      </c>
      <c r="G15" s="705">
        <f t="shared" si="1"/>
        <v>1812.6313169999999</v>
      </c>
      <c r="H15" s="97">
        <f t="shared" si="2"/>
        <v>2000</v>
      </c>
      <c r="I15" s="98" t="str">
        <f t="shared" si="3"/>
        <v>3</v>
      </c>
      <c r="T15" s="1072">
        <f>LARGE(A$9:A$739,6)</f>
        <v>43891</v>
      </c>
      <c r="U15" s="1198">
        <f t="shared" si="4"/>
        <v>4.117021648718695</v>
      </c>
      <c r="V15" s="1122">
        <f t="shared" si="5"/>
        <v>1967.0786509273971</v>
      </c>
    </row>
    <row r="16" spans="1:22">
      <c r="A16" s="1072">
        <v>36861</v>
      </c>
      <c r="B16" s="1063">
        <v>3.459209</v>
      </c>
      <c r="C16" s="1064">
        <v>1191.6063360000001</v>
      </c>
      <c r="D16" s="1065">
        <v>1.391394</v>
      </c>
      <c r="E16" s="1064">
        <v>508.49971399999998</v>
      </c>
      <c r="F16" s="1063">
        <f t="shared" si="0"/>
        <v>4.8506029999999996</v>
      </c>
      <c r="G16" s="1064">
        <f t="shared" si="1"/>
        <v>1700.1060500000001</v>
      </c>
      <c r="H16" s="97">
        <f t="shared" si="2"/>
        <v>2000</v>
      </c>
      <c r="I16" s="98" t="str">
        <f t="shared" si="3"/>
        <v>4</v>
      </c>
      <c r="T16" s="1072">
        <f>LARGE(A$9:A$739,5)</f>
        <v>43983</v>
      </c>
      <c r="U16" s="740">
        <f t="shared" si="4"/>
        <v>3.9649807459120341</v>
      </c>
      <c r="V16" s="1930">
        <f t="shared" si="5"/>
        <v>1002.837009706639</v>
      </c>
    </row>
    <row r="17" spans="1:24">
      <c r="A17" s="1072">
        <v>36951</v>
      </c>
      <c r="B17" s="706">
        <v>3.7562519999999999</v>
      </c>
      <c r="C17" s="705">
        <v>1238.314519</v>
      </c>
      <c r="D17" s="714">
        <v>1.461999</v>
      </c>
      <c r="E17" s="705">
        <v>472.85967299999999</v>
      </c>
      <c r="F17" s="706">
        <f t="shared" si="0"/>
        <v>5.2182510000000004</v>
      </c>
      <c r="G17" s="705">
        <f t="shared" si="1"/>
        <v>1711.1741919999999</v>
      </c>
      <c r="H17" s="97">
        <f t="shared" si="2"/>
        <v>2001</v>
      </c>
      <c r="I17" s="98" t="str">
        <f t="shared" si="3"/>
        <v>1</v>
      </c>
      <c r="T17" s="1072">
        <f>LARGE(A$9:A$739,4)</f>
        <v>44075</v>
      </c>
      <c r="U17" s="1198">
        <f t="shared" si="4"/>
        <v>3.8385848910210427</v>
      </c>
      <c r="V17" s="1122">
        <f t="shared" si="5"/>
        <v>1160.3501171231437</v>
      </c>
    </row>
    <row r="18" spans="1:24">
      <c r="A18" s="1072">
        <v>37043</v>
      </c>
      <c r="B18" s="1063">
        <v>3.240332</v>
      </c>
      <c r="C18" s="1064">
        <v>1074.2325169999999</v>
      </c>
      <c r="D18" s="1065">
        <v>1.434911</v>
      </c>
      <c r="E18" s="1064">
        <v>478.43494600000002</v>
      </c>
      <c r="F18" s="1063">
        <f t="shared" si="0"/>
        <v>4.675243</v>
      </c>
      <c r="G18" s="1064">
        <f t="shared" si="1"/>
        <v>1552.667463</v>
      </c>
      <c r="H18" s="97">
        <f t="shared" si="2"/>
        <v>2001</v>
      </c>
      <c r="I18" s="98" t="str">
        <f t="shared" si="3"/>
        <v>2</v>
      </c>
      <c r="T18" s="1072">
        <f>LARGE(A$9:A$739,3)</f>
        <v>44166</v>
      </c>
      <c r="U18" s="740">
        <f t="shared" si="4"/>
        <v>4.0524136150933376</v>
      </c>
      <c r="V18" s="1930">
        <f t="shared" si="5"/>
        <v>1247.963868789288</v>
      </c>
    </row>
    <row r="19" spans="1:24">
      <c r="A19" s="1072">
        <v>37135</v>
      </c>
      <c r="B19" s="706">
        <v>3.5867040000000001</v>
      </c>
      <c r="C19" s="705">
        <v>1115.118109</v>
      </c>
      <c r="D19" s="714">
        <v>1.6060540000000001</v>
      </c>
      <c r="E19" s="705">
        <v>481.962243</v>
      </c>
      <c r="F19" s="706">
        <f t="shared" si="0"/>
        <v>5.1927580000000004</v>
      </c>
      <c r="G19" s="705">
        <f t="shared" si="1"/>
        <v>1597.0803519999999</v>
      </c>
      <c r="H19" s="97">
        <f t="shared" si="2"/>
        <v>2001</v>
      </c>
      <c r="I19" s="98" t="str">
        <f t="shared" si="3"/>
        <v>3</v>
      </c>
      <c r="T19" s="1072">
        <f>LARGE(A$9:A$739,2)</f>
        <v>44256</v>
      </c>
      <c r="U19" s="1198">
        <f t="shared" si="4"/>
        <v>3.9958941450484979</v>
      </c>
      <c r="V19" s="1122">
        <f t="shared" si="5"/>
        <v>1705.1352052101979</v>
      </c>
    </row>
    <row r="20" spans="1:24" ht="15.75" thickBot="1">
      <c r="A20" s="1072">
        <v>37226</v>
      </c>
      <c r="B20" s="1063">
        <v>3.477967</v>
      </c>
      <c r="C20" s="1064">
        <v>818.91795400000001</v>
      </c>
      <c r="D20" s="1065">
        <v>1.5121039999999999</v>
      </c>
      <c r="E20" s="1064">
        <v>354.651475</v>
      </c>
      <c r="F20" s="1063">
        <f t="shared" si="0"/>
        <v>4.9900710000000004</v>
      </c>
      <c r="G20" s="1064">
        <f t="shared" si="1"/>
        <v>1173.5694290000001</v>
      </c>
      <c r="H20" s="97">
        <f t="shared" si="2"/>
        <v>2001</v>
      </c>
      <c r="I20" s="98" t="str">
        <f t="shared" si="3"/>
        <v>4</v>
      </c>
      <c r="T20" s="1073">
        <f>LARGE(A$9:A$739,1)</f>
        <v>44348</v>
      </c>
      <c r="U20" s="744">
        <f t="shared" si="4"/>
        <v>3.5910329829558894</v>
      </c>
      <c r="V20" s="1931">
        <f t="shared" si="5"/>
        <v>1880.9530934133484</v>
      </c>
    </row>
    <row r="21" spans="1:24">
      <c r="A21" s="1072">
        <v>37316</v>
      </c>
      <c r="B21" s="706">
        <v>4.0860620000000001</v>
      </c>
      <c r="C21" s="705">
        <v>1117.3454730000001</v>
      </c>
      <c r="D21" s="714">
        <v>1.5268969999999999</v>
      </c>
      <c r="E21" s="705">
        <v>371.24079799999998</v>
      </c>
      <c r="F21" s="706">
        <f t="shared" si="0"/>
        <v>5.612959</v>
      </c>
      <c r="G21" s="705">
        <f t="shared" si="1"/>
        <v>1488.5862710000001</v>
      </c>
      <c r="H21" s="97">
        <f t="shared" si="2"/>
        <v>2002</v>
      </c>
      <c r="I21" s="98" t="str">
        <f t="shared" si="3"/>
        <v>1</v>
      </c>
      <c r="T21" s="2"/>
    </row>
    <row r="22" spans="1:24">
      <c r="A22" s="1072">
        <v>37408</v>
      </c>
      <c r="B22" s="1063">
        <v>3.937119</v>
      </c>
      <c r="C22" s="1064">
        <v>1147.3291750000001</v>
      </c>
      <c r="D22" s="1065">
        <v>1.6809480000000001</v>
      </c>
      <c r="E22" s="1064">
        <v>472.17899</v>
      </c>
      <c r="F22" s="1063">
        <f t="shared" si="0"/>
        <v>5.6180669999999999</v>
      </c>
      <c r="G22" s="1064">
        <f t="shared" si="1"/>
        <v>1619.5081650000002</v>
      </c>
      <c r="H22" s="97">
        <f t="shared" si="2"/>
        <v>2002</v>
      </c>
      <c r="I22" s="98" t="str">
        <f t="shared" si="3"/>
        <v>2</v>
      </c>
      <c r="T22" s="2"/>
    </row>
    <row r="23" spans="1:24">
      <c r="A23" s="1072">
        <v>37500</v>
      </c>
      <c r="B23" s="706">
        <v>3.7312120000000002</v>
      </c>
      <c r="C23" s="705">
        <v>1198.2107100000001</v>
      </c>
      <c r="D23" s="714">
        <v>1.897149</v>
      </c>
      <c r="E23" s="705">
        <v>573.09577100000001</v>
      </c>
      <c r="F23" s="706">
        <f t="shared" si="0"/>
        <v>5.6283609999999999</v>
      </c>
      <c r="G23" s="705">
        <f t="shared" si="1"/>
        <v>1771.3064810000001</v>
      </c>
      <c r="H23" s="97">
        <f t="shared" si="2"/>
        <v>2002</v>
      </c>
      <c r="I23" s="98" t="str">
        <f t="shared" si="3"/>
        <v>3</v>
      </c>
      <c r="T23" s="2"/>
    </row>
    <row r="24" spans="1:24">
      <c r="A24" s="1072">
        <v>37591</v>
      </c>
      <c r="B24" s="1063">
        <v>3.5340229999999999</v>
      </c>
      <c r="C24" s="1064">
        <v>1039.8336999999999</v>
      </c>
      <c r="D24" s="1065">
        <v>1.7735669999999999</v>
      </c>
      <c r="E24" s="1064">
        <v>512.06028600000002</v>
      </c>
      <c r="F24" s="1063">
        <f t="shared" si="0"/>
        <v>5.3075899999999994</v>
      </c>
      <c r="G24" s="1064">
        <f t="shared" si="1"/>
        <v>1551.893986</v>
      </c>
      <c r="H24" s="97">
        <f t="shared" si="2"/>
        <v>2002</v>
      </c>
      <c r="I24" s="98" t="str">
        <f t="shared" si="3"/>
        <v>4</v>
      </c>
      <c r="T24" s="2"/>
    </row>
    <row r="25" spans="1:24">
      <c r="A25" s="1072">
        <v>37681</v>
      </c>
      <c r="B25" s="706">
        <v>3.1149810000000002</v>
      </c>
      <c r="C25" s="705">
        <v>1059.5078820000001</v>
      </c>
      <c r="D25" s="714">
        <v>1.767471</v>
      </c>
      <c r="E25" s="705">
        <v>585.91432899999995</v>
      </c>
      <c r="F25" s="706">
        <f t="shared" si="0"/>
        <v>4.8824520000000007</v>
      </c>
      <c r="G25" s="705">
        <f t="shared" si="1"/>
        <v>1645.4222110000001</v>
      </c>
      <c r="H25" s="97">
        <f t="shared" si="2"/>
        <v>2003</v>
      </c>
      <c r="I25" s="98" t="str">
        <f t="shared" si="3"/>
        <v>1</v>
      </c>
      <c r="T25" s="2"/>
    </row>
    <row r="26" spans="1:24">
      <c r="A26" s="1072">
        <v>37773</v>
      </c>
      <c r="B26" s="1063">
        <v>3.6240830000000002</v>
      </c>
      <c r="C26" s="1064">
        <v>960.57250499999998</v>
      </c>
      <c r="D26" s="1065">
        <v>1.4959690000000001</v>
      </c>
      <c r="E26" s="1064">
        <v>375.29238700000002</v>
      </c>
      <c r="F26" s="1063">
        <f t="shared" si="0"/>
        <v>5.1200520000000003</v>
      </c>
      <c r="G26" s="1064">
        <f t="shared" si="1"/>
        <v>1335.8648920000001</v>
      </c>
      <c r="H26" s="97">
        <f t="shared" si="2"/>
        <v>2003</v>
      </c>
      <c r="I26" s="98" t="str">
        <f t="shared" si="3"/>
        <v>2</v>
      </c>
      <c r="T26" s="2"/>
    </row>
    <row r="27" spans="1:24">
      <c r="A27" s="1072">
        <v>37865</v>
      </c>
      <c r="B27" s="706">
        <v>3.9139629999999999</v>
      </c>
      <c r="C27" s="705">
        <v>1060.1358299999999</v>
      </c>
      <c r="D27" s="714">
        <v>1.8340510000000001</v>
      </c>
      <c r="E27" s="705">
        <v>480.41519099999999</v>
      </c>
      <c r="F27" s="706">
        <f t="shared" si="0"/>
        <v>5.7480139999999995</v>
      </c>
      <c r="G27" s="705">
        <f t="shared" si="1"/>
        <v>1540.551021</v>
      </c>
      <c r="H27" s="97">
        <f t="shared" si="2"/>
        <v>2003</v>
      </c>
      <c r="I27" s="98" t="str">
        <f t="shared" si="3"/>
        <v>3</v>
      </c>
      <c r="T27" s="2"/>
    </row>
    <row r="28" spans="1:24">
      <c r="A28" s="1072">
        <v>37956</v>
      </c>
      <c r="B28" s="1063">
        <v>3.466307</v>
      </c>
      <c r="C28" s="1064">
        <v>946.84622999999999</v>
      </c>
      <c r="D28" s="1065">
        <v>1.2962530000000001</v>
      </c>
      <c r="E28" s="1064">
        <v>333.37376</v>
      </c>
      <c r="F28" s="1063">
        <f t="shared" si="0"/>
        <v>4.7625600000000006</v>
      </c>
      <c r="G28" s="1064">
        <f t="shared" si="1"/>
        <v>1280.2199900000001</v>
      </c>
      <c r="H28" s="97">
        <f t="shared" si="2"/>
        <v>2003</v>
      </c>
      <c r="I28" s="98" t="str">
        <f t="shared" si="3"/>
        <v>4</v>
      </c>
      <c r="X28" s="530"/>
    </row>
    <row r="29" spans="1:24">
      <c r="A29" s="1072">
        <v>38047</v>
      </c>
      <c r="B29" s="706">
        <v>3.2103959999999998</v>
      </c>
      <c r="C29" s="705">
        <v>909.28289800000005</v>
      </c>
      <c r="D29" s="714">
        <v>1.595933</v>
      </c>
      <c r="E29" s="705">
        <v>450.41567700000002</v>
      </c>
      <c r="F29" s="706">
        <f t="shared" si="0"/>
        <v>4.8063289999999999</v>
      </c>
      <c r="G29" s="705">
        <f t="shared" si="1"/>
        <v>1359.6985750000001</v>
      </c>
      <c r="H29" s="97">
        <f t="shared" si="2"/>
        <v>2004</v>
      </c>
      <c r="I29" s="98" t="str">
        <f t="shared" si="3"/>
        <v>1</v>
      </c>
    </row>
    <row r="30" spans="1:24">
      <c r="A30" s="1072">
        <v>38139</v>
      </c>
      <c r="B30" s="1063">
        <v>2.63245</v>
      </c>
      <c r="C30" s="1064">
        <v>857.37622999999996</v>
      </c>
      <c r="D30" s="1065">
        <v>1.455247</v>
      </c>
      <c r="E30" s="1064">
        <v>483.30196100000001</v>
      </c>
      <c r="F30" s="1063">
        <f t="shared" si="0"/>
        <v>4.0876970000000004</v>
      </c>
      <c r="G30" s="1064">
        <f t="shared" si="1"/>
        <v>1340.678191</v>
      </c>
      <c r="H30" s="97">
        <f t="shared" si="2"/>
        <v>2004</v>
      </c>
      <c r="I30" s="98" t="str">
        <f t="shared" si="3"/>
        <v>2</v>
      </c>
    </row>
    <row r="31" spans="1:24">
      <c r="A31" s="1072">
        <v>38231</v>
      </c>
      <c r="B31" s="706">
        <v>3.3540009999999998</v>
      </c>
      <c r="C31" s="705">
        <v>1316.4309470000001</v>
      </c>
      <c r="D31" s="714">
        <v>1.0507740000000001</v>
      </c>
      <c r="E31" s="705">
        <v>585.40628300000003</v>
      </c>
      <c r="F31" s="706">
        <f t="shared" si="0"/>
        <v>4.4047749999999999</v>
      </c>
      <c r="G31" s="705">
        <f t="shared" si="1"/>
        <v>1901.8372300000001</v>
      </c>
      <c r="H31" s="97">
        <f t="shared" si="2"/>
        <v>2004</v>
      </c>
      <c r="I31" s="98" t="str">
        <f t="shared" si="3"/>
        <v>3</v>
      </c>
    </row>
    <row r="32" spans="1:24" ht="15.75" thickBot="1">
      <c r="A32" s="1072">
        <v>38322</v>
      </c>
      <c r="B32" s="1063">
        <v>3.0219999999999998</v>
      </c>
      <c r="C32" s="1064">
        <v>1126.22</v>
      </c>
      <c r="D32" s="1065">
        <v>1.381448</v>
      </c>
      <c r="E32" s="1064">
        <v>503.84818999999999</v>
      </c>
      <c r="F32" s="1063">
        <f t="shared" si="0"/>
        <v>4.403448</v>
      </c>
      <c r="G32" s="1064">
        <f t="shared" si="1"/>
        <v>1630.06819</v>
      </c>
      <c r="H32" s="97">
        <f t="shared" si="2"/>
        <v>2004</v>
      </c>
      <c r="I32" s="98" t="str">
        <f t="shared" si="3"/>
        <v>4</v>
      </c>
    </row>
    <row r="33" spans="1:26" ht="15.75" thickBot="1">
      <c r="A33" s="1072">
        <v>38412</v>
      </c>
      <c r="B33" s="706">
        <v>2.9159229999999998</v>
      </c>
      <c r="C33" s="705">
        <v>1152.8327589999999</v>
      </c>
      <c r="D33" s="714">
        <v>1.4509399999999999</v>
      </c>
      <c r="E33" s="705">
        <v>557.82519400000001</v>
      </c>
      <c r="F33" s="706">
        <f t="shared" si="0"/>
        <v>4.3668629999999995</v>
      </c>
      <c r="G33" s="705">
        <f t="shared" si="1"/>
        <v>1710.6579529999999</v>
      </c>
      <c r="H33" s="97">
        <f t="shared" si="2"/>
        <v>2005</v>
      </c>
      <c r="I33" s="98" t="str">
        <f t="shared" si="3"/>
        <v>1</v>
      </c>
      <c r="L33" s="106"/>
      <c r="M33" s="106"/>
      <c r="N33" s="106"/>
      <c r="T33" s="406" t="s">
        <v>383</v>
      </c>
      <c r="U33" s="1955" t="s">
        <v>382</v>
      </c>
      <c r="V33" s="1955"/>
      <c r="W33" s="1955"/>
      <c r="X33" s="1955"/>
      <c r="Y33" s="1955"/>
      <c r="Z33" s="1956"/>
    </row>
    <row r="34" spans="1:26" ht="15.75" thickBot="1">
      <c r="A34" s="1072">
        <v>38504</v>
      </c>
      <c r="B34" s="1063">
        <v>3.4811040000000002</v>
      </c>
      <c r="C34" s="1064">
        <v>1581.3614889999999</v>
      </c>
      <c r="D34" s="1065">
        <v>1.290584</v>
      </c>
      <c r="E34" s="1064">
        <v>556.04359999999997</v>
      </c>
      <c r="F34" s="1063">
        <f t="shared" si="0"/>
        <v>4.7716880000000002</v>
      </c>
      <c r="G34" s="1064">
        <f t="shared" si="1"/>
        <v>2137.4050889999999</v>
      </c>
      <c r="H34" s="97">
        <f t="shared" si="2"/>
        <v>2005</v>
      </c>
      <c r="I34" s="98" t="str">
        <f t="shared" si="3"/>
        <v>2</v>
      </c>
      <c r="L34" s="106"/>
      <c r="M34" s="106"/>
      <c r="N34" s="106"/>
      <c r="T34" s="1975" t="str">
        <f>CONCATENATE(A5," Quantity And Value By ",U33)</f>
        <v>Crude Oil And Condensate Quantity And Value By Financial Year</v>
      </c>
      <c r="U34" s="1976"/>
      <c r="V34" s="1976"/>
      <c r="W34" s="1976"/>
      <c r="X34" s="1976"/>
      <c r="Y34" s="1976"/>
      <c r="Z34" s="1977"/>
    </row>
    <row r="35" spans="1:26">
      <c r="A35" s="1072">
        <v>38596</v>
      </c>
      <c r="B35" s="706">
        <v>3.6096870000000001</v>
      </c>
      <c r="C35" s="705">
        <v>1873.904747</v>
      </c>
      <c r="D35" s="714">
        <v>1.567458</v>
      </c>
      <c r="E35" s="705">
        <v>759.64761499999997</v>
      </c>
      <c r="F35" s="706">
        <f t="shared" si="0"/>
        <v>5.1771450000000003</v>
      </c>
      <c r="G35" s="705">
        <f t="shared" si="1"/>
        <v>2633.5523619999999</v>
      </c>
      <c r="H35" s="97">
        <f t="shared" si="2"/>
        <v>2005</v>
      </c>
      <c r="I35" s="98" t="str">
        <f t="shared" si="3"/>
        <v>3</v>
      </c>
      <c r="L35" s="106"/>
      <c r="M35" s="106"/>
      <c r="N35" s="106"/>
      <c r="T35" s="120"/>
      <c r="U35" s="2058" t="str">
        <f>B7</f>
        <v>Crude Oil</v>
      </c>
      <c r="V35" s="2059"/>
      <c r="W35" s="2058" t="str">
        <f>D7</f>
        <v>Condensate</v>
      </c>
      <c r="X35" s="2059"/>
      <c r="Y35" s="2058" t="str">
        <f>F7</f>
        <v>Combined Total</v>
      </c>
      <c r="Z35" s="2059"/>
    </row>
    <row r="36" spans="1:26" ht="15.75" thickBot="1">
      <c r="A36" s="1072">
        <v>38687</v>
      </c>
      <c r="B36" s="1063">
        <v>3.1671830000000001</v>
      </c>
      <c r="C36" s="1064">
        <v>1554.1713749999999</v>
      </c>
      <c r="D36" s="1065">
        <v>1.575518</v>
      </c>
      <c r="E36" s="1064">
        <v>703.38319000000001</v>
      </c>
      <c r="F36" s="1063">
        <f t="shared" si="0"/>
        <v>4.7427010000000003</v>
      </c>
      <c r="G36" s="1064">
        <f t="shared" si="1"/>
        <v>2257.5545649999999</v>
      </c>
      <c r="H36" s="97">
        <f t="shared" si="2"/>
        <v>2005</v>
      </c>
      <c r="I36" s="98" t="str">
        <f t="shared" si="3"/>
        <v>4</v>
      </c>
      <c r="L36" s="106"/>
      <c r="M36" s="106"/>
      <c r="N36" s="106"/>
      <c r="T36" s="1066" t="s">
        <v>41</v>
      </c>
      <c r="U36" s="121" t="str">
        <f>B8</f>
        <v>Quantity (GL)</v>
      </c>
      <c r="V36" s="122" t="str">
        <f>C8</f>
        <v>Value ($ Million)</v>
      </c>
      <c r="W36" s="121" t="str">
        <f>D8</f>
        <v>Quantity (GL)</v>
      </c>
      <c r="X36" s="122" t="str">
        <f>E8</f>
        <v>Value ($ Million)</v>
      </c>
      <c r="Y36" s="121" t="str">
        <f>F8</f>
        <v>Quantity (GL)</v>
      </c>
      <c r="Z36" s="122" t="str">
        <f>G8</f>
        <v>Value ($ Million)</v>
      </c>
    </row>
    <row r="37" spans="1:26">
      <c r="A37" s="1072">
        <v>38777</v>
      </c>
      <c r="B37" s="706">
        <v>2.1416059999999999</v>
      </c>
      <c r="C37" s="705">
        <v>1170.1441870000001</v>
      </c>
      <c r="D37" s="714">
        <v>1.3033360000000001</v>
      </c>
      <c r="E37" s="705">
        <v>673.69742699999995</v>
      </c>
      <c r="F37" s="706">
        <f t="shared" si="0"/>
        <v>3.4449420000000002</v>
      </c>
      <c r="G37" s="705">
        <f t="shared" si="1"/>
        <v>1843.8416139999999</v>
      </c>
      <c r="H37" s="97">
        <f t="shared" si="2"/>
        <v>2006</v>
      </c>
      <c r="I37" s="98" t="str">
        <f t="shared" si="3"/>
        <v>1</v>
      </c>
      <c r="L37" s="106"/>
      <c r="M37" s="106"/>
      <c r="N37" s="106"/>
      <c r="T37" s="1352" t="str">
        <f>IF($U$33="Calendar Year",YEAR(MIN($A$8:$A$200)),CONCATENATE(YEAR(MIN($A$8:$A$200)),"-",((YEAR(MIN($A$8:$A$200))+1))))</f>
        <v>1999-2000</v>
      </c>
      <c r="U37" s="814">
        <f>IF($U$33="Calendar Year",SUMIF($H$9:$H$201,$T37,$B$9:$B$201),SUMIFS($B$9:$B$201,$H$9:$H$201,LEFT($T37,4),$I$9:$I$201,3)+SUMIFS($B$9:$B$201,$H$9:$H$201,LEFT($T37,4),$I$9:$I$201,4)+SUMIFS($B$9:$B$201,$H$9:$H$201,LEFT($T37,4)+1,$I$9:$I$201,1)+SUMIFS($B$9:$B$201,$H$9:$H$201,LEFT($T37,4)+1,$I$9:$I$201,2))</f>
        <v>12.053606</v>
      </c>
      <c r="V37" s="815">
        <f>IF($U$33="Calendar Year",SUMIF($H$9:$H$201,$T37,$C$9:$C$201),SUMIFS($C$9:$C$201,$H$9:$H$201,LEFT($T37,4),$I$9:$I$201,3)+SUMIFS($C$9:$C$201,$H$9:$H$201,LEFT($T37,4),$I$9:$I$201,4)+SUMIFS($C$9:$C$201,$H$9:$H$201,LEFT($T37,4)+1,$I$9:$I$201,1)+SUMIFS($C$9:$C$201,$H$9:$H$201,LEFT($T37,4)+1,$I$9:$I$201,2))</f>
        <v>3144.7666380000001</v>
      </c>
      <c r="W37" s="814">
        <f>IF($U$33="Calendar Year",SUMIF($H$9:$H$201,$T37,$D$9:$D$201),SUMIFS($D$9:$D$201,$H$9:$H$201,LEFT($T37,4),$I$9:$I$201,3)+SUMIFS($D$9:$D$201,$H$9:$H$201,LEFT($T37,4),$I$9:$I$201,4)+SUMIFS($D$9:$D$201,$H$9:$H$201,LEFT($T37,4)+1,$I$9:$I$201,1)+SUMIFS($D$9:$D$201,$H$9:$H$201,LEFT($T37,4)+1,$I$9:$I$201,2))</f>
        <v>6.3476479999999995</v>
      </c>
      <c r="X37" s="815">
        <f>IF($U$33="Calendar Year",SUMIF($H$9:$H$201,$T37,$E$9:$E$201),SUMIFS($E$9:$E$201,$H$9:$H$201,LEFT($T37,4),$I$9:$I$201,3)+SUMIFS($E$9:$E$201,$H$9:$H$201,LEFT($T37,4),$I$9:$I$201,4)+SUMIFS($E$9:$E$201,$H$9:$H$201,LEFT($T37,4)+1,$I$9:$I$201,1)+SUMIFS($E$9:$E$201,$H$9:$H$201,LEFT($T37,4)+1,$I$9:$I$201,2))</f>
        <v>1583.938449</v>
      </c>
      <c r="Y37" s="814">
        <f>IF($U$33="Calendar Year",SUMIF($H$9:$H$201,$T37,$F$9:$F$201),SUMIFS($F$9:$F$201,$H$9:$H$201,LEFT($T37,4),$I$9:$I$201,3)+SUMIFS($F$9:$F$201,$H$9:$H$201,LEFT($T37,4),$I$9:$I$201,4)+SUMIFS($F$9:$F$201,$H$9:$H$201,LEFT($T37,4)+1,$I$9:$I$201,1)+SUMIFS($F$9:$F$201,$H$9:$H$201,LEFT($T37,4)+1,$I$9:$I$201,2))</f>
        <v>18.401254000000002</v>
      </c>
      <c r="Z37" s="815">
        <f>IF($U$33="Calendar Year",SUMIF($H$9:$H$201,$T37,$G$9:$G$201),SUMIFS($G$9:$G$201,$H$9:$H$201,LEFT($T37,4),$I$9:$I$201,3)+SUMIFS($G$9:$G$201,$H$9:$H$201,LEFT($T37,4),$I$9:$I$201,4)+SUMIFS($G$9:$G$201,$H$9:$H$201,LEFT($T37,4)+1,$I$9:$I$201,1)+SUMIFS($G$9:$G$201,$H$9:$H$201,LEFT($T37,4)+1,$I$9:$I$201,2))</f>
        <v>4728.7050870000003</v>
      </c>
    </row>
    <row r="38" spans="1:26">
      <c r="A38" s="1072">
        <v>38869</v>
      </c>
      <c r="B38" s="1063">
        <v>2.2245020000000002</v>
      </c>
      <c r="C38" s="1064">
        <v>1303.0710779999999</v>
      </c>
      <c r="D38" s="1065">
        <v>1.179875</v>
      </c>
      <c r="E38" s="1064">
        <v>654.89832699999999</v>
      </c>
      <c r="F38" s="1063">
        <f t="shared" si="0"/>
        <v>3.4043770000000002</v>
      </c>
      <c r="G38" s="1064">
        <f t="shared" si="1"/>
        <v>1957.9694049999998</v>
      </c>
      <c r="H38" s="97">
        <f t="shared" si="2"/>
        <v>2006</v>
      </c>
      <c r="I38" s="98" t="str">
        <f t="shared" si="3"/>
        <v>2</v>
      </c>
      <c r="L38" s="106"/>
      <c r="M38" s="106"/>
      <c r="N38" s="106"/>
      <c r="T38" s="1353" t="str">
        <f>IFERROR(IF(YEAR(MAX('Commodity Prices'!$C$9:$C4984))=VALUE(RIGHT(T37,4)),"",IF($U$33="Calendar Year",T37+1,CONCATENATE(LEFT(T37,4)+1,"-",RIGHT(T37,4)+1))),"")</f>
        <v>2000-2001</v>
      </c>
      <c r="U38" s="1096">
        <f t="shared" ref="U38:U62" si="6">IF(T38="","",IF($U$33="Calendar Year",SUMIF($H$9:$H$201,$T38,$B$9:$B$201),SUMIFS($B$9:$B$201,$H$9:$H$201,LEFT($T38,4),$I$9:$I$201,3)+SUMIFS($B$9:$B$201,$H$9:$H$201,LEFT($T38,4),$I$9:$I$201,4)+SUMIFS($B$9:$B$201,$H$9:$H$201,LEFT($T38,4)+1,$I$9:$I$201,1)+SUMIFS($B$9:$B$201,$H$9:$H$201,LEFT($T38,4)+1,$I$9:$I$201,2)))</f>
        <v>13.957274</v>
      </c>
      <c r="V38" s="1097">
        <f t="shared" ref="V38:V62" si="7">IF(T38="","",IF($U$33="Calendar Year",SUMIF($H$9:$H$201,$T38,$C$9:$C$201),SUMIFS($C$9:$C$201,$H$9:$H$201,LEFT($T38,4),$I$9:$I$201,3)+SUMIFS($C$9:$C$201,$H$9:$H$201,LEFT($T38,4),$I$9:$I$201,4)+SUMIFS($C$9:$C$201,$H$9:$H$201,LEFT($T38,4)+1,$I$9:$I$201,1)+SUMIFS($C$9:$C$201,$H$9:$H$201,LEFT($T38,4)+1,$I$9:$I$201,2)))</f>
        <v>4792.0520820000002</v>
      </c>
      <c r="W38" s="1096">
        <f t="shared" ref="W38:W62" si="8">IF(T38="","",IF($U$33="Calendar Year",SUMIF($H$9:$H$201,$T38,$D$9:$D$201),SUMIFS($D$9:$D$201,$H$9:$H$201,LEFT($T38,4),$I$9:$I$201,3)+SUMIFS($D$9:$D$201,$H$9:$H$201,LEFT($T38,4),$I$9:$I$201,4)+SUMIFS($D$9:$D$201,$H$9:$H$201,LEFT($T38,4)+1,$I$9:$I$201,1)+SUMIFS($D$9:$D$201,$H$9:$H$201,LEFT($T38,4)+1,$I$9:$I$201,2)))</f>
        <v>5.8094599999999996</v>
      </c>
      <c r="X38" s="1097">
        <f t="shared" ref="X38:X62" si="9">IF(T38="","",IF($U$33="Calendar Year",SUMIF($H$9:$H$201,$T38,$E$9:$E$201),SUMIFS($E$9:$E$201,$H$9:$H$201,LEFT($T38,4),$I$9:$I$201,3)+SUMIFS($E$9:$E$201,$H$9:$H$201,LEFT($T38,4),$I$9:$I$201,4)+SUMIFS($E$9:$E$201,$H$9:$H$201,LEFT($T38,4)+1,$I$9:$I$201,1)+SUMIFS($E$9:$E$201,$H$9:$H$201,LEFT($T38,4)+1,$I$9:$I$201,2)))</f>
        <v>1984.52694</v>
      </c>
      <c r="Y38" s="1096">
        <f t="shared" ref="Y38:Y62" si="10">IF(T38="","",IF($U$33="Calendar Year",SUMIF($H$9:$H$201,$T38,$F$9:$F$201),SUMIFS($F$9:$F$201,$H$9:$H$201,LEFT($T38,4),$I$9:$I$201,3)+SUMIFS($F$9:$F$201,$H$9:$H$201,LEFT($T38,4),$I$9:$I$201,4)+SUMIFS($F$9:$F$201,$H$9:$H$201,LEFT($T38,4)+1,$I$9:$I$201,1)+SUMIFS($F$9:$F$201,$H$9:$H$201,LEFT($T38,4)+1,$I$9:$I$201,2)))</f>
        <v>19.766734</v>
      </c>
      <c r="Z38" s="1097">
        <f t="shared" ref="Z38:Z62" si="11">IF(T38="","",IF($U$33="Calendar Year",SUMIF($H$9:$H$201,$T38,$G$9:$G$201),SUMIFS($G$9:$G$201,$H$9:$H$201,LEFT($T38,4),$I$9:$I$201,3)+SUMIFS($G$9:$G$201,$H$9:$H$201,LEFT($T38,4),$I$9:$I$201,4)+SUMIFS($G$9:$G$201,$H$9:$H$201,LEFT($T38,4)+1,$I$9:$I$201,1)+SUMIFS($G$9:$G$201,$H$9:$H$201,LEFT($T38,4)+1,$I$9:$I$201,2)))</f>
        <v>6776.5790219999999</v>
      </c>
    </row>
    <row r="39" spans="1:26">
      <c r="A39" s="1072">
        <v>38961</v>
      </c>
      <c r="B39" s="706">
        <v>3.8089599999999999</v>
      </c>
      <c r="C39" s="705">
        <v>2275.9902149999998</v>
      </c>
      <c r="D39" s="714">
        <v>1.4312910000000001</v>
      </c>
      <c r="E39" s="705">
        <v>805.00033199999996</v>
      </c>
      <c r="F39" s="706">
        <f t="shared" si="0"/>
        <v>5.2402509999999998</v>
      </c>
      <c r="G39" s="705">
        <f t="shared" si="1"/>
        <v>3080.9905469999999</v>
      </c>
      <c r="H39" s="97">
        <f t="shared" si="2"/>
        <v>2006</v>
      </c>
      <c r="I39" s="98" t="str">
        <f t="shared" si="3"/>
        <v>3</v>
      </c>
      <c r="L39" s="106"/>
      <c r="M39" s="106"/>
      <c r="N39" s="106"/>
      <c r="T39" s="1353" t="str">
        <f>IFERROR(IF(YEAR(MAX('Commodity Prices'!$C$9:$C4985))=VALUE(RIGHT(T38,4)),"",IF($U$33="Calendar Year",T38+1,CONCATENATE(LEFT(T38,4)+1,"-",RIGHT(T38,4)+1))),"")</f>
        <v>2001-2002</v>
      </c>
      <c r="U39" s="818">
        <f t="shared" si="6"/>
        <v>15.087852000000002</v>
      </c>
      <c r="V39" s="819">
        <f t="shared" si="7"/>
        <v>4198.7107109999997</v>
      </c>
      <c r="W39" s="818">
        <f t="shared" si="8"/>
        <v>6.326003</v>
      </c>
      <c r="X39" s="819">
        <f t="shared" si="9"/>
        <v>1680.0335060000002</v>
      </c>
      <c r="Y39" s="818">
        <f t="shared" si="10"/>
        <v>21.413855000000002</v>
      </c>
      <c r="Z39" s="819">
        <f t="shared" si="11"/>
        <v>5878.7442170000004</v>
      </c>
    </row>
    <row r="40" spans="1:26">
      <c r="A40" s="1072">
        <v>39052</v>
      </c>
      <c r="B40" s="1063">
        <v>3.778724</v>
      </c>
      <c r="C40" s="1064">
        <v>1853.595174</v>
      </c>
      <c r="D40" s="1065">
        <v>1.6946490000000001</v>
      </c>
      <c r="E40" s="1064">
        <v>806.58999300000005</v>
      </c>
      <c r="F40" s="1063">
        <f t="shared" si="0"/>
        <v>5.4733730000000005</v>
      </c>
      <c r="G40" s="1064">
        <f t="shared" si="1"/>
        <v>2660.1851670000001</v>
      </c>
      <c r="H40" s="97">
        <f t="shared" si="2"/>
        <v>2006</v>
      </c>
      <c r="I40" s="98" t="str">
        <f t="shared" si="3"/>
        <v>4</v>
      </c>
      <c r="L40" s="106"/>
      <c r="M40" s="106"/>
      <c r="N40" s="106"/>
      <c r="T40" s="1353" t="str">
        <f>IFERROR(IF(YEAR(MAX('Commodity Prices'!$C$9:$C4986))=VALUE(RIGHT(T39,4)),"",IF($U$33="Calendar Year",T39+1,CONCATENATE(LEFT(T39,4)+1,"-",RIGHT(T39,4)+1))),"")</f>
        <v>2002-2003</v>
      </c>
      <c r="U40" s="1096">
        <f t="shared" si="6"/>
        <v>14.004299000000001</v>
      </c>
      <c r="V40" s="1097">
        <f t="shared" si="7"/>
        <v>4258.1247970000004</v>
      </c>
      <c r="W40" s="1096">
        <f t="shared" si="8"/>
        <v>6.9341559999999998</v>
      </c>
      <c r="X40" s="1097">
        <f t="shared" si="9"/>
        <v>2046.3627730000001</v>
      </c>
      <c r="Y40" s="1096">
        <f t="shared" si="10"/>
        <v>20.938455000000001</v>
      </c>
      <c r="Z40" s="1097">
        <f t="shared" si="11"/>
        <v>6304.4875699999993</v>
      </c>
    </row>
    <row r="41" spans="1:26">
      <c r="A41" s="1072">
        <v>39142</v>
      </c>
      <c r="B41" s="706">
        <v>3.3568169999999999</v>
      </c>
      <c r="C41" s="705">
        <v>1615.211877</v>
      </c>
      <c r="D41" s="714">
        <v>1.523692</v>
      </c>
      <c r="E41" s="705">
        <v>709.92148099999997</v>
      </c>
      <c r="F41" s="706">
        <f t="shared" si="0"/>
        <v>4.880509</v>
      </c>
      <c r="G41" s="705">
        <f t="shared" si="1"/>
        <v>2325.133358</v>
      </c>
      <c r="H41" s="97">
        <f t="shared" si="2"/>
        <v>2007</v>
      </c>
      <c r="I41" s="98" t="str">
        <f t="shared" si="3"/>
        <v>1</v>
      </c>
      <c r="L41" s="106"/>
      <c r="M41" s="106"/>
      <c r="N41" s="106"/>
      <c r="T41" s="1353" t="str">
        <f>IFERROR(IF(YEAR(MAX('Commodity Prices'!$C$9:$C4987))=VALUE(RIGHT(T40,4)),"",IF($U$33="Calendar Year",T40+1,CONCATENATE(LEFT(T40,4)+1,"-",RIGHT(T40,4)+1))),"")</f>
        <v>2003-2004</v>
      </c>
      <c r="U41" s="818">
        <f t="shared" si="6"/>
        <v>13.223115999999999</v>
      </c>
      <c r="V41" s="819">
        <f t="shared" si="7"/>
        <v>3773.6411879999996</v>
      </c>
      <c r="W41" s="818">
        <f t="shared" si="8"/>
        <v>6.1814840000000002</v>
      </c>
      <c r="X41" s="819">
        <f t="shared" si="9"/>
        <v>1747.5065890000001</v>
      </c>
      <c r="Y41" s="818">
        <f t="shared" si="10"/>
        <v>19.404600000000002</v>
      </c>
      <c r="Z41" s="819">
        <f t="shared" si="11"/>
        <v>5521.1477770000001</v>
      </c>
    </row>
    <row r="42" spans="1:26">
      <c r="A42" s="1072">
        <v>39234</v>
      </c>
      <c r="B42" s="1063">
        <v>3.3110430000000002</v>
      </c>
      <c r="C42" s="1064">
        <v>1784.7970760000001</v>
      </c>
      <c r="D42" s="1065">
        <v>1.21044</v>
      </c>
      <c r="E42" s="1064">
        <v>650.89629300000001</v>
      </c>
      <c r="F42" s="1063">
        <f t="shared" si="0"/>
        <v>4.5214829999999999</v>
      </c>
      <c r="G42" s="1064">
        <f t="shared" si="1"/>
        <v>2435.6933690000001</v>
      </c>
      <c r="H42" s="97">
        <f t="shared" si="2"/>
        <v>2007</v>
      </c>
      <c r="I42" s="98" t="str">
        <f t="shared" si="3"/>
        <v>2</v>
      </c>
      <c r="L42" s="106"/>
      <c r="M42" s="106"/>
      <c r="N42" s="106"/>
      <c r="T42" s="1353" t="str">
        <f>IFERROR(IF(YEAR(MAX('Commodity Prices'!$C$9:$C4988))=VALUE(RIGHT(T41,4)),"",IF($U$33="Calendar Year",T41+1,CONCATENATE(LEFT(T41,4)+1,"-",RIGHT(T41,4)+1))),"")</f>
        <v>2004-2005</v>
      </c>
      <c r="U42" s="1096">
        <f t="shared" si="6"/>
        <v>12.773028</v>
      </c>
      <c r="V42" s="1097">
        <f t="shared" si="7"/>
        <v>5176.8451949999999</v>
      </c>
      <c r="W42" s="1096">
        <f t="shared" si="8"/>
        <v>5.1737460000000004</v>
      </c>
      <c r="X42" s="1097">
        <f t="shared" si="9"/>
        <v>2203.1232669999999</v>
      </c>
      <c r="Y42" s="1096">
        <f t="shared" si="10"/>
        <v>17.946774000000001</v>
      </c>
      <c r="Z42" s="1097">
        <f t="shared" si="11"/>
        <v>7379.9684619999998</v>
      </c>
    </row>
    <row r="43" spans="1:26">
      <c r="A43" s="1072">
        <v>39326</v>
      </c>
      <c r="B43" s="706">
        <v>2.9606650000000001</v>
      </c>
      <c r="C43" s="705">
        <v>1682.4630400000001</v>
      </c>
      <c r="D43" s="714">
        <v>1.6522810000000001</v>
      </c>
      <c r="E43" s="705">
        <v>931.52293999999995</v>
      </c>
      <c r="F43" s="706">
        <f t="shared" si="0"/>
        <v>4.612946</v>
      </c>
      <c r="G43" s="705">
        <f t="shared" si="1"/>
        <v>2613.9859799999999</v>
      </c>
      <c r="H43" s="97">
        <f t="shared" si="2"/>
        <v>2007</v>
      </c>
      <c r="I43" s="98" t="str">
        <f t="shared" si="3"/>
        <v>3</v>
      </c>
      <c r="L43" s="106"/>
      <c r="M43" s="106"/>
      <c r="N43" s="106"/>
      <c r="T43" s="1353" t="str">
        <f>IFERROR(IF(YEAR(MAX('Commodity Prices'!$C$9:$C4989))=VALUE(RIGHT(T42,4)),"",IF($U$33="Calendar Year",T42+1,CONCATENATE(LEFT(T42,4)+1,"-",RIGHT(T42,4)+1))),"")</f>
        <v>2005-2006</v>
      </c>
      <c r="U43" s="818">
        <f t="shared" si="6"/>
        <v>11.142977999999999</v>
      </c>
      <c r="V43" s="819">
        <f t="shared" si="7"/>
        <v>5901.2913870000002</v>
      </c>
      <c r="W43" s="818">
        <f t="shared" si="8"/>
        <v>5.6261869999999998</v>
      </c>
      <c r="X43" s="819">
        <f t="shared" si="9"/>
        <v>2791.6265589999998</v>
      </c>
      <c r="Y43" s="818">
        <f t="shared" si="10"/>
        <v>16.769165000000001</v>
      </c>
      <c r="Z43" s="819">
        <f t="shared" si="11"/>
        <v>8692.9179459999996</v>
      </c>
    </row>
    <row r="44" spans="1:26">
      <c r="A44" s="1072">
        <v>39417</v>
      </c>
      <c r="B44" s="1063">
        <v>3.5672670000000002</v>
      </c>
      <c r="C44" s="1064">
        <v>2301.8202569999999</v>
      </c>
      <c r="D44" s="1065">
        <v>1.469241</v>
      </c>
      <c r="E44" s="1064">
        <v>944.41430400000002</v>
      </c>
      <c r="F44" s="1063">
        <f t="shared" si="0"/>
        <v>5.0365080000000004</v>
      </c>
      <c r="G44" s="1064">
        <f t="shared" si="1"/>
        <v>3246.2345609999998</v>
      </c>
      <c r="H44" s="97">
        <f t="shared" si="2"/>
        <v>2007</v>
      </c>
      <c r="I44" s="98" t="str">
        <f t="shared" si="3"/>
        <v>4</v>
      </c>
      <c r="L44" s="106"/>
      <c r="M44" s="106"/>
      <c r="N44" s="106"/>
      <c r="T44" s="1353" t="str">
        <f>IFERROR(IF(YEAR(MAX('Commodity Prices'!$C$9:$C4990))=VALUE(RIGHT(T43,4)),"",IF($U$33="Calendar Year",T43+1,CONCATENATE(LEFT(T43,4)+1,"-",RIGHT(T43,4)+1))),"")</f>
        <v>2006-2007</v>
      </c>
      <c r="U44" s="1096">
        <f t="shared" si="6"/>
        <v>14.255543999999999</v>
      </c>
      <c r="V44" s="1097">
        <f t="shared" si="7"/>
        <v>7529.5943419999994</v>
      </c>
      <c r="W44" s="1096">
        <f t="shared" si="8"/>
        <v>5.8600720000000006</v>
      </c>
      <c r="X44" s="1097">
        <f t="shared" si="9"/>
        <v>2972.4080990000002</v>
      </c>
      <c r="Y44" s="1096">
        <f t="shared" si="10"/>
        <v>20.115615999999999</v>
      </c>
      <c r="Z44" s="1097">
        <f t="shared" si="11"/>
        <v>10502.002441000001</v>
      </c>
    </row>
    <row r="45" spans="1:26">
      <c r="A45" s="1072">
        <v>39508</v>
      </c>
      <c r="B45" s="706">
        <v>2.8385500000000001</v>
      </c>
      <c r="C45" s="705">
        <v>1925.871791</v>
      </c>
      <c r="D45" s="714">
        <v>1.378117</v>
      </c>
      <c r="E45" s="705">
        <v>859.90919799999995</v>
      </c>
      <c r="F45" s="706">
        <f t="shared" si="0"/>
        <v>4.2166670000000002</v>
      </c>
      <c r="G45" s="705">
        <f t="shared" si="1"/>
        <v>2785.7809889999999</v>
      </c>
      <c r="H45" s="97">
        <f t="shared" si="2"/>
        <v>2008</v>
      </c>
      <c r="I45" s="98" t="str">
        <f t="shared" si="3"/>
        <v>1</v>
      </c>
      <c r="L45" s="106"/>
      <c r="M45" s="106"/>
      <c r="N45" s="106"/>
      <c r="T45" s="1353" t="str">
        <f>IFERROR(IF(YEAR(MAX('Commodity Prices'!$C$9:$C4991))=VALUE(RIGHT(T44,4)),"",IF($U$33="Calendar Year",T44+1,CONCATENATE(LEFT(T44,4)+1,"-",RIGHT(T44,4)+1))),"")</f>
        <v>2007-2008</v>
      </c>
      <c r="U45" s="818">
        <f t="shared" si="6"/>
        <v>12.647525999999999</v>
      </c>
      <c r="V45" s="819">
        <f t="shared" si="7"/>
        <v>8666.2172879999998</v>
      </c>
      <c r="W45" s="818">
        <f t="shared" si="8"/>
        <v>5.7637559999999999</v>
      </c>
      <c r="X45" s="819">
        <f t="shared" si="9"/>
        <v>3694.6698700000002</v>
      </c>
      <c r="Y45" s="818">
        <f t="shared" si="10"/>
        <v>18.411282</v>
      </c>
      <c r="Z45" s="819">
        <f t="shared" si="11"/>
        <v>12360.887158</v>
      </c>
    </row>
    <row r="46" spans="1:26">
      <c r="A46" s="1072">
        <v>39600</v>
      </c>
      <c r="B46" s="1063">
        <v>3.2810440000000001</v>
      </c>
      <c r="C46" s="1064">
        <v>2756.0621999999998</v>
      </c>
      <c r="D46" s="1065">
        <v>1.2641169999999999</v>
      </c>
      <c r="E46" s="1064">
        <v>958.82342800000004</v>
      </c>
      <c r="F46" s="1063">
        <f t="shared" si="0"/>
        <v>4.5451610000000002</v>
      </c>
      <c r="G46" s="1064">
        <f t="shared" si="1"/>
        <v>3714.885628</v>
      </c>
      <c r="H46" s="97">
        <f t="shared" si="2"/>
        <v>2008</v>
      </c>
      <c r="I46" s="98" t="str">
        <f t="shared" si="3"/>
        <v>2</v>
      </c>
      <c r="L46" s="106"/>
      <c r="M46" s="106"/>
      <c r="N46" s="106"/>
      <c r="T46" s="1353" t="str">
        <f>IFERROR(IF(YEAR(MAX('Commodity Prices'!$C$9:$C4992))=VALUE(RIGHT(T45,4)),"",IF($U$33="Calendar Year",T45+1,CONCATENATE(LEFT(T45,4)+1,"-",RIGHT(T45,4)+1))),"")</f>
        <v>2008-2009</v>
      </c>
      <c r="U46" s="1096">
        <f t="shared" si="6"/>
        <v>13.036933000000001</v>
      </c>
      <c r="V46" s="1097">
        <f t="shared" si="7"/>
        <v>7710.4966970000005</v>
      </c>
      <c r="W46" s="1096">
        <f t="shared" si="8"/>
        <v>6.6571010000000008</v>
      </c>
      <c r="X46" s="1097">
        <f t="shared" si="9"/>
        <v>3108.787292</v>
      </c>
      <c r="Y46" s="1096">
        <f t="shared" si="10"/>
        <v>19.694034000000002</v>
      </c>
      <c r="Z46" s="1097">
        <f t="shared" si="11"/>
        <v>10819.283989</v>
      </c>
    </row>
    <row r="47" spans="1:26">
      <c r="A47" s="1072">
        <v>39692</v>
      </c>
      <c r="B47" s="706">
        <v>3.5198800000000001</v>
      </c>
      <c r="C47" s="705">
        <v>3103.9276570000002</v>
      </c>
      <c r="D47" s="714">
        <v>1.433894</v>
      </c>
      <c r="E47" s="705">
        <v>1136.3378419999999</v>
      </c>
      <c r="F47" s="706">
        <f t="shared" si="0"/>
        <v>4.9537740000000001</v>
      </c>
      <c r="G47" s="705">
        <f t="shared" si="1"/>
        <v>4240.2654990000001</v>
      </c>
      <c r="H47" s="97">
        <f t="shared" si="2"/>
        <v>2008</v>
      </c>
      <c r="I47" s="98" t="str">
        <f t="shared" si="3"/>
        <v>3</v>
      </c>
      <c r="L47" s="106"/>
      <c r="M47" s="106"/>
      <c r="N47" s="106"/>
      <c r="T47" s="1353" t="str">
        <f>IFERROR(IF(YEAR(MAX('Commodity Prices'!$C$9:$C4993))=VALUE(RIGHT(T46,4)),"",IF($U$33="Calendar Year",T46+1,CONCATENATE(LEFT(T46,4)+1,"-",RIGHT(T46,4)+1))),"")</f>
        <v>2009-2010</v>
      </c>
      <c r="U47" s="818">
        <f t="shared" si="6"/>
        <v>11.842074999999999</v>
      </c>
      <c r="V47" s="819">
        <f t="shared" si="7"/>
        <v>6385.0718440000001</v>
      </c>
      <c r="W47" s="818">
        <f t="shared" si="8"/>
        <v>7.4180120000000001</v>
      </c>
      <c r="X47" s="819">
        <f t="shared" si="9"/>
        <v>3501.1862550000001</v>
      </c>
      <c r="Y47" s="818">
        <f t="shared" si="10"/>
        <v>19.260086999999999</v>
      </c>
      <c r="Z47" s="819">
        <f t="shared" si="11"/>
        <v>9886.2580989999988</v>
      </c>
    </row>
    <row r="48" spans="1:26">
      <c r="A48" s="1072">
        <v>39783</v>
      </c>
      <c r="B48" s="1063">
        <v>3.6849479999999999</v>
      </c>
      <c r="C48" s="1064">
        <v>1951.7586719999999</v>
      </c>
      <c r="D48" s="1065">
        <v>1.6488849999999999</v>
      </c>
      <c r="E48" s="1064">
        <v>557.34643600000004</v>
      </c>
      <c r="F48" s="1063">
        <f t="shared" si="0"/>
        <v>5.3338330000000003</v>
      </c>
      <c r="G48" s="1064">
        <f t="shared" si="1"/>
        <v>2509.1051079999997</v>
      </c>
      <c r="H48" s="97">
        <f t="shared" si="2"/>
        <v>2008</v>
      </c>
      <c r="I48" s="98" t="str">
        <f t="shared" si="3"/>
        <v>4</v>
      </c>
      <c r="L48" s="106"/>
      <c r="M48" s="106"/>
      <c r="N48" s="106"/>
      <c r="T48" s="1353" t="str">
        <f>IFERROR(IF(YEAR(MAX('Commodity Prices'!$C$9:$C4994))=VALUE(RIGHT(T47,4)),"",IF($U$33="Calendar Year",T47+1,CONCATENATE(LEFT(T47,4)+1,"-",RIGHT(T47,4)+1))),"")</f>
        <v>2010-2011</v>
      </c>
      <c r="U48" s="1096">
        <f t="shared" si="6"/>
        <v>13.924847</v>
      </c>
      <c r="V48" s="1097">
        <f t="shared" si="7"/>
        <v>8528.8625209999991</v>
      </c>
      <c r="W48" s="1096">
        <f t="shared" si="8"/>
        <v>6.8817909999999998</v>
      </c>
      <c r="X48" s="1097">
        <f t="shared" si="9"/>
        <v>3988.5243359999999</v>
      </c>
      <c r="Y48" s="1096">
        <f t="shared" si="10"/>
        <v>20.806638</v>
      </c>
      <c r="Z48" s="1097">
        <f t="shared" si="11"/>
        <v>12517.386857</v>
      </c>
    </row>
    <row r="49" spans="1:26">
      <c r="A49" s="1072">
        <v>39873</v>
      </c>
      <c r="B49" s="706">
        <v>3.1028630000000001</v>
      </c>
      <c r="C49" s="705">
        <v>1323.92037</v>
      </c>
      <c r="D49" s="714">
        <v>1.8248139999999999</v>
      </c>
      <c r="E49" s="705">
        <v>724.52265999999997</v>
      </c>
      <c r="F49" s="706">
        <f t="shared" si="0"/>
        <v>4.9276770000000001</v>
      </c>
      <c r="G49" s="705">
        <f t="shared" si="1"/>
        <v>2048.4430299999999</v>
      </c>
      <c r="H49" s="97">
        <f t="shared" si="2"/>
        <v>2009</v>
      </c>
      <c r="I49" s="98" t="str">
        <f t="shared" si="3"/>
        <v>1</v>
      </c>
      <c r="L49" s="106"/>
      <c r="M49" s="106"/>
      <c r="N49" s="106"/>
      <c r="T49" s="1353" t="str">
        <f>IFERROR(IF(YEAR(MAX('Commodity Prices'!$C$9:$C4995))=VALUE(RIGHT(T48,4)),"",IF($U$33="Calendar Year",T48+1,CONCATENATE(LEFT(T48,4)+1,"-",RIGHT(T48,4)+1))),"")</f>
        <v>2011-2012</v>
      </c>
      <c r="U49" s="818">
        <f t="shared" si="6"/>
        <v>11.121616</v>
      </c>
      <c r="V49" s="819">
        <f t="shared" si="7"/>
        <v>7676.6334589999988</v>
      </c>
      <c r="W49" s="818">
        <f t="shared" si="8"/>
        <v>5.8886079999999996</v>
      </c>
      <c r="X49" s="819">
        <f t="shared" si="9"/>
        <v>3842.1115710000004</v>
      </c>
      <c r="Y49" s="818">
        <f t="shared" si="10"/>
        <v>17.010224000000001</v>
      </c>
      <c r="Z49" s="819">
        <f t="shared" si="11"/>
        <v>11518.745029999998</v>
      </c>
    </row>
    <row r="50" spans="1:26">
      <c r="A50" s="1072">
        <v>39965</v>
      </c>
      <c r="B50" s="1063">
        <v>2.7292420000000002</v>
      </c>
      <c r="C50" s="1064">
        <v>1330.8899980000001</v>
      </c>
      <c r="D50" s="1065">
        <v>1.7495080000000001</v>
      </c>
      <c r="E50" s="1064">
        <v>690.58035400000006</v>
      </c>
      <c r="F50" s="1063">
        <f t="shared" si="0"/>
        <v>4.4787499999999998</v>
      </c>
      <c r="G50" s="1064">
        <f t="shared" si="1"/>
        <v>2021.4703520000003</v>
      </c>
      <c r="H50" s="97">
        <f t="shared" si="2"/>
        <v>2009</v>
      </c>
      <c r="I50" s="98" t="str">
        <f t="shared" si="3"/>
        <v>2</v>
      </c>
      <c r="L50" s="106"/>
      <c r="M50" s="106"/>
      <c r="N50" s="106"/>
      <c r="T50" s="1353" t="str">
        <f>IFERROR(IF(YEAR(MAX('Commodity Prices'!$C$9:$C4996))=VALUE(RIGHT(T49,4)),"",IF($U$33="Calendar Year",T49+1,CONCATENATE(LEFT(T49,4)+1,"-",RIGHT(T49,4)+1))),"")</f>
        <v>2012-2013</v>
      </c>
      <c r="U50" s="1096">
        <f t="shared" si="6"/>
        <v>8.6094249999999999</v>
      </c>
      <c r="V50" s="1097">
        <f t="shared" si="7"/>
        <v>5972.0581999999995</v>
      </c>
      <c r="W50" s="1096">
        <f t="shared" si="8"/>
        <v>6.116968</v>
      </c>
      <c r="X50" s="1097">
        <f t="shared" si="9"/>
        <v>3922.0325240000002</v>
      </c>
      <c r="Y50" s="1096">
        <f t="shared" si="10"/>
        <v>14.726393000000002</v>
      </c>
      <c r="Z50" s="1097">
        <f t="shared" si="11"/>
        <v>9894.0907239999997</v>
      </c>
    </row>
    <row r="51" spans="1:26">
      <c r="A51" s="1072">
        <v>40057</v>
      </c>
      <c r="B51" s="706">
        <v>2.6091690000000001</v>
      </c>
      <c r="C51" s="705">
        <v>1363.1734309999999</v>
      </c>
      <c r="D51" s="714">
        <v>1.9320889999999999</v>
      </c>
      <c r="E51" s="705">
        <v>875.69228799999996</v>
      </c>
      <c r="F51" s="706">
        <f t="shared" si="0"/>
        <v>4.541258</v>
      </c>
      <c r="G51" s="705">
        <f t="shared" si="1"/>
        <v>2238.8657189999999</v>
      </c>
      <c r="H51" s="97">
        <f t="shared" si="2"/>
        <v>2009</v>
      </c>
      <c r="I51" s="98" t="str">
        <f t="shared" si="3"/>
        <v>3</v>
      </c>
      <c r="L51" s="106"/>
      <c r="M51" s="106"/>
      <c r="N51" s="106"/>
      <c r="T51" s="1353" t="str">
        <f>IFERROR(IF(YEAR(MAX('Commodity Prices'!$C$9:$C4997))=VALUE(RIGHT(T50,4)),"",IF($U$33="Calendar Year",T50+1,CONCATENATE(LEFT(T50,4)+1,"-",RIGHT(T50,4)+1))),"")</f>
        <v>2013-2014</v>
      </c>
      <c r="U51" s="818">
        <f t="shared" si="6"/>
        <v>6.8673021770000009</v>
      </c>
      <c r="V51" s="819">
        <f t="shared" si="7"/>
        <v>5385.5199638664453</v>
      </c>
      <c r="W51" s="818">
        <f t="shared" si="8"/>
        <v>4.3992632069999997</v>
      </c>
      <c r="X51" s="819">
        <f t="shared" si="9"/>
        <v>3199.8794020108121</v>
      </c>
      <c r="Y51" s="818">
        <f t="shared" si="10"/>
        <v>11.266565384</v>
      </c>
      <c r="Z51" s="819">
        <f t="shared" si="11"/>
        <v>8585.3993658772561</v>
      </c>
    </row>
    <row r="52" spans="1:26">
      <c r="A52" s="1072">
        <v>40148</v>
      </c>
      <c r="B52" s="1063">
        <v>2.8056429999999999</v>
      </c>
      <c r="C52" s="1064">
        <v>1487.464219</v>
      </c>
      <c r="D52" s="1065">
        <v>1.9861329999999999</v>
      </c>
      <c r="E52" s="1064">
        <v>831.16143599999998</v>
      </c>
      <c r="F52" s="1063">
        <f t="shared" si="0"/>
        <v>4.7917759999999996</v>
      </c>
      <c r="G52" s="1064">
        <f t="shared" si="1"/>
        <v>2318.6256549999998</v>
      </c>
      <c r="H52" s="97">
        <f t="shared" si="2"/>
        <v>2009</v>
      </c>
      <c r="I52" s="98" t="str">
        <f t="shared" si="3"/>
        <v>4</v>
      </c>
      <c r="L52" s="106"/>
      <c r="M52" s="106"/>
      <c r="N52" s="106"/>
      <c r="T52" s="1353" t="str">
        <f>IFERROR(IF(YEAR(MAX('Commodity Prices'!$C$9:$C4998))=VALUE(RIGHT(T51,4)),"",IF($U$33="Calendar Year",T51+1,CONCATENATE(LEFT(T51,4)+1,"-",RIGHT(T51,4)+1))),"")</f>
        <v>2014-2015</v>
      </c>
      <c r="U52" s="1096">
        <f t="shared" si="6"/>
        <v>7.9524779160000003</v>
      </c>
      <c r="V52" s="1097">
        <f t="shared" si="7"/>
        <v>4567.6381607099229</v>
      </c>
      <c r="W52" s="1096">
        <f t="shared" si="8"/>
        <v>6.7532134489999995</v>
      </c>
      <c r="X52" s="1097">
        <f t="shared" si="9"/>
        <v>3528.8262305219268</v>
      </c>
      <c r="Y52" s="1096">
        <f t="shared" si="10"/>
        <v>14.705691365</v>
      </c>
      <c r="Z52" s="1097">
        <f t="shared" si="11"/>
        <v>8096.4643912318497</v>
      </c>
    </row>
    <row r="53" spans="1:26">
      <c r="A53" s="1072">
        <v>40238</v>
      </c>
      <c r="B53" s="706">
        <v>2.347594</v>
      </c>
      <c r="C53" s="705">
        <v>1241.589283</v>
      </c>
      <c r="D53" s="714">
        <v>1.688388</v>
      </c>
      <c r="E53" s="705">
        <v>878.40317000000005</v>
      </c>
      <c r="F53" s="706">
        <f t="shared" si="0"/>
        <v>4.0359819999999997</v>
      </c>
      <c r="G53" s="705">
        <f t="shared" si="1"/>
        <v>2119.9924529999998</v>
      </c>
      <c r="H53" s="97">
        <f t="shared" si="2"/>
        <v>2010</v>
      </c>
      <c r="I53" s="98" t="str">
        <f t="shared" si="3"/>
        <v>1</v>
      </c>
      <c r="L53" s="106"/>
      <c r="M53" s="106"/>
      <c r="N53" s="106"/>
      <c r="T53" s="1353" t="str">
        <f>IFERROR(IF(YEAR(MAX('Commodity Prices'!$C$9:$C4999))=VALUE(RIGHT(T52,4)),"",IF($U$33="Calendar Year",T52+1,CONCATENATE(LEFT(T52,4)+1,"-",RIGHT(T52,4)+1))),"")</f>
        <v>2015-2016</v>
      </c>
      <c r="U53" s="818">
        <f t="shared" si="6"/>
        <v>7.6859219885160002</v>
      </c>
      <c r="V53" s="819">
        <f t="shared" si="7"/>
        <v>3044.5326962173353</v>
      </c>
      <c r="W53" s="818">
        <f t="shared" si="8"/>
        <v>6.775141611506001</v>
      </c>
      <c r="X53" s="819">
        <f t="shared" si="9"/>
        <v>2214.2395993627397</v>
      </c>
      <c r="Y53" s="818">
        <f t="shared" si="10"/>
        <v>14.461063600022001</v>
      </c>
      <c r="Z53" s="819">
        <f t="shared" si="11"/>
        <v>5258.7722955800755</v>
      </c>
    </row>
    <row r="54" spans="1:26">
      <c r="A54" s="1072">
        <v>40330</v>
      </c>
      <c r="B54" s="1063">
        <v>4.079669</v>
      </c>
      <c r="C54" s="1064">
        <v>2292.8449110000001</v>
      </c>
      <c r="D54" s="1065">
        <v>1.811402</v>
      </c>
      <c r="E54" s="1064">
        <v>915.92936099999997</v>
      </c>
      <c r="F54" s="1063">
        <f t="shared" si="0"/>
        <v>5.8910710000000002</v>
      </c>
      <c r="G54" s="1064">
        <f t="shared" si="1"/>
        <v>3208.7742720000001</v>
      </c>
      <c r="H54" s="97">
        <f t="shared" si="2"/>
        <v>2010</v>
      </c>
      <c r="I54" s="98" t="str">
        <f t="shared" si="3"/>
        <v>2</v>
      </c>
      <c r="L54" s="106"/>
      <c r="M54" s="106"/>
      <c r="N54" s="106"/>
      <c r="T54" s="1353" t="str">
        <f>IFERROR(IF(YEAR(MAX('Commodity Prices'!$C$9:$C5000))=VALUE(RIGHT(T53,4)),"",IF($U$33="Calendar Year",T53+1,CONCATENATE(LEFT(T53,4)+1,"-",RIGHT(T53,4)+1))),"")</f>
        <v>2016-2017</v>
      </c>
      <c r="U54" s="1096">
        <f t="shared" si="6"/>
        <v>5.4042941809121388</v>
      </c>
      <c r="V54" s="1097">
        <f t="shared" si="7"/>
        <v>2128.2349354383105</v>
      </c>
      <c r="W54" s="1096">
        <f t="shared" si="8"/>
        <v>6.0376032539301541</v>
      </c>
      <c r="X54" s="1097">
        <f t="shared" si="9"/>
        <v>2229.5801562793058</v>
      </c>
      <c r="Y54" s="1096">
        <f t="shared" si="10"/>
        <v>11.441897434842295</v>
      </c>
      <c r="Z54" s="1097">
        <f t="shared" si="11"/>
        <v>4357.8150917176154</v>
      </c>
    </row>
    <row r="55" spans="1:26">
      <c r="A55" s="1072">
        <v>40422</v>
      </c>
      <c r="B55" s="706">
        <v>4.3708419999999997</v>
      </c>
      <c r="C55" s="705">
        <v>2437.6289529999999</v>
      </c>
      <c r="D55" s="714">
        <v>1.901114</v>
      </c>
      <c r="E55" s="705">
        <v>942.45362899999998</v>
      </c>
      <c r="F55" s="706">
        <f t="shared" si="0"/>
        <v>6.2719559999999994</v>
      </c>
      <c r="G55" s="705">
        <f t="shared" si="1"/>
        <v>3380.082582</v>
      </c>
      <c r="H55" s="97">
        <f t="shared" si="2"/>
        <v>2010</v>
      </c>
      <c r="I55" s="98" t="str">
        <f t="shared" si="3"/>
        <v>3</v>
      </c>
      <c r="L55" s="106"/>
      <c r="M55" s="106"/>
      <c r="N55" s="106"/>
      <c r="T55" s="1353" t="str">
        <f>IFERROR(IF(YEAR(MAX('Commodity Prices'!$C$9:$C5001))=VALUE(RIGHT(T54,4)),"",IF($U$33="Calendar Year",T54+1,CONCATENATE(LEFT(T54,4)+1,"-",RIGHT(T54,4)+1))),"")</f>
        <v>2017-2018</v>
      </c>
      <c r="U55" s="818">
        <f t="shared" si="6"/>
        <v>4.8774111944294951</v>
      </c>
      <c r="V55" s="819">
        <f t="shared" si="7"/>
        <v>2322.4255884325039</v>
      </c>
      <c r="W55" s="818">
        <f t="shared" si="8"/>
        <v>7.1127934822708205</v>
      </c>
      <c r="X55" s="819">
        <f t="shared" si="9"/>
        <v>3300.9527983132471</v>
      </c>
      <c r="Y55" s="818">
        <f t="shared" si="10"/>
        <v>11.990204676700316</v>
      </c>
      <c r="Z55" s="819">
        <f t="shared" si="11"/>
        <v>5623.3783867457514</v>
      </c>
    </row>
    <row r="56" spans="1:26">
      <c r="A56" s="1072">
        <v>40513</v>
      </c>
      <c r="B56" s="1063">
        <v>3.906895</v>
      </c>
      <c r="C56" s="1064">
        <v>2275.2464839999998</v>
      </c>
      <c r="D56" s="1065">
        <v>1.8146850000000001</v>
      </c>
      <c r="E56" s="1064">
        <v>968.64731800000004</v>
      </c>
      <c r="F56" s="1063">
        <f t="shared" si="0"/>
        <v>5.7215800000000003</v>
      </c>
      <c r="G56" s="1064">
        <f t="shared" si="1"/>
        <v>3243.8938019999996</v>
      </c>
      <c r="H56" s="97">
        <f t="shared" si="2"/>
        <v>2010</v>
      </c>
      <c r="I56" s="98" t="str">
        <f t="shared" si="3"/>
        <v>4</v>
      </c>
      <c r="L56" s="106"/>
      <c r="M56" s="106"/>
      <c r="N56" s="106"/>
      <c r="T56" s="1353" t="str">
        <f>IFERROR(IF(YEAR(MAX('Commodity Prices'!$C$9:$C5002))=VALUE(RIGHT(T55,4)),"",IF($U$33="Calendar Year",T55+1,CONCATENATE(LEFT(T55,4)+1,"-",RIGHT(T55,4)+1))),"")</f>
        <v>2018-2019</v>
      </c>
      <c r="U56" s="1096">
        <f t="shared" si="6"/>
        <v>3.0965219101496864</v>
      </c>
      <c r="V56" s="1097">
        <f t="shared" si="7"/>
        <v>1840.0654777232367</v>
      </c>
      <c r="W56" s="1096">
        <f t="shared" si="8"/>
        <v>11.147267561162524</v>
      </c>
      <c r="X56" s="1097">
        <f t="shared" si="9"/>
        <v>6163.2664858807329</v>
      </c>
      <c r="Y56" s="1096">
        <f t="shared" si="10"/>
        <v>14.24378947131221</v>
      </c>
      <c r="Z56" s="1097">
        <f t="shared" si="11"/>
        <v>8003.3319636039696</v>
      </c>
    </row>
    <row r="57" spans="1:26">
      <c r="A57" s="1072">
        <v>40603</v>
      </c>
      <c r="B57" s="706">
        <v>2.6924429999999999</v>
      </c>
      <c r="C57" s="705">
        <v>1813.2272929999999</v>
      </c>
      <c r="D57" s="714">
        <v>1.6744270000000001</v>
      </c>
      <c r="E57" s="705">
        <v>1075.0738120000001</v>
      </c>
      <c r="F57" s="706">
        <f t="shared" si="0"/>
        <v>4.3668700000000005</v>
      </c>
      <c r="G57" s="705">
        <f t="shared" si="1"/>
        <v>2888.301105</v>
      </c>
      <c r="H57" s="97">
        <f t="shared" si="2"/>
        <v>2011</v>
      </c>
      <c r="I57" s="98" t="str">
        <f t="shared" si="3"/>
        <v>1</v>
      </c>
      <c r="L57" s="106"/>
      <c r="M57" s="106"/>
      <c r="N57" s="106"/>
      <c r="T57" s="1353" t="str">
        <f>IFERROR(IF(YEAR(MAX('Commodity Prices'!$C$9:$C5003))=VALUE(RIGHT(T56,4)),"",IF($U$33="Calendar Year",T56+1,CONCATENATE(LEFT(T56,4)+1,"-",RIGHT(T56,4)+1))),"")</f>
        <v>2019-2020</v>
      </c>
      <c r="U57" s="820">
        <f t="shared" ref="U57:U58" si="12">IF(T57="","",IF($U$33="Calendar Year",SUMIF($H$9:$H$201,$T57,$B$9:$B$201),SUMIFS($B$9:$B$201,$H$9:$H$201,LEFT($T57,4),$I$9:$I$201,3)+SUMIFS($B$9:$B$201,$H$9:$H$201,LEFT($T57,4),$I$9:$I$201,4)+SUMIFS($B$9:$B$201,$H$9:$H$201,LEFT($T57,4)+1,$I$9:$I$201,1)+SUMIFS($B$9:$B$201,$H$9:$H$201,LEFT($T57,4)+1,$I$9:$I$201,2)))</f>
        <v>5.0060738206409034</v>
      </c>
      <c r="V57" s="821">
        <f t="shared" ref="V57:V58" si="13">IF(T57="","",IF($U$33="Calendar Year",SUMIF($H$9:$H$201,$T57,$C$9:$C$201),SUMIFS($C$9:$C$201,$H$9:$H$201,LEFT($T57,4),$I$9:$I$201,3)+SUMIFS($C$9:$C$201,$H$9:$H$201,LEFT($T57,4),$I$9:$I$201,4)+SUMIFS($C$9:$C$201,$H$9:$H$201,LEFT($T57,4)+1,$I$9:$I$201,1)+SUMIFS($C$9:$C$201,$H$9:$H$201,LEFT($T57,4)+1,$I$9:$I$201,2)))</f>
        <v>2680.6489595435796</v>
      </c>
      <c r="W57" s="820">
        <f t="shared" ref="W57:W58" si="14">IF(T57="","",IF($U$33="Calendar Year",SUMIF($H$9:$H$201,$T57,$D$9:$D$201),SUMIFS($D$9:$D$201,$H$9:$H$201,LEFT($T57,4),$I$9:$I$201,3)+SUMIFS($D$9:$D$201,$H$9:$H$201,LEFT($T57,4),$I$9:$I$201,4)+SUMIFS($D$9:$D$201,$H$9:$H$201,LEFT($T57,4)+1,$I$9:$I$201,1)+SUMIFS($D$9:$D$201,$H$9:$H$201,LEFT($T57,4)+1,$I$9:$I$201,2)))</f>
        <v>12.34092611349741</v>
      </c>
      <c r="X57" s="821">
        <f t="shared" ref="X57:X58" si="15">IF(T57="","",IF($U$33="Calendar Year",SUMIF($H$9:$H$201,$T57,$E$9:$E$201),SUMIFS($E$9:$E$201,$H$9:$H$201,LEFT($T57,4),$I$9:$I$201,3)+SUMIFS($E$9:$E$201,$H$9:$H$201,LEFT($T57,4),$I$9:$I$201,4)+SUMIFS($E$9:$E$201,$H$9:$H$201,LEFT($T57,4)+1,$I$9:$I$201,1)+SUMIFS($E$9:$E$201,$H$9:$H$201,LEFT($T57,4)+1,$I$9:$I$201,2)))</f>
        <v>5401.8643903273833</v>
      </c>
      <c r="Y57" s="820">
        <f t="shared" ref="Y57:Y58" si="16">IF(T57="","",IF($U$33="Calendar Year",SUMIF($H$9:$H$201,$T57,$F$9:$F$201),SUMIFS($F$9:$F$201,$H$9:$H$201,LEFT($T57,4),$I$9:$I$201,3)+SUMIFS($F$9:$F$201,$H$9:$H$201,LEFT($T57,4),$I$9:$I$201,4)+SUMIFS($F$9:$F$201,$H$9:$H$201,LEFT($T57,4)+1,$I$9:$I$201,1)+SUMIFS($F$9:$F$201,$H$9:$H$201,LEFT($T57,4)+1,$I$9:$I$201,2)))</f>
        <v>17.34699993413831</v>
      </c>
      <c r="Z57" s="821">
        <f t="shared" ref="Z57:Z58" si="17">IF(T57="","",IF($U$33="Calendar Year",SUMIF($H$9:$H$201,$T57,$G$9:$G$201),SUMIFS($G$9:$G$201,$H$9:$H$201,LEFT($T57,4),$I$9:$I$201,3)+SUMIFS($G$9:$G$201,$H$9:$H$201,LEFT($T57,4),$I$9:$I$201,4)+SUMIFS($G$9:$G$201,$H$9:$H$201,LEFT($T57,4)+1,$I$9:$I$201,1)+SUMIFS($G$9:$G$201,$H$9:$H$201,LEFT($T57,4)+1,$I$9:$I$201,2)))</f>
        <v>8082.5133498709629</v>
      </c>
    </row>
    <row r="58" spans="1:26" ht="15.75" thickBot="1">
      <c r="A58" s="1072">
        <v>40695</v>
      </c>
      <c r="B58" s="1063">
        <v>2.9546670000000002</v>
      </c>
      <c r="C58" s="1064">
        <v>2002.759791</v>
      </c>
      <c r="D58" s="1065">
        <v>1.491565</v>
      </c>
      <c r="E58" s="1064">
        <v>1002.349577</v>
      </c>
      <c r="F58" s="1063">
        <f t="shared" si="0"/>
        <v>4.4462320000000002</v>
      </c>
      <c r="G58" s="1064">
        <f t="shared" si="1"/>
        <v>3005.1093679999999</v>
      </c>
      <c r="H58" s="97">
        <f t="shared" si="2"/>
        <v>2011</v>
      </c>
      <c r="I58" s="98" t="str">
        <f t="shared" si="3"/>
        <v>2</v>
      </c>
      <c r="L58" s="106"/>
      <c r="M58" s="106"/>
      <c r="N58" s="106"/>
      <c r="T58" s="1353" t="str">
        <f>IFERROR(IF(YEAR(MAX('Commodity Prices'!$C$9:$C5004))=VALUE(RIGHT(T57,4)),"",IF($U$33="Calendar Year",T57+1,CONCATENATE(LEFT(T57,4)+1,"-",RIGHT(T57,4)+1))),"")</f>
        <v>2020-2021</v>
      </c>
      <c r="U58" s="1096">
        <f t="shared" si="12"/>
        <v>4.3610278915356373</v>
      </c>
      <c r="V58" s="1097">
        <f t="shared" si="13"/>
        <v>1716.421257373775</v>
      </c>
      <c r="W58" s="1096">
        <f t="shared" si="14"/>
        <v>11.116897742583131</v>
      </c>
      <c r="X58" s="1097">
        <f t="shared" si="15"/>
        <v>4277.9810271622027</v>
      </c>
      <c r="Y58" s="1096">
        <f t="shared" si="16"/>
        <v>15.477925634118767</v>
      </c>
      <c r="Z58" s="1097">
        <f t="shared" si="17"/>
        <v>5994.4022845359777</v>
      </c>
    </row>
    <row r="59" spans="1:26">
      <c r="A59" s="1072">
        <v>40787</v>
      </c>
      <c r="B59" s="706">
        <v>3.020804</v>
      </c>
      <c r="C59" s="705">
        <v>1952.9530339999999</v>
      </c>
      <c r="D59" s="714">
        <v>1.4885489999999999</v>
      </c>
      <c r="E59" s="705">
        <v>986.18390999999997</v>
      </c>
      <c r="F59" s="706">
        <f t="shared" si="0"/>
        <v>4.5093529999999999</v>
      </c>
      <c r="G59" s="705">
        <f t="shared" si="1"/>
        <v>2939.1369439999999</v>
      </c>
      <c r="H59" s="97">
        <f t="shared" si="2"/>
        <v>2011</v>
      </c>
      <c r="I59" s="98" t="str">
        <f t="shared" si="3"/>
        <v>3</v>
      </c>
      <c r="L59" s="106"/>
      <c r="M59" s="106"/>
      <c r="N59" s="106"/>
      <c r="T59" s="658" t="str">
        <f>IFERROR(IF(YEAR(MAX('Commodity Prices'!$C$9:$C5004))=VALUE(RIGHT(T58,4)),"",IF($U$33="Calendar Year",T58+1,CONCATENATE(LEFT(T58,4)+1,"-",RIGHT(T58,4)+1))),"")</f>
        <v/>
      </c>
      <c r="U59" s="808" t="str">
        <f t="shared" si="6"/>
        <v/>
      </c>
      <c r="V59" s="1003" t="str">
        <f t="shared" si="7"/>
        <v/>
      </c>
      <c r="W59" s="808" t="str">
        <f t="shared" si="8"/>
        <v/>
      </c>
      <c r="X59" s="1003" t="str">
        <f t="shared" si="9"/>
        <v/>
      </c>
      <c r="Y59" s="808" t="str">
        <f t="shared" si="10"/>
        <v/>
      </c>
      <c r="Z59" s="1003" t="str">
        <f t="shared" si="11"/>
        <v/>
      </c>
    </row>
    <row r="60" spans="1:26">
      <c r="A60" s="1072">
        <v>40878</v>
      </c>
      <c r="B60" s="1063">
        <v>3.3855789999999999</v>
      </c>
      <c r="C60" s="1064">
        <v>2262.0034559999999</v>
      </c>
      <c r="D60" s="1065">
        <v>1.627686</v>
      </c>
      <c r="E60" s="1064">
        <v>1024.790227</v>
      </c>
      <c r="F60" s="1063">
        <f t="shared" si="0"/>
        <v>5.0132649999999996</v>
      </c>
      <c r="G60" s="1064">
        <f t="shared" si="1"/>
        <v>3286.7936829999999</v>
      </c>
      <c r="H60" s="97">
        <f t="shared" si="2"/>
        <v>2011</v>
      </c>
      <c r="I60" s="98" t="str">
        <f t="shared" si="3"/>
        <v>4</v>
      </c>
      <c r="L60" s="106"/>
      <c r="M60" s="106"/>
      <c r="N60" s="106"/>
      <c r="T60" s="656" t="str">
        <f>IFERROR(IF(YEAR(MAX('Commodity Prices'!$C$9:$C5005))=VALUE(RIGHT(T59,4)),"",IF($U$33="Calendar Year",T59+1,CONCATENATE(LEFT(T59,4)+1,"-",RIGHT(T59,4)+1))),"")</f>
        <v/>
      </c>
      <c r="U60" s="943" t="str">
        <f t="shared" si="6"/>
        <v/>
      </c>
      <c r="V60" s="654" t="str">
        <f t="shared" si="7"/>
        <v/>
      </c>
      <c r="W60" s="943" t="str">
        <f t="shared" si="8"/>
        <v/>
      </c>
      <c r="X60" s="654" t="str">
        <f t="shared" si="9"/>
        <v/>
      </c>
      <c r="Y60" s="943" t="str">
        <f t="shared" si="10"/>
        <v/>
      </c>
      <c r="Z60" s="654" t="str">
        <f t="shared" si="11"/>
        <v/>
      </c>
    </row>
    <row r="61" spans="1:26">
      <c r="A61" s="1072">
        <v>40969</v>
      </c>
      <c r="B61" s="706">
        <v>2.409443</v>
      </c>
      <c r="C61" s="705">
        <v>1822.344396</v>
      </c>
      <c r="D61" s="714">
        <v>1.5950839999999999</v>
      </c>
      <c r="E61" s="705">
        <v>1063.177745</v>
      </c>
      <c r="F61" s="706">
        <f t="shared" si="0"/>
        <v>4.0045269999999995</v>
      </c>
      <c r="G61" s="705">
        <f t="shared" si="1"/>
        <v>2885.5221409999999</v>
      </c>
      <c r="H61" s="97">
        <f t="shared" si="2"/>
        <v>2012</v>
      </c>
      <c r="I61" s="98" t="str">
        <f t="shared" si="3"/>
        <v>1</v>
      </c>
      <c r="L61" s="106"/>
      <c r="M61" s="106"/>
      <c r="N61" s="106"/>
      <c r="T61" s="656" t="str">
        <f>IFERROR(IF(YEAR(MAX('Commodity Prices'!$C$9:$C5006))=VALUE(RIGHT(T60,4)),"",IF($U$33="Calendar Year",T60+1,CONCATENATE(LEFT(T60,4)+1,"-",RIGHT(T60,4)+1))),"")</f>
        <v/>
      </c>
      <c r="U61" s="943" t="str">
        <f t="shared" si="6"/>
        <v/>
      </c>
      <c r="V61" s="654" t="str">
        <f t="shared" si="7"/>
        <v/>
      </c>
      <c r="W61" s="943" t="str">
        <f t="shared" si="8"/>
        <v/>
      </c>
      <c r="X61" s="654" t="str">
        <f t="shared" si="9"/>
        <v/>
      </c>
      <c r="Y61" s="943" t="str">
        <f t="shared" si="10"/>
        <v/>
      </c>
      <c r="Z61" s="654" t="str">
        <f t="shared" si="11"/>
        <v/>
      </c>
    </row>
    <row r="62" spans="1:26">
      <c r="A62" s="1072">
        <v>41061</v>
      </c>
      <c r="B62" s="1063">
        <v>2.30579</v>
      </c>
      <c r="C62" s="1064">
        <v>1639.3325729999999</v>
      </c>
      <c r="D62" s="1065">
        <v>1.177289</v>
      </c>
      <c r="E62" s="1064">
        <v>767.95968900000003</v>
      </c>
      <c r="F62" s="1063">
        <f t="shared" si="0"/>
        <v>3.483079</v>
      </c>
      <c r="G62" s="1064">
        <f t="shared" si="1"/>
        <v>2407.2922619999999</v>
      </c>
      <c r="H62" s="97">
        <f t="shared" si="2"/>
        <v>2012</v>
      </c>
      <c r="I62" s="98" t="str">
        <f t="shared" si="3"/>
        <v>2</v>
      </c>
      <c r="T62" s="656" t="str">
        <f>IFERROR(IF(YEAR(MAX('Commodity Prices'!$C$9:$C5007))=VALUE(RIGHT(T61,4)),"",IF($U$33="Calendar Year",T61+1,CONCATENATE(LEFT(T61,4)+1,"-",RIGHT(T61,4)+1))),"")</f>
        <v/>
      </c>
      <c r="U62" s="943" t="str">
        <f t="shared" si="6"/>
        <v/>
      </c>
      <c r="V62" s="654" t="str">
        <f t="shared" si="7"/>
        <v/>
      </c>
      <c r="W62" s="943" t="str">
        <f t="shared" si="8"/>
        <v/>
      </c>
      <c r="X62" s="654" t="str">
        <f t="shared" si="9"/>
        <v/>
      </c>
      <c r="Y62" s="943" t="str">
        <f t="shared" si="10"/>
        <v/>
      </c>
      <c r="Z62" s="654" t="str">
        <f t="shared" si="11"/>
        <v/>
      </c>
    </row>
    <row r="63" spans="1:26">
      <c r="A63" s="1072">
        <v>41153</v>
      </c>
      <c r="B63" s="706">
        <v>2.6893250000000002</v>
      </c>
      <c r="C63" s="705">
        <v>1878.8416990000001</v>
      </c>
      <c r="D63" s="714">
        <v>1.6682189999999999</v>
      </c>
      <c r="E63" s="705">
        <v>1042.7887109999999</v>
      </c>
      <c r="F63" s="706">
        <f t="shared" si="0"/>
        <v>4.3575439999999999</v>
      </c>
      <c r="G63" s="705">
        <f t="shared" si="1"/>
        <v>2921.6304099999998</v>
      </c>
      <c r="H63" s="97">
        <f t="shared" si="2"/>
        <v>2012</v>
      </c>
      <c r="I63" s="98" t="str">
        <f t="shared" si="3"/>
        <v>3</v>
      </c>
    </row>
    <row r="64" spans="1:26">
      <c r="A64" s="1072">
        <v>41244</v>
      </c>
      <c r="B64" s="1063">
        <v>2.5871230000000001</v>
      </c>
      <c r="C64" s="1064">
        <v>1759.074867</v>
      </c>
      <c r="D64" s="1065">
        <v>1.558918</v>
      </c>
      <c r="E64" s="1064">
        <v>988.37496999999996</v>
      </c>
      <c r="F64" s="1063">
        <f t="shared" si="0"/>
        <v>4.1460410000000003</v>
      </c>
      <c r="G64" s="1064">
        <f t="shared" si="1"/>
        <v>2747.4498370000001</v>
      </c>
      <c r="H64" s="97">
        <f t="shared" si="2"/>
        <v>2012</v>
      </c>
      <c r="I64" s="98" t="str">
        <f t="shared" si="3"/>
        <v>4</v>
      </c>
    </row>
    <row r="65" spans="1:13">
      <c r="A65" s="1072">
        <v>41334</v>
      </c>
      <c r="B65" s="706">
        <v>1.5366310000000001</v>
      </c>
      <c r="C65" s="705">
        <v>1095.996523</v>
      </c>
      <c r="D65" s="714">
        <v>1.429154</v>
      </c>
      <c r="E65" s="705">
        <v>948.41882899999996</v>
      </c>
      <c r="F65" s="706">
        <f t="shared" si="0"/>
        <v>2.9657850000000003</v>
      </c>
      <c r="G65" s="705">
        <f t="shared" si="1"/>
        <v>2044.415352</v>
      </c>
      <c r="H65" s="97">
        <f t="shared" si="2"/>
        <v>2013</v>
      </c>
      <c r="I65" s="98" t="str">
        <f t="shared" si="3"/>
        <v>1</v>
      </c>
    </row>
    <row r="66" spans="1:13">
      <c r="A66" s="1072">
        <v>41426</v>
      </c>
      <c r="B66" s="1063">
        <v>1.796346</v>
      </c>
      <c r="C66" s="1064">
        <v>1238.145111</v>
      </c>
      <c r="D66" s="1065">
        <v>1.460677</v>
      </c>
      <c r="E66" s="1064">
        <v>942.45001400000001</v>
      </c>
      <c r="F66" s="1063">
        <f t="shared" si="0"/>
        <v>3.2570230000000002</v>
      </c>
      <c r="G66" s="1064">
        <f t="shared" si="1"/>
        <v>2180.5951249999998</v>
      </c>
      <c r="H66" s="97">
        <f t="shared" si="2"/>
        <v>2013</v>
      </c>
      <c r="I66" s="98" t="str">
        <f t="shared" si="3"/>
        <v>2</v>
      </c>
    </row>
    <row r="67" spans="1:13">
      <c r="A67" s="1072">
        <v>41518</v>
      </c>
      <c r="B67" s="706">
        <v>1.85368</v>
      </c>
      <c r="C67" s="705">
        <v>1453.3608859999999</v>
      </c>
      <c r="D67" s="714">
        <v>1.6749639999999999</v>
      </c>
      <c r="E67" s="705">
        <v>1203.7449919999999</v>
      </c>
      <c r="F67" s="706">
        <f t="shared" si="0"/>
        <v>3.5286439999999999</v>
      </c>
      <c r="G67" s="705">
        <f t="shared" si="1"/>
        <v>2657.1058779999998</v>
      </c>
      <c r="H67" s="97">
        <f t="shared" si="2"/>
        <v>2013</v>
      </c>
      <c r="I67" s="98" t="str">
        <f t="shared" si="3"/>
        <v>3</v>
      </c>
    </row>
    <row r="68" spans="1:13">
      <c r="A68" s="1072">
        <v>41609</v>
      </c>
      <c r="B68" s="1063">
        <v>1.68432</v>
      </c>
      <c r="C68" s="1064">
        <v>1323.5901530000001</v>
      </c>
      <c r="D68" s="1065">
        <v>1.392476</v>
      </c>
      <c r="E68" s="1064">
        <v>1022.3082020000001</v>
      </c>
      <c r="F68" s="1063">
        <f t="shared" si="0"/>
        <v>3.0767959999999999</v>
      </c>
      <c r="G68" s="1064">
        <f t="shared" si="1"/>
        <v>2345.8983550000003</v>
      </c>
      <c r="H68" s="97">
        <f t="shared" si="2"/>
        <v>2013</v>
      </c>
      <c r="I68" s="98" t="str">
        <f t="shared" si="3"/>
        <v>4</v>
      </c>
    </row>
    <row r="69" spans="1:13">
      <c r="A69" s="1072">
        <v>41699</v>
      </c>
      <c r="B69" s="706">
        <v>1.7543310000000001</v>
      </c>
      <c r="C69" s="705">
        <v>1407.2485658013093</v>
      </c>
      <c r="D69" s="714">
        <v>0.106236</v>
      </c>
      <c r="E69" s="705">
        <v>79.995091938622977</v>
      </c>
      <c r="F69" s="706">
        <v>1.8605670000000001</v>
      </c>
      <c r="G69" s="705">
        <v>1487.2436577399321</v>
      </c>
      <c r="H69" s="97">
        <f t="shared" si="2"/>
        <v>2014</v>
      </c>
      <c r="I69" s="98" t="str">
        <f t="shared" si="3"/>
        <v>1</v>
      </c>
    </row>
    <row r="70" spans="1:13">
      <c r="A70" s="1072">
        <v>41791</v>
      </c>
      <c r="B70" s="1063">
        <v>1.5749711770000001</v>
      </c>
      <c r="C70" s="1064">
        <v>1201.3203590651353</v>
      </c>
      <c r="D70" s="1065">
        <v>1.225587207</v>
      </c>
      <c r="E70" s="1064">
        <v>893.83111607218905</v>
      </c>
      <c r="F70" s="1063">
        <v>2.8005583840000003</v>
      </c>
      <c r="G70" s="1064">
        <v>2095.1514751373243</v>
      </c>
      <c r="H70" s="97">
        <f t="shared" si="2"/>
        <v>2014</v>
      </c>
      <c r="I70" s="98" t="str">
        <f t="shared" si="3"/>
        <v>2</v>
      </c>
    </row>
    <row r="71" spans="1:13">
      <c r="A71" s="1072">
        <v>41883</v>
      </c>
      <c r="B71" s="706">
        <v>1.9036463259999998</v>
      </c>
      <c r="C71" s="705">
        <v>1358.4648318863947</v>
      </c>
      <c r="D71" s="714">
        <v>1.8797281810000002</v>
      </c>
      <c r="E71" s="705">
        <v>1242.6869138642155</v>
      </c>
      <c r="F71" s="706">
        <v>3.783374507</v>
      </c>
      <c r="G71" s="705">
        <v>2601.1517457506102</v>
      </c>
      <c r="H71" s="97">
        <f t="shared" si="2"/>
        <v>2014</v>
      </c>
      <c r="I71" s="98" t="str">
        <f t="shared" si="3"/>
        <v>3</v>
      </c>
    </row>
    <row r="72" spans="1:13">
      <c r="A72" s="1072">
        <v>41974</v>
      </c>
      <c r="B72" s="1063">
        <v>2.3753548340000004</v>
      </c>
      <c r="C72" s="1064">
        <v>1409.6488573583283</v>
      </c>
      <c r="D72" s="1065">
        <v>1.7044695839999999</v>
      </c>
      <c r="E72" s="1064">
        <v>980.67858123771146</v>
      </c>
      <c r="F72" s="1063">
        <v>4.0798244180000003</v>
      </c>
      <c r="G72" s="1064">
        <v>2390.3274385960399</v>
      </c>
      <c r="H72" s="97">
        <f t="shared" si="2"/>
        <v>2014</v>
      </c>
      <c r="I72" s="98" t="str">
        <f t="shared" si="3"/>
        <v>4</v>
      </c>
    </row>
    <row r="73" spans="1:13">
      <c r="A73" s="1072">
        <v>42064</v>
      </c>
      <c r="B73" s="706">
        <v>1.9190555039999999</v>
      </c>
      <c r="C73" s="705">
        <v>885.96239547430002</v>
      </c>
      <c r="D73" s="706">
        <v>1.6808532540000001</v>
      </c>
      <c r="E73" s="705">
        <v>628.76823893000005</v>
      </c>
      <c r="F73" s="706">
        <v>3.5999087580000002</v>
      </c>
      <c r="G73" s="705">
        <v>1514.7306344043</v>
      </c>
      <c r="H73" s="97">
        <f t="shared" si="2"/>
        <v>2015</v>
      </c>
      <c r="I73" s="98" t="str">
        <f t="shared" si="3"/>
        <v>1</v>
      </c>
    </row>
    <row r="74" spans="1:13">
      <c r="A74" s="1072">
        <v>42156</v>
      </c>
      <c r="B74" s="1063">
        <v>1.754421252</v>
      </c>
      <c r="C74" s="1064">
        <v>913.56207599089998</v>
      </c>
      <c r="D74" s="1063">
        <v>1.48816243</v>
      </c>
      <c r="E74" s="1064">
        <v>676.69249649000005</v>
      </c>
      <c r="F74" s="1063">
        <v>3.2425836819999998</v>
      </c>
      <c r="G74" s="1064">
        <v>1590.2545724808999</v>
      </c>
      <c r="H74" s="97">
        <f>YEAR(A74)</f>
        <v>2015</v>
      </c>
      <c r="I74" s="98" t="str">
        <f t="shared" si="3"/>
        <v>2</v>
      </c>
    </row>
    <row r="75" spans="1:13">
      <c r="A75" s="1072">
        <v>42248</v>
      </c>
      <c r="B75" s="706">
        <v>2.632189881</v>
      </c>
      <c r="C75" s="705">
        <v>1183.07002341</v>
      </c>
      <c r="D75" s="706">
        <v>1.6907829999999999</v>
      </c>
      <c r="E75" s="705">
        <v>617.12525978999997</v>
      </c>
      <c r="F75" s="706">
        <v>4.3229728810000001</v>
      </c>
      <c r="G75" s="705">
        <v>1800.1952831999999</v>
      </c>
      <c r="H75" s="97">
        <f>YEAR(A75)</f>
        <v>2015</v>
      </c>
      <c r="I75" s="98" t="str">
        <f>IF(MONTH(A75)=3,"1",IF(MONTH(A75)=6,"2",IF(MONTH(A75)=9,"3","4")))</f>
        <v>3</v>
      </c>
      <c r="M75" s="126"/>
    </row>
    <row r="76" spans="1:13">
      <c r="A76" s="1072">
        <v>42339</v>
      </c>
      <c r="B76" s="1063">
        <v>2.0377510819999998</v>
      </c>
      <c r="C76" s="1064">
        <v>792.93758543469812</v>
      </c>
      <c r="D76" s="1063">
        <v>1.7703195810000003</v>
      </c>
      <c r="E76" s="1064">
        <v>539.16328404677688</v>
      </c>
      <c r="F76" s="1063">
        <v>3.8080706630000001</v>
      </c>
      <c r="G76" s="1064">
        <v>1332.100869481475</v>
      </c>
      <c r="H76" s="97">
        <f>YEAR(A76)</f>
        <v>2015</v>
      </c>
      <c r="I76" s="98" t="str">
        <f>IF(MONTH(A76)=3,"1",IF(MONTH(A76)=6,"2",IF(MONTH(A76)=9,"3","4")))</f>
        <v>4</v>
      </c>
      <c r="M76" s="126"/>
    </row>
    <row r="77" spans="1:13">
      <c r="A77" s="1072">
        <v>42430</v>
      </c>
      <c r="B77" s="706">
        <v>1.6235729555160001</v>
      </c>
      <c r="C77" s="705">
        <v>485.56609615765666</v>
      </c>
      <c r="D77" s="706">
        <v>1.6963439478560001</v>
      </c>
      <c r="E77" s="705">
        <v>508.22006655734356</v>
      </c>
      <c r="F77" s="706">
        <v>3.3199169033720004</v>
      </c>
      <c r="G77" s="705">
        <v>993.78616271500027</v>
      </c>
      <c r="H77" s="98">
        <f t="shared" ref="H77:H126" si="18">YEAR(A77)</f>
        <v>2016</v>
      </c>
      <c r="I77" s="98" t="str">
        <f t="shared" ref="I77:I126" si="19">IF(MONTH(A77)=3,"1",IF(MONTH(A77)=6,"2",IF(MONTH(A77)=9,"3","4")))</f>
        <v>1</v>
      </c>
      <c r="M77" s="126"/>
    </row>
    <row r="78" spans="1:13">
      <c r="A78" s="1072">
        <v>42522</v>
      </c>
      <c r="B78" s="1063">
        <v>1.3924080700000001</v>
      </c>
      <c r="C78" s="1064">
        <v>582.95899121498041</v>
      </c>
      <c r="D78" s="1063">
        <v>1.6176950826500001</v>
      </c>
      <c r="E78" s="1064">
        <v>549.73098896861916</v>
      </c>
      <c r="F78" s="1063">
        <v>3.0101031526500002</v>
      </c>
      <c r="G78" s="1064">
        <v>1132.6899801835996</v>
      </c>
      <c r="H78" s="98">
        <f t="shared" si="18"/>
        <v>2016</v>
      </c>
      <c r="I78" s="98" t="str">
        <f t="shared" si="19"/>
        <v>2</v>
      </c>
      <c r="M78" s="126"/>
    </row>
    <row r="79" spans="1:13">
      <c r="A79" s="1072">
        <v>42614</v>
      </c>
      <c r="B79" s="706">
        <v>1.4007175309569293</v>
      </c>
      <c r="C79" s="705">
        <v>499.02558391892438</v>
      </c>
      <c r="D79" s="706">
        <v>1.5939928130438696</v>
      </c>
      <c r="E79" s="705">
        <v>497.4058869341963</v>
      </c>
      <c r="F79" s="706">
        <v>2.9947103440007989</v>
      </c>
      <c r="G79" s="705">
        <v>996.43147085312069</v>
      </c>
      <c r="H79" s="98">
        <f t="shared" si="18"/>
        <v>2016</v>
      </c>
      <c r="I79" s="98" t="str">
        <f t="shared" si="19"/>
        <v>3</v>
      </c>
    </row>
    <row r="80" spans="1:13">
      <c r="A80" s="1072">
        <v>42705</v>
      </c>
      <c r="B80" s="1063">
        <v>1.39724921</v>
      </c>
      <c r="C80" s="1064">
        <v>573.64022547555601</v>
      </c>
      <c r="D80" s="1063">
        <v>1.548909179</v>
      </c>
      <c r="E80" s="1064">
        <v>600.51982647015154</v>
      </c>
      <c r="F80" s="1063">
        <v>2.9461583889999998</v>
      </c>
      <c r="G80" s="1064">
        <v>1174.1600519457074</v>
      </c>
      <c r="H80" s="98">
        <f t="shared" si="18"/>
        <v>2016</v>
      </c>
      <c r="I80" s="98" t="str">
        <f t="shared" si="19"/>
        <v>4</v>
      </c>
    </row>
    <row r="81" spans="1:9">
      <c r="A81" s="1072">
        <v>42795</v>
      </c>
      <c r="B81" s="706">
        <v>1.2477125822608752</v>
      </c>
      <c r="C81" s="705">
        <v>526.67458358748729</v>
      </c>
      <c r="D81" s="706">
        <v>1.4171939958479354</v>
      </c>
      <c r="E81" s="705">
        <v>585.0665542913265</v>
      </c>
      <c r="F81" s="706">
        <v>2.6649065781088108</v>
      </c>
      <c r="G81" s="705">
        <v>1111.7411378788138</v>
      </c>
      <c r="H81" s="98">
        <f t="shared" si="18"/>
        <v>2017</v>
      </c>
      <c r="I81" s="98" t="str">
        <f t="shared" si="19"/>
        <v>1</v>
      </c>
    </row>
    <row r="82" spans="1:9">
      <c r="A82" s="1072">
        <v>42887</v>
      </c>
      <c r="B82" s="1063">
        <v>1.3586148576943344</v>
      </c>
      <c r="C82" s="1064">
        <v>528.89454245634249</v>
      </c>
      <c r="D82" s="1063">
        <v>1.4775072660383499</v>
      </c>
      <c r="E82" s="1064">
        <v>546.5878885836313</v>
      </c>
      <c r="F82" s="1063">
        <v>2.8361221237326841</v>
      </c>
      <c r="G82" s="1064">
        <v>1075.4824310399738</v>
      </c>
      <c r="H82" s="98">
        <f t="shared" si="18"/>
        <v>2017</v>
      </c>
      <c r="I82" s="98" t="str">
        <f t="shared" si="19"/>
        <v>2</v>
      </c>
    </row>
    <row r="83" spans="1:9">
      <c r="A83" s="1072">
        <v>42979</v>
      </c>
      <c r="B83" s="706">
        <v>1.3921877598441044</v>
      </c>
      <c r="C83" s="705">
        <v>506.9114783529775</v>
      </c>
      <c r="D83" s="706">
        <v>1.6648071947505914</v>
      </c>
      <c r="E83" s="705">
        <v>636.71262850889229</v>
      </c>
      <c r="F83" s="706">
        <v>3.0569949545946957</v>
      </c>
      <c r="G83" s="705">
        <v>1143.6241068618697</v>
      </c>
      <c r="H83" s="98">
        <f t="shared" si="18"/>
        <v>2017</v>
      </c>
      <c r="I83" s="98" t="str">
        <f t="shared" si="19"/>
        <v>3</v>
      </c>
    </row>
    <row r="84" spans="1:9">
      <c r="A84" s="1072">
        <v>43070</v>
      </c>
      <c r="B84" s="1140">
        <v>1.2823233000000001</v>
      </c>
      <c r="C84" s="1097">
        <v>632.6221491735007</v>
      </c>
      <c r="D84" s="1140">
        <v>1.70565729</v>
      </c>
      <c r="E84" s="1097">
        <v>786.15806036691288</v>
      </c>
      <c r="F84" s="1140">
        <v>2.9879805900000003</v>
      </c>
      <c r="G84" s="1097">
        <v>1418.7802095404136</v>
      </c>
      <c r="H84" s="98">
        <f t="shared" si="18"/>
        <v>2017</v>
      </c>
      <c r="I84" s="98" t="str">
        <f t="shared" si="19"/>
        <v>4</v>
      </c>
    </row>
    <row r="85" spans="1:9">
      <c r="A85" s="1072">
        <v>43160</v>
      </c>
      <c r="B85" s="926">
        <v>1.2871270533178567</v>
      </c>
      <c r="C85" s="821">
        <v>648.75302970104542</v>
      </c>
      <c r="D85" s="926">
        <v>1.8437004932619911</v>
      </c>
      <c r="E85" s="821">
        <v>837.49113341345833</v>
      </c>
      <c r="F85" s="926">
        <v>3.1308275465798481</v>
      </c>
      <c r="G85" s="821">
        <v>1486.2441631145039</v>
      </c>
      <c r="H85" s="98">
        <f t="shared" si="18"/>
        <v>2018</v>
      </c>
      <c r="I85" s="98" t="str">
        <f t="shared" si="19"/>
        <v>1</v>
      </c>
    </row>
    <row r="86" spans="1:9">
      <c r="A86" s="1072">
        <v>43252</v>
      </c>
      <c r="B86" s="1140">
        <v>0.91577308126753398</v>
      </c>
      <c r="C86" s="1097">
        <v>534.13893120498051</v>
      </c>
      <c r="D86" s="1140">
        <v>1.8986285042582385</v>
      </c>
      <c r="E86" s="1097">
        <v>1040.5909760239833</v>
      </c>
      <c r="F86" s="1140">
        <v>2.8144015855257725</v>
      </c>
      <c r="G86" s="1097">
        <v>1574.7299072289638</v>
      </c>
      <c r="H86" s="98">
        <f t="shared" si="18"/>
        <v>2018</v>
      </c>
      <c r="I86" s="98" t="str">
        <f t="shared" si="19"/>
        <v>2</v>
      </c>
    </row>
    <row r="87" spans="1:9">
      <c r="A87" s="1072">
        <v>43344</v>
      </c>
      <c r="B87" s="926">
        <v>0.63538361652746322</v>
      </c>
      <c r="C87" s="821">
        <v>380.5316104664991</v>
      </c>
      <c r="D87" s="926">
        <v>2.3432807112617002</v>
      </c>
      <c r="E87" s="821">
        <v>1519.4288573760846</v>
      </c>
      <c r="F87" s="926">
        <v>2.9786643277891636</v>
      </c>
      <c r="G87" s="821">
        <v>1899.9604678425837</v>
      </c>
      <c r="H87" s="98">
        <f t="shared" si="18"/>
        <v>2018</v>
      </c>
      <c r="I87" s="98" t="str">
        <f t="shared" si="19"/>
        <v>3</v>
      </c>
    </row>
    <row r="88" spans="1:9">
      <c r="A88" s="1072">
        <v>43435</v>
      </c>
      <c r="B88" s="1140">
        <v>0.79985215243603103</v>
      </c>
      <c r="C88" s="1097">
        <v>491.19942607473945</v>
      </c>
      <c r="D88" s="1140">
        <v>2.6959942341534053</v>
      </c>
      <c r="E88" s="1097">
        <v>1344.4815341772542</v>
      </c>
      <c r="F88" s="1140">
        <v>3.4958463865894362</v>
      </c>
      <c r="G88" s="1097">
        <v>1835.6809602519936</v>
      </c>
      <c r="H88" s="98">
        <f t="shared" si="18"/>
        <v>2018</v>
      </c>
      <c r="I88" s="98" t="str">
        <f t="shared" si="19"/>
        <v>4</v>
      </c>
    </row>
    <row r="89" spans="1:9">
      <c r="A89" s="1072">
        <v>43525</v>
      </c>
      <c r="B89" s="926">
        <v>0.81325478214387048</v>
      </c>
      <c r="C89" s="821">
        <v>426.15133176893903</v>
      </c>
      <c r="D89" s="926">
        <v>2.736246515615131</v>
      </c>
      <c r="E89" s="821">
        <v>1402.1670854807301</v>
      </c>
      <c r="F89" s="926">
        <v>3.5495012977590017</v>
      </c>
      <c r="G89" s="821">
        <v>1828.318417249669</v>
      </c>
      <c r="H89" s="98">
        <f t="shared" si="18"/>
        <v>2019</v>
      </c>
      <c r="I89" s="98" t="str">
        <f t="shared" si="19"/>
        <v>1</v>
      </c>
    </row>
    <row r="90" spans="1:9">
      <c r="A90" s="1351">
        <v>43617</v>
      </c>
      <c r="B90" s="1140">
        <v>0.84803135904232207</v>
      </c>
      <c r="C90" s="1097">
        <v>542.18310941305901</v>
      </c>
      <c r="D90" s="1140">
        <v>3.3717461001322881</v>
      </c>
      <c r="E90" s="1097">
        <v>1897.1890088466639</v>
      </c>
      <c r="F90" s="1140">
        <v>4.21977745917461</v>
      </c>
      <c r="G90" s="1097">
        <v>2439.3721182597228</v>
      </c>
      <c r="H90" s="98">
        <f t="shared" si="18"/>
        <v>2019</v>
      </c>
      <c r="I90" s="98" t="str">
        <f t="shared" si="19"/>
        <v>2</v>
      </c>
    </row>
    <row r="91" spans="1:9">
      <c r="A91" s="1072">
        <v>43709</v>
      </c>
      <c r="B91" s="706">
        <v>1.3054871725512838</v>
      </c>
      <c r="C91" s="705">
        <v>776.2901131169383</v>
      </c>
      <c r="D91" s="706">
        <v>3.3218945465194172</v>
      </c>
      <c r="E91" s="705">
        <v>1741.8421281777153</v>
      </c>
      <c r="F91" s="706">
        <v>4.6273817190707014</v>
      </c>
      <c r="G91" s="705">
        <v>2518.1322412946538</v>
      </c>
      <c r="H91" s="98">
        <f t="shared" si="18"/>
        <v>2019</v>
      </c>
      <c r="I91" s="98" t="str">
        <f t="shared" si="19"/>
        <v>3</v>
      </c>
    </row>
    <row r="92" spans="1:9">
      <c r="A92" s="1072">
        <v>43800</v>
      </c>
      <c r="B92" s="1063">
        <v>1.4824140949086919</v>
      </c>
      <c r="C92" s="1064">
        <v>856.72336384543371</v>
      </c>
      <c r="D92" s="1063">
        <v>3.1552017255281894</v>
      </c>
      <c r="E92" s="1064">
        <v>1737.74208409684</v>
      </c>
      <c r="F92" s="1063">
        <v>4.6376158204368814</v>
      </c>
      <c r="G92" s="1064">
        <v>2594.4654479422738</v>
      </c>
      <c r="H92" s="98">
        <f t="shared" si="18"/>
        <v>2019</v>
      </c>
      <c r="I92" s="98" t="str">
        <f t="shared" si="19"/>
        <v>4</v>
      </c>
    </row>
    <row r="93" spans="1:9">
      <c r="A93" s="1072">
        <v>43891</v>
      </c>
      <c r="B93" s="706">
        <v>1.0675025409046148</v>
      </c>
      <c r="C93" s="705">
        <v>559.33879266544216</v>
      </c>
      <c r="D93" s="706">
        <v>3.0495191078140804</v>
      </c>
      <c r="E93" s="705">
        <v>1407.7398582619549</v>
      </c>
      <c r="F93" s="706">
        <v>4.117021648718695</v>
      </c>
      <c r="G93" s="705">
        <v>1967.0786509273971</v>
      </c>
      <c r="H93" s="98">
        <f t="shared" si="18"/>
        <v>2020</v>
      </c>
      <c r="I93" s="98" t="str">
        <f t="shared" si="19"/>
        <v>1</v>
      </c>
    </row>
    <row r="94" spans="1:9">
      <c r="A94" s="1351">
        <v>43983</v>
      </c>
      <c r="B94" s="1063">
        <v>1.1506700122763129</v>
      </c>
      <c r="C94" s="1064">
        <v>488.29668991576563</v>
      </c>
      <c r="D94" s="1063">
        <v>2.8143107336357214</v>
      </c>
      <c r="E94" s="1064">
        <v>514.54031979087335</v>
      </c>
      <c r="F94" s="1063">
        <v>3.9649807459120341</v>
      </c>
      <c r="G94" s="1064">
        <v>1002.837009706639</v>
      </c>
      <c r="H94" s="98">
        <f t="shared" si="18"/>
        <v>2020</v>
      </c>
      <c r="I94" s="98" t="str">
        <f t="shared" si="19"/>
        <v>2</v>
      </c>
    </row>
    <row r="95" spans="1:9">
      <c r="A95" s="1072">
        <v>44075</v>
      </c>
      <c r="B95" s="706">
        <v>1.1507320771674463</v>
      </c>
      <c r="C95" s="705">
        <v>362.7753000213329</v>
      </c>
      <c r="D95" s="706">
        <v>2.6878528138535964</v>
      </c>
      <c r="E95" s="705">
        <v>797.57481710181094</v>
      </c>
      <c r="F95" s="706">
        <v>3.8385848910210427</v>
      </c>
      <c r="G95" s="705">
        <v>1160.3501171231437</v>
      </c>
      <c r="H95" s="98">
        <f t="shared" si="18"/>
        <v>2020</v>
      </c>
      <c r="I95" s="98" t="str">
        <f t="shared" si="19"/>
        <v>3</v>
      </c>
    </row>
    <row r="96" spans="1:9">
      <c r="A96" s="1351">
        <v>44166</v>
      </c>
      <c r="B96" s="1063">
        <v>1.2359495508953191</v>
      </c>
      <c r="C96" s="1064">
        <v>406.41657985868494</v>
      </c>
      <c r="D96" s="1063">
        <v>2.8164640641980183</v>
      </c>
      <c r="E96" s="1064">
        <v>841.54728893060292</v>
      </c>
      <c r="F96" s="1063">
        <v>4.0524136150933376</v>
      </c>
      <c r="G96" s="1064">
        <v>1247.963868789288</v>
      </c>
      <c r="H96" s="98">
        <f t="shared" si="18"/>
        <v>2020</v>
      </c>
      <c r="I96" s="98" t="str">
        <f t="shared" si="19"/>
        <v>4</v>
      </c>
    </row>
    <row r="97" spans="1:9">
      <c r="A97" s="1351">
        <v>44256</v>
      </c>
      <c r="B97" s="706">
        <v>0.9991448359209123</v>
      </c>
      <c r="C97" s="705">
        <v>416.52864198063043</v>
      </c>
      <c r="D97" s="706">
        <v>2.9967493091275856</v>
      </c>
      <c r="E97" s="705">
        <v>1288.6065632295674</v>
      </c>
      <c r="F97" s="706">
        <v>3.9958941450484979</v>
      </c>
      <c r="G97" s="705">
        <v>1705.1352052101979</v>
      </c>
      <c r="H97" s="98">
        <f t="shared" si="18"/>
        <v>2021</v>
      </c>
      <c r="I97" s="98" t="str">
        <f t="shared" si="19"/>
        <v>1</v>
      </c>
    </row>
    <row r="98" spans="1:9" ht="15.75" thickBot="1">
      <c r="A98" s="1812">
        <v>44348</v>
      </c>
      <c r="B98" s="1076">
        <v>0.9752014275519596</v>
      </c>
      <c r="C98" s="1077">
        <v>530.7007355131268</v>
      </c>
      <c r="D98" s="1076">
        <v>2.61583155540393</v>
      </c>
      <c r="E98" s="1077">
        <v>1350.2523579002216</v>
      </c>
      <c r="F98" s="1076">
        <v>3.5910329829558894</v>
      </c>
      <c r="G98" s="1077">
        <v>1880.9530934133484</v>
      </c>
      <c r="H98" s="98">
        <f t="shared" si="18"/>
        <v>2021</v>
      </c>
      <c r="I98" s="98" t="str">
        <f t="shared" si="19"/>
        <v>2</v>
      </c>
    </row>
    <row r="99" spans="1:9">
      <c r="G99" s="17"/>
      <c r="H99" s="98">
        <f t="shared" si="18"/>
        <v>1900</v>
      </c>
      <c r="I99" s="98" t="str">
        <f t="shared" si="19"/>
        <v>4</v>
      </c>
    </row>
    <row r="100" spans="1:9">
      <c r="G100" s="17"/>
      <c r="H100" s="98">
        <f t="shared" si="18"/>
        <v>1900</v>
      </c>
      <c r="I100" s="98" t="str">
        <f t="shared" si="19"/>
        <v>4</v>
      </c>
    </row>
    <row r="101" spans="1:9">
      <c r="G101" s="17"/>
      <c r="H101" s="98">
        <f t="shared" si="18"/>
        <v>1900</v>
      </c>
      <c r="I101" s="98" t="str">
        <f t="shared" si="19"/>
        <v>4</v>
      </c>
    </row>
    <row r="102" spans="1:9">
      <c r="G102" s="17"/>
      <c r="H102" s="98">
        <f t="shared" si="18"/>
        <v>1900</v>
      </c>
      <c r="I102" s="98" t="str">
        <f t="shared" si="19"/>
        <v>4</v>
      </c>
    </row>
    <row r="103" spans="1:9">
      <c r="D103" s="572"/>
      <c r="E103" s="536"/>
      <c r="G103" s="17"/>
      <c r="H103" s="98">
        <f t="shared" si="18"/>
        <v>1900</v>
      </c>
      <c r="I103" s="98" t="str">
        <f t="shared" si="19"/>
        <v>4</v>
      </c>
    </row>
    <row r="104" spans="1:9">
      <c r="G104" s="17"/>
      <c r="H104" s="98">
        <f t="shared" si="18"/>
        <v>1900</v>
      </c>
      <c r="I104" s="98" t="str">
        <f t="shared" si="19"/>
        <v>4</v>
      </c>
    </row>
    <row r="105" spans="1:9">
      <c r="G105" s="17"/>
      <c r="H105" s="98">
        <f t="shared" si="18"/>
        <v>1900</v>
      </c>
      <c r="I105" s="98" t="str">
        <f t="shared" si="19"/>
        <v>4</v>
      </c>
    </row>
    <row r="106" spans="1:9">
      <c r="G106" s="17"/>
      <c r="H106" s="98">
        <f t="shared" si="18"/>
        <v>1900</v>
      </c>
      <c r="I106" s="98" t="str">
        <f t="shared" si="19"/>
        <v>4</v>
      </c>
    </row>
    <row r="107" spans="1:9">
      <c r="G107" s="17"/>
      <c r="H107" s="98">
        <f t="shared" si="18"/>
        <v>1900</v>
      </c>
      <c r="I107" s="98" t="str">
        <f t="shared" si="19"/>
        <v>4</v>
      </c>
    </row>
    <row r="108" spans="1:9">
      <c r="G108" s="17"/>
      <c r="H108" s="98">
        <f t="shared" si="18"/>
        <v>1900</v>
      </c>
      <c r="I108" s="98" t="str">
        <f t="shared" si="19"/>
        <v>4</v>
      </c>
    </row>
    <row r="109" spans="1:9">
      <c r="G109" s="17"/>
      <c r="H109" s="98">
        <f t="shared" si="18"/>
        <v>1900</v>
      </c>
      <c r="I109" s="98" t="str">
        <f t="shared" si="19"/>
        <v>4</v>
      </c>
    </row>
    <row r="110" spans="1:9">
      <c r="G110" s="17"/>
      <c r="H110" s="98">
        <f t="shared" si="18"/>
        <v>1900</v>
      </c>
      <c r="I110" s="98" t="str">
        <f t="shared" si="19"/>
        <v>4</v>
      </c>
    </row>
    <row r="111" spans="1:9">
      <c r="G111" s="17"/>
      <c r="H111" s="98">
        <f t="shared" si="18"/>
        <v>1900</v>
      </c>
      <c r="I111" s="98" t="str">
        <f t="shared" si="19"/>
        <v>4</v>
      </c>
    </row>
    <row r="112" spans="1:9">
      <c r="G112" s="17"/>
      <c r="H112" s="98">
        <f t="shared" si="18"/>
        <v>1900</v>
      </c>
      <c r="I112" s="98" t="str">
        <f t="shared" si="19"/>
        <v>4</v>
      </c>
    </row>
    <row r="113" spans="7:9">
      <c r="G113" s="17"/>
      <c r="H113" s="98">
        <f t="shared" si="18"/>
        <v>1900</v>
      </c>
      <c r="I113" s="98" t="str">
        <f t="shared" si="19"/>
        <v>4</v>
      </c>
    </row>
    <row r="114" spans="7:9">
      <c r="G114" s="17"/>
      <c r="H114" s="98">
        <f t="shared" si="18"/>
        <v>1900</v>
      </c>
      <c r="I114" s="98" t="str">
        <f t="shared" si="19"/>
        <v>4</v>
      </c>
    </row>
    <row r="115" spans="7:9">
      <c r="G115" s="17"/>
      <c r="H115" s="98">
        <f t="shared" si="18"/>
        <v>1900</v>
      </c>
      <c r="I115" s="98" t="str">
        <f t="shared" si="19"/>
        <v>4</v>
      </c>
    </row>
    <row r="116" spans="7:9">
      <c r="G116" s="17"/>
      <c r="H116" s="98">
        <f t="shared" si="18"/>
        <v>1900</v>
      </c>
      <c r="I116" s="98" t="str">
        <f t="shared" si="19"/>
        <v>4</v>
      </c>
    </row>
    <row r="117" spans="7:9">
      <c r="G117" s="17"/>
      <c r="H117" s="98">
        <f t="shared" si="18"/>
        <v>1900</v>
      </c>
      <c r="I117" s="98" t="str">
        <f t="shared" si="19"/>
        <v>4</v>
      </c>
    </row>
    <row r="118" spans="7:9">
      <c r="G118" s="17"/>
      <c r="H118" s="98">
        <f t="shared" si="18"/>
        <v>1900</v>
      </c>
      <c r="I118" s="98" t="str">
        <f t="shared" si="19"/>
        <v>4</v>
      </c>
    </row>
    <row r="119" spans="7:9">
      <c r="G119" s="17"/>
      <c r="H119" s="98">
        <f t="shared" si="18"/>
        <v>1900</v>
      </c>
      <c r="I119" s="98" t="str">
        <f t="shared" si="19"/>
        <v>4</v>
      </c>
    </row>
    <row r="120" spans="7:9">
      <c r="G120" s="17"/>
      <c r="H120" s="98">
        <f t="shared" si="18"/>
        <v>1900</v>
      </c>
      <c r="I120" s="98" t="str">
        <f t="shared" si="19"/>
        <v>4</v>
      </c>
    </row>
    <row r="121" spans="7:9">
      <c r="G121" s="17"/>
      <c r="H121" s="98">
        <f t="shared" si="18"/>
        <v>1900</v>
      </c>
      <c r="I121" s="98" t="str">
        <f t="shared" si="19"/>
        <v>4</v>
      </c>
    </row>
    <row r="122" spans="7:9">
      <c r="G122" s="17"/>
      <c r="H122" s="98">
        <f t="shared" si="18"/>
        <v>1900</v>
      </c>
      <c r="I122" s="98" t="str">
        <f t="shared" si="19"/>
        <v>4</v>
      </c>
    </row>
    <row r="123" spans="7:9">
      <c r="G123" s="17"/>
      <c r="H123" s="98">
        <f t="shared" si="18"/>
        <v>1900</v>
      </c>
      <c r="I123" s="98" t="str">
        <f t="shared" si="19"/>
        <v>4</v>
      </c>
    </row>
    <row r="124" spans="7:9">
      <c r="G124" s="17"/>
      <c r="H124" s="98">
        <f t="shared" si="18"/>
        <v>1900</v>
      </c>
      <c r="I124" s="98" t="str">
        <f t="shared" si="19"/>
        <v>4</v>
      </c>
    </row>
    <row r="125" spans="7:9">
      <c r="G125" s="17"/>
      <c r="H125" s="98">
        <f t="shared" si="18"/>
        <v>1900</v>
      </c>
      <c r="I125" s="98" t="str">
        <f t="shared" si="19"/>
        <v>4</v>
      </c>
    </row>
    <row r="126" spans="7:9">
      <c r="G126" s="17"/>
      <c r="H126" s="98">
        <f t="shared" si="18"/>
        <v>1900</v>
      </c>
      <c r="I126" s="98" t="str">
        <f t="shared" si="19"/>
        <v>4</v>
      </c>
    </row>
    <row r="127" spans="7:9">
      <c r="G127" s="17"/>
      <c r="H127" s="99"/>
    </row>
    <row r="128" spans="7:9">
      <c r="G128" s="17"/>
      <c r="H128" s="99"/>
    </row>
    <row r="129" spans="7:8">
      <c r="G129" s="17"/>
      <c r="H129" s="99"/>
    </row>
    <row r="130" spans="7:8">
      <c r="G130" s="17"/>
      <c r="H130" s="99"/>
    </row>
    <row r="131" spans="7:8">
      <c r="G131" s="17"/>
      <c r="H131" s="99"/>
    </row>
    <row r="132" spans="7:8">
      <c r="G132" s="17"/>
      <c r="H132" s="99"/>
    </row>
    <row r="133" spans="7:8">
      <c r="G133" s="17"/>
      <c r="H133" s="99"/>
    </row>
    <row r="134" spans="7:8">
      <c r="G134" s="17"/>
      <c r="H134" s="99"/>
    </row>
    <row r="135" spans="7:8">
      <c r="G135" s="17"/>
      <c r="H135" s="99"/>
    </row>
    <row r="136" spans="7:8">
      <c r="G136" s="17"/>
      <c r="H136" s="99"/>
    </row>
    <row r="137" spans="7:8">
      <c r="G137" s="17"/>
      <c r="H137" s="99"/>
    </row>
    <row r="138" spans="7:8">
      <c r="G138" s="17"/>
      <c r="H138" s="99"/>
    </row>
    <row r="139" spans="7:8">
      <c r="G139" s="17"/>
      <c r="H139" s="99"/>
    </row>
    <row r="140" spans="7:8">
      <c r="G140" s="17"/>
      <c r="H140" s="99"/>
    </row>
    <row r="141" spans="7:8">
      <c r="G141" s="17"/>
      <c r="H141" s="99"/>
    </row>
    <row r="142" spans="7:8">
      <c r="G142" s="17"/>
      <c r="H142" s="99"/>
    </row>
    <row r="143" spans="7:8">
      <c r="G143" s="17"/>
      <c r="H143" s="99"/>
    </row>
    <row r="144" spans="7:8">
      <c r="G144" s="17"/>
      <c r="H144" s="99"/>
    </row>
    <row r="145" spans="7:8">
      <c r="G145" s="17"/>
      <c r="H145" s="99"/>
    </row>
    <row r="146" spans="7:8">
      <c r="G146" s="17"/>
      <c r="H146" s="99"/>
    </row>
    <row r="147" spans="7:8">
      <c r="G147" s="17"/>
      <c r="H147" s="99"/>
    </row>
    <row r="148" spans="7:8">
      <c r="G148" s="17"/>
      <c r="H148" s="99"/>
    </row>
    <row r="149" spans="7:8">
      <c r="G149" s="17"/>
      <c r="H149" s="99"/>
    </row>
    <row r="150" spans="7:8">
      <c r="G150" s="17"/>
      <c r="H150" s="99"/>
    </row>
    <row r="151" spans="7:8">
      <c r="G151" s="17"/>
      <c r="H151" s="99"/>
    </row>
    <row r="152" spans="7:8">
      <c r="G152" s="17"/>
      <c r="H152" s="99"/>
    </row>
    <row r="153" spans="7:8">
      <c r="G153" s="17"/>
      <c r="H153" s="99"/>
    </row>
    <row r="154" spans="7:8">
      <c r="G154" s="17"/>
      <c r="H154" s="99"/>
    </row>
    <row r="155" spans="7:8">
      <c r="G155" s="17"/>
      <c r="H155" s="99"/>
    </row>
    <row r="156" spans="7:8">
      <c r="G156" s="17"/>
      <c r="H156" s="99"/>
    </row>
    <row r="157" spans="7:8">
      <c r="G157" s="17"/>
      <c r="H157" s="99"/>
    </row>
    <row r="158" spans="7:8">
      <c r="G158" s="17"/>
      <c r="H158" s="99"/>
    </row>
    <row r="159" spans="7:8">
      <c r="G159" s="17"/>
      <c r="H159" s="99"/>
    </row>
    <row r="160" spans="7:8">
      <c r="G160" s="17"/>
      <c r="H160" s="99"/>
    </row>
    <row r="161" spans="7:8">
      <c r="G161" s="17"/>
      <c r="H161" s="99"/>
    </row>
    <row r="162" spans="7:8">
      <c r="G162" s="17"/>
      <c r="H162" s="99"/>
    </row>
    <row r="163" spans="7:8">
      <c r="G163" s="17"/>
      <c r="H163" s="99"/>
    </row>
    <row r="164" spans="7:8">
      <c r="G164" s="17"/>
      <c r="H164" s="99"/>
    </row>
    <row r="165" spans="7:8">
      <c r="G165" s="17"/>
      <c r="H165" s="99"/>
    </row>
    <row r="166" spans="7:8">
      <c r="G166" s="17"/>
      <c r="H166" s="99"/>
    </row>
    <row r="167" spans="7:8">
      <c r="G167" s="17"/>
      <c r="H167" s="99"/>
    </row>
    <row r="168" spans="7:8">
      <c r="G168" s="17"/>
      <c r="H168" s="99"/>
    </row>
    <row r="169" spans="7:8">
      <c r="G169" s="17"/>
      <c r="H169" s="99"/>
    </row>
    <row r="170" spans="7:8">
      <c r="G170" s="17"/>
      <c r="H170" s="99"/>
    </row>
    <row r="171" spans="7:8">
      <c r="G171" s="17"/>
      <c r="H171" s="99"/>
    </row>
    <row r="172" spans="7:8">
      <c r="G172" s="17"/>
      <c r="H172" s="99"/>
    </row>
    <row r="173" spans="7:8">
      <c r="G173" s="17"/>
      <c r="H173" s="99"/>
    </row>
    <row r="174" spans="7:8">
      <c r="G174" s="17"/>
      <c r="H174" s="99"/>
    </row>
    <row r="175" spans="7:8">
      <c r="G175" s="17"/>
      <c r="H175" s="99"/>
    </row>
    <row r="176" spans="7:8">
      <c r="G176" s="17"/>
      <c r="H176" s="99"/>
    </row>
    <row r="177" spans="7:8">
      <c r="G177" s="17"/>
      <c r="H177" s="99"/>
    </row>
    <row r="178" spans="7:8">
      <c r="G178" s="17"/>
      <c r="H178" s="99"/>
    </row>
    <row r="179" spans="7:8">
      <c r="G179" s="17"/>
      <c r="H179" s="99"/>
    </row>
    <row r="180" spans="7:8">
      <c r="G180" s="17"/>
      <c r="H180" s="99"/>
    </row>
    <row r="181" spans="7:8">
      <c r="G181" s="17"/>
      <c r="H181" s="99"/>
    </row>
    <row r="182" spans="7:8">
      <c r="G182" s="17"/>
      <c r="H182" s="99"/>
    </row>
    <row r="183" spans="7:8">
      <c r="G183" s="17"/>
      <c r="H183" s="99"/>
    </row>
    <row r="184" spans="7:8">
      <c r="G184" s="17"/>
      <c r="H184" s="99"/>
    </row>
    <row r="185" spans="7:8">
      <c r="G185" s="17"/>
      <c r="H185" s="99"/>
    </row>
    <row r="186" spans="7:8">
      <c r="G186" s="17"/>
      <c r="H186" s="99"/>
    </row>
    <row r="187" spans="7:8">
      <c r="G187" s="17"/>
      <c r="H187" s="99"/>
    </row>
    <row r="188" spans="7:8">
      <c r="G188" s="17"/>
      <c r="H188" s="99"/>
    </row>
    <row r="189" spans="7:8">
      <c r="G189" s="17"/>
      <c r="H189" s="99"/>
    </row>
    <row r="190" spans="7:8">
      <c r="G190" s="17"/>
      <c r="H190" s="99"/>
    </row>
    <row r="191" spans="7:8">
      <c r="G191" s="17"/>
      <c r="H191" s="99"/>
    </row>
    <row r="192" spans="7:8">
      <c r="G192" s="17"/>
      <c r="H192" s="99"/>
    </row>
    <row r="193" spans="7:8">
      <c r="G193" s="17"/>
      <c r="H193" s="99"/>
    </row>
    <row r="194" spans="7:8">
      <c r="G194" s="17"/>
      <c r="H194" s="99"/>
    </row>
    <row r="195" spans="7:8">
      <c r="G195" s="17"/>
      <c r="H195" s="99"/>
    </row>
    <row r="196" spans="7:8">
      <c r="G196" s="17"/>
      <c r="H196" s="99"/>
    </row>
    <row r="197" spans="7:8">
      <c r="G197" s="17"/>
      <c r="H197" s="99"/>
    </row>
    <row r="198" spans="7:8">
      <c r="G198" s="17"/>
      <c r="H198" s="99"/>
    </row>
    <row r="199" spans="7:8">
      <c r="G199" s="17"/>
      <c r="H199" s="99"/>
    </row>
    <row r="200" spans="7:8">
      <c r="G200" s="17"/>
      <c r="H200" s="99"/>
    </row>
    <row r="201" spans="7:8">
      <c r="G201" s="17"/>
      <c r="H201" s="99"/>
    </row>
    <row r="202" spans="7:8">
      <c r="G202" s="17"/>
      <c r="H202" s="99"/>
    </row>
    <row r="203" spans="7:8">
      <c r="G203" s="17"/>
      <c r="H203" s="99"/>
    </row>
    <row r="204" spans="7:8">
      <c r="G204" s="17"/>
      <c r="H204" s="99"/>
    </row>
    <row r="205" spans="7:8">
      <c r="G205" s="17"/>
      <c r="H205" s="99"/>
    </row>
    <row r="206" spans="7:8">
      <c r="G206" s="17"/>
      <c r="H206" s="99"/>
    </row>
    <row r="207" spans="7:8">
      <c r="G207" s="17"/>
      <c r="H207" s="99"/>
    </row>
    <row r="208" spans="7:8">
      <c r="G208" s="17"/>
      <c r="H208" s="99"/>
    </row>
    <row r="209" spans="7:8">
      <c r="G209" s="17"/>
      <c r="H209" s="99"/>
    </row>
    <row r="210" spans="7:8">
      <c r="G210" s="17"/>
      <c r="H210" s="99"/>
    </row>
    <row r="211" spans="7:8">
      <c r="G211" s="17"/>
      <c r="H211" s="99"/>
    </row>
    <row r="212" spans="7:8">
      <c r="G212" s="17"/>
      <c r="H212" s="99"/>
    </row>
    <row r="213" spans="7:8">
      <c r="G213" s="17"/>
      <c r="H213" s="99"/>
    </row>
    <row r="214" spans="7:8">
      <c r="G214" s="17"/>
      <c r="H214" s="99"/>
    </row>
    <row r="215" spans="7:8">
      <c r="G215" s="17"/>
      <c r="H215" s="99"/>
    </row>
    <row r="216" spans="7:8">
      <c r="G216" s="17"/>
      <c r="H216" s="99"/>
    </row>
    <row r="217" spans="7:8">
      <c r="G217" s="17"/>
      <c r="H217" s="99"/>
    </row>
    <row r="218" spans="7:8">
      <c r="G218" s="17"/>
      <c r="H218" s="99"/>
    </row>
    <row r="219" spans="7:8">
      <c r="G219" s="17"/>
      <c r="H219" s="99"/>
    </row>
    <row r="220" spans="7:8">
      <c r="G220" s="17"/>
      <c r="H220" s="99"/>
    </row>
    <row r="221" spans="7:8">
      <c r="G221" s="17"/>
      <c r="H221" s="99"/>
    </row>
    <row r="222" spans="7:8">
      <c r="G222" s="17"/>
      <c r="H222" s="99"/>
    </row>
    <row r="223" spans="7:8">
      <c r="G223" s="17"/>
      <c r="H223" s="99"/>
    </row>
    <row r="224" spans="7:8">
      <c r="G224" s="17"/>
      <c r="H224" s="99"/>
    </row>
    <row r="225" spans="7:8">
      <c r="G225" s="17"/>
      <c r="H225" s="99"/>
    </row>
    <row r="226" spans="7:8">
      <c r="G226" s="17"/>
      <c r="H226" s="99"/>
    </row>
    <row r="227" spans="7:8">
      <c r="G227" s="17"/>
      <c r="H227" s="99"/>
    </row>
    <row r="228" spans="7:8">
      <c r="G228" s="17"/>
      <c r="H228" s="99"/>
    </row>
    <row r="229" spans="7:8">
      <c r="G229" s="17"/>
      <c r="H229" s="99"/>
    </row>
    <row r="230" spans="7:8">
      <c r="G230" s="17"/>
      <c r="H230" s="99"/>
    </row>
    <row r="231" spans="7:8">
      <c r="G231" s="17"/>
      <c r="H231" s="99"/>
    </row>
    <row r="232" spans="7:8">
      <c r="G232" s="17"/>
      <c r="H232" s="99"/>
    </row>
    <row r="233" spans="7:8">
      <c r="G233" s="17"/>
      <c r="H233" s="99"/>
    </row>
    <row r="234" spans="7:8">
      <c r="G234" s="17"/>
      <c r="H234" s="99"/>
    </row>
    <row r="235" spans="7:8">
      <c r="G235" s="17"/>
      <c r="H235" s="99"/>
    </row>
    <row r="236" spans="7:8">
      <c r="G236" s="17"/>
      <c r="H236" s="99"/>
    </row>
    <row r="237" spans="7:8">
      <c r="G237" s="17"/>
      <c r="H237" s="99"/>
    </row>
    <row r="238" spans="7:8">
      <c r="G238" s="17"/>
      <c r="H238" s="99"/>
    </row>
    <row r="239" spans="7:8">
      <c r="G239" s="17"/>
      <c r="H239" s="99"/>
    </row>
    <row r="240" spans="7:8">
      <c r="G240" s="17"/>
      <c r="H240" s="99"/>
    </row>
    <row r="241" spans="7:8">
      <c r="G241" s="17"/>
      <c r="H241" s="99"/>
    </row>
    <row r="242" spans="7:8">
      <c r="G242" s="17"/>
      <c r="H242" s="99"/>
    </row>
    <row r="243" spans="7:8">
      <c r="G243" s="17"/>
      <c r="H243" s="99"/>
    </row>
    <row r="244" spans="7:8">
      <c r="G244" s="17"/>
      <c r="H244" s="99"/>
    </row>
    <row r="245" spans="7:8">
      <c r="G245" s="17"/>
      <c r="H245" s="99"/>
    </row>
    <row r="246" spans="7:8">
      <c r="G246" s="17"/>
      <c r="H246" s="99"/>
    </row>
    <row r="247" spans="7:8">
      <c r="G247" s="17"/>
      <c r="H247" s="99"/>
    </row>
    <row r="248" spans="7:8">
      <c r="G248" s="17"/>
      <c r="H248" s="99"/>
    </row>
    <row r="249" spans="7:8">
      <c r="G249" s="17"/>
      <c r="H249" s="99"/>
    </row>
    <row r="250" spans="7:8">
      <c r="G250" s="17"/>
      <c r="H250" s="99"/>
    </row>
    <row r="251" spans="7:8">
      <c r="G251" s="17"/>
      <c r="H251" s="99"/>
    </row>
    <row r="252" spans="7:8">
      <c r="G252" s="17"/>
      <c r="H252" s="99"/>
    </row>
    <row r="253" spans="7:8">
      <c r="G253" s="17"/>
      <c r="H253" s="99"/>
    </row>
    <row r="254" spans="7:8">
      <c r="G254" s="17"/>
      <c r="H254" s="99"/>
    </row>
    <row r="255" spans="7:8">
      <c r="G255" s="17"/>
      <c r="H255" s="99"/>
    </row>
    <row r="256" spans="7:8">
      <c r="G256" s="17"/>
      <c r="H256" s="99"/>
    </row>
    <row r="257" spans="7:8">
      <c r="G257" s="17"/>
      <c r="H257" s="99"/>
    </row>
    <row r="258" spans="7:8">
      <c r="G258" s="17"/>
      <c r="H258" s="99"/>
    </row>
    <row r="259" spans="7:8">
      <c r="G259" s="17"/>
      <c r="H259" s="99"/>
    </row>
    <row r="260" spans="7:8">
      <c r="G260" s="17"/>
      <c r="H260" s="99"/>
    </row>
    <row r="261" spans="7:8">
      <c r="G261" s="17"/>
      <c r="H261" s="99"/>
    </row>
    <row r="262" spans="7:8">
      <c r="G262" s="17"/>
      <c r="H262" s="99"/>
    </row>
    <row r="263" spans="7:8">
      <c r="G263" s="17"/>
      <c r="H263" s="99"/>
    </row>
    <row r="264" spans="7:8">
      <c r="G264" s="17"/>
      <c r="H264" s="99"/>
    </row>
    <row r="265" spans="7:8">
      <c r="G265" s="17"/>
      <c r="H265" s="99"/>
    </row>
    <row r="266" spans="7:8">
      <c r="G266" s="17"/>
      <c r="H266" s="99"/>
    </row>
    <row r="267" spans="7:8">
      <c r="G267" s="17"/>
      <c r="H267" s="99"/>
    </row>
    <row r="268" spans="7:8">
      <c r="G268" s="17"/>
      <c r="H268" s="99"/>
    </row>
    <row r="269" spans="7:8">
      <c r="G269" s="17"/>
      <c r="H269" s="99"/>
    </row>
    <row r="270" spans="7:8">
      <c r="G270" s="17"/>
      <c r="H270" s="99"/>
    </row>
    <row r="271" spans="7:8">
      <c r="G271" s="17"/>
      <c r="H271" s="99"/>
    </row>
    <row r="272" spans="7:8">
      <c r="G272" s="17"/>
      <c r="H272" s="99"/>
    </row>
    <row r="273" spans="7:8">
      <c r="G273" s="17"/>
      <c r="H273" s="99"/>
    </row>
    <row r="274" spans="7:8">
      <c r="G274" s="17"/>
      <c r="H274" s="99"/>
    </row>
    <row r="275" spans="7:8">
      <c r="G275" s="17"/>
      <c r="H275" s="99"/>
    </row>
    <row r="276" spans="7:8">
      <c r="G276" s="17"/>
      <c r="H276" s="99"/>
    </row>
    <row r="277" spans="7:8">
      <c r="G277" s="17"/>
      <c r="H277" s="99"/>
    </row>
    <row r="278" spans="7:8">
      <c r="G278" s="17"/>
      <c r="H278" s="99"/>
    </row>
    <row r="279" spans="7:8">
      <c r="G279" s="17"/>
      <c r="H279" s="99"/>
    </row>
    <row r="280" spans="7:8">
      <c r="G280" s="17"/>
      <c r="H280" s="99"/>
    </row>
    <row r="281" spans="7:8">
      <c r="G281" s="17"/>
      <c r="H281" s="99"/>
    </row>
    <row r="282" spans="7:8">
      <c r="G282" s="17"/>
      <c r="H282" s="99"/>
    </row>
    <row r="283" spans="7:8">
      <c r="G283" s="17"/>
      <c r="H283" s="99"/>
    </row>
    <row r="284" spans="7:8">
      <c r="G284" s="17"/>
      <c r="H284" s="99"/>
    </row>
    <row r="285" spans="7:8">
      <c r="G285" s="17"/>
      <c r="H285" s="99"/>
    </row>
    <row r="286" spans="7:8">
      <c r="G286" s="17"/>
      <c r="H286" s="99"/>
    </row>
    <row r="287" spans="7:8">
      <c r="G287" s="17"/>
      <c r="H287" s="99"/>
    </row>
    <row r="288" spans="7:8">
      <c r="G288" s="17"/>
      <c r="H288" s="99"/>
    </row>
    <row r="289" spans="7:8">
      <c r="G289" s="17"/>
      <c r="H289" s="99"/>
    </row>
    <row r="290" spans="7:8">
      <c r="G290" s="17"/>
      <c r="H290" s="99"/>
    </row>
    <row r="291" spans="7:8">
      <c r="G291" s="17"/>
      <c r="H291" s="99"/>
    </row>
    <row r="292" spans="7:8">
      <c r="G292" s="17"/>
      <c r="H292" s="99"/>
    </row>
    <row r="293" spans="7:8">
      <c r="G293" s="17"/>
      <c r="H293" s="99"/>
    </row>
    <row r="294" spans="7:8">
      <c r="G294" s="17"/>
      <c r="H294" s="99"/>
    </row>
    <row r="295" spans="7:8">
      <c r="G295" s="17"/>
      <c r="H295" s="99"/>
    </row>
    <row r="296" spans="7:8">
      <c r="G296" s="17"/>
      <c r="H296" s="99"/>
    </row>
    <row r="297" spans="7:8">
      <c r="G297" s="17"/>
      <c r="H297" s="99"/>
    </row>
    <row r="298" spans="7:8">
      <c r="G298" s="17"/>
      <c r="H298" s="99"/>
    </row>
    <row r="299" spans="7:8">
      <c r="G299" s="17"/>
      <c r="H299" s="99"/>
    </row>
    <row r="300" spans="7:8">
      <c r="G300" s="17"/>
      <c r="H300" s="99"/>
    </row>
    <row r="301" spans="7:8">
      <c r="G301" s="17"/>
      <c r="H301" s="99"/>
    </row>
    <row r="302" spans="7:8">
      <c r="G302" s="17"/>
      <c r="H302" s="99"/>
    </row>
    <row r="303" spans="7:8">
      <c r="G303" s="17"/>
      <c r="H303" s="99"/>
    </row>
    <row r="304" spans="7:8">
      <c r="G304" s="17"/>
      <c r="H304" s="99"/>
    </row>
    <row r="305" spans="7:8">
      <c r="G305" s="17"/>
      <c r="H305" s="99"/>
    </row>
    <row r="306" spans="7:8">
      <c r="G306" s="17"/>
      <c r="H306" s="99"/>
    </row>
    <row r="307" spans="7:8">
      <c r="G307" s="17"/>
      <c r="H307" s="99"/>
    </row>
    <row r="308" spans="7:8">
      <c r="G308" s="17"/>
      <c r="H308" s="99"/>
    </row>
    <row r="309" spans="7:8">
      <c r="G309" s="17"/>
      <c r="H309" s="99"/>
    </row>
    <row r="310" spans="7:8">
      <c r="G310" s="17"/>
      <c r="H310" s="99"/>
    </row>
    <row r="311" spans="7:8">
      <c r="G311" s="17"/>
      <c r="H311" s="99"/>
    </row>
    <row r="312" spans="7:8">
      <c r="G312" s="17"/>
      <c r="H312" s="99"/>
    </row>
    <row r="313" spans="7:8">
      <c r="G313" s="17"/>
      <c r="H313" s="99"/>
    </row>
    <row r="314" spans="7:8">
      <c r="G314" s="17"/>
      <c r="H314" s="99"/>
    </row>
    <row r="315" spans="7:8">
      <c r="G315" s="17"/>
      <c r="H315" s="99"/>
    </row>
    <row r="316" spans="7:8">
      <c r="G316" s="17"/>
      <c r="H316" s="99"/>
    </row>
    <row r="317" spans="7:8">
      <c r="G317" s="17"/>
      <c r="H317" s="99"/>
    </row>
    <row r="318" spans="7:8">
      <c r="G318" s="17"/>
      <c r="H318" s="99"/>
    </row>
    <row r="319" spans="7:8">
      <c r="G319" s="17"/>
      <c r="H319" s="99"/>
    </row>
    <row r="320" spans="7:8">
      <c r="G320" s="17"/>
      <c r="H320" s="99"/>
    </row>
    <row r="321" spans="7:8">
      <c r="G321" s="17"/>
      <c r="H321" s="99"/>
    </row>
    <row r="322" spans="7:8">
      <c r="G322" s="17"/>
      <c r="H322" s="99"/>
    </row>
    <row r="323" spans="7:8">
      <c r="G323" s="17"/>
      <c r="H323" s="99"/>
    </row>
    <row r="324" spans="7:8">
      <c r="G324" s="17"/>
      <c r="H324" s="99"/>
    </row>
    <row r="325" spans="7:8">
      <c r="G325" s="17"/>
      <c r="H325" s="99"/>
    </row>
    <row r="326" spans="7:8">
      <c r="G326" s="17"/>
      <c r="H326" s="99"/>
    </row>
    <row r="327" spans="7:8">
      <c r="G327" s="17"/>
      <c r="H327" s="99"/>
    </row>
    <row r="328" spans="7:8">
      <c r="G328" s="17"/>
      <c r="H328" s="99"/>
    </row>
    <row r="329" spans="7:8">
      <c r="G329" s="17"/>
      <c r="H329" s="99"/>
    </row>
    <row r="330" spans="7:8">
      <c r="G330" s="17"/>
      <c r="H330" s="99"/>
    </row>
    <row r="331" spans="7:8">
      <c r="G331" s="17"/>
      <c r="H331" s="99"/>
    </row>
    <row r="332" spans="7:8">
      <c r="G332" s="17"/>
      <c r="H332" s="99"/>
    </row>
    <row r="333" spans="7:8">
      <c r="G333" s="17"/>
      <c r="H333" s="99"/>
    </row>
    <row r="334" spans="7:8">
      <c r="G334" s="17"/>
      <c r="H334" s="99"/>
    </row>
    <row r="335" spans="7:8">
      <c r="G335" s="17"/>
      <c r="H335" s="99"/>
    </row>
    <row r="336" spans="7:8">
      <c r="G336" s="17"/>
      <c r="H336" s="99"/>
    </row>
    <row r="337" spans="7:8">
      <c r="G337" s="17"/>
      <c r="H337" s="99"/>
    </row>
    <row r="338" spans="7:8">
      <c r="G338" s="17"/>
      <c r="H338" s="99"/>
    </row>
    <row r="339" spans="7:8">
      <c r="G339" s="17"/>
      <c r="H339" s="99"/>
    </row>
    <row r="340" spans="7:8">
      <c r="G340" s="17"/>
      <c r="H340" s="99"/>
    </row>
    <row r="341" spans="7:8">
      <c r="G341" s="17"/>
      <c r="H341" s="99"/>
    </row>
    <row r="342" spans="7:8">
      <c r="G342" s="17"/>
      <c r="H342" s="99"/>
    </row>
    <row r="343" spans="7:8">
      <c r="G343" s="17"/>
      <c r="H343" s="99"/>
    </row>
    <row r="344" spans="7:8">
      <c r="G344" s="17"/>
      <c r="H344" s="99"/>
    </row>
    <row r="345" spans="7:8">
      <c r="G345" s="17"/>
      <c r="H345" s="99"/>
    </row>
    <row r="346" spans="7:8">
      <c r="G346" s="17"/>
      <c r="H346" s="99"/>
    </row>
    <row r="347" spans="7:8">
      <c r="G347" s="17"/>
      <c r="H347" s="99"/>
    </row>
    <row r="348" spans="7:8">
      <c r="G348" s="17"/>
      <c r="H348" s="99"/>
    </row>
    <row r="349" spans="7:8">
      <c r="G349" s="17"/>
      <c r="H349" s="99"/>
    </row>
    <row r="350" spans="7:8">
      <c r="G350" s="17"/>
      <c r="H350" s="99"/>
    </row>
    <row r="351" spans="7:8">
      <c r="G351" s="17"/>
      <c r="H351" s="99"/>
    </row>
    <row r="352" spans="7:8">
      <c r="G352" s="17"/>
      <c r="H352" s="99"/>
    </row>
    <row r="353" spans="7:8">
      <c r="G353" s="17"/>
      <c r="H353" s="99"/>
    </row>
    <row r="354" spans="7:8">
      <c r="G354" s="17"/>
      <c r="H354" s="99"/>
    </row>
    <row r="355" spans="7:8">
      <c r="G355" s="17"/>
      <c r="H355" s="99"/>
    </row>
    <row r="356" spans="7:8">
      <c r="G356" s="17"/>
      <c r="H356" s="99"/>
    </row>
    <row r="357" spans="7:8">
      <c r="G357" s="17"/>
      <c r="H357" s="99"/>
    </row>
    <row r="358" spans="7:8">
      <c r="G358" s="17"/>
      <c r="H358" s="99"/>
    </row>
    <row r="359" spans="7:8">
      <c r="G359" s="17"/>
      <c r="H359" s="99"/>
    </row>
    <row r="360" spans="7:8">
      <c r="G360" s="17"/>
      <c r="H360" s="99"/>
    </row>
    <row r="361" spans="7:8">
      <c r="G361" s="17"/>
      <c r="H361" s="99"/>
    </row>
    <row r="362" spans="7:8">
      <c r="G362" s="17"/>
      <c r="H362" s="99"/>
    </row>
    <row r="363" spans="7:8">
      <c r="G363" s="17"/>
      <c r="H363" s="99"/>
    </row>
  </sheetData>
  <mergeCells count="12">
    <mergeCell ref="T34:Z34"/>
    <mergeCell ref="U35:V35"/>
    <mergeCell ref="W35:X35"/>
    <mergeCell ref="Y35:Z35"/>
    <mergeCell ref="A5:G5"/>
    <mergeCell ref="A6:G6"/>
    <mergeCell ref="T8:V8"/>
    <mergeCell ref="T9:V9"/>
    <mergeCell ref="B7:C7"/>
    <mergeCell ref="D7:E7"/>
    <mergeCell ref="F7:G7"/>
    <mergeCell ref="U33:Z33"/>
  </mergeCells>
  <dataValidations count="1">
    <dataValidation type="list" allowBlank="1" showInputMessage="1" showErrorMessage="1" promptTitle="Selecta Period:" prompt="Select Financial or Calendar years." sqref="U33:Z33">
      <formula1>$A$1:$A$2</formula1>
    </dataValidation>
  </dataValidation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8" tint="0.39997558519241921"/>
  </sheetPr>
  <dimension ref="A1:AY363"/>
  <sheetViews>
    <sheetView showGridLines="0" topLeftCell="B1" zoomScaleNormal="100" workbookViewId="0">
      <selection activeCell="AM56" sqref="AM56"/>
    </sheetView>
  </sheetViews>
  <sheetFormatPr defaultRowHeight="15"/>
  <cols>
    <col min="1" max="1" width="6" style="386" hidden="1" customWidth="1"/>
    <col min="2" max="2" width="10.7109375" style="36" customWidth="1"/>
    <col min="3" max="3" width="16.5703125" style="36" customWidth="1"/>
    <col min="4" max="4" width="12.42578125" style="36" bestFit="1" customWidth="1"/>
    <col min="5" max="5" width="16" style="36" bestFit="1" customWidth="1"/>
    <col min="6" max="6" width="18.42578125" style="36" customWidth="1"/>
    <col min="7" max="7" width="13.7109375" style="36" customWidth="1"/>
    <col min="8" max="8" width="18.5703125" style="36" customWidth="1"/>
    <col min="9" max="9" width="24.5703125" style="36" customWidth="1"/>
    <col min="10" max="10" width="15.140625" style="36" customWidth="1"/>
    <col min="11" max="11" width="15.42578125" style="36" customWidth="1"/>
    <col min="12" max="12" width="5.28515625" style="25" hidden="1" customWidth="1"/>
    <col min="13" max="13" width="2" style="25" hidden="1" customWidth="1"/>
    <col min="14" max="14" width="11.28515625" style="387" hidden="1" customWidth="1"/>
    <col min="15" max="15" width="5.5703125" style="36" customWidth="1"/>
    <col min="16" max="16" width="9.140625" style="36"/>
    <col min="17" max="17" width="9.140625" style="140"/>
    <col min="18" max="21" width="9.140625" style="36"/>
    <col min="22" max="22" width="10" style="36" bestFit="1" customWidth="1"/>
    <col min="23" max="25" width="9.140625" style="36"/>
    <col min="26" max="26" width="11" style="36" customWidth="1"/>
    <col min="27" max="27" width="26.42578125" style="36" customWidth="1"/>
    <col min="28" max="28" width="20.28515625" style="36" customWidth="1"/>
    <col min="29" max="29" width="9.140625" style="36"/>
    <col min="30" max="30" width="13.42578125" style="36" bestFit="1" customWidth="1"/>
    <col min="31" max="31" width="14.42578125" style="36" bestFit="1" customWidth="1"/>
    <col min="32" max="32" width="12.42578125" style="106" bestFit="1" customWidth="1"/>
    <col min="33" max="33" width="15.28515625" style="36" bestFit="1" customWidth="1"/>
    <col min="34" max="34" width="14.28515625" style="36" customWidth="1"/>
    <col min="35" max="35" width="12.7109375" style="106" bestFit="1" customWidth="1"/>
    <col min="36" max="36" width="15.28515625" style="36" bestFit="1" customWidth="1"/>
    <col min="37" max="37" width="24.7109375" style="36" customWidth="1"/>
    <col min="38" max="38" width="12.7109375" style="106" bestFit="1" customWidth="1"/>
    <col min="39" max="39" width="15.28515625" style="36" bestFit="1" customWidth="1"/>
    <col min="40" max="16384" width="9.140625" style="36"/>
  </cols>
  <sheetData>
    <row r="1" spans="1:51">
      <c r="B1" s="118" t="s">
        <v>369</v>
      </c>
    </row>
    <row r="2" spans="1:51">
      <c r="B2" s="118" t="s">
        <v>382</v>
      </c>
    </row>
    <row r="5" spans="1:51">
      <c r="B5" s="1992" t="s">
        <v>738</v>
      </c>
      <c r="C5" s="1992"/>
      <c r="D5" s="1992"/>
      <c r="E5" s="1992"/>
      <c r="F5" s="1992"/>
      <c r="G5" s="1992"/>
      <c r="H5" s="1992"/>
      <c r="I5" s="1992"/>
      <c r="J5" s="1992"/>
      <c r="K5" s="1992"/>
      <c r="L5" s="100"/>
      <c r="M5" s="100"/>
      <c r="N5" s="399"/>
    </row>
    <row r="6" spans="1:51" ht="15.75" thickBot="1">
      <c r="B6" s="2009" t="s">
        <v>744</v>
      </c>
      <c r="C6" s="2009"/>
      <c r="D6" s="2009"/>
      <c r="E6" s="2009"/>
      <c r="F6" s="2009"/>
      <c r="G6" s="2009"/>
      <c r="H6" s="2009"/>
      <c r="I6" s="2009"/>
      <c r="J6" s="2009"/>
      <c r="K6" s="2009"/>
      <c r="L6" s="101"/>
      <c r="M6" s="101"/>
      <c r="N6" s="398"/>
    </row>
    <row r="7" spans="1:51" ht="15.75" thickBot="1">
      <c r="B7" s="1074"/>
      <c r="C7" s="2062" t="s">
        <v>303</v>
      </c>
      <c r="D7" s="2063"/>
      <c r="E7" s="2064"/>
      <c r="F7" s="2063" t="s">
        <v>754</v>
      </c>
      <c r="G7" s="2063"/>
      <c r="H7" s="2063"/>
      <c r="I7" s="2065" t="s">
        <v>124</v>
      </c>
      <c r="J7" s="2063"/>
      <c r="K7" s="2064"/>
      <c r="L7" s="416"/>
      <c r="M7" s="413"/>
      <c r="N7" s="415" t="s">
        <v>124</v>
      </c>
      <c r="O7" s="386"/>
      <c r="P7" s="386"/>
    </row>
    <row r="8" spans="1:51" ht="15.75" thickBot="1">
      <c r="B8" s="1075" t="s">
        <v>6</v>
      </c>
      <c r="C8" s="1060" t="s">
        <v>352</v>
      </c>
      <c r="D8" s="651" t="s">
        <v>353</v>
      </c>
      <c r="E8" s="652" t="s">
        <v>635</v>
      </c>
      <c r="F8" s="1061" t="s">
        <v>352</v>
      </c>
      <c r="G8" s="651" t="s">
        <v>353</v>
      </c>
      <c r="H8" s="652" t="s">
        <v>635</v>
      </c>
      <c r="I8" s="1061" t="s">
        <v>643</v>
      </c>
      <c r="J8" s="651" t="s">
        <v>353</v>
      </c>
      <c r="K8" s="652" t="s">
        <v>635</v>
      </c>
      <c r="L8" s="32"/>
      <c r="M8" s="88"/>
      <c r="N8" s="33" t="s">
        <v>509</v>
      </c>
      <c r="Z8" s="1993" t="s">
        <v>712</v>
      </c>
      <c r="AA8" s="1993"/>
      <c r="AB8" s="1993"/>
      <c r="AY8" s="420" t="s">
        <v>538</v>
      </c>
    </row>
    <row r="9" spans="1:51" ht="15.75" thickBot="1">
      <c r="A9" s="414">
        <f>L9*10+M9</f>
        <v>19991</v>
      </c>
      <c r="B9" s="1354">
        <v>36220</v>
      </c>
      <c r="C9" s="706">
        <v>1958763.1998843055</v>
      </c>
      <c r="D9" s="706">
        <f>C9*0.00005160678</f>
        <v>101.08546152852539</v>
      </c>
      <c r="E9" s="705">
        <v>356.46952299999998</v>
      </c>
      <c r="F9" s="706">
        <v>153243</v>
      </c>
      <c r="G9" s="706">
        <f>F9*49.32194/1000000</f>
        <v>7.5582420514199997</v>
      </c>
      <c r="H9" s="705">
        <v>33.472211000000001</v>
      </c>
      <c r="I9" s="706">
        <v>1507746</v>
      </c>
      <c r="J9" s="706">
        <f>I9/26300</f>
        <v>57.328745247148291</v>
      </c>
      <c r="K9" s="705">
        <v>119.96062225999999</v>
      </c>
      <c r="L9" s="98">
        <f>YEAR(B9)</f>
        <v>1999</v>
      </c>
      <c r="M9" s="98" t="str">
        <f>IF(MONTH(B9)=3,"1",IF(MONTH(B9)=6,"2",IF(MONTH(B9)=9,"3","4")))</f>
        <v>1</v>
      </c>
      <c r="N9" s="93">
        <f>K9/J9</f>
        <v>2.0925038868867833</v>
      </c>
      <c r="O9" s="17"/>
      <c r="Z9" s="1988" t="s">
        <v>43</v>
      </c>
      <c r="AA9" s="1988"/>
      <c r="AB9" s="1988"/>
    </row>
    <row r="10" spans="1:51" ht="15.75" thickBot="1">
      <c r="A10" s="414">
        <f t="shared" ref="A10:A73" si="0">L10*10+M10</f>
        <v>19992</v>
      </c>
      <c r="B10" s="1072">
        <v>36312</v>
      </c>
      <c r="C10" s="1063">
        <v>1849570.946425338</v>
      </c>
      <c r="D10" s="1063">
        <f t="shared" ref="D10:D68" si="1">C10*0.00005160678</f>
        <v>95.450400926564214</v>
      </c>
      <c r="E10" s="1064">
        <v>306.81904800000001</v>
      </c>
      <c r="F10" s="1063">
        <v>150734</v>
      </c>
      <c r="G10" s="1063">
        <f t="shared" ref="G10:G68" si="2">F10*49.32194/1000000</f>
        <v>7.4344933039599992</v>
      </c>
      <c r="H10" s="1064">
        <v>29.206621759999997</v>
      </c>
      <c r="I10" s="1063">
        <v>1579152.59</v>
      </c>
      <c r="J10" s="1063">
        <f t="shared" ref="J10:J68" si="3">I10/26300</f>
        <v>60.043824714828901</v>
      </c>
      <c r="K10" s="1064">
        <v>154.37989433999999</v>
      </c>
      <c r="L10" s="98">
        <f t="shared" ref="L10:L73" si="4">YEAR(B10)</f>
        <v>1999</v>
      </c>
      <c r="M10" s="98" t="str">
        <f t="shared" ref="M10:M73" si="5">IF(MONTH(B10)=3,"1",IF(MONTH(B10)=6,"2",IF(MONTH(B10)=9,"3","4")))</f>
        <v>2</v>
      </c>
      <c r="N10" s="92">
        <f t="shared" ref="N10:N73" si="6">K10/J10</f>
        <v>2.5711202621286899</v>
      </c>
      <c r="O10" s="17"/>
      <c r="Z10" s="1078" t="s">
        <v>6</v>
      </c>
      <c r="AA10" s="1079" t="str">
        <f>C8</f>
        <v>Quantity (t)</v>
      </c>
      <c r="AB10" s="1080" t="str">
        <f>E8</f>
        <v>Value ($ Million)</v>
      </c>
    </row>
    <row r="11" spans="1:51">
      <c r="A11" s="414">
        <f t="shared" si="0"/>
        <v>19993</v>
      </c>
      <c r="B11" s="1072">
        <v>36404</v>
      </c>
      <c r="C11" s="706">
        <v>2084706.9189070782</v>
      </c>
      <c r="D11" s="706">
        <f t="shared" si="1"/>
        <v>107.58501132851542</v>
      </c>
      <c r="E11" s="705">
        <v>386.41965900000002</v>
      </c>
      <c r="F11" s="706">
        <v>190605</v>
      </c>
      <c r="G11" s="706">
        <f t="shared" si="2"/>
        <v>9.4010083736999999</v>
      </c>
      <c r="H11" s="705">
        <v>75.648521000000002</v>
      </c>
      <c r="I11" s="706">
        <v>1724018.8900000001</v>
      </c>
      <c r="J11" s="706">
        <f t="shared" si="3"/>
        <v>65.552049049429669</v>
      </c>
      <c r="K11" s="705">
        <v>145.599974</v>
      </c>
      <c r="L11" s="98">
        <f t="shared" si="4"/>
        <v>1999</v>
      </c>
      <c r="M11" s="98" t="str">
        <f t="shared" si="5"/>
        <v>3</v>
      </c>
      <c r="N11" s="93">
        <f t="shared" si="6"/>
        <v>2.2211353590215008</v>
      </c>
      <c r="O11" s="17"/>
      <c r="Z11" s="1084">
        <f>LARGE(B$9:B$739,10)</f>
        <v>43525</v>
      </c>
      <c r="AA11" s="706">
        <f t="shared" ref="AA11:AA20" si="7">SUMIF($B$9:$B$739,$Z11,C$9:C$739)</f>
        <v>9310719.5627872143</v>
      </c>
      <c r="AB11" s="705">
        <f t="shared" ref="AB11:AB20" si="8">SUMIF($B$9:$B$739,$Z11,E$9:E$739)</f>
        <v>6700.4171929468284</v>
      </c>
    </row>
    <row r="12" spans="1:51">
      <c r="A12" s="414">
        <f t="shared" si="0"/>
        <v>19994</v>
      </c>
      <c r="B12" s="1072">
        <v>36495</v>
      </c>
      <c r="C12" s="1063">
        <v>1971267.1436505031</v>
      </c>
      <c r="D12" s="1063">
        <f t="shared" si="1"/>
        <v>101.73074980359991</v>
      </c>
      <c r="E12" s="1064">
        <v>436.61461000000003</v>
      </c>
      <c r="F12" s="1063">
        <v>155936</v>
      </c>
      <c r="G12" s="1063">
        <f t="shared" si="2"/>
        <v>7.6910660358399996</v>
      </c>
      <c r="H12" s="1064">
        <v>59.992863999999997</v>
      </c>
      <c r="I12" s="1063">
        <v>1650392</v>
      </c>
      <c r="J12" s="1063">
        <f t="shared" si="3"/>
        <v>62.752547528517113</v>
      </c>
      <c r="K12" s="1064">
        <v>136.11511400000001</v>
      </c>
      <c r="L12" s="98">
        <f t="shared" si="4"/>
        <v>1999</v>
      </c>
      <c r="M12" s="98" t="str">
        <f t="shared" si="5"/>
        <v>4</v>
      </c>
      <c r="N12" s="92">
        <f t="shared" si="6"/>
        <v>2.169077103015526</v>
      </c>
      <c r="O12" s="17"/>
      <c r="Z12" s="1085">
        <f>LARGE(B$9:B$739,9)</f>
        <v>43617</v>
      </c>
      <c r="AA12" s="1063">
        <f t="shared" si="7"/>
        <v>10779768.743424237</v>
      </c>
      <c r="AB12" s="1064">
        <f t="shared" si="8"/>
        <v>5959.6498332374813</v>
      </c>
    </row>
    <row r="13" spans="1:51">
      <c r="A13" s="414">
        <f t="shared" si="0"/>
        <v>20001</v>
      </c>
      <c r="B13" s="1072">
        <v>36586</v>
      </c>
      <c r="C13" s="706">
        <v>2097435.7809139923</v>
      </c>
      <c r="D13" s="706">
        <f t="shared" si="1"/>
        <v>108.24190690975661</v>
      </c>
      <c r="E13" s="705">
        <v>577.53799300000003</v>
      </c>
      <c r="F13" s="706">
        <v>227598</v>
      </c>
      <c r="G13" s="706">
        <f t="shared" si="2"/>
        <v>11.22557490012</v>
      </c>
      <c r="H13" s="705">
        <v>107.01597599999999</v>
      </c>
      <c r="I13" s="706">
        <v>1450035</v>
      </c>
      <c r="J13" s="706">
        <f t="shared" si="3"/>
        <v>55.134410646387835</v>
      </c>
      <c r="K13" s="705">
        <v>133.13102900000001</v>
      </c>
      <c r="L13" s="98">
        <f t="shared" si="4"/>
        <v>2000</v>
      </c>
      <c r="M13" s="98" t="str">
        <f t="shared" si="5"/>
        <v>1</v>
      </c>
      <c r="N13" s="93">
        <f t="shared" si="6"/>
        <v>2.4146631375794381</v>
      </c>
      <c r="O13" s="17"/>
      <c r="Z13" s="1086">
        <f>LARGE(B$9:B$739,8)</f>
        <v>43709</v>
      </c>
      <c r="AA13" s="706">
        <f t="shared" si="7"/>
        <v>11637848.442937989</v>
      </c>
      <c r="AB13" s="705">
        <f t="shared" si="8"/>
        <v>6973.9885280791204</v>
      </c>
    </row>
    <row r="14" spans="1:51">
      <c r="A14" s="414">
        <f t="shared" si="0"/>
        <v>20002</v>
      </c>
      <c r="B14" s="1072">
        <v>36678</v>
      </c>
      <c r="C14" s="1063">
        <v>1837452.6869932078</v>
      </c>
      <c r="D14" s="1063">
        <f t="shared" si="1"/>
        <v>94.825016578067334</v>
      </c>
      <c r="E14" s="1064">
        <v>570.48816299999999</v>
      </c>
      <c r="F14" s="1063">
        <v>204010</v>
      </c>
      <c r="G14" s="1063">
        <f t="shared" si="2"/>
        <v>10.062168979399999</v>
      </c>
      <c r="H14" s="1064">
        <v>94.180988999999997</v>
      </c>
      <c r="I14" s="1063">
        <v>1622694</v>
      </c>
      <c r="J14" s="1063">
        <f t="shared" si="3"/>
        <v>61.699391634980991</v>
      </c>
      <c r="K14" s="1064">
        <v>154.53788299999999</v>
      </c>
      <c r="L14" s="98">
        <f t="shared" si="4"/>
        <v>2000</v>
      </c>
      <c r="M14" s="98" t="str">
        <f t="shared" si="5"/>
        <v>2</v>
      </c>
      <c r="N14" s="92">
        <f t="shared" si="6"/>
        <v>2.5046905472627614</v>
      </c>
      <c r="O14" s="17"/>
      <c r="Z14" s="1085">
        <f>LARGE(B$9:B$739,7)</f>
        <v>43800</v>
      </c>
      <c r="AA14" s="1063">
        <f t="shared" si="7"/>
        <v>12419277.697201625</v>
      </c>
      <c r="AB14" s="1064">
        <f t="shared" si="8"/>
        <v>7554.8185326036582</v>
      </c>
    </row>
    <row r="15" spans="1:51">
      <c r="A15" s="414">
        <f t="shared" si="0"/>
        <v>20003</v>
      </c>
      <c r="B15" s="1072">
        <v>36770</v>
      </c>
      <c r="C15" s="706">
        <v>2005254.4437920377</v>
      </c>
      <c r="D15" s="706">
        <f t="shared" si="1"/>
        <v>103.48472492479806</v>
      </c>
      <c r="E15" s="705">
        <v>650.62348799999995</v>
      </c>
      <c r="F15" s="706">
        <v>187206</v>
      </c>
      <c r="G15" s="706">
        <f t="shared" si="2"/>
        <v>9.2333630996399982</v>
      </c>
      <c r="H15" s="705">
        <v>102.37838499999999</v>
      </c>
      <c r="I15" s="706">
        <v>1860774</v>
      </c>
      <c r="J15" s="706">
        <f t="shared" si="3"/>
        <v>70.751863117870727</v>
      </c>
      <c r="K15" s="705">
        <v>154.509299</v>
      </c>
      <c r="L15" s="98">
        <f t="shared" si="4"/>
        <v>2000</v>
      </c>
      <c r="M15" s="98" t="str">
        <f t="shared" si="5"/>
        <v>3</v>
      </c>
      <c r="N15" s="93">
        <f t="shared" si="6"/>
        <v>2.1838195093547093</v>
      </c>
      <c r="O15" s="17"/>
      <c r="Z15" s="1086">
        <f>LARGE(B$9:B$739,6)</f>
        <v>43891</v>
      </c>
      <c r="AA15" s="706">
        <f t="shared" si="7"/>
        <v>10912353.37717271</v>
      </c>
      <c r="AB15" s="705">
        <f t="shared" si="8"/>
        <v>7223.1572945981288</v>
      </c>
    </row>
    <row r="16" spans="1:51">
      <c r="A16" s="414">
        <f t="shared" si="0"/>
        <v>20004</v>
      </c>
      <c r="B16" s="1072">
        <v>36861</v>
      </c>
      <c r="C16" s="1063">
        <v>1868494.2057932222</v>
      </c>
      <c r="D16" s="1063">
        <f t="shared" si="1"/>
        <v>96.426969409645537</v>
      </c>
      <c r="E16" s="1064">
        <v>726.18060110999988</v>
      </c>
      <c r="F16" s="1063">
        <v>196290</v>
      </c>
      <c r="G16" s="1063">
        <f t="shared" si="2"/>
        <v>9.6814036025999997</v>
      </c>
      <c r="H16" s="1064">
        <v>105.14746</v>
      </c>
      <c r="I16" s="1063">
        <v>1940481</v>
      </c>
      <c r="J16" s="1063">
        <f t="shared" si="3"/>
        <v>73.782547528517114</v>
      </c>
      <c r="K16" s="1064">
        <v>160.779822</v>
      </c>
      <c r="L16" s="98">
        <f t="shared" si="4"/>
        <v>2000</v>
      </c>
      <c r="M16" s="98" t="str">
        <f t="shared" si="5"/>
        <v>4</v>
      </c>
      <c r="N16" s="92">
        <f t="shared" si="6"/>
        <v>2.1791036957331711</v>
      </c>
      <c r="O16" s="17"/>
      <c r="Z16" s="1085">
        <f>LARGE(B$9:B$739,5)</f>
        <v>43983</v>
      </c>
      <c r="AA16" s="1063">
        <f t="shared" si="7"/>
        <v>12143565.325145038</v>
      </c>
      <c r="AB16" s="1064">
        <f t="shared" si="8"/>
        <v>5296.00015701967</v>
      </c>
    </row>
    <row r="17" spans="1:28">
      <c r="A17" s="414">
        <f t="shared" si="0"/>
        <v>20011</v>
      </c>
      <c r="B17" s="1072">
        <v>36951</v>
      </c>
      <c r="C17" s="706">
        <v>1910664.5478073962</v>
      </c>
      <c r="D17" s="706">
        <f t="shared" si="1"/>
        <v>98.603244972495773</v>
      </c>
      <c r="E17" s="705">
        <v>841.42728009753</v>
      </c>
      <c r="F17" s="706">
        <v>208659</v>
      </c>
      <c r="G17" s="706">
        <f t="shared" si="2"/>
        <v>10.291466678460001</v>
      </c>
      <c r="H17" s="705">
        <v>107.916927</v>
      </c>
      <c r="I17" s="706">
        <v>1854412</v>
      </c>
      <c r="J17" s="706">
        <f t="shared" si="3"/>
        <v>70.509961977186308</v>
      </c>
      <c r="K17" s="705">
        <v>148.41992200000001</v>
      </c>
      <c r="L17" s="98">
        <f t="shared" si="4"/>
        <v>2001</v>
      </c>
      <c r="M17" s="98" t="str">
        <f t="shared" si="5"/>
        <v>1</v>
      </c>
      <c r="N17" s="93">
        <f t="shared" si="6"/>
        <v>2.104949681408447</v>
      </c>
      <c r="O17" s="17"/>
      <c r="Z17" s="1086">
        <f>LARGE(B$9:B$739,4)</f>
        <v>44075</v>
      </c>
      <c r="AA17" s="706">
        <f t="shared" si="7"/>
        <v>9831044.8532996178</v>
      </c>
      <c r="AB17" s="705">
        <f t="shared" si="8"/>
        <v>2880.7437526371191</v>
      </c>
    </row>
    <row r="18" spans="1:28">
      <c r="A18" s="414">
        <f t="shared" si="0"/>
        <v>20012</v>
      </c>
      <c r="B18" s="1072">
        <v>37043</v>
      </c>
      <c r="C18" s="1063">
        <v>1803422.4795584281</v>
      </c>
      <c r="D18" s="1063">
        <f t="shared" si="1"/>
        <v>93.068827149626301</v>
      </c>
      <c r="E18" s="1064">
        <v>794.19952266501014</v>
      </c>
      <c r="F18" s="1063">
        <v>204417</v>
      </c>
      <c r="G18" s="1063">
        <f t="shared" si="2"/>
        <v>10.082243008980001</v>
      </c>
      <c r="H18" s="1064">
        <v>94.066592</v>
      </c>
      <c r="I18" s="1063">
        <v>1904422</v>
      </c>
      <c r="J18" s="1063">
        <f t="shared" si="3"/>
        <v>72.411482889733847</v>
      </c>
      <c r="K18" s="1064">
        <v>162.46897921454945</v>
      </c>
      <c r="L18" s="98">
        <f t="shared" si="4"/>
        <v>2001</v>
      </c>
      <c r="M18" s="98" t="str">
        <f t="shared" si="5"/>
        <v>2</v>
      </c>
      <c r="N18" s="92">
        <f t="shared" si="6"/>
        <v>2.2436908171312084</v>
      </c>
      <c r="O18" s="17"/>
      <c r="Z18" s="1085">
        <f>LARGE(B$9:B$739,3)</f>
        <v>44166</v>
      </c>
      <c r="AA18" s="1063">
        <f t="shared" si="7"/>
        <v>11380428</v>
      </c>
      <c r="AB18" s="1064">
        <f t="shared" si="8"/>
        <v>3913.6618017095298</v>
      </c>
    </row>
    <row r="19" spans="1:28">
      <c r="A19" s="414">
        <f t="shared" si="0"/>
        <v>20013</v>
      </c>
      <c r="B19" s="1072">
        <v>37135</v>
      </c>
      <c r="C19" s="706">
        <v>2096353.0817614915</v>
      </c>
      <c r="D19" s="706">
        <f t="shared" si="1"/>
        <v>108.1860322927873</v>
      </c>
      <c r="E19" s="705">
        <v>923.20165448972296</v>
      </c>
      <c r="F19" s="706">
        <v>261719</v>
      </c>
      <c r="G19" s="706">
        <f t="shared" si="2"/>
        <v>12.90848881486</v>
      </c>
      <c r="H19" s="705">
        <v>117.05665999999999</v>
      </c>
      <c r="I19" s="706">
        <v>1960449</v>
      </c>
      <c r="J19" s="706">
        <f t="shared" si="3"/>
        <v>74.541787072243352</v>
      </c>
      <c r="K19" s="705">
        <v>164.66447600000001</v>
      </c>
      <c r="L19" s="98">
        <f t="shared" si="4"/>
        <v>2001</v>
      </c>
      <c r="M19" s="98" t="str">
        <f t="shared" si="5"/>
        <v>3</v>
      </c>
      <c r="N19" s="93">
        <f t="shared" si="6"/>
        <v>2.209022381505461</v>
      </c>
      <c r="O19" s="17"/>
      <c r="Z19" s="1086">
        <f>LARGE(B$9:B$739,2)</f>
        <v>44256</v>
      </c>
      <c r="AA19" s="706">
        <f t="shared" si="7"/>
        <v>10885217.296188684</v>
      </c>
      <c r="AB19" s="705">
        <f t="shared" si="8"/>
        <v>4733.9670430015012</v>
      </c>
    </row>
    <row r="20" spans="1:28" ht="15.75" thickBot="1">
      <c r="A20" s="414">
        <f t="shared" si="0"/>
        <v>20014</v>
      </c>
      <c r="B20" s="1072">
        <v>37226</v>
      </c>
      <c r="C20" s="1063">
        <v>2098266.9888792098</v>
      </c>
      <c r="D20" s="1063">
        <f t="shared" si="1"/>
        <v>108.28480287635183</v>
      </c>
      <c r="E20" s="1064">
        <v>924.04450974773681</v>
      </c>
      <c r="F20" s="1063">
        <v>186285</v>
      </c>
      <c r="G20" s="1063">
        <f t="shared" si="2"/>
        <v>9.1879375929000009</v>
      </c>
      <c r="H20" s="1064">
        <v>83.581271999999998</v>
      </c>
      <c r="I20" s="1063">
        <v>1946250</v>
      </c>
      <c r="J20" s="1063">
        <f t="shared" si="3"/>
        <v>74.00190114068441</v>
      </c>
      <c r="K20" s="1064">
        <v>166.52129199999999</v>
      </c>
      <c r="L20" s="98">
        <f t="shared" si="4"/>
        <v>2001</v>
      </c>
      <c r="M20" s="98" t="str">
        <f t="shared" si="5"/>
        <v>4</v>
      </c>
      <c r="N20" s="92">
        <f t="shared" si="6"/>
        <v>2.2502299188696209</v>
      </c>
      <c r="O20" s="17"/>
      <c r="Z20" s="1087">
        <f>LARGE(B$9:B$739,1)</f>
        <v>44348</v>
      </c>
      <c r="AA20" s="1076">
        <f t="shared" si="7"/>
        <v>10295996.512200473</v>
      </c>
      <c r="AB20" s="1077">
        <f t="shared" si="8"/>
        <v>4252.1224724116246</v>
      </c>
    </row>
    <row r="21" spans="1:28">
      <c r="A21" s="414">
        <f t="shared" si="0"/>
        <v>20021</v>
      </c>
      <c r="B21" s="1072">
        <v>37316</v>
      </c>
      <c r="C21" s="706">
        <v>1914514.0532256914</v>
      </c>
      <c r="D21" s="706">
        <f t="shared" si="1"/>
        <v>98.801905551726549</v>
      </c>
      <c r="E21" s="705">
        <v>551.07352300000002</v>
      </c>
      <c r="F21" s="706">
        <v>217388</v>
      </c>
      <c r="G21" s="706">
        <f t="shared" si="2"/>
        <v>10.721997892719999</v>
      </c>
      <c r="H21" s="705">
        <v>85.772964999999999</v>
      </c>
      <c r="I21" s="706">
        <v>1852945</v>
      </c>
      <c r="J21" s="706">
        <f t="shared" si="3"/>
        <v>70.454182509505699</v>
      </c>
      <c r="K21" s="705">
        <v>150.462389</v>
      </c>
      <c r="L21" s="98">
        <f t="shared" si="4"/>
        <v>2002</v>
      </c>
      <c r="M21" s="98" t="str">
        <f t="shared" si="5"/>
        <v>1</v>
      </c>
      <c r="N21" s="93">
        <f t="shared" si="6"/>
        <v>2.1356062002379996</v>
      </c>
      <c r="O21" s="17"/>
      <c r="Z21" s="2"/>
    </row>
    <row r="22" spans="1:28">
      <c r="A22" s="414">
        <f t="shared" si="0"/>
        <v>20022</v>
      </c>
      <c r="B22" s="1072">
        <v>37408</v>
      </c>
      <c r="C22" s="1063">
        <v>1953455.4217422921</v>
      </c>
      <c r="D22" s="1063">
        <f t="shared" si="1"/>
        <v>100.81154418966169</v>
      </c>
      <c r="E22" s="1064">
        <v>608.07784800000013</v>
      </c>
      <c r="F22" s="1063">
        <v>191130</v>
      </c>
      <c r="G22" s="1063">
        <f t="shared" si="2"/>
        <v>9.4269023921999988</v>
      </c>
      <c r="H22" s="1064">
        <v>75.167028000000002</v>
      </c>
      <c r="I22" s="1063">
        <v>1697095</v>
      </c>
      <c r="J22" s="1063">
        <f t="shared" si="3"/>
        <v>64.52832699619772</v>
      </c>
      <c r="K22" s="1064">
        <v>157.231076</v>
      </c>
      <c r="L22" s="98">
        <f t="shared" si="4"/>
        <v>2002</v>
      </c>
      <c r="M22" s="98" t="str">
        <f t="shared" si="5"/>
        <v>2</v>
      </c>
      <c r="N22" s="92">
        <f t="shared" si="6"/>
        <v>2.4366209898679805</v>
      </c>
      <c r="O22" s="17"/>
      <c r="Z22" s="2"/>
    </row>
    <row r="23" spans="1:28">
      <c r="A23" s="414">
        <f t="shared" si="0"/>
        <v>20023</v>
      </c>
      <c r="B23" s="1072">
        <v>37500</v>
      </c>
      <c r="C23" s="706">
        <v>2152154.5174200633</v>
      </c>
      <c r="D23" s="706">
        <f t="shared" si="1"/>
        <v>111.06576470650337</v>
      </c>
      <c r="E23" s="705">
        <v>850.14068999999995</v>
      </c>
      <c r="F23" s="706">
        <v>222884</v>
      </c>
      <c r="G23" s="706">
        <f t="shared" si="2"/>
        <v>10.99307127496</v>
      </c>
      <c r="H23" s="705">
        <v>96.977897999999996</v>
      </c>
      <c r="I23" s="706">
        <v>2172461</v>
      </c>
      <c r="J23" s="706">
        <f t="shared" si="3"/>
        <v>82.603079847908745</v>
      </c>
      <c r="K23" s="705">
        <v>171.79498599999999</v>
      </c>
      <c r="L23" s="98">
        <f t="shared" si="4"/>
        <v>2002</v>
      </c>
      <c r="M23" s="98" t="str">
        <f t="shared" si="5"/>
        <v>3</v>
      </c>
      <c r="N23" s="93">
        <f t="shared" si="6"/>
        <v>2.0797648987945005</v>
      </c>
      <c r="O23" s="17"/>
      <c r="Z23" s="2"/>
    </row>
    <row r="24" spans="1:28">
      <c r="A24" s="414">
        <f t="shared" si="0"/>
        <v>20024</v>
      </c>
      <c r="B24" s="1072">
        <v>37591</v>
      </c>
      <c r="C24" s="1063">
        <v>1980869.1366087762</v>
      </c>
      <c r="D24" s="1063">
        <f t="shared" si="1"/>
        <v>102.22627774175906</v>
      </c>
      <c r="E24" s="1064">
        <v>781.92438900000002</v>
      </c>
      <c r="F24" s="1063">
        <v>184164</v>
      </c>
      <c r="G24" s="1063">
        <f t="shared" si="2"/>
        <v>9.0833257581599991</v>
      </c>
      <c r="H24" s="1064">
        <v>105.525927</v>
      </c>
      <c r="I24" s="1063">
        <v>2027096</v>
      </c>
      <c r="J24" s="1063">
        <f t="shared" si="3"/>
        <v>77.075893536121669</v>
      </c>
      <c r="K24" s="1064">
        <v>170.71493799999999</v>
      </c>
      <c r="L24" s="98">
        <f t="shared" si="4"/>
        <v>2002</v>
      </c>
      <c r="M24" s="98" t="str">
        <f t="shared" si="5"/>
        <v>4</v>
      </c>
      <c r="N24" s="92">
        <f t="shared" si="6"/>
        <v>2.2148940501091214</v>
      </c>
      <c r="O24" s="17"/>
      <c r="Z24" s="2"/>
    </row>
    <row r="25" spans="1:28">
      <c r="A25" s="414">
        <f t="shared" si="0"/>
        <v>20031</v>
      </c>
      <c r="B25" s="1072">
        <v>37681</v>
      </c>
      <c r="C25" s="706">
        <v>2047023.6024221559</v>
      </c>
      <c r="D25" s="706">
        <f t="shared" si="1"/>
        <v>105.64029670500767</v>
      </c>
      <c r="E25" s="705">
        <v>772.56395799999996</v>
      </c>
      <c r="F25" s="706">
        <v>167903</v>
      </c>
      <c r="G25" s="706">
        <f t="shared" si="2"/>
        <v>8.2813016918199995</v>
      </c>
      <c r="H25" s="705">
        <v>99.681422999999995</v>
      </c>
      <c r="I25" s="706">
        <v>1958098</v>
      </c>
      <c r="J25" s="706">
        <f t="shared" si="3"/>
        <v>74.452395437262354</v>
      </c>
      <c r="K25" s="705">
        <v>159.82396399999999</v>
      </c>
      <c r="L25" s="98">
        <f t="shared" si="4"/>
        <v>2003</v>
      </c>
      <c r="M25" s="98" t="str">
        <f t="shared" si="5"/>
        <v>1</v>
      </c>
      <c r="N25" s="93">
        <f t="shared" si="6"/>
        <v>2.1466597959856961</v>
      </c>
      <c r="O25" s="17"/>
      <c r="Z25" s="2"/>
    </row>
    <row r="26" spans="1:28">
      <c r="A26" s="414">
        <f t="shared" si="0"/>
        <v>20032</v>
      </c>
      <c r="B26" s="1072">
        <v>37773</v>
      </c>
      <c r="C26" s="1063">
        <v>2018138.4484287524</v>
      </c>
      <c r="D26" s="1063">
        <f t="shared" si="1"/>
        <v>104.14962691760397</v>
      </c>
      <c r="E26" s="1064">
        <v>726.19900600000017</v>
      </c>
      <c r="F26" s="1063">
        <v>232112</v>
      </c>
      <c r="G26" s="1063">
        <f t="shared" si="2"/>
        <v>11.448214137280001</v>
      </c>
      <c r="H26" s="1064">
        <v>91.677954999999997</v>
      </c>
      <c r="I26" s="1063">
        <v>1962450</v>
      </c>
      <c r="J26" s="1063">
        <f t="shared" si="3"/>
        <v>74.617870722433466</v>
      </c>
      <c r="K26" s="1064">
        <v>159.586656</v>
      </c>
      <c r="L26" s="98">
        <f t="shared" si="4"/>
        <v>2003</v>
      </c>
      <c r="M26" s="98" t="str">
        <f t="shared" si="5"/>
        <v>2</v>
      </c>
      <c r="N26" s="92">
        <f t="shared" si="6"/>
        <v>2.1387189751586027</v>
      </c>
      <c r="O26" s="17"/>
      <c r="Z26" s="2"/>
    </row>
    <row r="27" spans="1:28">
      <c r="A27" s="414">
        <f t="shared" si="0"/>
        <v>20033</v>
      </c>
      <c r="B27" s="1072">
        <v>37865</v>
      </c>
      <c r="C27" s="706">
        <v>2219445.4507048135</v>
      </c>
      <c r="D27" s="706">
        <f t="shared" si="1"/>
        <v>114.53843309652416</v>
      </c>
      <c r="E27" s="705">
        <v>752.43159899999989</v>
      </c>
      <c r="F27" s="706">
        <v>170079</v>
      </c>
      <c r="G27" s="706">
        <f t="shared" si="2"/>
        <v>8.3886262332600001</v>
      </c>
      <c r="H27" s="705">
        <v>67.386379000000005</v>
      </c>
      <c r="I27" s="706">
        <v>2110943</v>
      </c>
      <c r="J27" s="706">
        <f t="shared" si="3"/>
        <v>80.263992395437256</v>
      </c>
      <c r="K27" s="705">
        <v>188.401556</v>
      </c>
      <c r="L27" s="98">
        <f t="shared" si="4"/>
        <v>2003</v>
      </c>
      <c r="M27" s="98" t="str">
        <f t="shared" si="5"/>
        <v>3</v>
      </c>
      <c r="N27" s="93">
        <f t="shared" si="6"/>
        <v>2.3472736700138279</v>
      </c>
      <c r="O27" s="17"/>
      <c r="Z27" s="2"/>
    </row>
    <row r="28" spans="1:28">
      <c r="A28" s="414">
        <f t="shared" si="0"/>
        <v>20034</v>
      </c>
      <c r="B28" s="1072">
        <v>37956</v>
      </c>
      <c r="C28" s="1063">
        <v>2003850.0192975404</v>
      </c>
      <c r="D28" s="1063">
        <f t="shared" si="1"/>
        <v>103.41224709888392</v>
      </c>
      <c r="E28" s="1064">
        <v>623.41959999999995</v>
      </c>
      <c r="F28" s="1063">
        <v>175075</v>
      </c>
      <c r="G28" s="1063">
        <f t="shared" si="2"/>
        <v>8.6350386454999981</v>
      </c>
      <c r="H28" s="1064">
        <v>66.801114999999996</v>
      </c>
      <c r="I28" s="1063">
        <v>2081126</v>
      </c>
      <c r="J28" s="1063">
        <f t="shared" si="3"/>
        <v>79.130266159695822</v>
      </c>
      <c r="K28" s="1064">
        <v>182.642709</v>
      </c>
      <c r="L28" s="98">
        <f t="shared" si="4"/>
        <v>2003</v>
      </c>
      <c r="M28" s="98" t="str">
        <f t="shared" si="5"/>
        <v>4</v>
      </c>
      <c r="N28" s="92">
        <f t="shared" si="6"/>
        <v>2.308127065204125</v>
      </c>
      <c r="O28" s="17"/>
    </row>
    <row r="29" spans="1:28">
      <c r="A29" s="414">
        <f t="shared" si="0"/>
        <v>20041</v>
      </c>
      <c r="B29" s="1072">
        <v>38047</v>
      </c>
      <c r="C29" s="706">
        <v>1980160.9456250088</v>
      </c>
      <c r="D29" s="706">
        <f t="shared" si="1"/>
        <v>102.18973028546179</v>
      </c>
      <c r="E29" s="705">
        <v>696.88724400000001</v>
      </c>
      <c r="F29" s="706">
        <v>189587</v>
      </c>
      <c r="G29" s="706">
        <f t="shared" si="2"/>
        <v>9.3507986387799988</v>
      </c>
      <c r="H29" s="705">
        <v>76.295843000000005</v>
      </c>
      <c r="I29" s="706">
        <v>1958982</v>
      </c>
      <c r="J29" s="706">
        <f t="shared" si="3"/>
        <v>74.486007604562744</v>
      </c>
      <c r="K29" s="705">
        <v>151.96587700000001</v>
      </c>
      <c r="L29" s="98">
        <f t="shared" si="4"/>
        <v>2004</v>
      </c>
      <c r="M29" s="98" t="str">
        <f t="shared" si="5"/>
        <v>1</v>
      </c>
      <c r="N29" s="93">
        <f t="shared" si="6"/>
        <v>2.0401936133665344</v>
      </c>
      <c r="O29" s="17"/>
    </row>
    <row r="30" spans="1:28">
      <c r="A30" s="414">
        <f t="shared" si="0"/>
        <v>20042</v>
      </c>
      <c r="B30" s="1072">
        <v>38139</v>
      </c>
      <c r="C30" s="1063">
        <v>2017308.1044479285</v>
      </c>
      <c r="D30" s="1063">
        <f t="shared" si="1"/>
        <v>104.10677553846126</v>
      </c>
      <c r="E30" s="1064">
        <v>703.14304900000002</v>
      </c>
      <c r="F30" s="1063">
        <v>160521</v>
      </c>
      <c r="G30" s="1063">
        <f t="shared" si="2"/>
        <v>7.9172071307399996</v>
      </c>
      <c r="H30" s="1064">
        <v>71.667344999999997</v>
      </c>
      <c r="I30" s="1063">
        <v>1909759</v>
      </c>
      <c r="J30" s="1063">
        <f t="shared" si="3"/>
        <v>72.614410646387839</v>
      </c>
      <c r="K30" s="1064">
        <v>158.03351499999999</v>
      </c>
      <c r="L30" s="98">
        <f t="shared" si="4"/>
        <v>2004</v>
      </c>
      <c r="M30" s="98" t="str">
        <f t="shared" si="5"/>
        <v>2</v>
      </c>
      <c r="N30" s="92">
        <f t="shared" si="6"/>
        <v>2.1763381895307208</v>
      </c>
      <c r="O30" s="17"/>
    </row>
    <row r="31" spans="1:28">
      <c r="A31" s="414">
        <f t="shared" si="0"/>
        <v>20043</v>
      </c>
      <c r="B31" s="1072">
        <v>38231</v>
      </c>
      <c r="C31" s="706">
        <v>2434155.8057928775</v>
      </c>
      <c r="D31" s="706">
        <f t="shared" si="1"/>
        <v>125.61894315527576</v>
      </c>
      <c r="E31" s="705">
        <v>814.84290999999996</v>
      </c>
      <c r="F31" s="706">
        <v>229492</v>
      </c>
      <c r="G31" s="706">
        <f t="shared" si="2"/>
        <v>11.318990654479999</v>
      </c>
      <c r="H31" s="705">
        <v>111.539199</v>
      </c>
      <c r="I31" s="706">
        <v>1843652</v>
      </c>
      <c r="J31" s="706">
        <f t="shared" si="3"/>
        <v>70.100836501901142</v>
      </c>
      <c r="K31" s="705">
        <v>169.58207899999999</v>
      </c>
      <c r="L31" s="98">
        <f t="shared" si="4"/>
        <v>2004</v>
      </c>
      <c r="M31" s="98" t="str">
        <f t="shared" si="5"/>
        <v>3</v>
      </c>
      <c r="N31" s="93">
        <f t="shared" si="6"/>
        <v>2.4191163395803543</v>
      </c>
      <c r="O31" s="17"/>
    </row>
    <row r="32" spans="1:28" ht="15.75" thickBot="1">
      <c r="A32" s="414">
        <f t="shared" si="0"/>
        <v>20044</v>
      </c>
      <c r="B32" s="1072">
        <v>38322</v>
      </c>
      <c r="C32" s="1063">
        <v>2787683.4293645131</v>
      </c>
      <c r="D32" s="1063">
        <f t="shared" si="1"/>
        <v>143.86336544885998</v>
      </c>
      <c r="E32" s="1064">
        <v>935.93642699999998</v>
      </c>
      <c r="F32" s="1063">
        <v>142088</v>
      </c>
      <c r="G32" s="1063">
        <f t="shared" si="2"/>
        <v>7.0080558107199993</v>
      </c>
      <c r="H32" s="1064">
        <v>80.915570000000002</v>
      </c>
      <c r="I32" s="1063">
        <v>2001298</v>
      </c>
      <c r="J32" s="1063">
        <f t="shared" si="3"/>
        <v>76.09498098859315</v>
      </c>
      <c r="K32" s="1064">
        <v>175.87676099999999</v>
      </c>
      <c r="L32" s="98">
        <f t="shared" si="4"/>
        <v>2004</v>
      </c>
      <c r="M32" s="98" t="str">
        <f t="shared" si="5"/>
        <v>4</v>
      </c>
      <c r="N32" s="92">
        <f t="shared" si="6"/>
        <v>2.3112793868279486</v>
      </c>
      <c r="O32" s="17"/>
    </row>
    <row r="33" spans="1:39" ht="15.75" thickBot="1">
      <c r="A33" s="414">
        <f t="shared" si="0"/>
        <v>20051</v>
      </c>
      <c r="B33" s="1072">
        <v>38412</v>
      </c>
      <c r="C33" s="706">
        <v>2765700</v>
      </c>
      <c r="D33" s="706">
        <f t="shared" si="1"/>
        <v>142.728871446</v>
      </c>
      <c r="E33" s="705">
        <v>990.53453766112727</v>
      </c>
      <c r="F33" s="706">
        <v>193680</v>
      </c>
      <c r="G33" s="706">
        <f t="shared" si="2"/>
        <v>9.5526733392000001</v>
      </c>
      <c r="H33" s="705">
        <v>114.8085584005612</v>
      </c>
      <c r="I33" s="706">
        <v>1864648</v>
      </c>
      <c r="J33" s="706">
        <f t="shared" si="3"/>
        <v>70.899163498098858</v>
      </c>
      <c r="K33" s="705">
        <v>166.87281999999999</v>
      </c>
      <c r="L33" s="98">
        <f t="shared" si="4"/>
        <v>2005</v>
      </c>
      <c r="M33" s="98" t="str">
        <f t="shared" si="5"/>
        <v>1</v>
      </c>
      <c r="N33" s="93">
        <f t="shared" si="6"/>
        <v>2.3536641585972258</v>
      </c>
      <c r="O33" s="89"/>
      <c r="Q33" s="463">
        <v>1.690140392577276</v>
      </c>
      <c r="R33" s="386"/>
      <c r="Z33" s="1993" t="s">
        <v>756</v>
      </c>
      <c r="AA33" s="1993"/>
      <c r="AB33" s="1993"/>
      <c r="AD33" s="406" t="s">
        <v>383</v>
      </c>
      <c r="AE33" s="1955" t="s">
        <v>382</v>
      </c>
      <c r="AF33" s="1955"/>
      <c r="AG33" s="1955"/>
      <c r="AH33" s="1955"/>
      <c r="AI33" s="1955"/>
      <c r="AJ33" s="1955"/>
      <c r="AK33" s="1955"/>
      <c r="AL33" s="1955"/>
      <c r="AM33" s="1956"/>
    </row>
    <row r="34" spans="1:39" ht="15.75" thickBot="1">
      <c r="A34" s="414">
        <f t="shared" si="0"/>
        <v>20052</v>
      </c>
      <c r="B34" s="1072">
        <v>38504</v>
      </c>
      <c r="C34" s="1063">
        <v>2941484</v>
      </c>
      <c r="D34" s="1063">
        <f t="shared" si="1"/>
        <v>151.80051766151999</v>
      </c>
      <c r="E34" s="1064">
        <v>1053.4915189563594</v>
      </c>
      <c r="F34" s="1063">
        <v>198926</v>
      </c>
      <c r="G34" s="1063">
        <f t="shared" si="2"/>
        <v>9.8114162364399995</v>
      </c>
      <c r="H34" s="1064">
        <v>96.238425912268809</v>
      </c>
      <c r="I34" s="1063">
        <v>1933203</v>
      </c>
      <c r="J34" s="1063">
        <f t="shared" si="3"/>
        <v>73.505817490494294</v>
      </c>
      <c r="K34" s="1064">
        <v>166.391311</v>
      </c>
      <c r="L34" s="98">
        <f t="shared" si="4"/>
        <v>2005</v>
      </c>
      <c r="M34" s="98" t="str">
        <f t="shared" si="5"/>
        <v>2</v>
      </c>
      <c r="N34" s="92">
        <f t="shared" si="6"/>
        <v>2.2636481938523789</v>
      </c>
      <c r="O34" s="17"/>
      <c r="Q34" s="463">
        <v>2.4382513748019465</v>
      </c>
      <c r="R34" s="386"/>
      <c r="Z34" s="1988" t="s">
        <v>43</v>
      </c>
      <c r="AA34" s="1988"/>
      <c r="AB34" s="1988"/>
      <c r="AD34" s="1975" t="str">
        <f>CONCATENATE(J5," Quantity And Value By ",AE33)</f>
        <v xml:space="preserve"> Quantity And Value By Financial Year</v>
      </c>
      <c r="AE34" s="1976"/>
      <c r="AF34" s="1976"/>
      <c r="AG34" s="1976"/>
      <c r="AH34" s="1976"/>
      <c r="AI34" s="1976"/>
      <c r="AJ34" s="1976"/>
      <c r="AK34" s="1976"/>
      <c r="AL34" s="1976"/>
      <c r="AM34" s="1977"/>
    </row>
    <row r="35" spans="1:39" ht="15.75" thickBot="1">
      <c r="A35" s="414">
        <f t="shared" si="0"/>
        <v>20053</v>
      </c>
      <c r="B35" s="1072">
        <v>38596</v>
      </c>
      <c r="C35" s="706">
        <v>2816304</v>
      </c>
      <c r="D35" s="706">
        <f t="shared" si="1"/>
        <v>145.34038094112</v>
      </c>
      <c r="E35" s="705">
        <v>1109.5212301645097</v>
      </c>
      <c r="F35" s="706">
        <v>237820</v>
      </c>
      <c r="G35" s="706">
        <f t="shared" si="2"/>
        <v>11.729743770800001</v>
      </c>
      <c r="H35" s="705">
        <v>132.4409622798909</v>
      </c>
      <c r="I35" s="706">
        <v>1969628</v>
      </c>
      <c r="J35" s="706">
        <f t="shared" si="3"/>
        <v>74.890798479087451</v>
      </c>
      <c r="K35" s="705">
        <v>175.05570499999999</v>
      </c>
      <c r="L35" s="98">
        <f t="shared" si="4"/>
        <v>2005</v>
      </c>
      <c r="M35" s="98" t="str">
        <f t="shared" si="5"/>
        <v>3</v>
      </c>
      <c r="N35" s="93">
        <f t="shared" si="6"/>
        <v>2.3374794841970159</v>
      </c>
      <c r="O35" s="17"/>
      <c r="Q35" s="463">
        <v>2.5177775333609973</v>
      </c>
      <c r="R35" s="386"/>
      <c r="Z35" s="1070" t="s">
        <v>6</v>
      </c>
      <c r="AA35" s="1079" t="str">
        <f>F8</f>
        <v>Quantity (t)</v>
      </c>
      <c r="AB35" s="1080" t="str">
        <f>H8</f>
        <v>Value ($ Million)</v>
      </c>
      <c r="AD35" s="120"/>
      <c r="AE35" s="2058" t="str">
        <f>C7</f>
        <v>LNG</v>
      </c>
      <c r="AF35" s="2061"/>
      <c r="AG35" s="2059"/>
      <c r="AH35" s="2058" t="str">
        <f>F7</f>
        <v>LPG - Butane And Propane</v>
      </c>
      <c r="AI35" s="2061"/>
      <c r="AJ35" s="2059"/>
      <c r="AK35" s="2058" t="str">
        <f>I7</f>
        <v>Natural Gas</v>
      </c>
      <c r="AL35" s="2061"/>
      <c r="AM35" s="2059"/>
    </row>
    <row r="36" spans="1:39" ht="15.75" thickBot="1">
      <c r="A36" s="414">
        <f t="shared" si="0"/>
        <v>20054</v>
      </c>
      <c r="B36" s="1072">
        <v>38687</v>
      </c>
      <c r="C36" s="1063">
        <v>3077124</v>
      </c>
      <c r="D36" s="1063">
        <f t="shared" si="1"/>
        <v>158.80046130072</v>
      </c>
      <c r="E36" s="1064">
        <v>1292.7891994264205</v>
      </c>
      <c r="F36" s="1063">
        <v>240304</v>
      </c>
      <c r="G36" s="1063">
        <f t="shared" si="2"/>
        <v>11.852259469759998</v>
      </c>
      <c r="H36" s="1064">
        <v>200.73407476360785</v>
      </c>
      <c r="I36" s="1063">
        <v>1638770</v>
      </c>
      <c r="J36" s="1063">
        <f t="shared" si="3"/>
        <v>62.310646387832698</v>
      </c>
      <c r="K36" s="1064">
        <v>153.29080999999999</v>
      </c>
      <c r="L36" s="98">
        <f t="shared" si="4"/>
        <v>2005</v>
      </c>
      <c r="M36" s="98" t="str">
        <f t="shared" si="5"/>
        <v>4</v>
      </c>
      <c r="N36" s="92">
        <f t="shared" si="6"/>
        <v>2.4601062400458882</v>
      </c>
      <c r="O36" s="17"/>
      <c r="Q36" s="463">
        <v>2.649862924036114</v>
      </c>
      <c r="R36" s="386"/>
      <c r="Z36" s="1084">
        <f>LARGE(B$9:B$739,10)</f>
        <v>43525</v>
      </c>
      <c r="AA36" s="1088">
        <f t="shared" ref="AA36:AA45" si="9">SUMIF($B$9:$B$739,$Z36,F$9:F$739)</f>
        <v>92520</v>
      </c>
      <c r="AB36" s="1089">
        <f t="shared" ref="AB36:AB45" si="10">SUMIF($B$9:$B$739,$Z36,H$9:H$739)</f>
        <v>65.49929301295073</v>
      </c>
      <c r="AD36" s="1066" t="s">
        <v>41</v>
      </c>
      <c r="AE36" s="121" t="str">
        <f>C8</f>
        <v>Quantity (t)</v>
      </c>
      <c r="AF36" s="124" t="str">
        <f>D8</f>
        <v>Quantity (PJ)</v>
      </c>
      <c r="AG36" s="122" t="str">
        <f>E8</f>
        <v>Value ($ Million)</v>
      </c>
      <c r="AH36" s="121" t="str">
        <f>F8</f>
        <v>Quantity (t)</v>
      </c>
      <c r="AI36" s="123" t="str">
        <f>G8</f>
        <v>Quantity (PJ)</v>
      </c>
      <c r="AJ36" s="122" t="str">
        <f>H8</f>
        <v>Value ($ Million)</v>
      </c>
      <c r="AK36" s="121" t="str">
        <f>I8</f>
        <v>Quantity (000 cubic metres)</v>
      </c>
      <c r="AL36" s="124" t="str">
        <f>J8</f>
        <v>Quantity (PJ)</v>
      </c>
      <c r="AM36" s="122" t="str">
        <f>K8</f>
        <v>Value ($ Million)</v>
      </c>
    </row>
    <row r="37" spans="1:39">
      <c r="A37" s="414">
        <f t="shared" si="0"/>
        <v>20061</v>
      </c>
      <c r="B37" s="1072">
        <v>38777</v>
      </c>
      <c r="C37" s="706">
        <v>2809980</v>
      </c>
      <c r="D37" s="706">
        <f t="shared" si="1"/>
        <v>145.0140196644</v>
      </c>
      <c r="E37" s="705">
        <v>1136.0294052345751</v>
      </c>
      <c r="F37" s="706">
        <v>211950</v>
      </c>
      <c r="G37" s="706">
        <f t="shared" si="2"/>
        <v>10.453785183000001</v>
      </c>
      <c r="H37" s="705">
        <v>200.41766147273182</v>
      </c>
      <c r="I37" s="706">
        <v>1971203</v>
      </c>
      <c r="J37" s="706">
        <f t="shared" si="3"/>
        <v>74.950684410646389</v>
      </c>
      <c r="K37" s="705">
        <v>179.124033</v>
      </c>
      <c r="L37" s="98">
        <f t="shared" si="4"/>
        <v>2006</v>
      </c>
      <c r="M37" s="98" t="str">
        <f t="shared" si="5"/>
        <v>1</v>
      </c>
      <c r="N37" s="93">
        <f t="shared" si="6"/>
        <v>2.3898918923621766</v>
      </c>
      <c r="O37" s="17"/>
      <c r="Q37" s="463">
        <v>2.574232695701351</v>
      </c>
      <c r="R37" s="386"/>
      <c r="Z37" s="1085">
        <f>LARGE(B$9:B$739,9)</f>
        <v>43617</v>
      </c>
      <c r="AA37" s="1090">
        <f t="shared" si="9"/>
        <v>112749</v>
      </c>
      <c r="AB37" s="1091">
        <f t="shared" si="10"/>
        <v>80.156224617098388</v>
      </c>
      <c r="AD37" s="1067" t="str">
        <f>IF($AE$33="Calendar Year",YEAR(MIN($B$9:$B$201)),CONCATENATE(YEAR(MIN($B$9:$B$201)),"-",((YEAR(MIN($B$9:$B$201))+1))))</f>
        <v>1999-2000</v>
      </c>
      <c r="AE37" s="814">
        <f>IF($AE$33="Calendar Year",SUMIF($L$9:$L$201,$AD37,$C$9:$C$201),SUMIFS($C$9:$C$201,$L$9:$L$201,LEFT($AD37,4),$M$9:$M$201,3)+SUMIFS($C$9:$C$201,$L$9:$L$201,LEFT($AD37,4),$M$9:$M$201,4)+SUMIFS($C$9:$C$201,$L$9:$L$201,LEFT($AD37,4)+1,$M$9:$M$201,1)+SUMIFS($C$9:$C$201,$L$9:$L$201,LEFT($AD37,4)+1,$M$9:$M$201,2))</f>
        <v>7990862.5304647814</v>
      </c>
      <c r="AF37" s="814">
        <f>IF($AE$33="Calendar Year",SUMIF($L$9:$L$201,$AD37,$D$9:$D$201),SUMIFS($D$9:$D$201,$L$9:$L$201,LEFT($AD37,4),$M$9:$M$201,3)+SUMIFS($D$9:$D$201,$L$9:$L$201,LEFT($AD37,4),$M$9:$M$201,4)+SUMIFS($D$9:$D$201,$L$9:$L$201,LEFT($AD37,4)+1,$M$9:$M$201,1)+SUMIFS($D$9:$D$201,$L$9:$L$201,LEFT($AD37,4)+1,$M$9:$M$201,2))</f>
        <v>412.38268461993925</v>
      </c>
      <c r="AG37" s="815">
        <f>IF($AE$33="Calendar Year",SUMIF($L$9:$L$201,$AD37,$E$9:$E$201),SUMIFS($E$9:$E$201,$L$9:$L$201,LEFT($AD37,4),$M$9:$M$201,3)+SUMIFS($E$9:$E$201,$L$9:$L$201,LEFT($AD37,4),$M$9:$M$201,4)+SUMIFS($E$9:$E$201,$L$9:$L$201,LEFT($AD37,4)+1,$M$9:$M$201,1)+SUMIFS($E$9:$E$201,$L$9:$L$201,LEFT($AD37,4)+1,$M$9:$M$201,2))</f>
        <v>1971.0604250000001</v>
      </c>
      <c r="AH37" s="814">
        <f>IF($AE$33="Calendar Year",SUMIF($L$9:$L$201,$AD37,$F$9:$F$201),SUMIFS($F$9:$F$201,$L$9:$L$201,LEFT($AD37,4),$M$9:$M$201,3)+SUMIFS($F$9:$F$201,$L$9:$L$201,LEFT($AD37,4),$M$9:$M$201,4)+SUMIFS($F$9:$F$201,$L$9:$L$201,LEFT($AD37,4)+1,$M$9:$M$201,1)+SUMIFS($F$9:$F$201,$L$9:$L$201,LEFT($AD37,4)+1,$M$9:$M$201,2))</f>
        <v>778149</v>
      </c>
      <c r="AI37" s="814">
        <f>IF($AE$33="Calendar Year",SUMIF($L$9:$L$201,$AD37,$G$9:$G$201),SUMIFS($G$9:$G$201,$L$9:$L$201,LEFT($AD37,4),$M$9:$M$201,3)+SUMIFS($G$9:$G$201,$L$9:$L$201,LEFT($AD37,4),$M$9:$M$201,4)+SUMIFS($G$9:$G$201,$L$9:$L$201,LEFT($AD37,4)+1,$M$9:$M$201,1)+SUMIFS($G$9:$G$201,$L$9:$L$201,LEFT($AD37,4)+1,$M$9:$M$201,2))</f>
        <v>38.379818289059997</v>
      </c>
      <c r="AJ37" s="815">
        <f>IF($AE$33="Calendar Year",SUMIF($L$9:$L$201,$AD37,$H$9:$H$201),SUMIFS($H$9:$H$201,$L$9:$L$201,LEFT($AD37,4),$M$9:$M$201,3)+SUMIFS($H$9:$H$201,$L$9:$L$201,LEFT($AD37,4),$M$9:$M$201,4)+SUMIFS($H$9:$H$201,$L$9:$L$201,LEFT($AD37,4)+1,$M$9:$M$201,1)+SUMIFS($H$9:$H$201,$L$9:$L$201,LEFT($AD37,4)+1,$M$9:$M$201,2))</f>
        <v>336.83834999999999</v>
      </c>
      <c r="AK37" s="814">
        <f>IF($AE$33="Calendar Year",SUMIF($L$9:$L$201,$AD37,$I$9:$I$201),SUMIFS($I$9:$I$201,$L$9:$L$201,LEFT($AD37,4),$M$9:$M$201,3)+SUMIFS($I$9:$I$201,$L$9:$L$201,LEFT($AD37,4),$M$9:$M$201,4)+SUMIFS($I$9:$I$201,$L$9:$L$201,LEFT($AD37,4)+1,$M$9:$M$201,1)+SUMIFS($I$9:$I$201,$L$9:$L$201,LEFT($AD37,4)+1,$M$9:$M$201,2))</f>
        <v>6447139.8900000006</v>
      </c>
      <c r="AL37" s="814">
        <f>IF($AE$33="Calendar Year",SUMIF($L$9:$L$201,$AD37,$J$9:$J$201),SUMIFS($J$9:$J$201,$L$9:$L$201,LEFT($AD37,4),$M$9:$M$201,3)+SUMIFS($J$9:$J$201,$L$9:$L$201,LEFT($AD37,4),$M$9:$M$201,4)+SUMIFS($J$9:$J$201,$L$9:$L$201,LEFT($AD37,4)+1,$M$9:$M$201,1)+SUMIFS($J$9:$J$201,$L$9:$L$201,LEFT($AD37,4)+1,$M$9:$M$201,2))</f>
        <v>245.1383988593156</v>
      </c>
      <c r="AM37" s="815">
        <f>IF($AE$33="Calendar Year",SUMIF($L$9:$L$201,$AD37,$K$9:$K$201),SUMIFS($K$9:$K$201,$L$9:$L$201,LEFT($AD37,4),$M$9:$M$201,3)+SUMIFS($K$9:$K$201,$L$9:$L$201,LEFT($AD37,4),$M$9:$M$201,4)+SUMIFS($K$9:$K$201,$L$9:$L$201,LEFT($AD37,4)+1,$M$9:$M$201,1)+SUMIFS($K$9:$K$201,$L$9:$L$201,LEFT($AD37,4)+1,$M$9:$M$201,2))</f>
        <v>569.38400000000001</v>
      </c>
    </row>
    <row r="38" spans="1:39">
      <c r="A38" s="414">
        <f t="shared" si="0"/>
        <v>20062</v>
      </c>
      <c r="B38" s="1072">
        <v>38869</v>
      </c>
      <c r="C38" s="1063">
        <v>2976428</v>
      </c>
      <c r="D38" s="1063">
        <f t="shared" si="1"/>
        <v>153.60386498183999</v>
      </c>
      <c r="E38" s="1064">
        <v>1110.6196977902448</v>
      </c>
      <c r="F38" s="1063">
        <v>181909</v>
      </c>
      <c r="G38" s="1063">
        <f t="shared" si="2"/>
        <v>8.9721047834600007</v>
      </c>
      <c r="H38" s="1064">
        <v>120.83113587726857</v>
      </c>
      <c r="I38" s="1063">
        <v>2133813</v>
      </c>
      <c r="J38" s="1063">
        <f t="shared" si="3"/>
        <v>81.133574144486687</v>
      </c>
      <c r="K38" s="1064">
        <v>193.51226299999999</v>
      </c>
      <c r="L38" s="98">
        <f t="shared" si="4"/>
        <v>2006</v>
      </c>
      <c r="M38" s="98" t="str">
        <f t="shared" si="5"/>
        <v>2</v>
      </c>
      <c r="N38" s="92">
        <f t="shared" si="6"/>
        <v>2.3851070908744112</v>
      </c>
      <c r="O38" s="17"/>
      <c r="Q38" s="463">
        <v>2.5690788255737473</v>
      </c>
      <c r="R38" s="386"/>
      <c r="Z38" s="1086">
        <f>LARGE(B$9:B$739,8)</f>
        <v>43709</v>
      </c>
      <c r="AA38" s="1092">
        <f t="shared" si="9"/>
        <v>103868</v>
      </c>
      <c r="AB38" s="1093">
        <f t="shared" si="10"/>
        <v>54.842303999999999</v>
      </c>
      <c r="AD38" s="1068" t="str">
        <f>IFERROR(IF(YEAR(MAX('Commodity Prices'!$C$9:$C4984))=VALUE(RIGHT(AD37,4)),"",IF($AE$33="Calendar Year",AD37+1,CONCATENATE(LEFT(AD37,4)+1,"-",RIGHT(AD37,4)+1))),"")</f>
        <v>2000-2001</v>
      </c>
      <c r="AE38" s="1096">
        <f t="shared" ref="AE38:AE62" si="11">IF($AD38="","",IF($AE$33="Calendar Year",SUMIF($L$9:$L$201,$AD38,$C$9:$C$201),SUMIFS($C$9:$C$201,$L$9:$L$201,LEFT($AD38,4),$M$9:$M$201,3)+SUMIFS($C$9:$C$201,$L$9:$L$201,LEFT($AD38,4),$M$9:$M$201,4)+SUMIFS($C$9:$C$201,$L$9:$L$201,LEFT($AD38,4)+1,$M$9:$M$201,1)+SUMIFS($C$9:$C$201,$L$9:$L$201,LEFT($AD38,4)+1,$M$9:$M$201,2)))</f>
        <v>7587835.6769510843</v>
      </c>
      <c r="AF38" s="1096">
        <f t="shared" ref="AF38:AF62" si="12">IF($AD38="","",IF($AE$33="Calendar Year",SUMIF($L$9:$L$201,$AD38,$D$9:$D$201),SUMIFS($D$9:$D$201,$L$9:$L$201,LEFT($AD38,4),$M$9:$M$201,3)+SUMIFS($D$9:$D$201,$L$9:$L$201,LEFT($AD38,4),$M$9:$M$201,4)+SUMIFS($D$9:$D$201,$L$9:$L$201,LEFT($AD38,4)+1,$M$9:$M$201,1)+SUMIFS($D$9:$D$201,$L$9:$L$201,LEFT($AD38,4)+1,$M$9:$M$201,2)))</f>
        <v>391.58376645656568</v>
      </c>
      <c r="AG38" s="1097">
        <f t="shared" ref="AG38:AG62" si="13">IF($AD38="","",IF($AE$33="Calendar Year",SUMIF($L$9:$L$201,$AD38,$E$9:$E$201),SUMIFS($E$9:$E$201,$L$9:$L$201,LEFT($AD38,4),$M$9:$M$201,3)+SUMIFS($E$9:$E$201,$L$9:$L$201,LEFT($AD38,4),$M$9:$M$201,4)+SUMIFS($E$9:$E$201,$L$9:$L$201,LEFT($AD38,4)+1,$M$9:$M$201,1)+SUMIFS($E$9:$E$201,$L$9:$L$201,LEFT($AD38,4)+1,$M$9:$M$201,2)))</f>
        <v>3012.4308918725401</v>
      </c>
      <c r="AH38" s="1096">
        <f t="shared" ref="AH38:AH62" si="14">IF($AD38="","",IF($AE$33="Calendar Year",SUMIF($L$9:$L$201,$AD38,$F$9:$F$201),SUMIFS($F$9:$F$201,$L$9:$L$201,LEFT($AD38,4),$M$9:$M$201,3)+SUMIFS($F$9:$F$201,$L$9:$L$201,LEFT($AD38,4),$M$9:$M$201,4)+SUMIFS($F$9:$F$201,$L$9:$L$201,LEFT($AD38,4)+1,$M$9:$M$201,1)+SUMIFS($F$9:$F$201,$L$9:$L$201,LEFT($AD38,4)+1,$M$9:$M$201,2)))</f>
        <v>796572</v>
      </c>
      <c r="AI38" s="1096">
        <f t="shared" ref="AI38:AI62" si="15">IF($AD38="","",IF($AE$33="Calendar Year",SUMIF($L$9:$L$201,$AD38,$G$9:$G$201),SUMIFS($G$9:$G$201,$L$9:$L$201,LEFT($AD38,4),$M$9:$M$201,3)+SUMIFS($G$9:$G$201,$L$9:$L$201,LEFT($AD38,4),$M$9:$M$201,4)+SUMIFS($G$9:$G$201,$L$9:$L$201,LEFT($AD38,4)+1,$M$9:$M$201,1)+SUMIFS($G$9:$G$201,$L$9:$L$201,LEFT($AD38,4)+1,$M$9:$M$201,2)))</f>
        <v>39.28847638968</v>
      </c>
      <c r="AJ38" s="1097">
        <f t="shared" ref="AJ38:AJ62" si="16">IF($AD38="","",IF($AE$33="Calendar Year",SUMIF($L$9:$L$201,$AD38,$H$9:$H$201),SUMIFS($H$9:$H$201,$L$9:$L$201,LEFT($AD38,4),$M$9:$M$201,3)+SUMIFS($H$9:$H$201,$L$9:$L$201,LEFT($AD38,4),$M$9:$M$201,4)+SUMIFS($H$9:$H$201,$L$9:$L$201,LEFT($AD38,4)+1,$M$9:$M$201,1)+SUMIFS($H$9:$H$201,$L$9:$L$201,LEFT($AD38,4)+1,$M$9:$M$201,2)))</f>
        <v>409.50936400000001</v>
      </c>
      <c r="AK38" s="1096">
        <f t="shared" ref="AK38:AK62" si="17">IF($AD38="","",IF($AE$33="Calendar Year",SUMIF($L$9:$L$201,$AD38,$I$9:$I$201),SUMIFS($I$9:$I$201,$L$9:$L$201,LEFT($AD38,4),$M$9:$M$201,3)+SUMIFS($I$9:$I$201,$L$9:$L$201,LEFT($AD38,4),$M$9:$M$201,4)+SUMIFS($I$9:$I$201,$L$9:$L$201,LEFT($AD38,4)+1,$M$9:$M$201,1)+SUMIFS($I$9:$I$201,$L$9:$L$201,LEFT($AD38,4)+1,$M$9:$M$201,2)))</f>
        <v>7560089</v>
      </c>
      <c r="AL38" s="1096">
        <f t="shared" ref="AL38:AL62" si="18">IF($AD38="","",IF($AE$33="Calendar Year",SUMIF($L$9:$L$201,$AD38,$J$9:$J$201),SUMIFS($J$9:$J$201,$L$9:$L$201,LEFT($AD38,4),$M$9:$M$201,3)+SUMIFS($J$9:$J$201,$L$9:$L$201,LEFT($AD38,4),$M$9:$M$201,4)+SUMIFS($J$9:$J$201,$L$9:$L$201,LEFT($AD38,4)+1,$M$9:$M$201,1)+SUMIFS($J$9:$J$201,$L$9:$L$201,LEFT($AD38,4)+1,$M$9:$M$201,2)))</f>
        <v>287.45585551330799</v>
      </c>
      <c r="AM38" s="1097">
        <f t="shared" ref="AM38:AM62" si="19">IF($AD38="","",IF($AE$33="Calendar Year",SUMIF($L$9:$L$201,$AD38,$K$9:$K$201),SUMIFS($K$9:$K$201,$L$9:$L$201,LEFT($AD38,4),$M$9:$M$201,3)+SUMIFS($K$9:$K$201,$L$9:$L$201,LEFT($AD38,4),$M$9:$M$201,4)+SUMIFS($K$9:$K$201,$L$9:$L$201,LEFT($AD38,4)+1,$M$9:$M$201,1)+SUMIFS($K$9:$K$201,$L$9:$L$201,LEFT($AD38,4)+1,$M$9:$M$201,2)))</f>
        <v>626.17802221454951</v>
      </c>
    </row>
    <row r="39" spans="1:39">
      <c r="A39" s="414">
        <f t="shared" si="0"/>
        <v>20063</v>
      </c>
      <c r="B39" s="1072">
        <v>38961</v>
      </c>
      <c r="C39" s="706">
        <v>2907016</v>
      </c>
      <c r="D39" s="706">
        <f t="shared" si="1"/>
        <v>150.02173516848001</v>
      </c>
      <c r="E39" s="705">
        <v>1154.3685845124028</v>
      </c>
      <c r="F39" s="706">
        <v>231472</v>
      </c>
      <c r="G39" s="706">
        <f t="shared" si="2"/>
        <v>11.416648095679999</v>
      </c>
      <c r="H39" s="705">
        <v>138.79321319144731</v>
      </c>
      <c r="I39" s="706">
        <v>2111195</v>
      </c>
      <c r="J39" s="706">
        <f t="shared" si="3"/>
        <v>80.273574144486687</v>
      </c>
      <c r="K39" s="705">
        <v>219.081705</v>
      </c>
      <c r="L39" s="98">
        <f t="shared" si="4"/>
        <v>2006</v>
      </c>
      <c r="M39" s="98" t="str">
        <f t="shared" si="5"/>
        <v>3</v>
      </c>
      <c r="N39" s="93">
        <f t="shared" si="6"/>
        <v>2.7291883703305477</v>
      </c>
      <c r="O39" s="17"/>
      <c r="Q39" s="463">
        <v>2.9664428750322251</v>
      </c>
      <c r="R39" s="386"/>
      <c r="Z39" s="1085">
        <f>LARGE(B$9:B$739,7)</f>
        <v>43800</v>
      </c>
      <c r="AA39" s="1090">
        <f t="shared" si="9"/>
        <v>109112</v>
      </c>
      <c r="AB39" s="1091">
        <f t="shared" si="10"/>
        <v>73.742336071813952</v>
      </c>
      <c r="AD39" s="1068" t="str">
        <f>IFERROR(IF(YEAR(MAX('Commodity Prices'!$C$9:$C4985))=VALUE(RIGHT(AD38,4)),"",IF($AE$33="Calendar Year",AD38+1,CONCATENATE(LEFT(AD38,4)+1,"-",RIGHT(AD38,4)+1))),"")</f>
        <v>2001-2002</v>
      </c>
      <c r="AE39" s="818">
        <f t="shared" si="11"/>
        <v>8062589.5456086854</v>
      </c>
      <c r="AF39" s="818">
        <f t="shared" si="12"/>
        <v>416.0842849105274</v>
      </c>
      <c r="AG39" s="819">
        <f t="shared" si="13"/>
        <v>3006.39753523746</v>
      </c>
      <c r="AH39" s="818">
        <f t="shared" si="14"/>
        <v>856522</v>
      </c>
      <c r="AI39" s="818">
        <f t="shared" si="15"/>
        <v>42.245326692679996</v>
      </c>
      <c r="AJ39" s="819">
        <f t="shared" si="16"/>
        <v>361.57792499999999</v>
      </c>
      <c r="AK39" s="818">
        <f t="shared" si="17"/>
        <v>7456739</v>
      </c>
      <c r="AL39" s="818">
        <f t="shared" si="18"/>
        <v>283.52619771863118</v>
      </c>
      <c r="AM39" s="819">
        <f t="shared" si="19"/>
        <v>638.879233</v>
      </c>
    </row>
    <row r="40" spans="1:39">
      <c r="A40" s="414">
        <f t="shared" si="0"/>
        <v>20064</v>
      </c>
      <c r="B40" s="1072">
        <v>39052</v>
      </c>
      <c r="C40" s="1063">
        <v>3265356</v>
      </c>
      <c r="D40" s="1063">
        <f t="shared" si="1"/>
        <v>168.51450871368002</v>
      </c>
      <c r="E40" s="1064">
        <v>1149.744690189762</v>
      </c>
      <c r="F40" s="1063">
        <v>236900</v>
      </c>
      <c r="G40" s="1063">
        <f t="shared" si="2"/>
        <v>11.684367585999999</v>
      </c>
      <c r="H40" s="1064">
        <v>153.78806276854101</v>
      </c>
      <c r="I40" s="1063">
        <v>2148257</v>
      </c>
      <c r="J40" s="1063">
        <f t="shared" si="3"/>
        <v>81.682775665399234</v>
      </c>
      <c r="K40" s="1064">
        <v>224.95566299999999</v>
      </c>
      <c r="L40" s="98">
        <f t="shared" si="4"/>
        <v>2006</v>
      </c>
      <c r="M40" s="98" t="str">
        <f t="shared" si="5"/>
        <v>4</v>
      </c>
      <c r="N40" s="92">
        <f t="shared" si="6"/>
        <v>2.7540159007511673</v>
      </c>
      <c r="O40" s="17"/>
      <c r="Q40" s="463">
        <v>2.9664428750322251</v>
      </c>
      <c r="R40" s="386"/>
      <c r="Z40" s="1086">
        <f>LARGE(B$9:B$739,6)</f>
        <v>43891</v>
      </c>
      <c r="AA40" s="1092">
        <f t="shared" si="9"/>
        <v>104286</v>
      </c>
      <c r="AB40" s="1093">
        <f t="shared" si="10"/>
        <v>46.553802258600001</v>
      </c>
      <c r="AD40" s="1068" t="str">
        <f>IFERROR(IF(YEAR(MAX('Commodity Prices'!$C$9:$C4986))=VALUE(RIGHT(AD39,4)),"",IF($AE$33="Calendar Year",AD39+1,CONCATENATE(LEFT(AD39,4)+1,"-",RIGHT(AD39,4)+1))),"")</f>
        <v>2002-2003</v>
      </c>
      <c r="AE40" s="1096">
        <f t="shared" si="11"/>
        <v>8198185.7048797477</v>
      </c>
      <c r="AF40" s="1096">
        <f t="shared" si="12"/>
        <v>423.08196607087405</v>
      </c>
      <c r="AG40" s="1097">
        <f t="shared" si="13"/>
        <v>3130.828043</v>
      </c>
      <c r="AH40" s="1096">
        <f t="shared" si="14"/>
        <v>807063</v>
      </c>
      <c r="AI40" s="1096">
        <f t="shared" si="15"/>
        <v>39.805912862219998</v>
      </c>
      <c r="AJ40" s="1097">
        <f t="shared" si="16"/>
        <v>393.863203</v>
      </c>
      <c r="AK40" s="1096">
        <f t="shared" si="17"/>
        <v>8120105</v>
      </c>
      <c r="AL40" s="1096">
        <f t="shared" si="18"/>
        <v>308.74923954372622</v>
      </c>
      <c r="AM40" s="1097">
        <f t="shared" si="19"/>
        <v>661.92054399999995</v>
      </c>
    </row>
    <row r="41" spans="1:39">
      <c r="A41" s="414">
        <f t="shared" si="0"/>
        <v>20071</v>
      </c>
      <c r="B41" s="1072">
        <v>39142</v>
      </c>
      <c r="C41" s="706">
        <v>3029400</v>
      </c>
      <c r="D41" s="706">
        <f t="shared" si="1"/>
        <v>156.33757933199999</v>
      </c>
      <c r="E41" s="705">
        <v>1124.2681843924527</v>
      </c>
      <c r="F41" s="706">
        <v>230580</v>
      </c>
      <c r="G41" s="706">
        <f t="shared" si="2"/>
        <v>11.372652925200001</v>
      </c>
      <c r="H41" s="705">
        <v>168.17121464226287</v>
      </c>
      <c r="I41" s="706">
        <v>2217246</v>
      </c>
      <c r="J41" s="706">
        <f t="shared" si="3"/>
        <v>84.305931558935356</v>
      </c>
      <c r="K41" s="705">
        <v>236.06044</v>
      </c>
      <c r="L41" s="98">
        <f t="shared" si="4"/>
        <v>2007</v>
      </c>
      <c r="M41" s="98" t="str">
        <f t="shared" si="5"/>
        <v>1</v>
      </c>
      <c r="N41" s="93">
        <f t="shared" si="6"/>
        <v>2.8000454491743363</v>
      </c>
      <c r="O41" s="17"/>
      <c r="Q41" s="463">
        <v>2.9547749022260903</v>
      </c>
      <c r="R41" s="386"/>
      <c r="Z41" s="1085">
        <f>LARGE(B$9:B$739,5)</f>
        <v>43983</v>
      </c>
      <c r="AA41" s="1090">
        <f t="shared" si="9"/>
        <v>114296</v>
      </c>
      <c r="AB41" s="1091">
        <f t="shared" si="10"/>
        <v>42.115230029599999</v>
      </c>
      <c r="AD41" s="1068" t="str">
        <f>IFERROR(IF(YEAR(MAX('Commodity Prices'!$C$9:$C4987))=VALUE(RIGHT(AD40,4)),"",IF($AE$33="Calendar Year",AD40+1,CONCATENATE(LEFT(AD40,4)+1,"-",RIGHT(AD40,4)+1))),"")</f>
        <v>2003-2004</v>
      </c>
      <c r="AE41" s="818">
        <f t="shared" si="11"/>
        <v>8220764.5200752914</v>
      </c>
      <c r="AF41" s="818">
        <f t="shared" si="12"/>
        <v>424.24718601933114</v>
      </c>
      <c r="AG41" s="819">
        <f t="shared" si="13"/>
        <v>2775.8814919999995</v>
      </c>
      <c r="AH41" s="818">
        <f t="shared" si="14"/>
        <v>695262</v>
      </c>
      <c r="AI41" s="818">
        <f t="shared" si="15"/>
        <v>34.291670648279997</v>
      </c>
      <c r="AJ41" s="819">
        <f t="shared" si="16"/>
        <v>282.15068200000002</v>
      </c>
      <c r="AK41" s="818">
        <f t="shared" si="17"/>
        <v>8060810</v>
      </c>
      <c r="AL41" s="818">
        <f t="shared" si="18"/>
        <v>306.4946768060837</v>
      </c>
      <c r="AM41" s="819">
        <f t="shared" si="19"/>
        <v>681.04365699999994</v>
      </c>
    </row>
    <row r="42" spans="1:39">
      <c r="A42" s="414">
        <f t="shared" si="0"/>
        <v>20072</v>
      </c>
      <c r="B42" s="1072">
        <v>39234</v>
      </c>
      <c r="C42" s="1063">
        <v>3009279</v>
      </c>
      <c r="D42" s="1063">
        <f t="shared" si="1"/>
        <v>155.29919931162001</v>
      </c>
      <c r="E42" s="1064">
        <v>1005.9778949852993</v>
      </c>
      <c r="F42" s="1063">
        <v>199654</v>
      </c>
      <c r="G42" s="1063">
        <f t="shared" si="2"/>
        <v>9.847322608759999</v>
      </c>
      <c r="H42" s="1064">
        <v>144.33223682367117</v>
      </c>
      <c r="I42" s="1063">
        <v>2238213</v>
      </c>
      <c r="J42" s="1063">
        <f t="shared" si="3"/>
        <v>85.103155893536126</v>
      </c>
      <c r="K42" s="1064">
        <v>237.924226</v>
      </c>
      <c r="L42" s="98">
        <f t="shared" si="4"/>
        <v>2007</v>
      </c>
      <c r="M42" s="98" t="str">
        <f t="shared" si="5"/>
        <v>2</v>
      </c>
      <c r="N42" s="92">
        <f t="shared" si="6"/>
        <v>2.7957156641481395</v>
      </c>
      <c r="O42" s="17"/>
      <c r="Q42" s="463">
        <v>2.9704682112793726</v>
      </c>
      <c r="R42" s="386"/>
      <c r="Z42" s="1086">
        <f>LARGE(B$9:B$739,4)</f>
        <v>44075</v>
      </c>
      <c r="AA42" s="1092">
        <f t="shared" si="9"/>
        <v>87860</v>
      </c>
      <c r="AB42" s="1093">
        <f t="shared" si="10"/>
        <v>45.151593999999996</v>
      </c>
      <c r="AD42" s="1068" t="str">
        <f>IFERROR(IF(YEAR(MAX('Commodity Prices'!$C$9:$C4988))=VALUE(RIGHT(AD41,4)),"",IF($AE$33="Calendar Year",AD41+1,CONCATENATE(LEFT(AD41,4)+1,"-",RIGHT(AD41,4)+1))),"")</f>
        <v>2004-2005</v>
      </c>
      <c r="AE42" s="1096">
        <f t="shared" si="11"/>
        <v>10929023.235157391</v>
      </c>
      <c r="AF42" s="1096">
        <f t="shared" si="12"/>
        <v>564.01169771165564</v>
      </c>
      <c r="AG42" s="1097">
        <f t="shared" si="13"/>
        <v>3794.8053936174865</v>
      </c>
      <c r="AH42" s="1096">
        <f t="shared" si="14"/>
        <v>764186</v>
      </c>
      <c r="AI42" s="1096">
        <f t="shared" si="15"/>
        <v>37.691136040839993</v>
      </c>
      <c r="AJ42" s="1097">
        <f t="shared" si="16"/>
        <v>403.50175331283003</v>
      </c>
      <c r="AK42" s="1096">
        <f t="shared" si="17"/>
        <v>7642801</v>
      </c>
      <c r="AL42" s="1096">
        <f t="shared" si="18"/>
        <v>290.60079847908742</v>
      </c>
      <c r="AM42" s="1097">
        <f t="shared" si="19"/>
        <v>678.72297100000003</v>
      </c>
    </row>
    <row r="43" spans="1:39">
      <c r="A43" s="414">
        <f t="shared" si="0"/>
        <v>20073</v>
      </c>
      <c r="B43" s="1072">
        <v>39326</v>
      </c>
      <c r="C43" s="706">
        <v>3100492</v>
      </c>
      <c r="D43" s="706">
        <f t="shared" si="1"/>
        <v>160.00640853575999</v>
      </c>
      <c r="E43" s="705">
        <v>1044.8234946183363</v>
      </c>
      <c r="F43" s="706">
        <v>234784</v>
      </c>
      <c r="G43" s="706">
        <f t="shared" si="2"/>
        <v>11.58000236096</v>
      </c>
      <c r="H43" s="705">
        <v>162.74337660861909</v>
      </c>
      <c r="I43" s="706">
        <v>2346730</v>
      </c>
      <c r="J43" s="706">
        <f t="shared" si="3"/>
        <v>89.22927756653992</v>
      </c>
      <c r="K43" s="705">
        <v>261.01907199999999</v>
      </c>
      <c r="L43" s="98">
        <f t="shared" si="4"/>
        <v>2007</v>
      </c>
      <c r="M43" s="98" t="str">
        <f t="shared" si="5"/>
        <v>3</v>
      </c>
      <c r="N43" s="93">
        <f t="shared" si="6"/>
        <v>2.925262639332177</v>
      </c>
      <c r="O43" s="17"/>
      <c r="Q43" s="463">
        <v>3.0953852982986909</v>
      </c>
      <c r="R43" s="386"/>
      <c r="Z43" s="1085">
        <f>LARGE(B$9:B$739,3)</f>
        <v>44166</v>
      </c>
      <c r="AA43" s="1090">
        <f t="shared" si="9"/>
        <v>96140</v>
      </c>
      <c r="AB43" s="1091">
        <f t="shared" si="10"/>
        <v>55.661887379999996</v>
      </c>
      <c r="AD43" s="1068" t="str">
        <f>IFERROR(IF(YEAR(MAX('Commodity Prices'!$C$9:$C4989))=VALUE(RIGHT(AD42,4)),"",IF($AE$33="Calendar Year",AD42+1,CONCATENATE(LEFT(AD42,4)+1,"-",RIGHT(AD42,4)+1))),"")</f>
        <v>2005-2006</v>
      </c>
      <c r="AE43" s="818">
        <f t="shared" si="11"/>
        <v>11679836</v>
      </c>
      <c r="AF43" s="818">
        <f t="shared" si="12"/>
        <v>602.75872688807999</v>
      </c>
      <c r="AG43" s="819">
        <f t="shared" si="13"/>
        <v>4648.9595326157496</v>
      </c>
      <c r="AH43" s="818">
        <f t="shared" si="14"/>
        <v>871983</v>
      </c>
      <c r="AI43" s="818">
        <f t="shared" si="15"/>
        <v>43.007893207020004</v>
      </c>
      <c r="AJ43" s="819">
        <f t="shared" si="16"/>
        <v>654.42383439349908</v>
      </c>
      <c r="AK43" s="818">
        <f t="shared" si="17"/>
        <v>7713414</v>
      </c>
      <c r="AL43" s="818">
        <f t="shared" si="18"/>
        <v>293.28570342205319</v>
      </c>
      <c r="AM43" s="819">
        <f t="shared" si="19"/>
        <v>700.98281099999997</v>
      </c>
    </row>
    <row r="44" spans="1:39">
      <c r="A44" s="414">
        <f t="shared" si="0"/>
        <v>20074</v>
      </c>
      <c r="B44" s="1072">
        <v>39417</v>
      </c>
      <c r="C44" s="1063">
        <v>3236560</v>
      </c>
      <c r="D44" s="1063">
        <f t="shared" si="1"/>
        <v>167.02843987680001</v>
      </c>
      <c r="E44" s="1064">
        <v>1273.5055454297612</v>
      </c>
      <c r="F44" s="1063">
        <v>228896</v>
      </c>
      <c r="G44" s="1063">
        <f t="shared" si="2"/>
        <v>11.28959477824</v>
      </c>
      <c r="H44" s="1064">
        <v>211.39005874378671</v>
      </c>
      <c r="I44" s="1063">
        <v>2371887</v>
      </c>
      <c r="J44" s="1063">
        <f t="shared" si="3"/>
        <v>90.185817490494301</v>
      </c>
      <c r="K44" s="1064">
        <v>267.46210100000002</v>
      </c>
      <c r="L44" s="98">
        <f t="shared" si="4"/>
        <v>2007</v>
      </c>
      <c r="M44" s="98" t="str">
        <f t="shared" si="5"/>
        <v>4</v>
      </c>
      <c r="N44" s="92">
        <f t="shared" si="6"/>
        <v>2.9656780682637915</v>
      </c>
      <c r="O44" s="17"/>
      <c r="Q44" s="463">
        <v>3.1412714938907413</v>
      </c>
      <c r="R44" s="386"/>
      <c r="Z44" s="1086">
        <f>LARGE(B$9:B$739,2)</f>
        <v>44256</v>
      </c>
      <c r="AA44" s="1092">
        <f t="shared" si="9"/>
        <v>98190</v>
      </c>
      <c r="AB44" s="1093">
        <f t="shared" si="10"/>
        <v>61.055960315304688</v>
      </c>
      <c r="AD44" s="1068" t="str">
        <f>IFERROR(IF(YEAR(MAX('Commodity Prices'!$C$9:$C4990))=VALUE(RIGHT(AD43,4)),"",IF($AE$33="Calendar Year",AD43+1,CONCATENATE(LEFT(AD43,4)+1,"-",RIGHT(AD43,4)+1))),"")</f>
        <v>2006-2007</v>
      </c>
      <c r="AE44" s="1096">
        <f t="shared" si="11"/>
        <v>12211051</v>
      </c>
      <c r="AF44" s="1096">
        <f t="shared" si="12"/>
        <v>630.17302252577997</v>
      </c>
      <c r="AG44" s="1097">
        <f t="shared" si="13"/>
        <v>4434.3593540799166</v>
      </c>
      <c r="AH44" s="1096">
        <f t="shared" si="14"/>
        <v>898606</v>
      </c>
      <c r="AI44" s="1096">
        <f t="shared" si="15"/>
        <v>44.320991215639992</v>
      </c>
      <c r="AJ44" s="1097">
        <f t="shared" si="16"/>
        <v>605.08472742592244</v>
      </c>
      <c r="AK44" s="1096">
        <f t="shared" si="17"/>
        <v>8714911</v>
      </c>
      <c r="AL44" s="1096">
        <f t="shared" si="18"/>
        <v>331.36543726235743</v>
      </c>
      <c r="AM44" s="1097">
        <f t="shared" si="19"/>
        <v>918.02203399999996</v>
      </c>
    </row>
    <row r="45" spans="1:39" ht="15.75" thickBot="1">
      <c r="A45" s="414">
        <f t="shared" si="0"/>
        <v>20081</v>
      </c>
      <c r="B45" s="1072">
        <v>39508</v>
      </c>
      <c r="C45" s="706">
        <v>2840040</v>
      </c>
      <c r="D45" s="706">
        <f t="shared" si="1"/>
        <v>146.56531947120001</v>
      </c>
      <c r="E45" s="705">
        <v>1358.0934923032426</v>
      </c>
      <c r="F45" s="706">
        <v>164520</v>
      </c>
      <c r="G45" s="706">
        <f t="shared" si="2"/>
        <v>8.114445568799999</v>
      </c>
      <c r="H45" s="705">
        <v>141.442818386764</v>
      </c>
      <c r="I45" s="706">
        <v>2273911</v>
      </c>
      <c r="J45" s="706">
        <f t="shared" si="3"/>
        <v>86.460494296577949</v>
      </c>
      <c r="K45" s="705">
        <v>249.61325500000001</v>
      </c>
      <c r="L45" s="98">
        <f t="shared" si="4"/>
        <v>2008</v>
      </c>
      <c r="M45" s="98" t="str">
        <f t="shared" si="5"/>
        <v>1</v>
      </c>
      <c r="N45" s="93">
        <f t="shared" si="6"/>
        <v>2.8870209108887726</v>
      </c>
      <c r="O45" s="17"/>
      <c r="Q45" s="463">
        <v>3.1097070314078921</v>
      </c>
      <c r="R45" s="386"/>
      <c r="Z45" s="1087">
        <f>LARGE(B$9:B$739,1)</f>
        <v>44348</v>
      </c>
      <c r="AA45" s="1094">
        <f t="shared" si="9"/>
        <v>97461</v>
      </c>
      <c r="AB45" s="1095">
        <f t="shared" si="10"/>
        <v>65.634623145000006</v>
      </c>
      <c r="AD45" s="1068" t="str">
        <f>IFERROR(IF(YEAR(MAX('Commodity Prices'!$C$9:$C4991))=VALUE(RIGHT(AD44,4)),"",IF($AE$33="Calendar Year",AD44+1,CONCATENATE(LEFT(AD44,4)+1,"-",RIGHT(AD44,4)+1))),"")</f>
        <v>2007-2008</v>
      </c>
      <c r="AE45" s="818">
        <f t="shared" si="11"/>
        <v>12148060</v>
      </c>
      <c r="AF45" s="818">
        <f t="shared" si="12"/>
        <v>626.92225984679999</v>
      </c>
      <c r="AG45" s="819">
        <f t="shared" si="13"/>
        <v>5219.6847647091254</v>
      </c>
      <c r="AH45" s="818">
        <f t="shared" si="14"/>
        <v>818390</v>
      </c>
      <c r="AI45" s="818">
        <f t="shared" si="15"/>
        <v>40.364582476599999</v>
      </c>
      <c r="AJ45" s="819">
        <f t="shared" si="16"/>
        <v>683.35221699510248</v>
      </c>
      <c r="AK45" s="818">
        <f t="shared" si="17"/>
        <v>9159073</v>
      </c>
      <c r="AL45" s="818">
        <f t="shared" si="18"/>
        <v>348.25372623574145</v>
      </c>
      <c r="AM45" s="819">
        <f t="shared" si="19"/>
        <v>1054.0182279999999</v>
      </c>
    </row>
    <row r="46" spans="1:39">
      <c r="A46" s="414">
        <f t="shared" si="0"/>
        <v>20082</v>
      </c>
      <c r="B46" s="1072">
        <v>39600</v>
      </c>
      <c r="C46" s="1063">
        <v>2970968</v>
      </c>
      <c r="D46" s="1063">
        <f t="shared" si="1"/>
        <v>153.32209196304001</v>
      </c>
      <c r="E46" s="1064">
        <v>1543.2622323577853</v>
      </c>
      <c r="F46" s="1063">
        <v>190190</v>
      </c>
      <c r="G46" s="1063">
        <f t="shared" si="2"/>
        <v>9.3805397686000003</v>
      </c>
      <c r="H46" s="1064">
        <v>167.77596325593262</v>
      </c>
      <c r="I46" s="1063">
        <v>2166545</v>
      </c>
      <c r="J46" s="1063">
        <f t="shared" si="3"/>
        <v>82.378136882129283</v>
      </c>
      <c r="K46" s="1064">
        <v>275.92380000000003</v>
      </c>
      <c r="L46" s="98">
        <f t="shared" si="4"/>
        <v>2008</v>
      </c>
      <c r="M46" s="98" t="str">
        <f t="shared" si="5"/>
        <v>2</v>
      </c>
      <c r="N46" s="92">
        <f t="shared" si="6"/>
        <v>3.3494785199476587</v>
      </c>
      <c r="O46" s="17"/>
      <c r="Q46" s="463">
        <v>3.6078356293666007</v>
      </c>
      <c r="R46" s="386"/>
      <c r="AD46" s="1068" t="str">
        <f>IFERROR(IF(YEAR(MAX('Commodity Prices'!$C$9:$C4992))=VALUE(RIGHT(AD45,4)),"",IF($AE$33="Calendar Year",AD45+1,CONCATENATE(LEFT(AD45,4)+1,"-",RIGHT(AD45,4)+1))),"")</f>
        <v>2008-2009</v>
      </c>
      <c r="AE46" s="1096">
        <f t="shared" si="11"/>
        <v>13943724</v>
      </c>
      <c r="AF46" s="1096">
        <f t="shared" si="12"/>
        <v>719.59069684871997</v>
      </c>
      <c r="AG46" s="1097">
        <f t="shared" si="13"/>
        <v>8517.5038741467542</v>
      </c>
      <c r="AH46" s="1096">
        <f t="shared" si="14"/>
        <v>866534</v>
      </c>
      <c r="AI46" s="1096">
        <f t="shared" si="15"/>
        <v>42.739137955959997</v>
      </c>
      <c r="AJ46" s="1097">
        <f t="shared" si="16"/>
        <v>750.82534581660798</v>
      </c>
      <c r="AK46" s="1096">
        <f t="shared" si="17"/>
        <v>8598035</v>
      </c>
      <c r="AL46" s="1096">
        <f t="shared" si="18"/>
        <v>326.92148288973385</v>
      </c>
      <c r="AM46" s="1097">
        <f t="shared" si="19"/>
        <v>1232.2089879999999</v>
      </c>
    </row>
    <row r="47" spans="1:39">
      <c r="A47" s="414">
        <f t="shared" si="0"/>
        <v>20083</v>
      </c>
      <c r="B47" s="1072">
        <v>39692</v>
      </c>
      <c r="C47" s="706">
        <v>2939308</v>
      </c>
      <c r="D47" s="706">
        <f t="shared" si="1"/>
        <v>151.68822130824</v>
      </c>
      <c r="E47" s="705">
        <v>1770.7536942865688</v>
      </c>
      <c r="F47" s="706">
        <v>189704</v>
      </c>
      <c r="G47" s="706">
        <f t="shared" si="2"/>
        <v>9.3565693057600008</v>
      </c>
      <c r="H47" s="705">
        <v>190.61439712057589</v>
      </c>
      <c r="I47" s="706">
        <v>1959122</v>
      </c>
      <c r="J47" s="706">
        <f t="shared" si="3"/>
        <v>74.491330798479083</v>
      </c>
      <c r="K47" s="705">
        <v>370.36701599999998</v>
      </c>
      <c r="L47" s="98">
        <f t="shared" si="4"/>
        <v>2008</v>
      </c>
      <c r="M47" s="98" t="str">
        <f t="shared" si="5"/>
        <v>3</v>
      </c>
      <c r="N47" s="93">
        <f t="shared" si="6"/>
        <v>4.9719479036017153</v>
      </c>
      <c r="O47" s="17"/>
      <c r="Q47" s="463">
        <v>5.3554518075396276</v>
      </c>
      <c r="R47" s="386"/>
      <c r="AD47" s="1068" t="str">
        <f>IFERROR(IF(YEAR(MAX('Commodity Prices'!$C$9:$C4993))=VALUE(RIGHT(AD46,4)),"",IF($AE$33="Calendar Year",AD46+1,CONCATENATE(LEFT(AD46,4)+1,"-",RIGHT(AD46,4)+1))),"")</f>
        <v>2009-2010</v>
      </c>
      <c r="AE47" s="818">
        <f t="shared" si="11"/>
        <v>15717041</v>
      </c>
      <c r="AF47" s="818">
        <f t="shared" si="12"/>
        <v>811.10587713798009</v>
      </c>
      <c r="AG47" s="819">
        <f t="shared" si="13"/>
        <v>7494.2483203693309</v>
      </c>
      <c r="AH47" s="818">
        <f t="shared" si="14"/>
        <v>987896</v>
      </c>
      <c r="AI47" s="818">
        <f t="shared" si="15"/>
        <v>48.724947238240006</v>
      </c>
      <c r="AJ47" s="819">
        <f t="shared" si="16"/>
        <v>696.90199219554529</v>
      </c>
      <c r="AK47" s="818">
        <f t="shared" si="17"/>
        <v>9357026</v>
      </c>
      <c r="AL47" s="818">
        <f t="shared" si="18"/>
        <v>355.78045627376423</v>
      </c>
      <c r="AM47" s="819">
        <f t="shared" si="19"/>
        <v>1320.8017770000001</v>
      </c>
    </row>
    <row r="48" spans="1:39">
      <c r="A48" s="414">
        <f t="shared" si="0"/>
        <v>20084</v>
      </c>
      <c r="B48" s="1072">
        <v>39783</v>
      </c>
      <c r="C48" s="1063">
        <v>3630688</v>
      </c>
      <c r="D48" s="1063">
        <f t="shared" si="1"/>
        <v>187.36811686464</v>
      </c>
      <c r="E48" s="1064">
        <v>3485.3680967492428</v>
      </c>
      <c r="F48" s="1063">
        <v>220254</v>
      </c>
      <c r="G48" s="1063">
        <f t="shared" si="2"/>
        <v>10.863354572759999</v>
      </c>
      <c r="H48" s="1064">
        <v>254.50757043302164</v>
      </c>
      <c r="I48" s="1063">
        <v>2102989</v>
      </c>
      <c r="J48" s="1063">
        <f t="shared" si="3"/>
        <v>79.961558935361211</v>
      </c>
      <c r="K48" s="1064">
        <v>295.53835600000002</v>
      </c>
      <c r="L48" s="98">
        <f t="shared" si="4"/>
        <v>2008</v>
      </c>
      <c r="M48" s="98" t="str">
        <f t="shared" si="5"/>
        <v>4</v>
      </c>
      <c r="N48" s="92">
        <f t="shared" si="6"/>
        <v>3.6960054297954015</v>
      </c>
      <c r="O48" s="17"/>
      <c r="Q48" s="463">
        <v>3.981091383788494</v>
      </c>
      <c r="R48" s="386"/>
      <c r="AD48" s="1068" t="str">
        <f>IFERROR(IF(YEAR(MAX('Commodity Prices'!$C$9:$C4994))=VALUE(RIGHT(AD47,4)),"",IF($AE$33="Calendar Year",AD47+1,CONCATENATE(LEFT(AD47,4)+1,"-",RIGHT(AD47,4)+1))),"")</f>
        <v>2010-2011</v>
      </c>
      <c r="AE48" s="1096">
        <f t="shared" si="11"/>
        <v>17290205.198225208</v>
      </c>
      <c r="AF48" s="1096">
        <f t="shared" si="12"/>
        <v>892.29181581966463</v>
      </c>
      <c r="AG48" s="1097">
        <f t="shared" si="13"/>
        <v>8328.719117976907</v>
      </c>
      <c r="AH48" s="1096">
        <f t="shared" si="14"/>
        <v>923763</v>
      </c>
      <c r="AI48" s="1096">
        <f t="shared" si="15"/>
        <v>45.561783260219997</v>
      </c>
      <c r="AJ48" s="1097">
        <f t="shared" si="16"/>
        <v>774.19745900998544</v>
      </c>
      <c r="AK48" s="1096">
        <f t="shared" si="17"/>
        <v>8981495</v>
      </c>
      <c r="AL48" s="1096">
        <f t="shared" si="18"/>
        <v>341.50171102661591</v>
      </c>
      <c r="AM48" s="1097">
        <f t="shared" si="19"/>
        <v>1364.5890670000001</v>
      </c>
    </row>
    <row r="49" spans="1:39">
      <c r="A49" s="414">
        <f t="shared" si="0"/>
        <v>20091</v>
      </c>
      <c r="B49" s="1072">
        <v>39873</v>
      </c>
      <c r="C49" s="706">
        <v>3538260</v>
      </c>
      <c r="D49" s="706">
        <f t="shared" si="1"/>
        <v>182.59820540280001</v>
      </c>
      <c r="E49" s="705">
        <v>1930.1242373667289</v>
      </c>
      <c r="F49" s="706">
        <v>218520</v>
      </c>
      <c r="G49" s="706">
        <f t="shared" si="2"/>
        <v>10.7778303288</v>
      </c>
      <c r="H49" s="705">
        <v>149.23570283270979</v>
      </c>
      <c r="I49" s="706">
        <v>2234020</v>
      </c>
      <c r="J49" s="706">
        <f t="shared" si="3"/>
        <v>84.943726235741451</v>
      </c>
      <c r="K49" s="705">
        <v>289.40481799999998</v>
      </c>
      <c r="L49" s="98">
        <f t="shared" si="4"/>
        <v>2009</v>
      </c>
      <c r="M49" s="98" t="str">
        <f t="shared" si="5"/>
        <v>1</v>
      </c>
      <c r="N49" s="93">
        <f t="shared" si="6"/>
        <v>3.4070181616100119</v>
      </c>
      <c r="O49" s="17"/>
      <c r="Q49" s="463">
        <v>3.6694330902056844</v>
      </c>
      <c r="R49" s="386"/>
      <c r="AD49" s="1068" t="str">
        <f>IFERROR(IF(YEAR(MAX('Commodity Prices'!$C$9:$C4995))=VALUE(RIGHT(AD48,4)),"",IF($AE$33="Calendar Year",AD48+1,CONCATENATE(LEFT(AD48,4)+1,"-",RIGHT(AD48,4)+1))),"")</f>
        <v>2011-2012</v>
      </c>
      <c r="AE49" s="818">
        <f t="shared" si="11"/>
        <v>15610569.721008768</v>
      </c>
      <c r="AF49" s="818">
        <f t="shared" si="12"/>
        <v>805.61123726676078</v>
      </c>
      <c r="AG49" s="819">
        <f t="shared" si="13"/>
        <v>9495.543132431565</v>
      </c>
      <c r="AH49" s="818">
        <f t="shared" si="14"/>
        <v>835271</v>
      </c>
      <c r="AI49" s="818">
        <f t="shared" si="15"/>
        <v>41.197186145739998</v>
      </c>
      <c r="AJ49" s="819">
        <f t="shared" si="16"/>
        <v>734.48465328098303</v>
      </c>
      <c r="AK49" s="818">
        <f t="shared" si="17"/>
        <v>9080655</v>
      </c>
      <c r="AL49" s="818">
        <f t="shared" si="18"/>
        <v>345.27205323193914</v>
      </c>
      <c r="AM49" s="819">
        <f t="shared" si="19"/>
        <v>1449.8102289999999</v>
      </c>
    </row>
    <row r="50" spans="1:39">
      <c r="A50" s="414">
        <f t="shared" si="0"/>
        <v>20092</v>
      </c>
      <c r="B50" s="1072">
        <v>39965</v>
      </c>
      <c r="C50" s="1063">
        <v>3835468</v>
      </c>
      <c r="D50" s="1063">
        <f t="shared" si="1"/>
        <v>197.93615327303999</v>
      </c>
      <c r="E50" s="1064">
        <v>1331.2578457442125</v>
      </c>
      <c r="F50" s="1063">
        <v>238056</v>
      </c>
      <c r="G50" s="1063">
        <f t="shared" si="2"/>
        <v>11.741383748639999</v>
      </c>
      <c r="H50" s="1064">
        <v>156.46767543030072</v>
      </c>
      <c r="I50" s="1063">
        <v>2301904</v>
      </c>
      <c r="J50" s="1063">
        <f t="shared" si="3"/>
        <v>87.524866920152093</v>
      </c>
      <c r="K50" s="1064">
        <v>276.898798</v>
      </c>
      <c r="L50" s="98">
        <f t="shared" si="4"/>
        <v>2009</v>
      </c>
      <c r="M50" s="98" t="str">
        <f t="shared" si="5"/>
        <v>2</v>
      </c>
      <c r="N50" s="92">
        <f t="shared" si="6"/>
        <v>3.1636586006193133</v>
      </c>
      <c r="O50" s="17"/>
      <c r="Q50" s="463">
        <v>3.4076827632991673</v>
      </c>
      <c r="R50" s="386"/>
      <c r="AD50" s="1068" t="str">
        <f>IFERROR(IF(YEAR(MAX('Commodity Prices'!$C$9:$C4996))=VALUE(RIGHT(AD49,4)),"",IF($AE$33="Calendar Year",AD49+1,CONCATENATE(LEFT(AD49,4)+1,"-",RIGHT(AD49,4)+1))),"")</f>
        <v>2012-2013</v>
      </c>
      <c r="AE50" s="1096">
        <f t="shared" si="11"/>
        <v>19804919</v>
      </c>
      <c r="AF50" s="1096">
        <f t="shared" si="12"/>
        <v>1022.0680977508201</v>
      </c>
      <c r="AG50" s="1097">
        <f t="shared" si="13"/>
        <v>12147.214397231801</v>
      </c>
      <c r="AH50" s="1096">
        <f t="shared" si="14"/>
        <v>752910</v>
      </c>
      <c r="AI50" s="1096">
        <f t="shared" si="15"/>
        <v>37.134981845399999</v>
      </c>
      <c r="AJ50" s="1097">
        <f t="shared" si="16"/>
        <v>634.05263491956657</v>
      </c>
      <c r="AK50" s="1096">
        <f t="shared" si="17"/>
        <v>8713949</v>
      </c>
      <c r="AL50" s="1096">
        <f t="shared" si="18"/>
        <v>331.32885931558934</v>
      </c>
      <c r="AM50" s="1097">
        <f t="shared" si="19"/>
        <v>1434.5507720000001</v>
      </c>
    </row>
    <row r="51" spans="1:39">
      <c r="A51" s="414">
        <f t="shared" si="0"/>
        <v>20093</v>
      </c>
      <c r="B51" s="1072">
        <v>40057</v>
      </c>
      <c r="C51" s="706">
        <v>3816160</v>
      </c>
      <c r="D51" s="706">
        <f t="shared" si="1"/>
        <v>196.93972956479999</v>
      </c>
      <c r="E51" s="705">
        <v>1403.95057207019</v>
      </c>
      <c r="F51" s="706">
        <v>240488</v>
      </c>
      <c r="G51" s="706">
        <f t="shared" si="2"/>
        <v>11.861334706720001</v>
      </c>
      <c r="H51" s="705">
        <v>148.21523542469916</v>
      </c>
      <c r="I51" s="706">
        <v>2462220</v>
      </c>
      <c r="J51" s="706">
        <f t="shared" si="3"/>
        <v>93.620532319391629</v>
      </c>
      <c r="K51" s="705">
        <v>297.41039699999999</v>
      </c>
      <c r="L51" s="98">
        <f t="shared" si="4"/>
        <v>2009</v>
      </c>
      <c r="M51" s="98" t="str">
        <f t="shared" si="5"/>
        <v>3</v>
      </c>
      <c r="N51" s="93">
        <f t="shared" si="6"/>
        <v>3.1767646437361408</v>
      </c>
      <c r="O51" s="17"/>
      <c r="Q51" s="463">
        <v>3.4217997218153369</v>
      </c>
      <c r="R51" s="386"/>
      <c r="AD51" s="1068" t="str">
        <f>IFERROR(IF(YEAR(MAX('Commodity Prices'!$C$9:$C4997))=VALUE(RIGHT(AD50,4)),"",IF($AE$33="Calendar Year",AD50+1,CONCATENATE(LEFT(AD50,4)+1,"-",RIGHT(AD50,4)+1))),"")</f>
        <v>2013-2014</v>
      </c>
      <c r="AE51" s="818">
        <f t="shared" si="11"/>
        <v>19826065</v>
      </c>
      <c r="AF51" s="818">
        <f t="shared" si="12"/>
        <v>1023.1593747207</v>
      </c>
      <c r="AG51" s="819">
        <f t="shared" si="13"/>
        <v>14651.522773511284</v>
      </c>
      <c r="AH51" s="818">
        <f t="shared" si="14"/>
        <v>389533</v>
      </c>
      <c r="AI51" s="818">
        <f t="shared" si="15"/>
        <v>19.212523254020002</v>
      </c>
      <c r="AJ51" s="819">
        <f t="shared" si="16"/>
        <v>353.54133375915876</v>
      </c>
      <c r="AK51" s="818">
        <f t="shared" si="17"/>
        <v>8217579.29</v>
      </c>
      <c r="AL51" s="818">
        <f t="shared" si="18"/>
        <v>312.45548631178707</v>
      </c>
      <c r="AM51" s="819">
        <f t="shared" si="19"/>
        <v>1446.9357105200002</v>
      </c>
    </row>
    <row r="52" spans="1:39">
      <c r="A52" s="414">
        <f t="shared" si="0"/>
        <v>20094</v>
      </c>
      <c r="B52" s="1072">
        <v>40148</v>
      </c>
      <c r="C52" s="1063">
        <v>4062628</v>
      </c>
      <c r="D52" s="1063">
        <f t="shared" si="1"/>
        <v>209.65914941784001</v>
      </c>
      <c r="E52" s="1064">
        <v>1655.4123355938166</v>
      </c>
      <c r="F52" s="1063">
        <v>253460</v>
      </c>
      <c r="G52" s="1063">
        <f t="shared" si="2"/>
        <v>12.5011389124</v>
      </c>
      <c r="H52" s="1064">
        <v>158.85835245145574</v>
      </c>
      <c r="I52" s="1063">
        <v>2314271</v>
      </c>
      <c r="J52" s="1063">
        <f t="shared" si="3"/>
        <v>87.99509505703422</v>
      </c>
      <c r="K52" s="1064">
        <v>292.52132899999998</v>
      </c>
      <c r="L52" s="98">
        <f t="shared" si="4"/>
        <v>2009</v>
      </c>
      <c r="M52" s="98" t="str">
        <f t="shared" si="5"/>
        <v>4</v>
      </c>
      <c r="N52" s="92">
        <f t="shared" si="6"/>
        <v>3.3242913006730843</v>
      </c>
      <c r="O52" s="17"/>
      <c r="Q52" s="463">
        <v>3.5807056309019756</v>
      </c>
      <c r="R52" s="386"/>
      <c r="AD52" s="1068" t="str">
        <f>IFERROR(IF(YEAR(MAX('Commodity Prices'!$C$9:$C4998))=VALUE(RIGHT(AD51,4)),"",IF($AE$33="Calendar Year",AD51+1,CONCATENATE(LEFT(AD51,4)+1,"-",RIGHT(AD51,4)+1))),"")</f>
        <v>2014-2015</v>
      </c>
      <c r="AE52" s="1096">
        <f t="shared" si="11"/>
        <v>20447845</v>
      </c>
      <c r="AF52" s="1096">
        <f t="shared" si="12"/>
        <v>1055.24748585928</v>
      </c>
      <c r="AG52" s="1097">
        <f t="shared" si="13"/>
        <v>13817.042486841992</v>
      </c>
      <c r="AH52" s="1096">
        <f t="shared" si="14"/>
        <v>553055</v>
      </c>
      <c r="AI52" s="1096">
        <f t="shared" si="15"/>
        <v>27.277745526699995</v>
      </c>
      <c r="AJ52" s="1097">
        <f t="shared" si="16"/>
        <v>405.56551587200266</v>
      </c>
      <c r="AK52" s="1096">
        <f t="shared" si="17"/>
        <v>9875338.7119999994</v>
      </c>
      <c r="AL52" s="1096">
        <f t="shared" si="18"/>
        <v>375.48816395437268</v>
      </c>
      <c r="AM52" s="1097">
        <f t="shared" si="19"/>
        <v>1820.1970551041886</v>
      </c>
    </row>
    <row r="53" spans="1:39">
      <c r="A53" s="414">
        <f t="shared" si="0"/>
        <v>20101</v>
      </c>
      <c r="B53" s="1072">
        <v>40238</v>
      </c>
      <c r="C53" s="706">
        <v>4122450</v>
      </c>
      <c r="D53" s="706">
        <f t="shared" si="1"/>
        <v>212.746370211</v>
      </c>
      <c r="E53" s="705">
        <v>1980.7299442502526</v>
      </c>
      <c r="F53" s="706">
        <v>240488</v>
      </c>
      <c r="G53" s="706">
        <f t="shared" si="2"/>
        <v>11.861334706720001</v>
      </c>
      <c r="H53" s="705">
        <v>193.55883149789358</v>
      </c>
      <c r="I53" s="706">
        <v>2306420</v>
      </c>
      <c r="J53" s="706">
        <f t="shared" si="3"/>
        <v>87.696577946768059</v>
      </c>
      <c r="K53" s="705">
        <v>408.50648100000001</v>
      </c>
      <c r="L53" s="98">
        <f t="shared" si="4"/>
        <v>2010</v>
      </c>
      <c r="M53" s="98" t="str">
        <f t="shared" si="5"/>
        <v>1</v>
      </c>
      <c r="N53" s="93">
        <f t="shared" si="6"/>
        <v>4.6581804052600999</v>
      </c>
      <c r="O53" s="17"/>
      <c r="P53" s="386"/>
      <c r="Q53" s="463">
        <v>5.0174823137475633</v>
      </c>
      <c r="R53" s="386"/>
      <c r="AD53" s="1068" t="str">
        <f>IFERROR(IF(YEAR(MAX('Commodity Prices'!$C$9:$C4999))=VALUE(RIGHT(AD52,4)),"",IF($AE$33="Calendar Year",AD52+1,CONCATENATE(LEFT(AD52,4)+1,"-",RIGHT(AD52,4)+1))),"")</f>
        <v>2015-2016</v>
      </c>
      <c r="AE53" s="818">
        <f t="shared" si="11"/>
        <v>20955641</v>
      </c>
      <c r="AF53" s="818">
        <f t="shared" si="12"/>
        <v>1081.4531978484599</v>
      </c>
      <c r="AG53" s="819">
        <f t="shared" si="13"/>
        <v>10764.545352932775</v>
      </c>
      <c r="AH53" s="818">
        <f t="shared" si="14"/>
        <v>531595</v>
      </c>
      <c r="AI53" s="818">
        <f t="shared" si="15"/>
        <v>26.219296694299999</v>
      </c>
      <c r="AJ53" s="819">
        <f t="shared" si="16"/>
        <v>249.05907252354427</v>
      </c>
      <c r="AK53" s="818">
        <f t="shared" si="17"/>
        <v>10223641.3040339</v>
      </c>
      <c r="AL53" s="818">
        <f t="shared" si="18"/>
        <v>388.73160851839924</v>
      </c>
      <c r="AM53" s="819">
        <f t="shared" si="19"/>
        <v>1908.4870744258478</v>
      </c>
    </row>
    <row r="54" spans="1:39">
      <c r="A54" s="414">
        <f t="shared" si="0"/>
        <v>20102</v>
      </c>
      <c r="B54" s="1072">
        <v>40330</v>
      </c>
      <c r="C54" s="1063">
        <v>3715803</v>
      </c>
      <c r="D54" s="1063">
        <f t="shared" si="1"/>
        <v>191.76062794434</v>
      </c>
      <c r="E54" s="1064">
        <v>2454.155468455072</v>
      </c>
      <c r="F54" s="1063">
        <v>253460</v>
      </c>
      <c r="G54" s="1063">
        <f t="shared" si="2"/>
        <v>12.5011389124</v>
      </c>
      <c r="H54" s="1064">
        <v>196.26957282149678</v>
      </c>
      <c r="I54" s="1063">
        <v>2274115</v>
      </c>
      <c r="J54" s="1063">
        <f t="shared" si="3"/>
        <v>86.468250950570336</v>
      </c>
      <c r="K54" s="1064">
        <v>322.36356999999998</v>
      </c>
      <c r="L54" s="98">
        <f t="shared" si="4"/>
        <v>2010</v>
      </c>
      <c r="M54" s="98" t="str">
        <f t="shared" si="5"/>
        <v>2</v>
      </c>
      <c r="N54" s="92">
        <f t="shared" si="6"/>
        <v>3.7281148451155723</v>
      </c>
      <c r="O54" s="17"/>
      <c r="P54" s="17"/>
      <c r="Q54" s="463"/>
      <c r="R54" s="408"/>
      <c r="AD54" s="1068" t="str">
        <f>IFERROR(IF(YEAR(MAX('Commodity Prices'!$C$9:$C5000))=VALUE(RIGHT(AD53,4)),"",IF($AE$33="Calendar Year",AD53+1,CONCATENATE(LEFT(AD53,4)+1,"-",RIGHT(AD53,4)+1))),"")</f>
        <v>2016-2017</v>
      </c>
      <c r="AE54" s="1096">
        <f t="shared" si="11"/>
        <v>28685476.682250001</v>
      </c>
      <c r="AF54" s="1096">
        <f t="shared" si="12"/>
        <v>1480.3650843360058</v>
      </c>
      <c r="AG54" s="1097">
        <f t="shared" si="13"/>
        <v>12728.310038069871</v>
      </c>
      <c r="AH54" s="1096">
        <f t="shared" si="14"/>
        <v>527391</v>
      </c>
      <c r="AI54" s="1096">
        <f t="shared" si="15"/>
        <v>26.011947258540001</v>
      </c>
      <c r="AJ54" s="1097">
        <f t="shared" si="16"/>
        <v>273.09730820693642</v>
      </c>
      <c r="AK54" s="1096">
        <f t="shared" si="17"/>
        <v>9708933.994332375</v>
      </c>
      <c r="AL54" s="1096">
        <f t="shared" si="18"/>
        <v>369.16098837765685</v>
      </c>
      <c r="AM54" s="1097">
        <f t="shared" si="19"/>
        <v>1834.9060423134713</v>
      </c>
    </row>
    <row r="55" spans="1:39">
      <c r="A55" s="414">
        <f t="shared" si="0"/>
        <v>20103</v>
      </c>
      <c r="B55" s="1072">
        <v>40422</v>
      </c>
      <c r="C55" s="706">
        <v>4293548</v>
      </c>
      <c r="D55" s="706">
        <f t="shared" si="1"/>
        <v>221.57618705544002</v>
      </c>
      <c r="E55" s="705">
        <v>2230.0945024886864</v>
      </c>
      <c r="F55" s="706">
        <v>255760</v>
      </c>
      <c r="G55" s="706">
        <f t="shared" si="2"/>
        <v>12.6145793744</v>
      </c>
      <c r="H55" s="705">
        <v>179.52403018763414</v>
      </c>
      <c r="I55" s="706">
        <v>2356434</v>
      </c>
      <c r="J55" s="706">
        <f t="shared" si="3"/>
        <v>89.598250950570346</v>
      </c>
      <c r="K55" s="705">
        <v>337.33160199999998</v>
      </c>
      <c r="L55" s="98">
        <f t="shared" si="4"/>
        <v>2010</v>
      </c>
      <c r="M55" s="98" t="str">
        <f t="shared" si="5"/>
        <v>3</v>
      </c>
      <c r="N55" s="93">
        <f t="shared" si="6"/>
        <v>3.764935123411052</v>
      </c>
      <c r="O55" s="17"/>
      <c r="P55" s="17"/>
      <c r="Q55" s="463"/>
      <c r="R55" s="408"/>
      <c r="AD55" s="1068" t="str">
        <f>IFERROR(IF(YEAR(MAX('Commodity Prices'!$C$9:$C5001))=VALUE(RIGHT(AD54,4)),"",IF($AE$33="Calendar Year",AD54+1,CONCATENATE(LEFT(AD54,4)+1,"-",RIGHT(AD54,4)+1))),"")</f>
        <v>2017-2018</v>
      </c>
      <c r="AE55" s="818">
        <f t="shared" si="11"/>
        <v>37893516.660594463</v>
      </c>
      <c r="AF55" s="818">
        <f t="shared" si="12"/>
        <v>1955.5623777296332</v>
      </c>
      <c r="AG55" s="819">
        <f t="shared" si="13"/>
        <v>18920.841692784386</v>
      </c>
      <c r="AH55" s="818">
        <f t="shared" si="14"/>
        <v>451242</v>
      </c>
      <c r="AI55" s="818">
        <f t="shared" si="15"/>
        <v>22.256130849479998</v>
      </c>
      <c r="AJ55" s="819">
        <f t="shared" si="16"/>
        <v>331.27141026354462</v>
      </c>
      <c r="AK55" s="818">
        <f t="shared" si="17"/>
        <v>10174919.539409887</v>
      </c>
      <c r="AL55" s="818">
        <f t="shared" si="18"/>
        <v>386.87906993953948</v>
      </c>
      <c r="AM55" s="819">
        <f t="shared" si="19"/>
        <v>1659.894180277179</v>
      </c>
    </row>
    <row r="56" spans="1:39">
      <c r="A56" s="414">
        <f t="shared" si="0"/>
        <v>20104</v>
      </c>
      <c r="B56" s="1072">
        <v>40513</v>
      </c>
      <c r="C56" s="1063">
        <v>4395392</v>
      </c>
      <c r="D56" s="1063">
        <f t="shared" si="1"/>
        <v>226.83202795776</v>
      </c>
      <c r="E56" s="1064">
        <v>2089.7025584882199</v>
      </c>
      <c r="F56" s="1063">
        <v>239016</v>
      </c>
      <c r="G56" s="1063">
        <f t="shared" si="2"/>
        <v>11.788732811039999</v>
      </c>
      <c r="H56" s="1064">
        <v>193.97600050869315</v>
      </c>
      <c r="I56" s="1063">
        <v>2289189</v>
      </c>
      <c r="J56" s="1063">
        <f>I56/26300</f>
        <v>87.041406844106461</v>
      </c>
      <c r="K56" s="1064">
        <v>322.96802600000001</v>
      </c>
      <c r="L56" s="98">
        <f t="shared" si="4"/>
        <v>2010</v>
      </c>
      <c r="M56" s="98" t="str">
        <f t="shared" si="5"/>
        <v>4</v>
      </c>
      <c r="N56" s="92">
        <f t="shared" si="6"/>
        <v>3.7105101779713254</v>
      </c>
      <c r="O56" s="17"/>
      <c r="P56" s="17"/>
      <c r="Q56" s="463"/>
      <c r="R56" s="408"/>
      <c r="AD56" s="1068" t="str">
        <f>IFERROR(IF(YEAR(MAX('Commodity Prices'!$C$9:$C5002))=VALUE(RIGHT(AD55,4)),"",IF($AE$33="Calendar Year",AD55+1,CONCATENATE(LEFT(AD55,4)+1,"-",RIGHT(AD55,4)+1))),"")</f>
        <v>2018-2019</v>
      </c>
      <c r="AE56" s="1096">
        <f t="shared" si="11"/>
        <v>43635291.099991925</v>
      </c>
      <c r="AF56" s="1096">
        <f t="shared" si="12"/>
        <v>2251.8768680332414</v>
      </c>
      <c r="AG56" s="1097">
        <f t="shared" si="13"/>
        <v>28800.073308003361</v>
      </c>
      <c r="AH56" s="1096">
        <f t="shared" si="14"/>
        <v>447229</v>
      </c>
      <c r="AI56" s="1096">
        <f t="shared" si="15"/>
        <v>22.058201904259999</v>
      </c>
      <c r="AJ56" s="1097">
        <f t="shared" si="16"/>
        <v>327.6357402929367</v>
      </c>
      <c r="AK56" s="1096">
        <f t="shared" si="17"/>
        <v>10410026.327968743</v>
      </c>
      <c r="AL56" s="1096">
        <f t="shared" si="18"/>
        <v>395.81849155774682</v>
      </c>
      <c r="AM56" s="1097">
        <f t="shared" si="19"/>
        <v>1607.1901862926522</v>
      </c>
    </row>
    <row r="57" spans="1:39">
      <c r="A57" s="414">
        <f t="shared" si="0"/>
        <v>20111</v>
      </c>
      <c r="B57" s="1072">
        <v>40603</v>
      </c>
      <c r="C57" s="706">
        <v>4212461.8979238467</v>
      </c>
      <c r="D57" s="706">
        <f t="shared" si="1"/>
        <v>217.39159442453843</v>
      </c>
      <c r="E57" s="705">
        <v>1909.710272</v>
      </c>
      <c r="F57" s="706">
        <v>228150</v>
      </c>
      <c r="G57" s="706">
        <f t="shared" si="2"/>
        <v>11.252800611</v>
      </c>
      <c r="H57" s="705">
        <v>208.8153857492498</v>
      </c>
      <c r="I57" s="706">
        <v>2179351</v>
      </c>
      <c r="J57" s="706">
        <f t="shared" si="3"/>
        <v>82.865057034220527</v>
      </c>
      <c r="K57" s="705">
        <v>356.78536600000001</v>
      </c>
      <c r="L57" s="98">
        <f t="shared" si="4"/>
        <v>2011</v>
      </c>
      <c r="M57" s="98" t="str">
        <f t="shared" si="5"/>
        <v>1</v>
      </c>
      <c r="N57" s="93">
        <f t="shared" si="6"/>
        <v>4.3056190241039651</v>
      </c>
      <c r="O57" s="17"/>
      <c r="P57" s="17"/>
      <c r="Q57" s="463"/>
      <c r="R57" s="408"/>
      <c r="AD57" s="1068" t="str">
        <f>IFERROR(IF(YEAR(MAX('Commodity Prices'!$C$9:$C5003))=VALUE(RIGHT(AD56,4)),"",IF($AE$33="Calendar Year",AD56+1,CONCATENATE(LEFT(AD56,4)+1,"-",RIGHT(AD56,4)+1))),"")</f>
        <v>2019-2020</v>
      </c>
      <c r="AE57" s="820">
        <f t="shared" si="11"/>
        <v>47113044.842457362</v>
      </c>
      <c r="AF57" s="820">
        <f t="shared" si="12"/>
        <v>2431.3525403148315</v>
      </c>
      <c r="AG57" s="821">
        <f t="shared" si="13"/>
        <v>27047.964512300576</v>
      </c>
      <c r="AH57" s="820">
        <f t="shared" si="14"/>
        <v>431562</v>
      </c>
      <c r="AI57" s="820">
        <f t="shared" si="15"/>
        <v>21.28547507028</v>
      </c>
      <c r="AJ57" s="821">
        <f t="shared" si="16"/>
        <v>217.25367236001398</v>
      </c>
      <c r="AK57" s="820">
        <f t="shared" si="17"/>
        <v>11158952.040437331</v>
      </c>
      <c r="AL57" s="820">
        <f t="shared" si="18"/>
        <v>424.29475438925215</v>
      </c>
      <c r="AM57" s="821">
        <f t="shared" si="19"/>
        <v>1773.0547295934143</v>
      </c>
    </row>
    <row r="58" spans="1:39" ht="15.75" thickBot="1">
      <c r="A58" s="414">
        <f t="shared" si="0"/>
        <v>20112</v>
      </c>
      <c r="B58" s="1072">
        <v>40695</v>
      </c>
      <c r="C58" s="1063">
        <v>4388803.3003013609</v>
      </c>
      <c r="D58" s="1063">
        <f t="shared" si="1"/>
        <v>226.49200638192627</v>
      </c>
      <c r="E58" s="1064">
        <v>2099.211785</v>
      </c>
      <c r="F58" s="1063">
        <v>200837</v>
      </c>
      <c r="G58" s="1063">
        <f t="shared" si="2"/>
        <v>9.9056704637799982</v>
      </c>
      <c r="H58" s="1064">
        <v>191.88204256440841</v>
      </c>
      <c r="I58" s="1063">
        <v>2156521</v>
      </c>
      <c r="J58" s="1063">
        <f t="shared" si="3"/>
        <v>81.99699619771863</v>
      </c>
      <c r="K58" s="1064">
        <v>347.50407300000001</v>
      </c>
      <c r="L58" s="98">
        <f t="shared" si="4"/>
        <v>2011</v>
      </c>
      <c r="M58" s="98" t="str">
        <f t="shared" si="5"/>
        <v>2</v>
      </c>
      <c r="N58" s="92">
        <f t="shared" si="6"/>
        <v>4.2380097944327924</v>
      </c>
      <c r="O58" s="17"/>
      <c r="P58" s="17"/>
      <c r="Q58" s="463"/>
      <c r="R58" s="408"/>
      <c r="Z58" s="1993" t="s">
        <v>755</v>
      </c>
      <c r="AA58" s="1993"/>
      <c r="AB58" s="1993"/>
      <c r="AD58" s="1068" t="str">
        <f>IFERROR(IF(YEAR(MAX('Commodity Prices'!$C$9:$C5004))=VALUE(RIGHT(AD57,4)),"",IF($AE$33="Calendar Year",AD57+1,CONCATENATE(LEFT(AD57,4)+1,"-",RIGHT(AD57,4)+1))),"")</f>
        <v>2020-2021</v>
      </c>
      <c r="AE58" s="1096">
        <f t="shared" si="11"/>
        <v>42392686.661688775</v>
      </c>
      <c r="AF58" s="1096">
        <f t="shared" si="12"/>
        <v>2187.7500541587069</v>
      </c>
      <c r="AG58" s="1097">
        <f t="shared" si="13"/>
        <v>15780.495069759774</v>
      </c>
      <c r="AH58" s="1096">
        <f t="shared" si="14"/>
        <v>379651</v>
      </c>
      <c r="AI58" s="1096">
        <f t="shared" si="15"/>
        <v>18.725123842939997</v>
      </c>
      <c r="AJ58" s="1097">
        <f t="shared" si="16"/>
        <v>227.50406484030466</v>
      </c>
      <c r="AK58" s="1096">
        <f t="shared" si="17"/>
        <v>10178574.95177735</v>
      </c>
      <c r="AL58" s="1096">
        <f t="shared" si="18"/>
        <v>387.01805900294102</v>
      </c>
      <c r="AM58" s="1097">
        <f t="shared" si="19"/>
        <v>1471.3615646545691</v>
      </c>
    </row>
    <row r="59" spans="1:39" ht="15.75" thickBot="1">
      <c r="A59" s="414">
        <f t="shared" si="0"/>
        <v>20113</v>
      </c>
      <c r="B59" s="1072">
        <v>40787</v>
      </c>
      <c r="C59" s="706">
        <v>4004613.5082542924</v>
      </c>
      <c r="D59" s="706">
        <f t="shared" si="1"/>
        <v>206.66520830550746</v>
      </c>
      <c r="E59" s="705">
        <v>2259.712493</v>
      </c>
      <c r="F59" s="706">
        <v>231656</v>
      </c>
      <c r="G59" s="706">
        <f t="shared" si="2"/>
        <v>11.425723332640001</v>
      </c>
      <c r="H59" s="705">
        <v>184.7865875884506</v>
      </c>
      <c r="I59" s="706">
        <v>2315170</v>
      </c>
      <c r="J59" s="706">
        <f t="shared" si="3"/>
        <v>88.029277566539918</v>
      </c>
      <c r="K59" s="705">
        <v>366.92107600000003</v>
      </c>
      <c r="L59" s="98">
        <f t="shared" si="4"/>
        <v>2011</v>
      </c>
      <c r="M59" s="98" t="str">
        <f t="shared" si="5"/>
        <v>3</v>
      </c>
      <c r="N59" s="93">
        <f t="shared" si="6"/>
        <v>4.1681709329336512</v>
      </c>
      <c r="O59" s="17"/>
      <c r="P59" s="17"/>
      <c r="Q59" s="463"/>
      <c r="R59" s="408"/>
      <c r="Z59" s="1988" t="s">
        <v>43</v>
      </c>
      <c r="AA59" s="1988"/>
      <c r="AB59" s="1988"/>
      <c r="AD59" s="749" t="str">
        <f>IFERROR(IF(YEAR(MAX('Commodity Prices'!$C$9:$C5004))=VALUE(RIGHT(AD58,4)),"",IF($AE$33="Calendar Year",AD58+1,CONCATENATE(LEFT(AD58,4)+1,"-",RIGHT(AD58,4)+1))),"")</f>
        <v/>
      </c>
      <c r="AE59" s="1098" t="str">
        <f t="shared" si="11"/>
        <v/>
      </c>
      <c r="AF59" s="1098" t="str">
        <f t="shared" si="12"/>
        <v/>
      </c>
      <c r="AG59" s="1003" t="str">
        <f t="shared" si="13"/>
        <v/>
      </c>
      <c r="AH59" s="1098" t="str">
        <f t="shared" si="14"/>
        <v/>
      </c>
      <c r="AI59" s="1098" t="str">
        <f t="shared" si="15"/>
        <v/>
      </c>
      <c r="AJ59" s="1003" t="str">
        <f t="shared" si="16"/>
        <v/>
      </c>
      <c r="AK59" s="1098" t="str">
        <f t="shared" si="17"/>
        <v/>
      </c>
      <c r="AL59" s="1098" t="str">
        <f t="shared" si="18"/>
        <v/>
      </c>
      <c r="AM59" s="1003" t="str">
        <f t="shared" si="19"/>
        <v/>
      </c>
    </row>
    <row r="60" spans="1:39" ht="15.75" thickBot="1">
      <c r="A60" s="414">
        <f t="shared" si="0"/>
        <v>20114</v>
      </c>
      <c r="B60" s="1072">
        <v>40878</v>
      </c>
      <c r="C60" s="1063">
        <v>3948221.2127544754</v>
      </c>
      <c r="D60" s="1063">
        <f t="shared" si="1"/>
        <v>203.75498351795341</v>
      </c>
      <c r="E60" s="1064">
        <v>2283.4367339999999</v>
      </c>
      <c r="F60" s="1063">
        <v>200837</v>
      </c>
      <c r="G60" s="1063">
        <f t="shared" si="2"/>
        <v>9.9056704637799982</v>
      </c>
      <c r="H60" s="1064">
        <v>160.39594404338405</v>
      </c>
      <c r="I60" s="1063">
        <v>2218371</v>
      </c>
      <c r="J60" s="1063">
        <f t="shared" si="3"/>
        <v>84.348707224334603</v>
      </c>
      <c r="K60" s="1064">
        <v>349.91559100000001</v>
      </c>
      <c r="L60" s="98">
        <f t="shared" si="4"/>
        <v>2011</v>
      </c>
      <c r="M60" s="98" t="str">
        <f t="shared" si="5"/>
        <v>4</v>
      </c>
      <c r="N60" s="92">
        <f t="shared" si="6"/>
        <v>4.1484404742488969</v>
      </c>
      <c r="O60" s="17"/>
      <c r="P60" s="17"/>
      <c r="Q60" s="463"/>
      <c r="R60" s="408"/>
      <c r="Z60" s="1355" t="s">
        <v>6</v>
      </c>
      <c r="AA60" s="1356" t="str">
        <f>I8</f>
        <v>Quantity (000 cubic metres)</v>
      </c>
      <c r="AB60" s="1357" t="str">
        <f>K8</f>
        <v>Value ($ Million)</v>
      </c>
      <c r="AD60" s="656" t="str">
        <f>IFERROR(IF(YEAR(MAX('Commodity Prices'!$C$9:$C5005))=VALUE(RIGHT(AD59,4)),"",IF($AE$33="Calendar Year",AD59+1,CONCATENATE(LEFT(AD59,4)+1,"-",RIGHT(AD59,4)+1))),"")</f>
        <v/>
      </c>
      <c r="AE60" s="1099" t="str">
        <f t="shared" si="11"/>
        <v/>
      </c>
      <c r="AF60" s="1099" t="str">
        <f t="shared" si="12"/>
        <v/>
      </c>
      <c r="AG60" s="654" t="str">
        <f t="shared" si="13"/>
        <v/>
      </c>
      <c r="AH60" s="1099" t="str">
        <f t="shared" si="14"/>
        <v/>
      </c>
      <c r="AI60" s="1099" t="str">
        <f t="shared" si="15"/>
        <v/>
      </c>
      <c r="AJ60" s="654" t="str">
        <f t="shared" si="16"/>
        <v/>
      </c>
      <c r="AK60" s="1099" t="str">
        <f t="shared" si="17"/>
        <v/>
      </c>
      <c r="AL60" s="1099" t="str">
        <f t="shared" si="18"/>
        <v/>
      </c>
      <c r="AM60" s="654" t="str">
        <f t="shared" si="19"/>
        <v/>
      </c>
    </row>
    <row r="61" spans="1:39">
      <c r="A61" s="414">
        <f t="shared" si="0"/>
        <v>20121</v>
      </c>
      <c r="B61" s="1072">
        <v>40969</v>
      </c>
      <c r="C61" s="706">
        <v>3482190</v>
      </c>
      <c r="D61" s="706">
        <f t="shared" si="1"/>
        <v>179.70461324819999</v>
      </c>
      <c r="E61" s="705">
        <v>2203.7846126964223</v>
      </c>
      <c r="F61" s="706">
        <v>220050</v>
      </c>
      <c r="G61" s="706">
        <f t="shared" si="2"/>
        <v>10.853292896999999</v>
      </c>
      <c r="H61" s="705">
        <v>228.20920569408236</v>
      </c>
      <c r="I61" s="706">
        <v>2312801</v>
      </c>
      <c r="J61" s="706">
        <f t="shared" si="3"/>
        <v>87.939201520912547</v>
      </c>
      <c r="K61" s="705">
        <v>373.44706400000001</v>
      </c>
      <c r="L61" s="98">
        <f t="shared" si="4"/>
        <v>2012</v>
      </c>
      <c r="M61" s="98" t="str">
        <f t="shared" si="5"/>
        <v>1</v>
      </c>
      <c r="N61" s="93">
        <f t="shared" si="6"/>
        <v>4.2466506124824406</v>
      </c>
      <c r="O61" s="17"/>
      <c r="P61" s="17"/>
      <c r="Q61" s="463"/>
      <c r="R61" s="408"/>
      <c r="Z61" s="613">
        <f>LARGE(B$9:B$739,10)</f>
        <v>43525</v>
      </c>
      <c r="AA61" s="1081">
        <f t="shared" ref="AA61:AA70" si="20">SUMIF($B$9:$B$739,$Z61,I$9:I$739)</f>
        <v>2536649.2146596862</v>
      </c>
      <c r="AB61" s="1100">
        <f t="shared" ref="AB61:AB70" si="21">SUMIF($B$9:$B$739,$Z61,K$9:K$739)</f>
        <v>388.22835420089456</v>
      </c>
      <c r="AD61" s="656" t="str">
        <f>IFERROR(IF(YEAR(MAX('Commodity Prices'!$C$9:$C5006))=VALUE(RIGHT(AD60,4)),"",IF($AE$33="Calendar Year",AD60+1,CONCATENATE(LEFT(AD60,4)+1,"-",RIGHT(AD60,4)+1))),"")</f>
        <v/>
      </c>
      <c r="AE61" s="1099" t="str">
        <f t="shared" si="11"/>
        <v/>
      </c>
      <c r="AF61" s="1099" t="str">
        <f t="shared" si="12"/>
        <v/>
      </c>
      <c r="AG61" s="654" t="str">
        <f t="shared" si="13"/>
        <v/>
      </c>
      <c r="AH61" s="1099" t="str">
        <f t="shared" si="14"/>
        <v/>
      </c>
      <c r="AI61" s="1099" t="str">
        <f t="shared" si="15"/>
        <v/>
      </c>
      <c r="AJ61" s="654" t="str">
        <f t="shared" si="16"/>
        <v/>
      </c>
      <c r="AK61" s="1099" t="str">
        <f t="shared" si="17"/>
        <v/>
      </c>
      <c r="AL61" s="1099" t="str">
        <f t="shared" si="18"/>
        <v/>
      </c>
      <c r="AM61" s="654" t="str">
        <f t="shared" si="19"/>
        <v/>
      </c>
    </row>
    <row r="62" spans="1:39">
      <c r="A62" s="414">
        <f t="shared" si="0"/>
        <v>20122</v>
      </c>
      <c r="B62" s="1072">
        <v>41061</v>
      </c>
      <c r="C62" s="1063">
        <v>4175545</v>
      </c>
      <c r="D62" s="1063">
        <f t="shared" si="1"/>
        <v>215.48643219510001</v>
      </c>
      <c r="E62" s="1064">
        <v>2748.6092927351433</v>
      </c>
      <c r="F62" s="1063">
        <v>182728</v>
      </c>
      <c r="G62" s="1063">
        <f t="shared" si="2"/>
        <v>9.0124994523200002</v>
      </c>
      <c r="H62" s="1064">
        <v>161.09291595506599</v>
      </c>
      <c r="I62" s="1063">
        <v>2234313</v>
      </c>
      <c r="J62" s="1063">
        <f t="shared" si="3"/>
        <v>84.954866920152085</v>
      </c>
      <c r="K62" s="1064">
        <v>359.526498</v>
      </c>
      <c r="L62" s="98">
        <f t="shared" si="4"/>
        <v>2012</v>
      </c>
      <c r="M62" s="98" t="str">
        <f t="shared" si="5"/>
        <v>2</v>
      </c>
      <c r="N62" s="92">
        <f t="shared" si="6"/>
        <v>4.231970586663552</v>
      </c>
      <c r="O62" s="17"/>
      <c r="P62" s="17"/>
      <c r="Q62" s="463"/>
      <c r="R62" s="408"/>
      <c r="Z62" s="614">
        <f>LARGE(B$9:B$739,9)</f>
        <v>43617</v>
      </c>
      <c r="AA62" s="1082">
        <f t="shared" si="20"/>
        <v>2793257.7945797327</v>
      </c>
      <c r="AB62" s="974">
        <f t="shared" si="21"/>
        <v>430.06911586375168</v>
      </c>
      <c r="AD62" s="656" t="str">
        <f>IFERROR(IF(YEAR(MAX('Commodity Prices'!$C$9:$C5007))=VALUE(RIGHT(AD61,4)),"",IF($AE$33="Calendar Year",AD61+1,CONCATENATE(LEFT(AD61,4)+1,"-",RIGHT(AD61,4)+1))),"")</f>
        <v/>
      </c>
      <c r="AE62" s="1099" t="str">
        <f t="shared" si="11"/>
        <v/>
      </c>
      <c r="AF62" s="1099" t="str">
        <f t="shared" si="12"/>
        <v/>
      </c>
      <c r="AG62" s="654" t="str">
        <f t="shared" si="13"/>
        <v/>
      </c>
      <c r="AH62" s="1099" t="str">
        <f t="shared" si="14"/>
        <v/>
      </c>
      <c r="AI62" s="1099" t="str">
        <f t="shared" si="15"/>
        <v/>
      </c>
      <c r="AJ62" s="654" t="str">
        <f t="shared" si="16"/>
        <v/>
      </c>
      <c r="AK62" s="1099" t="str">
        <f t="shared" si="17"/>
        <v/>
      </c>
      <c r="AL62" s="1099" t="str">
        <f t="shared" si="18"/>
        <v/>
      </c>
      <c r="AM62" s="654" t="str">
        <f t="shared" si="19"/>
        <v/>
      </c>
    </row>
    <row r="63" spans="1:39">
      <c r="A63" s="414">
        <f t="shared" si="0"/>
        <v>20123</v>
      </c>
      <c r="B63" s="1072">
        <v>41153</v>
      </c>
      <c r="C63" s="706">
        <v>5371788</v>
      </c>
      <c r="D63" s="706">
        <f t="shared" si="1"/>
        <v>277.22068152264001</v>
      </c>
      <c r="E63" s="705">
        <v>3200.1858504462862</v>
      </c>
      <c r="F63" s="706">
        <v>215188</v>
      </c>
      <c r="G63" s="706">
        <f t="shared" si="2"/>
        <v>10.61348962472</v>
      </c>
      <c r="H63" s="705">
        <v>152.63031786087535</v>
      </c>
      <c r="I63" s="706">
        <v>2250413</v>
      </c>
      <c r="J63" s="706">
        <f t="shared" si="3"/>
        <v>85.567034220532321</v>
      </c>
      <c r="K63" s="705">
        <v>373.45979399999999</v>
      </c>
      <c r="L63" s="98">
        <f t="shared" si="4"/>
        <v>2012</v>
      </c>
      <c r="M63" s="98" t="str">
        <f t="shared" si="5"/>
        <v>3</v>
      </c>
      <c r="N63" s="93">
        <f t="shared" si="6"/>
        <v>4.3645289030058034</v>
      </c>
      <c r="O63" s="17"/>
      <c r="P63" s="17"/>
      <c r="Q63" s="463"/>
      <c r="R63" s="408"/>
      <c r="Z63" s="615">
        <f>LARGE(B$9:B$739,8)</f>
        <v>43709</v>
      </c>
      <c r="AA63" s="1083">
        <f t="shared" si="20"/>
        <v>2856042.2623723485</v>
      </c>
      <c r="AB63" s="1101">
        <f t="shared" si="21"/>
        <v>452.30332300746949</v>
      </c>
    </row>
    <row r="64" spans="1:39">
      <c r="A64" s="414">
        <f t="shared" si="0"/>
        <v>20124</v>
      </c>
      <c r="B64" s="1072">
        <v>41244</v>
      </c>
      <c r="C64" s="1063">
        <v>5231028</v>
      </c>
      <c r="D64" s="1063">
        <f t="shared" si="1"/>
        <v>269.95651116983998</v>
      </c>
      <c r="E64" s="1064">
        <v>3119.0409195228258</v>
      </c>
      <c r="F64" s="1063">
        <v>191912</v>
      </c>
      <c r="G64" s="1063">
        <f t="shared" si="2"/>
        <v>9.46547214928</v>
      </c>
      <c r="H64" s="1064">
        <v>187.22332368073322</v>
      </c>
      <c r="I64" s="1063">
        <v>2211682</v>
      </c>
      <c r="J64" s="1063">
        <f t="shared" si="3"/>
        <v>84.094372623574145</v>
      </c>
      <c r="K64" s="1064">
        <v>364.108541</v>
      </c>
      <c r="L64" s="98">
        <f t="shared" si="4"/>
        <v>2012</v>
      </c>
      <c r="M64" s="98" t="str">
        <f t="shared" si="5"/>
        <v>4</v>
      </c>
      <c r="N64" s="92">
        <f t="shared" si="6"/>
        <v>4.3297610724778695</v>
      </c>
      <c r="O64" s="17"/>
      <c r="P64" s="17"/>
      <c r="Q64" s="463"/>
      <c r="R64" s="408"/>
      <c r="Z64" s="614">
        <f>LARGE(B$9:B$739,7)</f>
        <v>43800</v>
      </c>
      <c r="AA64" s="1082">
        <f t="shared" si="20"/>
        <v>2740776.3804347822</v>
      </c>
      <c r="AB64" s="974">
        <f t="shared" si="21"/>
        <v>426.93755564447611</v>
      </c>
    </row>
    <row r="65" spans="1:33">
      <c r="A65" s="414">
        <f t="shared" si="0"/>
        <v>20131</v>
      </c>
      <c r="B65" s="1072">
        <v>41334</v>
      </c>
      <c r="C65" s="706">
        <v>4865670</v>
      </c>
      <c r="D65" s="706">
        <f t="shared" si="1"/>
        <v>251.10156124260001</v>
      </c>
      <c r="E65" s="705">
        <v>2966.8551408577659</v>
      </c>
      <c r="F65" s="706">
        <v>171090</v>
      </c>
      <c r="G65" s="706">
        <f t="shared" si="2"/>
        <v>8.4384907146000003</v>
      </c>
      <c r="H65" s="705">
        <v>161.17027358210854</v>
      </c>
      <c r="I65" s="706">
        <v>2219755</v>
      </c>
      <c r="J65" s="706">
        <f t="shared" si="3"/>
        <v>84.401330798479094</v>
      </c>
      <c r="K65" s="705">
        <v>356.27825999999999</v>
      </c>
      <c r="L65" s="98">
        <f t="shared" si="4"/>
        <v>2013</v>
      </c>
      <c r="M65" s="98" t="str">
        <f t="shared" si="5"/>
        <v>1</v>
      </c>
      <c r="N65" s="93">
        <f t="shared" si="6"/>
        <v>4.2212398386308392</v>
      </c>
      <c r="O65" s="17"/>
      <c r="P65" s="17"/>
      <c r="Q65" s="463"/>
      <c r="R65" s="408"/>
      <c r="Z65" s="615">
        <f>LARGE(B$9:B$739,6)</f>
        <v>43891</v>
      </c>
      <c r="AA65" s="1083">
        <f t="shared" si="20"/>
        <v>2625654.4502617801</v>
      </c>
      <c r="AB65" s="1101">
        <f t="shared" si="21"/>
        <v>416.85258327892876</v>
      </c>
    </row>
    <row r="66" spans="1:33">
      <c r="A66" s="414">
        <f t="shared" si="0"/>
        <v>20132</v>
      </c>
      <c r="B66" s="1072">
        <v>41426</v>
      </c>
      <c r="C66" s="1063">
        <v>4336433</v>
      </c>
      <c r="D66" s="1063">
        <f t="shared" si="1"/>
        <v>223.78934381574001</v>
      </c>
      <c r="E66" s="1064">
        <v>2861.1324864049229</v>
      </c>
      <c r="F66" s="1063">
        <v>174720</v>
      </c>
      <c r="G66" s="1063">
        <f t="shared" si="2"/>
        <v>8.6175293567999987</v>
      </c>
      <c r="H66" s="1064">
        <v>133.02871979584953</v>
      </c>
      <c r="I66" s="1063">
        <v>2032099</v>
      </c>
      <c r="J66" s="1063">
        <f t="shared" si="3"/>
        <v>77.266121673003809</v>
      </c>
      <c r="K66" s="1064">
        <v>340.70417700000002</v>
      </c>
      <c r="L66" s="98">
        <f t="shared" si="4"/>
        <v>2013</v>
      </c>
      <c r="M66" s="98" t="str">
        <f t="shared" si="5"/>
        <v>2</v>
      </c>
      <c r="N66" s="92">
        <f t="shared" si="6"/>
        <v>4.409489820673107</v>
      </c>
      <c r="O66" s="17"/>
      <c r="P66" s="17"/>
      <c r="Q66" s="463"/>
      <c r="R66" s="408"/>
      <c r="S66" s="17"/>
      <c r="Z66" s="614">
        <f>LARGE(B$9:B$739,5)</f>
        <v>43983</v>
      </c>
      <c r="AA66" s="1082">
        <f t="shared" si="20"/>
        <v>2936478.9473684211</v>
      </c>
      <c r="AB66" s="974">
        <f t="shared" si="21"/>
        <v>476.96126766254002</v>
      </c>
    </row>
    <row r="67" spans="1:33">
      <c r="A67" s="414">
        <f t="shared" si="0"/>
        <v>20133</v>
      </c>
      <c r="B67" s="1072">
        <v>41518</v>
      </c>
      <c r="C67" s="706">
        <v>4969932</v>
      </c>
      <c r="D67" s="706">
        <f t="shared" si="1"/>
        <v>256.48218733895999</v>
      </c>
      <c r="E67" s="705">
        <v>3454.8150984037952</v>
      </c>
      <c r="F67" s="706">
        <v>203872</v>
      </c>
      <c r="G67" s="706">
        <f t="shared" si="2"/>
        <v>10.05536255168</v>
      </c>
      <c r="H67" s="705">
        <v>189.00954320584475</v>
      </c>
      <c r="I67" s="706">
        <v>2524173</v>
      </c>
      <c r="J67" s="706">
        <f t="shared" si="3"/>
        <v>95.976159695817486</v>
      </c>
      <c r="K67" s="705">
        <v>413.88590299999998</v>
      </c>
      <c r="L67" s="98">
        <f t="shared" si="4"/>
        <v>2013</v>
      </c>
      <c r="M67" s="98" t="str">
        <f t="shared" si="5"/>
        <v>3</v>
      </c>
      <c r="N67" s="93">
        <f t="shared" si="6"/>
        <v>4.3123824115462766</v>
      </c>
      <c r="O67" s="17"/>
      <c r="P67" s="17"/>
      <c r="Q67" s="463"/>
      <c r="R67" s="408"/>
      <c r="Z67" s="615">
        <f>LARGE(B$9:B$739,4)</f>
        <v>44075</v>
      </c>
      <c r="AA67" s="1083">
        <f t="shared" si="20"/>
        <v>2681578.9473684211</v>
      </c>
      <c r="AB67" s="1101">
        <f t="shared" si="21"/>
        <v>365.64504867123094</v>
      </c>
      <c r="AE67" s="388"/>
      <c r="AF67" s="388"/>
      <c r="AG67" s="388"/>
    </row>
    <row r="68" spans="1:33">
      <c r="A68" s="414">
        <f t="shared" si="0"/>
        <v>20134</v>
      </c>
      <c r="B68" s="1072">
        <v>41609</v>
      </c>
      <c r="C68" s="1063">
        <v>5048408</v>
      </c>
      <c r="D68" s="1063">
        <f t="shared" si="1"/>
        <v>260.53208100623999</v>
      </c>
      <c r="E68" s="1064">
        <v>4005.1580927126415</v>
      </c>
      <c r="F68" s="1063">
        <v>136252</v>
      </c>
      <c r="G68" s="1063">
        <f t="shared" si="2"/>
        <v>6.7202129688799994</v>
      </c>
      <c r="H68" s="1064">
        <v>116.92676470853257</v>
      </c>
      <c r="I68" s="1063">
        <v>2521640</v>
      </c>
      <c r="J68" s="1063">
        <f t="shared" si="3"/>
        <v>95.879847908745248</v>
      </c>
      <c r="K68" s="1064">
        <v>448.58798999999999</v>
      </c>
      <c r="L68" s="98">
        <f t="shared" si="4"/>
        <v>2013</v>
      </c>
      <c r="M68" s="98" t="str">
        <f t="shared" si="5"/>
        <v>4</v>
      </c>
      <c r="N68" s="92">
        <f t="shared" si="6"/>
        <v>4.6786472839104709</v>
      </c>
      <c r="O68" s="17"/>
      <c r="P68" s="17"/>
      <c r="Q68" s="463"/>
      <c r="R68" s="408"/>
      <c r="Z68" s="614">
        <f>LARGE(B$9:B$739,3)</f>
        <v>44166</v>
      </c>
      <c r="AA68" s="1082">
        <f t="shared" si="20"/>
        <v>2594736.8421052629</v>
      </c>
      <c r="AB68" s="974">
        <f t="shared" si="21"/>
        <v>387.69575477682616</v>
      </c>
    </row>
    <row r="69" spans="1:33">
      <c r="A69" s="414">
        <f t="shared" si="0"/>
        <v>20141</v>
      </c>
      <c r="B69" s="1072">
        <v>41699</v>
      </c>
      <c r="C69" s="706">
        <v>4863240</v>
      </c>
      <c r="D69" s="706">
        <v>250.9761567672</v>
      </c>
      <c r="E69" s="705">
        <v>3609.712857637357</v>
      </c>
      <c r="F69" s="706">
        <v>24930</v>
      </c>
      <c r="G69" s="706">
        <v>1.2295959642000001</v>
      </c>
      <c r="H69" s="705">
        <v>24.843911468531239</v>
      </c>
      <c r="I69" s="706">
        <v>1189964</v>
      </c>
      <c r="J69" s="706">
        <v>45.245779467680606</v>
      </c>
      <c r="K69" s="705">
        <v>213.003556</v>
      </c>
      <c r="L69" s="98">
        <f t="shared" si="4"/>
        <v>2014</v>
      </c>
      <c r="M69" s="98" t="str">
        <f t="shared" si="5"/>
        <v>1</v>
      </c>
      <c r="N69" s="93">
        <f t="shared" si="6"/>
        <v>4.7077</v>
      </c>
      <c r="O69" s="17"/>
      <c r="P69" s="17"/>
      <c r="Q69" s="463"/>
      <c r="R69" s="408"/>
      <c r="Z69" s="615">
        <f>LARGE(B$9:B$739,2)</f>
        <v>44256</v>
      </c>
      <c r="AA69" s="1083">
        <f t="shared" si="20"/>
        <v>2410112.5654450264</v>
      </c>
      <c r="AB69" s="1101">
        <f t="shared" si="21"/>
        <v>350.87999036078304</v>
      </c>
    </row>
    <row r="70" spans="1:33">
      <c r="A70" s="414">
        <f t="shared" si="0"/>
        <v>20142</v>
      </c>
      <c r="B70" s="1072">
        <v>41791</v>
      </c>
      <c r="C70" s="1063">
        <v>4944485</v>
      </c>
      <c r="D70" s="1063">
        <v>255.16894960830001</v>
      </c>
      <c r="E70" s="1064">
        <v>3581.8367247574915</v>
      </c>
      <c r="F70" s="1063">
        <v>24479</v>
      </c>
      <c r="G70" s="1063">
        <v>1.20735176926</v>
      </c>
      <c r="H70" s="1064">
        <v>22.761114376250173</v>
      </c>
      <c r="I70" s="1063">
        <v>1981802.2900000003</v>
      </c>
      <c r="J70" s="1063">
        <v>75.35369923954373</v>
      </c>
      <c r="K70" s="1064">
        <v>371.45826152000006</v>
      </c>
      <c r="L70" s="98">
        <f t="shared" si="4"/>
        <v>2014</v>
      </c>
      <c r="M70" s="98" t="str">
        <f t="shared" si="5"/>
        <v>2</v>
      </c>
      <c r="N70" s="92">
        <f t="shared" si="6"/>
        <v>4.9295292104925368</v>
      </c>
      <c r="O70" s="17"/>
      <c r="P70" s="17"/>
      <c r="Q70" s="463"/>
      <c r="R70" s="408"/>
      <c r="S70" s="17"/>
      <c r="T70" s="386"/>
      <c r="Z70" s="616">
        <f>LARGE(B$9:B$739,1)</f>
        <v>44348</v>
      </c>
      <c r="AA70" s="1102">
        <f t="shared" si="20"/>
        <v>2492146.5968586388</v>
      </c>
      <c r="AB70" s="1103">
        <f t="shared" si="21"/>
        <v>367.14077084572898</v>
      </c>
    </row>
    <row r="71" spans="1:33">
      <c r="A71" s="414">
        <f t="shared" si="0"/>
        <v>20143</v>
      </c>
      <c r="B71" s="1072">
        <v>41883</v>
      </c>
      <c r="C71" s="706">
        <v>5835100</v>
      </c>
      <c r="D71" s="706">
        <v>301.130721978</v>
      </c>
      <c r="E71" s="705">
        <v>4338.3672567656658</v>
      </c>
      <c r="F71" s="706">
        <v>159620</v>
      </c>
      <c r="G71" s="706">
        <v>7.8727680627999996</v>
      </c>
      <c r="H71" s="705">
        <v>138.86373114397765</v>
      </c>
      <c r="I71" s="706">
        <v>2395064.7549999999</v>
      </c>
      <c r="J71" s="706">
        <v>91.067100950570335</v>
      </c>
      <c r="K71" s="705">
        <v>445.20685447794887</v>
      </c>
      <c r="L71" s="98">
        <f t="shared" si="4"/>
        <v>2014</v>
      </c>
      <c r="M71" s="98" t="str">
        <f t="shared" si="5"/>
        <v>3</v>
      </c>
      <c r="N71" s="93">
        <f t="shared" si="6"/>
        <v>4.8887781628142477</v>
      </c>
      <c r="O71" s="17"/>
      <c r="P71" s="17"/>
      <c r="Q71" s="463"/>
      <c r="R71" s="408"/>
    </row>
    <row r="72" spans="1:33">
      <c r="A72" s="414">
        <f t="shared" si="0"/>
        <v>20144</v>
      </c>
      <c r="B72" s="1072">
        <v>41974</v>
      </c>
      <c r="C72" s="1063">
        <v>5209776</v>
      </c>
      <c r="D72" s="1063">
        <v>268.85976388128</v>
      </c>
      <c r="E72" s="1064">
        <v>3957.4004114908698</v>
      </c>
      <c r="F72" s="1063">
        <v>148580</v>
      </c>
      <c r="G72" s="1063">
        <v>7.328253845199999</v>
      </c>
      <c r="H72" s="1064">
        <v>122.53826596790357</v>
      </c>
      <c r="I72" s="1063">
        <v>2504093.6320000002</v>
      </c>
      <c r="J72" s="1063">
        <v>95.21268562737643</v>
      </c>
      <c r="K72" s="1064">
        <v>461.59148175823981</v>
      </c>
      <c r="L72" s="98">
        <f t="shared" si="4"/>
        <v>2014</v>
      </c>
      <c r="M72" s="98" t="str">
        <f t="shared" si="5"/>
        <v>4</v>
      </c>
      <c r="N72" s="92">
        <f t="shared" si="6"/>
        <v>4.8480040103555151</v>
      </c>
      <c r="O72" s="17"/>
      <c r="P72" s="17"/>
      <c r="Q72" s="463"/>
      <c r="R72" s="408"/>
    </row>
    <row r="73" spans="1:33">
      <c r="A73" s="414">
        <f t="shared" si="0"/>
        <v>20151</v>
      </c>
      <c r="B73" s="1072">
        <v>42064</v>
      </c>
      <c r="C73" s="706">
        <v>5058720</v>
      </c>
      <c r="D73" s="706">
        <v>261.0643</v>
      </c>
      <c r="E73" s="705">
        <v>3466.8432032243586</v>
      </c>
      <c r="F73" s="706">
        <v>141570</v>
      </c>
      <c r="G73" s="706">
        <v>6.9825070457999994</v>
      </c>
      <c r="H73" s="705">
        <v>82.497857403522531</v>
      </c>
      <c r="I73" s="706">
        <v>2483406.8170000003</v>
      </c>
      <c r="J73" s="706">
        <v>94.426114714828913</v>
      </c>
      <c r="K73" s="705">
        <v>457.599551292</v>
      </c>
      <c r="L73" s="98">
        <f t="shared" si="4"/>
        <v>2015</v>
      </c>
      <c r="M73" s="98" t="str">
        <f t="shared" si="5"/>
        <v>1</v>
      </c>
      <c r="N73" s="93">
        <f t="shared" si="6"/>
        <v>4.8461122505566507</v>
      </c>
      <c r="O73" s="17"/>
      <c r="P73" s="17"/>
      <c r="Q73" s="463"/>
      <c r="R73" s="408"/>
    </row>
    <row r="74" spans="1:33">
      <c r="A74" s="414">
        <f t="shared" ref="A74:A137" si="22">L74*10+M74</f>
        <v>20152</v>
      </c>
      <c r="B74" s="1072">
        <v>42156</v>
      </c>
      <c r="C74" s="1063">
        <v>4344249</v>
      </c>
      <c r="D74" s="1063">
        <v>224.1927</v>
      </c>
      <c r="E74" s="1064">
        <v>2054.4316153610985</v>
      </c>
      <c r="F74" s="1063">
        <v>103285</v>
      </c>
      <c r="G74" s="1063">
        <v>5.0942165728999997</v>
      </c>
      <c r="H74" s="1064">
        <v>61.665661356598967</v>
      </c>
      <c r="I74" s="1063">
        <v>2492773.5079999999</v>
      </c>
      <c r="J74" s="1063">
        <v>94.78226266159696</v>
      </c>
      <c r="K74" s="1064">
        <v>455.799167576</v>
      </c>
      <c r="L74" s="98">
        <f t="shared" ref="L74:L137" si="23">YEAR(B74)</f>
        <v>2015</v>
      </c>
      <c r="M74" s="98" t="str">
        <f t="shared" ref="M74:M137" si="24">IF(MONTH(B74)=3,"1",IF(MONTH(B74)=6,"2",IF(MONTH(B74)=9,"3","4")))</f>
        <v>2</v>
      </c>
      <c r="N74" s="92">
        <f t="shared" ref="N74:N137" si="25">K74/J74</f>
        <v>4.8089078565611905</v>
      </c>
      <c r="O74" s="17"/>
      <c r="P74" s="17"/>
      <c r="Q74" s="463"/>
      <c r="R74" s="408"/>
      <c r="S74" s="17"/>
      <c r="T74" s="386"/>
    </row>
    <row r="75" spans="1:33">
      <c r="A75" s="414">
        <f t="shared" si="22"/>
        <v>20153</v>
      </c>
      <c r="B75" s="1072">
        <v>42248</v>
      </c>
      <c r="C75" s="706">
        <v>5451644</v>
      </c>
      <c r="D75" s="706">
        <v>281.34179999999998</v>
      </c>
      <c r="E75" s="705">
        <v>2973.1531033352376</v>
      </c>
      <c r="F75" s="706">
        <v>123464</v>
      </c>
      <c r="G75" s="706">
        <v>6.0894840001599997</v>
      </c>
      <c r="H75" s="705">
        <v>53.953957081642599</v>
      </c>
      <c r="I75" s="706">
        <v>2636710.9539999994</v>
      </c>
      <c r="J75" s="706">
        <v>100.25516935361215</v>
      </c>
      <c r="K75" s="705">
        <v>491.83885099999998</v>
      </c>
      <c r="L75" s="98">
        <f t="shared" si="23"/>
        <v>2015</v>
      </c>
      <c r="M75" s="98" t="str">
        <f t="shared" si="24"/>
        <v>3</v>
      </c>
      <c r="N75" s="93">
        <f t="shared" si="25"/>
        <v>4.9058702326383257</v>
      </c>
      <c r="O75" s="17"/>
      <c r="P75" s="17"/>
      <c r="Q75" s="463"/>
      <c r="R75" s="408"/>
      <c r="S75" s="409"/>
    </row>
    <row r="76" spans="1:33">
      <c r="A76" s="414">
        <f t="shared" si="22"/>
        <v>20154</v>
      </c>
      <c r="B76" s="1072">
        <v>42339</v>
      </c>
      <c r="C76" s="1063">
        <v>5531040</v>
      </c>
      <c r="D76" s="1063">
        <v>285.43920000000003</v>
      </c>
      <c r="E76" s="1064">
        <v>3059.9218309842045</v>
      </c>
      <c r="F76" s="1063">
        <v>133584</v>
      </c>
      <c r="G76" s="1063">
        <v>6.5886220329599992</v>
      </c>
      <c r="H76" s="1064">
        <v>55.990820561464247</v>
      </c>
      <c r="I76" s="1063">
        <v>2403790.8930000002</v>
      </c>
      <c r="J76" s="1063">
        <v>91.398893269961988</v>
      </c>
      <c r="K76" s="1064">
        <v>456.28586032999999</v>
      </c>
      <c r="L76" s="98">
        <f t="shared" si="23"/>
        <v>2015</v>
      </c>
      <c r="M76" s="98" t="str">
        <f t="shared" si="24"/>
        <v>4</v>
      </c>
      <c r="N76" s="92">
        <f t="shared" si="25"/>
        <v>4.9922471050309447</v>
      </c>
      <c r="O76" s="17"/>
      <c r="P76" s="17"/>
      <c r="Q76" s="463"/>
      <c r="R76" s="408"/>
      <c r="S76" s="409"/>
    </row>
    <row r="77" spans="1:33">
      <c r="A77" s="414">
        <f t="shared" si="22"/>
        <v>20161</v>
      </c>
      <c r="B77" s="1072">
        <v>42430</v>
      </c>
      <c r="C77" s="706">
        <v>5323767</v>
      </c>
      <c r="D77" s="706">
        <v>274.74247234026001</v>
      </c>
      <c r="E77" s="705">
        <v>2713.6890704221591</v>
      </c>
      <c r="F77" s="706">
        <v>139321</v>
      </c>
      <c r="G77" s="706">
        <v>6.8715820027399994</v>
      </c>
      <c r="H77" s="705">
        <v>64.980488740447953</v>
      </c>
      <c r="I77" s="706">
        <v>2612235.4374338998</v>
      </c>
      <c r="J77" s="706">
        <v>99.324541347296574</v>
      </c>
      <c r="K77" s="705">
        <v>472.46725992340879</v>
      </c>
      <c r="L77" s="98">
        <f t="shared" si="23"/>
        <v>2016</v>
      </c>
      <c r="M77" s="98" t="str">
        <f t="shared" si="24"/>
        <v>1</v>
      </c>
      <c r="N77" s="390">
        <f t="shared" si="25"/>
        <v>4.7568028355790481</v>
      </c>
      <c r="O77" s="17"/>
      <c r="P77" s="17"/>
      <c r="Q77" s="463"/>
      <c r="R77" s="388"/>
    </row>
    <row r="78" spans="1:33">
      <c r="A78" s="414">
        <f t="shared" si="22"/>
        <v>20162</v>
      </c>
      <c r="B78" s="1072">
        <v>42522</v>
      </c>
      <c r="C78" s="1063">
        <v>4649190</v>
      </c>
      <c r="D78" s="1063">
        <v>239.92972550819999</v>
      </c>
      <c r="E78" s="1064">
        <v>2017.7813481911735</v>
      </c>
      <c r="F78" s="1063">
        <v>135226</v>
      </c>
      <c r="G78" s="1063">
        <v>6.6696086584399996</v>
      </c>
      <c r="H78" s="1064">
        <v>74.133806139989474</v>
      </c>
      <c r="I78" s="1063">
        <v>2570904.0196000002</v>
      </c>
      <c r="J78" s="1063">
        <v>97.753004547528519</v>
      </c>
      <c r="K78" s="1064">
        <v>487.89510317243906</v>
      </c>
      <c r="L78" s="98">
        <f t="shared" si="23"/>
        <v>2016</v>
      </c>
      <c r="M78" s="98" t="str">
        <f t="shared" si="24"/>
        <v>2</v>
      </c>
      <c r="N78" s="455">
        <f t="shared" si="25"/>
        <v>4.9911008406418791</v>
      </c>
      <c r="O78" s="17"/>
      <c r="P78" s="17"/>
      <c r="Q78" s="463"/>
      <c r="R78" s="388"/>
      <c r="S78" s="17"/>
      <c r="T78" s="386"/>
    </row>
    <row r="79" spans="1:33">
      <c r="A79" s="414">
        <f t="shared" si="22"/>
        <v>20163</v>
      </c>
      <c r="B79" s="1072">
        <v>42614</v>
      </c>
      <c r="C79" s="706">
        <v>6803067.7071249997</v>
      </c>
      <c r="D79" s="706">
        <v>351.08441848670429</v>
      </c>
      <c r="E79" s="705">
        <v>2712.9153543355424</v>
      </c>
      <c r="F79" s="706">
        <v>157964</v>
      </c>
      <c r="G79" s="706">
        <v>7.7910909301600002</v>
      </c>
      <c r="H79" s="705">
        <v>67.829171529252321</v>
      </c>
      <c r="I79" s="706">
        <v>2450225.0310224863</v>
      </c>
      <c r="J79" s="706">
        <v>93.164449848763738</v>
      </c>
      <c r="K79" s="705">
        <v>476.64628895820181</v>
      </c>
      <c r="L79" s="98">
        <f t="shared" ref="L79:L100" si="26">YEAR(B79)</f>
        <v>2016</v>
      </c>
      <c r="M79" s="98" t="str">
        <f t="shared" ref="M79:M100" si="27">IF(MONTH(B79)=3,"1",IF(MONTH(B79)=6,"2",IF(MONTH(B79)=9,"3","4")))</f>
        <v>3</v>
      </c>
      <c r="N79" s="390">
        <f t="shared" si="25"/>
        <v>5.116182081598228</v>
      </c>
      <c r="O79" s="17"/>
    </row>
    <row r="80" spans="1:33">
      <c r="A80" s="414">
        <f t="shared" si="22"/>
        <v>20164</v>
      </c>
      <c r="B80" s="1072">
        <v>42705</v>
      </c>
      <c r="C80" s="1063">
        <v>6998631.9396250006</v>
      </c>
      <c r="D80" s="1063">
        <v>361.17685880920067</v>
      </c>
      <c r="E80" s="1064">
        <v>3176.2283489943566</v>
      </c>
      <c r="F80" s="1063">
        <v>143244</v>
      </c>
      <c r="G80" s="1063">
        <v>7.0650719733599994</v>
      </c>
      <c r="H80" s="1064">
        <v>81.197249614542599</v>
      </c>
      <c r="I80" s="1063">
        <v>2497743.2599999998</v>
      </c>
      <c r="J80" s="1063">
        <v>94.97122661596957</v>
      </c>
      <c r="K80" s="1064">
        <v>474.44818927644729</v>
      </c>
      <c r="L80" s="98">
        <f t="shared" si="26"/>
        <v>2016</v>
      </c>
      <c r="M80" s="98" t="str">
        <f t="shared" si="27"/>
        <v>4</v>
      </c>
      <c r="N80" s="455">
        <f t="shared" si="25"/>
        <v>4.9957045537060383</v>
      </c>
      <c r="O80" s="407"/>
      <c r="P80" s="424"/>
    </row>
    <row r="81" spans="1:16">
      <c r="A81" s="414">
        <f t="shared" si="22"/>
        <v>20171</v>
      </c>
      <c r="B81" s="1072">
        <v>42795</v>
      </c>
      <c r="C81" s="706">
        <v>6972485.1932500005</v>
      </c>
      <c r="D81" s="706">
        <v>359.82750942131025</v>
      </c>
      <c r="E81" s="705">
        <v>3126.8409743271582</v>
      </c>
      <c r="F81" s="706">
        <v>110340</v>
      </c>
      <c r="G81" s="706">
        <v>5.4421828595999999</v>
      </c>
      <c r="H81" s="705">
        <v>77.866747796917679</v>
      </c>
      <c r="I81" s="706">
        <v>2250997.1169224549</v>
      </c>
      <c r="J81" s="706">
        <v>85.589243989446956</v>
      </c>
      <c r="K81" s="705">
        <v>419.19958358287738</v>
      </c>
      <c r="L81" s="98">
        <f t="shared" si="26"/>
        <v>2017</v>
      </c>
      <c r="M81" s="98" t="str">
        <f t="shared" si="27"/>
        <v>1</v>
      </c>
      <c r="N81" s="390">
        <f t="shared" si="25"/>
        <v>4.8978068276261926</v>
      </c>
      <c r="O81" s="407"/>
      <c r="P81" s="424"/>
    </row>
    <row r="82" spans="1:16">
      <c r="A82" s="414">
        <f t="shared" si="22"/>
        <v>20172</v>
      </c>
      <c r="B82" s="1072">
        <v>42887</v>
      </c>
      <c r="C82" s="1063">
        <v>7911291.8422500007</v>
      </c>
      <c r="D82" s="1063">
        <v>408.27629761879052</v>
      </c>
      <c r="E82" s="1064">
        <v>3712.3253604128122</v>
      </c>
      <c r="F82" s="1063">
        <v>115843</v>
      </c>
      <c r="G82" s="1063">
        <v>5.7136014954199998</v>
      </c>
      <c r="H82" s="1064">
        <v>46.204139266223834</v>
      </c>
      <c r="I82" s="1063">
        <v>2509968.586387434</v>
      </c>
      <c r="J82" s="1063">
        <v>95.436067923476585</v>
      </c>
      <c r="K82" s="1064">
        <v>464.61198049594464</v>
      </c>
      <c r="L82" s="98">
        <f t="shared" si="26"/>
        <v>2017</v>
      </c>
      <c r="M82" s="98" t="str">
        <f t="shared" si="27"/>
        <v>2</v>
      </c>
      <c r="N82" s="455">
        <f t="shared" si="25"/>
        <v>4.8683059833152811</v>
      </c>
      <c r="O82" s="407"/>
      <c r="P82" s="424"/>
    </row>
    <row r="83" spans="1:16">
      <c r="A83" s="414">
        <f t="shared" si="22"/>
        <v>20173</v>
      </c>
      <c r="B83" s="1072">
        <v>42979</v>
      </c>
      <c r="C83" s="706">
        <v>8806567.7899999991</v>
      </c>
      <c r="D83" s="706">
        <v>454.47860649361616</v>
      </c>
      <c r="E83" s="705">
        <v>3831.2571748245896</v>
      </c>
      <c r="F83" s="706">
        <v>117208</v>
      </c>
      <c r="G83" s="706">
        <v>5.7809259435199998</v>
      </c>
      <c r="H83" s="705">
        <v>67.451136598380842</v>
      </c>
      <c r="I83" s="706">
        <v>2661295.5523457509</v>
      </c>
      <c r="J83" s="706">
        <v>101.1899449561122</v>
      </c>
      <c r="K83" s="705">
        <v>483.75451782498345</v>
      </c>
      <c r="L83" s="98">
        <f t="shared" si="26"/>
        <v>2017</v>
      </c>
      <c r="M83" s="98" t="str">
        <f t="shared" si="27"/>
        <v>3</v>
      </c>
      <c r="N83" s="390">
        <f t="shared" si="25"/>
        <v>4.7806579797508144</v>
      </c>
      <c r="O83" s="407"/>
      <c r="P83" s="424"/>
    </row>
    <row r="84" spans="1:16" ht="15.75" thickBot="1">
      <c r="A84" s="414">
        <f t="shared" si="22"/>
        <v>20174</v>
      </c>
      <c r="B84" s="1072">
        <v>43070</v>
      </c>
      <c r="C84" s="1140">
        <v>8909415.2861097343</v>
      </c>
      <c r="D84" s="1140">
        <v>459.78623459890213</v>
      </c>
      <c r="E84" s="1097">
        <v>4251.4638407863149</v>
      </c>
      <c r="F84" s="1140">
        <v>112884</v>
      </c>
      <c r="G84" s="1140">
        <v>5.5676578749600001</v>
      </c>
      <c r="H84" s="1097">
        <v>96.97610210958355</v>
      </c>
      <c r="I84" s="1140">
        <v>2465140.1621133876</v>
      </c>
      <c r="J84" s="1140">
        <v>93.731565099368353</v>
      </c>
      <c r="K84" s="1097">
        <v>387.84936971241734</v>
      </c>
      <c r="L84" s="98">
        <f t="shared" si="26"/>
        <v>2017</v>
      </c>
      <c r="M84" s="98" t="str">
        <f t="shared" si="27"/>
        <v>4</v>
      </c>
      <c r="N84" s="391">
        <f t="shared" si="25"/>
        <v>4.13787361068007</v>
      </c>
      <c r="O84" s="407"/>
      <c r="P84" s="424"/>
    </row>
    <row r="85" spans="1:16">
      <c r="A85" s="414">
        <f t="shared" si="22"/>
        <v>20181</v>
      </c>
      <c r="B85" s="1072">
        <v>43160</v>
      </c>
      <c r="C85" s="926">
        <v>9767031.0295400769</v>
      </c>
      <c r="D85" s="926">
        <v>504.04502159464823</v>
      </c>
      <c r="E85" s="821">
        <v>5172.8065945862963</v>
      </c>
      <c r="F85" s="926">
        <v>112860</v>
      </c>
      <c r="G85" s="926">
        <v>5.5664741483999993</v>
      </c>
      <c r="H85" s="821">
        <v>85.801210917674538</v>
      </c>
      <c r="I85" s="926">
        <v>2482222.5130890049</v>
      </c>
      <c r="J85" s="926">
        <v>94.381084147870908</v>
      </c>
      <c r="K85" s="821">
        <v>387.15008348610871</v>
      </c>
      <c r="L85" s="98">
        <f t="shared" si="26"/>
        <v>2018</v>
      </c>
      <c r="M85" s="98" t="str">
        <f t="shared" si="27"/>
        <v>1</v>
      </c>
      <c r="N85" s="417">
        <f t="shared" si="25"/>
        <v>4.1019880941348799</v>
      </c>
    </row>
    <row r="86" spans="1:16">
      <c r="A86" s="414">
        <f t="shared" si="22"/>
        <v>20182</v>
      </c>
      <c r="B86" s="1072">
        <v>43252</v>
      </c>
      <c r="C86" s="1140">
        <v>10410502.554944657</v>
      </c>
      <c r="D86" s="1140">
        <v>537.25251504246683</v>
      </c>
      <c r="E86" s="1097">
        <v>5665.314082587186</v>
      </c>
      <c r="F86" s="1140">
        <v>108290</v>
      </c>
      <c r="G86" s="1140">
        <v>5.3410728825999998</v>
      </c>
      <c r="H86" s="1097">
        <v>81.042960637905693</v>
      </c>
      <c r="I86" s="1140">
        <v>2566261.3118617437</v>
      </c>
      <c r="J86" s="1140">
        <v>97.576475736187973</v>
      </c>
      <c r="K86" s="1097">
        <v>401.1402092536693</v>
      </c>
      <c r="L86" s="98">
        <f t="shared" si="26"/>
        <v>2018</v>
      </c>
      <c r="M86" s="98" t="str">
        <f t="shared" si="27"/>
        <v>2</v>
      </c>
      <c r="N86" s="417">
        <f t="shared" si="25"/>
        <v>4.1110339989959206</v>
      </c>
    </row>
    <row r="87" spans="1:16">
      <c r="A87" s="414">
        <f t="shared" si="22"/>
        <v>20183</v>
      </c>
      <c r="B87" s="1072">
        <v>43344</v>
      </c>
      <c r="C87" s="926">
        <v>11262985.996961832</v>
      </c>
      <c r="D87" s="926">
        <v>581.24644048828998</v>
      </c>
      <c r="E87" s="821">
        <v>7376.9836139732379</v>
      </c>
      <c r="F87" s="926">
        <v>128248</v>
      </c>
      <c r="G87" s="926">
        <v>6.3254401611199995</v>
      </c>
      <c r="H87" s="821">
        <v>98.743038662887543</v>
      </c>
      <c r="I87" s="926">
        <v>2424206.4357756716</v>
      </c>
      <c r="J87" s="926">
        <v>92.17514964926508</v>
      </c>
      <c r="K87" s="821">
        <v>387.40119384398201</v>
      </c>
      <c r="L87" s="98">
        <f t="shared" si="26"/>
        <v>2018</v>
      </c>
      <c r="M87" s="98" t="str">
        <f t="shared" si="27"/>
        <v>3</v>
      </c>
      <c r="N87" s="417">
        <f t="shared" si="25"/>
        <v>4.2028810945040957</v>
      </c>
    </row>
    <row r="88" spans="1:16">
      <c r="A88" s="414">
        <f t="shared" si="22"/>
        <v>20184</v>
      </c>
      <c r="B88" s="1072">
        <v>43435</v>
      </c>
      <c r="C88" s="1140">
        <v>12281816.796818644</v>
      </c>
      <c r="D88" s="1140">
        <v>633.8250174337245</v>
      </c>
      <c r="E88" s="1097">
        <v>8763.0226678458093</v>
      </c>
      <c r="F88" s="1140">
        <v>113712</v>
      </c>
      <c r="G88" s="1140">
        <v>5.6084964412799998</v>
      </c>
      <c r="H88" s="1097">
        <v>83.237183999999999</v>
      </c>
      <c r="I88" s="1140">
        <v>2655912.8829536522</v>
      </c>
      <c r="J88" s="1140">
        <v>100.98528072067118</v>
      </c>
      <c r="K88" s="1097">
        <v>401.49152238402411</v>
      </c>
      <c r="L88" s="98">
        <f t="shared" si="26"/>
        <v>2018</v>
      </c>
      <c r="M88" s="98" t="str">
        <f t="shared" si="27"/>
        <v>4</v>
      </c>
      <c r="N88" s="417">
        <f t="shared" si="25"/>
        <v>3.9757429946109046</v>
      </c>
    </row>
    <row r="89" spans="1:16">
      <c r="A89" s="414">
        <f t="shared" si="22"/>
        <v>20191</v>
      </c>
      <c r="B89" s="1072">
        <v>43525</v>
      </c>
      <c r="C89" s="926">
        <v>9310719.5627872143</v>
      </c>
      <c r="D89" s="926">
        <v>480.49625611845596</v>
      </c>
      <c r="E89" s="821">
        <v>6700.4171929468284</v>
      </c>
      <c r="F89" s="926">
        <v>92520</v>
      </c>
      <c r="G89" s="926">
        <v>4.5632658888000002</v>
      </c>
      <c r="H89" s="821">
        <v>65.49929301295073</v>
      </c>
      <c r="I89" s="926">
        <v>2536649.2146596862</v>
      </c>
      <c r="J89" s="926">
        <v>96.450540481356896</v>
      </c>
      <c r="K89" s="821">
        <v>388.22835420089456</v>
      </c>
      <c r="L89" s="98">
        <f t="shared" si="26"/>
        <v>2019</v>
      </c>
      <c r="M89" s="98" t="str">
        <f t="shared" si="27"/>
        <v>1</v>
      </c>
      <c r="N89" s="417">
        <f t="shared" si="25"/>
        <v>4.0251547815425246</v>
      </c>
    </row>
    <row r="90" spans="1:16">
      <c r="A90" s="414">
        <f t="shared" si="22"/>
        <v>20192</v>
      </c>
      <c r="B90" s="1072">
        <v>43617</v>
      </c>
      <c r="C90" s="1140">
        <v>10779768.743424237</v>
      </c>
      <c r="D90" s="1140">
        <v>556.30915399277103</v>
      </c>
      <c r="E90" s="1097">
        <v>5959.6498332374813</v>
      </c>
      <c r="F90" s="1140">
        <v>112749</v>
      </c>
      <c r="G90" s="1140">
        <v>5.5609994130600002</v>
      </c>
      <c r="H90" s="1097">
        <v>80.156224617098388</v>
      </c>
      <c r="I90" s="1140">
        <v>2793257.7945797327</v>
      </c>
      <c r="J90" s="1140">
        <v>106.20752070645372</v>
      </c>
      <c r="K90" s="1097">
        <v>430.06911586375168</v>
      </c>
      <c r="L90" s="98">
        <f t="shared" si="26"/>
        <v>2019</v>
      </c>
      <c r="M90" s="98" t="str">
        <f t="shared" si="27"/>
        <v>2</v>
      </c>
      <c r="N90" s="417">
        <f t="shared" si="25"/>
        <v>4.0493282679332747</v>
      </c>
    </row>
    <row r="91" spans="1:16">
      <c r="A91" s="414">
        <f t="shared" si="22"/>
        <v>20193</v>
      </c>
      <c r="B91" s="1072">
        <v>43709</v>
      </c>
      <c r="C91" s="926">
        <v>11637848.442937989</v>
      </c>
      <c r="D91" s="926">
        <v>600.59188426804337</v>
      </c>
      <c r="E91" s="821">
        <v>6973.9885280791204</v>
      </c>
      <c r="F91" s="926">
        <v>103868</v>
      </c>
      <c r="G91" s="926">
        <v>5.1229712639200002</v>
      </c>
      <c r="H91" s="821">
        <v>54.842303999999999</v>
      </c>
      <c r="I91" s="926">
        <v>2856042.2623723485</v>
      </c>
      <c r="J91" s="926">
        <v>108.59476282784595</v>
      </c>
      <c r="K91" s="821">
        <v>452.30332300746949</v>
      </c>
      <c r="L91" s="98">
        <f t="shared" si="26"/>
        <v>2019</v>
      </c>
      <c r="M91" s="98" t="str">
        <f t="shared" si="27"/>
        <v>3</v>
      </c>
      <c r="N91" s="417">
        <f t="shared" si="25"/>
        <v>4.1650565020755268</v>
      </c>
    </row>
    <row r="92" spans="1:16">
      <c r="A92" s="414">
        <f t="shared" si="22"/>
        <v>20194</v>
      </c>
      <c r="B92" s="1072">
        <v>43800</v>
      </c>
      <c r="C92" s="1063">
        <v>12419277.697201625</v>
      </c>
      <c r="D92" s="1063">
        <v>640.91893187839082</v>
      </c>
      <c r="E92" s="1064">
        <v>7554.8185326036582</v>
      </c>
      <c r="F92" s="1063">
        <v>109112</v>
      </c>
      <c r="G92" s="1063">
        <v>5.3816155172799993</v>
      </c>
      <c r="H92" s="1064">
        <v>73.742336071813952</v>
      </c>
      <c r="I92" s="1063">
        <v>2740776.3804347822</v>
      </c>
      <c r="J92" s="1063">
        <v>104.21202967432632</v>
      </c>
      <c r="K92" s="1064">
        <v>426.93755564447611</v>
      </c>
      <c r="L92" s="98">
        <f t="shared" si="26"/>
        <v>2019</v>
      </c>
      <c r="M92" s="98" t="str">
        <f t="shared" si="27"/>
        <v>4</v>
      </c>
      <c r="N92" s="417">
        <f t="shared" si="25"/>
        <v>4.0968164326009333</v>
      </c>
    </row>
    <row r="93" spans="1:16">
      <c r="A93" s="414">
        <f t="shared" ref="A93:A94" si="28">L93*10+M93</f>
        <v>20201</v>
      </c>
      <c r="B93" s="1072">
        <v>43891</v>
      </c>
      <c r="C93" s="706">
        <v>10912353.37717271</v>
      </c>
      <c r="D93" s="706">
        <v>563.15142001800905</v>
      </c>
      <c r="E93" s="705">
        <v>7223.1572945981288</v>
      </c>
      <c r="F93" s="706">
        <v>104286</v>
      </c>
      <c r="G93" s="706">
        <v>5.1435878348399999</v>
      </c>
      <c r="H93" s="705">
        <v>46.553802258600001</v>
      </c>
      <c r="I93" s="706">
        <v>2625654.4502617801</v>
      </c>
      <c r="J93" s="706">
        <v>99.834769971930797</v>
      </c>
      <c r="K93" s="705">
        <v>416.85258327892876</v>
      </c>
      <c r="L93" s="98">
        <f t="shared" si="26"/>
        <v>2020</v>
      </c>
      <c r="M93" s="98" t="str">
        <f t="shared" si="27"/>
        <v>1</v>
      </c>
      <c r="N93" s="417">
        <f t="shared" si="25"/>
        <v>4.1754248885045726</v>
      </c>
    </row>
    <row r="94" spans="1:16">
      <c r="A94" s="414">
        <f t="shared" si="28"/>
        <v>20202</v>
      </c>
      <c r="B94" s="1072">
        <v>43983</v>
      </c>
      <c r="C94" s="1063">
        <v>12143565.325145038</v>
      </c>
      <c r="D94" s="1063">
        <v>626.69030415038844</v>
      </c>
      <c r="E94" s="1064">
        <v>5296.00015701967</v>
      </c>
      <c r="F94" s="1063">
        <v>114296</v>
      </c>
      <c r="G94" s="1063">
        <v>5.63730045424</v>
      </c>
      <c r="H94" s="1064">
        <v>42.115230029599999</v>
      </c>
      <c r="I94" s="1063">
        <v>2936478.9473684211</v>
      </c>
      <c r="J94" s="1063">
        <v>111.65319191514909</v>
      </c>
      <c r="K94" s="1064">
        <v>476.96126766254002</v>
      </c>
      <c r="L94" s="98">
        <f t="shared" si="26"/>
        <v>2020</v>
      </c>
      <c r="M94" s="98" t="str">
        <f t="shared" si="27"/>
        <v>2</v>
      </c>
      <c r="N94" s="417">
        <f t="shared" si="25"/>
        <v>4.2718104111614386</v>
      </c>
    </row>
    <row r="95" spans="1:16">
      <c r="A95" s="414">
        <f t="shared" si="22"/>
        <v>20203</v>
      </c>
      <c r="B95" s="1072">
        <v>44075</v>
      </c>
      <c r="C95" s="706">
        <v>9831044.8532996178</v>
      </c>
      <c r="D95" s="706">
        <v>507.34856891436567</v>
      </c>
      <c r="E95" s="705">
        <v>2880.7437526371191</v>
      </c>
      <c r="F95" s="706">
        <v>87860</v>
      </c>
      <c r="G95" s="706">
        <v>4.3334256483999996</v>
      </c>
      <c r="H95" s="705">
        <v>45.151593999999996</v>
      </c>
      <c r="I95" s="706">
        <v>2681578.9473684211</v>
      </c>
      <c r="J95" s="706">
        <v>101.96117670602362</v>
      </c>
      <c r="K95" s="705">
        <v>365.64504867123094</v>
      </c>
      <c r="L95" s="98">
        <f t="shared" si="26"/>
        <v>2020</v>
      </c>
      <c r="M95" s="98" t="str">
        <f t="shared" si="27"/>
        <v>3</v>
      </c>
      <c r="N95" s="417">
        <f t="shared" si="25"/>
        <v>3.5861203301474798</v>
      </c>
    </row>
    <row r="96" spans="1:16">
      <c r="A96" s="414">
        <f t="shared" si="22"/>
        <v>20204</v>
      </c>
      <c r="B96" s="1072">
        <v>44166</v>
      </c>
      <c r="C96" s="1063">
        <v>11380428</v>
      </c>
      <c r="D96" s="1063">
        <v>587.30724410183996</v>
      </c>
      <c r="E96" s="1064">
        <v>3913.6618017095298</v>
      </c>
      <c r="F96" s="1063">
        <v>96140</v>
      </c>
      <c r="G96" s="1063">
        <v>4.7418113115999994</v>
      </c>
      <c r="H96" s="1064">
        <v>55.661887379999996</v>
      </c>
      <c r="I96" s="1063">
        <v>2594736.8421052629</v>
      </c>
      <c r="J96" s="1063">
        <v>98.65919551731038</v>
      </c>
      <c r="K96" s="1064">
        <v>387.69575477682616</v>
      </c>
      <c r="L96" s="98">
        <f t="shared" si="26"/>
        <v>2020</v>
      </c>
      <c r="M96" s="98" t="str">
        <f t="shared" si="27"/>
        <v>4</v>
      </c>
      <c r="N96" s="417">
        <f t="shared" si="25"/>
        <v>3.9296464231638955</v>
      </c>
    </row>
    <row r="97" spans="1:14">
      <c r="A97" s="414">
        <f t="shared" si="22"/>
        <v>20211</v>
      </c>
      <c r="B97" s="1072">
        <v>44256</v>
      </c>
      <c r="C97" s="706">
        <v>10885217.296188684</v>
      </c>
      <c r="D97" s="706">
        <v>561.75101425660432</v>
      </c>
      <c r="E97" s="705">
        <v>4733.9670430015012</v>
      </c>
      <c r="F97" s="706">
        <v>98190</v>
      </c>
      <c r="G97" s="706">
        <v>4.8429212885999995</v>
      </c>
      <c r="H97" s="705">
        <v>61.055960315304688</v>
      </c>
      <c r="I97" s="706">
        <v>2410112.5654450264</v>
      </c>
      <c r="J97" s="706">
        <v>91.639261043537118</v>
      </c>
      <c r="K97" s="705">
        <v>350.87999036078304</v>
      </c>
      <c r="L97" s="98">
        <f t="shared" si="26"/>
        <v>2021</v>
      </c>
      <c r="M97" s="98" t="str">
        <f t="shared" si="27"/>
        <v>1</v>
      </c>
      <c r="N97" s="417">
        <f t="shared" si="25"/>
        <v>3.8289264488294226</v>
      </c>
    </row>
    <row r="98" spans="1:14" ht="15.75" thickBot="1">
      <c r="A98" s="414">
        <f t="shared" si="22"/>
        <v>20212</v>
      </c>
      <c r="B98" s="1073">
        <v>44348</v>
      </c>
      <c r="C98" s="1076">
        <v>10295996.512200473</v>
      </c>
      <c r="D98" s="1076">
        <v>531.34322688589714</v>
      </c>
      <c r="E98" s="1077">
        <v>4252.1224724116246</v>
      </c>
      <c r="F98" s="1076">
        <v>97461</v>
      </c>
      <c r="G98" s="1076">
        <v>4.8069655943399994</v>
      </c>
      <c r="H98" s="1077">
        <v>65.634623145000006</v>
      </c>
      <c r="I98" s="1076">
        <v>2492146.5968586388</v>
      </c>
      <c r="J98" s="1076">
        <v>94.75842573606991</v>
      </c>
      <c r="K98" s="1077">
        <v>367.14077084572898</v>
      </c>
      <c r="L98" s="98">
        <f t="shared" si="26"/>
        <v>2021</v>
      </c>
      <c r="M98" s="98" t="str">
        <f t="shared" si="27"/>
        <v>2</v>
      </c>
      <c r="N98" s="417">
        <f t="shared" si="25"/>
        <v>3.8744920886330894</v>
      </c>
    </row>
    <row r="99" spans="1:14">
      <c r="A99" s="414">
        <f t="shared" si="22"/>
        <v>19004</v>
      </c>
      <c r="B99" s="8"/>
      <c r="C99" s="332"/>
      <c r="D99" s="333"/>
      <c r="E99" s="168"/>
      <c r="H99" s="17"/>
      <c r="I99" s="17"/>
      <c r="K99" s="17"/>
      <c r="L99" s="98">
        <f t="shared" si="26"/>
        <v>1900</v>
      </c>
      <c r="M99" s="98" t="str">
        <f t="shared" si="27"/>
        <v>4</v>
      </c>
      <c r="N99" s="417" t="e">
        <f t="shared" si="25"/>
        <v>#DIV/0!</v>
      </c>
    </row>
    <row r="100" spans="1:14">
      <c r="A100" s="414">
        <f t="shared" si="22"/>
        <v>19004</v>
      </c>
      <c r="B100" s="8"/>
      <c r="C100" s="332"/>
      <c r="D100" s="333"/>
      <c r="E100" s="168"/>
      <c r="H100" s="17"/>
      <c r="I100" s="17"/>
      <c r="K100" s="17"/>
      <c r="L100" s="98">
        <f t="shared" si="26"/>
        <v>1900</v>
      </c>
      <c r="M100" s="98" t="str">
        <f t="shared" si="27"/>
        <v>4</v>
      </c>
      <c r="N100" s="417" t="e">
        <f t="shared" si="25"/>
        <v>#DIV/0!</v>
      </c>
    </row>
    <row r="101" spans="1:14">
      <c r="A101" s="414">
        <f t="shared" si="22"/>
        <v>19004</v>
      </c>
      <c r="B101" s="8"/>
      <c r="C101" s="332"/>
      <c r="D101" s="333"/>
      <c r="E101" s="168"/>
      <c r="H101" s="17"/>
      <c r="I101" s="17"/>
      <c r="J101" s="17"/>
      <c r="K101" s="17"/>
      <c r="L101" s="98">
        <f t="shared" si="23"/>
        <v>1900</v>
      </c>
      <c r="M101" s="98" t="str">
        <f t="shared" si="24"/>
        <v>4</v>
      </c>
      <c r="N101" s="417" t="e">
        <f t="shared" si="25"/>
        <v>#DIV/0!</v>
      </c>
    </row>
    <row r="102" spans="1:14">
      <c r="A102" s="414">
        <f t="shared" si="22"/>
        <v>19004</v>
      </c>
      <c r="B102" s="8"/>
      <c r="C102" s="332"/>
      <c r="D102" s="333"/>
      <c r="E102" s="168"/>
      <c r="H102" s="17"/>
      <c r="I102" s="17"/>
      <c r="J102" s="17"/>
      <c r="K102" s="17"/>
      <c r="L102" s="98">
        <f t="shared" si="23"/>
        <v>1900</v>
      </c>
      <c r="M102" s="98" t="str">
        <f t="shared" si="24"/>
        <v>4</v>
      </c>
      <c r="N102" s="417" t="e">
        <f t="shared" si="25"/>
        <v>#DIV/0!</v>
      </c>
    </row>
    <row r="103" spans="1:14">
      <c r="A103" s="414">
        <f t="shared" si="22"/>
        <v>19004</v>
      </c>
      <c r="B103" s="8"/>
      <c r="C103" s="332"/>
      <c r="D103" s="333"/>
      <c r="E103" s="168"/>
      <c r="H103" s="17"/>
      <c r="I103" s="17"/>
      <c r="J103" s="17"/>
      <c r="K103" s="17"/>
      <c r="L103" s="98">
        <f t="shared" si="23"/>
        <v>1900</v>
      </c>
      <c r="M103" s="98" t="str">
        <f t="shared" si="24"/>
        <v>4</v>
      </c>
      <c r="N103" s="417" t="e">
        <f t="shared" si="25"/>
        <v>#DIV/0!</v>
      </c>
    </row>
    <row r="104" spans="1:14">
      <c r="A104" s="414">
        <f t="shared" si="22"/>
        <v>19004</v>
      </c>
      <c r="B104" s="8"/>
      <c r="C104" s="332"/>
      <c r="D104" s="333"/>
      <c r="E104" s="168"/>
      <c r="H104" s="17"/>
      <c r="I104" s="17"/>
      <c r="J104" s="17"/>
      <c r="K104" s="17"/>
      <c r="L104" s="98">
        <f t="shared" si="23"/>
        <v>1900</v>
      </c>
      <c r="M104" s="98" t="str">
        <f t="shared" si="24"/>
        <v>4</v>
      </c>
      <c r="N104" s="417" t="e">
        <f t="shared" si="25"/>
        <v>#DIV/0!</v>
      </c>
    </row>
    <row r="105" spans="1:14">
      <c r="A105" s="414">
        <f t="shared" si="22"/>
        <v>19004</v>
      </c>
      <c r="B105" s="8"/>
      <c r="C105" s="332"/>
      <c r="D105" s="333"/>
      <c r="E105" s="168"/>
      <c r="H105" s="17"/>
      <c r="I105" s="17"/>
      <c r="J105" s="17"/>
      <c r="K105" s="17"/>
      <c r="L105" s="98">
        <f t="shared" si="23"/>
        <v>1900</v>
      </c>
      <c r="M105" s="98" t="str">
        <f t="shared" si="24"/>
        <v>4</v>
      </c>
      <c r="N105" s="417" t="e">
        <f t="shared" si="25"/>
        <v>#DIV/0!</v>
      </c>
    </row>
    <row r="106" spans="1:14">
      <c r="A106" s="414">
        <f t="shared" si="22"/>
        <v>19004</v>
      </c>
      <c r="B106" s="8"/>
      <c r="C106" s="332"/>
      <c r="D106" s="333"/>
      <c r="E106" s="168"/>
      <c r="H106" s="17"/>
      <c r="I106" s="17"/>
      <c r="J106" s="17"/>
      <c r="K106" s="17"/>
      <c r="L106" s="98">
        <f t="shared" si="23"/>
        <v>1900</v>
      </c>
      <c r="M106" s="98" t="str">
        <f t="shared" si="24"/>
        <v>4</v>
      </c>
      <c r="N106" s="417" t="e">
        <f t="shared" si="25"/>
        <v>#DIV/0!</v>
      </c>
    </row>
    <row r="107" spans="1:14">
      <c r="A107" s="414">
        <f t="shared" si="22"/>
        <v>19004</v>
      </c>
      <c r="B107" s="8"/>
      <c r="C107" s="332"/>
      <c r="D107" s="333"/>
      <c r="E107" s="168"/>
      <c r="H107" s="17"/>
      <c r="I107" s="17"/>
      <c r="J107" s="17"/>
      <c r="K107" s="17"/>
      <c r="L107" s="98">
        <f t="shared" si="23"/>
        <v>1900</v>
      </c>
      <c r="M107" s="98" t="str">
        <f t="shared" si="24"/>
        <v>4</v>
      </c>
      <c r="N107" s="417" t="e">
        <f t="shared" si="25"/>
        <v>#DIV/0!</v>
      </c>
    </row>
    <row r="108" spans="1:14">
      <c r="A108" s="414">
        <f t="shared" si="22"/>
        <v>19004</v>
      </c>
      <c r="B108" s="8"/>
      <c r="C108" s="332"/>
      <c r="D108" s="333"/>
      <c r="E108" s="168"/>
      <c r="H108" s="17"/>
      <c r="I108" s="17"/>
      <c r="J108" s="17"/>
      <c r="K108" s="17"/>
      <c r="L108" s="98">
        <f t="shared" si="23"/>
        <v>1900</v>
      </c>
      <c r="M108" s="98" t="str">
        <f t="shared" si="24"/>
        <v>4</v>
      </c>
      <c r="N108" s="417" t="e">
        <f t="shared" si="25"/>
        <v>#DIV/0!</v>
      </c>
    </row>
    <row r="109" spans="1:14">
      <c r="A109" s="414">
        <f t="shared" si="22"/>
        <v>19004</v>
      </c>
      <c r="B109" s="8"/>
      <c r="C109" s="332"/>
      <c r="D109" s="333"/>
      <c r="E109" s="168"/>
      <c r="H109" s="17"/>
      <c r="I109" s="17"/>
      <c r="J109" s="17"/>
      <c r="K109" s="17"/>
      <c r="L109" s="98">
        <f t="shared" si="23"/>
        <v>1900</v>
      </c>
      <c r="M109" s="98" t="str">
        <f t="shared" si="24"/>
        <v>4</v>
      </c>
      <c r="N109" s="417" t="e">
        <f t="shared" si="25"/>
        <v>#DIV/0!</v>
      </c>
    </row>
    <row r="110" spans="1:14">
      <c r="A110" s="414">
        <f t="shared" si="22"/>
        <v>19004</v>
      </c>
      <c r="B110" s="8"/>
      <c r="C110" s="332"/>
      <c r="D110" s="333"/>
      <c r="E110" s="168"/>
      <c r="H110" s="17"/>
      <c r="I110" s="17"/>
      <c r="J110" s="17"/>
      <c r="K110" s="17"/>
      <c r="L110" s="98">
        <f t="shared" si="23"/>
        <v>1900</v>
      </c>
      <c r="M110" s="98" t="str">
        <f t="shared" si="24"/>
        <v>4</v>
      </c>
      <c r="N110" s="417" t="e">
        <f t="shared" si="25"/>
        <v>#DIV/0!</v>
      </c>
    </row>
    <row r="111" spans="1:14">
      <c r="A111" s="414">
        <f t="shared" si="22"/>
        <v>19004</v>
      </c>
      <c r="B111" s="8"/>
      <c r="C111" s="332"/>
      <c r="D111" s="333"/>
      <c r="E111" s="168"/>
      <c r="H111" s="17"/>
      <c r="I111" s="17"/>
      <c r="J111" s="17"/>
      <c r="K111" s="17"/>
      <c r="L111" s="98">
        <f t="shared" si="23"/>
        <v>1900</v>
      </c>
      <c r="M111" s="98" t="str">
        <f t="shared" si="24"/>
        <v>4</v>
      </c>
      <c r="N111" s="417" t="e">
        <f t="shared" si="25"/>
        <v>#DIV/0!</v>
      </c>
    </row>
    <row r="112" spans="1:14">
      <c r="A112" s="414">
        <f t="shared" si="22"/>
        <v>19004</v>
      </c>
      <c r="B112" s="8"/>
      <c r="C112" s="332"/>
      <c r="D112" s="333"/>
      <c r="E112" s="168"/>
      <c r="H112" s="17"/>
      <c r="I112" s="17"/>
      <c r="J112" s="17"/>
      <c r="K112" s="17"/>
      <c r="L112" s="98">
        <f t="shared" si="23"/>
        <v>1900</v>
      </c>
      <c r="M112" s="98" t="str">
        <f t="shared" si="24"/>
        <v>4</v>
      </c>
      <c r="N112" s="417" t="e">
        <f t="shared" si="25"/>
        <v>#DIV/0!</v>
      </c>
    </row>
    <row r="113" spans="1:14">
      <c r="A113" s="414">
        <f t="shared" si="22"/>
        <v>19004</v>
      </c>
      <c r="B113" s="8"/>
      <c r="C113" s="332"/>
      <c r="D113" s="333"/>
      <c r="E113" s="168"/>
      <c r="H113" s="17"/>
      <c r="I113" s="17"/>
      <c r="J113" s="17"/>
      <c r="K113" s="17"/>
      <c r="L113" s="98">
        <f t="shared" si="23"/>
        <v>1900</v>
      </c>
      <c r="M113" s="98" t="str">
        <f t="shared" si="24"/>
        <v>4</v>
      </c>
      <c r="N113" s="417" t="e">
        <f t="shared" si="25"/>
        <v>#DIV/0!</v>
      </c>
    </row>
    <row r="114" spans="1:14">
      <c r="A114" s="414">
        <f t="shared" si="22"/>
        <v>19004</v>
      </c>
      <c r="B114" s="8"/>
      <c r="C114" s="332"/>
      <c r="D114" s="333"/>
      <c r="E114" s="168"/>
      <c r="H114" s="17"/>
      <c r="I114" s="17"/>
      <c r="J114" s="17"/>
      <c r="K114" s="17"/>
      <c r="L114" s="98">
        <f t="shared" si="23"/>
        <v>1900</v>
      </c>
      <c r="M114" s="98" t="str">
        <f t="shared" si="24"/>
        <v>4</v>
      </c>
      <c r="N114" s="417" t="e">
        <f t="shared" si="25"/>
        <v>#DIV/0!</v>
      </c>
    </row>
    <row r="115" spans="1:14">
      <c r="A115" s="414">
        <f t="shared" si="22"/>
        <v>19004</v>
      </c>
      <c r="B115" s="8"/>
      <c r="C115" s="332"/>
      <c r="D115" s="333"/>
      <c r="E115" s="168"/>
      <c r="H115" s="17"/>
      <c r="I115" s="17"/>
      <c r="J115" s="17"/>
      <c r="K115" s="17"/>
      <c r="L115" s="98">
        <f t="shared" si="23"/>
        <v>1900</v>
      </c>
      <c r="M115" s="98" t="str">
        <f t="shared" si="24"/>
        <v>4</v>
      </c>
      <c r="N115" s="417" t="e">
        <f t="shared" si="25"/>
        <v>#DIV/0!</v>
      </c>
    </row>
    <row r="116" spans="1:14">
      <c r="A116" s="414">
        <f t="shared" si="22"/>
        <v>19004</v>
      </c>
      <c r="B116" s="8"/>
      <c r="C116" s="332"/>
      <c r="D116" s="333"/>
      <c r="E116" s="168"/>
      <c r="H116" s="17"/>
      <c r="I116" s="17"/>
      <c r="J116" s="17"/>
      <c r="K116" s="17"/>
      <c r="L116" s="98">
        <f t="shared" si="23"/>
        <v>1900</v>
      </c>
      <c r="M116" s="98" t="str">
        <f t="shared" si="24"/>
        <v>4</v>
      </c>
      <c r="N116" s="417" t="e">
        <f t="shared" si="25"/>
        <v>#DIV/0!</v>
      </c>
    </row>
    <row r="117" spans="1:14">
      <c r="A117" s="414">
        <f t="shared" si="22"/>
        <v>19004</v>
      </c>
      <c r="B117" s="8"/>
      <c r="C117" s="332"/>
      <c r="D117" s="333"/>
      <c r="E117" s="168"/>
      <c r="H117" s="17"/>
      <c r="I117" s="17"/>
      <c r="J117" s="17"/>
      <c r="K117" s="17"/>
      <c r="L117" s="98">
        <f t="shared" si="23"/>
        <v>1900</v>
      </c>
      <c r="M117" s="98" t="str">
        <f t="shared" si="24"/>
        <v>4</v>
      </c>
      <c r="N117" s="417" t="e">
        <f t="shared" si="25"/>
        <v>#DIV/0!</v>
      </c>
    </row>
    <row r="118" spans="1:14">
      <c r="A118" s="414">
        <f t="shared" si="22"/>
        <v>19004</v>
      </c>
      <c r="B118" s="8"/>
      <c r="C118" s="332"/>
      <c r="D118" s="333"/>
      <c r="E118" s="168"/>
      <c r="H118" s="17"/>
      <c r="I118" s="17"/>
      <c r="J118" s="17"/>
      <c r="K118" s="17"/>
      <c r="L118" s="98">
        <f t="shared" si="23"/>
        <v>1900</v>
      </c>
      <c r="M118" s="98" t="str">
        <f t="shared" si="24"/>
        <v>4</v>
      </c>
      <c r="N118" s="417" t="e">
        <f t="shared" si="25"/>
        <v>#DIV/0!</v>
      </c>
    </row>
    <row r="119" spans="1:14">
      <c r="A119" s="414">
        <f t="shared" si="22"/>
        <v>19004</v>
      </c>
      <c r="B119" s="8"/>
      <c r="C119" s="332"/>
      <c r="D119" s="333"/>
      <c r="E119" s="168"/>
      <c r="H119" s="17"/>
      <c r="I119" s="17"/>
      <c r="J119" s="17"/>
      <c r="K119" s="17"/>
      <c r="L119" s="98">
        <f t="shared" si="23"/>
        <v>1900</v>
      </c>
      <c r="M119" s="98" t="str">
        <f t="shared" si="24"/>
        <v>4</v>
      </c>
      <c r="N119" s="417" t="e">
        <f t="shared" si="25"/>
        <v>#DIV/0!</v>
      </c>
    </row>
    <row r="120" spans="1:14">
      <c r="A120" s="414">
        <f t="shared" si="22"/>
        <v>19004</v>
      </c>
      <c r="B120" s="8"/>
      <c r="C120" s="332"/>
      <c r="D120" s="333"/>
      <c r="E120" s="168"/>
      <c r="H120" s="17"/>
      <c r="I120" s="17"/>
      <c r="J120" s="17"/>
      <c r="K120" s="17"/>
      <c r="L120" s="98">
        <f t="shared" si="23"/>
        <v>1900</v>
      </c>
      <c r="M120" s="98" t="str">
        <f t="shared" si="24"/>
        <v>4</v>
      </c>
      <c r="N120" s="417" t="e">
        <f t="shared" si="25"/>
        <v>#DIV/0!</v>
      </c>
    </row>
    <row r="121" spans="1:14">
      <c r="A121" s="414">
        <f t="shared" si="22"/>
        <v>19004</v>
      </c>
      <c r="B121" s="8"/>
      <c r="C121" s="332"/>
      <c r="D121" s="333"/>
      <c r="E121" s="168"/>
      <c r="H121" s="17"/>
      <c r="I121" s="17"/>
      <c r="J121" s="17"/>
      <c r="K121" s="17"/>
      <c r="L121" s="98">
        <f t="shared" si="23"/>
        <v>1900</v>
      </c>
      <c r="M121" s="98" t="str">
        <f t="shared" si="24"/>
        <v>4</v>
      </c>
      <c r="N121" s="417" t="e">
        <f t="shared" si="25"/>
        <v>#DIV/0!</v>
      </c>
    </row>
    <row r="122" spans="1:14">
      <c r="A122" s="414">
        <f t="shared" si="22"/>
        <v>19004</v>
      </c>
      <c r="B122" s="8"/>
      <c r="C122" s="332"/>
      <c r="D122" s="333"/>
      <c r="E122" s="168"/>
      <c r="H122" s="17"/>
      <c r="I122" s="17"/>
      <c r="J122" s="17"/>
      <c r="K122" s="17"/>
      <c r="L122" s="98">
        <f t="shared" si="23"/>
        <v>1900</v>
      </c>
      <c r="M122" s="98" t="str">
        <f t="shared" si="24"/>
        <v>4</v>
      </c>
      <c r="N122" s="417" t="e">
        <f t="shared" si="25"/>
        <v>#DIV/0!</v>
      </c>
    </row>
    <row r="123" spans="1:14">
      <c r="A123" s="414">
        <f t="shared" si="22"/>
        <v>19004</v>
      </c>
      <c r="B123" s="8"/>
      <c r="C123" s="332"/>
      <c r="D123" s="333"/>
      <c r="E123" s="168"/>
      <c r="H123" s="17"/>
      <c r="I123" s="17"/>
      <c r="J123" s="17"/>
      <c r="K123" s="17"/>
      <c r="L123" s="98">
        <f t="shared" si="23"/>
        <v>1900</v>
      </c>
      <c r="M123" s="98" t="str">
        <f t="shared" si="24"/>
        <v>4</v>
      </c>
      <c r="N123" s="417" t="e">
        <f t="shared" si="25"/>
        <v>#DIV/0!</v>
      </c>
    </row>
    <row r="124" spans="1:14">
      <c r="A124" s="414">
        <f t="shared" si="22"/>
        <v>19004</v>
      </c>
      <c r="B124" s="8"/>
      <c r="C124" s="332"/>
      <c r="D124" s="333"/>
      <c r="E124" s="168"/>
      <c r="H124" s="17"/>
      <c r="I124" s="17"/>
      <c r="J124" s="17"/>
      <c r="K124" s="17"/>
      <c r="L124" s="98">
        <f t="shared" si="23"/>
        <v>1900</v>
      </c>
      <c r="M124" s="98" t="str">
        <f t="shared" si="24"/>
        <v>4</v>
      </c>
      <c r="N124" s="417" t="e">
        <f t="shared" si="25"/>
        <v>#DIV/0!</v>
      </c>
    </row>
    <row r="125" spans="1:14">
      <c r="A125" s="414">
        <f t="shared" si="22"/>
        <v>19004</v>
      </c>
      <c r="B125" s="8"/>
      <c r="C125" s="332"/>
      <c r="D125" s="333"/>
      <c r="E125" s="168"/>
      <c r="H125" s="17"/>
      <c r="I125" s="17"/>
      <c r="J125" s="17"/>
      <c r="K125" s="17"/>
      <c r="L125" s="98">
        <f t="shared" si="23"/>
        <v>1900</v>
      </c>
      <c r="M125" s="98" t="str">
        <f t="shared" si="24"/>
        <v>4</v>
      </c>
      <c r="N125" s="417" t="e">
        <f t="shared" si="25"/>
        <v>#DIV/0!</v>
      </c>
    </row>
    <row r="126" spans="1:14">
      <c r="A126" s="414">
        <f t="shared" si="22"/>
        <v>19004</v>
      </c>
      <c r="B126" s="8"/>
      <c r="C126" s="332"/>
      <c r="D126" s="333"/>
      <c r="E126" s="168"/>
      <c r="H126" s="17"/>
      <c r="I126" s="17"/>
      <c r="J126" s="17"/>
      <c r="K126" s="17"/>
      <c r="L126" s="98">
        <f t="shared" si="23"/>
        <v>1900</v>
      </c>
      <c r="M126" s="98" t="str">
        <f t="shared" si="24"/>
        <v>4</v>
      </c>
      <c r="N126" s="417" t="e">
        <f t="shared" si="25"/>
        <v>#DIV/0!</v>
      </c>
    </row>
    <row r="127" spans="1:14">
      <c r="A127" s="414">
        <f t="shared" si="22"/>
        <v>19004</v>
      </c>
      <c r="B127" s="8"/>
      <c r="C127" s="332"/>
      <c r="D127" s="333"/>
      <c r="E127" s="168"/>
      <c r="H127" s="17"/>
      <c r="I127" s="17"/>
      <c r="J127" s="17"/>
      <c r="K127" s="17"/>
      <c r="L127" s="98">
        <f t="shared" si="23"/>
        <v>1900</v>
      </c>
      <c r="M127" s="98" t="str">
        <f t="shared" si="24"/>
        <v>4</v>
      </c>
      <c r="N127" s="417" t="e">
        <f t="shared" si="25"/>
        <v>#DIV/0!</v>
      </c>
    </row>
    <row r="128" spans="1:14">
      <c r="A128" s="414">
        <f t="shared" si="22"/>
        <v>19004</v>
      </c>
      <c r="B128" s="8"/>
      <c r="C128" s="332"/>
      <c r="D128" s="333"/>
      <c r="E128" s="168"/>
      <c r="H128" s="17"/>
      <c r="I128" s="17"/>
      <c r="J128" s="17"/>
      <c r="K128" s="17"/>
      <c r="L128" s="98">
        <f t="shared" si="23"/>
        <v>1900</v>
      </c>
      <c r="M128" s="98" t="str">
        <f t="shared" si="24"/>
        <v>4</v>
      </c>
      <c r="N128" s="417" t="e">
        <f t="shared" si="25"/>
        <v>#DIV/0!</v>
      </c>
    </row>
    <row r="129" spans="1:14">
      <c r="A129" s="414">
        <f t="shared" si="22"/>
        <v>19004</v>
      </c>
      <c r="B129" s="8"/>
      <c r="C129" s="332"/>
      <c r="D129" s="333"/>
      <c r="E129" s="168"/>
      <c r="H129" s="17"/>
      <c r="I129" s="17"/>
      <c r="J129" s="17"/>
      <c r="K129" s="17"/>
      <c r="L129" s="98">
        <f t="shared" si="23"/>
        <v>1900</v>
      </c>
      <c r="M129" s="98" t="str">
        <f t="shared" si="24"/>
        <v>4</v>
      </c>
      <c r="N129" s="417" t="e">
        <f t="shared" si="25"/>
        <v>#DIV/0!</v>
      </c>
    </row>
    <row r="130" spans="1:14">
      <c r="A130" s="414">
        <f t="shared" si="22"/>
        <v>19004</v>
      </c>
      <c r="B130" s="8"/>
      <c r="C130" s="332"/>
      <c r="D130" s="333"/>
      <c r="E130" s="168"/>
      <c r="H130" s="17"/>
      <c r="I130" s="17"/>
      <c r="J130" s="17"/>
      <c r="K130" s="17"/>
      <c r="L130" s="98">
        <f t="shared" si="23"/>
        <v>1900</v>
      </c>
      <c r="M130" s="98" t="str">
        <f t="shared" si="24"/>
        <v>4</v>
      </c>
      <c r="N130" s="417" t="e">
        <f t="shared" si="25"/>
        <v>#DIV/0!</v>
      </c>
    </row>
    <row r="131" spans="1:14">
      <c r="A131" s="414">
        <f t="shared" si="22"/>
        <v>19004</v>
      </c>
      <c r="B131" s="8"/>
      <c r="C131" s="332"/>
      <c r="D131" s="333"/>
      <c r="E131" s="168"/>
      <c r="H131" s="17"/>
      <c r="I131" s="17"/>
      <c r="J131" s="17"/>
      <c r="K131" s="17"/>
      <c r="L131" s="98">
        <f t="shared" si="23"/>
        <v>1900</v>
      </c>
      <c r="M131" s="98" t="str">
        <f t="shared" si="24"/>
        <v>4</v>
      </c>
      <c r="N131" s="417" t="e">
        <f t="shared" si="25"/>
        <v>#DIV/0!</v>
      </c>
    </row>
    <row r="132" spans="1:14">
      <c r="A132" s="414">
        <f t="shared" si="22"/>
        <v>19004</v>
      </c>
      <c r="B132" s="8"/>
      <c r="C132" s="332"/>
      <c r="D132" s="333"/>
      <c r="E132" s="168"/>
      <c r="H132" s="17"/>
      <c r="I132" s="17"/>
      <c r="J132" s="17"/>
      <c r="K132" s="17"/>
      <c r="L132" s="98">
        <f t="shared" si="23"/>
        <v>1900</v>
      </c>
      <c r="M132" s="98" t="str">
        <f t="shared" si="24"/>
        <v>4</v>
      </c>
      <c r="N132" s="417" t="e">
        <f t="shared" si="25"/>
        <v>#DIV/0!</v>
      </c>
    </row>
    <row r="133" spans="1:14">
      <c r="A133" s="414">
        <f t="shared" si="22"/>
        <v>19004</v>
      </c>
      <c r="B133" s="8"/>
      <c r="C133" s="332"/>
      <c r="D133" s="333"/>
      <c r="E133" s="168"/>
      <c r="H133" s="17"/>
      <c r="I133" s="17"/>
      <c r="J133" s="17"/>
      <c r="K133" s="17"/>
      <c r="L133" s="98">
        <f t="shared" si="23"/>
        <v>1900</v>
      </c>
      <c r="M133" s="98" t="str">
        <f t="shared" si="24"/>
        <v>4</v>
      </c>
      <c r="N133" s="417" t="e">
        <f t="shared" si="25"/>
        <v>#DIV/0!</v>
      </c>
    </row>
    <row r="134" spans="1:14">
      <c r="A134" s="414">
        <f t="shared" si="22"/>
        <v>19004</v>
      </c>
      <c r="B134" s="8"/>
      <c r="C134" s="332"/>
      <c r="D134" s="333"/>
      <c r="E134" s="168"/>
      <c r="H134" s="17"/>
      <c r="I134" s="17"/>
      <c r="J134" s="17"/>
      <c r="K134" s="17"/>
      <c r="L134" s="98">
        <f t="shared" si="23"/>
        <v>1900</v>
      </c>
      <c r="M134" s="98" t="str">
        <f t="shared" si="24"/>
        <v>4</v>
      </c>
      <c r="N134" s="417" t="e">
        <f t="shared" si="25"/>
        <v>#DIV/0!</v>
      </c>
    </row>
    <row r="135" spans="1:14">
      <c r="A135" s="414">
        <f t="shared" si="22"/>
        <v>19004</v>
      </c>
      <c r="B135" s="8"/>
      <c r="C135" s="332"/>
      <c r="D135" s="333"/>
      <c r="E135" s="168"/>
      <c r="H135" s="17"/>
      <c r="I135" s="17"/>
      <c r="J135" s="17"/>
      <c r="K135" s="17"/>
      <c r="L135" s="98">
        <f t="shared" si="23"/>
        <v>1900</v>
      </c>
      <c r="M135" s="98" t="str">
        <f t="shared" si="24"/>
        <v>4</v>
      </c>
      <c r="N135" s="417" t="e">
        <f t="shared" si="25"/>
        <v>#DIV/0!</v>
      </c>
    </row>
    <row r="136" spans="1:14">
      <c r="A136" s="414">
        <f t="shared" si="22"/>
        <v>19004</v>
      </c>
      <c r="B136" s="8"/>
      <c r="C136" s="332"/>
      <c r="D136" s="333"/>
      <c r="E136" s="168"/>
      <c r="H136" s="17"/>
      <c r="I136" s="17"/>
      <c r="J136" s="17"/>
      <c r="K136" s="17"/>
      <c r="L136" s="98">
        <f t="shared" si="23"/>
        <v>1900</v>
      </c>
      <c r="M136" s="98" t="str">
        <f t="shared" si="24"/>
        <v>4</v>
      </c>
      <c r="N136" s="417" t="e">
        <f t="shared" si="25"/>
        <v>#DIV/0!</v>
      </c>
    </row>
    <row r="137" spans="1:14">
      <c r="A137" s="414">
        <f t="shared" si="22"/>
        <v>19004</v>
      </c>
      <c r="B137" s="8"/>
      <c r="C137" s="332"/>
      <c r="D137" s="333"/>
      <c r="E137" s="168"/>
      <c r="H137" s="17"/>
      <c r="I137" s="17"/>
      <c r="J137" s="17"/>
      <c r="K137" s="17"/>
      <c r="L137" s="98">
        <f t="shared" si="23"/>
        <v>1900</v>
      </c>
      <c r="M137" s="98" t="str">
        <f t="shared" si="24"/>
        <v>4</v>
      </c>
      <c r="N137" s="417" t="e">
        <f t="shared" si="25"/>
        <v>#DIV/0!</v>
      </c>
    </row>
    <row r="138" spans="1:14">
      <c r="A138" s="414">
        <f t="shared" ref="A138:A201" si="29">L138*10+M138</f>
        <v>19004</v>
      </c>
      <c r="B138" s="8"/>
      <c r="C138" s="332"/>
      <c r="D138" s="333"/>
      <c r="E138" s="168"/>
      <c r="H138" s="17"/>
      <c r="I138" s="17"/>
      <c r="J138" s="17"/>
      <c r="K138" s="17"/>
      <c r="L138" s="98">
        <f t="shared" ref="L138:L201" si="30">YEAR(B138)</f>
        <v>1900</v>
      </c>
      <c r="M138" s="98" t="str">
        <f t="shared" ref="M138:M201" si="31">IF(MONTH(B138)=3,"1",IF(MONTH(B138)=6,"2",IF(MONTH(B138)=9,"3","4")))</f>
        <v>4</v>
      </c>
      <c r="N138" s="417" t="e">
        <f t="shared" ref="N138:N201" si="32">K138/J138</f>
        <v>#DIV/0!</v>
      </c>
    </row>
    <row r="139" spans="1:14">
      <c r="A139" s="414">
        <f t="shared" si="29"/>
        <v>19004</v>
      </c>
      <c r="B139" s="8"/>
      <c r="C139" s="332"/>
      <c r="D139" s="333"/>
      <c r="E139" s="168"/>
      <c r="H139" s="17"/>
      <c r="I139" s="17"/>
      <c r="J139" s="17"/>
      <c r="K139" s="17"/>
      <c r="L139" s="98">
        <f t="shared" si="30"/>
        <v>1900</v>
      </c>
      <c r="M139" s="98" t="str">
        <f t="shared" si="31"/>
        <v>4</v>
      </c>
      <c r="N139" s="417" t="e">
        <f t="shared" si="32"/>
        <v>#DIV/0!</v>
      </c>
    </row>
    <row r="140" spans="1:14">
      <c r="A140" s="414">
        <f t="shared" si="29"/>
        <v>19004</v>
      </c>
      <c r="B140" s="8"/>
      <c r="C140" s="332"/>
      <c r="D140" s="333"/>
      <c r="E140" s="168"/>
      <c r="H140" s="17"/>
      <c r="I140" s="17"/>
      <c r="J140" s="17"/>
      <c r="K140" s="17"/>
      <c r="L140" s="98">
        <f t="shared" si="30"/>
        <v>1900</v>
      </c>
      <c r="M140" s="98" t="str">
        <f t="shared" si="31"/>
        <v>4</v>
      </c>
      <c r="N140" s="417" t="e">
        <f t="shared" si="32"/>
        <v>#DIV/0!</v>
      </c>
    </row>
    <row r="141" spans="1:14">
      <c r="A141" s="414">
        <f t="shared" si="29"/>
        <v>19004</v>
      </c>
      <c r="B141" s="8"/>
      <c r="C141" s="332"/>
      <c r="D141" s="333"/>
      <c r="E141" s="168"/>
      <c r="H141" s="17"/>
      <c r="I141" s="17"/>
      <c r="J141" s="17"/>
      <c r="K141" s="17"/>
      <c r="L141" s="98">
        <f t="shared" si="30"/>
        <v>1900</v>
      </c>
      <c r="M141" s="98" t="str">
        <f t="shared" si="31"/>
        <v>4</v>
      </c>
      <c r="N141" s="417" t="e">
        <f t="shared" si="32"/>
        <v>#DIV/0!</v>
      </c>
    </row>
    <row r="142" spans="1:14">
      <c r="A142" s="414">
        <f t="shared" si="29"/>
        <v>19004</v>
      </c>
      <c r="B142" s="8"/>
      <c r="C142" s="332"/>
      <c r="D142" s="333"/>
      <c r="E142" s="168"/>
      <c r="H142" s="17"/>
      <c r="I142" s="17"/>
      <c r="J142" s="17"/>
      <c r="K142" s="17"/>
      <c r="L142" s="98">
        <f t="shared" si="30"/>
        <v>1900</v>
      </c>
      <c r="M142" s="98" t="str">
        <f t="shared" si="31"/>
        <v>4</v>
      </c>
      <c r="N142" s="417" t="e">
        <f t="shared" si="32"/>
        <v>#DIV/0!</v>
      </c>
    </row>
    <row r="143" spans="1:14">
      <c r="A143" s="414">
        <f t="shared" si="29"/>
        <v>19004</v>
      </c>
      <c r="B143" s="8"/>
      <c r="C143" s="332"/>
      <c r="D143" s="333"/>
      <c r="E143" s="168"/>
      <c r="H143" s="17"/>
      <c r="I143" s="17"/>
      <c r="J143" s="17"/>
      <c r="K143" s="17"/>
      <c r="L143" s="98">
        <f t="shared" si="30"/>
        <v>1900</v>
      </c>
      <c r="M143" s="98" t="str">
        <f t="shared" si="31"/>
        <v>4</v>
      </c>
      <c r="N143" s="417" t="e">
        <f t="shared" si="32"/>
        <v>#DIV/0!</v>
      </c>
    </row>
    <row r="144" spans="1:14">
      <c r="A144" s="414">
        <f t="shared" si="29"/>
        <v>19004</v>
      </c>
      <c r="B144" s="8"/>
      <c r="C144" s="332"/>
      <c r="D144" s="333"/>
      <c r="E144" s="168"/>
      <c r="H144" s="17"/>
      <c r="I144" s="17"/>
      <c r="J144" s="17"/>
      <c r="K144" s="17"/>
      <c r="L144" s="98">
        <f t="shared" si="30"/>
        <v>1900</v>
      </c>
      <c r="M144" s="98" t="str">
        <f t="shared" si="31"/>
        <v>4</v>
      </c>
      <c r="N144" s="417" t="e">
        <f t="shared" si="32"/>
        <v>#DIV/0!</v>
      </c>
    </row>
    <row r="145" spans="1:14">
      <c r="A145" s="414">
        <f t="shared" si="29"/>
        <v>19004</v>
      </c>
      <c r="B145" s="8"/>
      <c r="C145" s="332"/>
      <c r="D145" s="333"/>
      <c r="E145" s="168"/>
      <c r="H145" s="17"/>
      <c r="I145" s="17"/>
      <c r="J145" s="17"/>
      <c r="K145" s="17"/>
      <c r="L145" s="98">
        <f t="shared" si="30"/>
        <v>1900</v>
      </c>
      <c r="M145" s="98" t="str">
        <f t="shared" si="31"/>
        <v>4</v>
      </c>
      <c r="N145" s="417" t="e">
        <f t="shared" si="32"/>
        <v>#DIV/0!</v>
      </c>
    </row>
    <row r="146" spans="1:14">
      <c r="A146" s="414">
        <f t="shared" si="29"/>
        <v>19004</v>
      </c>
      <c r="B146" s="8"/>
      <c r="H146" s="17"/>
      <c r="I146" s="17"/>
      <c r="J146" s="17"/>
      <c r="K146" s="17"/>
      <c r="L146" s="98">
        <f t="shared" si="30"/>
        <v>1900</v>
      </c>
      <c r="M146" s="98" t="str">
        <f t="shared" si="31"/>
        <v>4</v>
      </c>
      <c r="N146" s="417" t="e">
        <f t="shared" si="32"/>
        <v>#DIV/0!</v>
      </c>
    </row>
    <row r="147" spans="1:14">
      <c r="A147" s="414">
        <f t="shared" si="29"/>
        <v>19004</v>
      </c>
      <c r="B147" s="8"/>
      <c r="H147" s="17"/>
      <c r="I147" s="17"/>
      <c r="J147" s="17"/>
      <c r="K147" s="17"/>
      <c r="L147" s="98">
        <f t="shared" si="30"/>
        <v>1900</v>
      </c>
      <c r="M147" s="98" t="str">
        <f t="shared" si="31"/>
        <v>4</v>
      </c>
      <c r="N147" s="417" t="e">
        <f t="shared" si="32"/>
        <v>#DIV/0!</v>
      </c>
    </row>
    <row r="148" spans="1:14">
      <c r="A148" s="414">
        <f t="shared" si="29"/>
        <v>19004</v>
      </c>
      <c r="B148" s="8"/>
      <c r="H148" s="17"/>
      <c r="I148" s="17"/>
      <c r="J148" s="17"/>
      <c r="K148" s="17"/>
      <c r="L148" s="98">
        <f t="shared" si="30"/>
        <v>1900</v>
      </c>
      <c r="M148" s="98" t="str">
        <f t="shared" si="31"/>
        <v>4</v>
      </c>
      <c r="N148" s="417" t="e">
        <f t="shared" si="32"/>
        <v>#DIV/0!</v>
      </c>
    </row>
    <row r="149" spans="1:14">
      <c r="A149" s="414">
        <f t="shared" si="29"/>
        <v>19004</v>
      </c>
      <c r="B149" s="8"/>
      <c r="H149" s="17"/>
      <c r="I149" s="17"/>
      <c r="J149" s="17"/>
      <c r="K149" s="17"/>
      <c r="L149" s="98">
        <f t="shared" si="30"/>
        <v>1900</v>
      </c>
      <c r="M149" s="98" t="str">
        <f t="shared" si="31"/>
        <v>4</v>
      </c>
      <c r="N149" s="417" t="e">
        <f t="shared" si="32"/>
        <v>#DIV/0!</v>
      </c>
    </row>
    <row r="150" spans="1:14">
      <c r="A150" s="414">
        <f t="shared" si="29"/>
        <v>19004</v>
      </c>
      <c r="B150" s="8"/>
      <c r="H150" s="17"/>
      <c r="I150" s="17"/>
      <c r="J150" s="17"/>
      <c r="K150" s="17"/>
      <c r="L150" s="98">
        <f t="shared" si="30"/>
        <v>1900</v>
      </c>
      <c r="M150" s="98" t="str">
        <f t="shared" si="31"/>
        <v>4</v>
      </c>
      <c r="N150" s="417" t="e">
        <f t="shared" si="32"/>
        <v>#DIV/0!</v>
      </c>
    </row>
    <row r="151" spans="1:14">
      <c r="A151" s="414">
        <f t="shared" si="29"/>
        <v>19004</v>
      </c>
      <c r="B151" s="8"/>
      <c r="H151" s="17"/>
      <c r="I151" s="17"/>
      <c r="J151" s="17"/>
      <c r="K151" s="17"/>
      <c r="L151" s="98">
        <f t="shared" si="30"/>
        <v>1900</v>
      </c>
      <c r="M151" s="98" t="str">
        <f t="shared" si="31"/>
        <v>4</v>
      </c>
      <c r="N151" s="417" t="e">
        <f t="shared" si="32"/>
        <v>#DIV/0!</v>
      </c>
    </row>
    <row r="152" spans="1:14">
      <c r="A152" s="414">
        <f t="shared" si="29"/>
        <v>19004</v>
      </c>
      <c r="B152" s="8"/>
      <c r="H152" s="17"/>
      <c r="I152" s="17"/>
      <c r="J152" s="17"/>
      <c r="K152" s="17"/>
      <c r="L152" s="98">
        <f t="shared" si="30"/>
        <v>1900</v>
      </c>
      <c r="M152" s="98" t="str">
        <f t="shared" si="31"/>
        <v>4</v>
      </c>
      <c r="N152" s="417" t="e">
        <f t="shared" si="32"/>
        <v>#DIV/0!</v>
      </c>
    </row>
    <row r="153" spans="1:14">
      <c r="A153" s="414">
        <f t="shared" si="29"/>
        <v>19004</v>
      </c>
      <c r="B153" s="8"/>
      <c r="H153" s="17"/>
      <c r="I153" s="17"/>
      <c r="J153" s="17"/>
      <c r="K153" s="17"/>
      <c r="L153" s="98">
        <f t="shared" si="30"/>
        <v>1900</v>
      </c>
      <c r="M153" s="98" t="str">
        <f t="shared" si="31"/>
        <v>4</v>
      </c>
      <c r="N153" s="417" t="e">
        <f t="shared" si="32"/>
        <v>#DIV/0!</v>
      </c>
    </row>
    <row r="154" spans="1:14">
      <c r="A154" s="414">
        <f t="shared" si="29"/>
        <v>19004</v>
      </c>
      <c r="B154" s="8"/>
      <c r="H154" s="17"/>
      <c r="I154" s="17"/>
      <c r="J154" s="17"/>
      <c r="K154" s="17"/>
      <c r="L154" s="98">
        <f t="shared" si="30"/>
        <v>1900</v>
      </c>
      <c r="M154" s="98" t="str">
        <f t="shared" si="31"/>
        <v>4</v>
      </c>
      <c r="N154" s="417" t="e">
        <f t="shared" si="32"/>
        <v>#DIV/0!</v>
      </c>
    </row>
    <row r="155" spans="1:14">
      <c r="A155" s="414">
        <f t="shared" si="29"/>
        <v>19004</v>
      </c>
      <c r="B155" s="8"/>
      <c r="H155" s="17"/>
      <c r="I155" s="17"/>
      <c r="J155" s="17"/>
      <c r="K155" s="17"/>
      <c r="L155" s="98">
        <f t="shared" si="30"/>
        <v>1900</v>
      </c>
      <c r="M155" s="98" t="str">
        <f t="shared" si="31"/>
        <v>4</v>
      </c>
      <c r="N155" s="417" t="e">
        <f t="shared" si="32"/>
        <v>#DIV/0!</v>
      </c>
    </row>
    <row r="156" spans="1:14">
      <c r="A156" s="414">
        <f t="shared" si="29"/>
        <v>19004</v>
      </c>
      <c r="B156" s="8"/>
      <c r="H156" s="17"/>
      <c r="I156" s="17"/>
      <c r="J156" s="17"/>
      <c r="K156" s="17"/>
      <c r="L156" s="98">
        <f t="shared" si="30"/>
        <v>1900</v>
      </c>
      <c r="M156" s="98" t="str">
        <f t="shared" si="31"/>
        <v>4</v>
      </c>
      <c r="N156" s="417" t="e">
        <f t="shared" si="32"/>
        <v>#DIV/0!</v>
      </c>
    </row>
    <row r="157" spans="1:14">
      <c r="A157" s="414">
        <f t="shared" si="29"/>
        <v>19004</v>
      </c>
      <c r="B157" s="8"/>
      <c r="H157" s="17"/>
      <c r="I157" s="17"/>
      <c r="J157" s="17"/>
      <c r="K157" s="17"/>
      <c r="L157" s="98">
        <f t="shared" si="30"/>
        <v>1900</v>
      </c>
      <c r="M157" s="98" t="str">
        <f t="shared" si="31"/>
        <v>4</v>
      </c>
      <c r="N157" s="417" t="e">
        <f t="shared" si="32"/>
        <v>#DIV/0!</v>
      </c>
    </row>
    <row r="158" spans="1:14">
      <c r="A158" s="414">
        <f t="shared" si="29"/>
        <v>19004</v>
      </c>
      <c r="B158" s="8"/>
      <c r="H158" s="17"/>
      <c r="I158" s="17"/>
      <c r="J158" s="17"/>
      <c r="K158" s="17"/>
      <c r="L158" s="98">
        <f t="shared" si="30"/>
        <v>1900</v>
      </c>
      <c r="M158" s="98" t="str">
        <f t="shared" si="31"/>
        <v>4</v>
      </c>
      <c r="N158" s="417" t="e">
        <f t="shared" si="32"/>
        <v>#DIV/0!</v>
      </c>
    </row>
    <row r="159" spans="1:14">
      <c r="A159" s="414">
        <f t="shared" si="29"/>
        <v>19004</v>
      </c>
      <c r="B159" s="8"/>
      <c r="H159" s="17"/>
      <c r="I159" s="17"/>
      <c r="J159" s="17"/>
      <c r="K159" s="17"/>
      <c r="L159" s="98">
        <f t="shared" si="30"/>
        <v>1900</v>
      </c>
      <c r="M159" s="98" t="str">
        <f t="shared" si="31"/>
        <v>4</v>
      </c>
      <c r="N159" s="417" t="e">
        <f t="shared" si="32"/>
        <v>#DIV/0!</v>
      </c>
    </row>
    <row r="160" spans="1:14">
      <c r="A160" s="414">
        <f t="shared" si="29"/>
        <v>19004</v>
      </c>
      <c r="B160" s="8"/>
      <c r="H160" s="17"/>
      <c r="I160" s="17"/>
      <c r="J160" s="17"/>
      <c r="K160" s="17"/>
      <c r="L160" s="98">
        <f t="shared" si="30"/>
        <v>1900</v>
      </c>
      <c r="M160" s="98" t="str">
        <f t="shared" si="31"/>
        <v>4</v>
      </c>
      <c r="N160" s="417" t="e">
        <f t="shared" si="32"/>
        <v>#DIV/0!</v>
      </c>
    </row>
    <row r="161" spans="1:14">
      <c r="A161" s="414">
        <f t="shared" si="29"/>
        <v>19004</v>
      </c>
      <c r="B161" s="8"/>
      <c r="H161" s="17"/>
      <c r="I161" s="17"/>
      <c r="J161" s="17"/>
      <c r="K161" s="17"/>
      <c r="L161" s="98">
        <f t="shared" si="30"/>
        <v>1900</v>
      </c>
      <c r="M161" s="98" t="str">
        <f t="shared" si="31"/>
        <v>4</v>
      </c>
      <c r="N161" s="417" t="e">
        <f t="shared" si="32"/>
        <v>#DIV/0!</v>
      </c>
    </row>
    <row r="162" spans="1:14">
      <c r="A162" s="414">
        <f t="shared" si="29"/>
        <v>19004</v>
      </c>
      <c r="B162" s="8"/>
      <c r="H162" s="17"/>
      <c r="I162" s="17"/>
      <c r="J162" s="17"/>
      <c r="K162" s="17"/>
      <c r="L162" s="98">
        <f t="shared" si="30"/>
        <v>1900</v>
      </c>
      <c r="M162" s="98" t="str">
        <f t="shared" si="31"/>
        <v>4</v>
      </c>
      <c r="N162" s="417" t="e">
        <f t="shared" si="32"/>
        <v>#DIV/0!</v>
      </c>
    </row>
    <row r="163" spans="1:14">
      <c r="A163" s="414">
        <f t="shared" si="29"/>
        <v>19004</v>
      </c>
      <c r="B163" s="8"/>
      <c r="H163" s="17"/>
      <c r="I163" s="17"/>
      <c r="J163" s="17"/>
      <c r="K163" s="17"/>
      <c r="L163" s="98">
        <f t="shared" si="30"/>
        <v>1900</v>
      </c>
      <c r="M163" s="98" t="str">
        <f t="shared" si="31"/>
        <v>4</v>
      </c>
      <c r="N163" s="417" t="e">
        <f t="shared" si="32"/>
        <v>#DIV/0!</v>
      </c>
    </row>
    <row r="164" spans="1:14">
      <c r="A164" s="414">
        <f t="shared" si="29"/>
        <v>19004</v>
      </c>
      <c r="B164" s="8"/>
      <c r="H164" s="17"/>
      <c r="I164" s="17"/>
      <c r="J164" s="17"/>
      <c r="K164" s="17"/>
      <c r="L164" s="98">
        <f t="shared" si="30"/>
        <v>1900</v>
      </c>
      <c r="M164" s="98" t="str">
        <f t="shared" si="31"/>
        <v>4</v>
      </c>
      <c r="N164" s="417" t="e">
        <f t="shared" si="32"/>
        <v>#DIV/0!</v>
      </c>
    </row>
    <row r="165" spans="1:14">
      <c r="A165" s="414">
        <f t="shared" si="29"/>
        <v>19004</v>
      </c>
      <c r="B165" s="8"/>
      <c r="H165" s="17"/>
      <c r="I165" s="17"/>
      <c r="J165" s="17"/>
      <c r="K165" s="17"/>
      <c r="L165" s="98">
        <f t="shared" si="30"/>
        <v>1900</v>
      </c>
      <c r="M165" s="98" t="str">
        <f t="shared" si="31"/>
        <v>4</v>
      </c>
      <c r="N165" s="417" t="e">
        <f t="shared" si="32"/>
        <v>#DIV/0!</v>
      </c>
    </row>
    <row r="166" spans="1:14">
      <c r="A166" s="414">
        <f t="shared" si="29"/>
        <v>19004</v>
      </c>
      <c r="B166" s="8"/>
      <c r="H166" s="17"/>
      <c r="I166" s="17"/>
      <c r="J166" s="17"/>
      <c r="K166" s="17"/>
      <c r="L166" s="98">
        <f t="shared" si="30"/>
        <v>1900</v>
      </c>
      <c r="M166" s="98" t="str">
        <f t="shared" si="31"/>
        <v>4</v>
      </c>
      <c r="N166" s="417" t="e">
        <f t="shared" si="32"/>
        <v>#DIV/0!</v>
      </c>
    </row>
    <row r="167" spans="1:14">
      <c r="A167" s="414">
        <f t="shared" si="29"/>
        <v>19004</v>
      </c>
      <c r="B167" s="8"/>
      <c r="H167" s="17"/>
      <c r="I167" s="17"/>
      <c r="J167" s="17"/>
      <c r="K167" s="17"/>
      <c r="L167" s="98">
        <f t="shared" si="30"/>
        <v>1900</v>
      </c>
      <c r="M167" s="98" t="str">
        <f t="shared" si="31"/>
        <v>4</v>
      </c>
      <c r="N167" s="417" t="e">
        <f t="shared" si="32"/>
        <v>#DIV/0!</v>
      </c>
    </row>
    <row r="168" spans="1:14">
      <c r="A168" s="414">
        <f t="shared" si="29"/>
        <v>19004</v>
      </c>
      <c r="B168" s="8"/>
      <c r="H168" s="17"/>
      <c r="I168" s="17"/>
      <c r="J168" s="17"/>
      <c r="K168" s="17"/>
      <c r="L168" s="98">
        <f t="shared" si="30"/>
        <v>1900</v>
      </c>
      <c r="M168" s="98" t="str">
        <f t="shared" si="31"/>
        <v>4</v>
      </c>
      <c r="N168" s="417" t="e">
        <f t="shared" si="32"/>
        <v>#DIV/0!</v>
      </c>
    </row>
    <row r="169" spans="1:14">
      <c r="A169" s="414">
        <f t="shared" si="29"/>
        <v>19004</v>
      </c>
      <c r="B169" s="8"/>
      <c r="H169" s="17"/>
      <c r="I169" s="17"/>
      <c r="J169" s="17"/>
      <c r="K169" s="17"/>
      <c r="L169" s="98">
        <f t="shared" si="30"/>
        <v>1900</v>
      </c>
      <c r="M169" s="98" t="str">
        <f t="shared" si="31"/>
        <v>4</v>
      </c>
      <c r="N169" s="417" t="e">
        <f t="shared" si="32"/>
        <v>#DIV/0!</v>
      </c>
    </row>
    <row r="170" spans="1:14">
      <c r="A170" s="414">
        <f t="shared" si="29"/>
        <v>19004</v>
      </c>
      <c r="B170" s="8"/>
      <c r="H170" s="17"/>
      <c r="I170" s="17"/>
      <c r="J170" s="17"/>
      <c r="K170" s="17"/>
      <c r="L170" s="98">
        <f t="shared" si="30"/>
        <v>1900</v>
      </c>
      <c r="M170" s="98" t="str">
        <f t="shared" si="31"/>
        <v>4</v>
      </c>
      <c r="N170" s="417" t="e">
        <f t="shared" si="32"/>
        <v>#DIV/0!</v>
      </c>
    </row>
    <row r="171" spans="1:14">
      <c r="A171" s="414">
        <f t="shared" si="29"/>
        <v>19004</v>
      </c>
      <c r="B171" s="8"/>
      <c r="H171" s="17"/>
      <c r="I171" s="17"/>
      <c r="J171" s="17"/>
      <c r="K171" s="17"/>
      <c r="L171" s="98">
        <f t="shared" si="30"/>
        <v>1900</v>
      </c>
      <c r="M171" s="98" t="str">
        <f t="shared" si="31"/>
        <v>4</v>
      </c>
      <c r="N171" s="417" t="e">
        <f t="shared" si="32"/>
        <v>#DIV/0!</v>
      </c>
    </row>
    <row r="172" spans="1:14">
      <c r="A172" s="414">
        <f t="shared" si="29"/>
        <v>19004</v>
      </c>
      <c r="B172" s="8"/>
      <c r="H172" s="17"/>
      <c r="I172" s="17"/>
      <c r="J172" s="17"/>
      <c r="K172" s="17"/>
      <c r="L172" s="98">
        <f t="shared" si="30"/>
        <v>1900</v>
      </c>
      <c r="M172" s="98" t="str">
        <f t="shared" si="31"/>
        <v>4</v>
      </c>
      <c r="N172" s="417" t="e">
        <f t="shared" si="32"/>
        <v>#DIV/0!</v>
      </c>
    </row>
    <row r="173" spans="1:14">
      <c r="A173" s="414">
        <f t="shared" si="29"/>
        <v>19004</v>
      </c>
      <c r="B173" s="8"/>
      <c r="H173" s="17"/>
      <c r="I173" s="17"/>
      <c r="J173" s="17"/>
      <c r="K173" s="17"/>
      <c r="L173" s="98">
        <f t="shared" si="30"/>
        <v>1900</v>
      </c>
      <c r="M173" s="98" t="str">
        <f t="shared" si="31"/>
        <v>4</v>
      </c>
      <c r="N173" s="417" t="e">
        <f t="shared" si="32"/>
        <v>#DIV/0!</v>
      </c>
    </row>
    <row r="174" spans="1:14">
      <c r="A174" s="414">
        <f t="shared" si="29"/>
        <v>19004</v>
      </c>
      <c r="B174" s="8"/>
      <c r="H174" s="17"/>
      <c r="I174" s="17"/>
      <c r="J174" s="17"/>
      <c r="K174" s="17"/>
      <c r="L174" s="98">
        <f t="shared" si="30"/>
        <v>1900</v>
      </c>
      <c r="M174" s="98" t="str">
        <f t="shared" si="31"/>
        <v>4</v>
      </c>
      <c r="N174" s="417" t="e">
        <f t="shared" si="32"/>
        <v>#DIV/0!</v>
      </c>
    </row>
    <row r="175" spans="1:14">
      <c r="A175" s="414">
        <f t="shared" si="29"/>
        <v>19004</v>
      </c>
      <c r="B175" s="8"/>
      <c r="H175" s="17"/>
      <c r="I175" s="17"/>
      <c r="J175" s="17"/>
      <c r="K175" s="17"/>
      <c r="L175" s="98">
        <f t="shared" si="30"/>
        <v>1900</v>
      </c>
      <c r="M175" s="98" t="str">
        <f t="shared" si="31"/>
        <v>4</v>
      </c>
      <c r="N175" s="417" t="e">
        <f t="shared" si="32"/>
        <v>#DIV/0!</v>
      </c>
    </row>
    <row r="176" spans="1:14">
      <c r="A176" s="414">
        <f t="shared" si="29"/>
        <v>19004</v>
      </c>
      <c r="B176" s="8"/>
      <c r="H176" s="17"/>
      <c r="I176" s="17"/>
      <c r="J176" s="17"/>
      <c r="K176" s="17"/>
      <c r="L176" s="98">
        <f t="shared" si="30"/>
        <v>1900</v>
      </c>
      <c r="M176" s="98" t="str">
        <f t="shared" si="31"/>
        <v>4</v>
      </c>
      <c r="N176" s="417" t="e">
        <f t="shared" si="32"/>
        <v>#DIV/0!</v>
      </c>
    </row>
    <row r="177" spans="1:14">
      <c r="A177" s="414">
        <f t="shared" si="29"/>
        <v>19004</v>
      </c>
      <c r="B177" s="8"/>
      <c r="H177" s="17"/>
      <c r="I177" s="17"/>
      <c r="J177" s="17"/>
      <c r="K177" s="17"/>
      <c r="L177" s="98">
        <f t="shared" si="30"/>
        <v>1900</v>
      </c>
      <c r="M177" s="98" t="str">
        <f t="shared" si="31"/>
        <v>4</v>
      </c>
      <c r="N177" s="417" t="e">
        <f t="shared" si="32"/>
        <v>#DIV/0!</v>
      </c>
    </row>
    <row r="178" spans="1:14">
      <c r="A178" s="414">
        <f t="shared" si="29"/>
        <v>19004</v>
      </c>
      <c r="B178" s="8"/>
      <c r="H178" s="17"/>
      <c r="I178" s="17"/>
      <c r="J178" s="17"/>
      <c r="K178" s="17"/>
      <c r="L178" s="98">
        <f t="shared" si="30"/>
        <v>1900</v>
      </c>
      <c r="M178" s="98" t="str">
        <f t="shared" si="31"/>
        <v>4</v>
      </c>
      <c r="N178" s="417" t="e">
        <f t="shared" si="32"/>
        <v>#DIV/0!</v>
      </c>
    </row>
    <row r="179" spans="1:14">
      <c r="A179" s="414">
        <f t="shared" si="29"/>
        <v>19004</v>
      </c>
      <c r="B179" s="8"/>
      <c r="H179" s="17"/>
      <c r="I179" s="17"/>
      <c r="J179" s="17"/>
      <c r="K179" s="17"/>
      <c r="L179" s="98">
        <f t="shared" si="30"/>
        <v>1900</v>
      </c>
      <c r="M179" s="98" t="str">
        <f t="shared" si="31"/>
        <v>4</v>
      </c>
      <c r="N179" s="417" t="e">
        <f t="shared" si="32"/>
        <v>#DIV/0!</v>
      </c>
    </row>
    <row r="180" spans="1:14">
      <c r="A180" s="414">
        <f t="shared" si="29"/>
        <v>19004</v>
      </c>
      <c r="B180" s="8"/>
      <c r="H180" s="17"/>
      <c r="I180" s="17"/>
      <c r="J180" s="17"/>
      <c r="K180" s="17"/>
      <c r="L180" s="98">
        <f t="shared" si="30"/>
        <v>1900</v>
      </c>
      <c r="M180" s="98" t="str">
        <f t="shared" si="31"/>
        <v>4</v>
      </c>
      <c r="N180" s="417" t="e">
        <f t="shared" si="32"/>
        <v>#DIV/0!</v>
      </c>
    </row>
    <row r="181" spans="1:14">
      <c r="A181" s="414">
        <f t="shared" si="29"/>
        <v>19004</v>
      </c>
      <c r="H181" s="17"/>
      <c r="I181" s="17"/>
      <c r="J181" s="17"/>
      <c r="K181" s="17"/>
      <c r="L181" s="98">
        <f t="shared" si="30"/>
        <v>1900</v>
      </c>
      <c r="M181" s="98" t="str">
        <f t="shared" si="31"/>
        <v>4</v>
      </c>
      <c r="N181" s="417" t="e">
        <f t="shared" si="32"/>
        <v>#DIV/0!</v>
      </c>
    </row>
    <row r="182" spans="1:14">
      <c r="A182" s="414">
        <f t="shared" si="29"/>
        <v>19004</v>
      </c>
      <c r="H182" s="17"/>
      <c r="I182" s="17"/>
      <c r="J182" s="17"/>
      <c r="K182" s="17"/>
      <c r="L182" s="98">
        <f t="shared" si="30"/>
        <v>1900</v>
      </c>
      <c r="M182" s="98" t="str">
        <f t="shared" si="31"/>
        <v>4</v>
      </c>
      <c r="N182" s="417" t="e">
        <f t="shared" si="32"/>
        <v>#DIV/0!</v>
      </c>
    </row>
    <row r="183" spans="1:14">
      <c r="A183" s="414">
        <f t="shared" si="29"/>
        <v>19004</v>
      </c>
      <c r="H183" s="17"/>
      <c r="I183" s="17"/>
      <c r="J183" s="17"/>
      <c r="K183" s="17"/>
      <c r="L183" s="98">
        <f t="shared" si="30"/>
        <v>1900</v>
      </c>
      <c r="M183" s="98" t="str">
        <f t="shared" si="31"/>
        <v>4</v>
      </c>
      <c r="N183" s="417" t="e">
        <f t="shared" si="32"/>
        <v>#DIV/0!</v>
      </c>
    </row>
    <row r="184" spans="1:14">
      <c r="A184" s="414">
        <f t="shared" si="29"/>
        <v>19004</v>
      </c>
      <c r="H184" s="17"/>
      <c r="I184" s="17"/>
      <c r="J184" s="17"/>
      <c r="K184" s="17"/>
      <c r="L184" s="98">
        <f t="shared" si="30"/>
        <v>1900</v>
      </c>
      <c r="M184" s="98" t="str">
        <f t="shared" si="31"/>
        <v>4</v>
      </c>
      <c r="N184" s="417" t="e">
        <f t="shared" si="32"/>
        <v>#DIV/0!</v>
      </c>
    </row>
    <row r="185" spans="1:14">
      <c r="A185" s="414">
        <f t="shared" si="29"/>
        <v>19004</v>
      </c>
      <c r="H185" s="17"/>
      <c r="I185" s="17"/>
      <c r="J185" s="17"/>
      <c r="K185" s="17"/>
      <c r="L185" s="98">
        <f t="shared" si="30"/>
        <v>1900</v>
      </c>
      <c r="M185" s="98" t="str">
        <f t="shared" si="31"/>
        <v>4</v>
      </c>
      <c r="N185" s="417" t="e">
        <f t="shared" si="32"/>
        <v>#DIV/0!</v>
      </c>
    </row>
    <row r="186" spans="1:14">
      <c r="A186" s="414">
        <f t="shared" si="29"/>
        <v>19004</v>
      </c>
      <c r="H186" s="17"/>
      <c r="I186" s="17"/>
      <c r="J186" s="17"/>
      <c r="K186" s="17"/>
      <c r="L186" s="98">
        <f t="shared" si="30"/>
        <v>1900</v>
      </c>
      <c r="M186" s="98" t="str">
        <f t="shared" si="31"/>
        <v>4</v>
      </c>
      <c r="N186" s="417" t="e">
        <f t="shared" si="32"/>
        <v>#DIV/0!</v>
      </c>
    </row>
    <row r="187" spans="1:14">
      <c r="A187" s="414">
        <f t="shared" si="29"/>
        <v>19004</v>
      </c>
      <c r="H187" s="17"/>
      <c r="I187" s="17"/>
      <c r="J187" s="17"/>
      <c r="K187" s="17"/>
      <c r="L187" s="98">
        <f t="shared" si="30"/>
        <v>1900</v>
      </c>
      <c r="M187" s="98" t="str">
        <f t="shared" si="31"/>
        <v>4</v>
      </c>
      <c r="N187" s="417" t="e">
        <f t="shared" si="32"/>
        <v>#DIV/0!</v>
      </c>
    </row>
    <row r="188" spans="1:14">
      <c r="A188" s="414">
        <f t="shared" si="29"/>
        <v>19004</v>
      </c>
      <c r="H188" s="17"/>
      <c r="I188" s="17"/>
      <c r="J188" s="17"/>
      <c r="K188" s="17"/>
      <c r="L188" s="98">
        <f t="shared" si="30"/>
        <v>1900</v>
      </c>
      <c r="M188" s="98" t="str">
        <f t="shared" si="31"/>
        <v>4</v>
      </c>
      <c r="N188" s="417" t="e">
        <f t="shared" si="32"/>
        <v>#DIV/0!</v>
      </c>
    </row>
    <row r="189" spans="1:14">
      <c r="A189" s="414">
        <f t="shared" si="29"/>
        <v>19004</v>
      </c>
      <c r="H189" s="17"/>
      <c r="I189" s="17"/>
      <c r="J189" s="17"/>
      <c r="K189" s="17"/>
      <c r="L189" s="98">
        <f t="shared" si="30"/>
        <v>1900</v>
      </c>
      <c r="M189" s="98" t="str">
        <f t="shared" si="31"/>
        <v>4</v>
      </c>
      <c r="N189" s="417" t="e">
        <f t="shared" si="32"/>
        <v>#DIV/0!</v>
      </c>
    </row>
    <row r="190" spans="1:14">
      <c r="A190" s="414">
        <f t="shared" si="29"/>
        <v>19004</v>
      </c>
      <c r="H190" s="17"/>
      <c r="I190" s="17"/>
      <c r="J190" s="17"/>
      <c r="K190" s="17"/>
      <c r="L190" s="98">
        <f t="shared" si="30"/>
        <v>1900</v>
      </c>
      <c r="M190" s="98" t="str">
        <f t="shared" si="31"/>
        <v>4</v>
      </c>
      <c r="N190" s="417" t="e">
        <f t="shared" si="32"/>
        <v>#DIV/0!</v>
      </c>
    </row>
    <row r="191" spans="1:14">
      <c r="A191" s="414">
        <f t="shared" si="29"/>
        <v>19004</v>
      </c>
      <c r="H191" s="17"/>
      <c r="I191" s="17"/>
      <c r="J191" s="17"/>
      <c r="K191" s="17"/>
      <c r="L191" s="98">
        <f t="shared" si="30"/>
        <v>1900</v>
      </c>
      <c r="M191" s="98" t="str">
        <f t="shared" si="31"/>
        <v>4</v>
      </c>
      <c r="N191" s="417" t="e">
        <f t="shared" si="32"/>
        <v>#DIV/0!</v>
      </c>
    </row>
    <row r="192" spans="1:14">
      <c r="A192" s="414">
        <f t="shared" si="29"/>
        <v>19004</v>
      </c>
      <c r="H192" s="17"/>
      <c r="I192" s="17"/>
      <c r="J192" s="17"/>
      <c r="K192" s="17"/>
      <c r="L192" s="98">
        <f t="shared" si="30"/>
        <v>1900</v>
      </c>
      <c r="M192" s="98" t="str">
        <f t="shared" si="31"/>
        <v>4</v>
      </c>
      <c r="N192" s="417" t="e">
        <f t="shared" si="32"/>
        <v>#DIV/0!</v>
      </c>
    </row>
    <row r="193" spans="1:14">
      <c r="A193" s="414">
        <f t="shared" si="29"/>
        <v>19004</v>
      </c>
      <c r="H193" s="17"/>
      <c r="I193" s="17"/>
      <c r="J193" s="17"/>
      <c r="K193" s="17"/>
      <c r="L193" s="98">
        <f t="shared" si="30"/>
        <v>1900</v>
      </c>
      <c r="M193" s="98" t="str">
        <f t="shared" si="31"/>
        <v>4</v>
      </c>
      <c r="N193" s="417" t="e">
        <f t="shared" si="32"/>
        <v>#DIV/0!</v>
      </c>
    </row>
    <row r="194" spans="1:14">
      <c r="A194" s="414">
        <f t="shared" si="29"/>
        <v>19004</v>
      </c>
      <c r="H194" s="17"/>
      <c r="I194" s="17"/>
      <c r="J194" s="17"/>
      <c r="K194" s="17"/>
      <c r="L194" s="98">
        <f t="shared" si="30"/>
        <v>1900</v>
      </c>
      <c r="M194" s="98" t="str">
        <f t="shared" si="31"/>
        <v>4</v>
      </c>
      <c r="N194" s="417" t="e">
        <f t="shared" si="32"/>
        <v>#DIV/0!</v>
      </c>
    </row>
    <row r="195" spans="1:14">
      <c r="A195" s="414">
        <f t="shared" si="29"/>
        <v>19004</v>
      </c>
      <c r="H195" s="17"/>
      <c r="I195" s="17"/>
      <c r="J195" s="17"/>
      <c r="K195" s="17"/>
      <c r="L195" s="98">
        <f t="shared" si="30"/>
        <v>1900</v>
      </c>
      <c r="M195" s="98" t="str">
        <f t="shared" si="31"/>
        <v>4</v>
      </c>
      <c r="N195" s="417" t="e">
        <f t="shared" si="32"/>
        <v>#DIV/0!</v>
      </c>
    </row>
    <row r="196" spans="1:14">
      <c r="A196" s="414">
        <f t="shared" si="29"/>
        <v>19004</v>
      </c>
      <c r="H196" s="17"/>
      <c r="I196" s="17"/>
      <c r="J196" s="17"/>
      <c r="K196" s="17"/>
      <c r="L196" s="98">
        <f t="shared" si="30"/>
        <v>1900</v>
      </c>
      <c r="M196" s="98" t="str">
        <f t="shared" si="31"/>
        <v>4</v>
      </c>
      <c r="N196" s="417" t="e">
        <f t="shared" si="32"/>
        <v>#DIV/0!</v>
      </c>
    </row>
    <row r="197" spans="1:14">
      <c r="A197" s="414">
        <f t="shared" si="29"/>
        <v>19004</v>
      </c>
      <c r="H197" s="17"/>
      <c r="I197" s="17"/>
      <c r="J197" s="17"/>
      <c r="K197" s="17"/>
      <c r="L197" s="98">
        <f t="shared" si="30"/>
        <v>1900</v>
      </c>
      <c r="M197" s="98" t="str">
        <f t="shared" si="31"/>
        <v>4</v>
      </c>
      <c r="N197" s="417" t="e">
        <f t="shared" si="32"/>
        <v>#DIV/0!</v>
      </c>
    </row>
    <row r="198" spans="1:14">
      <c r="A198" s="414">
        <f t="shared" si="29"/>
        <v>19004</v>
      </c>
      <c r="H198" s="17"/>
      <c r="I198" s="17"/>
      <c r="J198" s="17"/>
      <c r="K198" s="17"/>
      <c r="L198" s="98">
        <f t="shared" si="30"/>
        <v>1900</v>
      </c>
      <c r="M198" s="98" t="str">
        <f t="shared" si="31"/>
        <v>4</v>
      </c>
      <c r="N198" s="417" t="e">
        <f t="shared" si="32"/>
        <v>#DIV/0!</v>
      </c>
    </row>
    <row r="199" spans="1:14">
      <c r="A199" s="414">
        <f t="shared" si="29"/>
        <v>19004</v>
      </c>
      <c r="H199" s="17"/>
      <c r="I199" s="17"/>
      <c r="J199" s="17"/>
      <c r="K199" s="17"/>
      <c r="L199" s="98">
        <f t="shared" si="30"/>
        <v>1900</v>
      </c>
      <c r="M199" s="98" t="str">
        <f t="shared" si="31"/>
        <v>4</v>
      </c>
      <c r="N199" s="417" t="e">
        <f t="shared" si="32"/>
        <v>#DIV/0!</v>
      </c>
    </row>
    <row r="200" spans="1:14">
      <c r="A200" s="414">
        <f t="shared" si="29"/>
        <v>19004</v>
      </c>
      <c r="H200" s="17"/>
      <c r="I200" s="17"/>
      <c r="J200" s="17"/>
      <c r="K200" s="17"/>
      <c r="L200" s="98">
        <f t="shared" si="30"/>
        <v>1900</v>
      </c>
      <c r="M200" s="98" t="str">
        <f t="shared" si="31"/>
        <v>4</v>
      </c>
      <c r="N200" s="417" t="e">
        <f t="shared" si="32"/>
        <v>#DIV/0!</v>
      </c>
    </row>
    <row r="201" spans="1:14">
      <c r="A201" s="414">
        <f t="shared" si="29"/>
        <v>19004</v>
      </c>
      <c r="H201" s="17"/>
      <c r="I201" s="17"/>
      <c r="J201" s="17"/>
      <c r="K201" s="17"/>
      <c r="L201" s="98">
        <f t="shared" si="30"/>
        <v>1900</v>
      </c>
      <c r="M201" s="98" t="str">
        <f t="shared" si="31"/>
        <v>4</v>
      </c>
      <c r="N201" s="417" t="e">
        <f t="shared" si="32"/>
        <v>#DIV/0!</v>
      </c>
    </row>
    <row r="202" spans="1:14">
      <c r="A202" s="414">
        <f t="shared" ref="A202:A250" si="33">L202*10+M202</f>
        <v>19004</v>
      </c>
      <c r="H202" s="17"/>
      <c r="I202" s="17"/>
      <c r="J202" s="17"/>
      <c r="K202" s="17"/>
      <c r="L202" s="98">
        <f t="shared" ref="L202:L250" si="34">YEAR(B202)</f>
        <v>1900</v>
      </c>
      <c r="M202" s="98" t="str">
        <f t="shared" ref="M202:M250" si="35">IF(MONTH(B202)=3,"1",IF(MONTH(B202)=6,"2",IF(MONTH(B202)=9,"3","4")))</f>
        <v>4</v>
      </c>
      <c r="N202" s="417" t="e">
        <f t="shared" ref="N202:N250" si="36">K202/J202</f>
        <v>#DIV/0!</v>
      </c>
    </row>
    <row r="203" spans="1:14">
      <c r="A203" s="414">
        <f t="shared" si="33"/>
        <v>19004</v>
      </c>
      <c r="H203" s="17"/>
      <c r="I203" s="17"/>
      <c r="J203" s="17"/>
      <c r="K203" s="17"/>
      <c r="L203" s="98">
        <f t="shared" si="34"/>
        <v>1900</v>
      </c>
      <c r="M203" s="98" t="str">
        <f t="shared" si="35"/>
        <v>4</v>
      </c>
      <c r="N203" s="417" t="e">
        <f t="shared" si="36"/>
        <v>#DIV/0!</v>
      </c>
    </row>
    <row r="204" spans="1:14">
      <c r="A204" s="414">
        <f t="shared" si="33"/>
        <v>19004</v>
      </c>
      <c r="H204" s="17"/>
      <c r="I204" s="17"/>
      <c r="J204" s="17"/>
      <c r="K204" s="17"/>
      <c r="L204" s="98">
        <f t="shared" si="34"/>
        <v>1900</v>
      </c>
      <c r="M204" s="98" t="str">
        <f t="shared" si="35"/>
        <v>4</v>
      </c>
      <c r="N204" s="417" t="e">
        <f t="shared" si="36"/>
        <v>#DIV/0!</v>
      </c>
    </row>
    <row r="205" spans="1:14">
      <c r="A205" s="414">
        <f t="shared" si="33"/>
        <v>19004</v>
      </c>
      <c r="H205" s="17"/>
      <c r="I205" s="17"/>
      <c r="J205" s="17"/>
      <c r="K205" s="17"/>
      <c r="L205" s="98">
        <f t="shared" si="34"/>
        <v>1900</v>
      </c>
      <c r="M205" s="98" t="str">
        <f t="shared" si="35"/>
        <v>4</v>
      </c>
      <c r="N205" s="417" t="e">
        <f t="shared" si="36"/>
        <v>#DIV/0!</v>
      </c>
    </row>
    <row r="206" spans="1:14">
      <c r="A206" s="414">
        <f t="shared" si="33"/>
        <v>19004</v>
      </c>
      <c r="H206" s="17"/>
      <c r="I206" s="17"/>
      <c r="J206" s="17"/>
      <c r="K206" s="17"/>
      <c r="L206" s="98">
        <f t="shared" si="34"/>
        <v>1900</v>
      </c>
      <c r="M206" s="98" t="str">
        <f t="shared" si="35"/>
        <v>4</v>
      </c>
      <c r="N206" s="417" t="e">
        <f t="shared" si="36"/>
        <v>#DIV/0!</v>
      </c>
    </row>
    <row r="207" spans="1:14">
      <c r="A207" s="414">
        <f t="shared" si="33"/>
        <v>19004</v>
      </c>
      <c r="H207" s="17"/>
      <c r="I207" s="17"/>
      <c r="J207" s="17"/>
      <c r="K207" s="17"/>
      <c r="L207" s="98">
        <f t="shared" si="34"/>
        <v>1900</v>
      </c>
      <c r="M207" s="98" t="str">
        <f t="shared" si="35"/>
        <v>4</v>
      </c>
      <c r="N207" s="417" t="e">
        <f t="shared" si="36"/>
        <v>#DIV/0!</v>
      </c>
    </row>
    <row r="208" spans="1:14">
      <c r="A208" s="414">
        <f t="shared" si="33"/>
        <v>19004</v>
      </c>
      <c r="H208" s="17"/>
      <c r="I208" s="17"/>
      <c r="J208" s="17"/>
      <c r="K208" s="17"/>
      <c r="L208" s="98">
        <f t="shared" si="34"/>
        <v>1900</v>
      </c>
      <c r="M208" s="98" t="str">
        <f t="shared" si="35"/>
        <v>4</v>
      </c>
      <c r="N208" s="417" t="e">
        <f t="shared" si="36"/>
        <v>#DIV/0!</v>
      </c>
    </row>
    <row r="209" spans="1:14">
      <c r="A209" s="414">
        <f t="shared" si="33"/>
        <v>19004</v>
      </c>
      <c r="H209" s="17"/>
      <c r="I209" s="17"/>
      <c r="J209" s="17"/>
      <c r="K209" s="17"/>
      <c r="L209" s="98">
        <f t="shared" si="34"/>
        <v>1900</v>
      </c>
      <c r="M209" s="98" t="str">
        <f t="shared" si="35"/>
        <v>4</v>
      </c>
      <c r="N209" s="417" t="e">
        <f t="shared" si="36"/>
        <v>#DIV/0!</v>
      </c>
    </row>
    <row r="210" spans="1:14">
      <c r="A210" s="414">
        <f t="shared" si="33"/>
        <v>19004</v>
      </c>
      <c r="H210" s="17"/>
      <c r="I210" s="17"/>
      <c r="J210" s="17"/>
      <c r="K210" s="17"/>
      <c r="L210" s="98">
        <f t="shared" si="34"/>
        <v>1900</v>
      </c>
      <c r="M210" s="98" t="str">
        <f t="shared" si="35"/>
        <v>4</v>
      </c>
      <c r="N210" s="417" t="e">
        <f t="shared" si="36"/>
        <v>#DIV/0!</v>
      </c>
    </row>
    <row r="211" spans="1:14">
      <c r="A211" s="414">
        <f t="shared" si="33"/>
        <v>19004</v>
      </c>
      <c r="H211" s="17"/>
      <c r="I211" s="17"/>
      <c r="J211" s="17"/>
      <c r="K211" s="17"/>
      <c r="L211" s="98">
        <f t="shared" si="34"/>
        <v>1900</v>
      </c>
      <c r="M211" s="98" t="str">
        <f t="shared" si="35"/>
        <v>4</v>
      </c>
      <c r="N211" s="417" t="e">
        <f t="shared" si="36"/>
        <v>#DIV/0!</v>
      </c>
    </row>
    <row r="212" spans="1:14">
      <c r="A212" s="414">
        <f t="shared" si="33"/>
        <v>19004</v>
      </c>
      <c r="H212" s="17"/>
      <c r="I212" s="17"/>
      <c r="J212" s="17"/>
      <c r="K212" s="17"/>
      <c r="L212" s="98">
        <f t="shared" si="34"/>
        <v>1900</v>
      </c>
      <c r="M212" s="98" t="str">
        <f t="shared" si="35"/>
        <v>4</v>
      </c>
      <c r="N212" s="417" t="e">
        <f t="shared" si="36"/>
        <v>#DIV/0!</v>
      </c>
    </row>
    <row r="213" spans="1:14">
      <c r="A213" s="414">
        <f t="shared" si="33"/>
        <v>19004</v>
      </c>
      <c r="H213" s="17"/>
      <c r="I213" s="17"/>
      <c r="J213" s="17"/>
      <c r="K213" s="17"/>
      <c r="L213" s="98">
        <f t="shared" si="34"/>
        <v>1900</v>
      </c>
      <c r="M213" s="98" t="str">
        <f t="shared" si="35"/>
        <v>4</v>
      </c>
      <c r="N213" s="417" t="e">
        <f t="shared" si="36"/>
        <v>#DIV/0!</v>
      </c>
    </row>
    <row r="214" spans="1:14">
      <c r="A214" s="414">
        <f t="shared" si="33"/>
        <v>19004</v>
      </c>
      <c r="H214" s="17"/>
      <c r="I214" s="17"/>
      <c r="J214" s="17"/>
      <c r="K214" s="17"/>
      <c r="L214" s="98">
        <f t="shared" si="34"/>
        <v>1900</v>
      </c>
      <c r="M214" s="98" t="str">
        <f t="shared" si="35"/>
        <v>4</v>
      </c>
      <c r="N214" s="417" t="e">
        <f t="shared" si="36"/>
        <v>#DIV/0!</v>
      </c>
    </row>
    <row r="215" spans="1:14">
      <c r="A215" s="414">
        <f t="shared" si="33"/>
        <v>19004</v>
      </c>
      <c r="H215" s="17"/>
      <c r="I215" s="17"/>
      <c r="J215" s="17"/>
      <c r="K215" s="17"/>
      <c r="L215" s="98">
        <f t="shared" si="34"/>
        <v>1900</v>
      </c>
      <c r="M215" s="98" t="str">
        <f t="shared" si="35"/>
        <v>4</v>
      </c>
      <c r="N215" s="417" t="e">
        <f t="shared" si="36"/>
        <v>#DIV/0!</v>
      </c>
    </row>
    <row r="216" spans="1:14">
      <c r="A216" s="414">
        <f t="shared" si="33"/>
        <v>19004</v>
      </c>
      <c r="H216" s="17"/>
      <c r="I216" s="17"/>
      <c r="J216" s="17"/>
      <c r="K216" s="17"/>
      <c r="L216" s="98">
        <f t="shared" si="34"/>
        <v>1900</v>
      </c>
      <c r="M216" s="98" t="str">
        <f t="shared" si="35"/>
        <v>4</v>
      </c>
      <c r="N216" s="417" t="e">
        <f t="shared" si="36"/>
        <v>#DIV/0!</v>
      </c>
    </row>
    <row r="217" spans="1:14">
      <c r="A217" s="414">
        <f t="shared" si="33"/>
        <v>19004</v>
      </c>
      <c r="H217" s="17"/>
      <c r="I217" s="17"/>
      <c r="J217" s="17"/>
      <c r="K217" s="17"/>
      <c r="L217" s="98">
        <f t="shared" si="34"/>
        <v>1900</v>
      </c>
      <c r="M217" s="98" t="str">
        <f t="shared" si="35"/>
        <v>4</v>
      </c>
      <c r="N217" s="417" t="e">
        <f t="shared" si="36"/>
        <v>#DIV/0!</v>
      </c>
    </row>
    <row r="218" spans="1:14">
      <c r="A218" s="414">
        <f t="shared" si="33"/>
        <v>19004</v>
      </c>
      <c r="H218" s="17"/>
      <c r="I218" s="17"/>
      <c r="J218" s="17"/>
      <c r="K218" s="17"/>
      <c r="L218" s="98">
        <f t="shared" si="34"/>
        <v>1900</v>
      </c>
      <c r="M218" s="98" t="str">
        <f t="shared" si="35"/>
        <v>4</v>
      </c>
      <c r="N218" s="417" t="e">
        <f t="shared" si="36"/>
        <v>#DIV/0!</v>
      </c>
    </row>
    <row r="219" spans="1:14">
      <c r="A219" s="414">
        <f t="shared" si="33"/>
        <v>19004</v>
      </c>
      <c r="H219" s="17"/>
      <c r="I219" s="17"/>
      <c r="J219" s="17"/>
      <c r="K219" s="17"/>
      <c r="L219" s="98">
        <f t="shared" si="34"/>
        <v>1900</v>
      </c>
      <c r="M219" s="98" t="str">
        <f t="shared" si="35"/>
        <v>4</v>
      </c>
      <c r="N219" s="417" t="e">
        <f t="shared" si="36"/>
        <v>#DIV/0!</v>
      </c>
    </row>
    <row r="220" spans="1:14">
      <c r="A220" s="414">
        <f t="shared" si="33"/>
        <v>19004</v>
      </c>
      <c r="H220" s="17"/>
      <c r="I220" s="17"/>
      <c r="J220" s="17"/>
      <c r="K220" s="17"/>
      <c r="L220" s="98">
        <f t="shared" si="34"/>
        <v>1900</v>
      </c>
      <c r="M220" s="98" t="str">
        <f t="shared" si="35"/>
        <v>4</v>
      </c>
      <c r="N220" s="417" t="e">
        <f t="shared" si="36"/>
        <v>#DIV/0!</v>
      </c>
    </row>
    <row r="221" spans="1:14">
      <c r="A221" s="414">
        <f t="shared" si="33"/>
        <v>19004</v>
      </c>
      <c r="H221" s="17"/>
      <c r="I221" s="17"/>
      <c r="J221" s="17"/>
      <c r="K221" s="17"/>
      <c r="L221" s="98">
        <f t="shared" si="34"/>
        <v>1900</v>
      </c>
      <c r="M221" s="98" t="str">
        <f t="shared" si="35"/>
        <v>4</v>
      </c>
      <c r="N221" s="417" t="e">
        <f t="shared" si="36"/>
        <v>#DIV/0!</v>
      </c>
    </row>
    <row r="222" spans="1:14">
      <c r="A222" s="414">
        <f t="shared" si="33"/>
        <v>19004</v>
      </c>
      <c r="H222" s="17"/>
      <c r="I222" s="17"/>
      <c r="J222" s="17"/>
      <c r="K222" s="17"/>
      <c r="L222" s="98">
        <f t="shared" si="34"/>
        <v>1900</v>
      </c>
      <c r="M222" s="98" t="str">
        <f t="shared" si="35"/>
        <v>4</v>
      </c>
      <c r="N222" s="417" t="e">
        <f t="shared" si="36"/>
        <v>#DIV/0!</v>
      </c>
    </row>
    <row r="223" spans="1:14">
      <c r="A223" s="414">
        <f t="shared" si="33"/>
        <v>19004</v>
      </c>
      <c r="H223" s="17"/>
      <c r="I223" s="17"/>
      <c r="J223" s="17"/>
      <c r="K223" s="17"/>
      <c r="L223" s="98">
        <f t="shared" si="34"/>
        <v>1900</v>
      </c>
      <c r="M223" s="98" t="str">
        <f t="shared" si="35"/>
        <v>4</v>
      </c>
      <c r="N223" s="417" t="e">
        <f t="shared" si="36"/>
        <v>#DIV/0!</v>
      </c>
    </row>
    <row r="224" spans="1:14">
      <c r="A224" s="414">
        <f t="shared" si="33"/>
        <v>19004</v>
      </c>
      <c r="H224" s="17"/>
      <c r="I224" s="17"/>
      <c r="J224" s="17"/>
      <c r="K224" s="17"/>
      <c r="L224" s="98">
        <f t="shared" si="34"/>
        <v>1900</v>
      </c>
      <c r="M224" s="98" t="str">
        <f t="shared" si="35"/>
        <v>4</v>
      </c>
      <c r="N224" s="417" t="e">
        <f t="shared" si="36"/>
        <v>#DIV/0!</v>
      </c>
    </row>
    <row r="225" spans="1:14">
      <c r="A225" s="414">
        <f t="shared" si="33"/>
        <v>19004</v>
      </c>
      <c r="H225" s="17"/>
      <c r="I225" s="17"/>
      <c r="J225" s="17"/>
      <c r="K225" s="17"/>
      <c r="L225" s="98">
        <f t="shared" si="34"/>
        <v>1900</v>
      </c>
      <c r="M225" s="98" t="str">
        <f t="shared" si="35"/>
        <v>4</v>
      </c>
      <c r="N225" s="417" t="e">
        <f t="shared" si="36"/>
        <v>#DIV/0!</v>
      </c>
    </row>
    <row r="226" spans="1:14">
      <c r="A226" s="414">
        <f t="shared" si="33"/>
        <v>19004</v>
      </c>
      <c r="H226" s="17"/>
      <c r="I226" s="17"/>
      <c r="J226" s="17"/>
      <c r="K226" s="17"/>
      <c r="L226" s="98">
        <f t="shared" si="34"/>
        <v>1900</v>
      </c>
      <c r="M226" s="98" t="str">
        <f t="shared" si="35"/>
        <v>4</v>
      </c>
      <c r="N226" s="417" t="e">
        <f t="shared" si="36"/>
        <v>#DIV/0!</v>
      </c>
    </row>
    <row r="227" spans="1:14">
      <c r="A227" s="414">
        <f t="shared" si="33"/>
        <v>19004</v>
      </c>
      <c r="H227" s="17"/>
      <c r="I227" s="17"/>
      <c r="J227" s="17"/>
      <c r="K227" s="17"/>
      <c r="L227" s="98">
        <f t="shared" si="34"/>
        <v>1900</v>
      </c>
      <c r="M227" s="98" t="str">
        <f t="shared" si="35"/>
        <v>4</v>
      </c>
      <c r="N227" s="417" t="e">
        <f t="shared" si="36"/>
        <v>#DIV/0!</v>
      </c>
    </row>
    <row r="228" spans="1:14">
      <c r="A228" s="414">
        <f t="shared" si="33"/>
        <v>19004</v>
      </c>
      <c r="H228" s="17"/>
      <c r="I228" s="17"/>
      <c r="J228" s="17"/>
      <c r="K228" s="17"/>
      <c r="L228" s="98">
        <f t="shared" si="34"/>
        <v>1900</v>
      </c>
      <c r="M228" s="98" t="str">
        <f t="shared" si="35"/>
        <v>4</v>
      </c>
      <c r="N228" s="417" t="e">
        <f t="shared" si="36"/>
        <v>#DIV/0!</v>
      </c>
    </row>
    <row r="229" spans="1:14">
      <c r="A229" s="414">
        <f t="shared" si="33"/>
        <v>19004</v>
      </c>
      <c r="H229" s="17"/>
      <c r="I229" s="17"/>
      <c r="J229" s="17"/>
      <c r="K229" s="17"/>
      <c r="L229" s="98">
        <f t="shared" si="34"/>
        <v>1900</v>
      </c>
      <c r="M229" s="98" t="str">
        <f t="shared" si="35"/>
        <v>4</v>
      </c>
      <c r="N229" s="417" t="e">
        <f t="shared" si="36"/>
        <v>#DIV/0!</v>
      </c>
    </row>
    <row r="230" spans="1:14">
      <c r="A230" s="414">
        <f t="shared" si="33"/>
        <v>19004</v>
      </c>
      <c r="H230" s="17"/>
      <c r="I230" s="17"/>
      <c r="J230" s="17"/>
      <c r="K230" s="17"/>
      <c r="L230" s="98">
        <f t="shared" si="34"/>
        <v>1900</v>
      </c>
      <c r="M230" s="98" t="str">
        <f t="shared" si="35"/>
        <v>4</v>
      </c>
      <c r="N230" s="417" t="e">
        <f t="shared" si="36"/>
        <v>#DIV/0!</v>
      </c>
    </row>
    <row r="231" spans="1:14">
      <c r="A231" s="414">
        <f t="shared" si="33"/>
        <v>19004</v>
      </c>
      <c r="H231" s="17"/>
      <c r="I231" s="17"/>
      <c r="J231" s="17"/>
      <c r="K231" s="17"/>
      <c r="L231" s="98">
        <f t="shared" si="34"/>
        <v>1900</v>
      </c>
      <c r="M231" s="98" t="str">
        <f t="shared" si="35"/>
        <v>4</v>
      </c>
      <c r="N231" s="417" t="e">
        <f t="shared" si="36"/>
        <v>#DIV/0!</v>
      </c>
    </row>
    <row r="232" spans="1:14">
      <c r="A232" s="414">
        <f t="shared" si="33"/>
        <v>19004</v>
      </c>
      <c r="H232" s="17"/>
      <c r="I232" s="17"/>
      <c r="J232" s="17"/>
      <c r="K232" s="17"/>
      <c r="L232" s="98">
        <f t="shared" si="34"/>
        <v>1900</v>
      </c>
      <c r="M232" s="98" t="str">
        <f t="shared" si="35"/>
        <v>4</v>
      </c>
      <c r="N232" s="417" t="e">
        <f t="shared" si="36"/>
        <v>#DIV/0!</v>
      </c>
    </row>
    <row r="233" spans="1:14">
      <c r="A233" s="414">
        <f t="shared" si="33"/>
        <v>19004</v>
      </c>
      <c r="H233" s="17"/>
      <c r="I233" s="17"/>
      <c r="J233" s="17"/>
      <c r="K233" s="17"/>
      <c r="L233" s="98">
        <f t="shared" si="34"/>
        <v>1900</v>
      </c>
      <c r="M233" s="98" t="str">
        <f t="shared" si="35"/>
        <v>4</v>
      </c>
      <c r="N233" s="417" t="e">
        <f t="shared" si="36"/>
        <v>#DIV/0!</v>
      </c>
    </row>
    <row r="234" spans="1:14">
      <c r="A234" s="414">
        <f t="shared" si="33"/>
        <v>19004</v>
      </c>
      <c r="H234" s="17"/>
      <c r="I234" s="17"/>
      <c r="J234" s="17"/>
      <c r="K234" s="17"/>
      <c r="L234" s="98">
        <f t="shared" si="34"/>
        <v>1900</v>
      </c>
      <c r="M234" s="98" t="str">
        <f t="shared" si="35"/>
        <v>4</v>
      </c>
      <c r="N234" s="417" t="e">
        <f t="shared" si="36"/>
        <v>#DIV/0!</v>
      </c>
    </row>
    <row r="235" spans="1:14">
      <c r="A235" s="414">
        <f t="shared" si="33"/>
        <v>19004</v>
      </c>
      <c r="H235" s="17"/>
      <c r="I235" s="17"/>
      <c r="J235" s="17"/>
      <c r="K235" s="17"/>
      <c r="L235" s="98">
        <f t="shared" si="34"/>
        <v>1900</v>
      </c>
      <c r="M235" s="98" t="str">
        <f t="shared" si="35"/>
        <v>4</v>
      </c>
      <c r="N235" s="417" t="e">
        <f t="shared" si="36"/>
        <v>#DIV/0!</v>
      </c>
    </row>
    <row r="236" spans="1:14">
      <c r="A236" s="414">
        <f t="shared" si="33"/>
        <v>19004</v>
      </c>
      <c r="H236" s="17"/>
      <c r="I236" s="17"/>
      <c r="J236" s="17"/>
      <c r="K236" s="17"/>
      <c r="L236" s="98">
        <f t="shared" si="34"/>
        <v>1900</v>
      </c>
      <c r="M236" s="98" t="str">
        <f t="shared" si="35"/>
        <v>4</v>
      </c>
      <c r="N236" s="417" t="e">
        <f t="shared" si="36"/>
        <v>#DIV/0!</v>
      </c>
    </row>
    <row r="237" spans="1:14">
      <c r="A237" s="414">
        <f t="shared" si="33"/>
        <v>19004</v>
      </c>
      <c r="H237" s="17"/>
      <c r="I237" s="17"/>
      <c r="J237" s="17"/>
      <c r="K237" s="17"/>
      <c r="L237" s="98">
        <f t="shared" si="34"/>
        <v>1900</v>
      </c>
      <c r="M237" s="98" t="str">
        <f t="shared" si="35"/>
        <v>4</v>
      </c>
      <c r="N237" s="417" t="e">
        <f t="shared" si="36"/>
        <v>#DIV/0!</v>
      </c>
    </row>
    <row r="238" spans="1:14">
      <c r="A238" s="414">
        <f t="shared" si="33"/>
        <v>19004</v>
      </c>
      <c r="H238" s="17"/>
      <c r="I238" s="17"/>
      <c r="J238" s="17"/>
      <c r="K238" s="17"/>
      <c r="L238" s="98">
        <f t="shared" si="34"/>
        <v>1900</v>
      </c>
      <c r="M238" s="98" t="str">
        <f t="shared" si="35"/>
        <v>4</v>
      </c>
      <c r="N238" s="417" t="e">
        <f t="shared" si="36"/>
        <v>#DIV/0!</v>
      </c>
    </row>
    <row r="239" spans="1:14">
      <c r="A239" s="414">
        <f t="shared" si="33"/>
        <v>19004</v>
      </c>
      <c r="H239" s="17"/>
      <c r="I239" s="17"/>
      <c r="J239" s="17"/>
      <c r="K239" s="17"/>
      <c r="L239" s="98">
        <f t="shared" si="34"/>
        <v>1900</v>
      </c>
      <c r="M239" s="98" t="str">
        <f t="shared" si="35"/>
        <v>4</v>
      </c>
      <c r="N239" s="417" t="e">
        <f t="shared" si="36"/>
        <v>#DIV/0!</v>
      </c>
    </row>
    <row r="240" spans="1:14">
      <c r="A240" s="414">
        <f t="shared" si="33"/>
        <v>19004</v>
      </c>
      <c r="H240" s="17"/>
      <c r="I240" s="17"/>
      <c r="J240" s="17"/>
      <c r="K240" s="17"/>
      <c r="L240" s="98">
        <f t="shared" si="34"/>
        <v>1900</v>
      </c>
      <c r="M240" s="98" t="str">
        <f t="shared" si="35"/>
        <v>4</v>
      </c>
      <c r="N240" s="417" t="e">
        <f t="shared" si="36"/>
        <v>#DIV/0!</v>
      </c>
    </row>
    <row r="241" spans="1:14">
      <c r="A241" s="414">
        <f t="shared" si="33"/>
        <v>19004</v>
      </c>
      <c r="H241" s="17"/>
      <c r="I241" s="17"/>
      <c r="J241" s="17"/>
      <c r="K241" s="17"/>
      <c r="L241" s="98">
        <f t="shared" si="34"/>
        <v>1900</v>
      </c>
      <c r="M241" s="98" t="str">
        <f t="shared" si="35"/>
        <v>4</v>
      </c>
      <c r="N241" s="417" t="e">
        <f t="shared" si="36"/>
        <v>#DIV/0!</v>
      </c>
    </row>
    <row r="242" spans="1:14">
      <c r="A242" s="414">
        <f t="shared" si="33"/>
        <v>19004</v>
      </c>
      <c r="H242" s="17"/>
      <c r="I242" s="17"/>
      <c r="J242" s="17"/>
      <c r="K242" s="17"/>
      <c r="L242" s="98">
        <f t="shared" si="34"/>
        <v>1900</v>
      </c>
      <c r="M242" s="98" t="str">
        <f t="shared" si="35"/>
        <v>4</v>
      </c>
      <c r="N242" s="417" t="e">
        <f t="shared" si="36"/>
        <v>#DIV/0!</v>
      </c>
    </row>
    <row r="243" spans="1:14">
      <c r="A243" s="414">
        <f t="shared" si="33"/>
        <v>19004</v>
      </c>
      <c r="H243" s="17"/>
      <c r="I243" s="17"/>
      <c r="J243" s="17"/>
      <c r="K243" s="17"/>
      <c r="L243" s="98">
        <f t="shared" si="34"/>
        <v>1900</v>
      </c>
      <c r="M243" s="98" t="str">
        <f t="shared" si="35"/>
        <v>4</v>
      </c>
      <c r="N243" s="417" t="e">
        <f t="shared" si="36"/>
        <v>#DIV/0!</v>
      </c>
    </row>
    <row r="244" spans="1:14">
      <c r="A244" s="414">
        <f t="shared" si="33"/>
        <v>19004</v>
      </c>
      <c r="H244" s="17"/>
      <c r="I244" s="17"/>
      <c r="J244" s="17"/>
      <c r="K244" s="17"/>
      <c r="L244" s="98">
        <f t="shared" si="34"/>
        <v>1900</v>
      </c>
      <c r="M244" s="98" t="str">
        <f t="shared" si="35"/>
        <v>4</v>
      </c>
      <c r="N244" s="417" t="e">
        <f t="shared" si="36"/>
        <v>#DIV/0!</v>
      </c>
    </row>
    <row r="245" spans="1:14">
      <c r="A245" s="414">
        <f t="shared" si="33"/>
        <v>19004</v>
      </c>
      <c r="H245" s="17"/>
      <c r="I245" s="17"/>
      <c r="J245" s="17"/>
      <c r="K245" s="17"/>
      <c r="L245" s="98">
        <f t="shared" si="34"/>
        <v>1900</v>
      </c>
      <c r="M245" s="98" t="str">
        <f t="shared" si="35"/>
        <v>4</v>
      </c>
      <c r="N245" s="417" t="e">
        <f t="shared" si="36"/>
        <v>#DIV/0!</v>
      </c>
    </row>
    <row r="246" spans="1:14">
      <c r="A246" s="414">
        <f t="shared" si="33"/>
        <v>19004</v>
      </c>
      <c r="H246" s="17"/>
      <c r="I246" s="17"/>
      <c r="J246" s="17"/>
      <c r="K246" s="17"/>
      <c r="L246" s="98">
        <f t="shared" si="34"/>
        <v>1900</v>
      </c>
      <c r="M246" s="98" t="str">
        <f t="shared" si="35"/>
        <v>4</v>
      </c>
      <c r="N246" s="417" t="e">
        <f t="shared" si="36"/>
        <v>#DIV/0!</v>
      </c>
    </row>
    <row r="247" spans="1:14">
      <c r="A247" s="414">
        <f t="shared" si="33"/>
        <v>19004</v>
      </c>
      <c r="H247" s="17"/>
      <c r="I247" s="17"/>
      <c r="J247" s="17"/>
      <c r="K247" s="17"/>
      <c r="L247" s="98">
        <f t="shared" si="34"/>
        <v>1900</v>
      </c>
      <c r="M247" s="98" t="str">
        <f t="shared" si="35"/>
        <v>4</v>
      </c>
      <c r="N247" s="417" t="e">
        <f t="shared" si="36"/>
        <v>#DIV/0!</v>
      </c>
    </row>
    <row r="248" spans="1:14">
      <c r="A248" s="414">
        <f t="shared" si="33"/>
        <v>19004</v>
      </c>
      <c r="H248" s="17"/>
      <c r="I248" s="17"/>
      <c r="J248" s="17"/>
      <c r="K248" s="17"/>
      <c r="L248" s="98">
        <f t="shared" si="34"/>
        <v>1900</v>
      </c>
      <c r="M248" s="98" t="str">
        <f t="shared" si="35"/>
        <v>4</v>
      </c>
      <c r="N248" s="417" t="e">
        <f t="shared" si="36"/>
        <v>#DIV/0!</v>
      </c>
    </row>
    <row r="249" spans="1:14">
      <c r="A249" s="414">
        <f t="shared" si="33"/>
        <v>19004</v>
      </c>
      <c r="H249" s="17"/>
      <c r="I249" s="17"/>
      <c r="J249" s="17"/>
      <c r="K249" s="17"/>
      <c r="L249" s="98">
        <f t="shared" si="34"/>
        <v>1900</v>
      </c>
      <c r="M249" s="98" t="str">
        <f t="shared" si="35"/>
        <v>4</v>
      </c>
      <c r="N249" s="417" t="e">
        <f t="shared" si="36"/>
        <v>#DIV/0!</v>
      </c>
    </row>
    <row r="250" spans="1:14">
      <c r="A250" s="414">
        <f t="shared" si="33"/>
        <v>19004</v>
      </c>
      <c r="H250" s="17"/>
      <c r="I250" s="17"/>
      <c r="J250" s="17"/>
      <c r="K250" s="17"/>
      <c r="L250" s="98">
        <f t="shared" si="34"/>
        <v>1900</v>
      </c>
      <c r="M250" s="98" t="str">
        <f t="shared" si="35"/>
        <v>4</v>
      </c>
      <c r="N250" s="417" t="e">
        <f t="shared" si="36"/>
        <v>#DIV/0!</v>
      </c>
    </row>
    <row r="251" spans="1:14">
      <c r="H251" s="17"/>
      <c r="I251" s="17"/>
      <c r="J251" s="17"/>
      <c r="K251" s="17"/>
      <c r="L251" s="98"/>
      <c r="M251" s="98"/>
      <c r="N251" s="98"/>
    </row>
    <row r="252" spans="1:14">
      <c r="H252" s="17"/>
      <c r="I252" s="17"/>
      <c r="J252" s="17"/>
      <c r="K252" s="17"/>
      <c r="L252" s="99"/>
      <c r="M252" s="99"/>
      <c r="N252" s="99"/>
    </row>
    <row r="253" spans="1:14">
      <c r="H253" s="17"/>
      <c r="I253" s="17"/>
      <c r="J253" s="17"/>
      <c r="K253" s="17"/>
      <c r="L253" s="99"/>
      <c r="M253" s="99"/>
      <c r="N253" s="99"/>
    </row>
    <row r="254" spans="1:14">
      <c r="H254" s="17"/>
      <c r="I254" s="17"/>
      <c r="J254" s="17"/>
      <c r="K254" s="17"/>
      <c r="L254" s="99"/>
      <c r="M254" s="99"/>
      <c r="N254" s="99"/>
    </row>
    <row r="255" spans="1:14">
      <c r="H255" s="17"/>
      <c r="I255" s="17"/>
      <c r="J255" s="17"/>
      <c r="K255" s="17"/>
      <c r="L255" s="99"/>
      <c r="M255" s="99"/>
      <c r="N255" s="99"/>
    </row>
    <row r="256" spans="1:14">
      <c r="H256" s="17"/>
      <c r="I256" s="17"/>
      <c r="J256" s="17"/>
      <c r="K256" s="17"/>
      <c r="L256" s="99"/>
      <c r="M256" s="99"/>
      <c r="N256" s="99"/>
    </row>
    <row r="257" spans="8:14">
      <c r="H257" s="17"/>
      <c r="I257" s="17"/>
      <c r="J257" s="17"/>
      <c r="K257" s="17"/>
      <c r="L257" s="99"/>
      <c r="M257" s="99"/>
      <c r="N257" s="99"/>
    </row>
    <row r="258" spans="8:14">
      <c r="H258" s="17"/>
      <c r="I258" s="17"/>
      <c r="J258" s="17"/>
      <c r="K258" s="17"/>
      <c r="L258" s="99"/>
      <c r="M258" s="99"/>
      <c r="N258" s="99"/>
    </row>
    <row r="259" spans="8:14">
      <c r="H259" s="17"/>
      <c r="I259" s="17"/>
      <c r="J259" s="17"/>
      <c r="K259" s="17"/>
      <c r="L259" s="99"/>
      <c r="M259" s="99"/>
      <c r="N259" s="99"/>
    </row>
    <row r="260" spans="8:14">
      <c r="H260" s="17"/>
      <c r="I260" s="17"/>
      <c r="J260" s="17"/>
      <c r="K260" s="17"/>
      <c r="L260" s="99"/>
      <c r="M260" s="99"/>
      <c r="N260" s="99"/>
    </row>
    <row r="261" spans="8:14">
      <c r="H261" s="17"/>
      <c r="I261" s="17"/>
      <c r="J261" s="17"/>
      <c r="K261" s="17"/>
      <c r="L261" s="99"/>
      <c r="M261" s="99"/>
      <c r="N261" s="99"/>
    </row>
    <row r="262" spans="8:14">
      <c r="H262" s="17"/>
      <c r="I262" s="17"/>
      <c r="J262" s="17"/>
      <c r="K262" s="17"/>
      <c r="L262" s="99"/>
      <c r="M262" s="99"/>
      <c r="N262" s="99"/>
    </row>
    <row r="263" spans="8:14">
      <c r="H263" s="17"/>
      <c r="I263" s="17"/>
      <c r="J263" s="17"/>
      <c r="K263" s="17"/>
      <c r="L263" s="99"/>
      <c r="M263" s="99"/>
      <c r="N263" s="99"/>
    </row>
    <row r="264" spans="8:14">
      <c r="H264" s="17"/>
      <c r="I264" s="17"/>
      <c r="J264" s="17"/>
      <c r="K264" s="17"/>
      <c r="L264" s="99"/>
      <c r="M264" s="99"/>
      <c r="N264" s="99"/>
    </row>
    <row r="265" spans="8:14">
      <c r="H265" s="17"/>
      <c r="I265" s="17"/>
      <c r="J265" s="17"/>
      <c r="K265" s="17"/>
      <c r="L265" s="99"/>
      <c r="M265" s="99"/>
      <c r="N265" s="99"/>
    </row>
    <row r="266" spans="8:14">
      <c r="H266" s="17"/>
      <c r="I266" s="17"/>
      <c r="J266" s="17"/>
      <c r="K266" s="17"/>
      <c r="L266" s="99"/>
      <c r="M266" s="99"/>
      <c r="N266" s="99"/>
    </row>
    <row r="267" spans="8:14">
      <c r="H267" s="17"/>
      <c r="I267" s="17"/>
      <c r="J267" s="17"/>
      <c r="K267" s="17"/>
      <c r="L267" s="99"/>
      <c r="M267" s="99"/>
      <c r="N267" s="99"/>
    </row>
    <row r="268" spans="8:14">
      <c r="H268" s="17"/>
      <c r="I268" s="17"/>
      <c r="J268" s="17"/>
      <c r="K268" s="17"/>
      <c r="L268" s="99"/>
      <c r="M268" s="99"/>
      <c r="N268" s="99"/>
    </row>
    <row r="269" spans="8:14">
      <c r="H269" s="17"/>
      <c r="I269" s="17"/>
      <c r="J269" s="17"/>
      <c r="K269" s="17"/>
      <c r="L269" s="99"/>
      <c r="M269" s="99"/>
      <c r="N269" s="99"/>
    </row>
    <row r="270" spans="8:14">
      <c r="H270" s="17"/>
      <c r="I270" s="17"/>
      <c r="J270" s="17"/>
      <c r="K270" s="17"/>
      <c r="L270" s="99"/>
      <c r="M270" s="99"/>
      <c r="N270" s="99"/>
    </row>
    <row r="271" spans="8:14">
      <c r="H271" s="17"/>
      <c r="I271" s="17"/>
      <c r="J271" s="17"/>
      <c r="K271" s="17"/>
      <c r="L271" s="99"/>
      <c r="M271" s="99"/>
      <c r="N271" s="99"/>
    </row>
    <row r="272" spans="8:14">
      <c r="H272" s="17"/>
      <c r="I272" s="17"/>
      <c r="J272" s="17"/>
      <c r="K272" s="17"/>
      <c r="L272" s="99"/>
      <c r="M272" s="99"/>
      <c r="N272" s="99"/>
    </row>
    <row r="273" spans="8:14">
      <c r="H273" s="17"/>
      <c r="I273" s="17"/>
      <c r="J273" s="17"/>
      <c r="K273" s="17"/>
      <c r="L273" s="99"/>
      <c r="M273" s="99"/>
      <c r="N273" s="99"/>
    </row>
    <row r="274" spans="8:14">
      <c r="H274" s="17"/>
      <c r="I274" s="17"/>
      <c r="J274" s="17"/>
      <c r="K274" s="17"/>
      <c r="L274" s="99"/>
      <c r="M274" s="99"/>
      <c r="N274" s="99"/>
    </row>
    <row r="275" spans="8:14">
      <c r="H275" s="17"/>
      <c r="I275" s="17"/>
      <c r="J275" s="17"/>
      <c r="K275" s="17"/>
      <c r="L275" s="99"/>
      <c r="M275" s="99"/>
      <c r="N275" s="99"/>
    </row>
    <row r="276" spans="8:14">
      <c r="H276" s="17"/>
      <c r="I276" s="17"/>
      <c r="J276" s="17"/>
      <c r="K276" s="17"/>
      <c r="L276" s="99"/>
      <c r="M276" s="99"/>
      <c r="N276" s="99"/>
    </row>
    <row r="277" spans="8:14">
      <c r="H277" s="17"/>
      <c r="I277" s="17"/>
      <c r="J277" s="17"/>
      <c r="K277" s="17"/>
      <c r="L277" s="99"/>
      <c r="M277" s="99"/>
      <c r="N277" s="99"/>
    </row>
    <row r="278" spans="8:14">
      <c r="H278" s="17"/>
      <c r="I278" s="17"/>
      <c r="J278" s="17"/>
      <c r="K278" s="17"/>
      <c r="L278" s="99"/>
      <c r="M278" s="99"/>
      <c r="N278" s="99"/>
    </row>
    <row r="279" spans="8:14">
      <c r="H279" s="17"/>
      <c r="I279" s="17"/>
      <c r="J279" s="17"/>
      <c r="K279" s="17"/>
      <c r="L279" s="99"/>
      <c r="M279" s="99"/>
      <c r="N279" s="99"/>
    </row>
    <row r="280" spans="8:14">
      <c r="H280" s="17"/>
      <c r="I280" s="17"/>
      <c r="J280" s="17"/>
      <c r="K280" s="17"/>
      <c r="L280" s="99"/>
      <c r="M280" s="99"/>
      <c r="N280" s="99"/>
    </row>
    <row r="281" spans="8:14">
      <c r="H281" s="17"/>
      <c r="I281" s="17"/>
      <c r="J281" s="17"/>
      <c r="K281" s="17"/>
      <c r="L281" s="99"/>
      <c r="M281" s="99"/>
      <c r="N281" s="99"/>
    </row>
    <row r="282" spans="8:14">
      <c r="H282" s="17"/>
      <c r="I282" s="17"/>
      <c r="J282" s="17"/>
      <c r="K282" s="17"/>
      <c r="L282" s="99"/>
      <c r="M282" s="99"/>
      <c r="N282" s="99"/>
    </row>
    <row r="283" spans="8:14">
      <c r="H283" s="17"/>
      <c r="I283" s="17"/>
      <c r="J283" s="17"/>
      <c r="K283" s="17"/>
      <c r="L283" s="99"/>
      <c r="M283" s="99"/>
      <c r="N283" s="99"/>
    </row>
    <row r="284" spans="8:14">
      <c r="H284" s="17"/>
      <c r="I284" s="17"/>
      <c r="J284" s="17"/>
      <c r="K284" s="17"/>
      <c r="L284" s="99"/>
      <c r="M284" s="99"/>
      <c r="N284" s="99"/>
    </row>
    <row r="285" spans="8:14">
      <c r="H285" s="17"/>
      <c r="I285" s="17"/>
      <c r="J285" s="17"/>
      <c r="K285" s="17"/>
      <c r="L285" s="99"/>
      <c r="M285" s="99"/>
      <c r="N285" s="99"/>
    </row>
    <row r="286" spans="8:14">
      <c r="H286" s="17"/>
      <c r="I286" s="17"/>
      <c r="J286" s="17"/>
      <c r="K286" s="17"/>
      <c r="L286" s="99"/>
      <c r="M286" s="99"/>
      <c r="N286" s="99"/>
    </row>
    <row r="287" spans="8:14">
      <c r="H287" s="17"/>
      <c r="I287" s="17"/>
      <c r="J287" s="17"/>
      <c r="K287" s="17"/>
      <c r="L287" s="99"/>
      <c r="M287" s="99"/>
      <c r="N287" s="99"/>
    </row>
    <row r="288" spans="8:14">
      <c r="H288" s="17"/>
      <c r="I288" s="17"/>
      <c r="J288" s="17"/>
      <c r="K288" s="17"/>
      <c r="L288" s="99"/>
      <c r="M288" s="99"/>
      <c r="N288" s="99"/>
    </row>
    <row r="289" spans="8:14">
      <c r="H289" s="17"/>
      <c r="I289" s="17"/>
      <c r="J289" s="17"/>
      <c r="K289" s="17"/>
      <c r="L289" s="99"/>
      <c r="M289" s="99"/>
      <c r="N289" s="99"/>
    </row>
    <row r="290" spans="8:14">
      <c r="H290" s="17"/>
      <c r="I290" s="17"/>
      <c r="J290" s="17"/>
      <c r="K290" s="17"/>
      <c r="L290" s="99"/>
      <c r="M290" s="99"/>
      <c r="N290" s="99"/>
    </row>
    <row r="291" spans="8:14">
      <c r="H291" s="17"/>
      <c r="I291" s="17"/>
      <c r="J291" s="17"/>
      <c r="K291" s="17"/>
      <c r="L291" s="99"/>
      <c r="M291" s="99"/>
      <c r="N291" s="99"/>
    </row>
    <row r="292" spans="8:14">
      <c r="H292" s="17"/>
      <c r="I292" s="17"/>
      <c r="J292" s="17"/>
      <c r="K292" s="17"/>
      <c r="L292" s="99"/>
      <c r="M292" s="99"/>
      <c r="N292" s="99"/>
    </row>
    <row r="293" spans="8:14">
      <c r="H293" s="17"/>
      <c r="I293" s="17"/>
      <c r="J293" s="17"/>
      <c r="K293" s="17"/>
      <c r="L293" s="99"/>
      <c r="M293" s="99"/>
      <c r="N293" s="99"/>
    </row>
    <row r="294" spans="8:14">
      <c r="H294" s="17"/>
      <c r="I294" s="17"/>
      <c r="J294" s="17"/>
      <c r="K294" s="17"/>
      <c r="L294" s="99"/>
      <c r="M294" s="99"/>
      <c r="N294" s="99"/>
    </row>
    <row r="295" spans="8:14">
      <c r="H295" s="17"/>
      <c r="I295" s="17"/>
      <c r="J295" s="17"/>
      <c r="K295" s="17"/>
      <c r="L295" s="99"/>
      <c r="M295" s="99"/>
      <c r="N295" s="99"/>
    </row>
    <row r="296" spans="8:14">
      <c r="H296" s="17"/>
      <c r="I296" s="17"/>
      <c r="J296" s="17"/>
      <c r="K296" s="17"/>
      <c r="L296" s="99"/>
      <c r="M296" s="99"/>
      <c r="N296" s="99"/>
    </row>
    <row r="297" spans="8:14">
      <c r="H297" s="17"/>
      <c r="I297" s="17"/>
      <c r="J297" s="17"/>
      <c r="K297" s="17"/>
      <c r="L297" s="99"/>
      <c r="M297" s="99"/>
      <c r="N297" s="99"/>
    </row>
    <row r="298" spans="8:14">
      <c r="H298" s="17"/>
      <c r="I298" s="17"/>
      <c r="J298" s="17"/>
      <c r="K298" s="17"/>
      <c r="L298" s="99"/>
      <c r="M298" s="99"/>
      <c r="N298" s="99"/>
    </row>
    <row r="299" spans="8:14">
      <c r="H299" s="17"/>
      <c r="I299" s="17"/>
      <c r="J299" s="17"/>
      <c r="K299" s="17"/>
      <c r="L299" s="99"/>
      <c r="M299" s="99"/>
      <c r="N299" s="99"/>
    </row>
    <row r="300" spans="8:14">
      <c r="H300" s="17"/>
      <c r="I300" s="17"/>
      <c r="J300" s="17"/>
      <c r="K300" s="17"/>
      <c r="L300" s="99"/>
      <c r="M300" s="99"/>
      <c r="N300" s="99"/>
    </row>
    <row r="301" spans="8:14">
      <c r="H301" s="17"/>
      <c r="I301" s="17"/>
      <c r="J301" s="17"/>
      <c r="K301" s="17"/>
      <c r="L301" s="99"/>
      <c r="M301" s="99"/>
      <c r="N301" s="99"/>
    </row>
    <row r="302" spans="8:14">
      <c r="H302" s="17"/>
      <c r="I302" s="17"/>
      <c r="J302" s="17"/>
      <c r="K302" s="17"/>
      <c r="L302" s="99"/>
      <c r="M302" s="99"/>
      <c r="N302" s="99"/>
    </row>
    <row r="303" spans="8:14">
      <c r="H303" s="17"/>
      <c r="I303" s="17"/>
      <c r="J303" s="17"/>
      <c r="K303" s="17"/>
      <c r="L303" s="99"/>
      <c r="M303" s="99"/>
      <c r="N303" s="99"/>
    </row>
    <row r="304" spans="8:14">
      <c r="H304" s="17"/>
      <c r="I304" s="17"/>
      <c r="J304" s="17"/>
      <c r="K304" s="17"/>
      <c r="L304" s="99"/>
      <c r="M304" s="99"/>
      <c r="N304" s="99"/>
    </row>
    <row r="305" spans="8:14">
      <c r="H305" s="17"/>
      <c r="I305" s="17"/>
      <c r="J305" s="17"/>
      <c r="K305" s="17"/>
      <c r="L305" s="99"/>
      <c r="M305" s="99"/>
      <c r="N305" s="99"/>
    </row>
    <row r="306" spans="8:14">
      <c r="H306" s="17"/>
      <c r="I306" s="17"/>
      <c r="J306" s="17"/>
      <c r="K306" s="17"/>
      <c r="L306" s="99"/>
      <c r="M306" s="99"/>
      <c r="N306" s="99"/>
    </row>
    <row r="307" spans="8:14">
      <c r="H307" s="17"/>
      <c r="I307" s="17"/>
      <c r="J307" s="17"/>
      <c r="K307" s="17"/>
      <c r="L307" s="99"/>
      <c r="M307" s="99"/>
      <c r="N307" s="99"/>
    </row>
    <row r="308" spans="8:14">
      <c r="H308" s="17"/>
      <c r="I308" s="17"/>
      <c r="J308" s="17"/>
      <c r="K308" s="17"/>
      <c r="L308" s="99"/>
      <c r="M308" s="99"/>
      <c r="N308" s="99"/>
    </row>
    <row r="309" spans="8:14">
      <c r="H309" s="17"/>
      <c r="I309" s="17"/>
      <c r="J309" s="17"/>
      <c r="K309" s="17"/>
      <c r="L309" s="99"/>
      <c r="M309" s="99"/>
      <c r="N309" s="99"/>
    </row>
    <row r="310" spans="8:14">
      <c r="H310" s="17"/>
      <c r="I310" s="17"/>
      <c r="J310" s="17"/>
      <c r="K310" s="17"/>
      <c r="L310" s="99"/>
      <c r="M310" s="99"/>
      <c r="N310" s="99"/>
    </row>
    <row r="311" spans="8:14">
      <c r="H311" s="17"/>
      <c r="I311" s="17"/>
      <c r="J311" s="17"/>
      <c r="K311" s="17"/>
      <c r="L311" s="99"/>
      <c r="M311" s="99"/>
      <c r="N311" s="99"/>
    </row>
    <row r="312" spans="8:14">
      <c r="H312" s="17"/>
      <c r="I312" s="17"/>
      <c r="J312" s="17"/>
      <c r="K312" s="17"/>
      <c r="L312" s="99"/>
      <c r="M312" s="99"/>
      <c r="N312" s="99"/>
    </row>
    <row r="313" spans="8:14">
      <c r="H313" s="17"/>
      <c r="I313" s="17"/>
      <c r="J313" s="17"/>
      <c r="K313" s="17"/>
      <c r="L313" s="99"/>
      <c r="M313" s="99"/>
      <c r="N313" s="99"/>
    </row>
    <row r="314" spans="8:14">
      <c r="H314" s="17"/>
      <c r="I314" s="17"/>
      <c r="J314" s="17"/>
      <c r="K314" s="17"/>
      <c r="L314" s="99"/>
      <c r="M314" s="99"/>
      <c r="N314" s="99"/>
    </row>
    <row r="315" spans="8:14">
      <c r="H315" s="17"/>
      <c r="I315" s="17"/>
      <c r="J315" s="17"/>
      <c r="K315" s="17"/>
      <c r="L315" s="99"/>
      <c r="M315" s="99"/>
      <c r="N315" s="99"/>
    </row>
    <row r="316" spans="8:14">
      <c r="H316" s="17"/>
      <c r="I316" s="17"/>
      <c r="J316" s="17"/>
      <c r="K316" s="17"/>
      <c r="L316" s="99"/>
      <c r="M316" s="99"/>
      <c r="N316" s="99"/>
    </row>
    <row r="317" spans="8:14">
      <c r="H317" s="17"/>
      <c r="I317" s="17"/>
      <c r="J317" s="17"/>
      <c r="K317" s="17"/>
      <c r="L317" s="99"/>
      <c r="M317" s="99"/>
      <c r="N317" s="99"/>
    </row>
    <row r="318" spans="8:14">
      <c r="H318" s="17"/>
      <c r="I318" s="17"/>
      <c r="J318" s="17"/>
      <c r="K318" s="17"/>
      <c r="L318" s="99"/>
      <c r="M318" s="99"/>
      <c r="N318" s="99"/>
    </row>
    <row r="319" spans="8:14">
      <c r="H319" s="17"/>
      <c r="I319" s="17"/>
      <c r="J319" s="17"/>
      <c r="K319" s="17"/>
      <c r="L319" s="99"/>
      <c r="M319" s="99"/>
      <c r="N319" s="99"/>
    </row>
    <row r="320" spans="8:14">
      <c r="H320" s="17"/>
      <c r="I320" s="17"/>
      <c r="J320" s="17"/>
      <c r="K320" s="17"/>
      <c r="L320" s="99"/>
      <c r="M320" s="99"/>
      <c r="N320" s="99"/>
    </row>
    <row r="321" spans="8:14">
      <c r="H321" s="17"/>
      <c r="I321" s="17"/>
      <c r="J321" s="17"/>
      <c r="K321" s="17"/>
      <c r="L321" s="99"/>
      <c r="M321" s="99"/>
      <c r="N321" s="99"/>
    </row>
    <row r="322" spans="8:14">
      <c r="H322" s="17"/>
      <c r="I322" s="17"/>
      <c r="J322" s="17"/>
      <c r="K322" s="17"/>
      <c r="L322" s="99"/>
      <c r="M322" s="99"/>
      <c r="N322" s="99"/>
    </row>
    <row r="323" spans="8:14">
      <c r="H323" s="17"/>
      <c r="I323" s="17"/>
      <c r="J323" s="17"/>
      <c r="K323" s="17"/>
      <c r="L323" s="99"/>
      <c r="M323" s="99"/>
      <c r="N323" s="99"/>
    </row>
    <row r="324" spans="8:14">
      <c r="H324" s="17"/>
      <c r="I324" s="17"/>
      <c r="J324" s="17"/>
      <c r="K324" s="17"/>
      <c r="L324" s="99"/>
      <c r="M324" s="99"/>
      <c r="N324" s="99"/>
    </row>
    <row r="325" spans="8:14">
      <c r="H325" s="17"/>
      <c r="I325" s="17"/>
      <c r="J325" s="17"/>
      <c r="K325" s="17"/>
      <c r="L325" s="99"/>
      <c r="M325" s="99"/>
      <c r="N325" s="99"/>
    </row>
    <row r="326" spans="8:14">
      <c r="H326" s="17"/>
      <c r="I326" s="17"/>
      <c r="J326" s="17"/>
      <c r="K326" s="17"/>
      <c r="L326" s="99"/>
      <c r="M326" s="99"/>
      <c r="N326" s="99"/>
    </row>
    <row r="327" spans="8:14">
      <c r="H327" s="17"/>
      <c r="I327" s="17"/>
      <c r="J327" s="17"/>
      <c r="K327" s="17"/>
      <c r="L327" s="99"/>
      <c r="M327" s="99"/>
      <c r="N327" s="99"/>
    </row>
    <row r="328" spans="8:14">
      <c r="H328" s="17"/>
      <c r="I328" s="17"/>
      <c r="J328" s="17"/>
      <c r="K328" s="17"/>
      <c r="L328" s="99"/>
      <c r="M328" s="99"/>
      <c r="N328" s="99"/>
    </row>
    <row r="329" spans="8:14">
      <c r="H329" s="17"/>
      <c r="I329" s="17"/>
      <c r="J329" s="17"/>
      <c r="K329" s="17"/>
      <c r="L329" s="99"/>
      <c r="M329" s="99"/>
      <c r="N329" s="99"/>
    </row>
    <row r="330" spans="8:14">
      <c r="H330" s="17"/>
      <c r="I330" s="17"/>
      <c r="J330" s="17"/>
      <c r="K330" s="17"/>
      <c r="L330" s="99"/>
      <c r="M330" s="99"/>
      <c r="N330" s="99"/>
    </row>
    <row r="331" spans="8:14">
      <c r="H331" s="17"/>
      <c r="I331" s="17"/>
      <c r="J331" s="17"/>
      <c r="K331" s="17"/>
      <c r="L331" s="99"/>
      <c r="M331" s="99"/>
      <c r="N331" s="99"/>
    </row>
    <row r="332" spans="8:14">
      <c r="H332" s="17"/>
      <c r="I332" s="17"/>
      <c r="J332" s="17"/>
      <c r="K332" s="17"/>
      <c r="L332" s="99"/>
      <c r="M332" s="99"/>
      <c r="N332" s="99"/>
    </row>
    <row r="333" spans="8:14">
      <c r="H333" s="17"/>
      <c r="I333" s="17"/>
      <c r="J333" s="17"/>
      <c r="K333" s="17"/>
      <c r="L333" s="99"/>
      <c r="M333" s="99"/>
      <c r="N333" s="99"/>
    </row>
    <row r="334" spans="8:14">
      <c r="H334" s="17"/>
      <c r="I334" s="17"/>
      <c r="J334" s="17"/>
      <c r="K334" s="17"/>
      <c r="L334" s="99"/>
      <c r="M334" s="99"/>
      <c r="N334" s="99"/>
    </row>
    <row r="335" spans="8:14">
      <c r="H335" s="17"/>
      <c r="I335" s="17"/>
      <c r="J335" s="17"/>
      <c r="K335" s="17"/>
      <c r="L335" s="99"/>
      <c r="M335" s="99"/>
      <c r="N335" s="99"/>
    </row>
    <row r="336" spans="8:14">
      <c r="H336" s="17"/>
      <c r="I336" s="17"/>
      <c r="J336" s="17"/>
      <c r="K336" s="17"/>
      <c r="L336" s="99"/>
      <c r="M336" s="99"/>
      <c r="N336" s="99"/>
    </row>
    <row r="337" spans="8:14">
      <c r="H337" s="17"/>
      <c r="I337" s="17"/>
      <c r="J337" s="17"/>
      <c r="K337" s="17"/>
      <c r="L337" s="99"/>
      <c r="M337" s="99"/>
      <c r="N337" s="99"/>
    </row>
    <row r="338" spans="8:14">
      <c r="H338" s="17"/>
      <c r="I338" s="17"/>
      <c r="J338" s="17"/>
      <c r="K338" s="17"/>
      <c r="L338" s="99"/>
      <c r="M338" s="99"/>
      <c r="N338" s="99"/>
    </row>
    <row r="339" spans="8:14">
      <c r="H339" s="17"/>
      <c r="I339" s="17"/>
      <c r="J339" s="17"/>
      <c r="K339" s="17"/>
      <c r="L339" s="99"/>
      <c r="M339" s="99"/>
      <c r="N339" s="99"/>
    </row>
    <row r="340" spans="8:14">
      <c r="H340" s="17"/>
      <c r="I340" s="17"/>
      <c r="J340" s="17"/>
      <c r="K340" s="17"/>
      <c r="L340" s="99"/>
      <c r="M340" s="99"/>
      <c r="N340" s="99"/>
    </row>
    <row r="341" spans="8:14">
      <c r="H341" s="17"/>
      <c r="I341" s="17"/>
      <c r="J341" s="17"/>
      <c r="K341" s="17"/>
      <c r="L341" s="99"/>
      <c r="M341" s="99"/>
      <c r="N341" s="99"/>
    </row>
    <row r="342" spans="8:14">
      <c r="H342" s="17"/>
      <c r="I342" s="17"/>
      <c r="J342" s="17"/>
      <c r="K342" s="17"/>
      <c r="L342" s="99"/>
      <c r="M342" s="99"/>
      <c r="N342" s="99"/>
    </row>
    <row r="343" spans="8:14">
      <c r="H343" s="17"/>
      <c r="I343" s="17"/>
      <c r="J343" s="17"/>
      <c r="K343" s="17"/>
      <c r="L343" s="99"/>
      <c r="M343" s="99"/>
      <c r="N343" s="99"/>
    </row>
    <row r="344" spans="8:14">
      <c r="H344" s="17"/>
      <c r="I344" s="17"/>
      <c r="J344" s="17"/>
      <c r="K344" s="17"/>
      <c r="L344" s="99"/>
      <c r="M344" s="99"/>
      <c r="N344" s="99"/>
    </row>
    <row r="345" spans="8:14">
      <c r="H345" s="17"/>
      <c r="I345" s="17"/>
      <c r="J345" s="17"/>
      <c r="K345" s="17"/>
      <c r="L345" s="99"/>
      <c r="M345" s="99"/>
      <c r="N345" s="99"/>
    </row>
    <row r="346" spans="8:14">
      <c r="H346" s="17"/>
      <c r="I346" s="17"/>
      <c r="J346" s="17"/>
      <c r="K346" s="17"/>
      <c r="L346" s="99"/>
      <c r="M346" s="99"/>
      <c r="N346" s="99"/>
    </row>
    <row r="347" spans="8:14">
      <c r="H347" s="17"/>
      <c r="I347" s="17"/>
      <c r="J347" s="17"/>
      <c r="K347" s="17"/>
      <c r="L347" s="99"/>
      <c r="M347" s="99"/>
      <c r="N347" s="99"/>
    </row>
    <row r="348" spans="8:14">
      <c r="H348" s="17"/>
      <c r="I348" s="17"/>
      <c r="J348" s="17"/>
      <c r="K348" s="17"/>
      <c r="L348" s="99"/>
      <c r="M348" s="99"/>
      <c r="N348" s="99"/>
    </row>
    <row r="349" spans="8:14">
      <c r="H349" s="17"/>
      <c r="I349" s="17"/>
      <c r="J349" s="17"/>
      <c r="K349" s="17"/>
      <c r="L349" s="99"/>
      <c r="M349" s="99"/>
      <c r="N349" s="99"/>
    </row>
    <row r="350" spans="8:14">
      <c r="H350" s="17"/>
      <c r="I350" s="17"/>
      <c r="J350" s="17"/>
      <c r="K350" s="17"/>
      <c r="L350" s="99"/>
      <c r="M350" s="99"/>
      <c r="N350" s="99"/>
    </row>
    <row r="351" spans="8:14">
      <c r="H351" s="17"/>
      <c r="I351" s="17"/>
      <c r="J351" s="17"/>
      <c r="K351" s="17"/>
      <c r="L351" s="99"/>
      <c r="M351" s="99"/>
      <c r="N351" s="99"/>
    </row>
    <row r="352" spans="8:14">
      <c r="H352" s="17"/>
      <c r="I352" s="17"/>
      <c r="J352" s="17"/>
      <c r="K352" s="17"/>
      <c r="L352" s="99"/>
      <c r="M352" s="99"/>
      <c r="N352" s="99"/>
    </row>
    <row r="353" spans="8:14">
      <c r="H353" s="17"/>
      <c r="I353" s="17"/>
      <c r="J353" s="17"/>
      <c r="K353" s="17"/>
      <c r="L353" s="99"/>
      <c r="M353" s="99"/>
      <c r="N353" s="99"/>
    </row>
    <row r="354" spans="8:14">
      <c r="H354" s="17"/>
      <c r="I354" s="17"/>
      <c r="J354" s="17"/>
      <c r="K354" s="17"/>
      <c r="L354" s="99"/>
      <c r="M354" s="99"/>
      <c r="N354" s="99"/>
    </row>
    <row r="355" spans="8:14">
      <c r="H355" s="17"/>
      <c r="I355" s="17"/>
      <c r="J355" s="17"/>
      <c r="K355" s="17"/>
      <c r="L355" s="99"/>
      <c r="M355" s="99"/>
      <c r="N355" s="99"/>
    </row>
    <row r="356" spans="8:14">
      <c r="H356" s="17"/>
      <c r="I356" s="17"/>
      <c r="J356" s="17"/>
      <c r="K356" s="17"/>
      <c r="L356" s="99"/>
      <c r="M356" s="99"/>
      <c r="N356" s="99"/>
    </row>
    <row r="357" spans="8:14">
      <c r="H357" s="17"/>
      <c r="I357" s="17"/>
      <c r="J357" s="17"/>
      <c r="K357" s="17"/>
      <c r="L357" s="99"/>
      <c r="M357" s="99"/>
      <c r="N357" s="99"/>
    </row>
    <row r="358" spans="8:14">
      <c r="H358" s="17"/>
      <c r="I358" s="17"/>
      <c r="J358" s="17"/>
      <c r="K358" s="17"/>
      <c r="L358" s="99"/>
      <c r="M358" s="99"/>
      <c r="N358" s="99"/>
    </row>
    <row r="359" spans="8:14">
      <c r="H359" s="17"/>
      <c r="I359" s="17"/>
      <c r="J359" s="17"/>
      <c r="K359" s="17"/>
      <c r="L359" s="99"/>
      <c r="M359" s="99"/>
      <c r="N359" s="99"/>
    </row>
    <row r="360" spans="8:14">
      <c r="H360" s="17"/>
      <c r="I360" s="17"/>
      <c r="J360" s="17"/>
      <c r="K360" s="17"/>
      <c r="L360" s="99"/>
      <c r="M360" s="99"/>
      <c r="N360" s="99"/>
    </row>
    <row r="361" spans="8:14">
      <c r="H361" s="17"/>
      <c r="I361" s="17"/>
      <c r="J361" s="17"/>
      <c r="K361" s="17"/>
      <c r="L361" s="99"/>
      <c r="M361" s="99"/>
      <c r="N361" s="99"/>
    </row>
    <row r="362" spans="8:14">
      <c r="H362" s="17"/>
      <c r="I362" s="17"/>
      <c r="J362" s="17"/>
      <c r="K362" s="17"/>
      <c r="L362" s="99"/>
      <c r="M362" s="99"/>
      <c r="N362" s="99"/>
    </row>
    <row r="363" spans="8:14">
      <c r="H363" s="17"/>
      <c r="I363" s="17"/>
      <c r="J363" s="17"/>
      <c r="K363" s="17"/>
      <c r="L363" s="99"/>
      <c r="M363" s="99"/>
      <c r="N363" s="99"/>
    </row>
  </sheetData>
  <mergeCells count="16">
    <mergeCell ref="B5:K5"/>
    <mergeCell ref="B6:K6"/>
    <mergeCell ref="Z58:AB58"/>
    <mergeCell ref="Z59:AB59"/>
    <mergeCell ref="Z9:AB9"/>
    <mergeCell ref="Z8:AB8"/>
    <mergeCell ref="C7:E7"/>
    <mergeCell ref="F7:H7"/>
    <mergeCell ref="I7:K7"/>
    <mergeCell ref="AD34:AM34"/>
    <mergeCell ref="AE35:AG35"/>
    <mergeCell ref="AH35:AJ35"/>
    <mergeCell ref="AK35:AM35"/>
    <mergeCell ref="Z33:AB33"/>
    <mergeCell ref="Z34:AB34"/>
    <mergeCell ref="AE33:AM33"/>
  </mergeCells>
  <dataValidations count="1">
    <dataValidation type="list" allowBlank="1" showInputMessage="1" showErrorMessage="1" promptTitle="Selecta Period:" prompt="Select Financial or Calendar years." sqref="AE33:AM33">
      <formula1>$B$1:$B$2</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8" tint="0.39997558519241921"/>
  </sheetPr>
  <dimension ref="A1:Y67"/>
  <sheetViews>
    <sheetView showGridLines="0" workbookViewId="0">
      <selection activeCell="G36" sqref="G36"/>
    </sheetView>
  </sheetViews>
  <sheetFormatPr defaultRowHeight="15"/>
  <cols>
    <col min="1" max="1" width="9.140625" style="35"/>
    <col min="2" max="2" width="15.85546875" style="35" bestFit="1" customWidth="1"/>
    <col min="3" max="3" width="9.140625" style="35"/>
    <col min="4" max="5" width="9.140625" style="333" hidden="1" customWidth="1"/>
    <col min="6" max="6" width="9.140625" style="35" customWidth="1"/>
    <col min="7" max="7" width="21" style="35" customWidth="1"/>
    <col min="8" max="8" width="9.140625" style="35" hidden="1" customWidth="1"/>
    <col min="9" max="16384" width="9.140625" style="35"/>
  </cols>
  <sheetData>
    <row r="1" spans="1:25">
      <c r="Y1" s="342" t="s">
        <v>463</v>
      </c>
    </row>
    <row r="2" spans="1:25">
      <c r="Y2" s="342" t="s">
        <v>464</v>
      </c>
    </row>
    <row r="4" spans="1:25">
      <c r="F4" s="343"/>
    </row>
    <row r="5" spans="1:25">
      <c r="A5" s="1981" t="s">
        <v>83</v>
      </c>
      <c r="B5" s="1981"/>
      <c r="C5" s="10"/>
      <c r="D5" s="128"/>
      <c r="E5" s="128"/>
      <c r="F5" s="1981" t="s">
        <v>84</v>
      </c>
      <c r="G5" s="1981"/>
    </row>
    <row r="6" spans="1:25" ht="15.75" thickBot="1">
      <c r="A6" s="1988" t="s">
        <v>46</v>
      </c>
      <c r="B6" s="1988"/>
      <c r="C6" s="10"/>
      <c r="D6" s="128"/>
      <c r="E6" s="128"/>
      <c r="F6" s="1981" t="str">
        <f>F40</f>
        <v>Historic Financial Year</v>
      </c>
      <c r="G6" s="1981"/>
    </row>
    <row r="7" spans="1:25" ht="15.75" thickBot="1">
      <c r="A7" s="1069" t="s">
        <v>676</v>
      </c>
      <c r="B7" s="1080" t="s">
        <v>733</v>
      </c>
      <c r="C7" s="10"/>
      <c r="D7" s="128"/>
      <c r="E7" s="128"/>
      <c r="F7" s="1069" t="s">
        <v>41</v>
      </c>
      <c r="G7" s="1080" t="s">
        <v>719</v>
      </c>
    </row>
    <row r="8" spans="1:25">
      <c r="A8" s="617">
        <f>LARGE('Commodity Prices'!C$159:C$902,60)</f>
        <v>42552</v>
      </c>
      <c r="B8" s="1122">
        <f>SUMIF('Commodity Prices'!C$252:C$902,A8,'Commodity Prices'!M$252:M$902)</f>
        <v>45.84</v>
      </c>
      <c r="C8" s="10"/>
      <c r="D8" s="128">
        <v>1992</v>
      </c>
      <c r="E8" s="128">
        <v>1993</v>
      </c>
      <c r="F8" s="1123" t="str">
        <f>IF($F$6="Historic Calendar Year",1992,CONCATENATE(D8,"-",RIGHT(E8,2)))</f>
        <v>1992-93</v>
      </c>
      <c r="G8" s="724">
        <f t="array" ref="G8">IF($F$6="Historic Calendar Year",IFERROR(AVERAGE(IF($F8=YEAR('Commodity Prices'!C$100:C$1000),'Commodity Prices'!M$100:M$1000)),"NA"),IFERROR(IF(H8=0,"NA",H8),"NA"))</f>
        <v>20.759166666666669</v>
      </c>
      <c r="H8" s="333">
        <f>(SUMIFS('Commodity Prices'!$M$9:$M$2500,'Commodity Prices'!$A$9:$A$2500,'Petroleum - Oil Prices'!D8,'Commodity Prices'!$B$9:$B$2500,3)+
SUMIFS('Commodity Prices'!$M$9:$M$2500,'Commodity Prices'!$A$9:$A$2500,'Petroleum - Oil Prices'!D8,'Commodity Prices'!$B$9:$B$2500,4)+
SUMIFS('Commodity Prices'!$M$9:$M$2500,'Commodity Prices'!$A$9:$A$2500,'Petroleum - Oil Prices'!E8,'Commodity Prices'!$B$9:$B$2500,1)+
SUMIFS('Commodity Prices'!$M$9:$M$2500,'Commodity Prices'!$A$9:$A$2500,'Petroleum - Oil Prices'!E8,'Commodity Prices'!$B$9:$B$2500,2))
/(COUNTIFS('Commodity Prices'!$A$9:$A$2500,'Petroleum - Oil Prices'!D8,'Commodity Prices'!$B$9:$B$2500,3)+
COUNTIFS('Commodity Prices'!$A$9:$A$2500,'Petroleum - Oil Prices'!D8,'Commodity Prices'!$B$9:$B$2500,4)+
COUNTIFS('Commodity Prices'!$A$9:$A$2500,'Petroleum - Oil Prices'!E8,'Commodity Prices'!$B$9:$B$2500,1)+
COUNTIFS('Commodity Prices'!$A$9:$A$2500,'Petroleum - Oil Prices'!E8,'Commodity Prices'!$B$9:$B$2500,2))</f>
        <v>20.759166666666669</v>
      </c>
    </row>
    <row r="9" spans="1:25">
      <c r="A9" s="618">
        <f>LARGE('Commodity Prices'!C$159:C$902,59)</f>
        <v>42583</v>
      </c>
      <c r="B9" s="724">
        <f>SUMIF('Commodity Prices'!C$252:C$902,A9,'Commodity Prices'!M$252:M$902)</f>
        <v>46.4</v>
      </c>
      <c r="C9" s="10"/>
      <c r="D9" s="128">
        <f t="shared" ref="D9:E23" si="0">D8+1</f>
        <v>1993</v>
      </c>
      <c r="E9" s="128">
        <f t="shared" si="0"/>
        <v>1994</v>
      </c>
      <c r="F9" s="1124" t="str">
        <f t="shared" ref="F9:F36" si="1">IF($F$6="Historic Calendar Year",F8+1,CONCATENATE(D9,"-",RIGHT(E9,2)))</f>
        <v>1993-94</v>
      </c>
      <c r="G9" s="1122">
        <f t="array" ref="G9">IF($F$6="Historic Calendar Year",IFERROR(AVERAGE(IF($F9=YEAR('Commodity Prices'!C$100:C$1000),'Commodity Prices'!M$100:M$1000)),"NA"),IFERROR(IF(H9=0,"NA",H9),"NA"))</f>
        <v>17.185000000000002</v>
      </c>
      <c r="H9" s="333">
        <f>(SUMIFS('Commodity Prices'!$M$9:$M$2500,'Commodity Prices'!$A$9:$A$2500,'Petroleum - Oil Prices'!D9,'Commodity Prices'!$B$9:$B$2500,3)+
SUMIFS('Commodity Prices'!$M$9:$M$2500,'Commodity Prices'!$A$9:$A$2500,'Petroleum - Oil Prices'!D9,'Commodity Prices'!$B$9:$B$2500,4)+
SUMIFS('Commodity Prices'!$M$9:$M$2500,'Commodity Prices'!$A$9:$A$2500,'Petroleum - Oil Prices'!E9,'Commodity Prices'!$B$9:$B$2500,1)+
SUMIFS('Commodity Prices'!$M$9:$M$2500,'Commodity Prices'!$A$9:$A$2500,'Petroleum - Oil Prices'!E9,'Commodity Prices'!$B$9:$B$2500,2))
/(COUNTIFS('Commodity Prices'!$A$9:$A$2500,'Petroleum - Oil Prices'!D9,'Commodity Prices'!$B$9:$B$2500,3)+
COUNTIFS('Commodity Prices'!$A$9:$A$2500,'Petroleum - Oil Prices'!D9,'Commodity Prices'!$B$9:$B$2500,4)+
COUNTIFS('Commodity Prices'!$A$9:$A$2500,'Petroleum - Oil Prices'!E9,'Commodity Prices'!$B$9:$B$2500,1)+
COUNTIFS('Commodity Prices'!$A$9:$A$2500,'Petroleum - Oil Prices'!E9,'Commodity Prices'!$B$9:$B$2500,2))</f>
        <v>17.185000000000002</v>
      </c>
    </row>
    <row r="10" spans="1:25">
      <c r="A10" s="617">
        <f>LARGE('Commodity Prices'!C$159:C$902,58)</f>
        <v>42614</v>
      </c>
      <c r="B10" s="1122">
        <f>SUMIF('Commodity Prices'!C$252:C$902,A10,'Commodity Prices'!M$252:M$902)</f>
        <v>46.87</v>
      </c>
      <c r="C10" s="10"/>
      <c r="D10" s="128">
        <f t="shared" si="0"/>
        <v>1994</v>
      </c>
      <c r="E10" s="128">
        <f t="shared" si="0"/>
        <v>1995</v>
      </c>
      <c r="F10" s="1123" t="str">
        <f t="shared" si="1"/>
        <v>1994-95</v>
      </c>
      <c r="G10" s="724">
        <f t="array" ref="G10">IF($F$6="Historic Calendar Year",IFERROR(AVERAGE(IF($F10=YEAR('Commodity Prices'!C$100:C$1000),'Commodity Prices'!M$100:M$1000)),"NA"),IFERROR(IF(H10=0,"NA",H10),"NA"))</f>
        <v>18.294999999999998</v>
      </c>
      <c r="H10" s="333">
        <f>(SUMIFS('Commodity Prices'!$M$9:$M$2500,'Commodity Prices'!$A$9:$A$2500,'Petroleum - Oil Prices'!D10,'Commodity Prices'!$B$9:$B$2500,3)+
SUMIFS('Commodity Prices'!$M$9:$M$2500,'Commodity Prices'!$A$9:$A$2500,'Petroleum - Oil Prices'!D10,'Commodity Prices'!$B$9:$B$2500,4)+
SUMIFS('Commodity Prices'!$M$9:$M$2500,'Commodity Prices'!$A$9:$A$2500,'Petroleum - Oil Prices'!E10,'Commodity Prices'!$B$9:$B$2500,1)+
SUMIFS('Commodity Prices'!$M$9:$M$2500,'Commodity Prices'!$A$9:$A$2500,'Petroleum - Oil Prices'!E10,'Commodity Prices'!$B$9:$B$2500,2))
/(COUNTIFS('Commodity Prices'!$A$9:$A$2500,'Petroleum - Oil Prices'!D10,'Commodity Prices'!$B$9:$B$2500,3)+
COUNTIFS('Commodity Prices'!$A$9:$A$2500,'Petroleum - Oil Prices'!D10,'Commodity Prices'!$B$9:$B$2500,4)+
COUNTIFS('Commodity Prices'!$A$9:$A$2500,'Petroleum - Oil Prices'!E10,'Commodity Prices'!$B$9:$B$2500,1)+
COUNTIFS('Commodity Prices'!$A$9:$A$2500,'Petroleum - Oil Prices'!E10,'Commodity Prices'!$B$9:$B$2500,2))</f>
        <v>18.294999999999998</v>
      </c>
    </row>
    <row r="11" spans="1:25">
      <c r="A11" s="618">
        <f>LARGE('Commodity Prices'!C$159:C$902,57)</f>
        <v>42644</v>
      </c>
      <c r="B11" s="724">
        <f>SUMIF('Commodity Prices'!C$252:C$902,A11,'Commodity Prices'!M$252:M$902)</f>
        <v>51.24</v>
      </c>
      <c r="C11" s="10"/>
      <c r="D11" s="128">
        <f t="shared" si="0"/>
        <v>1995</v>
      </c>
      <c r="E11" s="128">
        <f t="shared" si="0"/>
        <v>1996</v>
      </c>
      <c r="F11" s="1124" t="str">
        <f t="shared" si="1"/>
        <v>1995-96</v>
      </c>
      <c r="G11" s="1122">
        <f t="array" ref="G11">IF($F$6="Historic Calendar Year",IFERROR(AVERAGE(IF($F11=YEAR('Commodity Prices'!C$100:C$1000),'Commodity Prices'!M$100:M$1000)),"NA"),IFERROR(IF(H11=0,"NA",H11),"NA"))</f>
        <v>19.191666666666666</v>
      </c>
      <c r="H11" s="333">
        <f>(SUMIFS('Commodity Prices'!$M$9:$M$2500,'Commodity Prices'!$A$9:$A$2500,'Petroleum - Oil Prices'!D11,'Commodity Prices'!$B$9:$B$2500,3)+
SUMIFS('Commodity Prices'!$M$9:$M$2500,'Commodity Prices'!$A$9:$A$2500,'Petroleum - Oil Prices'!D11,'Commodity Prices'!$B$9:$B$2500,4)+
SUMIFS('Commodity Prices'!$M$9:$M$2500,'Commodity Prices'!$A$9:$A$2500,'Petroleum - Oil Prices'!E11,'Commodity Prices'!$B$9:$B$2500,1)+
SUMIFS('Commodity Prices'!$M$9:$M$2500,'Commodity Prices'!$A$9:$A$2500,'Petroleum - Oil Prices'!E11,'Commodity Prices'!$B$9:$B$2500,2))
/(COUNTIFS('Commodity Prices'!$A$9:$A$2500,'Petroleum - Oil Prices'!D11,'Commodity Prices'!$B$9:$B$2500,3)+
COUNTIFS('Commodity Prices'!$A$9:$A$2500,'Petroleum - Oil Prices'!D11,'Commodity Prices'!$B$9:$B$2500,4)+
COUNTIFS('Commodity Prices'!$A$9:$A$2500,'Petroleum - Oil Prices'!E11,'Commodity Prices'!$B$9:$B$2500,1)+
COUNTIFS('Commodity Prices'!$A$9:$A$2500,'Petroleum - Oil Prices'!E11,'Commodity Prices'!$B$9:$B$2500,2))</f>
        <v>19.191666666666666</v>
      </c>
    </row>
    <row r="12" spans="1:25">
      <c r="A12" s="617">
        <f>LARGE('Commodity Prices'!C$159:C$902,56)</f>
        <v>42675</v>
      </c>
      <c r="B12" s="1122">
        <f>SUMIF('Commodity Prices'!C$252:C$902,A12,'Commodity Prices'!M$252:M$902)</f>
        <v>48.22</v>
      </c>
      <c r="C12" s="10"/>
      <c r="D12" s="128">
        <f t="shared" si="0"/>
        <v>1996</v>
      </c>
      <c r="E12" s="128">
        <f t="shared" si="0"/>
        <v>1997</v>
      </c>
      <c r="F12" s="1123" t="str">
        <f t="shared" si="1"/>
        <v>1996-97</v>
      </c>
      <c r="G12" s="724">
        <f t="array" ref="G12">IF($F$6="Historic Calendar Year",IFERROR(AVERAGE(IF($F12=YEAR('Commodity Prices'!C$100:C$1000),'Commodity Prices'!M$100:M$1000)),"NA"),IFERROR(IF(H12=0,"NA",H12),"NA"))</f>
        <v>22.936666666666667</v>
      </c>
      <c r="H12" s="333">
        <f>(SUMIFS('Commodity Prices'!$M$9:$M$2500,'Commodity Prices'!$A$9:$A$2500,'Petroleum - Oil Prices'!D12,'Commodity Prices'!$B$9:$B$2500,3)+
SUMIFS('Commodity Prices'!$M$9:$M$2500,'Commodity Prices'!$A$9:$A$2500,'Petroleum - Oil Prices'!D12,'Commodity Prices'!$B$9:$B$2500,4)+
SUMIFS('Commodity Prices'!$M$9:$M$2500,'Commodity Prices'!$A$9:$A$2500,'Petroleum - Oil Prices'!E12,'Commodity Prices'!$B$9:$B$2500,1)+
SUMIFS('Commodity Prices'!$M$9:$M$2500,'Commodity Prices'!$A$9:$A$2500,'Petroleum - Oil Prices'!E12,'Commodity Prices'!$B$9:$B$2500,2))
/(COUNTIFS('Commodity Prices'!$A$9:$A$2500,'Petroleum - Oil Prices'!D12,'Commodity Prices'!$B$9:$B$2500,3)+
COUNTIFS('Commodity Prices'!$A$9:$A$2500,'Petroleum - Oil Prices'!D12,'Commodity Prices'!$B$9:$B$2500,4)+
COUNTIFS('Commodity Prices'!$A$9:$A$2500,'Petroleum - Oil Prices'!E12,'Commodity Prices'!$B$9:$B$2500,1)+
COUNTIFS('Commodity Prices'!$A$9:$A$2500,'Petroleum - Oil Prices'!E12,'Commodity Prices'!$B$9:$B$2500,2))</f>
        <v>22.936666666666667</v>
      </c>
    </row>
    <row r="13" spans="1:25">
      <c r="A13" s="618">
        <f>LARGE('Commodity Prices'!C$159:C$902,55)</f>
        <v>42705</v>
      </c>
      <c r="B13" s="724">
        <f>SUMIF('Commodity Prices'!C$252:C$902,A13,'Commodity Prices'!M$252:M$902)</f>
        <v>55.75</v>
      </c>
      <c r="C13" s="10"/>
      <c r="D13" s="128">
        <f t="shared" si="0"/>
        <v>1997</v>
      </c>
      <c r="E13" s="128">
        <f t="shared" si="0"/>
        <v>1998</v>
      </c>
      <c r="F13" s="1124" t="str">
        <f t="shared" si="1"/>
        <v>1997-98</v>
      </c>
      <c r="G13" s="1122">
        <f t="array" ref="G13">IF($F$6="Historic Calendar Year",IFERROR(AVERAGE(IF($F13=YEAR('Commodity Prices'!C$100:C$1000),'Commodity Prices'!M$100:M$1000)),"NA"),IFERROR(IF(H13=0,"NA",H13),"NA"))</f>
        <v>17.177499999999998</v>
      </c>
      <c r="H13" s="333">
        <f>(SUMIFS('Commodity Prices'!$M$9:$M$2500,'Commodity Prices'!$A$9:$A$2500,'Petroleum - Oil Prices'!D13,'Commodity Prices'!$B$9:$B$2500,3)+
SUMIFS('Commodity Prices'!$M$9:$M$2500,'Commodity Prices'!$A$9:$A$2500,'Petroleum - Oil Prices'!D13,'Commodity Prices'!$B$9:$B$2500,4)+
SUMIFS('Commodity Prices'!$M$9:$M$2500,'Commodity Prices'!$A$9:$A$2500,'Petroleum - Oil Prices'!E13,'Commodity Prices'!$B$9:$B$2500,1)+
SUMIFS('Commodity Prices'!$M$9:$M$2500,'Commodity Prices'!$A$9:$A$2500,'Petroleum - Oil Prices'!E13,'Commodity Prices'!$B$9:$B$2500,2))
/(COUNTIFS('Commodity Prices'!$A$9:$A$2500,'Petroleum - Oil Prices'!D13,'Commodity Prices'!$B$9:$B$2500,3)+
COUNTIFS('Commodity Prices'!$A$9:$A$2500,'Petroleum - Oil Prices'!D13,'Commodity Prices'!$B$9:$B$2500,4)+
COUNTIFS('Commodity Prices'!$A$9:$A$2500,'Petroleum - Oil Prices'!E13,'Commodity Prices'!$B$9:$B$2500,1)+
COUNTIFS('Commodity Prices'!$A$9:$A$2500,'Petroleum - Oil Prices'!E13,'Commodity Prices'!$B$9:$B$2500,2))</f>
        <v>17.177499999999998</v>
      </c>
    </row>
    <row r="14" spans="1:25">
      <c r="A14" s="617">
        <f>LARGE('Commodity Prices'!C$159:C$902,54)</f>
        <v>42736</v>
      </c>
      <c r="B14" s="1122">
        <f>SUMIF('Commodity Prices'!C$252:C$902,A14,'Commodity Prices'!M$252:M$902)</f>
        <v>56.79</v>
      </c>
      <c r="C14" s="10"/>
      <c r="D14" s="128">
        <f t="shared" si="0"/>
        <v>1998</v>
      </c>
      <c r="E14" s="128">
        <f t="shared" si="0"/>
        <v>1999</v>
      </c>
      <c r="F14" s="1123" t="str">
        <f t="shared" si="1"/>
        <v>1998-99</v>
      </c>
      <c r="G14" s="724">
        <f t="array" ref="G14">IF($F$6="Historic Calendar Year",IFERROR(AVERAGE(IF($F14=YEAR('Commodity Prices'!C$100:C$1000),'Commodity Prices'!M$100:M$1000)),"NA"),IFERROR(IF(H14=0,"NA",H14),"NA"))</f>
        <v>13.875</v>
      </c>
      <c r="H14" s="333">
        <f>(SUMIFS('Commodity Prices'!$M$9:$M$2500,'Commodity Prices'!$A$9:$A$2500,'Petroleum - Oil Prices'!D14,'Commodity Prices'!$B$9:$B$2500,3)+
SUMIFS('Commodity Prices'!$M$9:$M$2500,'Commodity Prices'!$A$9:$A$2500,'Petroleum - Oil Prices'!D14,'Commodity Prices'!$B$9:$B$2500,4)+
SUMIFS('Commodity Prices'!$M$9:$M$2500,'Commodity Prices'!$A$9:$A$2500,'Petroleum - Oil Prices'!E14,'Commodity Prices'!$B$9:$B$2500,1)+
SUMIFS('Commodity Prices'!$M$9:$M$2500,'Commodity Prices'!$A$9:$A$2500,'Petroleum - Oil Prices'!E14,'Commodity Prices'!$B$9:$B$2500,2))
/(COUNTIFS('Commodity Prices'!$A$9:$A$2500,'Petroleum - Oil Prices'!D14,'Commodity Prices'!$B$9:$B$2500,3)+
COUNTIFS('Commodity Prices'!$A$9:$A$2500,'Petroleum - Oil Prices'!D14,'Commodity Prices'!$B$9:$B$2500,4)+
COUNTIFS('Commodity Prices'!$A$9:$A$2500,'Petroleum - Oil Prices'!E14,'Commodity Prices'!$B$9:$B$2500,1)+
COUNTIFS('Commodity Prices'!$A$9:$A$2500,'Petroleum - Oil Prices'!E14,'Commodity Prices'!$B$9:$B$2500,2))</f>
        <v>13.875</v>
      </c>
    </row>
    <row r="15" spans="1:25">
      <c r="A15" s="618">
        <f>LARGE('Commodity Prices'!C$159:C$902,53)</f>
        <v>42767</v>
      </c>
      <c r="B15" s="724">
        <f>SUMIF('Commodity Prices'!C$252:C$902,A15,'Commodity Prices'!M$252:M$902)</f>
        <v>57.28</v>
      </c>
      <c r="C15" s="10"/>
      <c r="D15" s="128">
        <f t="shared" si="0"/>
        <v>1999</v>
      </c>
      <c r="E15" s="128">
        <f t="shared" si="0"/>
        <v>2000</v>
      </c>
      <c r="F15" s="1124" t="str">
        <f t="shared" si="1"/>
        <v>1999-00</v>
      </c>
      <c r="G15" s="1122">
        <f t="array" ref="G15">IF($F$6="Historic Calendar Year",IFERROR(AVERAGE(IF($F15=YEAR('Commodity Prices'!C$100:C$1000),'Commodity Prices'!M$100:M$1000)),"NA"),IFERROR(IF(H15=0,"NA",H15),"NA"))</f>
        <v>25.590000000000003</v>
      </c>
      <c r="H15" s="333">
        <f>(SUMIFS('Commodity Prices'!$M$9:$M$2500,'Commodity Prices'!$A$9:$A$2500,'Petroleum - Oil Prices'!D15,'Commodity Prices'!$B$9:$B$2500,3)+
SUMIFS('Commodity Prices'!$M$9:$M$2500,'Commodity Prices'!$A$9:$A$2500,'Petroleum - Oil Prices'!D15,'Commodity Prices'!$B$9:$B$2500,4)+
SUMIFS('Commodity Prices'!$M$9:$M$2500,'Commodity Prices'!$A$9:$A$2500,'Petroleum - Oil Prices'!E15,'Commodity Prices'!$B$9:$B$2500,1)+
SUMIFS('Commodity Prices'!$M$9:$M$2500,'Commodity Prices'!$A$9:$A$2500,'Petroleum - Oil Prices'!E15,'Commodity Prices'!$B$9:$B$2500,2))
/(COUNTIFS('Commodity Prices'!$A$9:$A$2500,'Petroleum - Oil Prices'!D15,'Commodity Prices'!$B$9:$B$2500,3)+
COUNTIFS('Commodity Prices'!$A$9:$A$2500,'Petroleum - Oil Prices'!D15,'Commodity Prices'!$B$9:$B$2500,4)+
COUNTIFS('Commodity Prices'!$A$9:$A$2500,'Petroleum - Oil Prices'!E15,'Commodity Prices'!$B$9:$B$2500,1)+
COUNTIFS('Commodity Prices'!$A$9:$A$2500,'Petroleum - Oil Prices'!E15,'Commodity Prices'!$B$9:$B$2500,2))</f>
        <v>25.590000000000003</v>
      </c>
    </row>
    <row r="16" spans="1:25">
      <c r="A16" s="617">
        <f>LARGE('Commodity Prices'!C$159:C$902,52)</f>
        <v>42795</v>
      </c>
      <c r="B16" s="1122">
        <f>SUMIF('Commodity Prices'!C$252:C$902,A16,'Commodity Prices'!M$252:M$902)</f>
        <v>53.85</v>
      </c>
      <c r="C16" s="10"/>
      <c r="D16" s="128">
        <f t="shared" si="0"/>
        <v>2000</v>
      </c>
      <c r="E16" s="128">
        <f t="shared" si="0"/>
        <v>2001</v>
      </c>
      <c r="F16" s="1123" t="str">
        <f t="shared" si="1"/>
        <v>2000-01</v>
      </c>
      <c r="G16" s="724">
        <f t="array" ref="G16">IF($F$6="Historic Calendar Year",IFERROR(AVERAGE(IF($F16=YEAR('Commodity Prices'!C$100:C$1000),'Commodity Prices'!M$100:M$1000)),"NA"),IFERROR(IF(H16=0,"NA",H16),"NA"))</f>
        <v>29.580833333333334</v>
      </c>
      <c r="H16" s="333">
        <f>(SUMIFS('Commodity Prices'!$M$9:$M$2500,'Commodity Prices'!$A$9:$A$2500,'Petroleum - Oil Prices'!D16,'Commodity Prices'!$B$9:$B$2500,3)+
SUMIFS('Commodity Prices'!$M$9:$M$2500,'Commodity Prices'!$A$9:$A$2500,'Petroleum - Oil Prices'!D16,'Commodity Prices'!$B$9:$B$2500,4)+
SUMIFS('Commodity Prices'!$M$9:$M$2500,'Commodity Prices'!$A$9:$A$2500,'Petroleum - Oil Prices'!E16,'Commodity Prices'!$B$9:$B$2500,1)+
SUMIFS('Commodity Prices'!$M$9:$M$2500,'Commodity Prices'!$A$9:$A$2500,'Petroleum - Oil Prices'!E16,'Commodity Prices'!$B$9:$B$2500,2))
/(COUNTIFS('Commodity Prices'!$A$9:$A$2500,'Petroleum - Oil Prices'!D16,'Commodity Prices'!$B$9:$B$2500,3)+
COUNTIFS('Commodity Prices'!$A$9:$A$2500,'Petroleum - Oil Prices'!D16,'Commodity Prices'!$B$9:$B$2500,4)+
COUNTIFS('Commodity Prices'!$A$9:$A$2500,'Petroleum - Oil Prices'!E16,'Commodity Prices'!$B$9:$B$2500,1)+
COUNTIFS('Commodity Prices'!$A$9:$A$2500,'Petroleum - Oil Prices'!E16,'Commodity Prices'!$B$9:$B$2500,2))</f>
        <v>29.580833333333334</v>
      </c>
    </row>
    <row r="17" spans="1:8">
      <c r="A17" s="618">
        <f>LARGE('Commodity Prices'!C$159:C$902,51)</f>
        <v>42826</v>
      </c>
      <c r="B17" s="724">
        <f>SUMIF('Commodity Prices'!C$252:C$902,A17,'Commodity Prices'!M$252:M$902)</f>
        <v>54.54</v>
      </c>
      <c r="C17" s="10"/>
      <c r="D17" s="128">
        <f t="shared" si="0"/>
        <v>2001</v>
      </c>
      <c r="E17" s="128">
        <f t="shared" si="0"/>
        <v>2002</v>
      </c>
      <c r="F17" s="1124" t="str">
        <f t="shared" si="1"/>
        <v>2001-02</v>
      </c>
      <c r="G17" s="1122">
        <f t="array" ref="G17">IF($F$6="Historic Calendar Year",IFERROR(AVERAGE(IF($F17=YEAR('Commodity Prices'!C$100:C$1000),'Commodity Prices'!M$100:M$1000)),"NA"),IFERROR(IF(H17=0,"NA",H17),"NA"))</f>
        <v>23.283333333333331</v>
      </c>
      <c r="H17" s="333">
        <f>(SUMIFS('Commodity Prices'!$M$9:$M$2500,'Commodity Prices'!$A$9:$A$2500,'Petroleum - Oil Prices'!D17,'Commodity Prices'!$B$9:$B$2500,3)+
SUMIFS('Commodity Prices'!$M$9:$M$2500,'Commodity Prices'!$A$9:$A$2500,'Petroleum - Oil Prices'!D17,'Commodity Prices'!$B$9:$B$2500,4)+
SUMIFS('Commodity Prices'!$M$9:$M$2500,'Commodity Prices'!$A$9:$A$2500,'Petroleum - Oil Prices'!E17,'Commodity Prices'!$B$9:$B$2500,1)+
SUMIFS('Commodity Prices'!$M$9:$M$2500,'Commodity Prices'!$A$9:$A$2500,'Petroleum - Oil Prices'!E17,'Commodity Prices'!$B$9:$B$2500,2))
/(COUNTIFS('Commodity Prices'!$A$9:$A$2500,'Petroleum - Oil Prices'!D17,'Commodity Prices'!$B$9:$B$2500,3)+
COUNTIFS('Commodity Prices'!$A$9:$A$2500,'Petroleum - Oil Prices'!D17,'Commodity Prices'!$B$9:$B$2500,4)+
COUNTIFS('Commodity Prices'!$A$9:$A$2500,'Petroleum - Oil Prices'!E17,'Commodity Prices'!$B$9:$B$2500,1)+
COUNTIFS('Commodity Prices'!$A$9:$A$2500,'Petroleum - Oil Prices'!E17,'Commodity Prices'!$B$9:$B$2500,2))</f>
        <v>23.283333333333331</v>
      </c>
    </row>
    <row r="18" spans="1:8">
      <c r="A18" s="617">
        <f>LARGE('Commodity Prices'!C$159:C$902,50)</f>
        <v>42856</v>
      </c>
      <c r="B18" s="1122">
        <f>SUMIF('Commodity Prices'!C$252:C$902,A18,'Commodity Prices'!M$252:M$902)</f>
        <v>51.87</v>
      </c>
      <c r="C18" s="10"/>
      <c r="D18" s="128">
        <f t="shared" si="0"/>
        <v>2002</v>
      </c>
      <c r="E18" s="128">
        <f t="shared" si="0"/>
        <v>2003</v>
      </c>
      <c r="F18" s="1123" t="str">
        <f t="shared" si="1"/>
        <v>2002-03</v>
      </c>
      <c r="G18" s="724">
        <f t="array" ref="G18">IF($F$6="Historic Calendar Year",IFERROR(AVERAGE(IF($F18=YEAR('Commodity Prices'!C$100:C$1000),'Commodity Prices'!M$100:M$1000)),"NA"),IFERROR(IF(H18=0,"NA",H18),"NA"))</f>
        <v>28.802499999999998</v>
      </c>
      <c r="H18" s="333">
        <f>(SUMIFS('Commodity Prices'!$M$9:$M$2500,'Commodity Prices'!$A$9:$A$2500,'Petroleum - Oil Prices'!D18,'Commodity Prices'!$B$9:$B$2500,3)+
SUMIFS('Commodity Prices'!$M$9:$M$2500,'Commodity Prices'!$A$9:$A$2500,'Petroleum - Oil Prices'!D18,'Commodity Prices'!$B$9:$B$2500,4)+
SUMIFS('Commodity Prices'!$M$9:$M$2500,'Commodity Prices'!$A$9:$A$2500,'Petroleum - Oil Prices'!E18,'Commodity Prices'!$B$9:$B$2500,1)+
SUMIFS('Commodity Prices'!$M$9:$M$2500,'Commodity Prices'!$A$9:$A$2500,'Petroleum - Oil Prices'!E18,'Commodity Prices'!$B$9:$B$2500,2))
/(COUNTIFS('Commodity Prices'!$A$9:$A$2500,'Petroleum - Oil Prices'!D18,'Commodity Prices'!$B$9:$B$2500,3)+
COUNTIFS('Commodity Prices'!$A$9:$A$2500,'Petroleum - Oil Prices'!D18,'Commodity Prices'!$B$9:$B$2500,4)+
COUNTIFS('Commodity Prices'!$A$9:$A$2500,'Petroleum - Oil Prices'!E18,'Commodity Prices'!$B$9:$B$2500,1)+
COUNTIFS('Commodity Prices'!$A$9:$A$2500,'Petroleum - Oil Prices'!E18,'Commodity Prices'!$B$9:$B$2500,2))</f>
        <v>28.802499999999998</v>
      </c>
    </row>
    <row r="19" spans="1:8">
      <c r="A19" s="618">
        <f>LARGE('Commodity Prices'!C$159:C$902,49)</f>
        <v>42887</v>
      </c>
      <c r="B19" s="724">
        <f>SUMIF('Commodity Prices'!C$252:C$902,A19,'Commodity Prices'!M$252:M$902)</f>
        <v>47.88</v>
      </c>
      <c r="C19" s="10"/>
      <c r="D19" s="128">
        <f t="shared" si="0"/>
        <v>2003</v>
      </c>
      <c r="E19" s="128">
        <f t="shared" si="0"/>
        <v>2004</v>
      </c>
      <c r="F19" s="1124" t="str">
        <f t="shared" si="1"/>
        <v>2003-04</v>
      </c>
      <c r="G19" s="1122">
        <f t="array" ref="G19">IF($F$6="Historic Calendar Year",IFERROR(AVERAGE(IF($F19=YEAR('Commodity Prices'!C$100:C$1000),'Commodity Prices'!M$100:M$1000)),"NA"),IFERROR(IF(H19=0,"NA",H19),"NA"))</f>
        <v>33.245833333333337</v>
      </c>
      <c r="H19" s="333">
        <f>(SUMIFS('Commodity Prices'!$M$9:$M$2500,'Commodity Prices'!$A$9:$A$2500,'Petroleum - Oil Prices'!D19,'Commodity Prices'!$B$9:$B$2500,3)+
SUMIFS('Commodity Prices'!$M$9:$M$2500,'Commodity Prices'!$A$9:$A$2500,'Petroleum - Oil Prices'!D19,'Commodity Prices'!$B$9:$B$2500,4)+
SUMIFS('Commodity Prices'!$M$9:$M$2500,'Commodity Prices'!$A$9:$A$2500,'Petroleum - Oil Prices'!E19,'Commodity Prices'!$B$9:$B$2500,1)+
SUMIFS('Commodity Prices'!$M$9:$M$2500,'Commodity Prices'!$A$9:$A$2500,'Petroleum - Oil Prices'!E19,'Commodity Prices'!$B$9:$B$2500,2))
/(COUNTIFS('Commodity Prices'!$A$9:$A$2500,'Petroleum - Oil Prices'!D19,'Commodity Prices'!$B$9:$B$2500,3)+
COUNTIFS('Commodity Prices'!$A$9:$A$2500,'Petroleum - Oil Prices'!D19,'Commodity Prices'!$B$9:$B$2500,4)+
COUNTIFS('Commodity Prices'!$A$9:$A$2500,'Petroleum - Oil Prices'!E19,'Commodity Prices'!$B$9:$B$2500,1)+
COUNTIFS('Commodity Prices'!$A$9:$A$2500,'Petroleum - Oil Prices'!E19,'Commodity Prices'!$B$9:$B$2500,2))</f>
        <v>33.245833333333337</v>
      </c>
    </row>
    <row r="20" spans="1:8">
      <c r="A20" s="617">
        <f>LARGE('Commodity Prices'!C$159:C$902,48)</f>
        <v>42917</v>
      </c>
      <c r="B20" s="1122">
        <f>SUMIF('Commodity Prices'!C$252:C$902,A20,'Commodity Prices'!M$252:M$902)</f>
        <v>48.77</v>
      </c>
      <c r="C20" s="10"/>
      <c r="D20" s="128">
        <f t="shared" si="0"/>
        <v>2004</v>
      </c>
      <c r="E20" s="128">
        <f t="shared" si="0"/>
        <v>2005</v>
      </c>
      <c r="F20" s="1123" t="str">
        <f t="shared" si="1"/>
        <v>2004-05</v>
      </c>
      <c r="G20" s="724">
        <f t="array" ref="G20">IF($F$6="Historic Calendar Year",IFERROR(AVERAGE(IF($F20=YEAR('Commodity Prices'!C$100:C$1000),'Commodity Prices'!M$100:M$1000)),"NA"),IFERROR(IF(H20=0,"NA",H20),"NA"))</f>
        <v>49.409166666666671</v>
      </c>
      <c r="H20" s="333">
        <f>(SUMIFS('Commodity Prices'!$M$9:$M$2500,'Commodity Prices'!$A$9:$A$2500,'Petroleum - Oil Prices'!D20,'Commodity Prices'!$B$9:$B$2500,3)+
SUMIFS('Commodity Prices'!$M$9:$M$2500,'Commodity Prices'!$A$9:$A$2500,'Petroleum - Oil Prices'!D20,'Commodity Prices'!$B$9:$B$2500,4)+
SUMIFS('Commodity Prices'!$M$9:$M$2500,'Commodity Prices'!$A$9:$A$2500,'Petroleum - Oil Prices'!E20,'Commodity Prices'!$B$9:$B$2500,1)+
SUMIFS('Commodity Prices'!$M$9:$M$2500,'Commodity Prices'!$A$9:$A$2500,'Petroleum - Oil Prices'!E20,'Commodity Prices'!$B$9:$B$2500,2))
/(COUNTIFS('Commodity Prices'!$A$9:$A$2500,'Petroleum - Oil Prices'!D20,'Commodity Prices'!$B$9:$B$2500,3)+
COUNTIFS('Commodity Prices'!$A$9:$A$2500,'Petroleum - Oil Prices'!D20,'Commodity Prices'!$B$9:$B$2500,4)+
COUNTIFS('Commodity Prices'!$A$9:$A$2500,'Petroleum - Oil Prices'!E20,'Commodity Prices'!$B$9:$B$2500,1)+
COUNTIFS('Commodity Prices'!$A$9:$A$2500,'Petroleum - Oil Prices'!E20,'Commodity Prices'!$B$9:$B$2500,2))</f>
        <v>49.409166666666671</v>
      </c>
    </row>
    <row r="21" spans="1:8">
      <c r="A21" s="618">
        <f>LARGE('Commodity Prices'!C$159:C$902,47)</f>
        <v>42948</v>
      </c>
      <c r="B21" s="724">
        <f>SUMIF('Commodity Prices'!C$252:C$902,A21,'Commodity Prices'!M$252:M$902)</f>
        <v>51.64</v>
      </c>
      <c r="C21" s="10"/>
      <c r="D21" s="128">
        <f t="shared" si="0"/>
        <v>2005</v>
      </c>
      <c r="E21" s="128">
        <f t="shared" si="0"/>
        <v>2006</v>
      </c>
      <c r="F21" s="1124" t="str">
        <f t="shared" si="1"/>
        <v>2005-06</v>
      </c>
      <c r="G21" s="1122">
        <f t="array" ref="G21">IF($F$6="Historic Calendar Year",IFERROR(AVERAGE(IF($F21=YEAR('Commodity Prices'!C$100:C$1000),'Commodity Prices'!M$100:M$1000)),"NA"),IFERROR(IF(H21=0,"NA",H21),"NA"))</f>
        <v>66.512500000000003</v>
      </c>
      <c r="H21" s="333">
        <f>(SUMIFS('Commodity Prices'!$M$9:$M$2500,'Commodity Prices'!$A$9:$A$2500,'Petroleum - Oil Prices'!D21,'Commodity Prices'!$B$9:$B$2500,3)+
SUMIFS('Commodity Prices'!$M$9:$M$2500,'Commodity Prices'!$A$9:$A$2500,'Petroleum - Oil Prices'!D21,'Commodity Prices'!$B$9:$B$2500,4)+
SUMIFS('Commodity Prices'!$M$9:$M$2500,'Commodity Prices'!$A$9:$A$2500,'Petroleum - Oil Prices'!E21,'Commodity Prices'!$B$9:$B$2500,1)+
SUMIFS('Commodity Prices'!$M$9:$M$2500,'Commodity Prices'!$A$9:$A$2500,'Petroleum - Oil Prices'!E21,'Commodity Prices'!$B$9:$B$2500,2))
/(COUNTIFS('Commodity Prices'!$A$9:$A$2500,'Petroleum - Oil Prices'!D21,'Commodity Prices'!$B$9:$B$2500,3)+
COUNTIFS('Commodity Prices'!$A$9:$A$2500,'Petroleum - Oil Prices'!D21,'Commodity Prices'!$B$9:$B$2500,4)+
COUNTIFS('Commodity Prices'!$A$9:$A$2500,'Petroleum - Oil Prices'!E21,'Commodity Prices'!$B$9:$B$2500,1)+
COUNTIFS('Commodity Prices'!$A$9:$A$2500,'Petroleum - Oil Prices'!E21,'Commodity Prices'!$B$9:$B$2500,2))</f>
        <v>66.512500000000003</v>
      </c>
    </row>
    <row r="22" spans="1:8">
      <c r="A22" s="617">
        <f>LARGE('Commodity Prices'!C$159:C$902,46)</f>
        <v>42979</v>
      </c>
      <c r="B22" s="1122">
        <f>SUMIF('Commodity Prices'!C$252:C$902,A22,'Commodity Prices'!M$252:M$902)</f>
        <v>55.91</v>
      </c>
      <c r="C22" s="10"/>
      <c r="D22" s="128">
        <f t="shared" si="0"/>
        <v>2006</v>
      </c>
      <c r="E22" s="128">
        <f t="shared" si="0"/>
        <v>2007</v>
      </c>
      <c r="F22" s="1123" t="str">
        <f t="shared" si="1"/>
        <v>2006-07</v>
      </c>
      <c r="G22" s="724">
        <f t="array" ref="G22">IF($F$6="Historic Calendar Year",IFERROR(AVERAGE(IF($F22=YEAR('Commodity Prices'!C$100:C$1000),'Commodity Prices'!M$100:M$1000)),"NA"),IFERROR(IF(H22=0,"NA",H22),"NA"))</f>
        <v>69.087500000000006</v>
      </c>
      <c r="H22" s="333">
        <f>(SUMIFS('Commodity Prices'!$M$9:$M$2500,'Commodity Prices'!$A$9:$A$2500,'Petroleum - Oil Prices'!D22,'Commodity Prices'!$B$9:$B$2500,3)+
SUMIFS('Commodity Prices'!$M$9:$M$2500,'Commodity Prices'!$A$9:$A$2500,'Petroleum - Oil Prices'!D22,'Commodity Prices'!$B$9:$B$2500,4)+
SUMIFS('Commodity Prices'!$M$9:$M$2500,'Commodity Prices'!$A$9:$A$2500,'Petroleum - Oil Prices'!E22,'Commodity Prices'!$B$9:$B$2500,1)+
SUMIFS('Commodity Prices'!$M$9:$M$2500,'Commodity Prices'!$A$9:$A$2500,'Petroleum - Oil Prices'!E22,'Commodity Prices'!$B$9:$B$2500,2))
/(COUNTIFS('Commodity Prices'!$A$9:$A$2500,'Petroleum - Oil Prices'!D22,'Commodity Prices'!$B$9:$B$2500,3)+
COUNTIFS('Commodity Prices'!$A$9:$A$2500,'Petroleum - Oil Prices'!D22,'Commodity Prices'!$B$9:$B$2500,4)+
COUNTIFS('Commodity Prices'!$A$9:$A$2500,'Petroleum - Oil Prices'!E22,'Commodity Prices'!$B$9:$B$2500,1)+
COUNTIFS('Commodity Prices'!$A$9:$A$2500,'Petroleum - Oil Prices'!E22,'Commodity Prices'!$B$9:$B$2500,2))</f>
        <v>69.087500000000006</v>
      </c>
    </row>
    <row r="23" spans="1:8">
      <c r="A23" s="618">
        <f>LARGE('Commodity Prices'!C$159:C$902,45)</f>
        <v>43009</v>
      </c>
      <c r="B23" s="724">
        <f>SUMIF('Commodity Prices'!C$252:C$902,A23,'Commodity Prices'!M$252:M$902)</f>
        <v>58.72</v>
      </c>
      <c r="C23" s="10"/>
      <c r="D23" s="128">
        <f t="shared" si="0"/>
        <v>2007</v>
      </c>
      <c r="E23" s="128">
        <f t="shared" si="0"/>
        <v>2008</v>
      </c>
      <c r="F23" s="1124" t="str">
        <f t="shared" si="1"/>
        <v>2007-08</v>
      </c>
      <c r="G23" s="1122">
        <f t="array" ref="G23">IF($F$6="Historic Calendar Year",IFERROR(AVERAGE(IF($F23=YEAR('Commodity Prices'!C$100:C$1000),'Commodity Prices'!M$100:M$1000)),"NA"),IFERROR(IF(H23=0,"NA",H23),"NA"))</f>
        <v>101.46083333333335</v>
      </c>
      <c r="H23" s="333">
        <f>(SUMIFS('Commodity Prices'!$M$9:$M$2500,'Commodity Prices'!$A$9:$A$2500,'Petroleum - Oil Prices'!D23,'Commodity Prices'!$B$9:$B$2500,3)+
SUMIFS('Commodity Prices'!$M$9:$M$2500,'Commodity Prices'!$A$9:$A$2500,'Petroleum - Oil Prices'!D23,'Commodity Prices'!$B$9:$B$2500,4)+
SUMIFS('Commodity Prices'!$M$9:$M$2500,'Commodity Prices'!$A$9:$A$2500,'Petroleum - Oil Prices'!E23,'Commodity Prices'!$B$9:$B$2500,1)+
SUMIFS('Commodity Prices'!$M$9:$M$2500,'Commodity Prices'!$A$9:$A$2500,'Petroleum - Oil Prices'!E23,'Commodity Prices'!$B$9:$B$2500,2))
/(COUNTIFS('Commodity Prices'!$A$9:$A$2500,'Petroleum - Oil Prices'!D23,'Commodity Prices'!$B$9:$B$2500,3)+
COUNTIFS('Commodity Prices'!$A$9:$A$2500,'Petroleum - Oil Prices'!D23,'Commodity Prices'!$B$9:$B$2500,4)+
COUNTIFS('Commodity Prices'!$A$9:$A$2500,'Petroleum - Oil Prices'!E23,'Commodity Prices'!$B$9:$B$2500,1)+
COUNTIFS('Commodity Prices'!$A$9:$A$2500,'Petroleum - Oil Prices'!E23,'Commodity Prices'!$B$9:$B$2500,2))</f>
        <v>101.46083333333335</v>
      </c>
    </row>
    <row r="24" spans="1:8">
      <c r="A24" s="617">
        <f>LARGE('Commodity Prices'!C$159:C$902,44)</f>
        <v>43040</v>
      </c>
      <c r="B24" s="1122">
        <f>SUMIF('Commodity Prices'!C$252:C$902,A24,'Commodity Prices'!M$252:M$902)</f>
        <v>64.37</v>
      </c>
      <c r="C24" s="10"/>
      <c r="D24" s="128">
        <f t="shared" ref="D24:E36" si="2">D23+1</f>
        <v>2008</v>
      </c>
      <c r="E24" s="128">
        <f t="shared" si="2"/>
        <v>2009</v>
      </c>
      <c r="F24" s="1123" t="str">
        <f t="shared" si="1"/>
        <v>2008-09</v>
      </c>
      <c r="G24" s="724">
        <f t="array" ref="G24">IF($F$6="Historic Calendar Year",IFERROR(AVERAGE(IF($F24=YEAR('Commodity Prices'!C$100:C$1000),'Commodity Prices'!M$100:M$1000)),"NA"),IFERROR(IF(H24=0,"NA",H24),"NA"))</f>
        <v>72.328333333333333</v>
      </c>
      <c r="H24" s="333">
        <f>(SUMIFS('Commodity Prices'!$M$9:$M$2500,'Commodity Prices'!$A$9:$A$2500,'Petroleum - Oil Prices'!D24,'Commodity Prices'!$B$9:$B$2500,3)+
SUMIFS('Commodity Prices'!$M$9:$M$2500,'Commodity Prices'!$A$9:$A$2500,'Petroleum - Oil Prices'!D24,'Commodity Prices'!$B$9:$B$2500,4)+
SUMIFS('Commodity Prices'!$M$9:$M$2500,'Commodity Prices'!$A$9:$A$2500,'Petroleum - Oil Prices'!E24,'Commodity Prices'!$B$9:$B$2500,1)+
SUMIFS('Commodity Prices'!$M$9:$M$2500,'Commodity Prices'!$A$9:$A$2500,'Petroleum - Oil Prices'!E24,'Commodity Prices'!$B$9:$B$2500,2))
/(COUNTIFS('Commodity Prices'!$A$9:$A$2500,'Petroleum - Oil Prices'!D24,'Commodity Prices'!$B$9:$B$2500,3)+
COUNTIFS('Commodity Prices'!$A$9:$A$2500,'Petroleum - Oil Prices'!D24,'Commodity Prices'!$B$9:$B$2500,4)+
COUNTIFS('Commodity Prices'!$A$9:$A$2500,'Petroleum - Oil Prices'!E24,'Commodity Prices'!$B$9:$B$2500,1)+
COUNTIFS('Commodity Prices'!$A$9:$A$2500,'Petroleum - Oil Prices'!E24,'Commodity Prices'!$B$9:$B$2500,2))</f>
        <v>72.328333333333333</v>
      </c>
    </row>
    <row r="25" spans="1:8">
      <c r="A25" s="618">
        <f>LARGE('Commodity Prices'!C$159:C$902,43)</f>
        <v>43070</v>
      </c>
      <c r="B25" s="724">
        <f>SUMIF('Commodity Prices'!C$252:C$902,A25,'Commodity Prices'!M$252:M$902)</f>
        <v>65.989999999999995</v>
      </c>
      <c r="C25" s="10"/>
      <c r="D25" s="128">
        <f t="shared" si="2"/>
        <v>2009</v>
      </c>
      <c r="E25" s="128">
        <f t="shared" si="2"/>
        <v>2010</v>
      </c>
      <c r="F25" s="1124" t="str">
        <f t="shared" si="1"/>
        <v>2009-10</v>
      </c>
      <c r="G25" s="1122">
        <f t="array" ref="G25">IF($F$6="Historic Calendar Year",IFERROR(AVERAGE(IF($F25=YEAR('Commodity Prices'!C$100:C$1000),'Commodity Prices'!M$100:M$1000)),"NA"),IFERROR(IF(H25=0,"NA",H25),"NA"))</f>
        <v>78.571666666666673</v>
      </c>
      <c r="H25" s="333">
        <f>(SUMIFS('Commodity Prices'!$M$9:$M$2500,'Commodity Prices'!$A$9:$A$2500,'Petroleum - Oil Prices'!D25,'Commodity Prices'!$B$9:$B$2500,3)+
SUMIFS('Commodity Prices'!$M$9:$M$2500,'Commodity Prices'!$A$9:$A$2500,'Petroleum - Oil Prices'!D25,'Commodity Prices'!$B$9:$B$2500,4)+
SUMIFS('Commodity Prices'!$M$9:$M$2500,'Commodity Prices'!$A$9:$A$2500,'Petroleum - Oil Prices'!E25,'Commodity Prices'!$B$9:$B$2500,1)+
SUMIFS('Commodity Prices'!$M$9:$M$2500,'Commodity Prices'!$A$9:$A$2500,'Petroleum - Oil Prices'!E25,'Commodity Prices'!$B$9:$B$2500,2))
/(COUNTIFS('Commodity Prices'!$A$9:$A$2500,'Petroleum - Oil Prices'!D25,'Commodity Prices'!$B$9:$B$2500,3)+
COUNTIFS('Commodity Prices'!$A$9:$A$2500,'Petroleum - Oil Prices'!D25,'Commodity Prices'!$B$9:$B$2500,4)+
COUNTIFS('Commodity Prices'!$A$9:$A$2500,'Petroleum - Oil Prices'!E25,'Commodity Prices'!$B$9:$B$2500,1)+
COUNTIFS('Commodity Prices'!$A$9:$A$2500,'Petroleum - Oil Prices'!E25,'Commodity Prices'!$B$9:$B$2500,2))</f>
        <v>78.571666666666673</v>
      </c>
    </row>
    <row r="26" spans="1:8">
      <c r="A26" s="617">
        <f>LARGE('Commodity Prices'!C$159:C$902,42)</f>
        <v>43101</v>
      </c>
      <c r="B26" s="1122">
        <f>SUMIF('Commodity Prices'!C$252:C$902,A26,'Commodity Prices'!M$252:M$902)</f>
        <v>70.72</v>
      </c>
      <c r="C26" s="10"/>
      <c r="D26" s="128">
        <f t="shared" si="2"/>
        <v>2010</v>
      </c>
      <c r="E26" s="128">
        <f t="shared" si="2"/>
        <v>2011</v>
      </c>
      <c r="F26" s="1123" t="str">
        <f t="shared" si="1"/>
        <v>2010-11</v>
      </c>
      <c r="G26" s="724">
        <f t="array" ref="G26">IF($F$6="Historic Calendar Year",IFERROR(AVERAGE(IF($F26=YEAR('Commodity Prices'!C$100:C$1000),'Commodity Prices'!M$100:M$1000)),"NA"),IFERROR(IF(H26=0,"NA",H26),"NA"))</f>
        <v>101.2975</v>
      </c>
      <c r="H26" s="333">
        <f>(SUMIFS('Commodity Prices'!$M$9:$M$2500,'Commodity Prices'!$A$9:$A$2500,'Petroleum - Oil Prices'!D26,'Commodity Prices'!$B$9:$B$2500,3)+
SUMIFS('Commodity Prices'!$M$9:$M$2500,'Commodity Prices'!$A$9:$A$2500,'Petroleum - Oil Prices'!D26,'Commodity Prices'!$B$9:$B$2500,4)+
SUMIFS('Commodity Prices'!$M$9:$M$2500,'Commodity Prices'!$A$9:$A$2500,'Petroleum - Oil Prices'!E26,'Commodity Prices'!$B$9:$B$2500,1)+
SUMIFS('Commodity Prices'!$M$9:$M$2500,'Commodity Prices'!$A$9:$A$2500,'Petroleum - Oil Prices'!E26,'Commodity Prices'!$B$9:$B$2500,2))
/(COUNTIFS('Commodity Prices'!$A$9:$A$2500,'Petroleum - Oil Prices'!D26,'Commodity Prices'!$B$9:$B$2500,3)+
COUNTIFS('Commodity Prices'!$A$9:$A$2500,'Petroleum - Oil Prices'!D26,'Commodity Prices'!$B$9:$B$2500,4)+
COUNTIFS('Commodity Prices'!$A$9:$A$2500,'Petroleum - Oil Prices'!E26,'Commodity Prices'!$B$9:$B$2500,1)+
COUNTIFS('Commodity Prices'!$A$9:$A$2500,'Petroleum - Oil Prices'!E26,'Commodity Prices'!$B$9:$B$2500,2))</f>
        <v>101.2975</v>
      </c>
    </row>
    <row r="27" spans="1:8">
      <c r="A27" s="618">
        <f>LARGE('Commodity Prices'!C$159:C$902,41)</f>
        <v>43132</v>
      </c>
      <c r="B27" s="724">
        <f>SUMIF('Commodity Prices'!C$252:C$902,A27,'Commodity Prices'!M$252:M$902)</f>
        <v>67.489999999999995</v>
      </c>
      <c r="C27" s="10"/>
      <c r="D27" s="128">
        <f t="shared" si="2"/>
        <v>2011</v>
      </c>
      <c r="E27" s="128">
        <f t="shared" si="2"/>
        <v>2012</v>
      </c>
      <c r="F27" s="1124" t="str">
        <f t="shared" si="1"/>
        <v>2011-12</v>
      </c>
      <c r="G27" s="1122">
        <f t="array" ref="G27">IF($F$6="Historic Calendar Year",IFERROR(AVERAGE(IF($F27=YEAR('Commodity Prices'!C$100:C$1000),'Commodity Prices'!M$100:M$1000)),"NA"),IFERROR(IF(H27=0,"NA",H27),"NA"))</f>
        <v>120.74833333333333</v>
      </c>
      <c r="H27" s="333">
        <f>(SUMIFS('Commodity Prices'!$M$9:$M$2500,'Commodity Prices'!$A$9:$A$2500,'Petroleum - Oil Prices'!D27,'Commodity Prices'!$B$9:$B$2500,3)+
SUMIFS('Commodity Prices'!$M$9:$M$2500,'Commodity Prices'!$A$9:$A$2500,'Petroleum - Oil Prices'!D27,'Commodity Prices'!$B$9:$B$2500,4)+
SUMIFS('Commodity Prices'!$M$9:$M$2500,'Commodity Prices'!$A$9:$A$2500,'Petroleum - Oil Prices'!E27,'Commodity Prices'!$B$9:$B$2500,1)+
SUMIFS('Commodity Prices'!$M$9:$M$2500,'Commodity Prices'!$A$9:$A$2500,'Petroleum - Oil Prices'!E27,'Commodity Prices'!$B$9:$B$2500,2))
/(COUNTIFS('Commodity Prices'!$A$9:$A$2500,'Petroleum - Oil Prices'!D27,'Commodity Prices'!$B$9:$B$2500,3)+
COUNTIFS('Commodity Prices'!$A$9:$A$2500,'Petroleum - Oil Prices'!D27,'Commodity Prices'!$B$9:$B$2500,4)+
COUNTIFS('Commodity Prices'!$A$9:$A$2500,'Petroleum - Oil Prices'!E27,'Commodity Prices'!$B$9:$B$2500,1)+
COUNTIFS('Commodity Prices'!$A$9:$A$2500,'Petroleum - Oil Prices'!E27,'Commodity Prices'!$B$9:$B$2500,2))</f>
        <v>120.74833333333333</v>
      </c>
    </row>
    <row r="28" spans="1:8">
      <c r="A28" s="617">
        <f>LARGE('Commodity Prices'!C$159:C$902,40)</f>
        <v>43160</v>
      </c>
      <c r="B28" s="1122">
        <f>SUMIF('Commodity Prices'!C$252:C$902,A28,'Commodity Prices'!M$252:M$902)</f>
        <v>67.87</v>
      </c>
      <c r="C28" s="10"/>
      <c r="D28" s="128">
        <f t="shared" si="2"/>
        <v>2012</v>
      </c>
      <c r="E28" s="128">
        <f t="shared" si="2"/>
        <v>2013</v>
      </c>
      <c r="F28" s="1123" t="str">
        <f t="shared" si="1"/>
        <v>2012-13</v>
      </c>
      <c r="G28" s="724">
        <f t="array" ref="G28">IF($F$6="Historic Calendar Year",IFERROR(AVERAGE(IF($F28=YEAR('Commodity Prices'!C$100:C$1000),'Commodity Prices'!M$100:M$1000)),"NA"),IFERROR(IF(H28=0,"NA",H28),"NA"))</f>
        <v>114.19500000000001</v>
      </c>
      <c r="H28" s="333">
        <f>(SUMIFS('Commodity Prices'!$M$9:$M$2500,'Commodity Prices'!$A$9:$A$2500,'Petroleum - Oil Prices'!D28,'Commodity Prices'!$B$9:$B$2500,3)+
SUMIFS('Commodity Prices'!$M$9:$M$2500,'Commodity Prices'!$A$9:$A$2500,'Petroleum - Oil Prices'!D28,'Commodity Prices'!$B$9:$B$2500,4)+
SUMIFS('Commodity Prices'!$M$9:$M$2500,'Commodity Prices'!$A$9:$A$2500,'Petroleum - Oil Prices'!E28,'Commodity Prices'!$B$9:$B$2500,1)+
SUMIFS('Commodity Prices'!$M$9:$M$2500,'Commodity Prices'!$A$9:$A$2500,'Petroleum - Oil Prices'!E28,'Commodity Prices'!$B$9:$B$2500,2))
/(COUNTIFS('Commodity Prices'!$A$9:$A$2500,'Petroleum - Oil Prices'!D28,'Commodity Prices'!$B$9:$B$2500,3)+
COUNTIFS('Commodity Prices'!$A$9:$A$2500,'Petroleum - Oil Prices'!D28,'Commodity Prices'!$B$9:$B$2500,4)+
COUNTIFS('Commodity Prices'!$A$9:$A$2500,'Petroleum - Oil Prices'!E28,'Commodity Prices'!$B$9:$B$2500,1)+
COUNTIFS('Commodity Prices'!$A$9:$A$2500,'Petroleum - Oil Prices'!E28,'Commodity Prices'!$B$9:$B$2500,2))</f>
        <v>114.19500000000001</v>
      </c>
    </row>
    <row r="29" spans="1:8">
      <c r="A29" s="618">
        <f>LARGE('Commodity Prices'!C$159:C$902,39)</f>
        <v>43191</v>
      </c>
      <c r="B29" s="724">
        <f>SUMIF('Commodity Prices'!C$252:C$902,A29,'Commodity Prices'!M$252:M$902)</f>
        <v>73.02</v>
      </c>
      <c r="C29" s="10"/>
      <c r="D29" s="128">
        <f t="shared" si="2"/>
        <v>2013</v>
      </c>
      <c r="E29" s="128">
        <f t="shared" si="2"/>
        <v>2014</v>
      </c>
      <c r="F29" s="1124" t="str">
        <f t="shared" si="1"/>
        <v>2013-14</v>
      </c>
      <c r="G29" s="1122">
        <f t="array" ref="G29">IF($F$6="Historic Calendar Year",IFERROR(AVERAGE(IF($F29=YEAR('Commodity Prices'!C$100:C$1000),'Commodity Prices'!M$100:M$1000)),"NA"),IFERROR(IF(H29=0,"NA",H29),"NA"))</f>
        <v>115.62166666666667</v>
      </c>
      <c r="H29" s="333">
        <f>(SUMIFS('Commodity Prices'!$M$9:$M$2500,'Commodity Prices'!$A$9:$A$2500,'Petroleum - Oil Prices'!D29,'Commodity Prices'!$B$9:$B$2500,3)+
SUMIFS('Commodity Prices'!$M$9:$M$2500,'Commodity Prices'!$A$9:$A$2500,'Petroleum - Oil Prices'!D29,'Commodity Prices'!$B$9:$B$2500,4)+
SUMIFS('Commodity Prices'!$M$9:$M$2500,'Commodity Prices'!$A$9:$A$2500,'Petroleum - Oil Prices'!E29,'Commodity Prices'!$B$9:$B$2500,1)+
SUMIFS('Commodity Prices'!$M$9:$M$2500,'Commodity Prices'!$A$9:$A$2500,'Petroleum - Oil Prices'!E29,'Commodity Prices'!$B$9:$B$2500,2))
/(COUNTIFS('Commodity Prices'!$A$9:$A$2500,'Petroleum - Oil Prices'!D29,'Commodity Prices'!$B$9:$B$2500,3)+
COUNTIFS('Commodity Prices'!$A$9:$A$2500,'Petroleum - Oil Prices'!D29,'Commodity Prices'!$B$9:$B$2500,4)+
COUNTIFS('Commodity Prices'!$A$9:$A$2500,'Petroleum - Oil Prices'!E29,'Commodity Prices'!$B$9:$B$2500,1)+
COUNTIFS('Commodity Prices'!$A$9:$A$2500,'Petroleum - Oil Prices'!E29,'Commodity Prices'!$B$9:$B$2500,2))</f>
        <v>115.62166666666667</v>
      </c>
    </row>
    <row r="30" spans="1:8">
      <c r="A30" s="617">
        <f>LARGE('Commodity Prices'!C$159:C$902,38)</f>
        <v>43221</v>
      </c>
      <c r="B30" s="1122">
        <f>SUMIF('Commodity Prices'!C$252:C$902,A30,'Commodity Prices'!M$252:M$902)</f>
        <v>78.41</v>
      </c>
      <c r="C30" s="10"/>
      <c r="D30" s="128">
        <f t="shared" si="2"/>
        <v>2014</v>
      </c>
      <c r="E30" s="128">
        <f t="shared" si="2"/>
        <v>2015</v>
      </c>
      <c r="F30" s="1123" t="str">
        <f t="shared" si="1"/>
        <v>2014-15</v>
      </c>
      <c r="G30" s="724">
        <f t="array" ref="G30">IF($F$6="Historic Calendar Year",IFERROR(AVERAGE(IF($F30=YEAR('Commodity Prices'!C$100:C$1000),'Commodity Prices'!M$100:M$1000)),"NA"),IFERROR(IF(H30=0,"NA",H30),"NA"))</f>
        <v>76.696666666666673</v>
      </c>
      <c r="H30" s="333">
        <f>(SUMIFS('Commodity Prices'!$M$9:$M$2500,'Commodity Prices'!$A$9:$A$2500,'Petroleum - Oil Prices'!D30,'Commodity Prices'!$B$9:$B$2500,3)+
SUMIFS('Commodity Prices'!$M$9:$M$2500,'Commodity Prices'!$A$9:$A$2500,'Petroleum - Oil Prices'!D30,'Commodity Prices'!$B$9:$B$2500,4)+
SUMIFS('Commodity Prices'!$M$9:$M$2500,'Commodity Prices'!$A$9:$A$2500,'Petroleum - Oil Prices'!E30,'Commodity Prices'!$B$9:$B$2500,1)+
SUMIFS('Commodity Prices'!$M$9:$M$2500,'Commodity Prices'!$A$9:$A$2500,'Petroleum - Oil Prices'!E30,'Commodity Prices'!$B$9:$B$2500,2))
/(COUNTIFS('Commodity Prices'!$A$9:$A$2500,'Petroleum - Oil Prices'!D30,'Commodity Prices'!$B$9:$B$2500,3)+
COUNTIFS('Commodity Prices'!$A$9:$A$2500,'Petroleum - Oil Prices'!D30,'Commodity Prices'!$B$9:$B$2500,4)+
COUNTIFS('Commodity Prices'!$A$9:$A$2500,'Petroleum - Oil Prices'!E30,'Commodity Prices'!$B$9:$B$2500,1)+
COUNTIFS('Commodity Prices'!$A$9:$A$2500,'Petroleum - Oil Prices'!E30,'Commodity Prices'!$B$9:$B$2500,2))</f>
        <v>76.696666666666673</v>
      </c>
    </row>
    <row r="31" spans="1:8">
      <c r="A31" s="618">
        <f>LARGE('Commodity Prices'!C$159:C$902,37)</f>
        <v>43252</v>
      </c>
      <c r="B31" s="724">
        <f>SUMIF('Commodity Prices'!C$252:C$902,A31,'Commodity Prices'!M$252:M$902)</f>
        <v>76.91</v>
      </c>
      <c r="C31" s="10"/>
      <c r="D31" s="128">
        <f t="shared" si="2"/>
        <v>2015</v>
      </c>
      <c r="E31" s="128">
        <f t="shared" si="2"/>
        <v>2016</v>
      </c>
      <c r="F31" s="1124" t="str">
        <f t="shared" si="1"/>
        <v>2015-16</v>
      </c>
      <c r="G31" s="1122">
        <f t="array" ref="G31">IF($F$6="Historic Calendar Year",IFERROR(AVERAGE(IF($F31=YEAR('Commodity Prices'!C$100:C$1000),'Commodity Prices'!M$100:M$1000)),"NA"),IFERROR(IF(H31=0,"NA",H31),"NA"))</f>
        <v>45.047500000000007</v>
      </c>
      <c r="H31" s="333">
        <f>(SUMIFS('Commodity Prices'!$M$9:$M$2500,'Commodity Prices'!$A$9:$A$2500,'Petroleum - Oil Prices'!D31,'Commodity Prices'!$B$9:$B$2500,3)+
SUMIFS('Commodity Prices'!$M$9:$M$2500,'Commodity Prices'!$A$9:$A$2500,'Petroleum - Oil Prices'!D31,'Commodity Prices'!$B$9:$B$2500,4)+
SUMIFS('Commodity Prices'!$M$9:$M$2500,'Commodity Prices'!$A$9:$A$2500,'Petroleum - Oil Prices'!E31,'Commodity Prices'!$B$9:$B$2500,1)+
SUMIFS('Commodity Prices'!$M$9:$M$2500,'Commodity Prices'!$A$9:$A$2500,'Petroleum - Oil Prices'!E31,'Commodity Prices'!$B$9:$B$2500,2))
/(COUNTIFS('Commodity Prices'!$A$9:$A$2500,'Petroleum - Oil Prices'!D31,'Commodity Prices'!$B$9:$B$2500,3)+
COUNTIFS('Commodity Prices'!$A$9:$A$2500,'Petroleum - Oil Prices'!D31,'Commodity Prices'!$B$9:$B$2500,4)+
COUNTIFS('Commodity Prices'!$A$9:$A$2500,'Petroleum - Oil Prices'!E31,'Commodity Prices'!$B$9:$B$2500,1)+
COUNTIFS('Commodity Prices'!$A$9:$A$2500,'Petroleum - Oil Prices'!E31,'Commodity Prices'!$B$9:$B$2500,2))</f>
        <v>45.047500000000007</v>
      </c>
    </row>
    <row r="32" spans="1:8">
      <c r="A32" s="617">
        <f>LARGE('Commodity Prices'!C$159:C$902,36)</f>
        <v>43282</v>
      </c>
      <c r="B32" s="1122">
        <f>SUMIF('Commodity Prices'!C$252:C$902,A32,'Commodity Prices'!M$252:M$902)</f>
        <v>76.33</v>
      </c>
      <c r="C32" s="10"/>
      <c r="D32" s="128">
        <f t="shared" si="2"/>
        <v>2016</v>
      </c>
      <c r="E32" s="128">
        <f t="shared" si="2"/>
        <v>2017</v>
      </c>
      <c r="F32" s="1123" t="str">
        <f t="shared" si="1"/>
        <v>2016-17</v>
      </c>
      <c r="G32" s="724">
        <f t="array" ref="G32">IF($F$6="Historic Calendar Year",IFERROR(AVERAGE(IF($F32=YEAR('Commodity Prices'!C$100:C$1000),'Commodity Prices'!M$100:M$1000)),"NA"),IFERROR(IF(H32=0,"NA",H32),"NA"))</f>
        <v>51.377499999999998</v>
      </c>
      <c r="H32" s="333">
        <f>(SUMIFS('Commodity Prices'!$M$9:$M$2500,'Commodity Prices'!$A$9:$A$2500,'Petroleum - Oil Prices'!D32,'Commodity Prices'!$B$9:$B$2500,3)+
SUMIFS('Commodity Prices'!$M$9:$M$2500,'Commodity Prices'!$A$9:$A$2500,'Petroleum - Oil Prices'!D32,'Commodity Prices'!$B$9:$B$2500,4)+
SUMIFS('Commodity Prices'!$M$9:$M$2500,'Commodity Prices'!$A$9:$A$2500,'Petroleum - Oil Prices'!E32,'Commodity Prices'!$B$9:$B$2500,1)+
SUMIFS('Commodity Prices'!$M$9:$M$2500,'Commodity Prices'!$A$9:$A$2500,'Petroleum - Oil Prices'!E32,'Commodity Prices'!$B$9:$B$2500,2))
/(COUNTIFS('Commodity Prices'!$A$9:$A$2500,'Petroleum - Oil Prices'!D32,'Commodity Prices'!$B$9:$B$2500,3)+
COUNTIFS('Commodity Prices'!$A$9:$A$2500,'Petroleum - Oil Prices'!D32,'Commodity Prices'!$B$9:$B$2500,4)+
COUNTIFS('Commodity Prices'!$A$9:$A$2500,'Petroleum - Oil Prices'!E32,'Commodity Prices'!$B$9:$B$2500,1)+
COUNTIFS('Commodity Prices'!$A$9:$A$2500,'Petroleum - Oil Prices'!E32,'Commodity Prices'!$B$9:$B$2500,2))</f>
        <v>51.377499999999998</v>
      </c>
    </row>
    <row r="33" spans="1:8">
      <c r="A33" s="618">
        <f>LARGE('Commodity Prices'!C$159:C$902,35)</f>
        <v>43313</v>
      </c>
      <c r="B33" s="724">
        <f>SUMIF('Commodity Prices'!C$252:C$902,A33,'Commodity Prices'!M$252:M$902)</f>
        <v>74.77</v>
      </c>
      <c r="C33" s="10"/>
      <c r="D33" s="128">
        <f t="shared" si="2"/>
        <v>2017</v>
      </c>
      <c r="E33" s="128">
        <f t="shared" si="2"/>
        <v>2018</v>
      </c>
      <c r="F33" s="1124" t="str">
        <f t="shared" si="1"/>
        <v>2017-18</v>
      </c>
      <c r="G33" s="1122">
        <f t="array" ref="G33">IF($F$6="Historic Calendar Year",IFERROR(AVERAGE(IF($F33=YEAR('Commodity Prices'!C$100:C$1000),'Commodity Prices'!M$100:M$1000)),"NA"),IFERROR(IF(H33=0,"NA",H33),"NA"))</f>
        <v>64.984999999999999</v>
      </c>
      <c r="H33" s="333">
        <f>(SUMIFS('Commodity Prices'!$M$9:$M$2500,'Commodity Prices'!$A$9:$A$2500,'Petroleum - Oil Prices'!D33,'Commodity Prices'!$B$9:$B$2500,3)+
SUMIFS('Commodity Prices'!$M$9:$M$2500,'Commodity Prices'!$A$9:$A$2500,'Petroleum - Oil Prices'!D33,'Commodity Prices'!$B$9:$B$2500,4)+
SUMIFS('Commodity Prices'!$M$9:$M$2500,'Commodity Prices'!$A$9:$A$2500,'Petroleum - Oil Prices'!E33,'Commodity Prices'!$B$9:$B$2500,1)+
SUMIFS('Commodity Prices'!$M$9:$M$2500,'Commodity Prices'!$A$9:$A$2500,'Petroleum - Oil Prices'!E33,'Commodity Prices'!$B$9:$B$2500,2))
/(COUNTIFS('Commodity Prices'!$A$9:$A$2500,'Petroleum - Oil Prices'!D33,'Commodity Prices'!$B$9:$B$2500,3)+
COUNTIFS('Commodity Prices'!$A$9:$A$2500,'Petroleum - Oil Prices'!D33,'Commodity Prices'!$B$9:$B$2500,4)+
COUNTIFS('Commodity Prices'!$A$9:$A$2500,'Petroleum - Oil Prices'!E33,'Commodity Prices'!$B$9:$B$2500,1)+
COUNTIFS('Commodity Prices'!$A$9:$A$2500,'Petroleum - Oil Prices'!E33,'Commodity Prices'!$B$9:$B$2500,2))</f>
        <v>64.984999999999999</v>
      </c>
    </row>
    <row r="34" spans="1:8">
      <c r="A34" s="617">
        <f>LARGE('Commodity Prices'!C$159:C$902,34)</f>
        <v>43344</v>
      </c>
      <c r="B34" s="1122">
        <f>SUMIF('Commodity Prices'!C$252:C$902,A34,'Commodity Prices'!M$252:M$902)</f>
        <v>80.540000000000006</v>
      </c>
      <c r="C34" s="10"/>
      <c r="D34" s="128">
        <f t="shared" si="2"/>
        <v>2018</v>
      </c>
      <c r="E34" s="128">
        <f t="shared" si="2"/>
        <v>2019</v>
      </c>
      <c r="F34" s="1123" t="str">
        <f t="shared" si="1"/>
        <v>2018-19</v>
      </c>
      <c r="G34" s="724">
        <f t="array" ref="G34">IF($F$6="Historic Calendar Year",IFERROR(AVERAGE(IF($F34=YEAR('Commodity Prices'!C$100:C$1000),'Commodity Prices'!M$100:M$1000)),"NA"),IFERROR(IF(H34=0,"NA",H34),"NA"))</f>
        <v>70.435000000000002</v>
      </c>
      <c r="H34" s="333">
        <f>(SUMIFS('Commodity Prices'!$M$9:$M$2500,'Commodity Prices'!$A$9:$A$2500,'Petroleum - Oil Prices'!D34,'Commodity Prices'!$B$9:$B$2500,3)+
SUMIFS('Commodity Prices'!$M$9:$M$2500,'Commodity Prices'!$A$9:$A$2500,'Petroleum - Oil Prices'!D34,'Commodity Prices'!$B$9:$B$2500,4)+
SUMIFS('Commodity Prices'!$M$9:$M$2500,'Commodity Prices'!$A$9:$A$2500,'Petroleum - Oil Prices'!E34,'Commodity Prices'!$B$9:$B$2500,1)+
SUMIFS('Commodity Prices'!$M$9:$M$2500,'Commodity Prices'!$A$9:$A$2500,'Petroleum - Oil Prices'!E34,'Commodity Prices'!$B$9:$B$2500,2))
/(COUNTIFS('Commodity Prices'!$A$9:$A$2500,'Petroleum - Oil Prices'!D34,'Commodity Prices'!$B$9:$B$2500,3)+
COUNTIFS('Commodity Prices'!$A$9:$A$2500,'Petroleum - Oil Prices'!D34,'Commodity Prices'!$B$9:$B$2500,4)+
COUNTIFS('Commodity Prices'!$A$9:$A$2500,'Petroleum - Oil Prices'!E34,'Commodity Prices'!$B$9:$B$2500,1)+
COUNTIFS('Commodity Prices'!$A$9:$A$2500,'Petroleum - Oil Prices'!E34,'Commodity Prices'!$B$9:$B$2500,2))</f>
        <v>70.435000000000002</v>
      </c>
    </row>
    <row r="35" spans="1:8">
      <c r="A35" s="618">
        <f>LARGE('Commodity Prices'!C$159:C$902,33)</f>
        <v>43374</v>
      </c>
      <c r="B35" s="724">
        <f>SUMIF('Commodity Prices'!C$252:C$902,A35,'Commodity Prices'!M$252:M$902)</f>
        <v>82.44</v>
      </c>
      <c r="C35" s="10"/>
      <c r="D35" s="128">
        <f t="shared" si="2"/>
        <v>2019</v>
      </c>
      <c r="E35" s="128">
        <f t="shared" si="2"/>
        <v>2020</v>
      </c>
      <c r="F35" s="1123" t="str">
        <f t="shared" si="1"/>
        <v>2019-20</v>
      </c>
      <c r="G35" s="1122">
        <f>IF($F$6="Historic Calendar Year",IFERROR(AVERAGE(IF($F35=YEAR('Commodity Prices'!C$100:C$1000),'Commodity Prices'!M$100:M$1000)),"NA"),IFERROR(IF(H35=0,"NA",H35),"NA"))</f>
        <v>55.101666666666667</v>
      </c>
      <c r="H35" s="333">
        <f>(SUMIFS('Commodity Prices'!$M$9:$M$2500,'Commodity Prices'!$A$9:$A$2500,'Petroleum - Oil Prices'!D35,'Commodity Prices'!$B$9:$B$2500,3)+
SUMIFS('Commodity Prices'!$M$9:$M$2500,'Commodity Prices'!$A$9:$A$2500,'Petroleum - Oil Prices'!D35,'Commodity Prices'!$B$9:$B$2500,4)+
SUMIFS('Commodity Prices'!$M$9:$M$2500,'Commodity Prices'!$A$9:$A$2500,'Petroleum - Oil Prices'!E35,'Commodity Prices'!$B$9:$B$2500,1)+
SUMIFS('Commodity Prices'!$M$9:$M$2500,'Commodity Prices'!$A$9:$A$2500,'Petroleum - Oil Prices'!E35,'Commodity Prices'!$B$9:$B$2500,2))
/(COUNTIFS('Commodity Prices'!$A$9:$A$2500,'Petroleum - Oil Prices'!D35,'Commodity Prices'!$B$9:$B$2500,3)+
COUNTIFS('Commodity Prices'!$A$9:$A$2500,'Petroleum - Oil Prices'!D35,'Commodity Prices'!$B$9:$B$2500,4)+
COUNTIFS('Commodity Prices'!$A$9:$A$2500,'Petroleum - Oil Prices'!E35,'Commodity Prices'!$B$9:$B$2500,1)+
COUNTIFS('Commodity Prices'!$A$9:$A$2500,'Petroleum - Oil Prices'!E35,'Commodity Prices'!$B$9:$B$2500,2))</f>
        <v>55.101666666666667</v>
      </c>
    </row>
    <row r="36" spans="1:8" ht="15.75" thickBot="1">
      <c r="A36" s="617">
        <f>LARGE('Commodity Prices'!C$159:C$902,32)</f>
        <v>43405</v>
      </c>
      <c r="B36" s="1122">
        <f>SUMIF('Commodity Prices'!C$252:C$902,A36,'Commodity Prices'!M$252:M$902)</f>
        <v>67.38</v>
      </c>
      <c r="C36" s="10"/>
      <c r="D36" s="128">
        <f t="shared" si="2"/>
        <v>2020</v>
      </c>
      <c r="E36" s="128">
        <f t="shared" si="2"/>
        <v>2021</v>
      </c>
      <c r="F36" s="1124" t="str">
        <f t="shared" si="1"/>
        <v>2020-21</v>
      </c>
      <c r="G36" s="1637">
        <f>IF($F$6="Historic Calendar Year",IFERROR(AVERAGE(IF($F36=YEAR('Commodity Prices'!C$100:C$1000),'Commodity Prices'!M$100:M$1000)),"NA"),IFERROR(IF(H36=0,"NA",H36),"NA"))</f>
        <v>54.590833333333336</v>
      </c>
      <c r="H36" s="333">
        <f>(SUMIFS('Commodity Prices'!$M$9:$M$2500,'Commodity Prices'!$A$9:$A$2500,'Petroleum - Oil Prices'!D36,'Commodity Prices'!$B$9:$B$2500,3)+
SUMIFS('Commodity Prices'!$M$9:$M$2500,'Commodity Prices'!$A$9:$A$2500,'Petroleum - Oil Prices'!D36,'Commodity Prices'!$B$9:$B$2500,4)+
SUMIFS('Commodity Prices'!$M$9:$M$2500,'Commodity Prices'!$A$9:$A$2500,'Petroleum - Oil Prices'!E36,'Commodity Prices'!$B$9:$B$2500,1)+
SUMIFS('Commodity Prices'!$M$9:$M$2500,'Commodity Prices'!$A$9:$A$2500,'Petroleum - Oil Prices'!E36,'Commodity Prices'!$B$9:$B$2500,2))
/(COUNTIFS('Commodity Prices'!$A$9:$A$2500,'Petroleum - Oil Prices'!D36,'Commodity Prices'!$B$9:$B$2500,3)+
COUNTIFS('Commodity Prices'!$A$9:$A$2500,'Petroleum - Oil Prices'!D36,'Commodity Prices'!$B$9:$B$2500,4)+
COUNTIFS('Commodity Prices'!$A$9:$A$2500,'Petroleum - Oil Prices'!E36,'Commodity Prices'!$B$9:$B$2500,1)+
COUNTIFS('Commodity Prices'!$A$9:$A$2500,'Petroleum - Oil Prices'!E36,'Commodity Prices'!$B$9:$B$2500,2))</f>
        <v>54.590833333333336</v>
      </c>
    </row>
    <row r="37" spans="1:8">
      <c r="A37" s="618">
        <f>LARGE('Commodity Prices'!C$159:C$902,31)</f>
        <v>43435</v>
      </c>
      <c r="B37" s="724">
        <f>SUMIF('Commodity Prices'!C$252:C$902,A37,'Commodity Prices'!M$252:M$902)</f>
        <v>58.9</v>
      </c>
      <c r="C37" s="10"/>
      <c r="D37" s="128"/>
      <c r="E37" s="128"/>
      <c r="F37" s="782" t="str">
        <f>IF($F$6="Historic Calendar Year",F36+1,CONCATENATE(D36,"-",RIGHT(E36,2)))</f>
        <v>2020-21</v>
      </c>
      <c r="G37" s="938">
        <f t="array" ref="G37">IF($F$6="Historic Calendar Year",IFERROR(AVERAGE(IF($F37=YEAR('Commodity Prices'!C$100:C$1000),'Commodity Prices'!M$100:M$1000)),"NA"),IFERROR(IF(H36=0,"NA",H36),"NA"))</f>
        <v>54.590833333333336</v>
      </c>
      <c r="H37" s="333"/>
    </row>
    <row r="38" spans="1:8" ht="15.75" thickBot="1">
      <c r="A38" s="617">
        <f>LARGE('Commodity Prices'!C$159:C$902,30)</f>
        <v>43466</v>
      </c>
      <c r="B38" s="1122">
        <f>SUMIF('Commodity Prices'!C$252:C$902,A38,'Commodity Prices'!M$252:M$902)</f>
        <v>60.95</v>
      </c>
      <c r="C38" s="10"/>
      <c r="D38" s="128"/>
      <c r="E38" s="128"/>
      <c r="F38" s="10"/>
      <c r="G38" s="10"/>
      <c r="H38" s="333"/>
    </row>
    <row r="39" spans="1:8" ht="15.75" thickBot="1">
      <c r="A39" s="618">
        <f>LARGE('Commodity Prices'!C$159:C$902,29)</f>
        <v>43497</v>
      </c>
      <c r="B39" s="724">
        <f>SUMIF('Commodity Prices'!C$252:C$902,A39,'Commodity Prices'!M$252:M$902)</f>
        <v>65.84</v>
      </c>
      <c r="C39" s="10"/>
      <c r="D39" s="128"/>
      <c r="E39" s="128"/>
      <c r="F39" s="2066" t="s">
        <v>506</v>
      </c>
      <c r="G39" s="2067"/>
      <c r="H39" s="333"/>
    </row>
    <row r="40" spans="1:8" ht="15.75" thickBot="1">
      <c r="A40" s="617">
        <f>LARGE('Commodity Prices'!C$159:C$902,28)</f>
        <v>43525</v>
      </c>
      <c r="B40" s="1122">
        <f>SUMIF('Commodity Prices'!C$252:C$902,A40,'Commodity Prices'!M$252:M$902)</f>
        <v>68.11</v>
      </c>
      <c r="C40" s="10"/>
      <c r="D40" s="128"/>
      <c r="E40" s="128"/>
      <c r="F40" s="1985" t="s">
        <v>464</v>
      </c>
      <c r="G40" s="1986"/>
      <c r="H40" s="333"/>
    </row>
    <row r="41" spans="1:8">
      <c r="A41" s="618">
        <f>LARGE('Commodity Prices'!C$159:C$902,27)</f>
        <v>43556</v>
      </c>
      <c r="B41" s="724">
        <f>SUMIF('Commodity Prices'!C$252:C$902,A41,'Commodity Prices'!M$252:M$902)</f>
        <v>72.77</v>
      </c>
      <c r="C41" s="10"/>
      <c r="D41" s="128"/>
      <c r="E41" s="128"/>
      <c r="F41" s="1987" t="s">
        <v>507</v>
      </c>
      <c r="G41" s="1987"/>
      <c r="H41" s="333"/>
    </row>
    <row r="42" spans="1:8">
      <c r="A42" s="617">
        <f>LARGE('Commodity Prices'!C$159:C$902,26)</f>
        <v>43586</v>
      </c>
      <c r="B42" s="1122">
        <f>SUMIF('Commodity Prices'!C$252:C$902,A42,'Commodity Prices'!M$252:M$902)</f>
        <v>72.239999999999995</v>
      </c>
      <c r="C42" s="10"/>
      <c r="D42" s="128"/>
      <c r="E42" s="128"/>
      <c r="F42" s="10"/>
      <c r="G42" s="10"/>
      <c r="H42" s="333"/>
    </row>
    <row r="43" spans="1:8">
      <c r="A43" s="618">
        <f>LARGE('Commodity Prices'!C$159:C$902,25)</f>
        <v>43617</v>
      </c>
      <c r="B43" s="724">
        <f>SUMIF('Commodity Prices'!C$252:C$902,A43,'Commodity Prices'!M$252:M$902)</f>
        <v>64.95</v>
      </c>
      <c r="C43" s="10"/>
      <c r="D43" s="128"/>
      <c r="E43" s="128"/>
      <c r="F43" s="2022"/>
      <c r="G43" s="2022"/>
    </row>
    <row r="44" spans="1:8">
      <c r="A44" s="617">
        <f>LARGE('Commodity Prices'!C$159:C$902,24)</f>
        <v>43647</v>
      </c>
      <c r="B44" s="1122">
        <f>SUMIF('Commodity Prices'!C$252:C$902,A44,'Commodity Prices'!M$252:M$902)</f>
        <v>66.09</v>
      </c>
      <c r="C44" s="10"/>
      <c r="D44" s="128"/>
      <c r="E44" s="128"/>
      <c r="F44" s="2022"/>
      <c r="G44" s="2022"/>
    </row>
    <row r="45" spans="1:8">
      <c r="A45" s="618">
        <f>LARGE('Commodity Prices'!C$159:C$902,23)</f>
        <v>43678</v>
      </c>
      <c r="B45" s="724">
        <f>SUMIF('Commodity Prices'!C$252:C$902,A45,'Commodity Prices'!M$252:M$902)</f>
        <v>61.46</v>
      </c>
      <c r="C45" s="10"/>
      <c r="D45" s="128"/>
      <c r="E45" s="128"/>
      <c r="F45" s="2022"/>
      <c r="G45" s="2022"/>
    </row>
    <row r="46" spans="1:8">
      <c r="A46" s="617">
        <f>LARGE('Commodity Prices'!C$159:C$902,22)</f>
        <v>43709</v>
      </c>
      <c r="B46" s="1122">
        <f>SUMIF('Commodity Prices'!C$252:C$902,A46,'Commodity Prices'!M$252:M$902)</f>
        <v>64.05</v>
      </c>
      <c r="C46" s="10"/>
      <c r="D46" s="128"/>
      <c r="E46" s="128"/>
      <c r="F46" s="10"/>
      <c r="G46" s="10"/>
    </row>
    <row r="47" spans="1:8">
      <c r="A47" s="618">
        <f>LARGE('Commodity Prices'!C$159:C$902,21)</f>
        <v>43739</v>
      </c>
      <c r="B47" s="724">
        <f>SUMIF('Commodity Prices'!C$252:C$902,A47,'Commodity Prices'!M$252:M$902)</f>
        <v>60.86</v>
      </c>
      <c r="C47" s="10"/>
      <c r="D47" s="128"/>
      <c r="E47" s="128"/>
      <c r="F47" s="10"/>
      <c r="G47" s="10"/>
    </row>
    <row r="48" spans="1:8">
      <c r="A48" s="617">
        <f>LARGE('Commodity Prices'!C$159:C$902,20)</f>
        <v>43770</v>
      </c>
      <c r="B48" s="1122">
        <f>SUMIF('Commodity Prices'!C$252:C$902,A48,'Commodity Prices'!M$252:M$902)</f>
        <v>64.239999999999995</v>
      </c>
      <c r="C48" s="10"/>
      <c r="D48" s="128"/>
      <c r="E48" s="128"/>
      <c r="F48" s="10"/>
      <c r="G48" s="10"/>
    </row>
    <row r="49" spans="1:7">
      <c r="A49" s="618">
        <f>LARGE('Commodity Prices'!C$159:C$902,19)</f>
        <v>43800</v>
      </c>
      <c r="B49" s="724">
        <f>SUMIF('Commodity Prices'!C$252:C$902,A49,'Commodity Prices'!M$252:M$902)</f>
        <v>75.52</v>
      </c>
      <c r="C49" s="10"/>
      <c r="D49" s="128"/>
      <c r="E49" s="128"/>
      <c r="F49" s="10"/>
      <c r="G49" s="10"/>
    </row>
    <row r="50" spans="1:7">
      <c r="A50" s="617">
        <f>LARGE('Commodity Prices'!C$159:C$902,18)</f>
        <v>43831</v>
      </c>
      <c r="B50" s="1122">
        <f>SUMIF('Commodity Prices'!C$252:C$902,A50,'Commodity Prices'!M$252:M$902)</f>
        <v>71.59</v>
      </c>
      <c r="C50" s="10"/>
      <c r="D50" s="128"/>
      <c r="E50" s="128"/>
      <c r="F50" s="10"/>
      <c r="G50" s="10"/>
    </row>
    <row r="51" spans="1:7">
      <c r="A51" s="618">
        <f>LARGE('Commodity Prices'!C$159:C$902,17)</f>
        <v>43862</v>
      </c>
      <c r="B51" s="724">
        <f>SUMIF('Commodity Prices'!C$252:C$902,A51,'Commodity Prices'!M$252:M$902)</f>
        <v>62.95</v>
      </c>
      <c r="C51" s="10"/>
      <c r="D51" s="128"/>
      <c r="E51" s="128"/>
      <c r="F51" s="10"/>
      <c r="G51" s="10"/>
    </row>
    <row r="52" spans="1:7">
      <c r="A52" s="617">
        <f>LARGE('Commodity Prices'!C$159:C$902,16)</f>
        <v>43891</v>
      </c>
      <c r="B52" s="1122">
        <f>SUMIF('Commodity Prices'!C$252:C$902,A52,'Commodity Prices'!M$252:M$902)</f>
        <v>41.32</v>
      </c>
      <c r="C52" s="10"/>
      <c r="D52" s="128"/>
      <c r="E52" s="128"/>
      <c r="F52" s="10"/>
      <c r="G52" s="10"/>
    </row>
    <row r="53" spans="1:7">
      <c r="A53" s="618">
        <f>LARGE('Commodity Prices'!C$159:C$902,15)</f>
        <v>43922</v>
      </c>
      <c r="B53" s="724">
        <f>SUMIF('Commodity Prices'!C$252:C$902,A53,'Commodity Prices'!M$252:M$902)</f>
        <v>27.08</v>
      </c>
      <c r="C53" s="10"/>
      <c r="D53" s="128"/>
      <c r="E53" s="128"/>
      <c r="F53" s="10"/>
      <c r="G53" s="10"/>
    </row>
    <row r="54" spans="1:7">
      <c r="A54" s="617">
        <f>LARGE('Commodity Prices'!C$159:C$902,14)</f>
        <v>43952</v>
      </c>
      <c r="B54" s="1122">
        <f>SUMIF('Commodity Prices'!C$252:C$902,A54,'Commodity Prices'!M$252:M$902)</f>
        <v>31.49</v>
      </c>
      <c r="C54" s="10"/>
      <c r="D54" s="128"/>
      <c r="E54" s="128"/>
      <c r="F54" s="10"/>
      <c r="G54" s="10"/>
    </row>
    <row r="55" spans="1:7">
      <c r="A55" s="618">
        <f>LARGE('Commodity Prices'!C$159:C$902,13)</f>
        <v>43983</v>
      </c>
      <c r="B55" s="724">
        <f>SUMIF('Commodity Prices'!C$252:C$902,A55,'Commodity Prices'!M$252:M$902)</f>
        <v>34.57</v>
      </c>
      <c r="C55" s="10"/>
      <c r="D55" s="128"/>
      <c r="E55" s="128"/>
      <c r="F55" s="10"/>
      <c r="G55" s="10"/>
    </row>
    <row r="56" spans="1:7">
      <c r="A56" s="617">
        <f>LARGE('Commodity Prices'!C$159:C$902,12)</f>
        <v>44013</v>
      </c>
      <c r="B56" s="1122">
        <f>SUMIF('Commodity Prices'!C$252:C$902,A56,'Commodity Prices'!M$252:M$902)</f>
        <v>43.8</v>
      </c>
      <c r="C56" s="10"/>
      <c r="D56" s="128"/>
      <c r="E56" s="128"/>
      <c r="F56" s="10"/>
      <c r="G56" s="10"/>
    </row>
    <row r="57" spans="1:7">
      <c r="A57" s="618">
        <f>LARGE('Commodity Prices'!C$159:C$902,11)</f>
        <v>44044</v>
      </c>
      <c r="B57" s="724">
        <f>SUMIF('Commodity Prices'!C$252:C$902,A57,'Commodity Prices'!M$252:M$902)</f>
        <v>46.35</v>
      </c>
      <c r="C57" s="10"/>
      <c r="D57" s="128"/>
      <c r="E57" s="128"/>
      <c r="F57" s="10"/>
      <c r="G57" s="10"/>
    </row>
    <row r="58" spans="1:7">
      <c r="A58" s="617">
        <f>LARGE('Commodity Prices'!C$159:C$902,10)</f>
        <v>44075</v>
      </c>
      <c r="B58" s="1122">
        <f>SUMIF('Commodity Prices'!C$252:C$902,A58,'Commodity Prices'!M$252:M$902)</f>
        <v>42.38</v>
      </c>
      <c r="C58" s="10"/>
      <c r="D58" s="128"/>
      <c r="E58" s="128"/>
      <c r="F58" s="10"/>
      <c r="G58" s="10"/>
    </row>
    <row r="59" spans="1:7">
      <c r="A59" s="618">
        <f>LARGE('Commodity Prices'!C$159:C$902,9)</f>
        <v>44105</v>
      </c>
      <c r="B59" s="724">
        <f>SUMIF('Commodity Prices'!C$252:C$902,A59,'Commodity Prices'!M$252:M$902)</f>
        <v>39.450000000000003</v>
      </c>
      <c r="C59" s="10"/>
      <c r="D59" s="128"/>
      <c r="E59" s="128"/>
      <c r="F59" s="10"/>
      <c r="G59" s="10"/>
    </row>
    <row r="60" spans="1:7">
      <c r="A60" s="617">
        <f>LARGE('Commodity Prices'!C$159:C$902,8)</f>
        <v>44136</v>
      </c>
      <c r="B60" s="1122">
        <f>SUMIF('Commodity Prices'!C$252:C$902,A60,'Commodity Prices'!M$252:M$902)</f>
        <v>41.24</v>
      </c>
      <c r="C60" s="10"/>
      <c r="D60" s="128"/>
      <c r="E60" s="128"/>
      <c r="F60" s="10"/>
      <c r="G60" s="10"/>
    </row>
    <row r="61" spans="1:7">
      <c r="A61" s="618">
        <f>LARGE('Commodity Prices'!C$159:C$902,7)</f>
        <v>44166</v>
      </c>
      <c r="B61" s="724">
        <f>SUMIF('Commodity Prices'!C$252:C$902,A61,'Commodity Prices'!M$252:M$902)</f>
        <v>49.55</v>
      </c>
      <c r="C61" s="10"/>
      <c r="D61" s="128"/>
      <c r="E61" s="128"/>
      <c r="F61" s="10"/>
      <c r="G61" s="10"/>
    </row>
    <row r="62" spans="1:7">
      <c r="A62" s="618">
        <f>LARGE('Commodity Prices'!C$159:C$902,6)</f>
        <v>44197</v>
      </c>
      <c r="B62" s="1122">
        <f>SUMIF('Commodity Prices'!C$252:C$902,A62,'Commodity Prices'!M$252:M$902)</f>
        <v>55.49</v>
      </c>
      <c r="C62" s="10"/>
      <c r="D62" s="128"/>
      <c r="E62" s="128"/>
      <c r="F62" s="10"/>
      <c r="G62" s="10"/>
    </row>
    <row r="63" spans="1:7">
      <c r="A63" s="618">
        <f>LARGE('Commodity Prices'!C$159:C$902,5)</f>
        <v>44228</v>
      </c>
      <c r="B63" s="724">
        <f>SUMIF('Commodity Prices'!C$252:C$902,A63,'Commodity Prices'!M$252:M$902)</f>
        <v>63.02</v>
      </c>
      <c r="C63" s="10"/>
      <c r="D63" s="128"/>
      <c r="E63" s="128"/>
    </row>
    <row r="64" spans="1:7">
      <c r="A64" s="618">
        <f>LARGE('Commodity Prices'!C$159:C$902,4)</f>
        <v>44256</v>
      </c>
      <c r="B64" s="1122">
        <f>SUMIF('Commodity Prices'!C$252:C$902,A64,'Commodity Prices'!M$252:M$902)</f>
        <v>66.459999999999994</v>
      </c>
      <c r="C64" s="10"/>
      <c r="D64" s="128"/>
      <c r="E64" s="128"/>
    </row>
    <row r="65" spans="1:5">
      <c r="A65" s="618">
        <f>LARGE('Commodity Prices'!C$159:C$902,3)</f>
        <v>44287</v>
      </c>
      <c r="B65" s="724">
        <f>SUMIF('Commodity Prices'!C$252:C$902,A65,'Commodity Prices'!M$252:M$902)</f>
        <v>64.650000000000006</v>
      </c>
      <c r="C65" s="10"/>
      <c r="D65" s="128"/>
      <c r="E65" s="128"/>
    </row>
    <row r="66" spans="1:5">
      <c r="A66" s="618">
        <f>LARGE('Commodity Prices'!C$159:C$902,2)</f>
        <v>44317</v>
      </c>
      <c r="B66" s="1122">
        <f>SUMIF('Commodity Prices'!C$252:C$902,A66,'Commodity Prices'!M$252:M$902)</f>
        <v>68.94</v>
      </c>
      <c r="C66" s="10"/>
      <c r="D66" s="128"/>
      <c r="E66" s="128"/>
    </row>
    <row r="67" spans="1:5" ht="15.75" thickBot="1">
      <c r="A67" s="1087">
        <f>LARGE('Commodity Prices'!C$159:C$902,1)</f>
        <v>44348</v>
      </c>
      <c r="B67" s="725">
        <f>SUMIF('Commodity Prices'!C$252:C$902,A67,'Commodity Prices'!M$252:M$902)</f>
        <v>73.760000000000005</v>
      </c>
      <c r="C67" s="10"/>
      <c r="D67" s="128"/>
      <c r="E67" s="128"/>
    </row>
  </sheetData>
  <mergeCells count="8">
    <mergeCell ref="F43:G45"/>
    <mergeCell ref="F40:G40"/>
    <mergeCell ref="F39:G39"/>
    <mergeCell ref="F41:G41"/>
    <mergeCell ref="A5:B5"/>
    <mergeCell ref="F5:G5"/>
    <mergeCell ref="A6:B6"/>
    <mergeCell ref="F6:G6"/>
  </mergeCells>
  <dataValidations xWindow="579" yWindow="944" count="1">
    <dataValidation type="list" allowBlank="1" showInputMessage="1" showErrorMessage="1" promptTitle="Select a Period:" prompt="Select Financial or Calendar years." sqref="F40:G40">
      <formula1>$Y$1:$Y$2</formula1>
    </dataValidation>
  </dataValidation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tint="0.39997558519241921"/>
  </sheetPr>
  <dimension ref="A3:AB93"/>
  <sheetViews>
    <sheetView showGridLines="0" zoomScaleNormal="100" workbookViewId="0">
      <selection activeCell="H79" sqref="H79"/>
    </sheetView>
  </sheetViews>
  <sheetFormatPr defaultRowHeight="15"/>
  <cols>
    <col min="1" max="2" width="0.28515625" style="237" customWidth="1"/>
    <col min="3" max="3" width="10.7109375" style="53" customWidth="1"/>
    <col min="4" max="4" width="16.42578125" style="53" bestFit="1" customWidth="1"/>
    <col min="5" max="5" width="19.28515625" style="344" customWidth="1"/>
    <col min="6" max="6" width="20.5703125" style="344" customWidth="1"/>
    <col min="7" max="7" width="20.42578125" style="344" customWidth="1"/>
    <col min="8" max="8" width="11.85546875" style="344" customWidth="1"/>
    <col min="9" max="9" width="16" style="344" bestFit="1" customWidth="1"/>
    <col min="10" max="10" width="10.85546875" style="344" customWidth="1"/>
    <col min="11" max="11" width="10.28515625" style="344" customWidth="1"/>
    <col min="12" max="16" width="9.140625" style="53"/>
    <col min="17" max="17" width="9.140625" style="53" customWidth="1"/>
    <col min="18" max="27" width="9.140625" style="53"/>
    <col min="28" max="28" width="4.140625" style="53" bestFit="1" customWidth="1"/>
    <col min="29" max="16384" width="9.140625" style="53"/>
  </cols>
  <sheetData>
    <row r="3" spans="1:28">
      <c r="AB3" s="420" t="s">
        <v>464</v>
      </c>
    </row>
    <row r="4" spans="1:28">
      <c r="AB4" s="420" t="s">
        <v>463</v>
      </c>
    </row>
    <row r="5" spans="1:28">
      <c r="C5" s="1992" t="s">
        <v>124</v>
      </c>
      <c r="D5" s="1992"/>
      <c r="E5" s="1992"/>
      <c r="F5" s="1992"/>
      <c r="G5" s="1992"/>
      <c r="H5" s="1992"/>
      <c r="I5" s="1992"/>
      <c r="J5" s="1992"/>
      <c r="K5" s="1992"/>
      <c r="L5" s="169"/>
    </row>
    <row r="6" spans="1:28" ht="15.75" thickBot="1">
      <c r="C6" s="1992" t="s">
        <v>728</v>
      </c>
      <c r="D6" s="1992"/>
      <c r="E6" s="1992"/>
      <c r="F6" s="1992"/>
      <c r="G6" s="1992"/>
      <c r="H6" s="1992"/>
      <c r="I6" s="1992"/>
      <c r="J6" s="1992"/>
      <c r="K6" s="1992"/>
    </row>
    <row r="7" spans="1:28" ht="15" customHeight="1">
      <c r="C7" s="54"/>
      <c r="D7" s="57" t="s">
        <v>123</v>
      </c>
      <c r="E7" s="58" t="s">
        <v>119</v>
      </c>
      <c r="F7" s="57" t="s">
        <v>117</v>
      </c>
      <c r="G7" s="58" t="s">
        <v>121</v>
      </c>
      <c r="H7" s="2068" t="s">
        <v>714</v>
      </c>
      <c r="I7" s="2068" t="s">
        <v>720</v>
      </c>
      <c r="J7" s="2068" t="s">
        <v>716</v>
      </c>
      <c r="K7" s="2070" t="s">
        <v>715</v>
      </c>
    </row>
    <row r="8" spans="1:28" ht="15" customHeight="1" thickBot="1">
      <c r="C8" s="55"/>
      <c r="D8" s="59" t="s">
        <v>124</v>
      </c>
      <c r="E8" s="60" t="s">
        <v>120</v>
      </c>
      <c r="F8" s="59" t="s">
        <v>118</v>
      </c>
      <c r="G8" s="60" t="s">
        <v>122</v>
      </c>
      <c r="H8" s="2069"/>
      <c r="I8" s="2069"/>
      <c r="J8" s="2069"/>
      <c r="K8" s="2071"/>
    </row>
    <row r="9" spans="1:28">
      <c r="A9" s="237">
        <v>1990</v>
      </c>
      <c r="B9" s="410">
        <f t="shared" ref="B9:B36" si="0">A10</f>
        <v>1991</v>
      </c>
      <c r="C9" s="419" t="str">
        <f t="shared" ref="C9:C39" si="1">IF($F$42=$AB$4,A9,CONCATENATE(A9,"-",RIGHT(B9,2)))</f>
        <v>1990-91</v>
      </c>
      <c r="D9" s="1111">
        <f>IF($F$42="Historic Calendar Year",HLOOKUP(CONCATENATE('Petroleum - Gas Prices'!A9," Quantity"),'CY Q&amp;V 1886 to 2003'!$Y$8:$AR$186,179,FALSE)*1000,HLOOKUP(CONCATENATE('Petroleum - Gas Prices'!C9," Quantity"),'FY Q&amp;V 1984-85 to 2002-03'!$M$8:$AH$143,136,FALSE)*1000)</f>
        <v>3613720000</v>
      </c>
      <c r="E9" s="1112">
        <f t="shared" ref="E9:E16" si="2">IF(D9&lt;&gt;"",D9/26300,"")</f>
        <v>137403.80228136881</v>
      </c>
      <c r="F9" s="1111">
        <f t="shared" ref="F9:F16" si="3">+E9*1000</f>
        <v>137403802.28136882</v>
      </c>
      <c r="G9" s="1112">
        <f>IF($F$42="Historic Calendar Year",HLOOKUP(CONCATENATE('Petroleum - Gas Prices'!A9," Value $"),'CY Q&amp;V 1886 to 2003'!$Y$8:$AR$186,179,FALSE),HLOOKUP(CONCATENATE('Petroleum - Gas Prices'!C9," Value $"),'FY Q&amp;V 1984-85 to 2002-03'!$M$8:$AH$143,136,FALSE))</f>
        <v>379228944</v>
      </c>
      <c r="H9" s="1111">
        <f t="shared" ref="H9:H33" si="4">IF(C9&lt;&gt;"",G9/F9,"")</f>
        <v>2.7599596059462272</v>
      </c>
      <c r="I9" s="639"/>
      <c r="J9" s="1115">
        <f>IF(C9&lt;&gt;"",
IF($F$42="Historic Calendar Year",AVERAGEIF('Commodity Prices'!$A$9:$A$1300,C9,'Commodity Prices'!$X$9:$X$1300),
(SUMIFS('Commodity Prices'!$X$9:$X$1300,'Commodity Prices'!$A$9:$A$1300,A9,'Commodity Prices'!$B$9:$B$1300,3)+
SUMIFS('Commodity Prices'!$X$9:$X$1300,'Commodity Prices'!$A$9:$A$1300,A9,'Commodity Prices'!$B$9:$B$1300,4)+
SUMIFS('Commodity Prices'!$X$9:$X$1300,'Commodity Prices'!$A$9:$A$1300,B9,'Commodity Prices'!$B$9:$B$1300,1)+
SUMIFS('Commodity Prices'!$X$9:$X$1300,'Commodity Prices'!$A$9:$A$1300,B9,'Commodity Prices'!$B$9:$B$1300,2))/12
),"")</f>
        <v>0.78509999999999991</v>
      </c>
      <c r="K9" s="1116">
        <f t="shared" ref="K9:K34" si="5">IFERROR(H9*J9,"")</f>
        <v>2.1668442866283826</v>
      </c>
    </row>
    <row r="10" spans="1:28">
      <c r="A10" s="237">
        <v>1991</v>
      </c>
      <c r="B10" s="410">
        <f t="shared" si="0"/>
        <v>1992</v>
      </c>
      <c r="C10" s="419" t="str">
        <f t="shared" si="1"/>
        <v>1991-92</v>
      </c>
      <c r="D10" s="1113">
        <f>IF($F$42="Historic Calendar Year",HLOOKUP(CONCATENATE('Petroleum - Gas Prices'!A10," Quantity"),'CY Q&amp;V 1886 to 2003'!$Y$8:$AR$186,179,FALSE)*1000,HLOOKUP(CONCATENATE('Petroleum - Gas Prices'!C10," Quantity"),'FY Q&amp;V 1984-85 to 2002-03'!$M$8:$AH$143,136,FALSE)*1000)</f>
        <v>3768848000</v>
      </c>
      <c r="E10" s="1114">
        <f t="shared" si="2"/>
        <v>143302.20532319392</v>
      </c>
      <c r="F10" s="1113">
        <f t="shared" si="3"/>
        <v>143302205.32319391</v>
      </c>
      <c r="G10" s="1114">
        <f>IF($F$42="Historic Calendar Year",HLOOKUP(CONCATENATE('Petroleum - Gas Prices'!A10," Value $"),'CY Q&amp;V 1886 to 2003'!$Y$8:$AR$186,179,FALSE),HLOOKUP(CONCATENATE('Petroleum - Gas Prices'!C10," Value $"),'FY Q&amp;V 1984-85 to 2002-03'!$M$8:$AH$143,136,FALSE))</f>
        <v>349257426</v>
      </c>
      <c r="H10" s="1113">
        <f t="shared" si="4"/>
        <v>2.4372090102333659</v>
      </c>
      <c r="I10" s="640">
        <f>(H10-H9)/H9</f>
        <v>-0.11694033311846577</v>
      </c>
      <c r="J10" s="1117">
        <f>IF(C10&lt;&gt;"",
IF($F$42="Historic Calendar Year",AVERAGEIF('Commodity Prices'!$A$9:$A$1300,C10,'Commodity Prices'!$X$9:$X$1300),
(SUMIFS('Commodity Prices'!$X$9:$X$1300,'Commodity Prices'!$A$9:$A$1300,A10,'Commodity Prices'!$B$9:$B$1300,3)+
SUMIFS('Commodity Prices'!$X$9:$X$1300,'Commodity Prices'!$A$9:$A$1300,A10,'Commodity Prices'!$B$9:$B$1300,4)+
SUMIFS('Commodity Prices'!$X$9:$X$1300,'Commodity Prices'!$A$9:$A$1300,B10,'Commodity Prices'!$B$9:$B$1300,1)+
SUMIFS('Commodity Prices'!$X$9:$X$1300,'Commodity Prices'!$A$9:$A$1300,B10,'Commodity Prices'!$B$9:$B$1300,2))/12
),"")</f>
        <v>0.77040833333333325</v>
      </c>
      <c r="K10" s="1064">
        <f t="shared" si="5"/>
        <v>1.8776461315588702</v>
      </c>
    </row>
    <row r="11" spans="1:28">
      <c r="A11" s="237">
        <v>1992</v>
      </c>
      <c r="B11" s="410">
        <f t="shared" si="0"/>
        <v>1993</v>
      </c>
      <c r="C11" s="419" t="str">
        <f t="shared" si="1"/>
        <v>1992-93</v>
      </c>
      <c r="D11" s="1111">
        <f>IF($F$42="Historic Calendar Year",HLOOKUP(CONCATENATE('Petroleum - Gas Prices'!A11," Quantity"),'CY Q&amp;V 1886 to 2003'!$Y$8:$AR$186,179,FALSE)*1000,HLOOKUP(CONCATENATE('Petroleum - Gas Prices'!C11," Quantity"),'FY Q&amp;V 1984-85 to 2002-03'!$M$8:$AH$143,136,FALSE)*1000)</f>
        <v>3960289000</v>
      </c>
      <c r="E11" s="1112">
        <f t="shared" si="2"/>
        <v>150581.33079847909</v>
      </c>
      <c r="F11" s="1111">
        <f t="shared" si="3"/>
        <v>150581330.79847908</v>
      </c>
      <c r="G11" s="1112">
        <f>IF($F$42="Historic Calendar Year",HLOOKUP(CONCATENATE('Petroleum - Gas Prices'!A11," Value $"),'CY Q&amp;V 1886 to 2003'!$Y$8:$AR$186,179,FALSE),HLOOKUP(CONCATENATE('Petroleum - Gas Prices'!C11," Value $"),'FY Q&amp;V 1984-85 to 2002-03'!$M$8:$AH$143,136,FALSE))</f>
        <v>407019305</v>
      </c>
      <c r="H11" s="1111">
        <f t="shared" si="4"/>
        <v>2.7029865046465043</v>
      </c>
      <c r="I11" s="641">
        <f t="shared" ref="I11:I37" si="6">(H11-H10)/H10</f>
        <v>0.10904993921210304</v>
      </c>
      <c r="J11" s="1115">
        <f>IF(C11&lt;&gt;"",
IF($F$42="Historic Calendar Year",AVERAGEIF('Commodity Prices'!$A$9:$A$1300,C11,'Commodity Prices'!$X$9:$X$1300),
(SUMIFS('Commodity Prices'!$X$9:$X$1300,'Commodity Prices'!$A$9:$A$1300,A11,'Commodity Prices'!$B$9:$B$1300,3)+
SUMIFS('Commodity Prices'!$X$9:$X$1300,'Commodity Prices'!$A$9:$A$1300,A11,'Commodity Prices'!$B$9:$B$1300,4)+
SUMIFS('Commodity Prices'!$X$9:$X$1300,'Commodity Prices'!$A$9:$A$1300,B11,'Commodity Prices'!$B$9:$B$1300,1)+
SUMIFS('Commodity Prices'!$X$9:$X$1300,'Commodity Prices'!$A$9:$A$1300,B11,'Commodity Prices'!$B$9:$B$1300,2))/12
),"")</f>
        <v>0.69939166666666663</v>
      </c>
      <c r="K11" s="1116">
        <f t="shared" si="5"/>
        <v>1.8904462364622263</v>
      </c>
    </row>
    <row r="12" spans="1:28">
      <c r="A12" s="237">
        <v>1993</v>
      </c>
      <c r="B12" s="410">
        <f t="shared" si="0"/>
        <v>1994</v>
      </c>
      <c r="C12" s="419" t="str">
        <f t="shared" si="1"/>
        <v>1993-94</v>
      </c>
      <c r="D12" s="1113">
        <f>IF($F$42="Historic Calendar Year",HLOOKUP(CONCATENATE('Petroleum - Gas Prices'!A12," Quantity"),'CY Q&amp;V 1886 to 2003'!$Y$8:$AR$186,179,FALSE)*1000,HLOOKUP(CONCATENATE('Petroleum - Gas Prices'!C12," Quantity"),'FY Q&amp;V 1984-85 to 2002-03'!$M$8:$AH$143,136,FALSE)*1000)</f>
        <v>4456991000</v>
      </c>
      <c r="E12" s="1114">
        <f t="shared" si="2"/>
        <v>169467.33840304182</v>
      </c>
      <c r="F12" s="1113">
        <f t="shared" si="3"/>
        <v>169467338.40304181</v>
      </c>
      <c r="G12" s="1114">
        <f>IF($F$42="Historic Calendar Year",HLOOKUP(CONCATENATE('Petroleum - Gas Prices'!A12," Value $"),'CY Q&amp;V 1886 to 2003'!$Y$8:$AR$186,179,FALSE),HLOOKUP(CONCATENATE('Petroleum - Gas Prices'!C12," Value $"),'FY Q&amp;V 1984-85 to 2002-03'!$M$8:$AH$143,136,FALSE))</f>
        <v>413371442</v>
      </c>
      <c r="H12" s="1113">
        <f t="shared" si="4"/>
        <v>2.4392395956375053</v>
      </c>
      <c r="I12" s="640">
        <f t="shared" si="6"/>
        <v>-9.7576110186126039E-2</v>
      </c>
      <c r="J12" s="1117">
        <f>IF(C12&lt;&gt;"",
IF($F$42="Historic Calendar Year",AVERAGEIF('Commodity Prices'!$A$9:$A$1300,C12,'Commodity Prices'!$X$9:$X$1300),
(SUMIFS('Commodity Prices'!$X$9:$X$1300,'Commodity Prices'!$A$9:$A$1300,A12,'Commodity Prices'!$B$9:$B$1300,3)+
SUMIFS('Commodity Prices'!$X$9:$X$1300,'Commodity Prices'!$A$9:$A$1300,A12,'Commodity Prices'!$B$9:$B$1300,4)+
SUMIFS('Commodity Prices'!$X$9:$X$1300,'Commodity Prices'!$A$9:$A$1300,B12,'Commodity Prices'!$B$9:$B$1300,1)+
SUMIFS('Commodity Prices'!$X$9:$X$1300,'Commodity Prices'!$A$9:$A$1300,B12,'Commodity Prices'!$B$9:$B$1300,2))/12
),"")</f>
        <v>0.69239166666666663</v>
      </c>
      <c r="K12" s="1064">
        <f t="shared" si="5"/>
        <v>1.6889091690227782</v>
      </c>
    </row>
    <row r="13" spans="1:28">
      <c r="A13" s="237">
        <v>1994</v>
      </c>
      <c r="B13" s="410">
        <f t="shared" si="0"/>
        <v>1995</v>
      </c>
      <c r="C13" s="419" t="str">
        <f t="shared" si="1"/>
        <v>1994-95</v>
      </c>
      <c r="D13" s="1111">
        <f>IF($F$42="Historic Calendar Year",HLOOKUP(CONCATENATE('Petroleum - Gas Prices'!A13," Quantity"),'CY Q&amp;V 1886 to 2003'!$Y$8:$AR$186,179,FALSE)*1000,HLOOKUP(CONCATENATE('Petroleum - Gas Prices'!C13," Quantity"),'FY Q&amp;V 1984-85 to 2002-03'!$M$8:$AH$143,136,FALSE)*1000)</f>
        <v>5366201000</v>
      </c>
      <c r="E13" s="1112">
        <f t="shared" si="2"/>
        <v>204038.06083650191</v>
      </c>
      <c r="F13" s="1111">
        <f t="shared" si="3"/>
        <v>204038060.83650193</v>
      </c>
      <c r="G13" s="1112">
        <f>IF($F$42="Historic Calendar Year",HLOOKUP(CONCATENATE('Petroleum - Gas Prices'!A13," Value $"),'CY Q&amp;V 1886 to 2003'!$Y$8:$AR$186,179,FALSE),HLOOKUP(CONCATENATE('Petroleum - Gas Prices'!C13," Value $"),'FY Q&amp;V 1984-85 to 2002-03'!$M$8:$AH$143,136,FALSE))</f>
        <v>445714284</v>
      </c>
      <c r="H13" s="1111">
        <f t="shared" si="4"/>
        <v>2.1844663793249635</v>
      </c>
      <c r="I13" s="641">
        <f t="shared" si="6"/>
        <v>-0.10444780281863036</v>
      </c>
      <c r="J13" s="1115">
        <f>IF(C13&lt;&gt;"",
IF($F$42="Historic Calendar Year",AVERAGEIF('Commodity Prices'!$A$9:$A$1300,C13,'Commodity Prices'!$X$9:$X$1300),
(SUMIFS('Commodity Prices'!$X$9:$X$1300,'Commodity Prices'!$A$9:$A$1300,A13,'Commodity Prices'!$B$9:$B$1300,3)+
SUMIFS('Commodity Prices'!$X$9:$X$1300,'Commodity Prices'!$A$9:$A$1300,A13,'Commodity Prices'!$B$9:$B$1300,4)+
SUMIFS('Commodity Prices'!$X$9:$X$1300,'Commodity Prices'!$A$9:$A$1300,B13,'Commodity Prices'!$B$9:$B$1300,1)+
SUMIFS('Commodity Prices'!$X$9:$X$1300,'Commodity Prices'!$A$9:$A$1300,B13,'Commodity Prices'!$B$9:$B$1300,2))/12
),"")</f>
        <v>0.74045833333333333</v>
      </c>
      <c r="K13" s="1116">
        <f t="shared" si="5"/>
        <v>1.6175063344576635</v>
      </c>
      <c r="N13" s="56"/>
    </row>
    <row r="14" spans="1:28">
      <c r="A14" s="237">
        <v>1995</v>
      </c>
      <c r="B14" s="410">
        <f t="shared" si="0"/>
        <v>1996</v>
      </c>
      <c r="C14" s="419" t="str">
        <f t="shared" si="1"/>
        <v>1995-96</v>
      </c>
      <c r="D14" s="1113">
        <f>IF($F$42="Historic Calendar Year",HLOOKUP(CONCATENATE('Petroleum - Gas Prices'!A14," Quantity"),'CY Q&amp;V 1886 to 2003'!$Y$8:$AR$186,179,FALSE)*1000,HLOOKUP(CONCATENATE('Petroleum - Gas Prices'!C14," Quantity"),'FY Q&amp;V 1984-85 to 2002-03'!$M$8:$AH$143,136,FALSE)*1000)</f>
        <v>6309564000</v>
      </c>
      <c r="E14" s="1114">
        <f t="shared" si="2"/>
        <v>239907.3764258555</v>
      </c>
      <c r="F14" s="1113">
        <f t="shared" si="3"/>
        <v>239907376.42585549</v>
      </c>
      <c r="G14" s="1114">
        <f>IF($F$42="Historic Calendar Year",HLOOKUP(CONCATENATE('Petroleum - Gas Prices'!A14," Value $"),'CY Q&amp;V 1886 to 2003'!$Y$8:$AR$186,179,FALSE),HLOOKUP(CONCATENATE('Petroleum - Gas Prices'!C14," Value $"),'FY Q&amp;V 1984-85 to 2002-03'!$M$8:$AH$143,136,FALSE))</f>
        <v>454763779</v>
      </c>
      <c r="H14" s="1113">
        <f t="shared" si="4"/>
        <v>1.8955806435595235</v>
      </c>
      <c r="I14" s="640">
        <f t="shared" si="6"/>
        <v>-0.13224544836195212</v>
      </c>
      <c r="J14" s="1117">
        <f>IF(C14&lt;&gt;"",
IF($F$42="Historic Calendar Year",AVERAGEIF('Commodity Prices'!$A$9:$A$1300,C14,'Commodity Prices'!$X$9:$X$1300),
(SUMIFS('Commodity Prices'!$X$9:$X$1300,'Commodity Prices'!$A$9:$A$1300,A14,'Commodity Prices'!$B$9:$B$1300,3)+
SUMIFS('Commodity Prices'!$X$9:$X$1300,'Commodity Prices'!$A$9:$A$1300,A14,'Commodity Prices'!$B$9:$B$1300,4)+
SUMIFS('Commodity Prices'!$X$9:$X$1300,'Commodity Prices'!$A$9:$A$1300,B14,'Commodity Prices'!$B$9:$B$1300,1)+
SUMIFS('Commodity Prices'!$X$9:$X$1300,'Commodity Prices'!$A$9:$A$1300,B14,'Commodity Prices'!$B$9:$B$1300,2))/12
),"")</f>
        <v>0.76291666666666658</v>
      </c>
      <c r="K14" s="1064">
        <f t="shared" si="5"/>
        <v>1.4461700659822863</v>
      </c>
    </row>
    <row r="15" spans="1:28">
      <c r="A15" s="237">
        <v>1996</v>
      </c>
      <c r="B15" s="410">
        <f t="shared" si="0"/>
        <v>1997</v>
      </c>
      <c r="C15" s="419" t="str">
        <f t="shared" si="1"/>
        <v>1996-97</v>
      </c>
      <c r="D15" s="1111">
        <f>IF($F$42="Historic Calendar Year",HLOOKUP(CONCATENATE('Petroleum - Gas Prices'!A15," Quantity"),'CY Q&amp;V 1886 to 2003'!$Y$8:$AR$186,179,FALSE)*1000,HLOOKUP(CONCATENATE('Petroleum - Gas Prices'!C15," Quantity"),'FY Q&amp;V 1984-85 to 2002-03'!$M$8:$AH$143,136,FALSE)*1000)</f>
        <v>6892911000</v>
      </c>
      <c r="E15" s="1112">
        <f t="shared" si="2"/>
        <v>262087.87072243346</v>
      </c>
      <c r="F15" s="1111">
        <f t="shared" si="3"/>
        <v>262087870.72243348</v>
      </c>
      <c r="G15" s="1112">
        <f>IF($F$42="Historic Calendar Year",HLOOKUP(CONCATENATE('Petroleum - Gas Prices'!A15," Value $"),'CY Q&amp;V 1886 to 2003'!$Y$8:$AR$186,179,FALSE),HLOOKUP(CONCATENATE('Petroleum - Gas Prices'!C15," Value $"),'FY Q&amp;V 1984-85 to 2002-03'!$M$8:$AH$143,136,FALSE))</f>
        <v>534648055</v>
      </c>
      <c r="H15" s="1111">
        <f t="shared" si="4"/>
        <v>2.039957261380569</v>
      </c>
      <c r="I15" s="641">
        <f t="shared" si="6"/>
        <v>7.6164851287959412E-2</v>
      </c>
      <c r="J15" s="1115">
        <f>IF(C15&lt;&gt;"",
IF($F$42="Historic Calendar Year",AVERAGEIF('Commodity Prices'!$A$9:$A$1300,C15,'Commodity Prices'!$X$9:$X$1300),
(SUMIFS('Commodity Prices'!$X$9:$X$1300,'Commodity Prices'!$A$9:$A$1300,A15,'Commodity Prices'!$B$9:$B$1300,3)+
SUMIFS('Commodity Prices'!$X$9:$X$1300,'Commodity Prices'!$A$9:$A$1300,A15,'Commodity Prices'!$B$9:$B$1300,4)+
SUMIFS('Commodity Prices'!$X$9:$X$1300,'Commodity Prices'!$A$9:$A$1300,B15,'Commodity Prices'!$B$9:$B$1300,1)+
SUMIFS('Commodity Prices'!$X$9:$X$1300,'Commodity Prices'!$A$9:$A$1300,B15,'Commodity Prices'!$B$9:$B$1300,2))/12
),"")</f>
        <v>0.78054999999999997</v>
      </c>
      <c r="K15" s="1116">
        <f t="shared" si="5"/>
        <v>1.5922886403706031</v>
      </c>
    </row>
    <row r="16" spans="1:28">
      <c r="A16" s="237">
        <v>1997</v>
      </c>
      <c r="B16" s="410">
        <f t="shared" si="0"/>
        <v>1998</v>
      </c>
      <c r="C16" s="419" t="str">
        <f t="shared" si="1"/>
        <v>1997-98</v>
      </c>
      <c r="D16" s="1113">
        <f>IF($F$42="Historic Calendar Year",HLOOKUP(CONCATENATE('Petroleum - Gas Prices'!A16," Quantity"),'CY Q&amp;V 1886 to 2003'!$Y$8:$AR$186,179,FALSE)*1000,HLOOKUP(CONCATENATE('Petroleum - Gas Prices'!C16," Quantity"),'FY Q&amp;V 1984-85 to 2002-03'!$M$8:$AH$143,136,FALSE)*1000)</f>
        <v>6881954000</v>
      </c>
      <c r="E16" s="1114">
        <f t="shared" si="2"/>
        <v>261671.2547528517</v>
      </c>
      <c r="F16" s="1113">
        <f t="shared" si="3"/>
        <v>261671254.75285169</v>
      </c>
      <c r="G16" s="1114">
        <f>IF($F$42="Historic Calendar Year",HLOOKUP(CONCATENATE('Petroleum - Gas Prices'!A16," Value $"),'CY Q&amp;V 1886 to 2003'!$Y$8:$AR$186,179,FALSE),HLOOKUP(CONCATENATE('Petroleum - Gas Prices'!C16," Value $"),'FY Q&amp;V 1984-85 to 2002-03'!$M$8:$AH$143,136,FALSE))</f>
        <v>557469068</v>
      </c>
      <c r="H16" s="1113">
        <f t="shared" si="4"/>
        <v>2.1304176820129865</v>
      </c>
      <c r="I16" s="640">
        <f t="shared" si="6"/>
        <v>4.4344272473236634E-2</v>
      </c>
      <c r="J16" s="1117">
        <f>IF(C16&lt;&gt;"",
IF($F$42="Historic Calendar Year",AVERAGEIF('Commodity Prices'!$A$9:$A$1300,C16,'Commodity Prices'!$X$9:$X$1300),
(SUMIFS('Commodity Prices'!$X$9:$X$1300,'Commodity Prices'!$A$9:$A$1300,A16,'Commodity Prices'!$B$9:$B$1300,3)+
SUMIFS('Commodity Prices'!$X$9:$X$1300,'Commodity Prices'!$A$9:$A$1300,A16,'Commodity Prices'!$B$9:$B$1300,4)+
SUMIFS('Commodity Prices'!$X$9:$X$1300,'Commodity Prices'!$A$9:$A$1300,B16,'Commodity Prices'!$B$9:$B$1300,1)+
SUMIFS('Commodity Prices'!$X$9:$X$1300,'Commodity Prices'!$A$9:$A$1300,B16,'Commodity Prices'!$B$9:$B$1300,2))/12
),"")</f>
        <v>0.67848333333333333</v>
      </c>
      <c r="K16" s="1064">
        <f t="shared" si="5"/>
        <v>1.4454528902844446</v>
      </c>
    </row>
    <row r="17" spans="1:11">
      <c r="A17" s="237">
        <v>1998</v>
      </c>
      <c r="B17" s="410">
        <f t="shared" si="0"/>
        <v>1999</v>
      </c>
      <c r="C17" s="419" t="str">
        <f t="shared" si="1"/>
        <v>1998-99</v>
      </c>
      <c r="D17" s="1111">
        <f>IF($F$42="Historic Calendar Year",HLOOKUP(CONCATENATE('Petroleum - Gas Prices'!A17," Quantity"),'CY Q&amp;V 1886 to 2003'!$Y$8:$AR$186,179,FALSE)*1000,HLOOKUP(CONCATENATE('Petroleum - Gas Prices'!C17," Quantity"),'FY Q&amp;V 1984-85 to 2002-03'!$M$8:$AH$143,136,FALSE)*1000)</f>
        <v>6439698570</v>
      </c>
      <c r="E17" s="1112">
        <f t="shared" ref="E17:E37" si="7">IF(D17&lt;&gt;"",D17/26300,"")</f>
        <v>244855.45893536121</v>
      </c>
      <c r="F17" s="1111">
        <f t="shared" ref="F17" si="8">+E17*1000</f>
        <v>244855458.93536121</v>
      </c>
      <c r="G17" s="1112">
        <f>IF($F$42="Historic Calendar Year",HLOOKUP(CONCATENATE('Petroleum - Gas Prices'!A17," Value $"),'CY Q&amp;V 1886 to 2003'!$Y$8:$AR$186,179,FALSE),HLOOKUP(CONCATENATE('Petroleum - Gas Prices'!C17," Value $"),'FY Q&amp;V 1984-85 to 2002-03'!$M$8:$AH$143,136,FALSE))</f>
        <v>549830768.50999999</v>
      </c>
      <c r="H17" s="1111">
        <f t="shared" si="4"/>
        <v>2.2455320003919068</v>
      </c>
      <c r="I17" s="641">
        <f t="shared" si="6"/>
        <v>5.4033685202120173E-2</v>
      </c>
      <c r="J17" s="1115">
        <f>IF(C17&lt;&gt;"",
IF($F$42="Historic Calendar Year",AVERAGEIF('Commodity Prices'!$A$9:$A$1300,C17,'Commodity Prices'!$X$9:$X$1300),
(SUMIFS('Commodity Prices'!$X$9:$X$1300,'Commodity Prices'!$A$9:$A$1300,A17,'Commodity Prices'!$B$9:$B$1300,3)+
SUMIFS('Commodity Prices'!$X$9:$X$1300,'Commodity Prices'!$A$9:$A$1300,A17,'Commodity Prices'!$B$9:$B$1300,4)+
SUMIFS('Commodity Prices'!$X$9:$X$1300,'Commodity Prices'!$A$9:$A$1300,B17,'Commodity Prices'!$B$9:$B$1300,1)+
SUMIFS('Commodity Prices'!$X$9:$X$1300,'Commodity Prices'!$A$9:$A$1300,B17,'Commodity Prices'!$B$9:$B$1300,2))/12
),"")</f>
        <v>0.62729166666666669</v>
      </c>
      <c r="K17" s="1116">
        <f t="shared" si="5"/>
        <v>1.4086035110791733</v>
      </c>
    </row>
    <row r="18" spans="1:11">
      <c r="A18" s="237">
        <v>1999</v>
      </c>
      <c r="B18" s="410">
        <f t="shared" si="0"/>
        <v>2000</v>
      </c>
      <c r="C18" s="419" t="str">
        <f t="shared" si="1"/>
        <v>1999-00</v>
      </c>
      <c r="D18" s="1113">
        <f>IF(C18&lt;&gt;"",IF($F$42=$AB$4,SUMIF('Petroleum - Q&amp;V2'!$L$9:$L$130,'Petroleum - Gas Prices'!C18,'Petroleum - Q&amp;V2'!$I$9:$I$130)*1000,(SUMIFS('Petroleum - Q&amp;V2'!$I$9:$I$250,'Petroleum - Q&amp;V2'!$L$9:$L$250,A18,'Petroleum - Q&amp;V2'!$M$9:$M$250,3)+
SUMIFS('Petroleum - Q&amp;V2'!$I$9:$I$250,'Petroleum - Q&amp;V2'!$L$9:$L$250,A18,'Petroleum - Q&amp;V2'!$M$9:$M$250,4)+
SUMIFS('Petroleum - Q&amp;V2'!$I$9:$I$250,'Petroleum - Q&amp;V2'!$L$9:$L$250,B18,'Petroleum - Q&amp;V2'!$M$9:$M$250,1)+
SUMIFS('Petroleum - Q&amp;V2'!$I$9:$I$250,'Petroleum - Q&amp;V2'!$L$9:$L$250,B18,'Petroleum - Q&amp;V2'!$M$9:$M$250,2))*1000),"")</f>
        <v>6447139890.000001</v>
      </c>
      <c r="E18" s="1114">
        <f t="shared" si="7"/>
        <v>245138.39885931564</v>
      </c>
      <c r="F18" s="1113">
        <f t="shared" ref="F18:F33" si="9">IF(D18&lt;&gt;"",E18*1000,"")</f>
        <v>245138398.85931563</v>
      </c>
      <c r="G18" s="1114">
        <f>IF(C18&lt;&gt;"",IF($F$42=$AB$4,SUMIF('Petroleum - Q&amp;V2'!$L$9:$L$130,'Petroleum - Gas Prices'!C18,'Petroleum - Q&amp;V2'!$K$9:$K$130)*1000000,
(SUMIFS('Petroleum - Q&amp;V2'!$K$9:$K$250,'Petroleum - Q&amp;V2'!$L$9:$L$250,A18,'Petroleum - Q&amp;V2'!$M$9:$M$250,3)+
SUMIFS('Petroleum - Q&amp;V2'!$K$9:$K$250,'Petroleum - Q&amp;V2'!$L$9:$L$250,A18,'Petroleum - Q&amp;V2'!$M$9:$M$250,4)+
SUMIFS('Petroleum - Q&amp;V2'!$K$9:$K$250,'Petroleum - Q&amp;V2'!$L$9:$L$250,B18,'Petroleum - Q&amp;V2'!$M$9:$M$250,1)+
SUMIFS('Petroleum - Q&amp;V2'!$K$9:$K$250,'Petroleum - Q&amp;V2'!$L$9:$L$250,B18,'Petroleum - Q&amp;V2'!$M$9:$M$250,2))*1000000),"")</f>
        <v>569384000</v>
      </c>
      <c r="H18" s="1113">
        <f t="shared" si="4"/>
        <v>2.3227042464561749</v>
      </c>
      <c r="I18" s="640">
        <f t="shared" si="6"/>
        <v>3.4367021289743109E-2</v>
      </c>
      <c r="J18" s="1117">
        <f>IF(C18&lt;&gt;"",
IF($F$42="Historic Calendar Year",AVERAGEIF('Commodity Prices'!$A$9:$A$1300,C18,'Commodity Prices'!$X$9:$X$1300),
(SUMIFS('Commodity Prices'!$X$9:$X$1300,'Commodity Prices'!$A$9:$A$1300,A18,'Commodity Prices'!$B$9:$B$1300,3)+
SUMIFS('Commodity Prices'!$X$9:$X$1300,'Commodity Prices'!$A$9:$A$1300,A18,'Commodity Prices'!$B$9:$B$1300,4)+
SUMIFS('Commodity Prices'!$X$9:$X$1300,'Commodity Prices'!$A$9:$A$1300,B18,'Commodity Prices'!$B$9:$B$1300,1)+
SUMIFS('Commodity Prices'!$X$9:$X$1300,'Commodity Prices'!$A$9:$A$1300,B18,'Commodity Prices'!$B$9:$B$1300,2))/12
),"")</f>
        <v>0.62875000000000003</v>
      </c>
      <c r="K18" s="1064">
        <f t="shared" si="5"/>
        <v>1.46040029495932</v>
      </c>
    </row>
    <row r="19" spans="1:11">
      <c r="A19" s="237">
        <v>2000</v>
      </c>
      <c r="B19" s="410">
        <f t="shared" si="0"/>
        <v>2001</v>
      </c>
      <c r="C19" s="419" t="str">
        <f t="shared" si="1"/>
        <v>2000-01</v>
      </c>
      <c r="D19" s="1111">
        <f>IF(C19&lt;&gt;"",IF($F$42=$AB$4,SUMIF('Petroleum - Q&amp;V2'!$L$9:$L$130,'Petroleum - Gas Prices'!C19,'Petroleum - Q&amp;V2'!$I$9:$I$130)*1000,(SUMIFS('Petroleum - Q&amp;V2'!$I$9:$I$250,'Petroleum - Q&amp;V2'!$L$9:$L$250,A19,'Petroleum - Q&amp;V2'!$M$9:$M$250,3)+
SUMIFS('Petroleum - Q&amp;V2'!$I$9:$I$250,'Petroleum - Q&amp;V2'!$L$9:$L$250,A19,'Petroleum - Q&amp;V2'!$M$9:$M$250,4)+
SUMIFS('Petroleum - Q&amp;V2'!$I$9:$I$250,'Petroleum - Q&amp;V2'!$L$9:$L$250,B19,'Petroleum - Q&amp;V2'!$M$9:$M$250,1)+
SUMIFS('Petroleum - Q&amp;V2'!$I$9:$I$250,'Petroleum - Q&amp;V2'!$L$9:$L$250,B19,'Petroleum - Q&amp;V2'!$M$9:$M$250,2))*1000),"")</f>
        <v>7560089000</v>
      </c>
      <c r="E19" s="1112">
        <f t="shared" si="7"/>
        <v>287455.85551330796</v>
      </c>
      <c r="F19" s="1111">
        <f t="shared" si="9"/>
        <v>287455855.51330799</v>
      </c>
      <c r="G19" s="1112">
        <f>IF(C19&lt;&gt;"",IF($F$42=$AB$4,SUMIF('Petroleum - Q&amp;V2'!$L$9:$L$130,'Petroleum - Gas Prices'!C19,'Petroleum - Q&amp;V2'!$K$9:$K$130)*1000000,
(SUMIFS('Petroleum - Q&amp;V2'!$K$9:$K$250,'Petroleum - Q&amp;V2'!$L$9:$L$250,A19,'Petroleum - Q&amp;V2'!$M$9:$M$250,3)+
SUMIFS('Petroleum - Q&amp;V2'!$K$9:$K$250,'Petroleum - Q&amp;V2'!$L$9:$L$250,A19,'Petroleum - Q&amp;V2'!$M$9:$M$250,4)+
SUMIFS('Petroleum - Q&amp;V2'!$K$9:$K$250,'Petroleum - Q&amp;V2'!$L$9:$L$250,B19,'Petroleum - Q&amp;V2'!$M$9:$M$250,1)+
SUMIFS('Petroleum - Q&amp;V2'!$K$9:$K$250,'Petroleum - Q&amp;V2'!$L$9:$L$250,B19,'Petroleum - Q&amp;V2'!$M$9:$M$250,2))*1000000),"")</f>
        <v>626178022.21454954</v>
      </c>
      <c r="H19" s="1111">
        <f t="shared" si="4"/>
        <v>2.1783449882987691</v>
      </c>
      <c r="I19" s="641">
        <f t="shared" si="6"/>
        <v>-6.2151373071995454E-2</v>
      </c>
      <c r="J19" s="1115">
        <f>IF(C19&lt;&gt;"",
IF($F$42="Historic Calendar Year",AVERAGEIF('Commodity Prices'!$A$9:$A$1300,C19,'Commodity Prices'!$X$9:$X$1300),
(SUMIFS('Commodity Prices'!$X$9:$X$1300,'Commodity Prices'!$A$9:$A$1300,A19,'Commodity Prices'!$B$9:$B$1300,3)+
SUMIFS('Commodity Prices'!$X$9:$X$1300,'Commodity Prices'!$A$9:$A$1300,A19,'Commodity Prices'!$B$9:$B$1300,4)+
SUMIFS('Commodity Prices'!$X$9:$X$1300,'Commodity Prices'!$A$9:$A$1300,B19,'Commodity Prices'!$B$9:$B$1300,1)+
SUMIFS('Commodity Prices'!$X$9:$X$1300,'Commodity Prices'!$A$9:$A$1300,B19,'Commodity Prices'!$B$9:$B$1300,2))/12
),"")</f>
        <v>0.53776666666666673</v>
      </c>
      <c r="K19" s="1116">
        <f t="shared" si="5"/>
        <v>1.1714413232074683</v>
      </c>
    </row>
    <row r="20" spans="1:11">
      <c r="A20" s="237">
        <v>2001</v>
      </c>
      <c r="B20" s="410">
        <f t="shared" si="0"/>
        <v>2002</v>
      </c>
      <c r="C20" s="419" t="str">
        <f t="shared" si="1"/>
        <v>2001-02</v>
      </c>
      <c r="D20" s="1113">
        <f>IF(C20&lt;&gt;"",IF($F$42=$AB$4,SUMIF('Petroleum - Q&amp;V2'!$L$9:$L$130,'Petroleum - Gas Prices'!C20,'Petroleum - Q&amp;V2'!$I$9:$I$130)*1000,(SUMIFS('Petroleum - Q&amp;V2'!$I$9:$I$250,'Petroleum - Q&amp;V2'!$L$9:$L$250,A20,'Petroleum - Q&amp;V2'!$M$9:$M$250,3)+
SUMIFS('Petroleum - Q&amp;V2'!$I$9:$I$250,'Petroleum - Q&amp;V2'!$L$9:$L$250,A20,'Petroleum - Q&amp;V2'!$M$9:$M$250,4)+
SUMIFS('Petroleum - Q&amp;V2'!$I$9:$I$250,'Petroleum - Q&amp;V2'!$L$9:$L$250,B20,'Petroleum - Q&amp;V2'!$M$9:$M$250,1)+
SUMIFS('Petroleum - Q&amp;V2'!$I$9:$I$250,'Petroleum - Q&amp;V2'!$L$9:$L$250,B20,'Petroleum - Q&amp;V2'!$M$9:$M$250,2))*1000),"")</f>
        <v>7456739000</v>
      </c>
      <c r="E20" s="1114">
        <f t="shared" si="7"/>
        <v>283526.19771863119</v>
      </c>
      <c r="F20" s="1113">
        <f t="shared" si="9"/>
        <v>283526197.71863121</v>
      </c>
      <c r="G20" s="1114">
        <f>IF(C20&lt;&gt;"",IF($F$42=$AB$4,SUMIF('Petroleum - Q&amp;V2'!$L$9:$L$130,'Petroleum - Gas Prices'!C20,'Petroleum - Q&amp;V2'!$K$9:$K$130)*1000000,
(SUMIFS('Petroleum - Q&amp;V2'!$K$9:$K$250,'Petroleum - Q&amp;V2'!$L$9:$L$250,A20,'Petroleum - Q&amp;V2'!$M$9:$M$250,3)+
SUMIFS('Petroleum - Q&amp;V2'!$K$9:$K$250,'Petroleum - Q&amp;V2'!$L$9:$L$250,A20,'Petroleum - Q&amp;V2'!$M$9:$M$250,4)+
SUMIFS('Petroleum - Q&amp;V2'!$K$9:$K$250,'Petroleum - Q&amp;V2'!$L$9:$L$250,B20,'Petroleum - Q&amp;V2'!$M$9:$M$250,1)+
SUMIFS('Petroleum - Q&amp;V2'!$K$9:$K$250,'Petroleum - Q&amp;V2'!$L$9:$L$250,B20,'Petroleum - Q&amp;V2'!$M$9:$M$250,2))*1000000),"")</f>
        <v>638879233</v>
      </c>
      <c r="H20" s="1113">
        <f t="shared" si="4"/>
        <v>2.2533340415830563</v>
      </c>
      <c r="I20" s="640">
        <f t="shared" si="6"/>
        <v>3.4424782891185515E-2</v>
      </c>
      <c r="J20" s="1117">
        <f>IF(C20&lt;&gt;"",
IF($F$42="Historic Calendar Year",AVERAGEIF('Commodity Prices'!$A$9:$A$1300,C20,'Commodity Prices'!$X$9:$X$1300),
(SUMIFS('Commodity Prices'!$X$9:$X$1300,'Commodity Prices'!$A$9:$A$1300,A20,'Commodity Prices'!$B$9:$B$1300,3)+
SUMIFS('Commodity Prices'!$X$9:$X$1300,'Commodity Prices'!$A$9:$A$1300,A20,'Commodity Prices'!$B$9:$B$1300,4)+
SUMIFS('Commodity Prices'!$X$9:$X$1300,'Commodity Prices'!$A$9:$A$1300,B20,'Commodity Prices'!$B$9:$B$1300,1)+
SUMIFS('Commodity Prices'!$X$9:$X$1300,'Commodity Prices'!$A$9:$A$1300,B20,'Commodity Prices'!$B$9:$B$1300,2))/12
),"")</f>
        <v>0.5237666666666666</v>
      </c>
      <c r="K20" s="1064">
        <f t="shared" si="5"/>
        <v>1.1802212598464854</v>
      </c>
    </row>
    <row r="21" spans="1:11">
      <c r="A21" s="237">
        <v>2002</v>
      </c>
      <c r="B21" s="410">
        <f t="shared" si="0"/>
        <v>2003</v>
      </c>
      <c r="C21" s="419" t="str">
        <f t="shared" si="1"/>
        <v>2002-03</v>
      </c>
      <c r="D21" s="1111">
        <f>IF(C21&lt;&gt;"",IF($F$42=$AB$4,SUMIF('Petroleum - Q&amp;V2'!$L$9:$L$130,'Petroleum - Gas Prices'!C21,'Petroleum - Q&amp;V2'!$I$9:$I$130)*1000,(SUMIFS('Petroleum - Q&amp;V2'!$I$9:$I$250,'Petroleum - Q&amp;V2'!$L$9:$L$250,A21,'Petroleum - Q&amp;V2'!$M$9:$M$250,3)+
SUMIFS('Petroleum - Q&amp;V2'!$I$9:$I$250,'Petroleum - Q&amp;V2'!$L$9:$L$250,A21,'Petroleum - Q&amp;V2'!$M$9:$M$250,4)+
SUMIFS('Petroleum - Q&amp;V2'!$I$9:$I$250,'Petroleum - Q&amp;V2'!$L$9:$L$250,B21,'Petroleum - Q&amp;V2'!$M$9:$M$250,1)+
SUMIFS('Petroleum - Q&amp;V2'!$I$9:$I$250,'Petroleum - Q&amp;V2'!$L$9:$L$250,B21,'Petroleum - Q&amp;V2'!$M$9:$M$250,2))*1000),"")</f>
        <v>8120105000</v>
      </c>
      <c r="E21" s="1112">
        <f t="shared" si="7"/>
        <v>308749.23954372626</v>
      </c>
      <c r="F21" s="1111">
        <f t="shared" si="9"/>
        <v>308749239.54372627</v>
      </c>
      <c r="G21" s="1112">
        <f>IF(C21&lt;&gt;"",IF($F$42=$AB$4,SUMIF('Petroleum - Q&amp;V2'!$L$9:$L$130,'Petroleum - Gas Prices'!C21,'Petroleum - Q&amp;V2'!$K$9:$K$130)*1000000,
(SUMIFS('Petroleum - Q&amp;V2'!$K$9:$K$250,'Petroleum - Q&amp;V2'!$L$9:$L$250,A21,'Petroleum - Q&amp;V2'!$M$9:$M$250,3)+
SUMIFS('Petroleum - Q&amp;V2'!$K$9:$K$250,'Petroleum - Q&amp;V2'!$L$9:$L$250,A21,'Petroleum - Q&amp;V2'!$M$9:$M$250,4)+
SUMIFS('Petroleum - Q&amp;V2'!$K$9:$K$250,'Petroleum - Q&amp;V2'!$L$9:$L$250,B21,'Petroleum - Q&amp;V2'!$M$9:$M$250,1)+
SUMIFS('Petroleum - Q&amp;V2'!$K$9:$K$250,'Petroleum - Q&amp;V2'!$L$9:$L$250,B21,'Petroleum - Q&amp;V2'!$M$9:$M$250,2))*1000000),"")</f>
        <v>661920544</v>
      </c>
      <c r="H21" s="1111">
        <f t="shared" si="4"/>
        <v>2.1438774876925852</v>
      </c>
      <c r="I21" s="641">
        <f t="shared" si="6"/>
        <v>-4.8575378470550011E-2</v>
      </c>
      <c r="J21" s="1115">
        <f>IF(C21&lt;&gt;"",
IF($F$42="Historic Calendar Year",AVERAGEIF('Commodity Prices'!$A$9:$A$1300,C21,'Commodity Prices'!$X$9:$X$1300),
(SUMIFS('Commodity Prices'!$X$9:$X$1300,'Commodity Prices'!$A$9:$A$1300,A21,'Commodity Prices'!$B$9:$B$1300,3)+
SUMIFS('Commodity Prices'!$X$9:$X$1300,'Commodity Prices'!$A$9:$A$1300,A21,'Commodity Prices'!$B$9:$B$1300,4)+
SUMIFS('Commodity Prices'!$X$9:$X$1300,'Commodity Prices'!$A$9:$A$1300,B21,'Commodity Prices'!$B$9:$B$1300,1)+
SUMIFS('Commodity Prices'!$X$9:$X$1300,'Commodity Prices'!$A$9:$A$1300,B21,'Commodity Prices'!$B$9:$B$1300,2))/12
),"")</f>
        <v>0.58491666666666664</v>
      </c>
      <c r="K21" s="1116">
        <f t="shared" si="5"/>
        <v>1.2539896738428546</v>
      </c>
    </row>
    <row r="22" spans="1:11">
      <c r="A22" s="237">
        <v>2003</v>
      </c>
      <c r="B22" s="410">
        <f t="shared" si="0"/>
        <v>2004</v>
      </c>
      <c r="C22" s="419" t="str">
        <f t="shared" si="1"/>
        <v>2003-04</v>
      </c>
      <c r="D22" s="1113">
        <f>IF(C22&lt;&gt;"",IF($F$42=$AB$4,SUMIF('Petroleum - Q&amp;V2'!$L$9:$L$130,'Petroleum - Gas Prices'!C22,'Petroleum - Q&amp;V2'!$I$9:$I$130)*1000,(SUMIFS('Petroleum - Q&amp;V2'!$I$9:$I$250,'Petroleum - Q&amp;V2'!$L$9:$L$250,A22,'Petroleum - Q&amp;V2'!$M$9:$M$250,3)+
SUMIFS('Petroleum - Q&amp;V2'!$I$9:$I$250,'Petroleum - Q&amp;V2'!$L$9:$L$250,A22,'Petroleum - Q&amp;V2'!$M$9:$M$250,4)+
SUMIFS('Petroleum - Q&amp;V2'!$I$9:$I$250,'Petroleum - Q&amp;V2'!$L$9:$L$250,B22,'Petroleum - Q&amp;V2'!$M$9:$M$250,1)+
SUMIFS('Petroleum - Q&amp;V2'!$I$9:$I$250,'Petroleum - Q&amp;V2'!$L$9:$L$250,B22,'Petroleum - Q&amp;V2'!$M$9:$M$250,2))*1000),"")</f>
        <v>8060810000</v>
      </c>
      <c r="E22" s="1114">
        <f t="shared" si="7"/>
        <v>306494.67680608365</v>
      </c>
      <c r="F22" s="1113">
        <f t="shared" si="9"/>
        <v>306494676.80608362</v>
      </c>
      <c r="G22" s="1114">
        <f>IF(C22&lt;&gt;"",IF($F$42=$AB$4,SUMIF('Petroleum - Q&amp;V2'!$L$9:$L$130,'Petroleum - Gas Prices'!C22,'Petroleum - Q&amp;V2'!$K$9:$K$130)*1000000,
(SUMIFS('Petroleum - Q&amp;V2'!$K$9:$K$250,'Petroleum - Q&amp;V2'!$L$9:$L$250,A22,'Petroleum - Q&amp;V2'!$M$9:$M$250,3)+
SUMIFS('Petroleum - Q&amp;V2'!$K$9:$K$250,'Petroleum - Q&amp;V2'!$L$9:$L$250,A22,'Petroleum - Q&amp;V2'!$M$9:$M$250,4)+
SUMIFS('Petroleum - Q&amp;V2'!$K$9:$K$250,'Petroleum - Q&amp;V2'!$L$9:$L$250,B22,'Petroleum - Q&amp;V2'!$M$9:$M$250,1)+
SUMIFS('Petroleum - Q&amp;V2'!$K$9:$K$250,'Petroleum - Q&amp;V2'!$L$9:$L$250,B22,'Petroleum - Q&amp;V2'!$M$9:$M$250,2))*1000000),"")</f>
        <v>681043656.99999988</v>
      </c>
      <c r="H22" s="1113">
        <f t="shared" si="4"/>
        <v>2.2220407352486906</v>
      </c>
      <c r="I22" s="640">
        <f t="shared" si="6"/>
        <v>3.6458821926541617E-2</v>
      </c>
      <c r="J22" s="1117">
        <f>IF(C22&lt;&gt;"",
IF($F$42="Historic Calendar Year",AVERAGEIF('Commodity Prices'!$A$9:$A$1300,C22,'Commodity Prices'!$X$9:$X$1300),
(SUMIFS('Commodity Prices'!$X$9:$X$1300,'Commodity Prices'!$A$9:$A$1300,A22,'Commodity Prices'!$B$9:$B$1300,3)+
SUMIFS('Commodity Prices'!$X$9:$X$1300,'Commodity Prices'!$A$9:$A$1300,A22,'Commodity Prices'!$B$9:$B$1300,4)+
SUMIFS('Commodity Prices'!$X$9:$X$1300,'Commodity Prices'!$A$9:$A$1300,B22,'Commodity Prices'!$B$9:$B$1300,1)+
SUMIFS('Commodity Prices'!$X$9:$X$1300,'Commodity Prices'!$A$9:$A$1300,B22,'Commodity Prices'!$B$9:$B$1300,2))/12
),"")</f>
        <v>0.71437499999999998</v>
      </c>
      <c r="K22" s="1064">
        <f t="shared" si="5"/>
        <v>1.5873703502432832</v>
      </c>
    </row>
    <row r="23" spans="1:11">
      <c r="A23" s="237">
        <v>2004</v>
      </c>
      <c r="B23" s="410">
        <f t="shared" si="0"/>
        <v>2005</v>
      </c>
      <c r="C23" s="419" t="str">
        <f t="shared" si="1"/>
        <v>2004-05</v>
      </c>
      <c r="D23" s="1111">
        <f>IF(C23&lt;&gt;"",IF($F$42=$AB$4,SUMIF('Petroleum - Q&amp;V2'!$L$9:$L$130,'Petroleum - Gas Prices'!C23,'Petroleum - Q&amp;V2'!$I$9:$I$130)*1000,(SUMIFS('Petroleum - Q&amp;V2'!$I$9:$I$250,'Petroleum - Q&amp;V2'!$L$9:$L$250,A23,'Petroleum - Q&amp;V2'!$M$9:$M$250,3)+
SUMIFS('Petroleum - Q&amp;V2'!$I$9:$I$250,'Petroleum - Q&amp;V2'!$L$9:$L$250,A23,'Petroleum - Q&amp;V2'!$M$9:$M$250,4)+
SUMIFS('Petroleum - Q&amp;V2'!$I$9:$I$250,'Petroleum - Q&amp;V2'!$L$9:$L$250,B23,'Petroleum - Q&amp;V2'!$M$9:$M$250,1)+
SUMIFS('Petroleum - Q&amp;V2'!$I$9:$I$250,'Petroleum - Q&amp;V2'!$L$9:$L$250,B23,'Petroleum - Q&amp;V2'!$M$9:$M$250,2))*1000),"")</f>
        <v>7642801000</v>
      </c>
      <c r="E23" s="1112">
        <f t="shared" si="7"/>
        <v>290600.79847908748</v>
      </c>
      <c r="F23" s="1111">
        <f t="shared" si="9"/>
        <v>290600798.47908747</v>
      </c>
      <c r="G23" s="1112">
        <f>IF(C23&lt;&gt;"",IF($F$42=$AB$4,SUMIF('Petroleum - Q&amp;V2'!$L$9:$L$130,'Petroleum - Gas Prices'!C23,'Petroleum - Q&amp;V2'!$K$9:$K$130)*1000000,
(SUMIFS('Petroleum - Q&amp;V2'!$K$9:$K$250,'Petroleum - Q&amp;V2'!$L$9:$L$250,A23,'Petroleum - Q&amp;V2'!$M$9:$M$250,3)+
SUMIFS('Petroleum - Q&amp;V2'!$K$9:$K$250,'Petroleum - Q&amp;V2'!$L$9:$L$250,A23,'Petroleum - Q&amp;V2'!$M$9:$M$250,4)+
SUMIFS('Petroleum - Q&amp;V2'!$K$9:$K$250,'Petroleum - Q&amp;V2'!$L$9:$L$250,B23,'Petroleum - Q&amp;V2'!$M$9:$M$250,1)+
SUMIFS('Petroleum - Q&amp;V2'!$K$9:$K$250,'Petroleum - Q&amp;V2'!$L$9:$L$250,B23,'Petroleum - Q&amp;V2'!$M$9:$M$250,2))*1000000),"")</f>
        <v>678722971</v>
      </c>
      <c r="H23" s="1111">
        <f t="shared" si="4"/>
        <v>2.3355853616102262</v>
      </c>
      <c r="I23" s="641">
        <f t="shared" si="6"/>
        <v>5.109925509481162E-2</v>
      </c>
      <c r="J23" s="1115">
        <f>IF(C23&lt;&gt;"",
IF($F$42="Historic Calendar Year",AVERAGEIF('Commodity Prices'!$A$9:$A$1300,C23,'Commodity Prices'!$X$9:$X$1300),
(SUMIFS('Commodity Prices'!$X$9:$X$1300,'Commodity Prices'!$A$9:$A$1300,A23,'Commodity Prices'!$B$9:$B$1300,3)+
SUMIFS('Commodity Prices'!$X$9:$X$1300,'Commodity Prices'!$A$9:$A$1300,A23,'Commodity Prices'!$B$9:$B$1300,4)+
SUMIFS('Commodity Prices'!$X$9:$X$1300,'Commodity Prices'!$A$9:$A$1300,B23,'Commodity Prices'!$B$9:$B$1300,1)+
SUMIFS('Commodity Prices'!$X$9:$X$1300,'Commodity Prices'!$A$9:$A$1300,B23,'Commodity Prices'!$B$9:$B$1300,2))/12
),"")</f>
        <v>0.75121666666666664</v>
      </c>
      <c r="K23" s="1116">
        <f t="shared" si="5"/>
        <v>1.7545306500642954</v>
      </c>
    </row>
    <row r="24" spans="1:11">
      <c r="A24" s="237">
        <v>2005</v>
      </c>
      <c r="B24" s="410">
        <f t="shared" si="0"/>
        <v>2006</v>
      </c>
      <c r="C24" s="419" t="str">
        <f t="shared" si="1"/>
        <v>2005-06</v>
      </c>
      <c r="D24" s="1113">
        <f>IF(C24&lt;&gt;"",IF($F$42=$AB$4,SUMIF('Petroleum - Q&amp;V2'!$L$9:$L$130,'Petroleum - Gas Prices'!C24,'Petroleum - Q&amp;V2'!$I$9:$I$130)*1000,(SUMIFS('Petroleum - Q&amp;V2'!$I$9:$I$250,'Petroleum - Q&amp;V2'!$L$9:$L$250,A24,'Petroleum - Q&amp;V2'!$M$9:$M$250,3)+
SUMIFS('Petroleum - Q&amp;V2'!$I$9:$I$250,'Petroleum - Q&amp;V2'!$L$9:$L$250,A24,'Petroleum - Q&amp;V2'!$M$9:$M$250,4)+
SUMIFS('Petroleum - Q&amp;V2'!$I$9:$I$250,'Petroleum - Q&amp;V2'!$L$9:$L$250,B24,'Petroleum - Q&amp;V2'!$M$9:$M$250,1)+
SUMIFS('Petroleum - Q&amp;V2'!$I$9:$I$250,'Petroleum - Q&amp;V2'!$L$9:$L$250,B24,'Petroleum - Q&amp;V2'!$M$9:$M$250,2))*1000),"")</f>
        <v>7713414000</v>
      </c>
      <c r="E24" s="1114">
        <f t="shared" si="7"/>
        <v>293285.70342205325</v>
      </c>
      <c r="F24" s="1113">
        <f t="shared" si="9"/>
        <v>293285703.42205328</v>
      </c>
      <c r="G24" s="1114">
        <f>IF(C24&lt;&gt;"",IF($F$42=$AB$4,SUMIF('Petroleum - Q&amp;V2'!$L$9:$L$130,'Petroleum - Gas Prices'!C24,'Petroleum - Q&amp;V2'!$K$9:$K$130)*1000000,
(SUMIFS('Petroleum - Q&amp;V2'!$K$9:$K$250,'Petroleum - Q&amp;V2'!$L$9:$L$250,A24,'Petroleum - Q&amp;V2'!$M$9:$M$250,3)+
SUMIFS('Petroleum - Q&amp;V2'!$K$9:$K$250,'Petroleum - Q&amp;V2'!$L$9:$L$250,A24,'Petroleum - Q&amp;V2'!$M$9:$M$250,4)+
SUMIFS('Petroleum - Q&amp;V2'!$K$9:$K$250,'Petroleum - Q&amp;V2'!$L$9:$L$250,B24,'Petroleum - Q&amp;V2'!$M$9:$M$250,1)+
SUMIFS('Petroleum - Q&amp;V2'!$K$9:$K$250,'Petroleum - Q&amp;V2'!$L$9:$L$250,B24,'Petroleum - Q&amp;V2'!$M$9:$M$250,2))*1000000),"")</f>
        <v>700982811</v>
      </c>
      <c r="H24" s="1113">
        <f t="shared" si="4"/>
        <v>2.3901022205342533</v>
      </c>
      <c r="I24" s="640">
        <f t="shared" si="6"/>
        <v>2.3341839617645736E-2</v>
      </c>
      <c r="J24" s="1117">
        <f>IF(C24&lt;&gt;"",
IF($F$42="Historic Calendar Year",AVERAGEIF('Commodity Prices'!$A$9:$A$1300,C24,'Commodity Prices'!$X$9:$X$1300),
(SUMIFS('Commodity Prices'!$X$9:$X$1300,'Commodity Prices'!$A$9:$A$1300,A24,'Commodity Prices'!$B$9:$B$1300,3)+
SUMIFS('Commodity Prices'!$X$9:$X$1300,'Commodity Prices'!$A$9:$A$1300,A24,'Commodity Prices'!$B$9:$B$1300,4)+
SUMIFS('Commodity Prices'!$X$9:$X$1300,'Commodity Prices'!$A$9:$A$1300,B24,'Commodity Prices'!$B$9:$B$1300,1)+
SUMIFS('Commodity Prices'!$X$9:$X$1300,'Commodity Prices'!$A$9:$A$1300,B24,'Commodity Prices'!$B$9:$B$1300,2))/12
),"")</f>
        <v>0.74740000000000018</v>
      </c>
      <c r="K24" s="1064">
        <f t="shared" si="5"/>
        <v>1.7863623996273013</v>
      </c>
    </row>
    <row r="25" spans="1:11">
      <c r="A25" s="237">
        <v>2006</v>
      </c>
      <c r="B25" s="410">
        <f t="shared" si="0"/>
        <v>2007</v>
      </c>
      <c r="C25" s="419" t="str">
        <f t="shared" si="1"/>
        <v>2006-07</v>
      </c>
      <c r="D25" s="1111">
        <f>IF(C25&lt;&gt;"",IF($F$42=$AB$4,SUMIF('Petroleum - Q&amp;V2'!$L$9:$L$130,'Petroleum - Gas Prices'!C25,'Petroleum - Q&amp;V2'!$I$9:$I$130)*1000,(SUMIFS('Petroleum - Q&amp;V2'!$I$9:$I$250,'Petroleum - Q&amp;V2'!$L$9:$L$250,A25,'Petroleum - Q&amp;V2'!$M$9:$M$250,3)+
SUMIFS('Petroleum - Q&amp;V2'!$I$9:$I$250,'Petroleum - Q&amp;V2'!$L$9:$L$250,A25,'Petroleum - Q&amp;V2'!$M$9:$M$250,4)+
SUMIFS('Petroleum - Q&amp;V2'!$I$9:$I$250,'Petroleum - Q&amp;V2'!$L$9:$L$250,B25,'Petroleum - Q&amp;V2'!$M$9:$M$250,1)+
SUMIFS('Petroleum - Q&amp;V2'!$I$9:$I$250,'Petroleum - Q&amp;V2'!$L$9:$L$250,B25,'Petroleum - Q&amp;V2'!$M$9:$M$250,2))*1000),"")</f>
        <v>8714911000</v>
      </c>
      <c r="E25" s="1112">
        <f t="shared" si="7"/>
        <v>331365.43726235739</v>
      </c>
      <c r="F25" s="1111">
        <f t="shared" si="9"/>
        <v>331365437.26235741</v>
      </c>
      <c r="G25" s="1112">
        <f>IF(C25&lt;&gt;"",IF($F$42=$AB$4,SUMIF('Petroleum - Q&amp;V2'!$L$9:$L$130,'Petroleum - Gas Prices'!C25,'Petroleum - Q&amp;V2'!$K$9:$K$130)*1000000,
(SUMIFS('Petroleum - Q&amp;V2'!$K$9:$K$250,'Petroleum - Q&amp;V2'!$L$9:$L$250,A25,'Petroleum - Q&amp;V2'!$M$9:$M$250,3)+
SUMIFS('Petroleum - Q&amp;V2'!$K$9:$K$250,'Petroleum - Q&amp;V2'!$L$9:$L$250,A25,'Petroleum - Q&amp;V2'!$M$9:$M$250,4)+
SUMIFS('Petroleum - Q&amp;V2'!$K$9:$K$250,'Petroleum - Q&amp;V2'!$L$9:$L$250,B25,'Petroleum - Q&amp;V2'!$M$9:$M$250,1)+
SUMIFS('Petroleum - Q&amp;V2'!$K$9:$K$250,'Petroleum - Q&amp;V2'!$L$9:$L$250,B25,'Petroleum - Q&amp;V2'!$M$9:$M$250,2))*1000000),"")</f>
        <v>918022034</v>
      </c>
      <c r="H25" s="1111">
        <f t="shared" si="4"/>
        <v>2.770421808576129</v>
      </c>
      <c r="I25" s="641">
        <f t="shared" si="6"/>
        <v>0.15912272905083694</v>
      </c>
      <c r="J25" s="1115">
        <f>IF(C25&lt;&gt;"",
IF($F$42="Historic Calendar Year",AVERAGEIF('Commodity Prices'!$A$9:$A$1300,C25,'Commodity Prices'!$X$9:$X$1300),
(SUMIFS('Commodity Prices'!$X$9:$X$1300,'Commodity Prices'!$A$9:$A$1300,A25,'Commodity Prices'!$B$9:$B$1300,3)+
SUMIFS('Commodity Prices'!$X$9:$X$1300,'Commodity Prices'!$A$9:$A$1300,A25,'Commodity Prices'!$B$9:$B$1300,4)+
SUMIFS('Commodity Prices'!$X$9:$X$1300,'Commodity Prices'!$A$9:$A$1300,B25,'Commodity Prices'!$B$9:$B$1300,1)+
SUMIFS('Commodity Prices'!$X$9:$X$1300,'Commodity Prices'!$A$9:$A$1300,B25,'Commodity Prices'!$B$9:$B$1300,2))/12
),"")</f>
        <v>0.78627499999999995</v>
      </c>
      <c r="K25" s="1116">
        <f t="shared" si="5"/>
        <v>2.1783134075381958</v>
      </c>
    </row>
    <row r="26" spans="1:11">
      <c r="A26" s="237">
        <v>2007</v>
      </c>
      <c r="B26" s="410">
        <f t="shared" si="0"/>
        <v>2008</v>
      </c>
      <c r="C26" s="419" t="str">
        <f t="shared" si="1"/>
        <v>2007-08</v>
      </c>
      <c r="D26" s="1113">
        <f>IF(C26&lt;&gt;"",IF($F$42=$AB$4,SUMIF('Petroleum - Q&amp;V2'!$L$9:$L$130,'Petroleum - Gas Prices'!C26,'Petroleum - Q&amp;V2'!$I$9:$I$130)*1000,(SUMIFS('Petroleum - Q&amp;V2'!$I$9:$I$250,'Petroleum - Q&amp;V2'!$L$9:$L$250,A26,'Petroleum - Q&amp;V2'!$M$9:$M$250,3)+
SUMIFS('Petroleum - Q&amp;V2'!$I$9:$I$250,'Petroleum - Q&amp;V2'!$L$9:$L$250,A26,'Petroleum - Q&amp;V2'!$M$9:$M$250,4)+
SUMIFS('Petroleum - Q&amp;V2'!$I$9:$I$250,'Petroleum - Q&amp;V2'!$L$9:$L$250,B26,'Petroleum - Q&amp;V2'!$M$9:$M$250,1)+
SUMIFS('Petroleum - Q&amp;V2'!$I$9:$I$250,'Petroleum - Q&amp;V2'!$L$9:$L$250,B26,'Petroleum - Q&amp;V2'!$M$9:$M$250,2))*1000),"")</f>
        <v>9159073000</v>
      </c>
      <c r="E26" s="1114">
        <f t="shared" si="7"/>
        <v>348253.72623574146</v>
      </c>
      <c r="F26" s="1113">
        <f t="shared" si="9"/>
        <v>348253726.23574144</v>
      </c>
      <c r="G26" s="1114">
        <f>IF(C26&lt;&gt;"",IF($F$42=$AB$4,SUMIF('Petroleum - Q&amp;V2'!$L$9:$L$130,'Petroleum - Gas Prices'!C26,'Petroleum - Q&amp;V2'!$K$9:$K$130)*1000000,
(SUMIFS('Petroleum - Q&amp;V2'!$K$9:$K$250,'Petroleum - Q&amp;V2'!$L$9:$L$250,A26,'Petroleum - Q&amp;V2'!$M$9:$M$250,3)+
SUMIFS('Petroleum - Q&amp;V2'!$K$9:$K$250,'Petroleum - Q&amp;V2'!$L$9:$L$250,A26,'Petroleum - Q&amp;V2'!$M$9:$M$250,4)+
SUMIFS('Petroleum - Q&amp;V2'!$K$9:$K$250,'Petroleum - Q&amp;V2'!$L$9:$L$250,B26,'Petroleum - Q&amp;V2'!$M$9:$M$250,1)+
SUMIFS('Petroleum - Q&amp;V2'!$K$9:$K$250,'Petroleum - Q&amp;V2'!$L$9:$L$250,B26,'Petroleum - Q&amp;V2'!$M$9:$M$250,2))*1000000),"")</f>
        <v>1054018227.9999999</v>
      </c>
      <c r="H26" s="1113">
        <f t="shared" si="4"/>
        <v>3.0265813359496097</v>
      </c>
      <c r="I26" s="640">
        <f t="shared" si="6"/>
        <v>9.2462283750623181E-2</v>
      </c>
      <c r="J26" s="1117">
        <f>IF(C26&lt;&gt;"",
IF($F$42="Historic Calendar Year",AVERAGEIF('Commodity Prices'!$A$9:$A$1300,C26,'Commodity Prices'!$X$9:$X$1300),
(SUMIFS('Commodity Prices'!$X$9:$X$1300,'Commodity Prices'!$A$9:$A$1300,A26,'Commodity Prices'!$B$9:$B$1300,3)+
SUMIFS('Commodity Prices'!$X$9:$X$1300,'Commodity Prices'!$A$9:$A$1300,A26,'Commodity Prices'!$B$9:$B$1300,4)+
SUMIFS('Commodity Prices'!$X$9:$X$1300,'Commodity Prices'!$A$9:$A$1300,B26,'Commodity Prices'!$B$9:$B$1300,1)+
SUMIFS('Commodity Prices'!$X$9:$X$1300,'Commodity Prices'!$A$9:$A$1300,B26,'Commodity Prices'!$B$9:$B$1300,2))/12
),"")</f>
        <v>0.89661666666666662</v>
      </c>
      <c r="K26" s="1064">
        <f t="shared" si="5"/>
        <v>2.7136832688346857</v>
      </c>
    </row>
    <row r="27" spans="1:11">
      <c r="A27" s="237">
        <v>2008</v>
      </c>
      <c r="B27" s="410">
        <f t="shared" si="0"/>
        <v>2009</v>
      </c>
      <c r="C27" s="419" t="str">
        <f t="shared" si="1"/>
        <v>2008-09</v>
      </c>
      <c r="D27" s="1111">
        <f>IF(C27&lt;&gt;"",IF($F$42=$AB$4,SUMIF('Petroleum - Q&amp;V2'!$L$9:$L$130,'Petroleum - Gas Prices'!C27,'Petroleum - Q&amp;V2'!$I$9:$I$130)*1000,(SUMIFS('Petroleum - Q&amp;V2'!$I$9:$I$250,'Petroleum - Q&amp;V2'!$L$9:$L$250,A27,'Petroleum - Q&amp;V2'!$M$9:$M$250,3)+
SUMIFS('Petroleum - Q&amp;V2'!$I$9:$I$250,'Petroleum - Q&amp;V2'!$L$9:$L$250,A27,'Petroleum - Q&amp;V2'!$M$9:$M$250,4)+
SUMIFS('Petroleum - Q&amp;V2'!$I$9:$I$250,'Petroleum - Q&amp;V2'!$L$9:$L$250,B27,'Petroleum - Q&amp;V2'!$M$9:$M$250,1)+
SUMIFS('Petroleum - Q&amp;V2'!$I$9:$I$250,'Petroleum - Q&amp;V2'!$L$9:$L$250,B27,'Petroleum - Q&amp;V2'!$M$9:$M$250,2))*1000),"")</f>
        <v>8598035000</v>
      </c>
      <c r="E27" s="1112">
        <f t="shared" si="7"/>
        <v>326921.48288973386</v>
      </c>
      <c r="F27" s="1111">
        <f t="shared" si="9"/>
        <v>326921482.88973385</v>
      </c>
      <c r="G27" s="1112">
        <f>IF(C27&lt;&gt;"",IF($F$42=$AB$4,SUMIF('Petroleum - Q&amp;V2'!$L$9:$L$130,'Petroleum - Gas Prices'!C27,'Petroleum - Q&amp;V2'!$K$9:$K$130)*1000000,
(SUMIFS('Petroleum - Q&amp;V2'!$K$9:$K$250,'Petroleum - Q&amp;V2'!$L$9:$L$250,A27,'Petroleum - Q&amp;V2'!$M$9:$M$250,3)+
SUMIFS('Petroleum - Q&amp;V2'!$K$9:$K$250,'Petroleum - Q&amp;V2'!$L$9:$L$250,A27,'Petroleum - Q&amp;V2'!$M$9:$M$250,4)+
SUMIFS('Petroleum - Q&amp;V2'!$K$9:$K$250,'Petroleum - Q&amp;V2'!$L$9:$L$250,B27,'Petroleum - Q&amp;V2'!$M$9:$M$250,1)+
SUMIFS('Petroleum - Q&amp;V2'!$K$9:$K$250,'Petroleum - Q&amp;V2'!$L$9:$L$250,B27,'Petroleum - Q&amp;V2'!$M$9:$M$250,2))*1000000),"")</f>
        <v>1232208987.9999998</v>
      </c>
      <c r="H27" s="1111">
        <f t="shared" si="4"/>
        <v>3.7691282234138375</v>
      </c>
      <c r="I27" s="641">
        <f t="shared" si="6"/>
        <v>0.24534179162617775</v>
      </c>
      <c r="J27" s="1115">
        <f>IF(C27&lt;&gt;"",
IF($F$42="Historic Calendar Year",AVERAGEIF('Commodity Prices'!$A$9:$A$1300,C27,'Commodity Prices'!$X$9:$X$1300),
(SUMIFS('Commodity Prices'!$X$9:$X$1300,'Commodity Prices'!$A$9:$A$1300,A27,'Commodity Prices'!$B$9:$B$1300,3)+
SUMIFS('Commodity Prices'!$X$9:$X$1300,'Commodity Prices'!$A$9:$A$1300,A27,'Commodity Prices'!$B$9:$B$1300,4)+
SUMIFS('Commodity Prices'!$X$9:$X$1300,'Commodity Prices'!$A$9:$A$1300,B27,'Commodity Prices'!$B$9:$B$1300,1)+
SUMIFS('Commodity Prices'!$X$9:$X$1300,'Commodity Prices'!$A$9:$A$1300,B27,'Commodity Prices'!$B$9:$B$1300,2))/12
),"")</f>
        <v>0.74648333333333339</v>
      </c>
      <c r="K27" s="1116">
        <f t="shared" si="5"/>
        <v>2.8135913999747064</v>
      </c>
    </row>
    <row r="28" spans="1:11">
      <c r="A28" s="237">
        <v>2009</v>
      </c>
      <c r="B28" s="410">
        <f t="shared" si="0"/>
        <v>2010</v>
      </c>
      <c r="C28" s="419" t="str">
        <f t="shared" si="1"/>
        <v>2009-10</v>
      </c>
      <c r="D28" s="1113">
        <f>IF(C28&lt;&gt;"",IF($F$42=$AB$4,SUMIF('Petroleum - Q&amp;V2'!$L$9:$L$130,'Petroleum - Gas Prices'!C28,'Petroleum - Q&amp;V2'!$I$9:$I$130)*1000,(SUMIFS('Petroleum - Q&amp;V2'!$I$9:$I$250,'Petroleum - Q&amp;V2'!$L$9:$L$250,A28,'Petroleum - Q&amp;V2'!$M$9:$M$250,3)+
SUMIFS('Petroleum - Q&amp;V2'!$I$9:$I$250,'Petroleum - Q&amp;V2'!$L$9:$L$250,A28,'Petroleum - Q&amp;V2'!$M$9:$M$250,4)+
SUMIFS('Petroleum - Q&amp;V2'!$I$9:$I$250,'Petroleum - Q&amp;V2'!$L$9:$L$250,B28,'Petroleum - Q&amp;V2'!$M$9:$M$250,1)+
SUMIFS('Petroleum - Q&amp;V2'!$I$9:$I$250,'Petroleum - Q&amp;V2'!$L$9:$L$250,B28,'Petroleum - Q&amp;V2'!$M$9:$M$250,2))*1000),"")</f>
        <v>9357026000</v>
      </c>
      <c r="E28" s="1114">
        <f t="shared" si="7"/>
        <v>355780.45627376426</v>
      </c>
      <c r="F28" s="1113">
        <f t="shared" si="9"/>
        <v>355780456.27376425</v>
      </c>
      <c r="G28" s="1114">
        <f>IF(C28&lt;&gt;"",IF($F$42=$AB$4,SUMIF('Petroleum - Q&amp;V2'!$L$9:$L$130,'Petroleum - Gas Prices'!C28,'Petroleum - Q&amp;V2'!$K$9:$K$130)*1000000,
(SUMIFS('Petroleum - Q&amp;V2'!$K$9:$K$250,'Petroleum - Q&amp;V2'!$L$9:$L$250,A28,'Petroleum - Q&amp;V2'!$M$9:$M$250,3)+
SUMIFS('Petroleum - Q&amp;V2'!$K$9:$K$250,'Petroleum - Q&amp;V2'!$L$9:$L$250,A28,'Petroleum - Q&amp;V2'!$M$9:$M$250,4)+
SUMIFS('Petroleum - Q&amp;V2'!$K$9:$K$250,'Petroleum - Q&amp;V2'!$L$9:$L$250,B28,'Petroleum - Q&amp;V2'!$M$9:$M$250,1)+
SUMIFS('Petroleum - Q&amp;V2'!$K$9:$K$250,'Petroleum - Q&amp;V2'!$L$9:$L$250,B28,'Petroleum - Q&amp;V2'!$M$9:$M$250,2))*1000000),"")</f>
        <v>1320801777.0000002</v>
      </c>
      <c r="H28" s="1113">
        <f t="shared" si="4"/>
        <v>3.7124067770144067</v>
      </c>
      <c r="I28" s="640">
        <f t="shared" si="6"/>
        <v>-1.504895642633672E-2</v>
      </c>
      <c r="J28" s="1117">
        <f>IF(C28&lt;&gt;"",
IF($F$42="Historic Calendar Year",AVERAGEIF('Commodity Prices'!$A$9:$A$1300,C28,'Commodity Prices'!$X$9:$X$1300),
(SUMIFS('Commodity Prices'!$X$9:$X$1300,'Commodity Prices'!$A$9:$A$1300,A28,'Commodity Prices'!$B$9:$B$1300,3)+
SUMIFS('Commodity Prices'!$X$9:$X$1300,'Commodity Prices'!$A$9:$A$1300,A28,'Commodity Prices'!$B$9:$B$1300,4)+
SUMIFS('Commodity Prices'!$X$9:$X$1300,'Commodity Prices'!$A$9:$A$1300,B28,'Commodity Prices'!$B$9:$B$1300,1)+
SUMIFS('Commodity Prices'!$X$9:$X$1300,'Commodity Prices'!$A$9:$A$1300,B28,'Commodity Prices'!$B$9:$B$1300,2))/12
),"")</f>
        <v>0.88266666666666671</v>
      </c>
      <c r="K28" s="1064">
        <f t="shared" si="5"/>
        <v>3.27681771517805</v>
      </c>
    </row>
    <row r="29" spans="1:11">
      <c r="A29" s="237">
        <v>2010</v>
      </c>
      <c r="B29" s="410">
        <f t="shared" si="0"/>
        <v>2011</v>
      </c>
      <c r="C29" s="419" t="str">
        <f t="shared" si="1"/>
        <v>2010-11</v>
      </c>
      <c r="D29" s="1111">
        <f>IF(C29&lt;&gt;"",IF($F$42=$AB$4,SUMIF('Petroleum - Q&amp;V2'!$L$9:$L$130,'Petroleum - Gas Prices'!C29,'Petroleum - Q&amp;V2'!$I$9:$I$130)*1000,(SUMIFS('Petroleum - Q&amp;V2'!$I$9:$I$250,'Petroleum - Q&amp;V2'!$L$9:$L$250,A29,'Petroleum - Q&amp;V2'!$M$9:$M$250,3)+
SUMIFS('Petroleum - Q&amp;V2'!$I$9:$I$250,'Petroleum - Q&amp;V2'!$L$9:$L$250,A29,'Petroleum - Q&amp;V2'!$M$9:$M$250,4)+
SUMIFS('Petroleum - Q&amp;V2'!$I$9:$I$250,'Petroleum - Q&amp;V2'!$L$9:$L$250,B29,'Petroleum - Q&amp;V2'!$M$9:$M$250,1)+
SUMIFS('Petroleum - Q&amp;V2'!$I$9:$I$250,'Petroleum - Q&amp;V2'!$L$9:$L$250,B29,'Petroleum - Q&amp;V2'!$M$9:$M$250,2))*1000),"")</f>
        <v>8981495000</v>
      </c>
      <c r="E29" s="1112">
        <f t="shared" si="7"/>
        <v>341501.71102661599</v>
      </c>
      <c r="F29" s="1111">
        <f t="shared" si="9"/>
        <v>341501711.02661598</v>
      </c>
      <c r="G29" s="1112">
        <f>IF(C29&lt;&gt;"",IF($F$42=$AB$4,SUMIF('Petroleum - Q&amp;V2'!$L$9:$L$130,'Petroleum - Gas Prices'!C29,'Petroleum - Q&amp;V2'!$K$9:$K$130)*1000000,
(SUMIFS('Petroleum - Q&amp;V2'!$K$9:$K$250,'Petroleum - Q&amp;V2'!$L$9:$L$250,A29,'Petroleum - Q&amp;V2'!$M$9:$M$250,3)+
SUMIFS('Petroleum - Q&amp;V2'!$K$9:$K$250,'Petroleum - Q&amp;V2'!$L$9:$L$250,A29,'Petroleum - Q&amp;V2'!$M$9:$M$250,4)+
SUMIFS('Petroleum - Q&amp;V2'!$K$9:$K$250,'Petroleum - Q&amp;V2'!$L$9:$L$250,B29,'Petroleum - Q&amp;V2'!$M$9:$M$250,1)+
SUMIFS('Petroleum - Q&amp;V2'!$K$9:$K$250,'Petroleum - Q&amp;V2'!$L$9:$L$250,B29,'Petroleum - Q&amp;V2'!$M$9:$M$250,2))*1000000),"")</f>
        <v>1364589067</v>
      </c>
      <c r="H29" s="1111">
        <f t="shared" si="4"/>
        <v>3.9958484040908555</v>
      </c>
      <c r="I29" s="641">
        <f t="shared" si="6"/>
        <v>7.6349830204867353E-2</v>
      </c>
      <c r="J29" s="1115">
        <f>IF(C29&lt;&gt;"",
IF($F$42="Historic Calendar Year",AVERAGEIF('Commodity Prices'!$A$9:$A$1300,C29,'Commodity Prices'!$X$9:$X$1300),
(SUMIFS('Commodity Prices'!$X$9:$X$1300,'Commodity Prices'!$A$9:$A$1300,A29,'Commodity Prices'!$B$9:$B$1300,3)+
SUMIFS('Commodity Prices'!$X$9:$X$1300,'Commodity Prices'!$A$9:$A$1300,A29,'Commodity Prices'!$B$9:$B$1300,4)+
SUMIFS('Commodity Prices'!$X$9:$X$1300,'Commodity Prices'!$A$9:$A$1300,B29,'Commodity Prices'!$B$9:$B$1300,1)+
SUMIFS('Commodity Prices'!$X$9:$X$1300,'Commodity Prices'!$A$9:$A$1300,B29,'Commodity Prices'!$B$9:$B$1300,2))/12
),"")</f>
        <v>0.98847499999999988</v>
      </c>
      <c r="K29" s="1116">
        <f t="shared" si="5"/>
        <v>3.9497962512337081</v>
      </c>
    </row>
    <row r="30" spans="1:11">
      <c r="A30" s="237">
        <v>2011</v>
      </c>
      <c r="B30" s="410">
        <f t="shared" si="0"/>
        <v>2012</v>
      </c>
      <c r="C30" s="419" t="str">
        <f t="shared" si="1"/>
        <v>2011-12</v>
      </c>
      <c r="D30" s="1113">
        <f>IF(C30&lt;&gt;"",IF($F$42=$AB$4,SUMIF('Petroleum - Q&amp;V2'!$L$9:$L$130,'Petroleum - Gas Prices'!C30,'Petroleum - Q&amp;V2'!$I$9:$I$130)*1000,(SUMIFS('Petroleum - Q&amp;V2'!$I$9:$I$250,'Petroleum - Q&amp;V2'!$L$9:$L$250,A30,'Petroleum - Q&amp;V2'!$M$9:$M$250,3)+
SUMIFS('Petroleum - Q&amp;V2'!$I$9:$I$250,'Petroleum - Q&amp;V2'!$L$9:$L$250,A30,'Petroleum - Q&amp;V2'!$M$9:$M$250,4)+
SUMIFS('Petroleum - Q&amp;V2'!$I$9:$I$250,'Petroleum - Q&amp;V2'!$L$9:$L$250,B30,'Petroleum - Q&amp;V2'!$M$9:$M$250,1)+
SUMIFS('Petroleum - Q&amp;V2'!$I$9:$I$250,'Petroleum - Q&amp;V2'!$L$9:$L$250,B30,'Petroleum - Q&amp;V2'!$M$9:$M$250,2))*1000),"")</f>
        <v>9080655000</v>
      </c>
      <c r="E30" s="1114">
        <f t="shared" si="7"/>
        <v>345272.05323193915</v>
      </c>
      <c r="F30" s="1113">
        <f t="shared" si="9"/>
        <v>345272053.23193914</v>
      </c>
      <c r="G30" s="1114">
        <f>IF(C30&lt;&gt;"",IF($F$42=$AB$4,SUMIF('Petroleum - Q&amp;V2'!$L$9:$L$130,'Petroleum - Gas Prices'!C30,'Petroleum - Q&amp;V2'!$K$9:$K$130)*1000000,
(SUMIFS('Petroleum - Q&amp;V2'!$K$9:$K$250,'Petroleum - Q&amp;V2'!$L$9:$L$250,A30,'Petroleum - Q&amp;V2'!$M$9:$M$250,3)+
SUMIFS('Petroleum - Q&amp;V2'!$K$9:$K$250,'Petroleum - Q&amp;V2'!$L$9:$L$250,A30,'Petroleum - Q&amp;V2'!$M$9:$M$250,4)+
SUMIFS('Petroleum - Q&amp;V2'!$K$9:$K$250,'Petroleum - Q&amp;V2'!$L$9:$L$250,B30,'Petroleum - Q&amp;V2'!$M$9:$M$250,1)+
SUMIFS('Petroleum - Q&amp;V2'!$K$9:$K$250,'Petroleum - Q&amp;V2'!$L$9:$L$250,B30,'Petroleum - Q&amp;V2'!$M$9:$M$250,2))*1000000),"")</f>
        <v>1449810229</v>
      </c>
      <c r="H30" s="1113">
        <f t="shared" si="4"/>
        <v>4.1990372966157183</v>
      </c>
      <c r="I30" s="640">
        <f t="shared" si="6"/>
        <v>5.0850000294516383E-2</v>
      </c>
      <c r="J30" s="1117">
        <f>IF(C30&lt;&gt;"",
IF($F$42="Historic Calendar Year",AVERAGEIF('Commodity Prices'!$A$9:$A$1300,C30,'Commodity Prices'!$X$9:$X$1300),
(SUMIFS('Commodity Prices'!$X$9:$X$1300,'Commodity Prices'!$A$9:$A$1300,A30,'Commodity Prices'!$B$9:$B$1300,3)+
SUMIFS('Commodity Prices'!$X$9:$X$1300,'Commodity Prices'!$A$9:$A$1300,A30,'Commodity Prices'!$B$9:$B$1300,4)+
SUMIFS('Commodity Prices'!$X$9:$X$1300,'Commodity Prices'!$A$9:$A$1300,B30,'Commodity Prices'!$B$9:$B$1300,1)+
SUMIFS('Commodity Prices'!$X$9:$X$1300,'Commodity Prices'!$A$9:$A$1300,B30,'Commodity Prices'!$B$9:$B$1300,2))/12
),"")</f>
        <v>1.0322750000000001</v>
      </c>
      <c r="K30" s="1064">
        <f t="shared" si="5"/>
        <v>4.3345612253639905</v>
      </c>
    </row>
    <row r="31" spans="1:11">
      <c r="A31" s="237">
        <v>2012</v>
      </c>
      <c r="B31" s="410">
        <f t="shared" si="0"/>
        <v>2013</v>
      </c>
      <c r="C31" s="419" t="str">
        <f t="shared" si="1"/>
        <v>2012-13</v>
      </c>
      <c r="D31" s="1111">
        <f>IF(C31&lt;&gt;"",IF($F$42=$AB$4,SUMIF('Petroleum - Q&amp;V2'!$L$9:$L$130,'Petroleum - Gas Prices'!C31,'Petroleum - Q&amp;V2'!$I$9:$I$130)*1000,(SUMIFS('Petroleum - Q&amp;V2'!$I$9:$I$250,'Petroleum - Q&amp;V2'!$L$9:$L$250,A31,'Petroleum - Q&amp;V2'!$M$9:$M$250,3)+
SUMIFS('Petroleum - Q&amp;V2'!$I$9:$I$250,'Petroleum - Q&amp;V2'!$L$9:$L$250,A31,'Petroleum - Q&amp;V2'!$M$9:$M$250,4)+
SUMIFS('Petroleum - Q&amp;V2'!$I$9:$I$250,'Petroleum - Q&amp;V2'!$L$9:$L$250,B31,'Petroleum - Q&amp;V2'!$M$9:$M$250,1)+
SUMIFS('Petroleum - Q&amp;V2'!$I$9:$I$250,'Petroleum - Q&amp;V2'!$L$9:$L$250,B31,'Petroleum - Q&amp;V2'!$M$9:$M$250,2))*1000),"")</f>
        <v>8713949000</v>
      </c>
      <c r="E31" s="1112">
        <f t="shared" si="7"/>
        <v>331328.85931558936</v>
      </c>
      <c r="F31" s="1111">
        <f t="shared" si="9"/>
        <v>331328859.31558937</v>
      </c>
      <c r="G31" s="1112">
        <f>IF(C31&lt;&gt;"",IF($F$42=$AB$4,SUMIF('Petroleum - Q&amp;V2'!$L$9:$L$130,'Petroleum - Gas Prices'!C31,'Petroleum - Q&amp;V2'!$K$9:$K$130)*1000000,
(SUMIFS('Petroleum - Q&amp;V2'!$K$9:$K$250,'Petroleum - Q&amp;V2'!$L$9:$L$250,A31,'Petroleum - Q&amp;V2'!$M$9:$M$250,3)+
SUMIFS('Petroleum - Q&amp;V2'!$K$9:$K$250,'Petroleum - Q&amp;V2'!$L$9:$L$250,A31,'Petroleum - Q&amp;V2'!$M$9:$M$250,4)+
SUMIFS('Petroleum - Q&amp;V2'!$K$9:$K$250,'Petroleum - Q&amp;V2'!$L$9:$L$250,B31,'Petroleum - Q&amp;V2'!$M$9:$M$250,1)+
SUMIFS('Petroleum - Q&amp;V2'!$K$9:$K$250,'Petroleum - Q&amp;V2'!$L$9:$L$250,B31,'Petroleum - Q&amp;V2'!$M$9:$M$250,2))*1000000),"")</f>
        <v>1434550772</v>
      </c>
      <c r="H31" s="1111">
        <f t="shared" si="4"/>
        <v>4.3296885606743851</v>
      </c>
      <c r="I31" s="641">
        <f t="shared" si="6"/>
        <v>3.1114575753820352E-2</v>
      </c>
      <c r="J31" s="1115">
        <f>IF(C31&lt;&gt;"",
IF($F$42="Historic Calendar Year",AVERAGEIF('Commodity Prices'!$A$9:$A$1300,C31,'Commodity Prices'!$X$9:$X$1300),
(SUMIFS('Commodity Prices'!$X$9:$X$1300,'Commodity Prices'!$A$9:$A$1300,A31,'Commodity Prices'!$B$9:$B$1300,3)+
SUMIFS('Commodity Prices'!$X$9:$X$1300,'Commodity Prices'!$A$9:$A$1300,A31,'Commodity Prices'!$B$9:$B$1300,4)+
SUMIFS('Commodity Prices'!$X$9:$X$1300,'Commodity Prices'!$A$9:$A$1300,B31,'Commodity Prices'!$B$9:$B$1300,1)+
SUMIFS('Commodity Prices'!$X$9:$X$1300,'Commodity Prices'!$A$9:$A$1300,B31,'Commodity Prices'!$B$9:$B$1300,2))/12
),"")</f>
        <v>1.025825</v>
      </c>
      <c r="K31" s="1116">
        <f t="shared" si="5"/>
        <v>4.4415027677538008</v>
      </c>
    </row>
    <row r="32" spans="1:11">
      <c r="A32" s="237">
        <v>2013</v>
      </c>
      <c r="B32" s="410">
        <f t="shared" si="0"/>
        <v>2014</v>
      </c>
      <c r="C32" s="419" t="str">
        <f t="shared" si="1"/>
        <v>2013-14</v>
      </c>
      <c r="D32" s="1113">
        <f>IF(C32&lt;&gt;"",IF($F$42=$AB$4,SUMIF('Petroleum - Q&amp;V2'!$L$9:$L$130,'Petroleum - Gas Prices'!C32,'Petroleum - Q&amp;V2'!$I$9:$I$130)*1000,(SUMIFS('Petroleum - Q&amp;V2'!$I$9:$I$250,'Petroleum - Q&amp;V2'!$L$9:$L$250,A32,'Petroleum - Q&amp;V2'!$M$9:$M$250,3)+
SUMIFS('Petroleum - Q&amp;V2'!$I$9:$I$250,'Petroleum - Q&amp;V2'!$L$9:$L$250,A32,'Petroleum - Q&amp;V2'!$M$9:$M$250,4)+
SUMIFS('Petroleum - Q&amp;V2'!$I$9:$I$250,'Petroleum - Q&amp;V2'!$L$9:$L$250,B32,'Petroleum - Q&amp;V2'!$M$9:$M$250,1)+
SUMIFS('Petroleum - Q&amp;V2'!$I$9:$I$250,'Petroleum - Q&amp;V2'!$L$9:$L$250,B32,'Petroleum - Q&amp;V2'!$M$9:$M$250,2))*1000),"")</f>
        <v>8217579290</v>
      </c>
      <c r="E32" s="1114">
        <f t="shared" si="7"/>
        <v>312455.4863117871</v>
      </c>
      <c r="F32" s="1113">
        <f t="shared" si="9"/>
        <v>312455486.31178713</v>
      </c>
      <c r="G32" s="1114">
        <f>IF(C32&lt;&gt;"",IF($F$42=$AB$4,SUMIF('Petroleum - Q&amp;V2'!$L$9:$L$130,'Petroleum - Gas Prices'!C32,'Petroleum - Q&amp;V2'!$K$9:$K$130)*1000000,
(SUMIFS('Petroleum - Q&amp;V2'!$K$9:$K$250,'Petroleum - Q&amp;V2'!$L$9:$L$250,A32,'Petroleum - Q&amp;V2'!$M$9:$M$250,3)+
SUMIFS('Petroleum - Q&amp;V2'!$K$9:$K$250,'Petroleum - Q&amp;V2'!$L$9:$L$250,A32,'Petroleum - Q&amp;V2'!$M$9:$M$250,4)+
SUMIFS('Petroleum - Q&amp;V2'!$K$9:$K$250,'Petroleum - Q&amp;V2'!$L$9:$L$250,B32,'Petroleum - Q&amp;V2'!$M$9:$M$250,1)+
SUMIFS('Petroleum - Q&amp;V2'!$K$9:$K$250,'Petroleum - Q&amp;V2'!$L$9:$L$250,B32,'Petroleum - Q&amp;V2'!$M$9:$M$250,2))*1000000),"")</f>
        <v>1446935710.5200002</v>
      </c>
      <c r="H32" s="1113">
        <f t="shared" si="4"/>
        <v>4.6308539101027648</v>
      </c>
      <c r="I32" s="640">
        <f t="shared" si="6"/>
        <v>6.9558201521420907E-2</v>
      </c>
      <c r="J32" s="1117">
        <f>IF(C32&lt;&gt;"",
IF($F$42="Historic Calendar Year",AVERAGEIF('Commodity Prices'!$A$9:$A$1300,C32,'Commodity Prices'!$X$9:$X$1300),
(SUMIFS('Commodity Prices'!$X$9:$X$1300,'Commodity Prices'!$A$9:$A$1300,A32,'Commodity Prices'!$B$9:$B$1300,3)+
SUMIFS('Commodity Prices'!$X$9:$X$1300,'Commodity Prices'!$A$9:$A$1300,A32,'Commodity Prices'!$B$9:$B$1300,4)+
SUMIFS('Commodity Prices'!$X$9:$X$1300,'Commodity Prices'!$A$9:$A$1300,B32,'Commodity Prices'!$B$9:$B$1300,1)+
SUMIFS('Commodity Prices'!$X$9:$X$1300,'Commodity Prices'!$A$9:$A$1300,B32,'Commodity Prices'!$B$9:$B$1300,2))/12
),"")</f>
        <v>0.91781666666666661</v>
      </c>
      <c r="K32" s="1064">
        <f t="shared" si="5"/>
        <v>4.2502748995908188</v>
      </c>
    </row>
    <row r="33" spans="1:11">
      <c r="A33" s="237">
        <v>2014</v>
      </c>
      <c r="B33" s="410">
        <f t="shared" si="0"/>
        <v>2015</v>
      </c>
      <c r="C33" s="419" t="str">
        <f t="shared" si="1"/>
        <v>2014-15</v>
      </c>
      <c r="D33" s="1111">
        <f>IF(C33&lt;&gt;"",IF($F$42=$AB$4,SUMIF('Petroleum - Q&amp;V2'!$L$9:$L$130,'Petroleum - Gas Prices'!C33,'Petroleum - Q&amp;V2'!$I$9:$I$130)*1000,(SUMIFS('Petroleum - Q&amp;V2'!$I$9:$I$250,'Petroleum - Q&amp;V2'!$L$9:$L$250,A33,'Petroleum - Q&amp;V2'!$M$9:$M$250,3)+
SUMIFS('Petroleum - Q&amp;V2'!$I$9:$I$250,'Petroleum - Q&amp;V2'!$L$9:$L$250,A33,'Petroleum - Q&amp;V2'!$M$9:$M$250,4)+
SUMIFS('Petroleum - Q&amp;V2'!$I$9:$I$250,'Petroleum - Q&amp;V2'!$L$9:$L$250,B33,'Petroleum - Q&amp;V2'!$M$9:$M$250,1)+
SUMIFS('Petroleum - Q&amp;V2'!$I$9:$I$250,'Petroleum - Q&amp;V2'!$L$9:$L$250,B33,'Petroleum - Q&amp;V2'!$M$9:$M$250,2))*1000),"")</f>
        <v>9875338712</v>
      </c>
      <c r="E33" s="1112">
        <f t="shared" si="7"/>
        <v>375488.16395437263</v>
      </c>
      <c r="F33" s="1111">
        <f t="shared" si="9"/>
        <v>375488163.95437264</v>
      </c>
      <c r="G33" s="1112">
        <f>IF(C33&lt;&gt;"",IF($F$42=$AB$4,SUMIF('Petroleum - Q&amp;V2'!$L$9:$L$130,'Petroleum - Gas Prices'!C33,'Petroleum - Q&amp;V2'!$K$9:$K$130)*1000000,
(SUMIFS('Petroleum - Q&amp;V2'!$K$9:$K$250,'Petroleum - Q&amp;V2'!$L$9:$L$250,A33,'Petroleum - Q&amp;V2'!$M$9:$M$250,3)+
SUMIFS('Petroleum - Q&amp;V2'!$K$9:$K$250,'Petroleum - Q&amp;V2'!$L$9:$L$250,A33,'Petroleum - Q&amp;V2'!$M$9:$M$250,4)+
SUMIFS('Petroleum - Q&amp;V2'!$K$9:$K$250,'Petroleum - Q&amp;V2'!$L$9:$L$250,B33,'Petroleum - Q&amp;V2'!$M$9:$M$250,1)+
SUMIFS('Petroleum - Q&amp;V2'!$K$9:$K$250,'Petroleum - Q&amp;V2'!$L$9:$L$250,B33,'Petroleum - Q&amp;V2'!$M$9:$M$250,2))*1000000),"")</f>
        <v>1820197055.1041887</v>
      </c>
      <c r="H33" s="1111">
        <f t="shared" si="4"/>
        <v>4.8475484178653616</v>
      </c>
      <c r="I33" s="641">
        <f t="shared" si="6"/>
        <v>4.6793639352312899E-2</v>
      </c>
      <c r="J33" s="1115">
        <f>IF(C33&lt;&gt;"",
IF($F$42="Historic Calendar Year",AVERAGEIF('Commodity Prices'!$A$9:$A$1300,C33,'Commodity Prices'!$X$9:$X$1300),
(SUMIFS('Commodity Prices'!$X$9:$X$1300,'Commodity Prices'!$A$9:$A$1300,A33,'Commodity Prices'!$B$9:$B$1300,3)+
SUMIFS('Commodity Prices'!$X$9:$X$1300,'Commodity Prices'!$A$9:$A$1300,A33,'Commodity Prices'!$B$9:$B$1300,4)+
SUMIFS('Commodity Prices'!$X$9:$X$1300,'Commodity Prices'!$A$9:$A$1300,B33,'Commodity Prices'!$B$9:$B$1300,1)+
SUMIFS('Commodity Prices'!$X$9:$X$1300,'Commodity Prices'!$A$9:$A$1300,B33,'Commodity Prices'!$B$9:$B$1300,2))/12
),"")</f>
        <v>0.83605000000000007</v>
      </c>
      <c r="K33" s="1116">
        <f t="shared" si="5"/>
        <v>4.0527928547563361</v>
      </c>
    </row>
    <row r="34" spans="1:11">
      <c r="A34" s="237">
        <v>2015</v>
      </c>
      <c r="B34" s="410">
        <f t="shared" si="0"/>
        <v>2016</v>
      </c>
      <c r="C34" s="419" t="str">
        <f t="shared" si="1"/>
        <v>2015-16</v>
      </c>
      <c r="D34" s="1113">
        <f>IF(C34&lt;&gt;"",IF($F$42=$AB$4,SUMIF('Petroleum - Q&amp;V2'!$L$9:$L$130,'Petroleum - Gas Prices'!C34,'Petroleum - Q&amp;V2'!$I$9:$I$130)*1000,(SUMIFS('Petroleum - Q&amp;V2'!$I$9:$I$250,'Petroleum - Q&amp;V2'!$L$9:$L$250,A34,'Petroleum - Q&amp;V2'!$M$9:$M$250,3)+
SUMIFS('Petroleum - Q&amp;V2'!$I$9:$I$250,'Petroleum - Q&amp;V2'!$L$9:$L$250,A34,'Petroleum - Q&amp;V2'!$M$9:$M$250,4)+
SUMIFS('Petroleum - Q&amp;V2'!$I$9:$I$250,'Petroleum - Q&amp;V2'!$L$9:$L$250,B34,'Petroleum - Q&amp;V2'!$M$9:$M$250,1)+
SUMIFS('Petroleum - Q&amp;V2'!$I$9:$I$250,'Petroleum - Q&amp;V2'!$L$9:$L$250,B34,'Petroleum - Q&amp;V2'!$M$9:$M$250,2))*1000),"")</f>
        <v>10223641304.033899</v>
      </c>
      <c r="E34" s="1114">
        <f>IF(D34&lt;&gt;"",D34/26300,"")</f>
        <v>388731.60851839924</v>
      </c>
      <c r="F34" s="1113">
        <f>IF(D34&lt;&gt;"",E34*1000,"")</f>
        <v>388731608.51839924</v>
      </c>
      <c r="G34" s="1114">
        <f>IF(C34&lt;&gt;"",IF($F$42=$AB$4,SUMIF('Petroleum - Q&amp;V2'!$L$9:$L$130,'Petroleum - Gas Prices'!C34,'Petroleum - Q&amp;V2'!$K$9:$K$130)*1000000,
(SUMIFS('Petroleum - Q&amp;V2'!$K$9:$K$250,'Petroleum - Q&amp;V2'!$L$9:$L$250,A34,'Petroleum - Q&amp;V2'!$M$9:$M$250,3)+
SUMIFS('Petroleum - Q&amp;V2'!$K$9:$K$250,'Petroleum - Q&amp;V2'!$L$9:$L$250,A34,'Petroleum - Q&amp;V2'!$M$9:$M$250,4)+
SUMIFS('Petroleum - Q&amp;V2'!$K$9:$K$250,'Petroleum - Q&amp;V2'!$L$9:$L$250,B34,'Petroleum - Q&amp;V2'!$M$9:$M$250,1)+
SUMIFS('Petroleum - Q&amp;V2'!$K$9:$K$250,'Petroleum - Q&amp;V2'!$L$9:$L$250,B34,'Petroleum - Q&amp;V2'!$M$9:$M$250,2))*1000000),"")</f>
        <v>1908487074.4258478</v>
      </c>
      <c r="H34" s="1113">
        <f>IF(C34&lt;&gt;"",G34/F34,"")</f>
        <v>4.9095237757994568</v>
      </c>
      <c r="I34" s="640">
        <f t="shared" si="6"/>
        <v>1.2784886831803169E-2</v>
      </c>
      <c r="J34" s="1118">
        <f>IF(C34&lt;&gt;"",
IF($F$42="Historic Calendar Year",AVERAGEIF('Commodity Prices'!$A$9:$A$1300,C34,'Commodity Prices'!$X$9:$X$1300),
(SUMIFS('Commodity Prices'!$X$9:$X$1300,'Commodity Prices'!$A$9:$A$1300,A34,'Commodity Prices'!$B$9:$B$1300,3)+
SUMIFS('Commodity Prices'!$X$9:$X$1300,'Commodity Prices'!$A$9:$A$1300,A34,'Commodity Prices'!$B$9:$B$1300,4)+
SUMIFS('Commodity Prices'!$X$9:$X$1300,'Commodity Prices'!$A$9:$A$1300,B34,'Commodity Prices'!$B$9:$B$1300,1)+
SUMIFS('Commodity Prices'!$X$9:$X$1300,'Commodity Prices'!$A$9:$A$1300,B34,'Commodity Prices'!$B$9:$B$1300,2))/12
),"")</f>
        <v>0.72854166666666664</v>
      </c>
      <c r="K34" s="1119">
        <f t="shared" si="5"/>
        <v>3.5767926341605625</v>
      </c>
    </row>
    <row r="35" spans="1:11">
      <c r="A35" s="237">
        <v>2016</v>
      </c>
      <c r="B35" s="410">
        <f t="shared" si="0"/>
        <v>2017</v>
      </c>
      <c r="C35" s="419" t="str">
        <f t="shared" si="1"/>
        <v>2016-17</v>
      </c>
      <c r="D35" s="1111">
        <f>IF(C35&lt;&gt;"",IF($F$42=$AB$4,SUMIF('Petroleum - Q&amp;V2'!$L$9:$L$130,'Petroleum - Gas Prices'!C35,'Petroleum - Q&amp;V2'!$I$9:$I$130)*1000,(SUMIFS('Petroleum - Q&amp;V2'!$I$9:$I$250,'Petroleum - Q&amp;V2'!$L$9:$L$250,A35,'Petroleum - Q&amp;V2'!$M$9:$M$250,3)+
SUMIFS('Petroleum - Q&amp;V2'!$I$9:$I$250,'Petroleum - Q&amp;V2'!$L$9:$L$250,A35,'Petroleum - Q&amp;V2'!$M$9:$M$250,4)+
SUMIFS('Petroleum - Q&amp;V2'!$I$9:$I$250,'Petroleum - Q&amp;V2'!$L$9:$L$250,B35,'Petroleum - Q&amp;V2'!$M$9:$M$250,1)+
SUMIFS('Petroleum - Q&amp;V2'!$I$9:$I$250,'Petroleum - Q&amp;V2'!$L$9:$L$250,B35,'Petroleum - Q&amp;V2'!$M$9:$M$250,2))*1000),"")</f>
        <v>9708933994.3323746</v>
      </c>
      <c r="E35" s="1112">
        <f>IF(D35&lt;&gt;"",D35/26300,"")</f>
        <v>369160.98837765685</v>
      </c>
      <c r="F35" s="1111">
        <f>IF(D35&lt;&gt;"",E35*1000,"")</f>
        <v>369160988.37765682</v>
      </c>
      <c r="G35" s="1112">
        <f>IF(C35&lt;&gt;"",IF($F$42=$AB$4,SUMIF('Petroleum - Q&amp;V2'!$L$9:$L$130,'Petroleum - Gas Prices'!C35,'Petroleum - Q&amp;V2'!$K$9:$K$130)*1000000,
(SUMIFS('Petroleum - Q&amp;V2'!$K$9:$K$250,'Petroleum - Q&amp;V2'!$L$9:$L$250,A35,'Petroleum - Q&amp;V2'!$M$9:$M$250,3)+
SUMIFS('Petroleum - Q&amp;V2'!$K$9:$K$250,'Petroleum - Q&amp;V2'!$L$9:$L$250,A35,'Petroleum - Q&amp;V2'!$M$9:$M$250,4)+
SUMIFS('Petroleum - Q&amp;V2'!$K$9:$K$250,'Petroleum - Q&amp;V2'!$L$9:$L$250,B35,'Petroleum - Q&amp;V2'!$M$9:$M$250,1)+
SUMIFS('Petroleum - Q&amp;V2'!$K$9:$K$250,'Petroleum - Q&amp;V2'!$L$9:$L$250,B35,'Petroleum - Q&amp;V2'!$M$9:$M$250,2))*1000000),"")</f>
        <v>1834906042.3134713</v>
      </c>
      <c r="H35" s="1111">
        <f>IF(C35&lt;&gt;"",G35/F35,"")</f>
        <v>4.9704765673569415</v>
      </c>
      <c r="I35" s="641">
        <f t="shared" si="6"/>
        <v>1.2415214660521602E-2</v>
      </c>
      <c r="J35" s="1115">
        <f>IF(C35&lt;&gt;"",
IF($F$42="Historic Calendar Year",AVERAGEIF('Commodity Prices'!$A$9:$A$1300,C35,'Commodity Prices'!$X$9:$X$1300),
(SUMIFS('Commodity Prices'!$X$9:$X$1300,'Commodity Prices'!$A$9:$A$1300,A35,'Commodity Prices'!$B$9:$B$1300,3)+
SUMIFS('Commodity Prices'!$X$9:$X$1300,'Commodity Prices'!$A$9:$A$1300,A35,'Commodity Prices'!$B$9:$B$1300,4)+
SUMIFS('Commodity Prices'!$X$9:$X$1300,'Commodity Prices'!$A$9:$A$1300,B35,'Commodity Prices'!$B$9:$B$1300,1)+
SUMIFS('Commodity Prices'!$X$9:$X$1300,'Commodity Prices'!$A$9:$A$1300,B35,'Commodity Prices'!$B$9:$B$1300,2))/12
),"")</f>
        <v>0.75420833333333326</v>
      </c>
      <c r="K35" s="1116">
        <f t="shared" ref="K35" si="10">IFERROR(H35*J35,"")</f>
        <v>3.7487748477386664</v>
      </c>
    </row>
    <row r="36" spans="1:11">
      <c r="A36" s="237">
        <v>2017</v>
      </c>
      <c r="B36" s="410">
        <f t="shared" si="0"/>
        <v>2018</v>
      </c>
      <c r="C36" s="419" t="str">
        <f t="shared" si="1"/>
        <v>2017-18</v>
      </c>
      <c r="D36" s="1113">
        <f>IF(C36&lt;&gt;"",IF($F$42=$AB$4,SUMIF('Petroleum - Q&amp;V2'!$L$9:$L$130,'Petroleum - Gas Prices'!C36,'Petroleum - Q&amp;V2'!$I$9:$I$130)*1000,(SUMIFS('Petroleum - Q&amp;V2'!$I$9:$I$250,'Petroleum - Q&amp;V2'!$L$9:$L$250,A36,'Petroleum - Q&amp;V2'!$M$9:$M$250,3)+
SUMIFS('Petroleum - Q&amp;V2'!$I$9:$I$250,'Petroleum - Q&amp;V2'!$L$9:$L$250,A36,'Petroleum - Q&amp;V2'!$M$9:$M$250,4)+
SUMIFS('Petroleum - Q&amp;V2'!$I$9:$I$250,'Petroleum - Q&amp;V2'!$L$9:$L$250,B36,'Petroleum - Q&amp;V2'!$M$9:$M$250,1)+
SUMIFS('Petroleum - Q&amp;V2'!$I$9:$I$250,'Petroleum - Q&amp;V2'!$L$9:$L$250,B36,'Petroleum - Q&amp;V2'!$M$9:$M$250,2))*1000),"")</f>
        <v>10174919539.409887</v>
      </c>
      <c r="E36" s="1114">
        <f t="shared" si="7"/>
        <v>386879.06993953942</v>
      </c>
      <c r="F36" s="1113">
        <f t="shared" ref="F36:F37" si="11">IF(D36&lt;&gt;"",E36*1000,"")</f>
        <v>386879069.93953943</v>
      </c>
      <c r="G36" s="1114">
        <f>IF(C36&lt;&gt;"",IF($F$42=$AB$4,SUMIF('Petroleum - Q&amp;V2'!$L$9:$L$130,'Petroleum - Gas Prices'!C36,'Petroleum - Q&amp;V2'!$K$9:$K$130)*1000000,
(SUMIFS('Petroleum - Q&amp;V2'!$K$9:$K$250,'Petroleum - Q&amp;V2'!$L$9:$L$250,A36,'Petroleum - Q&amp;V2'!$M$9:$M$250,3)+
SUMIFS('Petroleum - Q&amp;V2'!$K$9:$K$250,'Petroleum - Q&amp;V2'!$L$9:$L$250,A36,'Petroleum - Q&amp;V2'!$M$9:$M$250,4)+
SUMIFS('Petroleum - Q&amp;V2'!$K$9:$K$250,'Petroleum - Q&amp;V2'!$L$9:$L$250,B36,'Petroleum - Q&amp;V2'!$M$9:$M$250,1)+
SUMIFS('Petroleum - Q&amp;V2'!$K$9:$K$250,'Petroleum - Q&amp;V2'!$L$9:$L$250,B36,'Petroleum - Q&amp;V2'!$M$9:$M$250,2))*1000000),"")</f>
        <v>1659894180.277179</v>
      </c>
      <c r="H36" s="1113">
        <f t="shared" ref="H36:H37" si="12">IF(C36&lt;&gt;"",G36/F36,"")</f>
        <v>4.2904729390933021</v>
      </c>
      <c r="I36" s="640">
        <f t="shared" si="6"/>
        <v>-0.13680853717920904</v>
      </c>
      <c r="J36" s="1118">
        <f>IF(C36&lt;&gt;"",
IF($F$42="Historic Calendar Year",AVERAGEIF('Commodity Prices'!$A$9:$A$1300,C36,'Commodity Prices'!$X$9:$X$1300),
(SUMIFS('Commodity Prices'!$X$9:$X$1300,'Commodity Prices'!$A$9:$A$1300,A36,'Commodity Prices'!$B$9:$B$1300,3)+
SUMIFS('Commodity Prices'!$X$9:$X$1300,'Commodity Prices'!$A$9:$A$1300,A36,'Commodity Prices'!$B$9:$B$1300,4)+
SUMIFS('Commodity Prices'!$X$9:$X$1300,'Commodity Prices'!$A$9:$A$1300,B36,'Commodity Prices'!$B$9:$B$1300,1)+
SUMIFS('Commodity Prices'!$X$9:$X$1300,'Commodity Prices'!$A$9:$A$1300,B36,'Commodity Prices'!$B$9:$B$1300,2))/12
),"")</f>
        <v>0.77528333333333332</v>
      </c>
      <c r="K36" s="1119">
        <f t="shared" ref="K36:K37" si="13">IFERROR(H36*J36,"")</f>
        <v>3.326332161796719</v>
      </c>
    </row>
    <row r="37" spans="1:11">
      <c r="A37" s="237">
        <v>2018</v>
      </c>
      <c r="B37" s="410">
        <v>2019</v>
      </c>
      <c r="C37" s="419" t="str">
        <f t="shared" si="1"/>
        <v>2018-19</v>
      </c>
      <c r="D37" s="1004">
        <f>IF(C37&lt;&gt;"",IF($F$42=$AB$4,SUMIF('Petroleum - Q&amp;V2'!$L$9:$L$130,'Petroleum - Gas Prices'!C37,'Petroleum - Q&amp;V2'!$I$9:$I$130)*1000,(SUMIFS('Petroleum - Q&amp;V2'!$I$9:$I$250,'Petroleum - Q&amp;V2'!$L$9:$L$250,A37,'Petroleum - Q&amp;V2'!$M$9:$M$250,3)+
SUMIFS('Petroleum - Q&amp;V2'!$I$9:$I$250,'Petroleum - Q&amp;V2'!$L$9:$L$250,A37,'Petroleum - Q&amp;V2'!$M$9:$M$250,4)+
SUMIFS('Petroleum - Q&amp;V2'!$I$9:$I$250,'Petroleum - Q&amp;V2'!$L$9:$L$250,B37,'Petroleum - Q&amp;V2'!$M$9:$M$250,1)+
SUMIFS('Petroleum - Q&amp;V2'!$I$9:$I$250,'Petroleum - Q&amp;V2'!$L$9:$L$250,B37,'Petroleum - Q&amp;V2'!$M$9:$M$250,2))*1000),"")</f>
        <v>10410026327.968742</v>
      </c>
      <c r="E37" s="912">
        <f t="shared" si="7"/>
        <v>395818.49155774683</v>
      </c>
      <c r="F37" s="1004">
        <f t="shared" si="11"/>
        <v>395818491.55774683</v>
      </c>
      <c r="G37" s="912">
        <f>IF(C37&lt;&gt;"",IF($F$42=$AB$4,SUMIF('Petroleum - Q&amp;V2'!$L$9:$L$130,'Petroleum - Gas Prices'!C37,'Petroleum - Q&amp;V2'!$K$9:$K$130)*1000000,
(SUMIFS('Petroleum - Q&amp;V2'!$K$9:$K$250,'Petroleum - Q&amp;V2'!$L$9:$L$250,A37,'Petroleum - Q&amp;V2'!$M$9:$M$250,3)+
SUMIFS('Petroleum - Q&amp;V2'!$K$9:$K$250,'Petroleum - Q&amp;V2'!$L$9:$L$250,A37,'Petroleum - Q&amp;V2'!$M$9:$M$250,4)+
SUMIFS('Petroleum - Q&amp;V2'!$K$9:$K$250,'Petroleum - Q&amp;V2'!$L$9:$L$250,B37,'Petroleum - Q&amp;V2'!$M$9:$M$250,1)+
SUMIFS('Petroleum - Q&amp;V2'!$K$9:$K$250,'Petroleum - Q&amp;V2'!$L$9:$L$250,B37,'Petroleum - Q&amp;V2'!$M$9:$M$250,2))*1000000),"")</f>
        <v>1607190186.2926521</v>
      </c>
      <c r="H37" s="1004">
        <f t="shared" si="12"/>
        <v>4.0604221898970465</v>
      </c>
      <c r="I37" s="642">
        <f t="shared" si="6"/>
        <v>-5.3618972188383449E-2</v>
      </c>
      <c r="J37" s="787">
        <f>IF(C37&lt;&gt;"",
IF($F$42="Historic Calendar Year",AVERAGEIF('Commodity Prices'!$A$9:$A$1300,C37,'Commodity Prices'!$X$9:$X$1300),
(SUMIFS('Commodity Prices'!$X$9:$X$1300,'Commodity Prices'!$A$9:$A$1300,A37,'Commodity Prices'!$B$9:$B$1300,3)+
SUMIFS('Commodity Prices'!$X$9:$X$1300,'Commodity Prices'!$A$9:$A$1300,A37,'Commodity Prices'!$B$9:$B$1300,4)+
SUMIFS('Commodity Prices'!$X$9:$X$1300,'Commodity Prices'!$A$9:$A$1300,B37,'Commodity Prices'!$B$9:$B$1300,1)+
SUMIFS('Commodity Prices'!$X$9:$X$1300,'Commodity Prices'!$A$9:$A$1300,B37,'Commodity Prices'!$B$9:$B$1300,2))/12
),"")</f>
        <v>0.71516666666666673</v>
      </c>
      <c r="K37" s="1120">
        <f t="shared" si="13"/>
        <v>2.9038786028080379</v>
      </c>
    </row>
    <row r="38" spans="1:11">
      <c r="A38" s="237">
        <v>2019</v>
      </c>
      <c r="B38" s="237">
        <v>2020</v>
      </c>
      <c r="C38" s="419" t="str">
        <f t="shared" si="1"/>
        <v>2019-20</v>
      </c>
      <c r="D38" s="1113">
        <f>IF(C38&lt;&gt;"",IF($F$42=$AB$4,SUMIF('Petroleum - Q&amp;V2'!$L$9:$L$130,'Petroleum - Gas Prices'!C38,'Petroleum - Q&amp;V2'!$I$9:$I$130)*1000,(SUMIFS('Petroleum - Q&amp;V2'!$I$9:$I$250,'Petroleum - Q&amp;V2'!$L$9:$L$250,A38,'Petroleum - Q&amp;V2'!$M$9:$M$250,3)+
SUMIFS('Petroleum - Q&amp;V2'!$I$9:$I$250,'Petroleum - Q&amp;V2'!$L$9:$L$250,A38,'Petroleum - Q&amp;V2'!$M$9:$M$250,4)+
SUMIFS('Petroleum - Q&amp;V2'!$I$9:$I$250,'Petroleum - Q&amp;V2'!$L$9:$L$250,B38,'Petroleum - Q&amp;V2'!$M$9:$M$250,1)+
SUMIFS('Petroleum - Q&amp;V2'!$I$9:$I$250,'Petroleum - Q&amp;V2'!$L$9:$L$250,B38,'Petroleum - Q&amp;V2'!$M$9:$M$250,2))*1000),"")</f>
        <v>11158952040.437332</v>
      </c>
      <c r="E38" s="1114">
        <f t="shared" ref="E38" si="14">IF(D38&lt;&gt;"",D38/26300,"")</f>
        <v>424294.75438925216</v>
      </c>
      <c r="F38" s="1113">
        <f t="shared" ref="F38" si="15">IF(D38&lt;&gt;"",E38*1000,"")</f>
        <v>424294754.38925219</v>
      </c>
      <c r="G38" s="1114">
        <f>IF(C38&lt;&gt;"",IF($F$42=$AB$4,SUMIF('Petroleum - Q&amp;V2'!$L$9:$L$130,'Petroleum - Gas Prices'!C38,'Petroleum - Q&amp;V2'!$K$9:$K$130)*1000000,
(SUMIFS('Petroleum - Q&amp;V2'!$K$9:$K$250,'Petroleum - Q&amp;V2'!$L$9:$L$250,A38,'Petroleum - Q&amp;V2'!$M$9:$M$250,3)+
SUMIFS('Petroleum - Q&amp;V2'!$K$9:$K$250,'Petroleum - Q&amp;V2'!$L$9:$L$250,A38,'Petroleum - Q&amp;V2'!$M$9:$M$250,4)+
SUMIFS('Petroleum - Q&amp;V2'!$K$9:$K$250,'Petroleum - Q&amp;V2'!$L$9:$L$250,B38,'Petroleum - Q&amp;V2'!$M$9:$M$250,1)+
SUMIFS('Petroleum - Q&amp;V2'!$K$9:$K$250,'Petroleum - Q&amp;V2'!$L$9:$L$250,B38,'Petroleum - Q&amp;V2'!$M$9:$M$250,2))*1000000),"")</f>
        <v>1773054729.5934143</v>
      </c>
      <c r="H38" s="1113">
        <f t="shared" ref="H38" si="16">IF(C38&lt;&gt;"",G38/F38,"")</f>
        <v>4.1788278343097227</v>
      </c>
      <c r="I38" s="640">
        <f t="shared" ref="I38" si="17">(H38-H37)/H37</f>
        <v>2.9160919450023599E-2</v>
      </c>
      <c r="J38" s="1118">
        <f>IF(C38&lt;&gt;"",
IF($F$42="Historic Calendar Year",AVERAGEIF('Commodity Prices'!$A$9:$A$1300,C38,'Commodity Prices'!$X$9:$X$1300),
(SUMIFS('Commodity Prices'!$X$9:$X$1300,'Commodity Prices'!$A$9:$A$1300,A38,'Commodity Prices'!$B$9:$B$1300,3)+
SUMIFS('Commodity Prices'!$X$9:$X$1300,'Commodity Prices'!$A$9:$A$1300,A38,'Commodity Prices'!$B$9:$B$1300,4)+
SUMIFS('Commodity Prices'!$X$9:$X$1300,'Commodity Prices'!$A$9:$A$1300,B38,'Commodity Prices'!$B$9:$B$1300,1)+
SUMIFS('Commodity Prices'!$X$9:$X$1300,'Commodity Prices'!$A$9:$A$1300,B38,'Commodity Prices'!$B$9:$B$1300,2))/12
),"")</f>
        <v>0.67165833333333336</v>
      </c>
      <c r="K38" s="1119">
        <f t="shared" ref="K38" si="18">IFERROR(H38*J38,"")</f>
        <v>2.8067445384794114</v>
      </c>
    </row>
    <row r="39" spans="1:11" s="237" customFormat="1" ht="15.75" thickBot="1">
      <c r="A39" s="237">
        <v>2020</v>
      </c>
      <c r="B39" s="237">
        <v>2021</v>
      </c>
      <c r="C39" s="1391" t="str">
        <f t="shared" si="1"/>
        <v>2020-21</v>
      </c>
      <c r="D39" s="1632">
        <f>IF(C39&lt;&gt;"",IF($F$42=$AB$4,SUMIF('Petroleum - Q&amp;V2'!$L$9:$L$130,'Petroleum - Gas Prices'!C39,'Petroleum - Q&amp;V2'!$I$9:$I$130)*1000,(SUMIFS('Petroleum - Q&amp;V2'!$I$9:$I$250,'Petroleum - Q&amp;V2'!$L$9:$L$250,A39,'Petroleum - Q&amp;V2'!$M$9:$M$250,3)+
SUMIFS('Petroleum - Q&amp;V2'!$I$9:$I$250,'Petroleum - Q&amp;V2'!$L$9:$L$250,A39,'Petroleum - Q&amp;V2'!$M$9:$M$250,4)+
SUMIFS('Petroleum - Q&amp;V2'!$I$9:$I$250,'Petroleum - Q&amp;V2'!$L$9:$L$250,B39,'Petroleum - Q&amp;V2'!$M$9:$M$250,1)+
SUMIFS('Petroleum - Q&amp;V2'!$I$9:$I$250,'Petroleum - Q&amp;V2'!$L$9:$L$250,B39,'Petroleum - Q&amp;V2'!$M$9:$M$250,2))*1000),"")</f>
        <v>10178574951.777349</v>
      </c>
      <c r="E39" s="1633">
        <f t="shared" ref="E39" si="19">IF(D39&lt;&gt;"",D39/26300,"")</f>
        <v>387018.05900294107</v>
      </c>
      <c r="F39" s="1632">
        <f t="shared" ref="F39" si="20">IF(D39&lt;&gt;"",E39*1000,"")</f>
        <v>387018059.00294107</v>
      </c>
      <c r="G39" s="1633">
        <f>IF(C39&lt;&gt;"",IF($F$42=$AB$4,SUMIF('Petroleum - Q&amp;V2'!$L$9:$L$130,'Petroleum - Gas Prices'!C39,'Petroleum - Q&amp;V2'!$K$9:$K$130)*1000000,
(SUMIFS('Petroleum - Q&amp;V2'!$K$9:$K$250,'Petroleum - Q&amp;V2'!$L$9:$L$250,A39,'Petroleum - Q&amp;V2'!$M$9:$M$250,3)+
SUMIFS('Petroleum - Q&amp;V2'!$K$9:$K$250,'Petroleum - Q&amp;V2'!$L$9:$L$250,A39,'Petroleum - Q&amp;V2'!$M$9:$M$250,4)+
SUMIFS('Petroleum - Q&amp;V2'!$K$9:$K$250,'Petroleum - Q&amp;V2'!$L$9:$L$250,B39,'Petroleum - Q&amp;V2'!$M$9:$M$250,1)+
SUMIFS('Petroleum - Q&amp;V2'!$K$9:$K$250,'Petroleum - Q&amp;V2'!$L$9:$L$250,B39,'Petroleum - Q&amp;V2'!$M$9:$M$250,2))*1000000),"")</f>
        <v>1471361564.6545691</v>
      </c>
      <c r="H39" s="1632">
        <f t="shared" ref="H39" si="21">IF(C39&lt;&gt;"",G39/F39,"")</f>
        <v>3.8017904602311794</v>
      </c>
      <c r="I39" s="1634">
        <f t="shared" ref="I39" si="22">(H39-H38)/H38</f>
        <v>-9.0225630015892733E-2</v>
      </c>
      <c r="J39" s="1635">
        <f>IF(C39&lt;&gt;"",
IF($F$42="Historic Calendar Year",AVERAGEIF('Commodity Prices'!$A$9:$A$1300,C39,'Commodity Prices'!$X$9:$X$1300),
(SUMIFS('Commodity Prices'!$X$9:$X$1300,'Commodity Prices'!$A$9:$A$1300,A39,'Commodity Prices'!$B$9:$B$1300,3)+
SUMIFS('Commodity Prices'!$X$9:$X$1300,'Commodity Prices'!$A$9:$A$1300,A39,'Commodity Prices'!$B$9:$B$1300,4)+
SUMIFS('Commodity Prices'!$X$9:$X$1300,'Commodity Prices'!$A$9:$A$1300,B39,'Commodity Prices'!$B$9:$B$1300,1)+
SUMIFS('Commodity Prices'!$X$9:$X$1300,'Commodity Prices'!$A$9:$A$1300,B39,'Commodity Prices'!$B$9:$B$1300,2))/12
),"")</f>
        <v>0.74744166666666667</v>
      </c>
      <c r="K39" s="1636">
        <f t="shared" ref="K39" si="23">IFERROR(H39*J39,"")</f>
        <v>2.8416165979126267</v>
      </c>
    </row>
    <row r="40" spans="1:11" s="237" customFormat="1" ht="15.75" thickBot="1">
      <c r="C40"/>
      <c r="D40" s="289"/>
      <c r="E40" s="379"/>
      <c r="F40" s="643"/>
      <c r="G40" s="644"/>
      <c r="H40" s="645"/>
      <c r="I40" s="641"/>
      <c r="J40" s="646"/>
      <c r="K40" s="634"/>
    </row>
    <row r="41" spans="1:11" ht="15.75" thickBot="1">
      <c r="C41" s="52"/>
      <c r="F41" s="2066" t="s">
        <v>506</v>
      </c>
      <c r="G41" s="2072"/>
      <c r="H41" s="2067"/>
    </row>
    <row r="42" spans="1:11" ht="15.75" thickBot="1">
      <c r="F42" s="1985" t="s">
        <v>464</v>
      </c>
      <c r="G42" s="1988"/>
      <c r="H42" s="1986"/>
    </row>
    <row r="43" spans="1:11">
      <c r="A43" s="330"/>
      <c r="B43" s="330"/>
      <c r="C43" s="330"/>
      <c r="F43" s="2013" t="s">
        <v>507</v>
      </c>
      <c r="G43" s="2013"/>
      <c r="H43" s="2013"/>
    </row>
    <row r="44" spans="1:11">
      <c r="A44" s="330"/>
      <c r="B44" s="411"/>
      <c r="C44" s="94"/>
      <c r="D44" s="237"/>
    </row>
    <row r="45" spans="1:11">
      <c r="A45" s="330"/>
      <c r="B45" s="330"/>
      <c r="C45" s="330"/>
      <c r="D45" s="56"/>
      <c r="F45" s="2073" t="str">
        <f>IF('Data Sources'!J4=12,IF(F42="Historic Calendar Year","","Most recent financial year is based on only the first half of the financial year."),IF(F42="Historic Calendar Year","Most recent calendar year is based on only the first half of the calendar year.",""))</f>
        <v/>
      </c>
      <c r="G45" s="2073"/>
      <c r="H45" s="2073"/>
    </row>
    <row r="46" spans="1:11">
      <c r="D46" s="237"/>
      <c r="F46" s="2073"/>
      <c r="G46" s="2073"/>
      <c r="H46" s="2073"/>
    </row>
    <row r="47" spans="1:11">
      <c r="D47" s="237"/>
    </row>
    <row r="48" spans="1:11" ht="15.75" thickBot="1">
      <c r="C48" s="2009" t="s">
        <v>713</v>
      </c>
      <c r="D48" s="2009"/>
      <c r="E48" s="2009"/>
      <c r="F48" s="2009"/>
    </row>
    <row r="49" spans="1:7" ht="30" customHeight="1" thickBot="1">
      <c r="A49" s="418"/>
      <c r="B49" s="412"/>
      <c r="C49" s="1108" t="s">
        <v>6</v>
      </c>
      <c r="D49" s="1361" t="s">
        <v>41</v>
      </c>
      <c r="E49" s="422" t="s">
        <v>717</v>
      </c>
      <c r="F49" s="421" t="s">
        <v>718</v>
      </c>
    </row>
    <row r="50" spans="1:7">
      <c r="A50" s="423">
        <f>DATE(D50,IF(C50="4",12,IF(C50="3",9,IF(C50="2",6,3))),1)</f>
        <v>40787</v>
      </c>
      <c r="B50" s="237">
        <f>LARGE('Petroleum - Q&amp;V2'!$A$9:$A$250,40)</f>
        <v>20113</v>
      </c>
      <c r="C50" s="1358" t="str">
        <f>RIGHT(B50,1)</f>
        <v>3</v>
      </c>
      <c r="D50" s="1360" t="str">
        <f>LEFT(B50,4)</f>
        <v>2011</v>
      </c>
      <c r="E50" s="1104">
        <f>VLOOKUP('Petroleum - Gas Prices'!B50,'Petroleum - Q&amp;V2'!$A$9:$N$250,14,FALSE)</f>
        <v>4.1681709329336512</v>
      </c>
      <c r="F50" s="1105">
        <v>4.05</v>
      </c>
    </row>
    <row r="51" spans="1:7">
      <c r="A51" s="423">
        <f t="shared" ref="A51:A89" si="24">DATE(D51,IF(C51="4",12,IF(C51="3",9,IF(C51="2",6,3))),1)</f>
        <v>40878</v>
      </c>
      <c r="B51" s="237">
        <f>LARGE('Petroleum - Q&amp;V2'!$A$9:$A$250,39)</f>
        <v>20114</v>
      </c>
      <c r="C51" s="1359" t="str">
        <f t="shared" ref="C51:C89" si="25">RIGHT(B51,1)</f>
        <v>4</v>
      </c>
      <c r="D51" s="1360" t="str">
        <f t="shared" ref="D51:D89" si="26">LEFT(B51,4)</f>
        <v>2011</v>
      </c>
      <c r="E51" s="1106">
        <f>VLOOKUP('Petroleum - Gas Prices'!B51,'Petroleum - Q&amp;V2'!$A$9:$N$250,14,FALSE)</f>
        <v>4.1484404742488969</v>
      </c>
      <c r="F51" s="1107">
        <v>4.1450000000000005</v>
      </c>
    </row>
    <row r="52" spans="1:7">
      <c r="A52" s="423">
        <f t="shared" si="24"/>
        <v>40969</v>
      </c>
      <c r="B52" s="237">
        <f>LARGE('Petroleum - Q&amp;V2'!$A$9:$A$250,38)</f>
        <v>20121</v>
      </c>
      <c r="C52" s="1359" t="str">
        <f t="shared" si="25"/>
        <v>1</v>
      </c>
      <c r="D52" s="1360" t="str">
        <f t="shared" si="26"/>
        <v>2012</v>
      </c>
      <c r="E52" s="1104">
        <f>VLOOKUP('Petroleum - Gas Prices'!B52,'Petroleum - Q&amp;V2'!$A$9:$N$250,14,FALSE)</f>
        <v>4.2466506124824406</v>
      </c>
      <c r="F52" s="1105">
        <v>4.21</v>
      </c>
    </row>
    <row r="53" spans="1:7">
      <c r="A53" s="423">
        <f t="shared" si="24"/>
        <v>41061</v>
      </c>
      <c r="B53" s="237">
        <f>LARGE('Petroleum - Q&amp;V2'!$A$9:$A$250,37)</f>
        <v>20122</v>
      </c>
      <c r="C53" s="1359" t="str">
        <f t="shared" si="25"/>
        <v>2</v>
      </c>
      <c r="D53" s="1360" t="str">
        <f t="shared" si="26"/>
        <v>2012</v>
      </c>
      <c r="E53" s="1106">
        <f>VLOOKUP('Petroleum - Gas Prices'!B53,'Petroleum - Q&amp;V2'!$A$9:$N$250,14,FALSE)</f>
        <v>4.231970586663552</v>
      </c>
      <c r="F53" s="1107">
        <v>4.7</v>
      </c>
    </row>
    <row r="54" spans="1:7">
      <c r="A54" s="423">
        <f t="shared" si="24"/>
        <v>41153</v>
      </c>
      <c r="B54" s="237">
        <f>LARGE('Petroleum - Q&amp;V2'!$A$9:$A$250,36)</f>
        <v>20123</v>
      </c>
      <c r="C54" s="1359" t="str">
        <f t="shared" si="25"/>
        <v>3</v>
      </c>
      <c r="D54" s="1360" t="str">
        <f t="shared" si="26"/>
        <v>2012</v>
      </c>
      <c r="E54" s="1104">
        <f>VLOOKUP('Petroleum - Gas Prices'!B54,'Petroleum - Q&amp;V2'!$A$9:$N$250,14,FALSE)</f>
        <v>4.3645289030058034</v>
      </c>
      <c r="F54" s="1105">
        <v>4.51</v>
      </c>
    </row>
    <row r="55" spans="1:7">
      <c r="A55" s="423">
        <f t="shared" si="24"/>
        <v>41244</v>
      </c>
      <c r="B55" s="237">
        <f>LARGE('Petroleum - Q&amp;V2'!$A$9:$A$250,35)</f>
        <v>20124</v>
      </c>
      <c r="C55" s="1359" t="str">
        <f t="shared" si="25"/>
        <v>4</v>
      </c>
      <c r="D55" s="1360" t="str">
        <f t="shared" si="26"/>
        <v>2012</v>
      </c>
      <c r="E55" s="1106">
        <f>VLOOKUP('Petroleum - Gas Prices'!B55,'Petroleum - Q&amp;V2'!$A$9:$N$250,14,FALSE)</f>
        <v>4.3297610724778695</v>
      </c>
      <c r="F55" s="1107">
        <v>4.3149999999999995</v>
      </c>
    </row>
    <row r="56" spans="1:7">
      <c r="A56" s="423">
        <f t="shared" si="24"/>
        <v>41334</v>
      </c>
      <c r="B56" s="237">
        <f>LARGE('Petroleum - Q&amp;V2'!$A$9:$A$250,34)</f>
        <v>20131</v>
      </c>
      <c r="C56" s="1359" t="str">
        <f t="shared" si="25"/>
        <v>1</v>
      </c>
      <c r="D56" s="1360" t="str">
        <f t="shared" si="26"/>
        <v>2013</v>
      </c>
      <c r="E56" s="1104">
        <f>VLOOKUP('Petroleum - Gas Prices'!B56,'Petroleum - Q&amp;V2'!$A$9:$N$250,14,FALSE)</f>
        <v>4.2212398386308392</v>
      </c>
      <c r="F56" s="1105">
        <v>4.74</v>
      </c>
    </row>
    <row r="57" spans="1:7">
      <c r="A57" s="423">
        <f t="shared" si="24"/>
        <v>41426</v>
      </c>
      <c r="B57" s="237">
        <f>LARGE('Petroleum - Q&amp;V2'!$A$9:$A$250,33)</f>
        <v>20132</v>
      </c>
      <c r="C57" s="1359" t="str">
        <f t="shared" si="25"/>
        <v>2</v>
      </c>
      <c r="D57" s="1360" t="str">
        <f t="shared" si="26"/>
        <v>2013</v>
      </c>
      <c r="E57" s="1106">
        <f>VLOOKUP('Petroleum - Gas Prices'!B57,'Petroleum - Q&amp;V2'!$A$9:$N$250,14,FALSE)</f>
        <v>4.409489820673107</v>
      </c>
      <c r="F57" s="1107">
        <v>4.49</v>
      </c>
    </row>
    <row r="58" spans="1:7">
      <c r="A58" s="423">
        <f t="shared" si="24"/>
        <v>41518</v>
      </c>
      <c r="B58" s="237">
        <f>LARGE('Petroleum - Q&amp;V2'!$A$9:$A$250,32)</f>
        <v>20133</v>
      </c>
      <c r="C58" s="1359" t="str">
        <f t="shared" si="25"/>
        <v>3</v>
      </c>
      <c r="D58" s="1360" t="str">
        <f t="shared" si="26"/>
        <v>2013</v>
      </c>
      <c r="E58" s="1104">
        <f>VLOOKUP('Petroleum - Gas Prices'!B58,'Petroleum - Q&amp;V2'!$A$9:$N$250,14,FALSE)</f>
        <v>4.3123824115462766</v>
      </c>
      <c r="F58" s="1105">
        <v>4.7449999999999992</v>
      </c>
    </row>
    <row r="59" spans="1:7">
      <c r="A59" s="423">
        <f t="shared" si="24"/>
        <v>41609</v>
      </c>
      <c r="B59" s="237">
        <f>LARGE('Petroleum - Q&amp;V2'!$A$9:$A$250,31)</f>
        <v>20134</v>
      </c>
      <c r="C59" s="1359" t="str">
        <f t="shared" si="25"/>
        <v>4</v>
      </c>
      <c r="D59" s="1360" t="str">
        <f t="shared" si="26"/>
        <v>2013</v>
      </c>
      <c r="E59" s="1106">
        <f>VLOOKUP('Petroleum - Gas Prices'!B59,'Petroleum - Q&amp;V2'!$A$9:$N$250,14,FALSE)</f>
        <v>4.6786472839104709</v>
      </c>
      <c r="F59" s="1107">
        <v>4.83</v>
      </c>
    </row>
    <row r="60" spans="1:7">
      <c r="A60" s="423">
        <f t="shared" si="24"/>
        <v>41699</v>
      </c>
      <c r="B60" s="237">
        <f>LARGE('Petroleum - Q&amp;V2'!$A$9:$A$250,30)</f>
        <v>20141</v>
      </c>
      <c r="C60" s="1359" t="str">
        <f t="shared" si="25"/>
        <v>1</v>
      </c>
      <c r="D60" s="1360" t="str">
        <f t="shared" si="26"/>
        <v>2014</v>
      </c>
      <c r="E60" s="1104">
        <f>VLOOKUP('Petroleum - Gas Prices'!B60,'Petroleum - Q&amp;V2'!$A$9:$N$250,14,FALSE)</f>
        <v>4.7077</v>
      </c>
      <c r="F60" s="1105">
        <v>5.125</v>
      </c>
    </row>
    <row r="61" spans="1:7">
      <c r="A61" s="423">
        <f t="shared" si="24"/>
        <v>41791</v>
      </c>
      <c r="B61" s="237">
        <f>LARGE('Petroleum - Q&amp;V2'!$A$9:$A$250,29)</f>
        <v>20142</v>
      </c>
      <c r="C61" s="1359" t="str">
        <f t="shared" si="25"/>
        <v>2</v>
      </c>
      <c r="D61" s="1360" t="str">
        <f t="shared" si="26"/>
        <v>2014</v>
      </c>
      <c r="E61" s="1106">
        <f>VLOOKUP('Petroleum - Gas Prices'!B61,'Petroleum - Q&amp;V2'!$A$9:$N$250,14,FALSE)</f>
        <v>4.9295292104925368</v>
      </c>
      <c r="F61" s="1107">
        <v>4.6050000000000004</v>
      </c>
    </row>
    <row r="62" spans="1:7">
      <c r="A62" s="423">
        <f t="shared" si="24"/>
        <v>41883</v>
      </c>
      <c r="B62" s="237">
        <f>LARGE('Petroleum - Q&amp;V2'!$A$9:$A$250,28)</f>
        <v>20143</v>
      </c>
      <c r="C62" s="1359" t="str">
        <f t="shared" si="25"/>
        <v>3</v>
      </c>
      <c r="D62" s="1360" t="str">
        <f t="shared" si="26"/>
        <v>2014</v>
      </c>
      <c r="E62" s="1104">
        <f>VLOOKUP('Petroleum - Gas Prices'!B62,'Petroleum - Q&amp;V2'!$A$9:$N$250,14,FALSE)</f>
        <v>4.8887781628142477</v>
      </c>
      <c r="F62" s="1105">
        <v>5.0049999999999999</v>
      </c>
    </row>
    <row r="63" spans="1:7">
      <c r="A63" s="423">
        <f t="shared" si="24"/>
        <v>41974</v>
      </c>
      <c r="B63" s="237">
        <f>LARGE('Petroleum - Q&amp;V2'!$A$9:$A$250,27)</f>
        <v>20144</v>
      </c>
      <c r="C63" s="1359" t="str">
        <f t="shared" si="25"/>
        <v>4</v>
      </c>
      <c r="D63" s="1360" t="str">
        <f t="shared" si="26"/>
        <v>2014</v>
      </c>
      <c r="E63" s="1106">
        <f>VLOOKUP('Petroleum - Gas Prices'!B63,'Petroleum - Q&amp;V2'!$A$9:$N$250,14,FALSE)</f>
        <v>4.8480040103555151</v>
      </c>
      <c r="F63" s="1107">
        <v>4.6099999999999994</v>
      </c>
    </row>
    <row r="64" spans="1:7">
      <c r="A64" s="423">
        <f t="shared" si="24"/>
        <v>42064</v>
      </c>
      <c r="B64" s="237">
        <f>LARGE('Petroleum - Q&amp;V2'!$A$9:$A$250,26)</f>
        <v>20151</v>
      </c>
      <c r="C64" s="1359" t="str">
        <f t="shared" si="25"/>
        <v>1</v>
      </c>
      <c r="D64" s="1360" t="str">
        <f t="shared" si="26"/>
        <v>2015</v>
      </c>
      <c r="E64" s="1104">
        <f>VLOOKUP('Petroleum - Gas Prices'!B64,'Petroleum - Q&amp;V2'!$A$9:$N$250,14,FALSE)</f>
        <v>4.8461122505566507</v>
      </c>
      <c r="F64" s="1105">
        <v>4.585</v>
      </c>
      <c r="G64" s="1716"/>
    </row>
    <row r="65" spans="1:7">
      <c r="A65" s="423">
        <f t="shared" si="24"/>
        <v>42156</v>
      </c>
      <c r="B65" s="237">
        <f>LARGE('Petroleum - Q&amp;V2'!$A$9:$A$250,25)</f>
        <v>20152</v>
      </c>
      <c r="C65" s="1359" t="str">
        <f t="shared" si="25"/>
        <v>2</v>
      </c>
      <c r="D65" s="1360" t="str">
        <f t="shared" si="26"/>
        <v>2015</v>
      </c>
      <c r="E65" s="1106">
        <f>VLOOKUP('Petroleum - Gas Prices'!B65,'Petroleum - Q&amp;V2'!$A$9:$N$250,14,FALSE)</f>
        <v>4.8089078565611905</v>
      </c>
      <c r="F65" s="1107">
        <v>4.57</v>
      </c>
      <c r="G65" s="1716"/>
    </row>
    <row r="66" spans="1:7">
      <c r="A66" s="423">
        <f t="shared" si="24"/>
        <v>42248</v>
      </c>
      <c r="B66" s="237">
        <f>LARGE('Petroleum - Q&amp;V2'!$A$9:$A$250,24)</f>
        <v>20153</v>
      </c>
      <c r="C66" s="1359" t="str">
        <f t="shared" si="25"/>
        <v>3</v>
      </c>
      <c r="D66" s="1360" t="str">
        <f t="shared" si="26"/>
        <v>2015</v>
      </c>
      <c r="E66" s="1104">
        <f>VLOOKUP('Petroleum - Gas Prices'!B66,'Petroleum - Q&amp;V2'!$A$9:$N$250,14,FALSE)</f>
        <v>4.9058702326383257</v>
      </c>
      <c r="F66" s="1105">
        <v>4.76</v>
      </c>
      <c r="G66" s="1716"/>
    </row>
    <row r="67" spans="1:7">
      <c r="A67" s="423">
        <f t="shared" si="24"/>
        <v>42339</v>
      </c>
      <c r="B67" s="237">
        <f>LARGE('Petroleum - Q&amp;V2'!$A$9:$A$250,23)</f>
        <v>20154</v>
      </c>
      <c r="C67" s="1359" t="str">
        <f t="shared" si="25"/>
        <v>4</v>
      </c>
      <c r="D67" s="1360" t="str">
        <f t="shared" si="26"/>
        <v>2015</v>
      </c>
      <c r="E67" s="1106">
        <f>VLOOKUP('Petroleum - Gas Prices'!B67,'Petroleum - Q&amp;V2'!$A$9:$N$250,14,FALSE)</f>
        <v>4.9922471050309447</v>
      </c>
      <c r="F67" s="1107">
        <v>5.0088375000000012</v>
      </c>
      <c r="G67" s="1716"/>
    </row>
    <row r="68" spans="1:7">
      <c r="A68" s="423">
        <f t="shared" si="24"/>
        <v>42430</v>
      </c>
      <c r="B68" s="237">
        <f>LARGE('Petroleum - Q&amp;V2'!$A$9:$A$250,22)</f>
        <v>20161</v>
      </c>
      <c r="C68" s="1359" t="str">
        <f t="shared" si="25"/>
        <v>1</v>
      </c>
      <c r="D68" s="1360" t="str">
        <f t="shared" si="26"/>
        <v>2016</v>
      </c>
      <c r="E68" s="1104">
        <f>VLOOKUP('Petroleum - Gas Prices'!B68,'Petroleum - Q&amp;V2'!$A$9:$N$250,14,FALSE)</f>
        <v>4.7568028355790481</v>
      </c>
      <c r="F68" s="1105">
        <v>5.3651362500000017</v>
      </c>
      <c r="G68" s="1716"/>
    </row>
    <row r="69" spans="1:7">
      <c r="A69" s="423">
        <f t="shared" si="24"/>
        <v>42522</v>
      </c>
      <c r="B69" s="237">
        <f>LARGE('Petroleum - Q&amp;V2'!$A$9:$A$250,21)</f>
        <v>20162</v>
      </c>
      <c r="C69" s="1359" t="str">
        <f t="shared" si="25"/>
        <v>2</v>
      </c>
      <c r="D69" s="1360" t="str">
        <f t="shared" si="26"/>
        <v>2016</v>
      </c>
      <c r="E69" s="1106">
        <f>VLOOKUP('Petroleum - Gas Prices'!B69,'Petroleum - Q&amp;V2'!$A$9:$N$250,14,FALSE)</f>
        <v>4.9911008406418791</v>
      </c>
      <c r="F69" s="1107">
        <v>5.1895687500000003</v>
      </c>
      <c r="G69" s="1716"/>
    </row>
    <row r="70" spans="1:7">
      <c r="A70" s="423">
        <f t="shared" si="24"/>
        <v>42614</v>
      </c>
      <c r="B70" s="237">
        <f>LARGE('Petroleum - Q&amp;V2'!$A$9:$A$250,20)</f>
        <v>20163</v>
      </c>
      <c r="C70" s="1359" t="str">
        <f t="shared" si="25"/>
        <v>3</v>
      </c>
      <c r="D70" s="1360" t="str">
        <f t="shared" si="26"/>
        <v>2016</v>
      </c>
      <c r="E70" s="1104">
        <f>VLOOKUP('Petroleum - Gas Prices'!B70,'Petroleum - Q&amp;V2'!$A$9:$N$250,14,FALSE)</f>
        <v>5.116182081598228</v>
      </c>
      <c r="F70" s="1105">
        <v>5.0862937500000012</v>
      </c>
      <c r="G70" s="1716"/>
    </row>
    <row r="71" spans="1:7">
      <c r="A71" s="423">
        <f t="shared" si="24"/>
        <v>42705</v>
      </c>
      <c r="B71" s="237">
        <f>LARGE('Petroleum - Q&amp;V2'!$A$9:$A$250,19)</f>
        <v>20164</v>
      </c>
      <c r="C71" s="1359" t="str">
        <f t="shared" si="25"/>
        <v>4</v>
      </c>
      <c r="D71" s="1360" t="str">
        <f t="shared" si="26"/>
        <v>2016</v>
      </c>
      <c r="E71" s="1106">
        <f>VLOOKUP('Petroleum - Gas Prices'!B71,'Petroleum - Q&amp;V2'!$A$9:$N$250,14,FALSE)</f>
        <v>4.9957045537060383</v>
      </c>
      <c r="F71" s="1107">
        <v>5.1487540092354607</v>
      </c>
      <c r="G71" s="1716"/>
    </row>
    <row r="72" spans="1:7">
      <c r="A72" s="423">
        <f t="shared" si="24"/>
        <v>42795</v>
      </c>
      <c r="B72" s="237">
        <f>LARGE('Petroleum - Q&amp;V2'!$A$9:$A$250,18)</f>
        <v>20171</v>
      </c>
      <c r="C72" s="1359" t="str">
        <f t="shared" si="25"/>
        <v>1</v>
      </c>
      <c r="D72" s="1360" t="str">
        <f t="shared" si="26"/>
        <v>2017</v>
      </c>
      <c r="E72" s="1104">
        <v>5</v>
      </c>
      <c r="F72" s="1105">
        <v>6.0101425126816963</v>
      </c>
      <c r="G72" s="1716"/>
    </row>
    <row r="73" spans="1:7">
      <c r="A73" s="423">
        <f t="shared" si="24"/>
        <v>42887</v>
      </c>
      <c r="B73" s="237">
        <f>LARGE('Petroleum - Q&amp;V2'!$A$9:$A$250,17)</f>
        <v>20172</v>
      </c>
      <c r="C73" s="1359" t="str">
        <f t="shared" si="25"/>
        <v>2</v>
      </c>
      <c r="D73" s="1360" t="str">
        <f t="shared" si="26"/>
        <v>2017</v>
      </c>
      <c r="E73" s="1106">
        <v>4.8499999999999996</v>
      </c>
      <c r="F73" s="1107">
        <v>6.2940091785901151</v>
      </c>
      <c r="G73" s="1716"/>
    </row>
    <row r="74" spans="1:7">
      <c r="A74" s="423">
        <f t="shared" si="24"/>
        <v>42979</v>
      </c>
      <c r="B74" s="237">
        <f>LARGE('Petroleum - Q&amp;V2'!$A$9:$A$250,16)</f>
        <v>20173</v>
      </c>
      <c r="C74" s="1359" t="str">
        <f t="shared" si="25"/>
        <v>3</v>
      </c>
      <c r="D74" s="1360" t="str">
        <f t="shared" si="26"/>
        <v>2017</v>
      </c>
      <c r="E74" s="1104">
        <f>VLOOKUP('Petroleum - Gas Prices'!B74,'Petroleum - Q&amp;V2'!$A$9:$N$250,14,FALSE)</f>
        <v>4.7806579797508144</v>
      </c>
      <c r="F74" s="1105">
        <v>7.4245815893633003</v>
      </c>
      <c r="G74" s="1716"/>
    </row>
    <row r="75" spans="1:7">
      <c r="A75" s="423">
        <f t="shared" si="24"/>
        <v>43070</v>
      </c>
      <c r="B75" s="237">
        <f>LARGE('Petroleum - Q&amp;V2'!$A$9:$A$250,15)</f>
        <v>20174</v>
      </c>
      <c r="C75" s="1359" t="str">
        <f t="shared" si="25"/>
        <v>4</v>
      </c>
      <c r="D75" s="1360" t="str">
        <f t="shared" si="26"/>
        <v>2017</v>
      </c>
      <c r="E75" s="1106">
        <f>VLOOKUP('Petroleum - Gas Prices'!B75,'Petroleum - Q&amp;V2'!$A$9:$N$250,14,FALSE)</f>
        <v>4.13787361068007</v>
      </c>
      <c r="F75" s="1107">
        <v>7.5811976808989812</v>
      </c>
      <c r="G75" s="1716"/>
    </row>
    <row r="76" spans="1:7">
      <c r="A76" s="423">
        <f t="shared" si="24"/>
        <v>43160</v>
      </c>
      <c r="B76" s="237">
        <f>LARGE('Petroleum - Q&amp;V2'!$A$9:$A$250,14)</f>
        <v>20181</v>
      </c>
      <c r="C76" s="1359" t="str">
        <f t="shared" si="25"/>
        <v>1</v>
      </c>
      <c r="D76" s="1360" t="str">
        <f t="shared" si="26"/>
        <v>2018</v>
      </c>
      <c r="E76" s="1104">
        <f>VLOOKUP('Petroleum - Gas Prices'!B76,'Petroleum - Q&amp;V2'!$A$9:$N$250,14,FALSE)</f>
        <v>4.1019880941348799</v>
      </c>
      <c r="F76" s="1105">
        <v>8.3349126214144373</v>
      </c>
      <c r="G76" s="1716"/>
    </row>
    <row r="77" spans="1:7">
      <c r="A77" s="423">
        <f t="shared" si="24"/>
        <v>43252</v>
      </c>
      <c r="B77" s="237">
        <f>LARGE('Petroleum - Q&amp;V2'!$A$9:$A$250,13)</f>
        <v>20182</v>
      </c>
      <c r="C77" s="1359" t="str">
        <f t="shared" si="25"/>
        <v>2</v>
      </c>
      <c r="D77" s="1360" t="str">
        <f t="shared" si="26"/>
        <v>2018</v>
      </c>
      <c r="E77" s="1106">
        <v>4.0999999999999996</v>
      </c>
      <c r="F77" s="1107">
        <v>8.4425861843452186</v>
      </c>
      <c r="G77" s="1716"/>
    </row>
    <row r="78" spans="1:7">
      <c r="A78" s="423">
        <f t="shared" si="24"/>
        <v>43344</v>
      </c>
      <c r="B78" s="237">
        <f>LARGE('Petroleum - Q&amp;V2'!$A$9:$A$250,12)</f>
        <v>20183</v>
      </c>
      <c r="C78" s="1359" t="str">
        <f t="shared" si="25"/>
        <v>3</v>
      </c>
      <c r="D78" s="1360" t="str">
        <f t="shared" si="26"/>
        <v>2018</v>
      </c>
      <c r="E78" s="1104">
        <v>4.2626040379226602</v>
      </c>
      <c r="F78" s="1105">
        <v>8.7019815859511862</v>
      </c>
    </row>
    <row r="79" spans="1:7">
      <c r="A79" s="423">
        <f t="shared" si="24"/>
        <v>43435</v>
      </c>
      <c r="B79" s="237">
        <f>LARGE('Petroleum - Q&amp;V2'!$A$9:$A$250,11)</f>
        <v>20184</v>
      </c>
      <c r="C79" s="1359" t="str">
        <f t="shared" si="25"/>
        <v>4</v>
      </c>
      <c r="D79" s="1360" t="str">
        <f t="shared" si="26"/>
        <v>2018</v>
      </c>
      <c r="E79" s="1106">
        <f>VLOOKUP('Petroleum - Gas Prices'!B79,'Petroleum - Q&amp;V2'!$A$9:$N$250,14,FALSE)</f>
        <v>3.9757429946109046</v>
      </c>
      <c r="F79" s="1107">
        <v>8.8634919303473545</v>
      </c>
    </row>
    <row r="80" spans="1:7">
      <c r="A80" s="423">
        <f t="shared" si="24"/>
        <v>43525</v>
      </c>
      <c r="B80" s="237">
        <f>LARGE('Petroleum - Q&amp;V2'!$A$9:$A$250,10)</f>
        <v>20191</v>
      </c>
      <c r="C80" s="1359" t="str">
        <f t="shared" si="25"/>
        <v>1</v>
      </c>
      <c r="D80" s="1360" t="str">
        <f t="shared" si="26"/>
        <v>2019</v>
      </c>
      <c r="E80" s="1104">
        <f>VLOOKUP('Petroleum - Gas Prices'!B80,'Petroleum - Q&amp;V2'!$A$9:$N$250,14,FALSE)</f>
        <v>4.0251547815425246</v>
      </c>
      <c r="F80" s="1105">
        <v>8.5894137701599149</v>
      </c>
    </row>
    <row r="81" spans="1:11">
      <c r="A81" s="423">
        <f t="shared" si="24"/>
        <v>43617</v>
      </c>
      <c r="B81" s="237">
        <f>LARGE('Petroleum - Q&amp;V2'!$A$9:$A$250,9)</f>
        <v>20192</v>
      </c>
      <c r="C81" s="1359" t="str">
        <f t="shared" si="25"/>
        <v>2</v>
      </c>
      <c r="D81" s="1360" t="str">
        <f t="shared" si="26"/>
        <v>2019</v>
      </c>
      <c r="E81" s="1106">
        <f>VLOOKUP('Petroleum - Gas Prices'!B81,'Petroleum - Q&amp;V2'!$A$9:$N$250,14,FALSE)</f>
        <v>4.0493282679332747</v>
      </c>
      <c r="F81" s="1107">
        <v>8.8928574475102948</v>
      </c>
    </row>
    <row r="82" spans="1:11">
      <c r="A82" s="423">
        <f t="shared" si="24"/>
        <v>43709</v>
      </c>
      <c r="B82" s="237">
        <f>LARGE('Petroleum - Q&amp;V2'!$A$9:$A$250,8)</f>
        <v>20193</v>
      </c>
      <c r="C82" s="1359" t="str">
        <f t="shared" si="25"/>
        <v>3</v>
      </c>
      <c r="D82" s="1360" t="str">
        <f t="shared" si="26"/>
        <v>2019</v>
      </c>
      <c r="E82" s="1104">
        <f>VLOOKUP('Petroleum - Gas Prices'!B82,'Petroleum - Q&amp;V2'!$A$9:$N$250,14,FALSE)</f>
        <v>4.1650565020755268</v>
      </c>
      <c r="F82" s="1105">
        <v>9.0788390562089134</v>
      </c>
    </row>
    <row r="83" spans="1:11">
      <c r="A83" s="423">
        <f t="shared" si="24"/>
        <v>43800</v>
      </c>
      <c r="B83" s="237">
        <f>LARGE('Petroleum - Q&amp;V2'!$A$9:$A$250,7)</f>
        <v>20194</v>
      </c>
      <c r="C83" s="1359" t="str">
        <f t="shared" si="25"/>
        <v>4</v>
      </c>
      <c r="D83" s="1360" t="str">
        <f t="shared" si="26"/>
        <v>2019</v>
      </c>
      <c r="E83" s="1106">
        <f>VLOOKUP('Petroleum - Gas Prices'!B83,'Petroleum - Q&amp;V2'!$A$9:$N$250,14,FALSE)</f>
        <v>4.0968164326009333</v>
      </c>
      <c r="F83" s="1107">
        <v>8.682404574509226</v>
      </c>
    </row>
    <row r="84" spans="1:11">
      <c r="A84" s="423">
        <f t="shared" si="24"/>
        <v>43891</v>
      </c>
      <c r="B84" s="237">
        <f>LARGE('Petroleum - Q&amp;V2'!$A$9:$A$250,6)</f>
        <v>20201</v>
      </c>
      <c r="C84" s="1359" t="str">
        <f t="shared" si="25"/>
        <v>1</v>
      </c>
      <c r="D84" s="1360" t="str">
        <f t="shared" si="26"/>
        <v>2020</v>
      </c>
      <c r="E84" s="1104">
        <f>VLOOKUP('Petroleum - Gas Prices'!B84,'Petroleum - Q&amp;V2'!$A$9:$N$250,14,FALSE)</f>
        <v>4.1754248885045726</v>
      </c>
      <c r="F84" s="1105">
        <v>9.0886275619298935</v>
      </c>
    </row>
    <row r="85" spans="1:11">
      <c r="A85" s="423">
        <f t="shared" si="24"/>
        <v>43983</v>
      </c>
      <c r="B85" s="237">
        <f>LARGE('Petroleum - Q&amp;V2'!$A$9:$A$250,5)</f>
        <v>20202</v>
      </c>
      <c r="C85" s="1359" t="str">
        <f t="shared" si="25"/>
        <v>2</v>
      </c>
      <c r="D85" s="1360" t="str">
        <f t="shared" si="26"/>
        <v>2020</v>
      </c>
      <c r="E85" s="1106">
        <f>VLOOKUP('Petroleum - Gas Prices'!B85,'Petroleum - Q&amp;V2'!$A$9:$N$250,14,FALSE)</f>
        <v>4.2718104111614386</v>
      </c>
      <c r="F85" s="1107">
        <v>8.4866344600896273</v>
      </c>
    </row>
    <row r="86" spans="1:11">
      <c r="A86" s="423">
        <f t="shared" si="24"/>
        <v>44075</v>
      </c>
      <c r="B86" s="237">
        <f>LARGE('Petroleum - Q&amp;V2'!$A$9:$A$250,4)</f>
        <v>20203</v>
      </c>
      <c r="C86" s="1359" t="str">
        <f t="shared" si="25"/>
        <v>3</v>
      </c>
      <c r="D86" s="1360" t="str">
        <f t="shared" si="26"/>
        <v>2020</v>
      </c>
      <c r="E86" s="1104">
        <f>VLOOKUP('Petroleum - Gas Prices'!B86,'Petroleum - Q&amp;V2'!$A$9:$N$250,14,FALSE)</f>
        <v>3.5861203301474798</v>
      </c>
      <c r="F86" s="1105">
        <v>7.6399287152248601</v>
      </c>
    </row>
    <row r="87" spans="1:11">
      <c r="A87" s="423">
        <f t="shared" si="24"/>
        <v>44166</v>
      </c>
      <c r="B87" s="237">
        <f>LARGE('Petroleum - Q&amp;V2'!$A$9:$A$250,3)</f>
        <v>20204</v>
      </c>
      <c r="C87" s="1359" t="str">
        <f t="shared" si="25"/>
        <v>4</v>
      </c>
      <c r="D87" s="1360" t="str">
        <f t="shared" si="26"/>
        <v>2020</v>
      </c>
      <c r="E87" s="1106">
        <f>VLOOKUP('Petroleum - Gas Prices'!B87,'Petroleum - Q&amp;V2'!$A$9:$N$250,14,FALSE)</f>
        <v>3.9296464231638955</v>
      </c>
      <c r="F87" s="1107">
        <v>8.0118919326220972</v>
      </c>
    </row>
    <row r="88" spans="1:11">
      <c r="A88" s="423">
        <f t="shared" si="24"/>
        <v>44256</v>
      </c>
      <c r="B88" s="237">
        <f>LARGE('Petroleum - Q&amp;V2'!$A$9:$A$250,2)</f>
        <v>20211</v>
      </c>
      <c r="C88" s="1359" t="str">
        <f t="shared" si="25"/>
        <v>1</v>
      </c>
      <c r="D88" s="1360" t="str">
        <f t="shared" si="26"/>
        <v>2021</v>
      </c>
      <c r="E88" s="1719">
        <f>VLOOKUP('Petroleum - Gas Prices'!B88,'Petroleum - Q&amp;V2'!$A$9:$N$250,14,FALSE)</f>
        <v>3.8289264488294226</v>
      </c>
      <c r="F88" s="1105">
        <v>8.4425861843452186</v>
      </c>
    </row>
    <row r="89" spans="1:11" s="237" customFormat="1" ht="15.75" thickBot="1">
      <c r="A89" s="423">
        <f t="shared" si="24"/>
        <v>44348</v>
      </c>
      <c r="B89" s="237">
        <f>LARGE('Petroleum - Q&amp;V2'!$A$9:$A$250,1)</f>
        <v>20212</v>
      </c>
      <c r="C89" s="1696" t="str">
        <f t="shared" si="25"/>
        <v>2</v>
      </c>
      <c r="D89" s="1697" t="str">
        <f t="shared" si="26"/>
        <v>2021</v>
      </c>
      <c r="E89" s="1720">
        <f>VLOOKUP('Petroleum - Gas Prices'!B89,'Petroleum - Q&amp;V2'!$A$9:$N$250,14,FALSE)</f>
        <v>3.8744920886330894</v>
      </c>
      <c r="F89" s="1721">
        <v>8.907540206091765</v>
      </c>
      <c r="G89" s="344"/>
      <c r="H89" s="344"/>
      <c r="I89" s="344"/>
      <c r="J89" s="344"/>
      <c r="K89" s="344"/>
    </row>
    <row r="90" spans="1:11" s="237" customFormat="1">
      <c r="A90" s="638"/>
      <c r="B90" s="330"/>
      <c r="C90" s="94"/>
      <c r="D90" s="94"/>
      <c r="E90" s="647"/>
      <c r="F90" s="1718"/>
      <c r="G90" s="344"/>
      <c r="H90" s="344"/>
      <c r="I90" s="344"/>
      <c r="J90" s="344"/>
      <c r="K90" s="344"/>
    </row>
    <row r="91" spans="1:11" s="237" customFormat="1">
      <c r="A91" s="638"/>
      <c r="B91" s="330"/>
      <c r="C91" s="94"/>
      <c r="D91" s="94"/>
      <c r="E91" s="647"/>
      <c r="F91" s="647"/>
      <c r="G91" s="344"/>
      <c r="H91" s="344"/>
      <c r="I91" s="344"/>
      <c r="J91" s="344"/>
      <c r="K91" s="344"/>
    </row>
    <row r="92" spans="1:11">
      <c r="A92" s="638"/>
      <c r="B92" s="330"/>
      <c r="C92" s="94"/>
      <c r="D92" s="94"/>
      <c r="E92" s="647"/>
      <c r="F92" s="647"/>
    </row>
    <row r="93" spans="1:11">
      <c r="A93" s="638"/>
      <c r="B93" s="330"/>
      <c r="C93" s="94"/>
      <c r="D93" s="94"/>
      <c r="E93" s="647"/>
      <c r="F93" s="647"/>
    </row>
  </sheetData>
  <mergeCells count="11">
    <mergeCell ref="F41:H41"/>
    <mergeCell ref="F42:H42"/>
    <mergeCell ref="F43:H43"/>
    <mergeCell ref="C6:K6"/>
    <mergeCell ref="C48:F48"/>
    <mergeCell ref="F45:H46"/>
    <mergeCell ref="C5:K5"/>
    <mergeCell ref="H7:H8"/>
    <mergeCell ref="I7:I8"/>
    <mergeCell ref="J7:J8"/>
    <mergeCell ref="K7:K8"/>
  </mergeCells>
  <dataValidations disablePrompts="1" xWindow="703" yWindow="947" count="1">
    <dataValidation type="list" allowBlank="1" showInputMessage="1" showErrorMessage="1" promptTitle="Select a Period:" prompt="Select Financial or Calendar years." sqref="F42:H42">
      <formula1>$AB$3:$AB$4</formula1>
    </dataValidation>
  </dataValidation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Z81"/>
  <sheetViews>
    <sheetView showGridLines="0" workbookViewId="0">
      <selection activeCell="H29" sqref="H29"/>
    </sheetView>
  </sheetViews>
  <sheetFormatPr defaultRowHeight="15"/>
  <cols>
    <col min="1" max="1" width="24.5703125" style="434" customWidth="1"/>
    <col min="2" max="2" width="5.28515625" style="434" bestFit="1" customWidth="1"/>
    <col min="3" max="3" width="16.42578125" style="434" bestFit="1" customWidth="1"/>
    <col min="4" max="4" width="15.140625" style="434" bestFit="1" customWidth="1"/>
    <col min="5" max="14" width="15.42578125" style="434" customWidth="1"/>
    <col min="15" max="22" width="9.140625" style="434"/>
    <col min="23" max="23" width="17.85546875" style="434" customWidth="1"/>
    <col min="24" max="16384" width="9.140625" style="434"/>
  </cols>
  <sheetData>
    <row r="1" spans="1:26">
      <c r="S1" s="169"/>
      <c r="T1" s="169"/>
      <c r="U1" s="169"/>
      <c r="V1" s="426" t="s">
        <v>4</v>
      </c>
      <c r="W1" s="426" t="str">
        <f>"Petroleum Exports "&amp;B6&amp;CHAR(10)&amp;"Total Value: $"&amp;TEXT(C21,"#,###")</f>
        <v>Petroleum Exports 2020-21
Total Value: $21,845,484,960</v>
      </c>
      <c r="X1" s="426" t="s">
        <v>369</v>
      </c>
      <c r="Y1" s="426" t="str">
        <f>IF($B$5="Calendar Year",MAX('Commodity Prices'!$AJ$9:$AJ$3502),CONCATENATE(MAX('Commodity Prices'!$AV$9:$AV$3487),"-",VALUE(RIGHT(MAX('Commodity Prices'!$AV$9:$AV$3487),2))+1))</f>
        <v>2020-21</v>
      </c>
      <c r="Z1" s="420">
        <f t="array" ref="Z1">MIN(IF('Commodity Prices'!$AI$9:$AI$3502=V1,'Commodity Prices'!$AJ$9:$AJ$3502))</f>
        <v>2007</v>
      </c>
    </row>
    <row r="2" spans="1:26">
      <c r="S2" s="169"/>
      <c r="T2" s="169"/>
      <c r="U2" s="169"/>
      <c r="V2" s="426"/>
      <c r="W2" s="426" t="str">
        <f>IF($B$5=X1,IF(RIGHT(LEFT(B6,5),1)="-","Mismatch Error",""),IF(LEN(B6)=4,"Mismatch Error",""))</f>
        <v/>
      </c>
      <c r="X2" s="426" t="s">
        <v>382</v>
      </c>
      <c r="Y2" s="426" t="str">
        <f t="shared" ref="Y2:Y4" si="0">IFERROR(IF($B$5=$X$1,IF($Z$1&lt;=(Y1-1),Y1-1,""),IF($Z$1=VALUE(LEFT(Y1,4)),"",CONCATENATE(VALUE(LEFT(Y1,4))-1,"-",RIGHT(LEFT(Y1,4),2)))),"")</f>
        <v>2019-20</v>
      </c>
      <c r="Z2" s="420"/>
    </row>
    <row r="3" spans="1:26">
      <c r="S3" s="169"/>
      <c r="T3" s="169"/>
      <c r="U3" s="169"/>
      <c r="V3" s="169"/>
      <c r="W3" s="437"/>
      <c r="X3" s="437"/>
      <c r="Y3" s="426" t="str">
        <f t="shared" si="0"/>
        <v>2018-19</v>
      </c>
      <c r="Z3" s="420"/>
    </row>
    <row r="4" spans="1:26" ht="21" customHeight="1" thickBot="1">
      <c r="S4" s="169"/>
      <c r="T4" s="169"/>
      <c r="U4" s="169"/>
      <c r="V4" s="169"/>
      <c r="W4" s="437"/>
      <c r="X4" s="437"/>
      <c r="Y4" s="426" t="str">
        <f t="shared" si="0"/>
        <v>2017-18</v>
      </c>
      <c r="Z4" s="420"/>
    </row>
    <row r="5" spans="1:26" ht="15.75" thickBot="1">
      <c r="A5" s="32" t="s">
        <v>383</v>
      </c>
      <c r="B5" s="2074" t="s">
        <v>382</v>
      </c>
      <c r="C5" s="1955"/>
      <c r="D5" s="1956"/>
      <c r="E5" s="425"/>
      <c r="S5" s="169"/>
      <c r="T5" s="169"/>
      <c r="U5" s="169"/>
      <c r="V5" s="169"/>
      <c r="W5" s="437"/>
      <c r="X5" s="437"/>
      <c r="Y5" s="426" t="str">
        <f>IFERROR(IF($B$5=$X$1,IF($Z$1&lt;=(Y4-1),Y4-1,""),IF($Z$1=VALUE(LEFT(Y4,4)),"",CONCATENATE(VALUE(LEFT(Y4,4))-1,"-",RIGHT(LEFT(Y4,4),2)))),"")</f>
        <v>2016-17</v>
      </c>
      <c r="Z5" s="420"/>
    </row>
    <row r="6" spans="1:26" ht="15.75" thickBot="1">
      <c r="A6" s="32" t="s">
        <v>383</v>
      </c>
      <c r="B6" s="2074" t="s">
        <v>808</v>
      </c>
      <c r="C6" s="1955"/>
      <c r="D6" s="1956"/>
      <c r="E6" s="425"/>
      <c r="S6" s="169"/>
      <c r="T6" s="169"/>
      <c r="U6" s="169"/>
      <c r="V6" s="169"/>
      <c r="W6" s="437"/>
      <c r="X6" s="437"/>
      <c r="Y6" s="426" t="str">
        <f t="shared" ref="Y6:Y25" si="1">IFERROR(IF($B$5=$X$1,IF($Z$1&lt;=(Y5-1),Y5-1,""),IF($Z$1=VALUE(LEFT(Y5,4)),"",CONCATENATE(VALUE(LEFT(Y5,4))-1,"-",RIGHT(LEFT(Y5,4),2)))),"")</f>
        <v>2015-16</v>
      </c>
      <c r="Z6" s="420"/>
    </row>
    <row r="7" spans="1:26">
      <c r="S7" s="169"/>
      <c r="T7" s="169"/>
      <c r="U7" s="169"/>
      <c r="V7" s="169"/>
      <c r="W7" s="437"/>
      <c r="X7" s="437"/>
      <c r="Y7" s="426" t="str">
        <f t="shared" si="1"/>
        <v>2014-15</v>
      </c>
      <c r="Z7" s="420"/>
    </row>
    <row r="8" spans="1:26" ht="15.75" thickBot="1">
      <c r="A8" s="1981" t="str">
        <f>IF($B$6="Click here to select an option","Select a year above for display.",CONCATENATE("Western Australian Petroleum Exports ",B6))</f>
        <v>Western Australian Petroleum Exports 2020-21</v>
      </c>
      <c r="B8" s="1981"/>
      <c r="C8" s="1981"/>
      <c r="D8" s="1981"/>
      <c r="S8" s="169"/>
      <c r="T8" s="169"/>
      <c r="U8" s="169"/>
      <c r="V8" s="169"/>
      <c r="W8" s="437"/>
      <c r="X8" s="437"/>
      <c r="Y8" s="426" t="str">
        <f t="shared" si="1"/>
        <v>2013-14</v>
      </c>
      <c r="Z8" s="420"/>
    </row>
    <row r="9" spans="1:26" ht="15.75" thickBot="1">
      <c r="A9" s="1127" t="s">
        <v>37</v>
      </c>
      <c r="B9" s="1060" t="s">
        <v>38</v>
      </c>
      <c r="C9" s="1061" t="s">
        <v>678</v>
      </c>
      <c r="D9" s="652" t="s">
        <v>40</v>
      </c>
      <c r="S9" s="169"/>
      <c r="T9" s="169"/>
      <c r="U9" s="169"/>
      <c r="V9" s="169"/>
      <c r="W9" s="437"/>
      <c r="X9" s="437"/>
      <c r="Y9" s="426" t="str">
        <f t="shared" si="1"/>
        <v>2012-13</v>
      </c>
      <c r="Z9" s="420"/>
    </row>
    <row r="10" spans="1:26">
      <c r="A10" s="1128" t="str">
        <f t="array" ref="A10">IF($W$2="Mismatch Error","Mismatch Error",IF($B$5=$X$1,INDEX('Commodity Prices'!$AI$9:$AN$3502,MATCH(1,(('Commodity Prices'!$AI$9:$AI$3502)="Petroleum")*(('Commodity Prices'!$AJ$9:$AJ$3502)=$B$6)*(('Commodity Prices'!$AL$9:$AL$3502)=B10),0),3),INDEX('Commodity Prices'!$AP$9:$AU$3487,MATCH(1,(('Commodity Prices'!$AP$9:$AP$3487)="Petroleum")*(('Commodity Prices'!$AQ$9:$AQ$3487)=$B$6)*(('Commodity Prices'!$AS$9:$AS$3487)=B10),0),3)))</f>
        <v>Japan</v>
      </c>
      <c r="B10" s="1125">
        <v>1</v>
      </c>
      <c r="C10" s="1118">
        <f t="array" ref="C10">IF($W$2="Mismatch Error","",IF($B$5=$X$1,INDEX('Commodity Prices'!$AI$9:$AN$3502,MATCH(1,(('Commodity Prices'!$AI$9:$AI$3502)="Petroleum")*(('Commodity Prices'!$AJ$9:$AJ$3502)=$B$6)*(('Commodity Prices'!$AL$9:$AL$3502)=B10),0),5),INDEX('Commodity Prices'!$AP$9:$AU$3487,MATCH(1,(('Commodity Prices'!$AP$9:$AP$3487)="Petroleum")*(('Commodity Prices'!$AQ$9:$AQ$3487)=$B$6)*(('Commodity Prices'!$AS$9:$AS$3487)=B10),0),5)))</f>
        <v>7997870279.7149982</v>
      </c>
      <c r="D10" s="1129">
        <f>IF($W$2="Mismatch Error","",C10/$C$21)</f>
        <v>0.36611090550173542</v>
      </c>
      <c r="S10" s="169"/>
      <c r="T10" s="169"/>
      <c r="U10" s="169"/>
      <c r="V10" s="169"/>
      <c r="W10" s="437"/>
      <c r="X10" s="437"/>
      <c r="Y10" s="426" t="str">
        <f t="shared" si="1"/>
        <v>2011-12</v>
      </c>
      <c r="Z10" s="420"/>
    </row>
    <row r="11" spans="1:26">
      <c r="A11" s="72" t="str">
        <f t="array" ref="A11">IF($W$2="Mismatch Error","",IF($B$5=$X$1,INDEX('Commodity Prices'!$AI$9:$AN$3502,MATCH(1,(('Commodity Prices'!$AI$9:$AI$3502)="Petroleum")*(('Commodity Prices'!$AJ$9:$AJ$3502)=$B$6)*(('Commodity Prices'!$AL$9:$AL$3502)=B11),0),3),INDEX('Commodity Prices'!$AP$9:$AU$3487,MATCH(1,(('Commodity Prices'!$AP$9:$AP$3487)="Petroleum")*(('Commodity Prices'!$AQ$9:$AQ$3487)=$B$6)*(('Commodity Prices'!$AS$9:$AS$3487)=B11),0),3)))</f>
        <v>Singapore</v>
      </c>
      <c r="B11" s="847">
        <v>2</v>
      </c>
      <c r="C11" s="848">
        <f t="array" ref="C11">IF($W$2="Mismatch Error","",IF($B$5=$X$1,INDEX('Commodity Prices'!$AI$9:$AN$3502,MATCH(1,(('Commodity Prices'!$AI$9:$AI$3502)="Petroleum")*(('Commodity Prices'!$AJ$9:$AJ$3502)=$B$6)*(('Commodity Prices'!$AL$9:$AL$3502)=B11),0),5),INDEX('Commodity Prices'!$AP$9:$AU$3487,MATCH(1,(('Commodity Prices'!$AP$9:$AP$3487)="Petroleum")*(('Commodity Prices'!$AQ$9:$AQ$3487)=$B$6)*(('Commodity Prices'!$AS$9:$AS$3487)=B11),0),5)))</f>
        <v>4157147717.4239998</v>
      </c>
      <c r="D11" s="888">
        <f t="shared" ref="D11:D20" si="2">IF($W$2="Mismatch Error","",C11/$C$21)</f>
        <v>0.19029779952680206</v>
      </c>
      <c r="S11" s="169"/>
      <c r="T11" s="169"/>
      <c r="U11" s="169"/>
      <c r="V11" s="169"/>
      <c r="W11" s="437"/>
      <c r="X11" s="437"/>
      <c r="Y11" s="426" t="str">
        <f t="shared" si="1"/>
        <v>2010-11</v>
      </c>
      <c r="Z11" s="420"/>
    </row>
    <row r="12" spans="1:26">
      <c r="A12" s="1128" t="str">
        <f t="array" ref="A12">IF($W$2="Mismatch Error","",IF($B$5=$X$1,INDEX('Commodity Prices'!$AI$9:$AN$3502,MATCH(1,(('Commodity Prices'!$AI$9:$AI$3502)="Petroleum")*(('Commodity Prices'!$AJ$9:$AJ$3502)=$B$6)*(('Commodity Prices'!$AL$9:$AL$3502)=B12),0),3),INDEX('Commodity Prices'!$AP$9:$AU$3487,MATCH(1,(('Commodity Prices'!$AP$9:$AP$3487)="Petroleum")*(('Commodity Prices'!$AQ$9:$AQ$3487)=$B$6)*(('Commodity Prices'!$AS$9:$AS$3487)=B12),0),3)))</f>
        <v>China</v>
      </c>
      <c r="B12" s="1125">
        <v>3</v>
      </c>
      <c r="C12" s="1118">
        <f t="array" ref="C12">IF($W$2="Mismatch Error","",IF($B$5=$X$1,INDEX('Commodity Prices'!$AI$9:$AN$3502,MATCH(1,(('Commodity Prices'!$AI$9:$AI$3502)="Petroleum")*(('Commodity Prices'!$AJ$9:$AJ$3502)=$B$6)*(('Commodity Prices'!$AL$9:$AL$3502)=B12),0),5),INDEX('Commodity Prices'!$AP$9:$AU$3487,MATCH(1,(('Commodity Prices'!$AP$9:$AP$3487)="Petroleum")*(('Commodity Prices'!$AQ$9:$AQ$3487)=$B$6)*(('Commodity Prices'!$AS$9:$AS$3487)=B12),0),5)))</f>
        <v>3786433098.2314982</v>
      </c>
      <c r="D12" s="1129">
        <f t="shared" si="2"/>
        <v>0.17332794878296953</v>
      </c>
      <c r="S12" s="169"/>
      <c r="T12" s="169"/>
      <c r="U12" s="169"/>
      <c r="V12" s="169"/>
      <c r="W12" s="437"/>
      <c r="X12" s="437"/>
      <c r="Y12" s="426" t="str">
        <f t="shared" si="1"/>
        <v>2009-10</v>
      </c>
      <c r="Z12" s="420"/>
    </row>
    <row r="13" spans="1:26">
      <c r="A13" s="72" t="str">
        <f t="array" ref="A13">IF($W$2="Mismatch Error","",IF($B$5=$X$1,INDEX('Commodity Prices'!$AI$9:$AN$3502,MATCH(1,(('Commodity Prices'!$AI$9:$AI$3502)="Petroleum")*(('Commodity Prices'!$AJ$9:$AJ$3502)=$B$6)*(('Commodity Prices'!$AL$9:$AL$3502)=B13),0),3),INDEX('Commodity Prices'!$AP$9:$AU$3487,MATCH(1,(('Commodity Prices'!$AP$9:$AP$3487)="Petroleum")*(('Commodity Prices'!$AQ$9:$AQ$3487)=$B$6)*(('Commodity Prices'!$AS$9:$AS$3487)=B13),0),3)))</f>
        <v>Korea, Republic Of</v>
      </c>
      <c r="B13" s="847">
        <v>4</v>
      </c>
      <c r="C13" s="848">
        <f t="array" ref="C13">IF($W$2="Mismatch Error","",IF($B$5=$X$1,INDEX('Commodity Prices'!$AI$9:$AN$3502,MATCH(1,(('Commodity Prices'!$AI$9:$AI$3502)="Petroleum")*(('Commodity Prices'!$AJ$9:$AJ$3502)=$B$6)*(('Commodity Prices'!$AL$9:$AL$3502)=B13),0),5),INDEX('Commodity Prices'!$AP$9:$AU$3487,MATCH(1,(('Commodity Prices'!$AP$9:$AP$3487)="Petroleum")*(('Commodity Prices'!$AQ$9:$AQ$3487)=$B$6)*(('Commodity Prices'!$AS$9:$AS$3487)=B13),0),5)))</f>
        <v>1824758818.233</v>
      </c>
      <c r="D13" s="888">
        <f t="shared" si="2"/>
        <v>8.353024991665238E-2</v>
      </c>
      <c r="S13" s="169"/>
      <c r="T13" s="169"/>
      <c r="U13" s="169"/>
      <c r="V13" s="169"/>
      <c r="W13" s="169"/>
      <c r="X13" s="169"/>
      <c r="Y13" s="426" t="str">
        <f t="shared" si="1"/>
        <v>2008-09</v>
      </c>
      <c r="Z13" s="420"/>
    </row>
    <row r="14" spans="1:26">
      <c r="A14" s="1128" t="str">
        <f t="array" ref="A14">IF($W$2="Mismatch Error","",IF($B$5=$X$1,INDEX('Commodity Prices'!$AI$9:$AN$3502,MATCH(1,(('Commodity Prices'!$AI$9:$AI$3502)="Petroleum")*(('Commodity Prices'!$AJ$9:$AJ$3502)=$B$6)*(('Commodity Prices'!$AL$9:$AL$3502)=B14),0),3),INDEX('Commodity Prices'!$AP$9:$AU$3487,MATCH(1,(('Commodity Prices'!$AP$9:$AP$3487)="Petroleum")*(('Commodity Prices'!$AQ$9:$AQ$3487)=$B$6)*(('Commodity Prices'!$AS$9:$AS$3487)=B14),0),3)))</f>
        <v>Taiwan, Province Of China</v>
      </c>
      <c r="B14" s="1125">
        <v>5</v>
      </c>
      <c r="C14" s="1118">
        <f t="array" ref="C14">IF($W$2="Mismatch Error","",IF($B$5=$X$1,INDEX('Commodity Prices'!$AI$9:$AN$3502,MATCH(1,(('Commodity Prices'!$AI$9:$AI$3502)="Petroleum")*(('Commodity Prices'!$AJ$9:$AJ$3502)=$B$6)*(('Commodity Prices'!$AL$9:$AL$3502)=B14),0),5),INDEX('Commodity Prices'!$AP$9:$AU$3487,MATCH(1,(('Commodity Prices'!$AP$9:$AP$3487)="Petroleum")*(('Commodity Prices'!$AQ$9:$AQ$3487)=$B$6)*(('Commodity Prices'!$AS$9:$AS$3487)=B14),0),5)))</f>
        <v>841179979.13999999</v>
      </c>
      <c r="D14" s="1129">
        <f t="shared" si="2"/>
        <v>3.8505896330172859E-2</v>
      </c>
      <c r="S14" s="169"/>
      <c r="T14" s="169"/>
      <c r="U14" s="169"/>
      <c r="V14" s="169"/>
      <c r="W14" s="169"/>
      <c r="X14" s="169"/>
      <c r="Y14" s="426" t="str">
        <f t="shared" si="1"/>
        <v>2007-08</v>
      </c>
      <c r="Z14" s="420"/>
    </row>
    <row r="15" spans="1:26">
      <c r="A15" s="72" t="str">
        <f t="array" ref="A15">IF($W$2="Mismatch Error","",IF($B$5=$X$1,INDEX('Commodity Prices'!$AI$9:$AN$3502,MATCH(1,(('Commodity Prices'!$AI$9:$AI$3502)="Petroleum")*(('Commodity Prices'!$AJ$9:$AJ$3502)=$B$6)*(('Commodity Prices'!$AL$9:$AL$3502)=B15),0),3),INDEX('Commodity Prices'!$AP$9:$AU$3487,MATCH(1,(('Commodity Prices'!$AP$9:$AP$3487)="Petroleum")*(('Commodity Prices'!$AQ$9:$AQ$3487)=$B$6)*(('Commodity Prices'!$AS$9:$AS$3487)=B15),0),3)))</f>
        <v>Indonesia</v>
      </c>
      <c r="B15" s="847">
        <v>6</v>
      </c>
      <c r="C15" s="848">
        <f t="array" ref="C15">IF($W$2="Mismatch Error","",IF($B$5=$X$1,INDEX('Commodity Prices'!$AI$9:$AN$3502,MATCH(1,(('Commodity Prices'!$AI$9:$AI$3502)="Petroleum")*(('Commodity Prices'!$AJ$9:$AJ$3502)=$B$6)*(('Commodity Prices'!$AL$9:$AL$3502)=B15),0),5),INDEX('Commodity Prices'!$AP$9:$AU$3487,MATCH(1,(('Commodity Prices'!$AP$9:$AP$3487)="Petroleum")*(('Commodity Prices'!$AQ$9:$AQ$3487)=$B$6)*(('Commodity Prices'!$AS$9:$AS$3487)=B15),0),5)))</f>
        <v>776405478.75600004</v>
      </c>
      <c r="D15" s="888">
        <f t="shared" si="2"/>
        <v>3.5540775596825107E-2</v>
      </c>
      <c r="S15" s="169"/>
      <c r="T15" s="169"/>
      <c r="U15" s="169"/>
      <c r="V15" s="169"/>
      <c r="W15" s="169"/>
      <c r="X15" s="169"/>
      <c r="Y15" s="426" t="str">
        <f t="shared" si="1"/>
        <v/>
      </c>
      <c r="Z15" s="420"/>
    </row>
    <row r="16" spans="1:26">
      <c r="A16" s="1128" t="str">
        <f t="array" ref="A16">IF($W$2="Mismatch Error","",IF($B$5=$X$1,INDEX('Commodity Prices'!$AI$9:$AN$3502,MATCH(1,(('Commodity Prices'!$AI$9:$AI$3502)="Petroleum")*(('Commodity Prices'!$AJ$9:$AJ$3502)=$B$6)*(('Commodity Prices'!$AL$9:$AL$3502)=B16),0),3),INDEX('Commodity Prices'!$AP$9:$AU$3487,MATCH(1,(('Commodity Prices'!$AP$9:$AP$3487)="Petroleum")*(('Commodity Prices'!$AQ$9:$AQ$3487)=$B$6)*(('Commodity Prices'!$AS$9:$AS$3487)=B16),0),3)))</f>
        <v>Malaysia</v>
      </c>
      <c r="B16" s="1125">
        <v>7</v>
      </c>
      <c r="C16" s="1118">
        <f t="array" ref="C16">IF($W$2="Mismatch Error","",IF($B$5=$X$1,INDEX('Commodity Prices'!$AI$9:$AN$3502,MATCH(1,(('Commodity Prices'!$AI$9:$AI$3502)="Petroleum")*(('Commodity Prices'!$AJ$9:$AJ$3502)=$B$6)*(('Commodity Prices'!$AL$9:$AL$3502)=B16),0),5),INDEX('Commodity Prices'!$AP$9:$AU$3487,MATCH(1,(('Commodity Prices'!$AP$9:$AP$3487)="Petroleum")*(('Commodity Prices'!$AQ$9:$AQ$3487)=$B$6)*(('Commodity Prices'!$AS$9:$AS$3487)=B16),0),5)))</f>
        <v>625426968.59200001</v>
      </c>
      <c r="D16" s="1129">
        <f t="shared" si="2"/>
        <v>2.8629575848107158E-2</v>
      </c>
      <c r="S16" s="169"/>
      <c r="T16" s="169"/>
      <c r="U16" s="169"/>
      <c r="V16" s="169"/>
      <c r="W16" s="169"/>
      <c r="X16" s="169"/>
      <c r="Y16" s="426" t="str">
        <f t="shared" si="1"/>
        <v/>
      </c>
      <c r="Z16" s="420"/>
    </row>
    <row r="17" spans="1:26">
      <c r="A17" s="72" t="str">
        <f t="array" ref="A17">IF($W$2="Mismatch Error","",IF($B$5=$X$1,INDEX('Commodity Prices'!$AI$9:$AN$3502,MATCH(1,(('Commodity Prices'!$AI$9:$AI$3502)="Petroleum")*(('Commodity Prices'!$AJ$9:$AJ$3502)=$B$6)*(('Commodity Prices'!$AL$9:$AL$3502)=B17),0),3),INDEX('Commodity Prices'!$AP$9:$AU$3487,MATCH(1,(('Commodity Prices'!$AP$9:$AP$3487)="Petroleum")*(('Commodity Prices'!$AQ$9:$AQ$3487)=$B$6)*(('Commodity Prices'!$AS$9:$AS$3487)=B17),0),3)))</f>
        <v>Brunei Darussalam</v>
      </c>
      <c r="B17" s="847">
        <v>8</v>
      </c>
      <c r="C17" s="848">
        <f t="array" ref="C17">IF($W$2="Mismatch Error","",IF($B$5=$X$1,INDEX('Commodity Prices'!$AI$9:$AN$3502,MATCH(1,(('Commodity Prices'!$AI$9:$AI$3502)="Petroleum")*(('Commodity Prices'!$AJ$9:$AJ$3502)=$B$6)*(('Commodity Prices'!$AL$9:$AL$3502)=B17),0),5),INDEX('Commodity Prices'!$AP$9:$AU$3487,MATCH(1,(('Commodity Prices'!$AP$9:$AP$3487)="Petroleum")*(('Commodity Prices'!$AQ$9:$AQ$3487)=$B$6)*(('Commodity Prices'!$AS$9:$AS$3487)=B17),0),5)))</f>
        <v>613771277.93599999</v>
      </c>
      <c r="D17" s="888">
        <f t="shared" si="2"/>
        <v>2.8096024376143506E-2</v>
      </c>
      <c r="S17" s="169"/>
      <c r="T17" s="169"/>
      <c r="U17" s="169"/>
      <c r="V17" s="169"/>
      <c r="W17" s="169"/>
      <c r="X17" s="169"/>
      <c r="Y17" s="426" t="str">
        <f t="shared" si="1"/>
        <v/>
      </c>
      <c r="Z17" s="420"/>
    </row>
    <row r="18" spans="1:26">
      <c r="A18" s="1128" t="str">
        <f t="array" ref="A18">IF($W$2="Mismatch Error","",IF($B$5=$X$1,INDEX('Commodity Prices'!$AI$9:$AN$3502,MATCH(1,(('Commodity Prices'!$AI$9:$AI$3502)="Petroleum")*(('Commodity Prices'!$AJ$9:$AJ$3502)=$B$6)*(('Commodity Prices'!$AL$9:$AL$3502)=B18),0),3),INDEX('Commodity Prices'!$AP$9:$AU$3487,MATCH(1,(('Commodity Prices'!$AP$9:$AP$3487)="Petroleum")*(('Commodity Prices'!$AQ$9:$AQ$3487)=$B$6)*(('Commodity Prices'!$AS$9:$AS$3487)=B18),0),3)))</f>
        <v>Thailand</v>
      </c>
      <c r="B18" s="1125">
        <v>9</v>
      </c>
      <c r="C18" s="1118">
        <f t="array" ref="C18">IF($W$2="Mismatch Error","",IF($B$5=$X$1,INDEX('Commodity Prices'!$AI$9:$AN$3502,MATCH(1,(('Commodity Prices'!$AI$9:$AI$3502)="Petroleum")*(('Commodity Prices'!$AJ$9:$AJ$3502)=$B$6)*(('Commodity Prices'!$AL$9:$AL$3502)=B18),0),5),INDEX('Commodity Prices'!$AP$9:$AU$3487,MATCH(1,(('Commodity Prices'!$AP$9:$AP$3487)="Petroleum")*(('Commodity Prices'!$AQ$9:$AQ$3487)=$B$6)*(('Commodity Prices'!$AS$9:$AS$3487)=B18),0),5)))</f>
        <v>542591394.829</v>
      </c>
      <c r="D18" s="1129">
        <f t="shared" si="2"/>
        <v>2.4837690526455201E-2</v>
      </c>
      <c r="S18" s="169"/>
      <c r="T18" s="169"/>
      <c r="U18" s="169"/>
      <c r="V18" s="169"/>
      <c r="W18" s="169"/>
      <c r="X18" s="169"/>
      <c r="Y18" s="426" t="str">
        <f t="shared" si="1"/>
        <v/>
      </c>
      <c r="Z18" s="420"/>
    </row>
    <row r="19" spans="1:26">
      <c r="A19" s="72" t="str">
        <f t="array" ref="A19">IF($W$2="Mismatch Error","",IF($B$5=$X$1,INDEX('Commodity Prices'!$AI$9:$AN$3502,MATCH(1,(('Commodity Prices'!$AI$9:$AI$3502)="Petroleum")*(('Commodity Prices'!$AJ$9:$AJ$3502)=$B$6)*(('Commodity Prices'!$AL$9:$AL$3502)=B19),0),3),INDEX('Commodity Prices'!$AP$9:$AU$3487,MATCH(1,(('Commodity Prices'!$AP$9:$AP$3487)="Petroleum")*(('Commodity Prices'!$AQ$9:$AQ$3487)=$B$6)*(('Commodity Prices'!$AS$9:$AS$3487)=B19),0),3)))</f>
        <v>India</v>
      </c>
      <c r="B19" s="847">
        <v>10</v>
      </c>
      <c r="C19" s="848">
        <f t="array" ref="C19">IF($W$2="Mismatch Error","",IF($B$5=$X$1,INDEX('Commodity Prices'!$AI$9:$AN$3502,MATCH(1,(('Commodity Prices'!$AI$9:$AI$3502)="Petroleum")*(('Commodity Prices'!$AJ$9:$AJ$3502)=$B$6)*(('Commodity Prices'!$AL$9:$AL$3502)=B19),0),5),INDEX('Commodity Prices'!$AP$9:$AU$3487,MATCH(1,(('Commodity Prices'!$AP$9:$AP$3487)="Petroleum")*(('Commodity Prices'!$AQ$9:$AQ$3487)=$B$6)*(('Commodity Prices'!$AS$9:$AS$3487)=B19),0),5)))</f>
        <v>307770894.85300004</v>
      </c>
      <c r="D19" s="888">
        <f t="shared" si="2"/>
        <v>1.4088535705248586E-2</v>
      </c>
      <c r="S19" s="169"/>
      <c r="T19" s="169"/>
      <c r="U19" s="169"/>
      <c r="V19" s="169"/>
      <c r="W19" s="169"/>
      <c r="X19" s="169"/>
      <c r="Y19" s="426" t="str">
        <f t="shared" si="1"/>
        <v/>
      </c>
      <c r="Z19" s="420"/>
    </row>
    <row r="20" spans="1:26" ht="15.75" thickBot="1">
      <c r="A20" s="1130" t="str">
        <f>IF($W$2="Mismatch Error","","Other")</f>
        <v>Other</v>
      </c>
      <c r="B20" s="1126"/>
      <c r="C20" s="1121">
        <f>IF($W$2="Mismatch Error","",IF($B$5=$X$1,SUMIFS('Commodity Prices'!$AM$9:$AM$3502,'Commodity Prices'!$AI$9:$AI$3502,"Petroleum",'Commodity Prices'!$AJ$9:$AJ$3502,$B$6,'Commodity Prices'!$AK$9:$AK$3502,"TOTAL")-SUM($C$10:$C$19),SUMIFS('Commodity Prices'!$AT$9:$AT$3487,'Commodity Prices'!$AP$9:$AP$3487,"Petroleum",'Commodity Prices'!$AQ$9:$AQ$3487,$B$6,'Commodity Prices'!$AR$9:$AR$3487,"TOTAL")-SUM($C$10:$C$19)))</f>
        <v>372129051.97599792</v>
      </c>
      <c r="D20" s="1131">
        <f t="shared" si="2"/>
        <v>1.7034597888888222E-2</v>
      </c>
      <c r="E20" s="169"/>
      <c r="S20" s="169"/>
      <c r="T20" s="169"/>
      <c r="U20" s="169"/>
      <c r="V20" s="169"/>
      <c r="W20" s="169"/>
      <c r="X20" s="169"/>
      <c r="Y20" s="426" t="str">
        <f t="shared" si="1"/>
        <v/>
      </c>
      <c r="Z20" s="420"/>
    </row>
    <row r="21" spans="1:26" ht="15.75" thickBot="1">
      <c r="A21" s="1042" t="str">
        <f>IF($W$2="Mismatch Error","","Grand Total")</f>
        <v>Grand Total</v>
      </c>
      <c r="B21" s="1043"/>
      <c r="C21" s="1044">
        <f>IF($W$2="Mismatch Error","",IF($B$5=$X$1,SUMIFS('Commodity Prices'!$AM$9:$AM$3502,'Commodity Prices'!$AI$9:$AI$3502,"Petroleum",'Commodity Prices'!$AJ$9:$AJ$3502,$B$6,'Commodity Prices'!$AK$9:$AK$3502,"TOTAL"),SUMIFS('Commodity Prices'!$AT$9:$AT$3487,'Commodity Prices'!$AP$9:$AP$3487,"Petroleum",'Commodity Prices'!$AQ$9:$AQ$3487,$B$6,'Commodity Prices'!$AR$9:$AR$3487,"TOTAL")))</f>
        <v>21845484959.685493</v>
      </c>
      <c r="D21" s="1132"/>
      <c r="S21" s="169"/>
      <c r="T21" s="169"/>
      <c r="U21" s="169"/>
      <c r="V21" s="169"/>
      <c r="W21" s="169"/>
      <c r="X21" s="169"/>
      <c r="Y21" s="426" t="str">
        <f t="shared" si="1"/>
        <v/>
      </c>
      <c r="Z21" s="420"/>
    </row>
    <row r="22" spans="1:26">
      <c r="S22" s="169"/>
      <c r="T22" s="169"/>
      <c r="U22" s="169"/>
      <c r="V22" s="169"/>
      <c r="W22" s="169"/>
      <c r="X22" s="169"/>
      <c r="Y22" s="426" t="str">
        <f t="shared" si="1"/>
        <v/>
      </c>
      <c r="Z22" s="420"/>
    </row>
    <row r="23" spans="1:26">
      <c r="A23" s="1991" t="str">
        <f>IF(A10="Mismatch Error","You have selected an incompatible year or year type. Change one or the other to display data.","")</f>
        <v/>
      </c>
      <c r="B23" s="1991"/>
      <c r="C23" s="1991"/>
      <c r="D23" s="1991"/>
      <c r="S23" s="169"/>
      <c r="T23" s="169"/>
      <c r="U23" s="169"/>
      <c r="V23" s="169"/>
      <c r="W23" s="169"/>
      <c r="X23" s="169"/>
      <c r="Y23" s="426" t="str">
        <f t="shared" si="1"/>
        <v/>
      </c>
      <c r="Z23" s="420"/>
    </row>
    <row r="24" spans="1:26">
      <c r="A24" s="1991"/>
      <c r="B24" s="1991"/>
      <c r="C24" s="1991"/>
      <c r="D24" s="1991"/>
      <c r="S24" s="169"/>
      <c r="T24" s="169"/>
      <c r="U24" s="169"/>
      <c r="V24" s="169"/>
      <c r="W24" s="169"/>
      <c r="X24" s="169"/>
      <c r="Y24" s="426" t="str">
        <f t="shared" si="1"/>
        <v/>
      </c>
      <c r="Z24" s="420"/>
    </row>
    <row r="25" spans="1:26" ht="15" customHeight="1">
      <c r="A25" s="1991"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91"/>
      <c r="C25" s="1991"/>
      <c r="D25" s="1991"/>
      <c r="S25" s="169"/>
      <c r="T25" s="169"/>
      <c r="U25" s="169"/>
      <c r="V25" s="169"/>
      <c r="W25" s="169"/>
      <c r="X25" s="169"/>
      <c r="Y25" s="426" t="str">
        <f t="shared" si="1"/>
        <v/>
      </c>
      <c r="Z25" s="420"/>
    </row>
    <row r="26" spans="1:26">
      <c r="A26" s="1991"/>
      <c r="B26" s="1991"/>
      <c r="C26" s="1991"/>
      <c r="D26" s="1991"/>
      <c r="S26" s="169"/>
      <c r="T26" s="169"/>
      <c r="U26" s="169"/>
      <c r="V26" s="169"/>
      <c r="W26" s="169"/>
      <c r="X26" s="169"/>
      <c r="Y26" s="426"/>
      <c r="Z26" s="420"/>
    </row>
    <row r="27" spans="1:26">
      <c r="A27" s="1991"/>
      <c r="B27" s="1991"/>
      <c r="C27" s="1991"/>
      <c r="D27" s="1991"/>
      <c r="S27" s="169"/>
      <c r="T27" s="169"/>
      <c r="U27" s="169"/>
      <c r="V27" s="169"/>
      <c r="W27" s="169"/>
      <c r="X27" s="169"/>
      <c r="Y27" s="426"/>
      <c r="Z27" s="420"/>
    </row>
    <row r="28" spans="1:26">
      <c r="A28" s="1991"/>
      <c r="B28" s="1991"/>
      <c r="C28" s="1991"/>
      <c r="D28" s="1991"/>
      <c r="S28" s="169"/>
      <c r="T28" s="169"/>
      <c r="U28" s="169"/>
      <c r="V28" s="169"/>
      <c r="W28" s="169"/>
      <c r="X28" s="169"/>
      <c r="Y28" s="426"/>
      <c r="Z28" s="420"/>
    </row>
    <row r="29" spans="1:26">
      <c r="S29" s="169"/>
      <c r="T29" s="169"/>
      <c r="U29" s="169"/>
      <c r="V29" s="169"/>
      <c r="W29" s="169"/>
      <c r="X29" s="169"/>
      <c r="Y29" s="426"/>
      <c r="Z29" s="420"/>
    </row>
    <row r="30" spans="1:26">
      <c r="S30" s="169"/>
      <c r="T30" s="169"/>
      <c r="U30" s="169"/>
      <c r="V30" s="169"/>
      <c r="W30" s="169"/>
      <c r="X30" s="169"/>
      <c r="Y30" s="426"/>
      <c r="Z30" s="420"/>
    </row>
    <row r="31" spans="1:26">
      <c r="S31" s="169"/>
      <c r="T31" s="169"/>
      <c r="U31" s="169"/>
      <c r="V31" s="169"/>
      <c r="W31" s="169"/>
      <c r="X31" s="169"/>
      <c r="Y31" s="437"/>
      <c r="Z31" s="169"/>
    </row>
    <row r="32" spans="1:26">
      <c r="E32" s="430"/>
      <c r="S32" s="169"/>
      <c r="T32" s="169"/>
      <c r="U32" s="169"/>
      <c r="V32" s="169"/>
      <c r="W32" s="169"/>
      <c r="X32" s="169"/>
      <c r="Y32" s="169"/>
      <c r="Z32" s="169"/>
    </row>
    <row r="33" spans="5:26">
      <c r="E33" s="430"/>
      <c r="S33" s="169"/>
      <c r="T33" s="169"/>
      <c r="U33" s="169"/>
      <c r="V33" s="169"/>
      <c r="W33" s="169"/>
      <c r="X33" s="169"/>
      <c r="Y33" s="169"/>
      <c r="Z33" s="169"/>
    </row>
    <row r="34" spans="5:26">
      <c r="E34" s="430"/>
    </row>
    <row r="35" spans="5:26">
      <c r="E35" s="430"/>
    </row>
    <row r="36" spans="5:26">
      <c r="E36" s="430"/>
    </row>
    <row r="37" spans="5:26">
      <c r="E37" s="430"/>
    </row>
    <row r="38" spans="5:26">
      <c r="E38" s="430"/>
    </row>
    <row r="39" spans="5:26">
      <c r="E39" s="430"/>
    </row>
    <row r="40" spans="5:26">
      <c r="E40" s="430"/>
    </row>
    <row r="41" spans="5:26">
      <c r="E41" s="430"/>
    </row>
    <row r="42" spans="5:26">
      <c r="E42" s="430"/>
    </row>
    <row r="43" spans="5:26">
      <c r="E43" s="430"/>
    </row>
    <row r="44" spans="5:26">
      <c r="E44" s="430"/>
    </row>
    <row r="45" spans="5:26">
      <c r="E45" s="430"/>
    </row>
    <row r="46" spans="5:26">
      <c r="E46" s="430"/>
    </row>
    <row r="47" spans="5:26">
      <c r="E47" s="430"/>
    </row>
    <row r="48" spans="5:26">
      <c r="E48" s="430"/>
    </row>
    <row r="49" spans="5:5">
      <c r="E49" s="430"/>
    </row>
    <row r="50" spans="5:5">
      <c r="E50" s="430"/>
    </row>
    <row r="51" spans="5:5">
      <c r="E51" s="430"/>
    </row>
    <row r="52" spans="5:5">
      <c r="E52" s="430"/>
    </row>
    <row r="53" spans="5:5">
      <c r="E53" s="430"/>
    </row>
    <row r="54" spans="5:5">
      <c r="E54" s="430"/>
    </row>
    <row r="55" spans="5:5">
      <c r="E55" s="430"/>
    </row>
    <row r="56" spans="5:5">
      <c r="E56" s="430"/>
    </row>
    <row r="57" spans="5:5">
      <c r="E57" s="430"/>
    </row>
    <row r="58" spans="5:5">
      <c r="E58" s="430"/>
    </row>
    <row r="59" spans="5:5">
      <c r="E59" s="430"/>
    </row>
    <row r="60" spans="5:5">
      <c r="E60" s="430"/>
    </row>
    <row r="61" spans="5:5">
      <c r="E61" s="430"/>
    </row>
    <row r="62" spans="5:5">
      <c r="E62" s="430"/>
    </row>
    <row r="63" spans="5:5">
      <c r="E63" s="430"/>
    </row>
    <row r="64" spans="5:5">
      <c r="E64" s="430"/>
    </row>
    <row r="67" spans="5:5">
      <c r="E67" s="430"/>
    </row>
    <row r="68" spans="5:5">
      <c r="E68" s="430"/>
    </row>
    <row r="69" spans="5:5">
      <c r="E69" s="430"/>
    </row>
    <row r="70" spans="5:5">
      <c r="E70" s="430"/>
    </row>
    <row r="71" spans="5:5">
      <c r="E71" s="430"/>
    </row>
    <row r="72" spans="5:5">
      <c r="E72" s="430"/>
    </row>
    <row r="73" spans="5:5">
      <c r="E73" s="430"/>
    </row>
    <row r="74" spans="5:5">
      <c r="E74" s="430"/>
    </row>
    <row r="75" spans="5:5">
      <c r="E75" s="430"/>
    </row>
    <row r="76" spans="5:5">
      <c r="E76" s="430"/>
    </row>
    <row r="77" spans="5:5">
      <c r="E77" s="430"/>
    </row>
    <row r="78" spans="5:5">
      <c r="E78" s="430"/>
    </row>
    <row r="79" spans="5:5">
      <c r="E79" s="430"/>
    </row>
    <row r="80" spans="5:5">
      <c r="E80" s="430"/>
    </row>
    <row r="81" spans="5:5">
      <c r="E81" s="430"/>
    </row>
  </sheetData>
  <mergeCells count="5">
    <mergeCell ref="B5:D5"/>
    <mergeCell ref="B6:D6"/>
    <mergeCell ref="A8:D8"/>
    <mergeCell ref="A23:D24"/>
    <mergeCell ref="A25:D28"/>
  </mergeCells>
  <conditionalFormatting sqref="A10">
    <cfRule type="containsText" dxfId="0" priority="1" operator="containsText" text="Mismatch Error">
      <formula>NOT(ISERROR(SEARCH("Mismatch Error",A10)))</formula>
    </cfRule>
  </conditionalFormatting>
  <dataValidations count="4">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allowBlank="1" promptTitle="Select a Display Factor:" prompt="Clicking here will bring up a message describing the selections you can make." sqref="E6"/>
    <dataValidation allowBlank="1" promptTitle="Select a Display Factor:" prompt="Clicking here will bring up a message describing the selections you can make." sqref="E5"/>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8" tint="0.39997558519241921"/>
  </sheetPr>
  <dimension ref="A1:W64"/>
  <sheetViews>
    <sheetView showGridLines="0" zoomScaleNormal="100" workbookViewId="0">
      <selection activeCell="D6" sqref="D6"/>
    </sheetView>
  </sheetViews>
  <sheetFormatPr defaultRowHeight="15"/>
  <cols>
    <col min="1" max="1" width="15.7109375" style="35" customWidth="1"/>
    <col min="2" max="2" width="21.85546875" style="35" bestFit="1" customWidth="1"/>
    <col min="3" max="3" width="20.140625" style="35" bestFit="1" customWidth="1"/>
    <col min="4" max="4" width="9.140625" style="35" customWidth="1"/>
    <col min="5" max="15" width="9.140625" style="35"/>
    <col min="16" max="16" width="10.28515625" style="35" bestFit="1" customWidth="1"/>
    <col min="17" max="17" width="10.5703125" style="35" bestFit="1" customWidth="1"/>
    <col min="18" max="18" width="10.28515625" style="35" customWidth="1"/>
    <col min="19" max="19" width="18.7109375" style="35" customWidth="1"/>
    <col min="20" max="21" width="23.28515625" style="35" customWidth="1"/>
    <col min="22" max="22" width="9.140625" style="35"/>
    <col min="23" max="23" width="12.5703125" style="35" bestFit="1" customWidth="1"/>
    <col min="24" max="26" width="12" style="35" bestFit="1" customWidth="1"/>
    <col min="27" max="16384" width="9.140625" style="35"/>
  </cols>
  <sheetData>
    <row r="1" spans="1:23">
      <c r="E1" s="537"/>
      <c r="W1" s="420" t="str">
        <f>A5&amp;" "&amp;S51&amp;CHAR(10)&amp;"WA vs Rest of Australia"</f>
        <v>Australia Crude Oil and Condensate Production 2020
WA vs Rest of Australia</v>
      </c>
    </row>
    <row r="2" spans="1:23">
      <c r="N2" s="169"/>
    </row>
    <row r="5" spans="1:23" ht="15.75" thickBot="1">
      <c r="A5" s="1992" t="s">
        <v>721</v>
      </c>
      <c r="B5" s="1992"/>
      <c r="C5" s="1992"/>
    </row>
    <row r="6" spans="1:23" ht="15.75" thickBot="1">
      <c r="A6" s="406" t="s">
        <v>41</v>
      </c>
      <c r="B6" s="1061" t="s">
        <v>85</v>
      </c>
      <c r="C6" s="652" t="s">
        <v>86</v>
      </c>
    </row>
    <row r="7" spans="1:23">
      <c r="A7" s="1362">
        <v>1965</v>
      </c>
      <c r="B7" s="1063">
        <v>0</v>
      </c>
      <c r="C7" s="1064">
        <v>0.41661999999999999</v>
      </c>
    </row>
    <row r="8" spans="1:23">
      <c r="A8" s="1363">
        <v>1966</v>
      </c>
      <c r="B8" s="706">
        <v>0</v>
      </c>
      <c r="C8" s="705">
        <v>0.53867200000000004</v>
      </c>
    </row>
    <row r="9" spans="1:23">
      <c r="A9" s="1363">
        <v>1967</v>
      </c>
      <c r="B9" s="1063">
        <v>0.73855690000000007</v>
      </c>
      <c r="C9" s="1064">
        <v>0.46932610000000002</v>
      </c>
    </row>
    <row r="10" spans="1:23">
      <c r="A10" s="1363">
        <v>1968</v>
      </c>
      <c r="B10" s="706">
        <v>1.691354</v>
      </c>
      <c r="C10" s="705">
        <v>0.51414490000000002</v>
      </c>
      <c r="K10" s="118" t="s">
        <v>406</v>
      </c>
    </row>
    <row r="11" spans="1:23">
      <c r="A11" s="1363">
        <v>1969</v>
      </c>
      <c r="B11" s="1063">
        <v>2.0883660000000002</v>
      </c>
      <c r="C11" s="1064">
        <v>0.41703750000000001</v>
      </c>
      <c r="K11" s="118" t="s">
        <v>407</v>
      </c>
    </row>
    <row r="12" spans="1:23">
      <c r="A12" s="1363">
        <v>1970</v>
      </c>
      <c r="B12" s="706">
        <v>2.6482829999999997</v>
      </c>
      <c r="C12" s="705">
        <v>7.719716</v>
      </c>
    </row>
    <row r="13" spans="1:23">
      <c r="A13" s="1363">
        <v>1971</v>
      </c>
      <c r="B13" s="1063">
        <v>2.5990139999999999</v>
      </c>
      <c r="C13" s="1064">
        <v>15.35299</v>
      </c>
    </row>
    <row r="14" spans="1:23">
      <c r="A14" s="1363">
        <v>1972</v>
      </c>
      <c r="B14" s="706">
        <v>2.454863</v>
      </c>
      <c r="C14" s="705">
        <v>16.546130000000002</v>
      </c>
    </row>
    <row r="15" spans="1:23">
      <c r="A15" s="1363">
        <v>1973</v>
      </c>
      <c r="B15" s="1063">
        <v>2.3218369999999999</v>
      </c>
      <c r="C15" s="1064">
        <v>20.298159999999999</v>
      </c>
    </row>
    <row r="16" spans="1:23">
      <c r="A16" s="1363">
        <v>1974</v>
      </c>
      <c r="B16" s="706">
        <v>2.1989830000000001</v>
      </c>
      <c r="C16" s="705">
        <v>20.20402</v>
      </c>
    </row>
    <row r="17" spans="1:3">
      <c r="A17" s="1363">
        <v>1975</v>
      </c>
      <c r="B17" s="1063">
        <v>2.0499050000000003</v>
      </c>
      <c r="C17" s="1064">
        <v>21.78209</v>
      </c>
    </row>
    <row r="18" spans="1:3">
      <c r="A18" s="1363">
        <v>1976</v>
      </c>
      <c r="B18" s="706">
        <v>1.776065</v>
      </c>
      <c r="C18" s="705">
        <v>22.474930000000001</v>
      </c>
    </row>
    <row r="19" spans="1:3">
      <c r="A19" s="1363">
        <v>1977</v>
      </c>
      <c r="B19" s="1063">
        <v>1.874762</v>
      </c>
      <c r="C19" s="1064">
        <v>23.120240000000003</v>
      </c>
    </row>
    <row r="20" spans="1:3">
      <c r="A20" s="1363">
        <v>1978</v>
      </c>
      <c r="B20" s="706">
        <v>1.822473</v>
      </c>
      <c r="C20" s="705">
        <v>23.364529999999998</v>
      </c>
    </row>
    <row r="21" spans="1:3">
      <c r="A21" s="1363">
        <v>1979</v>
      </c>
      <c r="B21" s="1063">
        <v>1.4239999999999999</v>
      </c>
      <c r="C21" s="1064">
        <v>23.943999999999999</v>
      </c>
    </row>
    <row r="22" spans="1:3">
      <c r="A22" s="1363">
        <v>1980</v>
      </c>
      <c r="B22" s="706">
        <v>1.6279999999999999</v>
      </c>
      <c r="C22" s="705">
        <v>19.695</v>
      </c>
    </row>
    <row r="23" spans="1:3">
      <c r="A23" s="1363">
        <v>1981</v>
      </c>
      <c r="B23" s="1063">
        <v>1.4419999999999999</v>
      </c>
      <c r="C23" s="1064">
        <v>20.262</v>
      </c>
    </row>
    <row r="24" spans="1:3">
      <c r="A24" s="1363">
        <v>1982</v>
      </c>
      <c r="B24" s="706">
        <v>1.2809999999999999</v>
      </c>
      <c r="C24" s="705">
        <v>20.396999999999998</v>
      </c>
    </row>
    <row r="25" spans="1:3">
      <c r="A25" s="1363">
        <v>1983</v>
      </c>
      <c r="B25" s="1063">
        <v>1.2649999999999999</v>
      </c>
      <c r="C25" s="1064">
        <v>23.8</v>
      </c>
    </row>
    <row r="26" spans="1:3">
      <c r="A26" s="1363">
        <v>1984</v>
      </c>
      <c r="B26" s="706">
        <v>1.3240000000000001</v>
      </c>
      <c r="C26" s="705">
        <v>27.591000000000001</v>
      </c>
    </row>
    <row r="27" spans="1:3">
      <c r="A27" s="1363">
        <v>1985</v>
      </c>
      <c r="B27" s="1063">
        <v>1.476</v>
      </c>
      <c r="C27" s="1064">
        <v>31.901</v>
      </c>
    </row>
    <row r="28" spans="1:3">
      <c r="A28" s="1363">
        <v>1986</v>
      </c>
      <c r="B28" s="706">
        <v>2.0299999999999998</v>
      </c>
      <c r="C28" s="705">
        <v>27.734000000000002</v>
      </c>
    </row>
    <row r="29" spans="1:3">
      <c r="A29" s="1363">
        <v>1987</v>
      </c>
      <c r="B29" s="1063">
        <v>2.6859999999999999</v>
      </c>
      <c r="C29" s="1064">
        <v>29.187999999999999</v>
      </c>
    </row>
    <row r="30" spans="1:3">
      <c r="A30" s="1363">
        <v>1988</v>
      </c>
      <c r="B30" s="706">
        <v>3.1869999999999998</v>
      </c>
      <c r="C30" s="705">
        <v>26.952000000000002</v>
      </c>
    </row>
    <row r="31" spans="1:3">
      <c r="A31" s="1363">
        <v>1989</v>
      </c>
      <c r="B31" s="1063">
        <v>3.867</v>
      </c>
      <c r="C31" s="1064">
        <v>24.533999999999999</v>
      </c>
    </row>
    <row r="32" spans="1:3">
      <c r="A32" s="1363">
        <v>1990</v>
      </c>
      <c r="B32" s="706">
        <v>6.92</v>
      </c>
      <c r="C32" s="705">
        <v>26.567</v>
      </c>
    </row>
    <row r="33" spans="1:21">
      <c r="A33" s="1363">
        <v>1991</v>
      </c>
      <c r="B33" s="1063">
        <v>7.0839999999999996</v>
      </c>
      <c r="C33" s="1064">
        <v>24.526</v>
      </c>
    </row>
    <row r="34" spans="1:21">
      <c r="A34" s="1363">
        <v>1992</v>
      </c>
      <c r="B34" s="706">
        <v>7.1070000000000002</v>
      </c>
      <c r="C34" s="705">
        <v>23.945</v>
      </c>
    </row>
    <row r="35" spans="1:21">
      <c r="A35" s="1363">
        <v>1993</v>
      </c>
      <c r="B35" s="1063">
        <v>6.1619999999999999</v>
      </c>
      <c r="C35" s="1064">
        <v>22.596</v>
      </c>
    </row>
    <row r="36" spans="1:21">
      <c r="A36" s="1363">
        <v>1994</v>
      </c>
      <c r="B36" s="706">
        <v>11.09408</v>
      </c>
      <c r="C36" s="705">
        <v>20.153919999999999</v>
      </c>
    </row>
    <row r="37" spans="1:21">
      <c r="A37" s="1363">
        <v>1995</v>
      </c>
      <c r="B37" s="1063">
        <v>12.51158</v>
      </c>
      <c r="C37" s="1064">
        <v>16.872420000000002</v>
      </c>
    </row>
    <row r="38" spans="1:21">
      <c r="A38" s="1363">
        <v>1996</v>
      </c>
      <c r="B38" s="706">
        <v>16.224634999999999</v>
      </c>
      <c r="C38" s="705">
        <v>15.353365</v>
      </c>
    </row>
    <row r="39" spans="1:21">
      <c r="A39" s="1363">
        <v>1997</v>
      </c>
      <c r="B39" s="1063">
        <v>15.976610000000001</v>
      </c>
      <c r="C39" s="1064">
        <v>16.927389999999999</v>
      </c>
      <c r="S39" s="1981" t="s">
        <v>721</v>
      </c>
      <c r="T39" s="1981"/>
      <c r="U39" s="1981"/>
    </row>
    <row r="40" spans="1:21" ht="15.75" thickBot="1">
      <c r="A40" s="1363">
        <v>1998</v>
      </c>
      <c r="B40" s="706">
        <v>17.382999999999999</v>
      </c>
      <c r="C40" s="705">
        <v>13.651999999999999</v>
      </c>
      <c r="S40" s="1993" t="s">
        <v>42</v>
      </c>
      <c r="T40" s="1993"/>
      <c r="U40" s="1993"/>
    </row>
    <row r="41" spans="1:21" ht="15.75" thickBot="1">
      <c r="A41" s="1363">
        <v>1999</v>
      </c>
      <c r="B41" s="1063">
        <f>SUMIF('Petroleum - Q&amp;V1'!H$8:H$508, A41,'Petroleum - Q&amp;V1'!F$8:F$508)</f>
        <v>14.055568000000001</v>
      </c>
      <c r="C41" s="1064">
        <v>16.036999999999999</v>
      </c>
      <c r="S41" s="1070" t="s">
        <v>41</v>
      </c>
      <c r="T41" s="1079" t="str">
        <f>B6</f>
        <v>Western Australia (GL)</v>
      </c>
      <c r="U41" s="1080" t="str">
        <f>C6</f>
        <v>Rest of Australia (GL)</v>
      </c>
    </row>
    <row r="42" spans="1:21">
      <c r="A42" s="1363">
        <v>2000</v>
      </c>
      <c r="B42" s="706">
        <f>SUMIF('Petroleum - Q&amp;V1'!H$8:H$508, A42,'Petroleum - Q&amp;V1'!F$8:F$508)</f>
        <v>19.939762000000002</v>
      </c>
      <c r="C42" s="705">
        <v>20.478000000000002</v>
      </c>
      <c r="S42" s="1134">
        <f>LARGE(A$7:A$69,10)</f>
        <v>2011</v>
      </c>
      <c r="T42" s="1197">
        <f t="shared" ref="T42:T51" ca="1" si="0">SUMIF($A$7:$A$74,$S42,B$7:B$73)</f>
        <v>18.335720000000002</v>
      </c>
      <c r="U42" s="1199">
        <f t="shared" ref="U42:U51" si="1">SUMIF($A$7:$A$74,$S42,C$7:C$74)</f>
        <v>5.5312799999999989</v>
      </c>
    </row>
    <row r="43" spans="1:21">
      <c r="A43" s="1363">
        <v>2001</v>
      </c>
      <c r="B43" s="1063">
        <f>SUMIF('Petroleum - Q&amp;V1'!H$8:H$508, A43,'Petroleum - Q&amp;V1'!F$8:F$508)</f>
        <v>20.076323000000002</v>
      </c>
      <c r="C43" s="1064">
        <v>16.702677000000001</v>
      </c>
      <c r="S43" s="1135">
        <f>LARGE(A$7:A$69,9)</f>
        <v>2012</v>
      </c>
      <c r="T43" s="740">
        <f t="shared" ca="1" si="0"/>
        <v>15.991191000000001</v>
      </c>
      <c r="U43" s="741">
        <f t="shared" si="1"/>
        <v>5.9488090000000007</v>
      </c>
    </row>
    <row r="44" spans="1:21">
      <c r="A44" s="1363">
        <v>2002</v>
      </c>
      <c r="B44" s="706">
        <f>SUMIF('Petroleum - Q&amp;V1'!H$8:H$508, A44,'Petroleum - Q&amp;V1'!F$8:F$508)</f>
        <v>22.166976999999996</v>
      </c>
      <c r="C44" s="705">
        <v>13.944922999999999</v>
      </c>
      <c r="S44" s="1136">
        <f>LARGE(A$7:A$69,8)</f>
        <v>2013</v>
      </c>
      <c r="T44" s="1198">
        <f t="shared" ca="1" si="0"/>
        <v>12.828248</v>
      </c>
      <c r="U44" s="1200">
        <f t="shared" si="1"/>
        <v>6.1817520000000012</v>
      </c>
    </row>
    <row r="45" spans="1:21">
      <c r="A45" s="1363">
        <v>2003</v>
      </c>
      <c r="B45" s="1063">
        <f>SUMIF('Petroleum - Q&amp;V1'!H$8:H$508, A45,'Petroleum - Q&amp;V1'!F$8:F$508)</f>
        <v>20.513078</v>
      </c>
      <c r="C45" s="1064">
        <v>9.5589230000000001</v>
      </c>
      <c r="S45" s="1135">
        <f>LARGE(A$7:A$69,7)</f>
        <v>2014</v>
      </c>
      <c r="T45" s="740">
        <f t="shared" ca="1" si="0"/>
        <v>12.524324309000001</v>
      </c>
      <c r="U45" s="741">
        <f t="shared" si="1"/>
        <v>7.9256756909999986</v>
      </c>
    </row>
    <row r="46" spans="1:21">
      <c r="A46" s="1363">
        <v>2004</v>
      </c>
      <c r="B46" s="706">
        <f>SUMIF('Petroleum - Q&amp;V1'!H$8:H$508, A46,'Petroleum - Q&amp;V1'!F$8:F$508)</f>
        <v>17.702249000000002</v>
      </c>
      <c r="C46" s="705">
        <v>7.359886000000003</v>
      </c>
      <c r="S46" s="1136">
        <f>LARGE(A$7:A$69,6)</f>
        <v>2015</v>
      </c>
      <c r="T46" s="1198">
        <f t="shared" ca="1" si="0"/>
        <v>14.973535984</v>
      </c>
      <c r="U46" s="1200">
        <f t="shared" si="1"/>
        <v>3.6764640159999988</v>
      </c>
    </row>
    <row r="47" spans="1:21">
      <c r="A47" s="1363">
        <v>2005</v>
      </c>
      <c r="B47" s="1063">
        <f>SUMIF('Petroleum - Q&amp;V1'!H$8:H$508, A47,'Petroleum - Q&amp;V1'!F$8:F$508)</f>
        <v>19.058396999999999</v>
      </c>
      <c r="C47" s="1064">
        <v>6.7048319999999997</v>
      </c>
      <c r="S47" s="1135">
        <f>LARGE(A$7:A$69,5)</f>
        <v>2016</v>
      </c>
      <c r="T47" s="740">
        <f t="shared" ca="1" si="0"/>
        <v>12.270888789022798</v>
      </c>
      <c r="U47" s="741">
        <f t="shared" si="1"/>
        <v>4.7191112109772</v>
      </c>
    </row>
    <row r="48" spans="1:21">
      <c r="A48" s="1363">
        <v>2006</v>
      </c>
      <c r="B48" s="706">
        <f>SUMIF('Petroleum - Q&amp;V1'!H$8:H$508, A48,'Petroleum - Q&amp;V1'!F$8:F$508)</f>
        <v>17.562943000000001</v>
      </c>
      <c r="C48" s="705">
        <v>8.4257999999999988</v>
      </c>
      <c r="S48" s="1136">
        <f>LARGE(A$7:A$69,4)</f>
        <v>2017</v>
      </c>
      <c r="T48" s="1198">
        <f t="shared" ca="1" si="0"/>
        <v>11.54600424643619</v>
      </c>
      <c r="U48" s="1200">
        <f t="shared" si="1"/>
        <v>4.941995753563809</v>
      </c>
    </row>
    <row r="49" spans="1:21">
      <c r="A49" s="1363">
        <v>2007</v>
      </c>
      <c r="B49" s="1063">
        <f>SUMIF('Petroleum - Q&amp;V1'!H$8:H$508, A49,'Petroleum - Q&amp;V1'!F$8:F$508)</f>
        <v>19.051446000000002</v>
      </c>
      <c r="C49" s="1064">
        <v>10.921000000000003</v>
      </c>
      <c r="S49" s="1135">
        <f>LARGE(A$7:A$69,3)</f>
        <v>2018</v>
      </c>
      <c r="T49" s="740">
        <f t="shared" ca="1" si="0"/>
        <v>12.419739846484219</v>
      </c>
      <c r="U49" s="741">
        <f t="shared" si="1"/>
        <v>5.0628409999999997</v>
      </c>
    </row>
    <row r="50" spans="1:21">
      <c r="A50" s="1363">
        <v>2008</v>
      </c>
      <c r="B50" s="706">
        <f>SUMIF('Petroleum - Q&amp;V1'!H$8:H$508, A50,'Petroleum - Q&amp;V1'!F$8:F$508)</f>
        <v>19.049435000000003</v>
      </c>
      <c r="C50" s="705">
        <v>7.6799649999999993</v>
      </c>
      <c r="S50" s="1136">
        <f>LARGE(A$7:A$69,2)</f>
        <v>2019</v>
      </c>
      <c r="T50" s="1198">
        <f t="shared" ca="1" si="0"/>
        <v>17.034276296441195</v>
      </c>
      <c r="U50" s="1200">
        <f t="shared" si="1"/>
        <v>6.0302290000000003</v>
      </c>
    </row>
    <row r="51" spans="1:21" ht="15.75" thickBot="1">
      <c r="A51" s="1363">
        <v>2009</v>
      </c>
      <c r="B51" s="1063">
        <f>SUMIF('Petroleum - Q&amp;V1'!H$8:H$508, A51,'Petroleum - Q&amp;V1'!F$8:F$508)</f>
        <v>18.739460999999999</v>
      </c>
      <c r="C51" s="1064">
        <v>5.8065390000000008</v>
      </c>
      <c r="E51" s="126"/>
      <c r="S51" s="1137">
        <f>LARGE(A$7:A$69,1)</f>
        <v>2020</v>
      </c>
      <c r="T51" s="744">
        <f t="shared" ca="1" si="0"/>
        <v>15.973000900745109</v>
      </c>
      <c r="U51" s="1201">
        <f t="shared" si="1"/>
        <v>5.7008070000000002</v>
      </c>
    </row>
    <row r="52" spans="1:21">
      <c r="A52" s="1363">
        <v>2010</v>
      </c>
      <c r="B52" s="706">
        <f>SUMIF('Petroleum - Q&amp;V1'!H$8:H$508, A52,'Petroleum - Q&amp;V1'!F$8:F$508)</f>
        <v>21.920589</v>
      </c>
      <c r="C52" s="705">
        <v>5.3974110000000017</v>
      </c>
    </row>
    <row r="53" spans="1:21">
      <c r="A53" s="1363">
        <v>2011</v>
      </c>
      <c r="B53" s="1063">
        <f>SUMIF('Petroleum - Q&amp;V1'!H$8:H$508, A53,'Petroleum - Q&amp;V1'!F$8:F$508)</f>
        <v>18.335720000000002</v>
      </c>
      <c r="C53" s="1064">
        <v>5.5312799999999989</v>
      </c>
    </row>
    <row r="54" spans="1:21">
      <c r="A54" s="1363">
        <v>2012</v>
      </c>
      <c r="B54" s="706">
        <f>SUMIF('Petroleum - Q&amp;V1'!H$8:H$508, A54,'Petroleum - Q&amp;V1'!F$8:F$508)</f>
        <v>15.991191000000001</v>
      </c>
      <c r="C54" s="705">
        <f>21.94-B54</f>
        <v>5.9488090000000007</v>
      </c>
    </row>
    <row r="55" spans="1:21">
      <c r="A55" s="1363">
        <v>2013</v>
      </c>
      <c r="B55" s="1063">
        <f>SUMIF('Petroleum - Q&amp;V1'!H$8:H$508, A55,'Petroleum - Q&amp;V1'!F$8:F$508)</f>
        <v>12.828248</v>
      </c>
      <c r="C55" s="1064">
        <f>19.01-B55</f>
        <v>6.1817520000000012</v>
      </c>
    </row>
    <row r="56" spans="1:21">
      <c r="A56" s="1363">
        <v>2014</v>
      </c>
      <c r="B56" s="706">
        <f>SUMIF('Petroleum - Q&amp;V1'!H$8:H$508, A56,'Petroleum - Q&amp;V1'!F$8:F$508)</f>
        <v>12.524324309000001</v>
      </c>
      <c r="C56" s="705">
        <f>20.45-B56</f>
        <v>7.9256756909999986</v>
      </c>
    </row>
    <row r="57" spans="1:21">
      <c r="A57" s="1363">
        <v>2015</v>
      </c>
      <c r="B57" s="1133">
        <f>SUMIF('Petroleum - Q&amp;V1'!H$8:H$508, A57,'Petroleum - Q&amp;V1'!F$8:F$508)</f>
        <v>14.973535984</v>
      </c>
      <c r="C57" s="1064">
        <f>18.65-B57</f>
        <v>3.6764640159999988</v>
      </c>
    </row>
    <row r="58" spans="1:21">
      <c r="A58" s="1363">
        <v>2016</v>
      </c>
      <c r="B58" s="706">
        <f>SUMIF('Petroleum - Q&amp;V1'!H$8:H$508, A58,'Petroleum - Q&amp;V1'!F$8:F$508)</f>
        <v>12.270888789022798</v>
      </c>
      <c r="C58" s="705">
        <f>16.99-B58</f>
        <v>4.7191112109772</v>
      </c>
    </row>
    <row r="59" spans="1:21">
      <c r="A59" s="1363">
        <v>2017</v>
      </c>
      <c r="B59" s="1133">
        <f>SUMIF('Petroleum - Q&amp;V1'!H$8:H$508, A59,'Petroleum - Q&amp;V1'!F$8:F$508)</f>
        <v>11.54600424643619</v>
      </c>
      <c r="C59" s="1064">
        <v>4.941995753563809</v>
      </c>
    </row>
    <row r="60" spans="1:21">
      <c r="A60" s="1363">
        <v>2018</v>
      </c>
      <c r="B60" s="800">
        <f>SUMIF('Petroleum - Q&amp;V1'!H$8:H$508, A60,'Petroleum - Q&amp;V1'!F$8:F$508)</f>
        <v>12.419739846484219</v>
      </c>
      <c r="C60" s="806">
        <v>5.0628409999999997</v>
      </c>
    </row>
    <row r="61" spans="1:21">
      <c r="A61" s="1363">
        <v>2019</v>
      </c>
      <c r="B61" s="1133">
        <f>SUMIF('Petroleum - Q&amp;V1'!H$8:H$508, A61,'Petroleum - Q&amp;V1'!F$8:F$508)</f>
        <v>17.034276296441195</v>
      </c>
      <c r="C61" s="1608">
        <v>6.0302290000000003</v>
      </c>
    </row>
    <row r="62" spans="1:21" ht="15.75" thickBot="1">
      <c r="A62" s="1651">
        <v>2020</v>
      </c>
      <c r="B62" s="1669">
        <f>SUMIF('Petroleum - Q&amp;V1'!H$8:H$508, A62,'Petroleum - Q&amp;V1'!F$8:F$508)</f>
        <v>15.973000900745109</v>
      </c>
      <c r="C62" s="725">
        <v>5.7008070000000002</v>
      </c>
    </row>
    <row r="63" spans="1:21">
      <c r="A63" s="492"/>
      <c r="C63" s="451"/>
    </row>
    <row r="64" spans="1:21">
      <c r="C64" s="451"/>
    </row>
  </sheetData>
  <mergeCells count="3">
    <mergeCell ref="A5:C5"/>
    <mergeCell ref="S39:U39"/>
    <mergeCell ref="S40:U40"/>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8" tint="0.39997558519241921"/>
    <pageSetUpPr fitToPage="1"/>
  </sheetPr>
  <dimension ref="A4:AB133"/>
  <sheetViews>
    <sheetView showGridLines="0" zoomScaleNormal="100" workbookViewId="0">
      <selection activeCell="N34" sqref="N34"/>
    </sheetView>
  </sheetViews>
  <sheetFormatPr defaultRowHeight="15"/>
  <cols>
    <col min="1" max="1" width="25.28515625" style="3" customWidth="1"/>
    <col min="2" max="2" width="23.140625" style="3" customWidth="1"/>
    <col min="3" max="3" width="11.5703125" style="3" bestFit="1" customWidth="1"/>
    <col min="4" max="4" width="12.5703125" style="3" customWidth="1"/>
    <col min="5" max="12" width="9.140625" style="3"/>
    <col min="13" max="13" width="14.85546875" style="3" customWidth="1"/>
    <col min="14" max="14" width="14.28515625" style="3" customWidth="1"/>
    <col min="15" max="16384" width="9.140625" style="3"/>
  </cols>
  <sheetData>
    <row r="4" spans="1:26">
      <c r="Y4" s="172"/>
      <c r="Z4" s="172"/>
    </row>
    <row r="5" spans="1:26">
      <c r="A5" s="169"/>
      <c r="Y5" s="172"/>
      <c r="Z5" s="172"/>
    </row>
    <row r="6" spans="1:26" ht="15.75" thickBot="1">
      <c r="A6" s="2009" t="s">
        <v>809</v>
      </c>
      <c r="B6" s="2009"/>
      <c r="C6" s="2009"/>
      <c r="Y6" s="172"/>
      <c r="Z6" s="172"/>
    </row>
    <row r="7" spans="1:26" ht="30.75" customHeight="1">
      <c r="A7" s="1376" t="s">
        <v>725</v>
      </c>
      <c r="B7" s="1377" t="s">
        <v>723</v>
      </c>
      <c r="C7" s="1378" t="s">
        <v>673</v>
      </c>
      <c r="Y7" s="172"/>
      <c r="Z7" s="172"/>
    </row>
    <row r="8" spans="1:26">
      <c r="A8" s="1148" t="s">
        <v>127</v>
      </c>
      <c r="B8" s="1762">
        <v>106.23146755643211</v>
      </c>
      <c r="C8" s="1761">
        <f t="shared" ref="C8:C28" si="0">B8/$B$29</f>
        <v>0.2177266334014745</v>
      </c>
      <c r="N8" s="149"/>
      <c r="O8" s="150"/>
      <c r="Y8" s="172"/>
      <c r="Z8" s="172"/>
    </row>
    <row r="9" spans="1:26">
      <c r="A9" s="1148" t="s">
        <v>29</v>
      </c>
      <c r="B9" s="1763">
        <v>106.08459354739111</v>
      </c>
      <c r="C9" s="1760">
        <f t="shared" si="0"/>
        <v>0.21742560787430962</v>
      </c>
      <c r="N9" s="149"/>
      <c r="O9" s="150"/>
      <c r="Y9" s="172"/>
      <c r="Z9" s="172"/>
    </row>
    <row r="10" spans="1:26">
      <c r="A10" s="1148" t="s">
        <v>819</v>
      </c>
      <c r="B10" s="1762">
        <v>61.394385995906461</v>
      </c>
      <c r="C10" s="1761">
        <f t="shared" si="0"/>
        <v>0.12583082282599972</v>
      </c>
      <c r="N10" s="149"/>
      <c r="O10" s="150"/>
      <c r="Y10" s="172"/>
      <c r="Z10" s="172"/>
    </row>
    <row r="11" spans="1:26">
      <c r="A11" s="1148" t="s">
        <v>129</v>
      </c>
      <c r="B11" s="1763">
        <v>40.408900803546906</v>
      </c>
      <c r="C11" s="1760">
        <f t="shared" si="0"/>
        <v>8.2820035661624422E-2</v>
      </c>
      <c r="N11" s="149"/>
      <c r="O11" s="150"/>
      <c r="Y11" s="172"/>
      <c r="Z11" s="172"/>
    </row>
    <row r="12" spans="1:26">
      <c r="A12" s="1148" t="s">
        <v>25</v>
      </c>
      <c r="B12" s="1762">
        <v>32.83012186157984</v>
      </c>
      <c r="C12" s="1761">
        <f t="shared" si="0"/>
        <v>6.7286954341328128E-2</v>
      </c>
      <c r="N12" s="149"/>
      <c r="O12" s="150"/>
      <c r="Y12" s="172"/>
      <c r="Z12" s="172"/>
    </row>
    <row r="13" spans="1:26">
      <c r="A13" s="1148" t="s">
        <v>340</v>
      </c>
      <c r="B13" s="1763">
        <v>28.426212848068335</v>
      </c>
      <c r="C13" s="1760">
        <f t="shared" si="0"/>
        <v>5.8260925563095242E-2</v>
      </c>
      <c r="N13" s="151"/>
      <c r="O13" s="150"/>
      <c r="Y13" s="172"/>
      <c r="Z13" s="172"/>
    </row>
    <row r="14" spans="1:26">
      <c r="A14" s="1148" t="s">
        <v>22</v>
      </c>
      <c r="B14" s="1762">
        <v>16.784783723431836</v>
      </c>
      <c r="C14" s="1761">
        <f t="shared" si="0"/>
        <v>3.4401242273466144E-2</v>
      </c>
      <c r="N14" s="149"/>
      <c r="O14" s="150"/>
      <c r="Y14" s="172"/>
      <c r="Z14" s="172"/>
    </row>
    <row r="15" spans="1:26">
      <c r="A15" s="1148" t="s">
        <v>334</v>
      </c>
      <c r="B15" s="1763">
        <v>14.963772427803423</v>
      </c>
      <c r="C15" s="1760">
        <f t="shared" si="0"/>
        <v>3.0668989788366918E-2</v>
      </c>
      <c r="N15" s="149"/>
      <c r="O15" s="150"/>
      <c r="Y15" s="172"/>
      <c r="Z15" s="172"/>
    </row>
    <row r="16" spans="1:26">
      <c r="A16" s="1148" t="s">
        <v>322</v>
      </c>
      <c r="B16" s="1762">
        <v>14.34388932840295</v>
      </c>
      <c r="C16" s="1761">
        <f t="shared" si="0"/>
        <v>2.9398508795875303E-2</v>
      </c>
      <c r="N16" s="151"/>
      <c r="O16" s="150"/>
      <c r="Y16" s="172"/>
      <c r="Z16" s="172"/>
    </row>
    <row r="17" spans="1:26">
      <c r="A17" s="1148" t="s">
        <v>36</v>
      </c>
      <c r="B17" s="1763">
        <v>13.207544058714113</v>
      </c>
      <c r="C17" s="1760">
        <f t="shared" si="0"/>
        <v>2.7069513107101532E-2</v>
      </c>
      <c r="N17" s="149"/>
      <c r="O17" s="150"/>
      <c r="Y17" s="172"/>
      <c r="Z17" s="172"/>
    </row>
    <row r="18" spans="1:26">
      <c r="A18" s="1148" t="s">
        <v>125</v>
      </c>
      <c r="B18" s="1762">
        <v>11.537593645308343</v>
      </c>
      <c r="C18" s="1761">
        <f t="shared" si="0"/>
        <v>2.3646867352301131E-2</v>
      </c>
      <c r="N18" s="149"/>
      <c r="O18" s="150"/>
      <c r="Y18" s="172"/>
      <c r="Z18" s="172"/>
    </row>
    <row r="19" spans="1:26">
      <c r="A19" s="1148" t="s">
        <v>345</v>
      </c>
      <c r="B19" s="1763">
        <v>8.4499658164715061</v>
      </c>
      <c r="C19" s="1760">
        <f t="shared" si="0"/>
        <v>1.7318621797261308E-2</v>
      </c>
      <c r="N19" s="151"/>
      <c r="O19" s="150"/>
      <c r="Y19" s="172"/>
      <c r="Z19" s="172"/>
    </row>
    <row r="20" spans="1:26">
      <c r="A20" s="1148" t="s">
        <v>34</v>
      </c>
      <c r="B20" s="1762">
        <v>7.6074374571568768</v>
      </c>
      <c r="C20" s="1761">
        <f t="shared" si="0"/>
        <v>1.5591818360968811E-2</v>
      </c>
      <c r="N20" s="151"/>
      <c r="O20" s="150"/>
      <c r="Y20" s="172"/>
      <c r="Z20" s="172"/>
    </row>
    <row r="21" spans="1:26">
      <c r="A21" s="1148" t="s">
        <v>335</v>
      </c>
      <c r="B21" s="1763">
        <v>6.0955614450403761</v>
      </c>
      <c r="C21" s="1760">
        <f t="shared" si="0"/>
        <v>1.249315388978744E-2</v>
      </c>
      <c r="N21" s="151"/>
      <c r="O21" s="150"/>
      <c r="Y21" s="172"/>
      <c r="Z21" s="172"/>
    </row>
    <row r="22" spans="1:26">
      <c r="A22" s="1148" t="s">
        <v>344</v>
      </c>
      <c r="B22" s="1762">
        <v>5.1120756284442681</v>
      </c>
      <c r="C22" s="1761">
        <f t="shared" si="0"/>
        <v>1.0477451191038408E-2</v>
      </c>
      <c r="N22" s="151"/>
      <c r="O22" s="150"/>
      <c r="Y22" s="172"/>
      <c r="Z22" s="172"/>
    </row>
    <row r="23" spans="1:26">
      <c r="A23" s="1148" t="s">
        <v>68</v>
      </c>
      <c r="B23" s="1763">
        <v>5.0394789659017345</v>
      </c>
      <c r="C23" s="1760">
        <f t="shared" si="0"/>
        <v>1.0328660749795823E-2</v>
      </c>
      <c r="N23" s="149"/>
      <c r="O23" s="150"/>
      <c r="Y23" s="172"/>
      <c r="Z23" s="172"/>
    </row>
    <row r="24" spans="1:26">
      <c r="A24" s="1148" t="s">
        <v>60</v>
      </c>
      <c r="B24" s="1762">
        <v>4.2901972471607035</v>
      </c>
      <c r="C24" s="1761">
        <f t="shared" si="0"/>
        <v>8.792970903431863E-3</v>
      </c>
      <c r="N24" s="149"/>
      <c r="O24" s="150"/>
      <c r="Y24" s="172"/>
      <c r="Z24" s="172"/>
    </row>
    <row r="25" spans="1:26">
      <c r="A25" s="1148" t="s">
        <v>19</v>
      </c>
      <c r="B25" s="1763">
        <v>1.8067536109181754</v>
      </c>
      <c r="C25" s="1760">
        <f t="shared" si="0"/>
        <v>3.7030306569209546E-3</v>
      </c>
      <c r="N25" s="149"/>
      <c r="O25" s="150"/>
      <c r="Y25" s="172"/>
      <c r="Z25" s="172"/>
    </row>
    <row r="26" spans="1:26">
      <c r="A26" s="1148" t="s">
        <v>473</v>
      </c>
      <c r="B26" s="1762">
        <v>1.4266146450000001</v>
      </c>
      <c r="C26" s="1761">
        <f t="shared" si="0"/>
        <v>2.9239170931352038E-3</v>
      </c>
      <c r="N26" s="149"/>
      <c r="O26" s="150"/>
      <c r="Y26" s="172"/>
      <c r="Z26" s="172"/>
    </row>
    <row r="27" spans="1:26">
      <c r="A27" s="1148" t="s">
        <v>472</v>
      </c>
      <c r="B27" s="1763">
        <v>1.3484401269910224</v>
      </c>
      <c r="C27" s="1760">
        <f t="shared" si="0"/>
        <v>2.7636945619456017E-3</v>
      </c>
      <c r="N27" s="149"/>
      <c r="O27" s="150"/>
      <c r="Y27" s="172"/>
      <c r="Z27" s="172"/>
    </row>
    <row r="28" spans="1:26" ht="15.75" thickBot="1">
      <c r="A28" s="1148" t="s">
        <v>570</v>
      </c>
      <c r="B28" s="1762">
        <v>0.52234888611399999</v>
      </c>
      <c r="C28" s="1761">
        <f t="shared" si="0"/>
        <v>1.0705798107721364E-3</v>
      </c>
      <c r="N28" s="152"/>
      <c r="O28" s="150"/>
      <c r="Y28" s="172"/>
      <c r="Z28" s="172"/>
    </row>
    <row r="29" spans="1:26" ht="16.5" thickTop="1" thickBot="1">
      <c r="A29" s="1383" t="s">
        <v>114</v>
      </c>
      <c r="B29" s="1373">
        <f>SUM(B8:B28)</f>
        <v>487.91213962578399</v>
      </c>
      <c r="C29" s="162"/>
      <c r="Y29" s="172"/>
      <c r="Z29" s="172"/>
    </row>
    <row r="30" spans="1:26">
      <c r="A30" s="397" t="s">
        <v>474</v>
      </c>
      <c r="B30" s="237"/>
      <c r="Y30" s="172"/>
      <c r="Z30" s="172"/>
    </row>
    <row r="32" spans="1:26" ht="15.75" thickBot="1">
      <c r="A32" s="1992" t="s">
        <v>810</v>
      </c>
      <c r="B32" s="1992"/>
      <c r="C32" s="1992"/>
    </row>
    <row r="33" spans="1:28" ht="30">
      <c r="A33" s="1376" t="s">
        <v>726</v>
      </c>
      <c r="B33" s="1377" t="s">
        <v>724</v>
      </c>
      <c r="C33" s="1379" t="s">
        <v>673</v>
      </c>
      <c r="AB33" s="172"/>
    </row>
    <row r="34" spans="1:28">
      <c r="A34" s="1145" t="s">
        <v>552</v>
      </c>
      <c r="B34" s="1762">
        <v>345.4</v>
      </c>
      <c r="C34" s="1765">
        <f>B34/$B$39</f>
        <v>0.70793195326911251</v>
      </c>
    </row>
    <row r="35" spans="1:28">
      <c r="A35" s="1145" t="s">
        <v>388</v>
      </c>
      <c r="B35" s="1763">
        <v>114.8</v>
      </c>
      <c r="C35" s="1766">
        <f>B35/$B$39</f>
        <v>0.23529411764705882</v>
      </c>
    </row>
    <row r="36" spans="1:28">
      <c r="A36" s="1145" t="s">
        <v>553</v>
      </c>
      <c r="B36" s="1762">
        <v>13.9</v>
      </c>
      <c r="C36" s="1765">
        <f>B36/$B$39</f>
        <v>2.8489444558311133E-2</v>
      </c>
    </row>
    <row r="37" spans="1:28">
      <c r="A37" s="1145" t="s">
        <v>660</v>
      </c>
      <c r="B37" s="1763">
        <v>9.1999999999999993</v>
      </c>
      <c r="C37" s="1766">
        <f>B37/$B$39</f>
        <v>1.8856323017011681E-2</v>
      </c>
      <c r="D37" s="237"/>
    </row>
    <row r="38" spans="1:28" ht="15.75" thickBot="1">
      <c r="A38" s="1145" t="s">
        <v>390</v>
      </c>
      <c r="B38" s="1762">
        <v>4.5999999999999996</v>
      </c>
      <c r="C38" s="1767">
        <f>B38/$B$39</f>
        <v>9.4281615085058407E-3</v>
      </c>
    </row>
    <row r="39" spans="1:28" ht="16.5" thickTop="1" thickBot="1">
      <c r="A39" s="1381" t="s">
        <v>114</v>
      </c>
      <c r="B39" s="1373">
        <f>SUM(B34:B38)</f>
        <v>487.9</v>
      </c>
      <c r="C39" s="1382"/>
    </row>
    <row r="43" spans="1:28">
      <c r="B43" s="153"/>
    </row>
    <row r="55" spans="1:28">
      <c r="AA55" s="172"/>
      <c r="AB55" s="172"/>
    </row>
    <row r="56" spans="1:28">
      <c r="B56" s="187"/>
      <c r="AA56" s="172"/>
      <c r="AB56" s="172"/>
    </row>
    <row r="57" spans="1:28" ht="15.75" thickBot="1">
      <c r="A57" s="1992" t="s">
        <v>811</v>
      </c>
      <c r="B57" s="1992"/>
      <c r="C57" s="1992"/>
      <c r="D57" s="1673"/>
      <c r="AA57" s="172"/>
      <c r="AB57" s="172"/>
    </row>
    <row r="58" spans="1:28" ht="30">
      <c r="A58" s="1376" t="s">
        <v>725</v>
      </c>
      <c r="B58" s="1377" t="s">
        <v>723</v>
      </c>
      <c r="C58" s="1378" t="s">
        <v>673</v>
      </c>
      <c r="AA58" s="172"/>
      <c r="AB58" s="172"/>
    </row>
    <row r="59" spans="1:28">
      <c r="A59" s="1145" t="s">
        <v>127</v>
      </c>
      <c r="B59" s="1768">
        <v>106.02866346782751</v>
      </c>
      <c r="C59" s="1769">
        <f t="shared" ref="C59:C80" si="1">B59/$B$80</f>
        <v>0.30703294037298973</v>
      </c>
      <c r="M59" s="149"/>
      <c r="N59" s="149"/>
      <c r="O59" s="154"/>
      <c r="AA59" s="172"/>
      <c r="AB59" s="172"/>
    </row>
    <row r="60" spans="1:28">
      <c r="A60" s="1145" t="s">
        <v>29</v>
      </c>
      <c r="B60" s="1763">
        <v>71.8</v>
      </c>
      <c r="C60" s="1760">
        <f t="shared" ref="C60:C79" si="2">B60/$B$80</f>
        <v>0.20791514669492944</v>
      </c>
      <c r="M60" s="149"/>
      <c r="N60" s="149"/>
      <c r="O60" s="154"/>
      <c r="AA60" s="172"/>
      <c r="AB60" s="172"/>
    </row>
    <row r="61" spans="1:28" s="237" customFormat="1">
      <c r="A61" s="1145" t="s">
        <v>25</v>
      </c>
      <c r="B61" s="1768">
        <v>32.799999999999997</v>
      </c>
      <c r="C61" s="1769">
        <f t="shared" si="2"/>
        <v>9.4980735537516514E-2</v>
      </c>
      <c r="M61" s="149"/>
      <c r="N61" s="149"/>
      <c r="AA61" s="172"/>
      <c r="AB61" s="172"/>
    </row>
    <row r="62" spans="1:28" s="237" customFormat="1">
      <c r="A62" s="1145" t="s">
        <v>319</v>
      </c>
      <c r="B62" s="1763">
        <v>26.4</v>
      </c>
      <c r="C62" s="1760">
        <f t="shared" si="2"/>
        <v>7.6447909091171828E-2</v>
      </c>
      <c r="M62" s="149"/>
      <c r="N62" s="149"/>
      <c r="AA62" s="172"/>
      <c r="AB62" s="172"/>
    </row>
    <row r="63" spans="1:28" s="237" customFormat="1">
      <c r="A63" s="1145" t="s">
        <v>30</v>
      </c>
      <c r="B63" s="1762">
        <v>22.5</v>
      </c>
      <c r="C63" s="1761">
        <f t="shared" si="2"/>
        <v>6.5154467975430536E-2</v>
      </c>
      <c r="M63" s="149"/>
      <c r="N63" s="149"/>
      <c r="AA63" s="172"/>
      <c r="AB63" s="172"/>
    </row>
    <row r="64" spans="1:28" s="237" customFormat="1">
      <c r="A64" s="1145" t="s">
        <v>22</v>
      </c>
      <c r="B64" s="1763">
        <v>16.399999999999999</v>
      </c>
      <c r="C64" s="1760">
        <f t="shared" si="2"/>
        <v>4.7490367768758257E-2</v>
      </c>
      <c r="M64" s="149"/>
      <c r="N64" s="149"/>
      <c r="AA64" s="172"/>
      <c r="AB64" s="172"/>
    </row>
    <row r="65" spans="1:28" s="237" customFormat="1">
      <c r="A65" s="1145" t="s">
        <v>36</v>
      </c>
      <c r="B65" s="1768">
        <v>12.7</v>
      </c>
      <c r="C65" s="1769">
        <f t="shared" si="2"/>
        <v>3.6776077479465236E-2</v>
      </c>
      <c r="M65" s="149"/>
      <c r="N65" s="149"/>
      <c r="AA65" s="172"/>
      <c r="AB65" s="172"/>
    </row>
    <row r="66" spans="1:28" s="237" customFormat="1">
      <c r="A66" s="1145" t="s">
        <v>340</v>
      </c>
      <c r="B66" s="1763">
        <v>11.9</v>
      </c>
      <c r="C66" s="1760">
        <f t="shared" si="2"/>
        <v>3.445947417367215E-2</v>
      </c>
      <c r="M66" s="149"/>
      <c r="N66" s="149"/>
      <c r="AA66" s="172"/>
      <c r="AB66" s="172"/>
    </row>
    <row r="67" spans="1:28" s="237" customFormat="1">
      <c r="A67" s="1145" t="s">
        <v>125</v>
      </c>
      <c r="B67" s="1768">
        <v>11.5</v>
      </c>
      <c r="C67" s="1769">
        <f t="shared" si="2"/>
        <v>3.3301172520775607E-2</v>
      </c>
      <c r="M67" s="149"/>
      <c r="N67" s="149"/>
      <c r="AA67" s="172"/>
      <c r="AB67" s="172"/>
    </row>
    <row r="68" spans="1:28" s="237" customFormat="1">
      <c r="A68" s="1145" t="s">
        <v>345</v>
      </c>
      <c r="B68" s="1763">
        <v>8.4</v>
      </c>
      <c r="C68" s="1760">
        <f t="shared" si="2"/>
        <v>2.43243347108274E-2</v>
      </c>
      <c r="M68" s="149"/>
      <c r="N68" s="149"/>
      <c r="AA68" s="172"/>
      <c r="AB68" s="172"/>
    </row>
    <row r="69" spans="1:28" s="237" customFormat="1">
      <c r="A69" s="1145" t="s">
        <v>34</v>
      </c>
      <c r="B69" s="1762">
        <v>7.6</v>
      </c>
      <c r="C69" s="1761">
        <f t="shared" si="2"/>
        <v>2.2007731405034314E-2</v>
      </c>
      <c r="M69" s="149"/>
      <c r="N69" s="149"/>
      <c r="AA69" s="172"/>
      <c r="AB69" s="172"/>
    </row>
    <row r="70" spans="1:28" s="237" customFormat="1">
      <c r="A70" s="1145" t="s">
        <v>68</v>
      </c>
      <c r="B70" s="1763">
        <v>4.5999999999999996</v>
      </c>
      <c r="C70" s="1760">
        <f t="shared" si="2"/>
        <v>1.3320469008310243E-2</v>
      </c>
      <c r="M70" s="149"/>
      <c r="N70" s="149"/>
      <c r="AA70" s="172"/>
      <c r="AB70" s="172"/>
    </row>
    <row r="71" spans="1:28" s="237" customFormat="1">
      <c r="A71" s="1145" t="s">
        <v>335</v>
      </c>
      <c r="B71" s="1768">
        <v>4.4000000000000004</v>
      </c>
      <c r="C71" s="1769">
        <f t="shared" si="2"/>
        <v>1.2741318181861973E-2</v>
      </c>
      <c r="M71" s="149"/>
      <c r="N71" s="149"/>
      <c r="AA71" s="172"/>
      <c r="AB71" s="172"/>
    </row>
    <row r="72" spans="1:28" s="237" customFormat="1">
      <c r="A72" s="1146" t="s">
        <v>344</v>
      </c>
      <c r="B72" s="1763">
        <v>2.5</v>
      </c>
      <c r="C72" s="1760">
        <f t="shared" si="2"/>
        <v>7.2393853306033928E-3</v>
      </c>
      <c r="D72" s="172"/>
      <c r="M72" s="149"/>
      <c r="N72" s="149"/>
      <c r="AA72" s="172"/>
      <c r="AB72" s="172"/>
    </row>
    <row r="73" spans="1:28" s="237" customFormat="1">
      <c r="A73" s="1145" t="s">
        <v>322</v>
      </c>
      <c r="B73" s="1762">
        <v>1.5</v>
      </c>
      <c r="C73" s="1761">
        <f t="shared" si="2"/>
        <v>4.3436311983620357E-3</v>
      </c>
      <c r="D73" s="172"/>
      <c r="M73" s="149"/>
      <c r="N73" s="149"/>
      <c r="AA73" s="172"/>
      <c r="AB73" s="172"/>
    </row>
    <row r="74" spans="1:28" s="237" customFormat="1">
      <c r="A74" s="1145" t="s">
        <v>473</v>
      </c>
      <c r="B74" s="1763">
        <v>1.4</v>
      </c>
      <c r="C74" s="1760">
        <f t="shared" si="2"/>
        <v>4.0540557851379E-3</v>
      </c>
      <c r="D74" s="1180"/>
      <c r="M74" s="149"/>
      <c r="N74" s="149"/>
      <c r="AA74" s="172"/>
      <c r="AB74" s="172"/>
    </row>
    <row r="75" spans="1:28" s="237" customFormat="1">
      <c r="A75" s="1146" t="s">
        <v>19</v>
      </c>
      <c r="B75" s="1768">
        <v>1.3</v>
      </c>
      <c r="C75" s="1769">
        <f t="shared" si="2"/>
        <v>3.7644803719137647E-3</v>
      </c>
      <c r="D75" s="172"/>
      <c r="M75" s="149"/>
      <c r="N75" s="149"/>
      <c r="AA75" s="172"/>
      <c r="AB75" s="172"/>
    </row>
    <row r="76" spans="1:28" s="237" customFormat="1">
      <c r="A76" s="1145" t="s">
        <v>334</v>
      </c>
      <c r="B76" s="1763">
        <v>0.9</v>
      </c>
      <c r="C76" s="1760">
        <f t="shared" si="2"/>
        <v>2.6061787190172214E-3</v>
      </c>
      <c r="M76" s="149"/>
      <c r="N76" s="149"/>
      <c r="AA76" s="172"/>
      <c r="AB76" s="172"/>
    </row>
    <row r="77" spans="1:28" s="237" customFormat="1">
      <c r="A77" s="1146" t="s">
        <v>655</v>
      </c>
      <c r="B77" s="1762">
        <v>0.7</v>
      </c>
      <c r="C77" s="1761">
        <f t="shared" si="2"/>
        <v>2.02702789256895E-3</v>
      </c>
      <c r="M77" s="149"/>
      <c r="N77" s="149"/>
      <c r="AA77" s="172"/>
      <c r="AB77" s="172"/>
    </row>
    <row r="78" spans="1:28" s="237" customFormat="1">
      <c r="A78" s="1145" t="s">
        <v>570</v>
      </c>
      <c r="B78" s="1763">
        <v>4.5224080000000003E-3</v>
      </c>
      <c r="C78" s="1760">
        <f t="shared" si="2"/>
        <v>1.3095781653681372E-5</v>
      </c>
      <c r="M78" s="149"/>
      <c r="N78" s="149"/>
      <c r="AA78" s="172"/>
      <c r="AB78" s="172"/>
    </row>
    <row r="79" spans="1:28" s="237" customFormat="1" ht="15.75" thickBot="1">
      <c r="A79" s="1145" t="s">
        <v>60</v>
      </c>
      <c r="B79" s="1768">
        <v>0</v>
      </c>
      <c r="C79" s="1769">
        <f t="shared" si="2"/>
        <v>0</v>
      </c>
      <c r="M79" s="149"/>
      <c r="N79" s="149"/>
      <c r="AA79" s="172"/>
      <c r="AB79" s="172"/>
    </row>
    <row r="80" spans="1:28" s="237" customFormat="1" ht="16.5" thickTop="1" thickBot="1">
      <c r="A80" s="1381" t="s">
        <v>114</v>
      </c>
      <c r="B80" s="1373">
        <f>SUM(B59:B79)</f>
        <v>345.33318587582744</v>
      </c>
      <c r="C80" s="1147">
        <f t="shared" si="1"/>
        <v>1</v>
      </c>
      <c r="M80" s="149"/>
      <c r="N80" s="149"/>
      <c r="AA80" s="172"/>
      <c r="AB80" s="172"/>
    </row>
    <row r="81" spans="1:28" s="237" customFormat="1">
      <c r="A81" s="397" t="s">
        <v>474</v>
      </c>
      <c r="B81" s="157"/>
      <c r="C81" s="3"/>
      <c r="M81" s="149"/>
      <c r="N81" s="149"/>
      <c r="AA81" s="172"/>
      <c r="AB81" s="172"/>
    </row>
    <row r="82" spans="1:28" s="237" customFormat="1">
      <c r="A82" s="1149"/>
      <c r="B82" s="157"/>
      <c r="M82" s="149"/>
      <c r="N82" s="149"/>
      <c r="AA82" s="172"/>
      <c r="AB82" s="172"/>
    </row>
    <row r="83" spans="1:28" s="237" customFormat="1">
      <c r="A83" s="1150"/>
      <c r="B83" s="157"/>
      <c r="M83" s="149"/>
      <c r="N83" s="149"/>
      <c r="AA83" s="172"/>
      <c r="AB83" s="172"/>
    </row>
    <row r="84" spans="1:28" ht="15.75" customHeight="1" thickBot="1">
      <c r="A84" s="2075" t="s">
        <v>813</v>
      </c>
      <c r="B84" s="2075"/>
      <c r="C84" s="2075"/>
      <c r="M84" s="152"/>
      <c r="AA84" s="172"/>
      <c r="AB84" s="172"/>
    </row>
    <row r="85" spans="1:28" ht="30">
      <c r="A85" s="1142" t="s">
        <v>662</v>
      </c>
      <c r="B85" s="1374">
        <f>B80*0.73</f>
        <v>252.09322568935403</v>
      </c>
      <c r="C85" s="172"/>
      <c r="N85" s="155"/>
      <c r="O85" s="156"/>
      <c r="AA85" s="172"/>
      <c r="AB85" s="172"/>
    </row>
    <row r="86" spans="1:28" ht="30">
      <c r="A86" s="1143" t="s">
        <v>661</v>
      </c>
      <c r="B86" s="1375">
        <f>44267391.56/1000000</f>
        <v>44.26739156</v>
      </c>
      <c r="C86" s="189"/>
      <c r="N86" s="155"/>
      <c r="O86" s="156"/>
      <c r="AA86" s="172"/>
      <c r="AB86" s="172"/>
    </row>
    <row r="87" spans="1:28" ht="30.75" thickBot="1">
      <c r="A87" s="1144" t="s">
        <v>393</v>
      </c>
      <c r="B87" s="1131">
        <f>B86/B85</f>
        <v>0.1755992904567345</v>
      </c>
      <c r="C87" s="172"/>
      <c r="N87" s="155"/>
      <c r="O87" s="156"/>
      <c r="AA87" s="172"/>
      <c r="AB87" s="172"/>
    </row>
    <row r="88" spans="1:28">
      <c r="N88" s="155"/>
      <c r="O88" s="156"/>
      <c r="AA88" s="172"/>
      <c r="AB88" s="172"/>
    </row>
    <row r="89" spans="1:28" ht="18" customHeight="1" thickBot="1">
      <c r="A89" s="1992" t="s">
        <v>814</v>
      </c>
      <c r="B89" s="1992"/>
      <c r="C89" s="1992"/>
      <c r="N89" s="155"/>
      <c r="O89" s="156"/>
      <c r="AA89" s="172"/>
      <c r="AB89" s="172"/>
    </row>
    <row r="90" spans="1:28" ht="45">
      <c r="A90" s="1376" t="s">
        <v>394</v>
      </c>
      <c r="B90" s="1377" t="s">
        <v>391</v>
      </c>
      <c r="C90" s="1378" t="s">
        <v>673</v>
      </c>
      <c r="N90" s="155"/>
      <c r="O90" s="156"/>
    </row>
    <row r="91" spans="1:28">
      <c r="A91" s="1109" t="s">
        <v>23</v>
      </c>
      <c r="B91" s="1762">
        <v>102.0294429140625</v>
      </c>
      <c r="C91" s="1759">
        <f t="shared" ref="C91" si="3">B91/$B$120</f>
        <v>0.20911437660132098</v>
      </c>
      <c r="N91" s="155"/>
      <c r="O91" s="156"/>
    </row>
    <row r="92" spans="1:28">
      <c r="A92" s="1109" t="s">
        <v>18</v>
      </c>
      <c r="B92" s="1763">
        <v>94.018956416823045</v>
      </c>
      <c r="C92" s="1760">
        <f t="shared" ref="C92:C119" si="4">B92/$B$120</f>
        <v>0.1926964893493594</v>
      </c>
      <c r="N92" s="155"/>
      <c r="O92" s="156"/>
    </row>
    <row r="93" spans="1:28">
      <c r="A93" s="1109" t="s">
        <v>385</v>
      </c>
      <c r="B93" s="1762">
        <v>55.271061407642627</v>
      </c>
      <c r="C93" s="1759">
        <f t="shared" si="4"/>
        <v>0.11328076700455558</v>
      </c>
      <c r="N93" s="155"/>
      <c r="O93" s="156"/>
    </row>
    <row r="94" spans="1:28">
      <c r="A94" s="1109" t="s">
        <v>21</v>
      </c>
      <c r="B94" s="1763">
        <v>35.840277348405252</v>
      </c>
      <c r="C94" s="1760">
        <f t="shared" si="4"/>
        <v>7.3456416509525294E-2</v>
      </c>
      <c r="N94" s="155"/>
      <c r="O94" s="156"/>
    </row>
    <row r="95" spans="1:28">
      <c r="A95" s="1109" t="s">
        <v>373</v>
      </c>
      <c r="B95" s="1762">
        <v>24.675260029745669</v>
      </c>
      <c r="C95" s="1759">
        <f t="shared" si="4"/>
        <v>5.0573162718744721E-2</v>
      </c>
      <c r="N95" s="155"/>
      <c r="O95" s="156"/>
    </row>
    <row r="96" spans="1:28">
      <c r="A96" s="1109" t="s">
        <v>554</v>
      </c>
      <c r="B96" s="1763">
        <v>23.744168168921284</v>
      </c>
      <c r="C96" s="1760">
        <f t="shared" si="4"/>
        <v>4.866484401706514E-2</v>
      </c>
      <c r="N96" s="155"/>
      <c r="O96" s="156"/>
    </row>
    <row r="97" spans="1:15">
      <c r="A97" s="1109" t="s">
        <v>70</v>
      </c>
      <c r="B97" s="1762">
        <v>20.89550888673719</v>
      </c>
      <c r="C97" s="1759">
        <f t="shared" si="4"/>
        <v>4.2826376287262512E-2</v>
      </c>
      <c r="N97" s="155"/>
      <c r="O97" s="156"/>
    </row>
    <row r="98" spans="1:15">
      <c r="A98" s="1109" t="s">
        <v>20</v>
      </c>
      <c r="B98" s="1763">
        <v>19.596195227245808</v>
      </c>
      <c r="C98" s="1760">
        <f t="shared" si="4"/>
        <v>4.0163368843979946E-2</v>
      </c>
      <c r="N98" s="158"/>
      <c r="O98" s="159"/>
    </row>
    <row r="99" spans="1:15">
      <c r="A99" s="1109" t="s">
        <v>63</v>
      </c>
      <c r="B99" s="1762">
        <v>18.561503678712896</v>
      </c>
      <c r="C99" s="1759">
        <f t="shared" si="4"/>
        <v>3.8042717471528972E-2</v>
      </c>
      <c r="N99" s="155"/>
      <c r="O99" s="156"/>
    </row>
    <row r="100" spans="1:15">
      <c r="A100" s="1109" t="s">
        <v>71</v>
      </c>
      <c r="B100" s="1763">
        <v>14.827141541263805</v>
      </c>
      <c r="C100" s="1760">
        <f t="shared" si="4"/>
        <v>3.0388958046085591E-2</v>
      </c>
      <c r="N100" s="155"/>
      <c r="O100" s="156"/>
    </row>
    <row r="101" spans="1:15">
      <c r="A101" s="1109" t="s">
        <v>59</v>
      </c>
      <c r="B101" s="1762">
        <v>12.064356065113298</v>
      </c>
      <c r="C101" s="1759">
        <f t="shared" si="4"/>
        <v>2.4726492918102728E-2</v>
      </c>
      <c r="N101" s="155"/>
      <c r="O101" s="156"/>
    </row>
    <row r="102" spans="1:15">
      <c r="A102" s="1109" t="s">
        <v>67</v>
      </c>
      <c r="B102" s="1763">
        <v>10.621900438545127</v>
      </c>
      <c r="C102" s="1760">
        <f t="shared" si="4"/>
        <v>2.1770108951771217E-2</v>
      </c>
      <c r="N102" s="155"/>
      <c r="O102" s="156"/>
    </row>
    <row r="103" spans="1:15">
      <c r="A103" s="1109" t="s">
        <v>33</v>
      </c>
      <c r="B103" s="1762">
        <v>7.4990983331242367</v>
      </c>
      <c r="C103" s="1759">
        <f t="shared" si="4"/>
        <v>1.5369771981643767E-2</v>
      </c>
      <c r="N103" s="155"/>
      <c r="O103" s="156"/>
    </row>
    <row r="104" spans="1:15">
      <c r="A104" s="1109" t="s">
        <v>346</v>
      </c>
      <c r="B104" s="1763">
        <v>6.1149850435112683</v>
      </c>
      <c r="C104" s="1760">
        <f t="shared" si="4"/>
        <v>1.2532963513064675E-2</v>
      </c>
      <c r="N104" s="155"/>
      <c r="O104" s="156"/>
    </row>
    <row r="105" spans="1:15">
      <c r="A105" s="1109" t="s">
        <v>61</v>
      </c>
      <c r="B105" s="1762">
        <v>5.727236908549167</v>
      </c>
      <c r="C105" s="1759">
        <f t="shared" si="4"/>
        <v>1.173825458194545E-2</v>
      </c>
      <c r="N105" s="155"/>
      <c r="O105" s="156"/>
    </row>
    <row r="106" spans="1:15">
      <c r="A106" s="1109" t="s">
        <v>330</v>
      </c>
      <c r="B106" s="1763">
        <v>5.6747328136318655</v>
      </c>
      <c r="C106" s="1760">
        <f t="shared" si="4"/>
        <v>1.1630644849263719E-2</v>
      </c>
      <c r="N106" s="155"/>
      <c r="O106" s="156"/>
    </row>
    <row r="107" spans="1:15">
      <c r="A107" s="1109" t="s">
        <v>323</v>
      </c>
      <c r="B107" s="1762">
        <v>5.0797066840965694</v>
      </c>
      <c r="C107" s="1759">
        <f t="shared" si="4"/>
        <v>1.0411109442762734E-2</v>
      </c>
      <c r="N107" s="160"/>
      <c r="O107" s="159"/>
    </row>
    <row r="108" spans="1:15">
      <c r="A108" s="1109" t="s">
        <v>54</v>
      </c>
      <c r="B108" s="1763">
        <v>5.0574644573975629</v>
      </c>
      <c r="C108" s="1760">
        <f t="shared" si="4"/>
        <v>1.0365522901882513E-2</v>
      </c>
    </row>
    <row r="109" spans="1:15">
      <c r="A109" s="1109" t="s">
        <v>64</v>
      </c>
      <c r="B109" s="1762">
        <v>3.6760451586952509</v>
      </c>
      <c r="C109" s="1759">
        <f t="shared" si="4"/>
        <v>7.5342359005756291E-3</v>
      </c>
    </row>
    <row r="110" spans="1:15">
      <c r="A110" s="1109" t="s">
        <v>25</v>
      </c>
      <c r="B110" s="1763">
        <v>3.6428903874710494</v>
      </c>
      <c r="C110" s="1760">
        <f t="shared" si="4"/>
        <v>7.466283561349903E-3</v>
      </c>
    </row>
    <row r="111" spans="1:15">
      <c r="A111" s="1109" t="s">
        <v>55</v>
      </c>
      <c r="B111" s="1762">
        <v>3.3414838626728849</v>
      </c>
      <c r="C111" s="1759">
        <f t="shared" si="4"/>
        <v>6.8485360196934566E-3</v>
      </c>
    </row>
    <row r="112" spans="1:15">
      <c r="A112" s="1109" t="s">
        <v>66</v>
      </c>
      <c r="B112" s="1763">
        <v>2.5066106080744546</v>
      </c>
      <c r="C112" s="1760">
        <f t="shared" si="4"/>
        <v>5.1374220981608701E-3</v>
      </c>
    </row>
    <row r="113" spans="1:3">
      <c r="A113" s="1109" t="s">
        <v>571</v>
      </c>
      <c r="B113" s="1762">
        <v>1.9312463435011229</v>
      </c>
      <c r="C113" s="1761">
        <f t="shared" si="4"/>
        <v>3.9581846538648104E-3</v>
      </c>
    </row>
    <row r="114" spans="1:3">
      <c r="A114" s="1109" t="s">
        <v>16</v>
      </c>
      <c r="B114" s="1763">
        <v>1.7718507463781328</v>
      </c>
      <c r="C114" s="1760">
        <f t="shared" si="4"/>
        <v>3.6314955142069155E-3</v>
      </c>
    </row>
    <row r="115" spans="1:3">
      <c r="A115" s="1109" t="s">
        <v>34</v>
      </c>
      <c r="B115" s="1762">
        <v>1.5521321717239636</v>
      </c>
      <c r="C115" s="1761">
        <f t="shared" si="4"/>
        <v>3.1811714562265427E-3</v>
      </c>
    </row>
    <row r="116" spans="1:3">
      <c r="A116" s="1109" t="s">
        <v>319</v>
      </c>
      <c r="B116" s="1763">
        <v>1.2878026974195289</v>
      </c>
      <c r="C116" s="1760">
        <f t="shared" si="4"/>
        <v>2.6394151586538518E-3</v>
      </c>
    </row>
    <row r="117" spans="1:3" s="237" customFormat="1">
      <c r="A117" s="1109" t="s">
        <v>56</v>
      </c>
      <c r="B117" s="1762">
        <v>0.84717495720456482</v>
      </c>
      <c r="C117" s="1761">
        <f t="shared" si="4"/>
        <v>1.7363268678953676E-3</v>
      </c>
    </row>
    <row r="118" spans="1:3" s="237" customFormat="1">
      <c r="A118" s="1109" t="s">
        <v>820</v>
      </c>
      <c r="B118" s="1763">
        <v>5.5906329113924055E-2</v>
      </c>
      <c r="C118" s="1760">
        <f t="shared" si="4"/>
        <v>1.1458277950780804E-4</v>
      </c>
    </row>
    <row r="119" spans="1:3" s="237" customFormat="1" ht="15.75" thickBot="1">
      <c r="A119" s="1109" t="s">
        <v>19</v>
      </c>
      <c r="B119" s="1764">
        <v>0</v>
      </c>
      <c r="C119" s="1770">
        <f t="shared" si="4"/>
        <v>0</v>
      </c>
    </row>
    <row r="120" spans="1:3" ht="16.5" thickTop="1" thickBot="1">
      <c r="A120" s="1380" t="s">
        <v>114</v>
      </c>
      <c r="B120" s="1372">
        <f>SUM(B91:B119)</f>
        <v>487.91213962578399</v>
      </c>
      <c r="C120" s="162"/>
    </row>
    <row r="121" spans="1:3">
      <c r="A121" s="237"/>
      <c r="B121" s="237"/>
      <c r="C121" s="237"/>
    </row>
    <row r="122" spans="1:3">
      <c r="A122" s="574"/>
      <c r="B122" s="161"/>
    </row>
    <row r="123" spans="1:3">
      <c r="A123" s="161"/>
      <c r="B123" s="161"/>
    </row>
    <row r="124" spans="1:3">
      <c r="A124" s="161"/>
      <c r="B124" s="161"/>
    </row>
    <row r="125" spans="1:3">
      <c r="A125" s="161"/>
      <c r="B125" s="161"/>
    </row>
    <row r="126" spans="1:3">
      <c r="A126" s="161"/>
      <c r="B126" s="161"/>
    </row>
    <row r="127" spans="1:3">
      <c r="A127" s="161"/>
      <c r="B127" s="161"/>
    </row>
    <row r="128" spans="1:3">
      <c r="A128" s="161"/>
      <c r="B128" s="161"/>
    </row>
    <row r="129" spans="1:2">
      <c r="A129" s="161"/>
      <c r="B129" s="161"/>
    </row>
    <row r="130" spans="1:2">
      <c r="A130" s="161"/>
      <c r="B130" s="161"/>
    </row>
    <row r="131" spans="1:2">
      <c r="A131" s="161"/>
      <c r="B131" s="161"/>
    </row>
    <row r="132" spans="1:2">
      <c r="A132" s="161"/>
      <c r="B132" s="161"/>
    </row>
    <row r="133" spans="1:2">
      <c r="A133" s="161"/>
      <c r="B133" s="161"/>
    </row>
  </sheetData>
  <sortState ref="A92:C119">
    <sortCondition descending="1" ref="B92:B119"/>
  </sortState>
  <mergeCells count="5">
    <mergeCell ref="A6:C6"/>
    <mergeCell ref="A32:C32"/>
    <mergeCell ref="A57:C57"/>
    <mergeCell ref="A89:C89"/>
    <mergeCell ref="A84:C84"/>
  </mergeCells>
  <pageMargins left="0.7" right="0.7" top="0.75" bottom="0.75" header="0.3" footer="0.3"/>
  <pageSetup paperSize="8" scale="63" fitToHeight="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8" tint="0.39997558519241921"/>
    <pageSetUpPr fitToPage="1"/>
  </sheetPr>
  <dimension ref="A1:Q66"/>
  <sheetViews>
    <sheetView showGridLines="0" topLeftCell="B1" zoomScaleNormal="100" workbookViewId="0">
      <selection activeCell="R59" sqref="R59"/>
    </sheetView>
  </sheetViews>
  <sheetFormatPr defaultRowHeight="15"/>
  <cols>
    <col min="1" max="1" width="12.5703125" style="130" hidden="1" customWidth="1"/>
    <col min="2" max="2" width="25" style="10" bestFit="1" customWidth="1"/>
    <col min="3" max="5" width="15.7109375" style="10" customWidth="1"/>
    <col min="6" max="6" width="9.7109375" style="10" bestFit="1" customWidth="1"/>
    <col min="7" max="7" width="2.7109375" style="10" customWidth="1"/>
    <col min="8" max="8" width="2.5703125" style="10" customWidth="1"/>
    <col min="9" max="9" width="5.7109375" style="10" customWidth="1"/>
    <col min="10" max="10" width="20" style="10" bestFit="1" customWidth="1"/>
    <col min="11" max="11" width="20" style="10" customWidth="1"/>
    <col min="12" max="13" width="9.140625" style="10"/>
    <col min="14" max="14" width="4" style="10" customWidth="1"/>
    <col min="15" max="15" width="9.85546875" style="10" bestFit="1" customWidth="1"/>
    <col min="16" max="16" width="18.7109375" style="10" customWidth="1"/>
    <col min="17" max="16384" width="9.140625" style="10"/>
  </cols>
  <sheetData>
    <row r="1" spans="1:17">
      <c r="B1" s="36"/>
    </row>
    <row r="4" spans="1:17">
      <c r="G4" s="85"/>
      <c r="H4" s="85"/>
    </row>
    <row r="5" spans="1:17">
      <c r="B5" s="537"/>
      <c r="G5" s="85"/>
      <c r="H5" s="85"/>
    </row>
    <row r="6" spans="1:17" ht="15.75" thickBot="1">
      <c r="B6" s="2079" t="s">
        <v>722</v>
      </c>
      <c r="C6" s="2079"/>
      <c r="D6" s="2079"/>
      <c r="E6" s="2079"/>
      <c r="F6" s="2079"/>
      <c r="H6" s="86"/>
    </row>
    <row r="7" spans="1:17" ht="15.75" thickBot="1">
      <c r="B7" s="2076" t="s">
        <v>347</v>
      </c>
      <c r="C7" s="2077"/>
      <c r="D7" s="2077"/>
      <c r="E7" s="2077"/>
      <c r="F7" s="2078"/>
      <c r="H7" s="86"/>
      <c r="J7" s="1988" t="s">
        <v>355</v>
      </c>
      <c r="K7" s="1988"/>
      <c r="L7" s="1988"/>
      <c r="M7" s="1988"/>
    </row>
    <row r="8" spans="1:17" ht="30" customHeight="1">
      <c r="B8" s="1384" t="s">
        <v>37</v>
      </c>
      <c r="C8" s="1717" t="s">
        <v>815</v>
      </c>
      <c r="D8" s="1717" t="s">
        <v>816</v>
      </c>
      <c r="E8" s="1717" t="s">
        <v>812</v>
      </c>
      <c r="F8" s="1390" t="s">
        <v>350</v>
      </c>
      <c r="H8" s="86"/>
      <c r="I8" s="1385" t="s">
        <v>38</v>
      </c>
      <c r="J8" s="1386" t="s">
        <v>37</v>
      </c>
      <c r="K8" s="1387" t="s">
        <v>351</v>
      </c>
      <c r="L8" s="1388" t="s">
        <v>349</v>
      </c>
      <c r="M8" s="1389" t="s">
        <v>350</v>
      </c>
      <c r="O8" s="1386" t="s">
        <v>37</v>
      </c>
      <c r="P8" s="1388" t="str">
        <f>E8</f>
        <v>'000 million barrels End 2020</v>
      </c>
      <c r="Q8" s="1389" t="s">
        <v>350</v>
      </c>
    </row>
    <row r="9" spans="1:17">
      <c r="A9" s="130">
        <f>RANK(E9,E$9:E$23:E$9:E$65,0)</f>
        <v>15</v>
      </c>
      <c r="B9" s="1109" t="s">
        <v>334</v>
      </c>
      <c r="C9" s="1755">
        <v>11.3</v>
      </c>
      <c r="D9" s="1755">
        <v>12.2</v>
      </c>
      <c r="E9" s="862">
        <v>12.2</v>
      </c>
      <c r="F9" s="1756">
        <f t="shared" ref="F9:F23" si="0">E9/$E$66</f>
        <v>7.042183703486575E-3</v>
      </c>
      <c r="I9" s="1364">
        <v>1</v>
      </c>
      <c r="J9" s="1109" t="str">
        <f>VLOOKUP(I9,A$9:F$23:A$26:F$64,2,FALSE)</f>
        <v>Venezuela</v>
      </c>
      <c r="K9" s="1365" t="str">
        <f t="shared" ref="K9:K18" si="1">IF(COUNTIF(B$9:B$23,J9)=1, "OPEC", "Non-OPEC")</f>
        <v>OPEC</v>
      </c>
      <c r="L9" s="880">
        <f>VLOOKUP(I9,A$9:F$24:A$26:F$64,5,FALSE)</f>
        <v>303.805745</v>
      </c>
      <c r="M9" s="1203">
        <f>VLOOKUP(I9,A$9:F$24:A$26:F$64,6,FALSE)</f>
        <v>0.17536523495611461</v>
      </c>
      <c r="O9" s="1109" t="s">
        <v>358</v>
      </c>
      <c r="P9" s="1369">
        <f>SUM(E9:E23)</f>
        <v>1241.2672920999998</v>
      </c>
      <c r="Q9" s="1205">
        <f>P9/(SUM(P$9:P$10))</f>
        <v>0.71649445049979754</v>
      </c>
    </row>
    <row r="10" spans="1:17" ht="15.75" thickBot="1">
      <c r="A10" s="130">
        <f>RANK(E10,E$9:E$23:E$9:E$65,0)</f>
        <v>18</v>
      </c>
      <c r="B10" s="1109" t="s">
        <v>335</v>
      </c>
      <c r="C10" s="1757">
        <v>6</v>
      </c>
      <c r="D10" s="1757">
        <v>9.1</v>
      </c>
      <c r="E10" s="197">
        <v>7.7830000000000013</v>
      </c>
      <c r="F10" s="1758">
        <f t="shared" si="0"/>
        <v>4.4925668659209859E-3</v>
      </c>
      <c r="I10" s="1364">
        <v>2</v>
      </c>
      <c r="J10" s="1109" t="str">
        <f>VLOOKUP(I10,A$9:F$23:A$26:F$64,2,FALSE)</f>
        <v>Saudi Arabia</v>
      </c>
      <c r="K10" s="1366" t="str">
        <f t="shared" si="1"/>
        <v>OPEC</v>
      </c>
      <c r="L10" s="1368">
        <f>VLOOKUP(I10,A$9:F$24:A$26:F$64,5,FALSE)</f>
        <v>297.57799999999997</v>
      </c>
      <c r="M10" s="1202">
        <f>VLOOKUP(I10,A$9:F$24:A$26:F$64,6,FALSE)</f>
        <v>0.17177040509148589</v>
      </c>
      <c r="O10" s="1110" t="s">
        <v>359</v>
      </c>
      <c r="P10" s="1370">
        <f>SUM(E26:E65)</f>
        <v>491.14988326561826</v>
      </c>
      <c r="Q10" s="1206">
        <f>P10/(SUM(P$9:P$10))</f>
        <v>0.28350554950020251</v>
      </c>
    </row>
    <row r="11" spans="1:17">
      <c r="A11" s="130">
        <f>RANK(E11,E$9:E$23:E$9:E$65,0)</f>
        <v>41</v>
      </c>
      <c r="B11" s="1109" t="s">
        <v>321</v>
      </c>
      <c r="C11" s="1755">
        <v>2.7</v>
      </c>
      <c r="D11" s="1755">
        <v>2.1</v>
      </c>
      <c r="E11" s="862">
        <v>1.3025471</v>
      </c>
      <c r="F11" s="1756">
        <f t="shared" si="0"/>
        <v>7.518668820199753E-4</v>
      </c>
      <c r="I11" s="1364">
        <v>3</v>
      </c>
      <c r="J11" s="1109" t="str">
        <f>VLOOKUP(I11,A$9:F$23:A$26:F$64,2,FALSE)</f>
        <v>Canada</v>
      </c>
      <c r="K11" s="1365" t="str">
        <f t="shared" si="1"/>
        <v>Non-OPEC</v>
      </c>
      <c r="L11" s="880">
        <f>VLOOKUP(I11,A$9:F$24:A$26:F$64,5,FALSE)</f>
        <v>168.08761081922776</v>
      </c>
      <c r="M11" s="1203">
        <f>VLOOKUP(I11,A$9:F$24:A$26:F$64,6,FALSE)</f>
        <v>9.7024904399111433E-2</v>
      </c>
      <c r="O11" s="776"/>
    </row>
    <row r="12" spans="1:17" s="373" customFormat="1">
      <c r="A12" s="130">
        <f>RANK(E12,E$9:E$23:E$9:E$65,0)</f>
        <v>42</v>
      </c>
      <c r="B12" s="1109" t="s">
        <v>337</v>
      </c>
      <c r="C12" s="1757">
        <v>0.79999999999999993</v>
      </c>
      <c r="D12" s="1757">
        <v>1.7050000000000001</v>
      </c>
      <c r="E12" s="197">
        <v>1.1000000000000001</v>
      </c>
      <c r="F12" s="1758">
        <f t="shared" si="0"/>
        <v>6.3495098965862568E-4</v>
      </c>
      <c r="I12" s="1364">
        <v>4</v>
      </c>
      <c r="J12" s="1109" t="str">
        <f>VLOOKUP(I12,A$9:F$23:A$26:F$64,2,FALSE)</f>
        <v>Iran</v>
      </c>
      <c r="K12" s="1366" t="str">
        <f t="shared" si="1"/>
        <v>OPEC</v>
      </c>
      <c r="L12" s="1368">
        <f>VLOOKUP(I12,A$9:F$24:A$26:F$64,5,FALSE)</f>
        <v>157.80000000000001</v>
      </c>
      <c r="M12" s="1202">
        <f>VLOOKUP(I12,A$9:F$24:A$26:F$64,6,FALSE)</f>
        <v>9.1086605607391943E-2</v>
      </c>
      <c r="O12" s="776"/>
    </row>
    <row r="13" spans="1:17">
      <c r="A13" s="130">
        <f>RANK(E13,E$9:E$23:E$9:E$65,0)</f>
        <v>36</v>
      </c>
      <c r="B13" s="1109" t="s">
        <v>338</v>
      </c>
      <c r="C13" s="1755">
        <v>2.4</v>
      </c>
      <c r="D13" s="1755">
        <v>2</v>
      </c>
      <c r="E13" s="862">
        <v>2</v>
      </c>
      <c r="F13" s="1756">
        <f t="shared" si="0"/>
        <v>1.1544563448338649E-3</v>
      </c>
      <c r="I13" s="1364">
        <v>5</v>
      </c>
      <c r="J13" s="1109" t="str">
        <f>VLOOKUP(I13,A$9:F$23:A$26:F$64,2,FALSE)</f>
        <v>Iraq</v>
      </c>
      <c r="K13" s="1365" t="str">
        <f t="shared" si="1"/>
        <v>OPEC</v>
      </c>
      <c r="L13" s="880">
        <f>VLOOKUP(I13,A$9:F$24:A$26:F$64,5,FALSE)</f>
        <v>145.01900000000001</v>
      </c>
      <c r="M13" s="1203">
        <f>VLOOKUP(I13,A$9:F$24:A$26:F$64,6,FALSE)</f>
        <v>8.3709052335731129E-2</v>
      </c>
    </row>
    <row r="14" spans="1:17">
      <c r="A14" s="130">
        <f>RANK(E14,E$9:E$23:E$9:E$65,0)</f>
        <v>4</v>
      </c>
      <c r="B14" s="1109" t="s">
        <v>128</v>
      </c>
      <c r="C14" s="1757">
        <v>99.5</v>
      </c>
      <c r="D14" s="1757">
        <v>151.19999999999999</v>
      </c>
      <c r="E14" s="197">
        <v>157.80000000000001</v>
      </c>
      <c r="F14" s="1758">
        <f t="shared" si="0"/>
        <v>9.1086605607391943E-2</v>
      </c>
      <c r="I14" s="1364">
        <v>6</v>
      </c>
      <c r="J14" s="1109" t="str">
        <f>VLOOKUP(I14,A$9:F$23:A$26:F$64,2,FALSE)</f>
        <v>Russian Federation</v>
      </c>
      <c r="K14" s="1366" t="str">
        <f t="shared" si="1"/>
        <v>Non-OPEC</v>
      </c>
      <c r="L14" s="1368">
        <f>VLOOKUP(I14,A$9:F$24:A$26:F$64,5,FALSE)</f>
        <v>107.80423919999998</v>
      </c>
      <c r="M14" s="1202">
        <f>VLOOKUP(I14,A$9:F$24:A$26:F$64,6,FALSE)</f>
        <v>6.2227643972213816E-2</v>
      </c>
    </row>
    <row r="15" spans="1:17">
      <c r="A15" s="130">
        <f>RANK(E15,E$9:E$23:E$9:E$65,0)</f>
        <v>5</v>
      </c>
      <c r="B15" s="1109" t="s">
        <v>329</v>
      </c>
      <c r="C15" s="1755">
        <v>112.5</v>
      </c>
      <c r="D15" s="1755">
        <v>115</v>
      </c>
      <c r="E15" s="862">
        <v>145.01900000000001</v>
      </c>
      <c r="F15" s="1756">
        <f t="shared" si="0"/>
        <v>8.3709052335731129E-2</v>
      </c>
      <c r="I15" s="1364">
        <v>7</v>
      </c>
      <c r="J15" s="1109" t="str">
        <f>VLOOKUP(I15,A$9:F$23:A$26:F$64,2,FALSE)</f>
        <v>Kuwait</v>
      </c>
      <c r="K15" s="1365" t="str">
        <f t="shared" si="1"/>
        <v>OPEC</v>
      </c>
      <c r="L15" s="880">
        <f>VLOOKUP(I15,A$9:F$24:A$26:F$64,5,FALSE)</f>
        <v>101.5</v>
      </c>
      <c r="M15" s="1203">
        <f>VLOOKUP(I15,A$9:F$24:A$26:F$64,6,FALSE)</f>
        <v>5.8588659500318642E-2</v>
      </c>
    </row>
    <row r="16" spans="1:17">
      <c r="A16" s="130">
        <f>RANK(E16,E$9:E$23:E$9:E$65,0)</f>
        <v>7</v>
      </c>
      <c r="B16" s="1109" t="s">
        <v>330</v>
      </c>
      <c r="C16" s="1757">
        <v>96.5</v>
      </c>
      <c r="D16" s="1757">
        <v>101.5</v>
      </c>
      <c r="E16" s="197">
        <v>101.5</v>
      </c>
      <c r="F16" s="1758">
        <f t="shared" si="0"/>
        <v>5.8588659500318642E-2</v>
      </c>
      <c r="I16" s="1364">
        <v>8</v>
      </c>
      <c r="J16" s="1109" t="str">
        <f>VLOOKUP(I16,A$9:F$23:A$26:F$64,2,FALSE)</f>
        <v>United Arab Emirates</v>
      </c>
      <c r="K16" s="1366" t="str">
        <f t="shared" si="1"/>
        <v>OPEC</v>
      </c>
      <c r="L16" s="1368">
        <f>VLOOKUP(I16,A$9:F$24:A$26:F$64,5,FALSE)</f>
        <v>97.8</v>
      </c>
      <c r="M16" s="1202">
        <f>VLOOKUP(I16,A$9:F$24:A$26:F$64,6,FALSE)</f>
        <v>5.6452915262375988E-2</v>
      </c>
    </row>
    <row r="17" spans="1:13">
      <c r="A17" s="130">
        <f>RANK(E17,E$9:E$23:E$9:E$65,0)</f>
        <v>10</v>
      </c>
      <c r="B17" s="1109" t="s">
        <v>339</v>
      </c>
      <c r="C17" s="1755">
        <v>36</v>
      </c>
      <c r="D17" s="1755">
        <v>47.1</v>
      </c>
      <c r="E17" s="862">
        <v>48.363</v>
      </c>
      <c r="F17" s="1756">
        <f t="shared" si="0"/>
        <v>2.7916486102600103E-2</v>
      </c>
      <c r="I17" s="1364">
        <v>9</v>
      </c>
      <c r="J17" s="1109" t="str">
        <f>VLOOKUP(I17,A$9:F$23:A$26:F$64,2,FALSE)</f>
        <v>US</v>
      </c>
      <c r="K17" s="1365" t="str">
        <f t="shared" si="1"/>
        <v>Non-OPEC</v>
      </c>
      <c r="L17" s="880">
        <f>VLOOKUP(I17,A$9:F$24:A$26:F$64,5,FALSE)</f>
        <v>68.757000000000005</v>
      </c>
      <c r="M17" s="1203">
        <f>VLOOKUP(I17,A$9:F$24:A$26:F$64,6,FALSE)</f>
        <v>3.9688477450871028E-2</v>
      </c>
    </row>
    <row r="18" spans="1:13">
      <c r="A18" s="130">
        <f>RANK(E18,E$9:E$23:E$9:E$65,0)</f>
        <v>11</v>
      </c>
      <c r="B18" s="1109" t="s">
        <v>340</v>
      </c>
      <c r="C18" s="1757">
        <v>29</v>
      </c>
      <c r="D18" s="1757">
        <v>37.200000000000003</v>
      </c>
      <c r="E18" s="197">
        <v>36.890000000000008</v>
      </c>
      <c r="F18" s="1758">
        <f t="shared" si="0"/>
        <v>2.1293947280460641E-2</v>
      </c>
      <c r="I18" s="1364">
        <v>10</v>
      </c>
      <c r="J18" s="1109" t="str">
        <f>VLOOKUP(I18,A$9:F$23:A$26:F$64,2,FALSE)</f>
        <v>Libya</v>
      </c>
      <c r="K18" s="1366" t="str">
        <f t="shared" si="1"/>
        <v>OPEC</v>
      </c>
      <c r="L18" s="1368">
        <f>VLOOKUP(I18,A$9:F$24:A$26:F$64,5,FALSE)</f>
        <v>48.363</v>
      </c>
      <c r="M18" s="1202">
        <f>VLOOKUP(I18,A$9:F$24:A$26:F$64,6,FALSE)</f>
        <v>2.7916486102600103E-2</v>
      </c>
    </row>
    <row r="19" spans="1:13" ht="15.75" thickBot="1">
      <c r="A19" s="130">
        <f>RANK(E19,E$9:E$23:E$9:E$65,0)</f>
        <v>14</v>
      </c>
      <c r="B19" s="1109" t="s">
        <v>29</v>
      </c>
      <c r="C19" s="1755">
        <v>16.899999999999999</v>
      </c>
      <c r="D19" s="1755">
        <v>24.7</v>
      </c>
      <c r="E19" s="862">
        <v>25.243999999999996</v>
      </c>
      <c r="F19" s="1756">
        <f t="shared" si="0"/>
        <v>1.457154798449304E-2</v>
      </c>
      <c r="I19" s="90"/>
      <c r="J19" s="1110" t="s">
        <v>39</v>
      </c>
      <c r="K19" s="1367"/>
      <c r="L19" s="881"/>
      <c r="M19" s="1204">
        <f>1-SUM(M9:M18)</f>
        <v>0.13616961532178551</v>
      </c>
    </row>
    <row r="20" spans="1:13">
      <c r="A20" s="130">
        <f>RANK(E20,E$9:E$23:E$9:E$65,0)</f>
        <v>28</v>
      </c>
      <c r="B20" s="1109" t="s">
        <v>557</v>
      </c>
      <c r="C20" s="1757">
        <v>1.5059130000000001</v>
      </c>
      <c r="D20" s="1757">
        <v>2</v>
      </c>
      <c r="E20" s="197">
        <v>2.8820000000000001</v>
      </c>
      <c r="F20" s="1758">
        <f t="shared" si="0"/>
        <v>1.6635715929055992E-3</v>
      </c>
    </row>
    <row r="21" spans="1:13">
      <c r="A21" s="130">
        <f>RANK(E21,E$9:E$23:E$9:E$65,0)</f>
        <v>2</v>
      </c>
      <c r="B21" s="1109" t="s">
        <v>31</v>
      </c>
      <c r="C21" s="1755">
        <v>262.8</v>
      </c>
      <c r="D21" s="1755">
        <v>264.5</v>
      </c>
      <c r="E21" s="862">
        <v>297.57799999999997</v>
      </c>
      <c r="F21" s="1756">
        <f t="shared" si="0"/>
        <v>0.17177040509148589</v>
      </c>
    </row>
    <row r="22" spans="1:13">
      <c r="A22" s="130">
        <f>RANK(E22,E$9:E$23:E$9:E$65,0)</f>
        <v>8</v>
      </c>
      <c r="B22" s="1109" t="s">
        <v>34</v>
      </c>
      <c r="C22" s="1757">
        <v>97.8</v>
      </c>
      <c r="D22" s="1757">
        <v>97.8</v>
      </c>
      <c r="E22" s="197">
        <v>97.8</v>
      </c>
      <c r="F22" s="1758">
        <f t="shared" si="0"/>
        <v>5.6452915262375988E-2</v>
      </c>
    </row>
    <row r="23" spans="1:13" ht="15.75" thickBot="1">
      <c r="A23" s="130">
        <f>RANK(E23,E$9:E$23:E$9:E$65,0)</f>
        <v>1</v>
      </c>
      <c r="B23" s="1109" t="s">
        <v>132</v>
      </c>
      <c r="C23" s="1755">
        <v>76.8</v>
      </c>
      <c r="D23" s="1755">
        <v>296.5</v>
      </c>
      <c r="E23" s="862">
        <v>303.805745</v>
      </c>
      <c r="F23" s="1756">
        <f t="shared" si="0"/>
        <v>0.17536523495611461</v>
      </c>
    </row>
    <row r="24" spans="1:13">
      <c r="B24" s="2076" t="s">
        <v>348</v>
      </c>
      <c r="C24" s="2077"/>
      <c r="D24" s="2077"/>
      <c r="E24" s="2077"/>
      <c r="F24" s="2078"/>
    </row>
    <row r="25" spans="1:13" ht="30">
      <c r="B25" s="1384" t="s">
        <v>37</v>
      </c>
      <c r="C25" s="1717" t="s">
        <v>815</v>
      </c>
      <c r="D25" s="1717" t="s">
        <v>816</v>
      </c>
      <c r="E25" s="1717" t="str">
        <f>E8</f>
        <v>'000 million barrels End 2020</v>
      </c>
      <c r="F25" s="1390" t="s">
        <v>350</v>
      </c>
    </row>
    <row r="26" spans="1:13">
      <c r="A26" s="130">
        <f>RANK(E26,E$9:E$23:E$9:E$65,0)</f>
        <v>32</v>
      </c>
      <c r="B26" s="1109" t="s">
        <v>16</v>
      </c>
      <c r="C26" s="1755">
        <v>2.9737030132881475</v>
      </c>
      <c r="D26" s="1755">
        <v>2.524151719649196</v>
      </c>
      <c r="E26" s="862">
        <v>2.4827074925111905</v>
      </c>
      <c r="F26" s="1756">
        <f t="shared" ref="F26:F65" si="2">E26/$E$66</f>
        <v>1.4330887085480593E-3</v>
      </c>
    </row>
    <row r="27" spans="1:13">
      <c r="A27" s="130">
        <f>RANK(E27,E$9:E$23:E$9:E$65,0)</f>
        <v>34</v>
      </c>
      <c r="B27" s="1109" t="s">
        <v>127</v>
      </c>
      <c r="C27" s="1757">
        <v>4.9437912446660999</v>
      </c>
      <c r="D27" s="1757">
        <v>3.8310796954038282</v>
      </c>
      <c r="E27" s="197">
        <v>2.3903420957597694</v>
      </c>
      <c r="F27" s="1758">
        <f t="shared" si="2"/>
        <v>1.3797727993866717E-3</v>
      </c>
    </row>
    <row r="28" spans="1:13">
      <c r="A28" s="130">
        <f>RANK(E28,E$9:E$23:E$9:E$65,0)</f>
        <v>19</v>
      </c>
      <c r="B28" s="1109" t="s">
        <v>324</v>
      </c>
      <c r="C28" s="1755">
        <v>1.1779999999999999</v>
      </c>
      <c r="D28" s="1755">
        <v>7</v>
      </c>
      <c r="E28" s="862">
        <v>7</v>
      </c>
      <c r="F28" s="1756">
        <f t="shared" si="2"/>
        <v>4.0405972069185265E-3</v>
      </c>
    </row>
    <row r="29" spans="1:13">
      <c r="A29" s="130">
        <f>RANK(E29,E$9:E$23:E$9:E$65,0)</f>
        <v>16</v>
      </c>
      <c r="B29" s="1109" t="s">
        <v>55</v>
      </c>
      <c r="C29" s="1757">
        <v>8.4644876492931616</v>
      </c>
      <c r="D29" s="1757">
        <v>14.24633</v>
      </c>
      <c r="E29" s="197">
        <v>11.925011329482262</v>
      </c>
      <c r="F29" s="1758">
        <f t="shared" si="2"/>
        <v>6.8834524957682589E-3</v>
      </c>
    </row>
    <row r="30" spans="1:13">
      <c r="A30" s="130">
        <f>RANK(E30,E$9:E$23:E$9:E$65,0)</f>
        <v>42</v>
      </c>
      <c r="B30" s="1109" t="s">
        <v>345</v>
      </c>
      <c r="C30" s="1755">
        <v>1.2299999999999998</v>
      </c>
      <c r="D30" s="1755">
        <v>1.1000000000000001</v>
      </c>
      <c r="E30" s="862">
        <v>1.1000000000000001</v>
      </c>
      <c r="F30" s="1756">
        <f t="shared" si="2"/>
        <v>6.3495098965862568E-4</v>
      </c>
    </row>
    <row r="31" spans="1:13">
      <c r="A31" s="130">
        <f>RANK(E31,E$9:E$23:E$9:E$65,0)</f>
        <v>3</v>
      </c>
      <c r="B31" s="1109" t="s">
        <v>56</v>
      </c>
      <c r="C31" s="1757">
        <v>181.50369745653728</v>
      </c>
      <c r="D31" s="1757">
        <v>174.84802100133899</v>
      </c>
      <c r="E31" s="197">
        <v>168.08761081922776</v>
      </c>
      <c r="F31" s="1758">
        <f t="shared" si="2"/>
        <v>9.7024904399111433E-2</v>
      </c>
    </row>
    <row r="32" spans="1:13">
      <c r="A32" s="130">
        <f>RANK(E32,E$9:E$23:E$9:E$65,0)</f>
        <v>38</v>
      </c>
      <c r="B32" s="1109" t="s">
        <v>336</v>
      </c>
      <c r="C32" s="1755">
        <v>0.90000000000000013</v>
      </c>
      <c r="D32" s="1755">
        <v>1.5</v>
      </c>
      <c r="E32" s="862">
        <v>1.5</v>
      </c>
      <c r="F32" s="1756">
        <f t="shared" si="2"/>
        <v>8.6584225862539857E-4</v>
      </c>
    </row>
    <row r="33" spans="1:6">
      <c r="A33" s="130">
        <f>RANK(E33,E$9:E$23:E$9:E$65,0)</f>
        <v>13</v>
      </c>
      <c r="B33" s="1109" t="s">
        <v>18</v>
      </c>
      <c r="C33" s="1757">
        <v>15.190300000000001</v>
      </c>
      <c r="D33" s="1757">
        <v>23.268007489999999</v>
      </c>
      <c r="E33" s="197">
        <v>25.962757379999999</v>
      </c>
      <c r="F33" s="1758">
        <f t="shared" si="2"/>
        <v>1.4986434993361624E-2</v>
      </c>
    </row>
    <row r="34" spans="1:6" ht="14.25" customHeight="1">
      <c r="A34" s="130">
        <f>RANK(E34,E$9:E$23:E$9:E$65,0)</f>
        <v>35</v>
      </c>
      <c r="B34" s="1109" t="s">
        <v>320</v>
      </c>
      <c r="C34" s="1755">
        <v>1.9719000000000002</v>
      </c>
      <c r="D34" s="1755">
        <v>1.9</v>
      </c>
      <c r="E34" s="862">
        <v>2.036</v>
      </c>
      <c r="F34" s="1756">
        <f t="shared" si="2"/>
        <v>1.1752365590408744E-3</v>
      </c>
    </row>
    <row r="35" spans="1:6">
      <c r="A35" s="130">
        <f>RANK(E35,E$9:E$23:E$9:E$65,0)</f>
        <v>50</v>
      </c>
      <c r="B35" s="1109" t="s">
        <v>325</v>
      </c>
      <c r="C35" s="1757">
        <v>1.11329650166145</v>
      </c>
      <c r="D35" s="1757">
        <v>0.89944293637055006</v>
      </c>
      <c r="E35" s="197">
        <v>0.42770713058179999</v>
      </c>
      <c r="F35" s="1758">
        <f t="shared" si="2"/>
        <v>2.4688460531542268E-4</v>
      </c>
    </row>
    <row r="36" spans="1:6">
      <c r="A36" s="130">
        <f>RANK(E36,E$9:E$23:E$9:E$65,0)</f>
        <v>26</v>
      </c>
      <c r="B36" s="1109" t="s">
        <v>19</v>
      </c>
      <c r="C36" s="1755">
        <v>3.6269</v>
      </c>
      <c r="D36" s="1755">
        <v>4.5</v>
      </c>
      <c r="E36" s="862">
        <v>3.1459999999999999</v>
      </c>
      <c r="F36" s="1756">
        <f t="shared" si="2"/>
        <v>1.8159598304236693E-3</v>
      </c>
    </row>
    <row r="37" spans="1:6">
      <c r="A37" s="130">
        <f>RANK(E37,E$9:E$23:E$9:E$65,0)</f>
        <v>22</v>
      </c>
      <c r="B37" s="1109" t="s">
        <v>21</v>
      </c>
      <c r="C37" s="1757">
        <v>5.2899003000000002</v>
      </c>
      <c r="D37" s="1757">
        <v>5.8331898000000004</v>
      </c>
      <c r="E37" s="197">
        <v>4.5432921809788889</v>
      </c>
      <c r="F37" s="1758">
        <f t="shared" si="2"/>
        <v>2.6225162423825828E-3</v>
      </c>
    </row>
    <row r="38" spans="1:6">
      <c r="A38" s="130">
        <f>RANK(E38,E$9:E$23:E$9:E$65,0)</f>
        <v>33</v>
      </c>
      <c r="B38" s="1109" t="s">
        <v>22</v>
      </c>
      <c r="C38" s="1755">
        <v>5.12</v>
      </c>
      <c r="D38" s="1755">
        <v>4.2300000000000004</v>
      </c>
      <c r="E38" s="862">
        <v>2.44</v>
      </c>
      <c r="F38" s="1756">
        <f t="shared" si="2"/>
        <v>1.408436740697315E-3</v>
      </c>
    </row>
    <row r="39" spans="1:6">
      <c r="A39" s="130">
        <f>RANK(E39,E$9:E$23:E$9:E$65,0)</f>
        <v>46</v>
      </c>
      <c r="B39" s="1109" t="s">
        <v>59</v>
      </c>
      <c r="C39" s="1757">
        <v>0.59795100000000001</v>
      </c>
      <c r="D39" s="1757">
        <v>0.57975512400000007</v>
      </c>
      <c r="E39" s="197">
        <v>0.60407432099999991</v>
      </c>
      <c r="F39" s="1758">
        <f t="shared" si="2"/>
        <v>3.4868871631482933E-4</v>
      </c>
    </row>
    <row r="40" spans="1:6">
      <c r="A40" s="130">
        <f>RANK(E40,E$9:E$23:E$9:E$65,0)</f>
        <v>12</v>
      </c>
      <c r="B40" s="1109" t="s">
        <v>65</v>
      </c>
      <c r="C40" s="1755">
        <v>5.4</v>
      </c>
      <c r="D40" s="1755">
        <v>30</v>
      </c>
      <c r="E40" s="862">
        <v>30</v>
      </c>
      <c r="F40" s="1756">
        <f t="shared" si="2"/>
        <v>1.7316845172507971E-2</v>
      </c>
    </row>
    <row r="41" spans="1:6">
      <c r="A41" s="130">
        <f>RANK(E41,E$9:E$23:E$9:E$65,0)</f>
        <v>29</v>
      </c>
      <c r="B41" s="1109" t="s">
        <v>25</v>
      </c>
      <c r="C41" s="1757">
        <v>2.1255300000000004</v>
      </c>
      <c r="D41" s="1757">
        <v>3.5719999999999996</v>
      </c>
      <c r="E41" s="197">
        <v>2.7318000000000002</v>
      </c>
      <c r="F41" s="1758">
        <f t="shared" si="2"/>
        <v>1.576871921408576E-3</v>
      </c>
    </row>
    <row r="42" spans="1:6">
      <c r="A42" s="130">
        <f>RANK(E42,E$9:E$23:E$9:E$65,0)</f>
        <v>20</v>
      </c>
      <c r="B42" s="1109" t="s">
        <v>66</v>
      </c>
      <c r="C42" s="1755">
        <v>24.63128</v>
      </c>
      <c r="D42" s="1755">
        <v>10.419600000000001</v>
      </c>
      <c r="E42" s="862">
        <v>6.0658799999999991</v>
      </c>
      <c r="F42" s="1756">
        <f t="shared" si="2"/>
        <v>3.5013968265004214E-3</v>
      </c>
    </row>
    <row r="43" spans="1:6">
      <c r="A43" s="130">
        <f>RANK(E43,E$9:E$23:E$9:E$65,0)</f>
        <v>17</v>
      </c>
      <c r="B43" s="1109" t="s">
        <v>60</v>
      </c>
      <c r="C43" s="1757">
        <v>11.366245077766401</v>
      </c>
      <c r="D43" s="1757">
        <v>6.8039921911075032</v>
      </c>
      <c r="E43" s="197">
        <v>7.9017046112025353</v>
      </c>
      <c r="F43" s="1758">
        <f t="shared" si="2"/>
        <v>4.5610865117028873E-3</v>
      </c>
    </row>
    <row r="44" spans="1:6">
      <c r="A44" s="130">
        <f>RANK(E44,E$9:E$23:E$9:E$65,0)</f>
        <v>21</v>
      </c>
      <c r="B44" s="1109" t="s">
        <v>36</v>
      </c>
      <c r="C44" s="1755">
        <v>5.8479999999999999</v>
      </c>
      <c r="D44" s="1755">
        <v>5.5</v>
      </c>
      <c r="E44" s="862">
        <v>5.3730000000000002</v>
      </c>
      <c r="F44" s="1756">
        <f t="shared" si="2"/>
        <v>3.1014469703961778E-3</v>
      </c>
    </row>
    <row r="45" spans="1:6">
      <c r="A45" s="130">
        <f>RANK(E45,E$9:E$23:E$9:E$65,0)</f>
        <v>24</v>
      </c>
      <c r="B45" s="1109" t="s">
        <v>344</v>
      </c>
      <c r="C45" s="1757">
        <v>0.67832000000000015</v>
      </c>
      <c r="D45" s="1757">
        <v>2.2661220000000006</v>
      </c>
      <c r="E45" s="197">
        <v>3.8229500820879543</v>
      </c>
      <c r="F45" s="1758">
        <f t="shared" si="2"/>
        <v>2.2067144891247917E-3</v>
      </c>
    </row>
    <row r="46" spans="1:6">
      <c r="A46" s="130">
        <f>RANK(E46,E$9:E$23:E$9:E$65,0)</f>
        <v>40</v>
      </c>
      <c r="B46" s="1109" t="s">
        <v>346</v>
      </c>
      <c r="C46" s="1755">
        <v>1.307612</v>
      </c>
      <c r="D46" s="1755">
        <v>1.107442446338216</v>
      </c>
      <c r="E46" s="862">
        <v>1.3377792917690436</v>
      </c>
      <c r="F46" s="1756">
        <f t="shared" si="2"/>
        <v>7.7220389568506329E-4</v>
      </c>
    </row>
    <row r="47" spans="1:6">
      <c r="A47" s="130">
        <f>RANK(E47,E$9:E$23:E$9:E$65,0)</f>
        <v>53</v>
      </c>
      <c r="B47" s="1109" t="s">
        <v>555</v>
      </c>
      <c r="C47" s="1757">
        <v>0.25</v>
      </c>
      <c r="D47" s="1757">
        <v>0.25</v>
      </c>
      <c r="E47" s="197">
        <v>0.25</v>
      </c>
      <c r="F47" s="1758">
        <f t="shared" si="2"/>
        <v>1.4430704310423311E-4</v>
      </c>
    </row>
    <row r="48" spans="1:6">
      <c r="A48" s="130">
        <f>RANK(E48,E$9:E$23:E$9:E$65,0)</f>
        <v>37</v>
      </c>
      <c r="B48" s="1109" t="s">
        <v>556</v>
      </c>
      <c r="C48" s="1755">
        <v>2.0711899375154998</v>
      </c>
      <c r="D48" s="1755">
        <v>1.9394051509939449</v>
      </c>
      <c r="E48" s="862">
        <v>1.5954770019583344</v>
      </c>
      <c r="F48" s="1756">
        <f t="shared" si="2"/>
        <v>9.2095427397365591E-4</v>
      </c>
    </row>
    <row r="49" spans="1:11">
      <c r="A49" s="130">
        <f>RANK(E49,E$9:E$23:E$9:E$65,0)</f>
        <v>55</v>
      </c>
      <c r="B49" s="1109" t="s">
        <v>333</v>
      </c>
      <c r="C49" s="1757">
        <v>0.15287000000000003</v>
      </c>
      <c r="D49" s="1757">
        <v>0.27694000000000002</v>
      </c>
      <c r="E49" s="197">
        <v>0.17869100000000002</v>
      </c>
      <c r="F49" s="1758">
        <f t="shared" si="2"/>
        <v>1.0314547935735408E-4</v>
      </c>
    </row>
    <row r="50" spans="1:11">
      <c r="A50" s="130">
        <f>RANK(E50,E$9:E$23:E$9:E$65,0)</f>
        <v>44</v>
      </c>
      <c r="B50" s="1109" t="s">
        <v>323</v>
      </c>
      <c r="C50" s="1755">
        <v>1.3274079999999999</v>
      </c>
      <c r="D50" s="1755">
        <v>0.76938229999999996</v>
      </c>
      <c r="E50" s="862">
        <v>0.82478129999999994</v>
      </c>
      <c r="F50" s="1756">
        <f t="shared" si="2"/>
        <v>4.7608700244266162E-4</v>
      </c>
    </row>
    <row r="51" spans="1:11">
      <c r="A51" s="130">
        <f>RANK(E51,E$9:E$23:E$9:E$65,0)</f>
        <v>45</v>
      </c>
      <c r="B51" s="1109" t="s">
        <v>68</v>
      </c>
      <c r="C51" s="1757">
        <v>0.90561999999999998</v>
      </c>
      <c r="D51" s="1757">
        <v>1.24</v>
      </c>
      <c r="E51" s="197">
        <v>0.74634602905873759</v>
      </c>
      <c r="F51" s="1758">
        <f t="shared" si="2"/>
        <v>4.3081195434420985E-4</v>
      </c>
      <c r="K51" s="10" t="str">
        <f>"Global Distribution of Oil Reserves"&amp;CHAR(10)&amp;"at end "&amp;RIGHT($E$8,4)</f>
        <v>Global Distribution of Oil Reserves
at end 2020</v>
      </c>
    </row>
    <row r="52" spans="1:11">
      <c r="A52" s="130">
        <f>RANK(E52,E$9:E$23:E$9:E$65,0)</f>
        <v>47</v>
      </c>
      <c r="B52" s="1109" t="s">
        <v>326</v>
      </c>
      <c r="C52" s="1755">
        <v>1.1699000000000004</v>
      </c>
      <c r="D52" s="1755">
        <v>0.6</v>
      </c>
      <c r="E52" s="862">
        <v>0.6</v>
      </c>
      <c r="F52" s="1756">
        <f t="shared" si="2"/>
        <v>3.4633690345015945E-4</v>
      </c>
    </row>
    <row r="53" spans="1:11">
      <c r="A53" s="130">
        <f>RANK(E53,E$9:E$23:E$9:E$65,0)</f>
        <v>6</v>
      </c>
      <c r="B53" s="1109" t="s">
        <v>30</v>
      </c>
      <c r="C53" s="1757">
        <v>112.11202259999999</v>
      </c>
      <c r="D53" s="1757">
        <v>105.80035179999999</v>
      </c>
      <c r="E53" s="197">
        <v>107.80423919999998</v>
      </c>
      <c r="F53" s="1758">
        <f t="shared" si="2"/>
        <v>6.2227643972213816E-2</v>
      </c>
    </row>
    <row r="54" spans="1:11">
      <c r="A54" s="130">
        <f>RANK(E54,E$9:E$23:E$9:E$65,0)</f>
        <v>25</v>
      </c>
      <c r="B54" s="1109" t="s">
        <v>341</v>
      </c>
      <c r="C54" s="1755" t="s">
        <v>236</v>
      </c>
      <c r="D54" s="1755" t="s">
        <v>236</v>
      </c>
      <c r="E54" s="862">
        <v>3.5</v>
      </c>
      <c r="F54" s="1756">
        <f t="shared" si="2"/>
        <v>2.0202986034592633E-3</v>
      </c>
    </row>
    <row r="55" spans="1:11">
      <c r="A55" s="130">
        <f>RANK(E55,E$9:E$23:E$9:E$65,0)</f>
        <v>39</v>
      </c>
      <c r="B55" s="1109" t="s">
        <v>342</v>
      </c>
      <c r="C55" s="1757">
        <v>0.2621</v>
      </c>
      <c r="D55" s="1757">
        <v>4.9999999999999991</v>
      </c>
      <c r="E55" s="197">
        <v>1.4999999999999998</v>
      </c>
      <c r="F55" s="1758">
        <f t="shared" si="2"/>
        <v>8.6584225862539846E-4</v>
      </c>
    </row>
    <row r="56" spans="1:11">
      <c r="A56" s="130">
        <f>RANK(E56,E$9:E$23:E$9:E$65,0)</f>
        <v>30</v>
      </c>
      <c r="B56" s="1109" t="s">
        <v>331</v>
      </c>
      <c r="C56" s="1755">
        <v>2.3250000000000002</v>
      </c>
      <c r="D56" s="1755">
        <v>2.5</v>
      </c>
      <c r="E56" s="862">
        <v>2.5</v>
      </c>
      <c r="F56" s="1756">
        <f t="shared" si="2"/>
        <v>1.443070431042331E-3</v>
      </c>
    </row>
    <row r="57" spans="1:11">
      <c r="A57" s="130">
        <f>RANK(E57,E$9:E$23:E$9:E$65,0)</f>
        <v>52</v>
      </c>
      <c r="B57" s="1109" t="s">
        <v>33</v>
      </c>
      <c r="C57" s="1757">
        <v>0.51500000000000001</v>
      </c>
      <c r="D57" s="1757">
        <v>0.442</v>
      </c>
      <c r="E57" s="197">
        <v>0.25275000000000003</v>
      </c>
      <c r="F57" s="1758">
        <f t="shared" si="2"/>
        <v>1.458944205783797E-4</v>
      </c>
    </row>
    <row r="58" spans="1:11">
      <c r="A58" s="130">
        <f>RANK(E58,E$9:E$23:E$9:E$65,0)</f>
        <v>54</v>
      </c>
      <c r="B58" s="1109" t="s">
        <v>322</v>
      </c>
      <c r="C58" s="1755">
        <v>0.85106999999999977</v>
      </c>
      <c r="D58" s="1755">
        <v>0.83</v>
      </c>
      <c r="E58" s="862">
        <v>0.24298200000000003</v>
      </c>
      <c r="F58" s="1756">
        <f t="shared" si="2"/>
        <v>1.4025605579021108E-4</v>
      </c>
    </row>
    <row r="59" spans="1:11">
      <c r="A59" s="130">
        <f>RANK(E59,E$9:E$23:E$9:E$65,0)</f>
        <v>51</v>
      </c>
      <c r="B59" s="1109" t="s">
        <v>343</v>
      </c>
      <c r="C59" s="1757">
        <v>0.42519999999999997</v>
      </c>
      <c r="D59" s="1757">
        <v>0.42499999999999999</v>
      </c>
      <c r="E59" s="197">
        <v>0.42499999999999999</v>
      </c>
      <c r="F59" s="1758">
        <f t="shared" si="2"/>
        <v>2.4532197327719625E-4</v>
      </c>
    </row>
    <row r="60" spans="1:11">
      <c r="A60" s="130">
        <f>RANK(E60,E$9:E$23:E$9:E$65,0)</f>
        <v>47</v>
      </c>
      <c r="B60" s="1109" t="s">
        <v>327</v>
      </c>
      <c r="C60" s="1755">
        <v>0.54600000000000004</v>
      </c>
      <c r="D60" s="1755">
        <v>0.6</v>
      </c>
      <c r="E60" s="862">
        <v>0.6</v>
      </c>
      <c r="F60" s="1756">
        <f t="shared" si="2"/>
        <v>3.4633690345015945E-4</v>
      </c>
    </row>
    <row r="61" spans="1:11">
      <c r="A61" s="130">
        <f>RANK(E61,E$9:E$23:E$9:E$65,0)</f>
        <v>30</v>
      </c>
      <c r="B61" s="1109" t="s">
        <v>63</v>
      </c>
      <c r="C61" s="1757">
        <v>4.7249999999999996</v>
      </c>
      <c r="D61" s="1757">
        <v>2.8050000000000002</v>
      </c>
      <c r="E61" s="197">
        <v>2.5</v>
      </c>
      <c r="F61" s="1758">
        <f t="shared" si="2"/>
        <v>1.443070431042331E-3</v>
      </c>
    </row>
    <row r="62" spans="1:11">
      <c r="A62" s="130">
        <f>RANK(E62,E$9:E$23:E$9:E$65,0)</f>
        <v>9</v>
      </c>
      <c r="B62" s="1109" t="s">
        <v>319</v>
      </c>
      <c r="C62" s="1755">
        <v>30.39</v>
      </c>
      <c r="D62" s="1755">
        <v>34.99</v>
      </c>
      <c r="E62" s="862">
        <v>68.757000000000005</v>
      </c>
      <c r="F62" s="1756">
        <f t="shared" si="2"/>
        <v>3.9688477450871028E-2</v>
      </c>
    </row>
    <row r="63" spans="1:11">
      <c r="A63" s="130">
        <f>RANK(E63,E$9:E$23:E$9:E$65,0)</f>
        <v>49</v>
      </c>
      <c r="B63" s="1109" t="s">
        <v>328</v>
      </c>
      <c r="C63" s="1757">
        <v>0.59399999999999997</v>
      </c>
      <c r="D63" s="1757">
        <v>0.59399999999999997</v>
      </c>
      <c r="E63" s="197">
        <v>0.59399999999999997</v>
      </c>
      <c r="F63" s="1758">
        <f t="shared" si="2"/>
        <v>3.4287353441565783E-4</v>
      </c>
    </row>
    <row r="64" spans="1:11">
      <c r="A64" s="130">
        <f>RANK(E64,E$9:E$23:E$9:E$65,0)</f>
        <v>23</v>
      </c>
      <c r="B64" s="1109" t="s">
        <v>137</v>
      </c>
      <c r="C64" s="1755">
        <v>1.95</v>
      </c>
      <c r="D64" s="1755">
        <v>4.4000000000000004</v>
      </c>
      <c r="E64" s="862">
        <v>4.4000000000000004</v>
      </c>
      <c r="F64" s="1756">
        <f t="shared" si="2"/>
        <v>2.5398039586345027E-3</v>
      </c>
    </row>
    <row r="65" spans="1:6" ht="15.75" thickBot="1">
      <c r="A65" s="130">
        <f>RANK(E65,E$9:E$23:E$9:E$65,0)</f>
        <v>27</v>
      </c>
      <c r="B65" s="1109" t="s">
        <v>332</v>
      </c>
      <c r="C65" s="1757">
        <v>2.4</v>
      </c>
      <c r="D65" s="1757">
        <v>3</v>
      </c>
      <c r="E65" s="197">
        <v>3</v>
      </c>
      <c r="F65" s="1758">
        <f t="shared" si="2"/>
        <v>1.7316845172507971E-3</v>
      </c>
    </row>
    <row r="66" spans="1:6" ht="15.75" thickBot="1">
      <c r="B66" s="1141" t="s">
        <v>114</v>
      </c>
      <c r="C66" s="1371">
        <f>SUM(C26:C65)+SUM(C9:C23)</f>
        <v>1300.9392077807279</v>
      </c>
      <c r="D66" s="1139">
        <f>SUM(D26:D65)+SUM(D9:D23)</f>
        <v>1636.9962136552024</v>
      </c>
      <c r="E66" s="1371">
        <f>SUM(E26:E65)+SUM(E9:E23)</f>
        <v>1732.417175365618</v>
      </c>
      <c r="F66" s="1138"/>
    </row>
  </sheetData>
  <dataConsolidate/>
  <mergeCells count="4">
    <mergeCell ref="B24:F24"/>
    <mergeCell ref="B6:F6"/>
    <mergeCell ref="B7:F7"/>
    <mergeCell ref="J7:M7"/>
  </mergeCells>
  <pageMargins left="0.7" right="0.7" top="0.75" bottom="0.75" header="0.3" footer="0.3"/>
  <pageSetup paperSize="8" scale="72" fitToWidth="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2" tint="-0.499984740745262"/>
  </sheetPr>
  <dimension ref="A1:AA67"/>
  <sheetViews>
    <sheetView workbookViewId="0"/>
  </sheetViews>
  <sheetFormatPr defaultRowHeight="15"/>
  <cols>
    <col min="1" max="1" width="9.140625" style="20"/>
    <col min="2" max="2" width="15.85546875" style="20" bestFit="1" customWidth="1"/>
    <col min="3" max="3" width="3" style="20" customWidth="1"/>
    <col min="4" max="5" width="5" style="459" hidden="1" customWidth="1"/>
    <col min="6" max="6" width="11.140625" style="20" customWidth="1"/>
    <col min="7" max="7" width="21.7109375" style="20" customWidth="1"/>
    <col min="8" max="8" width="0" style="20" hidden="1" customWidth="1"/>
    <col min="9" max="16384" width="9.140625" style="20"/>
  </cols>
  <sheetData>
    <row r="1" spans="1:27">
      <c r="AA1" s="342" t="s">
        <v>463</v>
      </c>
    </row>
    <row r="2" spans="1:27">
      <c r="AA2" s="342" t="s">
        <v>464</v>
      </c>
    </row>
    <row r="5" spans="1:27">
      <c r="A5" s="1981" t="s">
        <v>75</v>
      </c>
      <c r="B5" s="1981"/>
      <c r="C5" s="10"/>
      <c r="D5" s="373"/>
      <c r="E5" s="373"/>
      <c r="F5" s="1981" t="s">
        <v>76</v>
      </c>
      <c r="G5" s="1981"/>
      <c r="I5" s="165"/>
    </row>
    <row r="6" spans="1:27" ht="15.75" thickBot="1">
      <c r="A6" s="1988" t="s">
        <v>46</v>
      </c>
      <c r="B6" s="1988"/>
      <c r="C6" s="10"/>
      <c r="D6" s="373"/>
      <c r="E6" s="373"/>
      <c r="F6" s="1981" t="str">
        <f>F45</f>
        <v>Historic Financial Year</v>
      </c>
      <c r="G6" s="1981"/>
    </row>
    <row r="7" spans="1:27" ht="15.75" thickBot="1">
      <c r="A7" s="619" t="s">
        <v>44</v>
      </c>
      <c r="B7" s="27" t="s">
        <v>78</v>
      </c>
      <c r="C7" s="10"/>
      <c r="D7" s="373"/>
      <c r="E7" s="373"/>
      <c r="F7" s="26" t="s">
        <v>41</v>
      </c>
      <c r="G7" s="27" t="s">
        <v>77</v>
      </c>
    </row>
    <row r="8" spans="1:27">
      <c r="A8" s="620">
        <f>LARGE('Commodity Prices'!C$159:C$902,60)</f>
        <v>42552</v>
      </c>
      <c r="B8" s="31">
        <f>SUMIF('Commodity Prices'!C$62:C$902,A8,'Commodity Prices'!Q$62:Q$902)</f>
        <v>25</v>
      </c>
      <c r="C8" s="10"/>
      <c r="D8" s="373">
        <v>1986</v>
      </c>
      <c r="E8" s="373">
        <v>1987</v>
      </c>
      <c r="F8" s="623" t="str">
        <f>IF($F$6="Historic Calendar Year",1986,CONCATENATE(D8,"-",RIGHT(E8,2)))</f>
        <v>1986-87</v>
      </c>
      <c r="G8" s="12">
        <f t="array" ref="G8">IF($F$6="Historic Calendar Year",IFERROR(AVERAGE(IF($F8=YEAR('Commodity Prices'!C$100:C$1000),'Commodity Prices'!Q$100:Q$1000)),"NA"),IFERROR(IF(H8=0,"NA",H8),"NA"))</f>
        <v>17.231249999999999</v>
      </c>
      <c r="H8" s="20">
        <f>(SUMIFS('Commodity Prices'!$Q$9:$Q$2500,'Commodity Prices'!$A$9:$A$2500,'Uranium - Prices'!D8,'Commodity Prices'!$B$9:$B$2500,3)+
SUMIFS('Commodity Prices'!$Q$9:$Q$2500,'Commodity Prices'!$A$9:$A$2500,'Uranium - Prices'!D8,'Commodity Prices'!$B$9:$B$2500,4)+
SUMIFS('Commodity Prices'!$Q$9:$Q$2500,'Commodity Prices'!$A$9:$A$2500,'Uranium - Prices'!E8,'Commodity Prices'!$B$9:$B$2500,1)+
SUMIFS('Commodity Prices'!$Q$9:$Q$2500,'Commodity Prices'!$A$9:$A$2500,'Uranium - Prices'!E8,'Commodity Prices'!$B$9:$B$2500,2))
/(COUNTIFS('Commodity Prices'!$A$9:$A$2500,'Uranium - Prices'!D8,'Commodity Prices'!$B$9:$B$2500,3)+
COUNTIFS('Commodity Prices'!$A$9:$A$2500,'Uranium - Prices'!D8,'Commodity Prices'!$B$9:$B$2500,4)+
COUNTIFS('Commodity Prices'!$A$9:$A$2500,'Uranium - Prices'!E8,'Commodity Prices'!$B$9:$B$2500,1)+
COUNTIFS('Commodity Prices'!$A$9:$A$2500,'Uranium - Prices'!E8,'Commodity Prices'!$B$9:$B$2500,2))</f>
        <v>17.231249999999999</v>
      </c>
    </row>
    <row r="9" spans="1:27">
      <c r="A9" s="621">
        <f>LARGE('Commodity Prices'!C$159:C$902,59)</f>
        <v>42583</v>
      </c>
      <c r="B9" s="12">
        <f>SUMIF('Commodity Prices'!C$62:C$902,A9,'Commodity Prices'!Q$62:Q$902)</f>
        <v>25.25</v>
      </c>
      <c r="C9" s="10"/>
      <c r="D9" s="373">
        <f>D8+1</f>
        <v>1987</v>
      </c>
      <c r="E9" s="373">
        <f>E8+1</f>
        <v>1988</v>
      </c>
      <c r="F9" s="624" t="str">
        <f>IF($F$6="Historic Calendar Year",F8+1,CONCATENATE(D9,"-",RIGHT(E9,2)))</f>
        <v>1987-88</v>
      </c>
      <c r="G9" s="31">
        <f t="array" ref="G9">IF($F$6="Historic Calendar Year",IFERROR(AVERAGE(IF($F9=YEAR('Commodity Prices'!C$100:C$1000),'Commodity Prices'!Q$100:Q$1000)),"NA"),IFERROR(IF(H9=0,"NA",H9),"NA"))</f>
        <v>16.643750000000001</v>
      </c>
      <c r="H9" s="459">
        <f>(SUMIFS('Commodity Prices'!$Q$9:$Q$2500,'Commodity Prices'!$A$9:$A$2500,'Uranium - Prices'!D9,'Commodity Prices'!$B$9:$B$2500,3)+
SUMIFS('Commodity Prices'!$Q$9:$Q$2500,'Commodity Prices'!$A$9:$A$2500,'Uranium - Prices'!D9,'Commodity Prices'!$B$9:$B$2500,4)+
SUMIFS('Commodity Prices'!$Q$9:$Q$2500,'Commodity Prices'!$A$9:$A$2500,'Uranium - Prices'!E9,'Commodity Prices'!$B$9:$B$2500,1)+
SUMIFS('Commodity Prices'!$Q$9:$Q$2500,'Commodity Prices'!$A$9:$A$2500,'Uranium - Prices'!E9,'Commodity Prices'!$B$9:$B$2500,2))
/(COUNTIFS('Commodity Prices'!$A$9:$A$2500,'Uranium - Prices'!D9,'Commodity Prices'!$B$9:$B$2500,3)+
COUNTIFS('Commodity Prices'!$A$9:$A$2500,'Uranium - Prices'!D9,'Commodity Prices'!$B$9:$B$2500,4)+
COUNTIFS('Commodity Prices'!$A$9:$A$2500,'Uranium - Prices'!E9,'Commodity Prices'!$B$9:$B$2500,1)+
COUNTIFS('Commodity Prices'!$A$9:$A$2500,'Uranium - Prices'!E9,'Commodity Prices'!$B$9:$B$2500,2))</f>
        <v>16.643750000000001</v>
      </c>
    </row>
    <row r="10" spans="1:27">
      <c r="A10" s="620">
        <f>LARGE('Commodity Prices'!C$159:C$902,58)</f>
        <v>42614</v>
      </c>
      <c r="B10" s="31">
        <f>SUMIF('Commodity Prices'!C$62:C$902,A10,'Commodity Prices'!Q$62:Q$902)</f>
        <v>23.75</v>
      </c>
      <c r="C10" s="10"/>
      <c r="D10" s="373">
        <f t="shared" ref="D10:D42" si="0">D9+1</f>
        <v>1988</v>
      </c>
      <c r="E10" s="373">
        <f t="shared" ref="E10:E42" si="1">E9+1</f>
        <v>1989</v>
      </c>
      <c r="F10" s="623" t="str">
        <f t="shared" ref="F10:F42" si="2">IF($F$6="Historic Calendar Year",F9+1,CONCATENATE(D10,"-",RIGHT(E10,2)))</f>
        <v>1988-89</v>
      </c>
      <c r="G10" s="12">
        <f t="array" ref="G10">IF($F$6="Historic Calendar Year",IFERROR(AVERAGE(IF($F10=YEAR('Commodity Prices'!C$100:C$1000),'Commodity Prices'!Q$100:Q$1000)),"NA"),IFERROR(IF(H10=0,"NA",H10),"NA"))</f>
        <v>11.920833333333334</v>
      </c>
      <c r="H10" s="459">
        <f>(SUMIFS('Commodity Prices'!$Q$9:$Q$2500,'Commodity Prices'!$A$9:$A$2500,'Uranium - Prices'!D10,'Commodity Prices'!$B$9:$B$2500,3)+
SUMIFS('Commodity Prices'!$Q$9:$Q$2500,'Commodity Prices'!$A$9:$A$2500,'Uranium - Prices'!D10,'Commodity Prices'!$B$9:$B$2500,4)+
SUMIFS('Commodity Prices'!$Q$9:$Q$2500,'Commodity Prices'!$A$9:$A$2500,'Uranium - Prices'!E10,'Commodity Prices'!$B$9:$B$2500,1)+
SUMIFS('Commodity Prices'!$Q$9:$Q$2500,'Commodity Prices'!$A$9:$A$2500,'Uranium - Prices'!E10,'Commodity Prices'!$B$9:$B$2500,2))
/(COUNTIFS('Commodity Prices'!$A$9:$A$2500,'Uranium - Prices'!D10,'Commodity Prices'!$B$9:$B$2500,3)+
COUNTIFS('Commodity Prices'!$A$9:$A$2500,'Uranium - Prices'!D10,'Commodity Prices'!$B$9:$B$2500,4)+
COUNTIFS('Commodity Prices'!$A$9:$A$2500,'Uranium - Prices'!E10,'Commodity Prices'!$B$9:$B$2500,1)+
COUNTIFS('Commodity Prices'!$A$9:$A$2500,'Uranium - Prices'!E10,'Commodity Prices'!$B$9:$B$2500,2))</f>
        <v>11.920833333333334</v>
      </c>
    </row>
    <row r="11" spans="1:27">
      <c r="A11" s="621">
        <f>LARGE('Commodity Prices'!C$159:C$902,57)</f>
        <v>42644</v>
      </c>
      <c r="B11" s="12">
        <f>SUMIF('Commodity Prices'!C$62:C$902,A11,'Commodity Prices'!Q$62:Q$902)</f>
        <v>20</v>
      </c>
      <c r="C11" s="10"/>
      <c r="D11" s="373">
        <f t="shared" si="0"/>
        <v>1989</v>
      </c>
      <c r="E11" s="373">
        <f t="shared" si="1"/>
        <v>1990</v>
      </c>
      <c r="F11" s="624" t="str">
        <f t="shared" si="2"/>
        <v>1989-90</v>
      </c>
      <c r="G11" s="31">
        <f t="array" ref="G11">IF($F$6="Historic Calendar Year",IFERROR(AVERAGE(IF($F11=YEAR('Commodity Prices'!C$100:C$1000),'Commodity Prices'!Q$100:Q$1000)),"NA"),IFERROR(IF(H11=0,"NA",H11),"NA"))</f>
        <v>9.3541666666666661</v>
      </c>
      <c r="H11" s="459">
        <f>(SUMIFS('Commodity Prices'!$Q$9:$Q$2500,'Commodity Prices'!$A$9:$A$2500,'Uranium - Prices'!D11,'Commodity Prices'!$B$9:$B$2500,3)+
SUMIFS('Commodity Prices'!$Q$9:$Q$2500,'Commodity Prices'!$A$9:$A$2500,'Uranium - Prices'!D11,'Commodity Prices'!$B$9:$B$2500,4)+
SUMIFS('Commodity Prices'!$Q$9:$Q$2500,'Commodity Prices'!$A$9:$A$2500,'Uranium - Prices'!E11,'Commodity Prices'!$B$9:$B$2500,1)+
SUMIFS('Commodity Prices'!$Q$9:$Q$2500,'Commodity Prices'!$A$9:$A$2500,'Uranium - Prices'!E11,'Commodity Prices'!$B$9:$B$2500,2))
/(COUNTIFS('Commodity Prices'!$A$9:$A$2500,'Uranium - Prices'!D11,'Commodity Prices'!$B$9:$B$2500,3)+
COUNTIFS('Commodity Prices'!$A$9:$A$2500,'Uranium - Prices'!D11,'Commodity Prices'!$B$9:$B$2500,4)+
COUNTIFS('Commodity Prices'!$A$9:$A$2500,'Uranium - Prices'!E11,'Commodity Prices'!$B$9:$B$2500,1)+
COUNTIFS('Commodity Prices'!$A$9:$A$2500,'Uranium - Prices'!E11,'Commodity Prices'!$B$9:$B$2500,2))</f>
        <v>9.3541666666666661</v>
      </c>
    </row>
    <row r="12" spans="1:27">
      <c r="A12" s="620">
        <f>LARGE('Commodity Prices'!C$159:C$902,56)</f>
        <v>42675</v>
      </c>
      <c r="B12" s="31">
        <f>SUMIF('Commodity Prices'!C$62:C$902,A12,'Commodity Prices'!Q$62:Q$902)</f>
        <v>20</v>
      </c>
      <c r="C12" s="10"/>
      <c r="D12" s="373">
        <f t="shared" si="0"/>
        <v>1990</v>
      </c>
      <c r="E12" s="373">
        <f t="shared" si="1"/>
        <v>1991</v>
      </c>
      <c r="F12" s="623" t="str">
        <f t="shared" si="2"/>
        <v>1990-91</v>
      </c>
      <c r="G12" s="12">
        <f t="array" ref="G12">IF($F$6="Historic Calendar Year",IFERROR(AVERAGE(IF($F12=YEAR('Commodity Prices'!C$100:C$1000),'Commodity Prices'!Q$100:Q$1000)),"NA"),IFERROR(IF(H12=0,"NA",H12),"NA"))</f>
        <v>9.6833333333333336</v>
      </c>
      <c r="H12" s="459">
        <f>(SUMIFS('Commodity Prices'!$Q$9:$Q$2500,'Commodity Prices'!$A$9:$A$2500,'Uranium - Prices'!D12,'Commodity Prices'!$B$9:$B$2500,3)+
SUMIFS('Commodity Prices'!$Q$9:$Q$2500,'Commodity Prices'!$A$9:$A$2500,'Uranium - Prices'!D12,'Commodity Prices'!$B$9:$B$2500,4)+
SUMIFS('Commodity Prices'!$Q$9:$Q$2500,'Commodity Prices'!$A$9:$A$2500,'Uranium - Prices'!E12,'Commodity Prices'!$B$9:$B$2500,1)+
SUMIFS('Commodity Prices'!$Q$9:$Q$2500,'Commodity Prices'!$A$9:$A$2500,'Uranium - Prices'!E12,'Commodity Prices'!$B$9:$B$2500,2))
/(COUNTIFS('Commodity Prices'!$A$9:$A$2500,'Uranium - Prices'!D12,'Commodity Prices'!$B$9:$B$2500,3)+
COUNTIFS('Commodity Prices'!$A$9:$A$2500,'Uranium - Prices'!D12,'Commodity Prices'!$B$9:$B$2500,4)+
COUNTIFS('Commodity Prices'!$A$9:$A$2500,'Uranium - Prices'!E12,'Commodity Prices'!$B$9:$B$2500,1)+
COUNTIFS('Commodity Prices'!$A$9:$A$2500,'Uranium - Prices'!E12,'Commodity Prices'!$B$9:$B$2500,2))</f>
        <v>9.6833333333333336</v>
      </c>
    </row>
    <row r="13" spans="1:27">
      <c r="A13" s="621">
        <f>LARGE('Commodity Prices'!C$159:C$902,55)</f>
        <v>42705</v>
      </c>
      <c r="B13" s="12">
        <f>SUMIF('Commodity Prices'!C$62:C$902,A13,'Commodity Prices'!Q$62:Q$902)</f>
        <v>20.25</v>
      </c>
      <c r="C13" s="10"/>
      <c r="D13" s="373">
        <f t="shared" si="0"/>
        <v>1991</v>
      </c>
      <c r="E13" s="373">
        <f t="shared" si="1"/>
        <v>1992</v>
      </c>
      <c r="F13" s="624" t="str">
        <f t="shared" si="2"/>
        <v>1991-92</v>
      </c>
      <c r="G13" s="31">
        <f t="array" ref="G13">IF($F$6="Historic Calendar Year",IFERROR(AVERAGE(IF($F13=YEAR('Commodity Prices'!C$100:C$1000),'Commodity Prices'!Q$100:Q$1000)),"NA"),IFERROR(IF(H13=0,"NA",H13),"NA"))</f>
        <v>8.0166666666666675</v>
      </c>
      <c r="H13" s="459">
        <f>(SUMIFS('Commodity Prices'!$Q$9:$Q$2500,'Commodity Prices'!$A$9:$A$2500,'Uranium - Prices'!D13,'Commodity Prices'!$B$9:$B$2500,3)+
SUMIFS('Commodity Prices'!$Q$9:$Q$2500,'Commodity Prices'!$A$9:$A$2500,'Uranium - Prices'!D13,'Commodity Prices'!$B$9:$B$2500,4)+
SUMIFS('Commodity Prices'!$Q$9:$Q$2500,'Commodity Prices'!$A$9:$A$2500,'Uranium - Prices'!E13,'Commodity Prices'!$B$9:$B$2500,1)+
SUMIFS('Commodity Prices'!$Q$9:$Q$2500,'Commodity Prices'!$A$9:$A$2500,'Uranium - Prices'!E13,'Commodity Prices'!$B$9:$B$2500,2))
/(COUNTIFS('Commodity Prices'!$A$9:$A$2500,'Uranium - Prices'!D13,'Commodity Prices'!$B$9:$B$2500,3)+
COUNTIFS('Commodity Prices'!$A$9:$A$2500,'Uranium - Prices'!D13,'Commodity Prices'!$B$9:$B$2500,4)+
COUNTIFS('Commodity Prices'!$A$9:$A$2500,'Uranium - Prices'!E13,'Commodity Prices'!$B$9:$B$2500,1)+
COUNTIFS('Commodity Prices'!$A$9:$A$2500,'Uranium - Prices'!E13,'Commodity Prices'!$B$9:$B$2500,2))</f>
        <v>8.0166666666666675</v>
      </c>
    </row>
    <row r="14" spans="1:27">
      <c r="A14" s="620">
        <f>LARGE('Commodity Prices'!C$159:C$902,54)</f>
        <v>42736</v>
      </c>
      <c r="B14" s="31">
        <f>SUMIF('Commodity Prices'!C$62:C$902,A14,'Commodity Prices'!Q$62:Q$902)</f>
        <v>23</v>
      </c>
      <c r="C14" s="10"/>
      <c r="D14" s="373">
        <f t="shared" si="0"/>
        <v>1992</v>
      </c>
      <c r="E14" s="373">
        <f t="shared" si="1"/>
        <v>1993</v>
      </c>
      <c r="F14" s="623" t="str">
        <f t="shared" si="2"/>
        <v>1992-93</v>
      </c>
      <c r="G14" s="12">
        <f t="array" ref="G14">IF($F$6="Historic Calendar Year",IFERROR(AVERAGE(IF($F14=YEAR('Commodity Prices'!C$100:C$1000),'Commodity Prices'!Q$100:Q$1000)),"NA"),IFERROR(IF(H14=0,"NA",H14),"NA"))</f>
        <v>9.375</v>
      </c>
      <c r="H14" s="459">
        <f>(SUMIFS('Commodity Prices'!$Q$9:$Q$2500,'Commodity Prices'!$A$9:$A$2500,'Uranium - Prices'!D14,'Commodity Prices'!$B$9:$B$2500,3)+
SUMIFS('Commodity Prices'!$Q$9:$Q$2500,'Commodity Prices'!$A$9:$A$2500,'Uranium - Prices'!D14,'Commodity Prices'!$B$9:$B$2500,4)+
SUMIFS('Commodity Prices'!$Q$9:$Q$2500,'Commodity Prices'!$A$9:$A$2500,'Uranium - Prices'!E14,'Commodity Prices'!$B$9:$B$2500,1)+
SUMIFS('Commodity Prices'!$Q$9:$Q$2500,'Commodity Prices'!$A$9:$A$2500,'Uranium - Prices'!E14,'Commodity Prices'!$B$9:$B$2500,2))
/(COUNTIFS('Commodity Prices'!$A$9:$A$2500,'Uranium - Prices'!D14,'Commodity Prices'!$B$9:$B$2500,3)+
COUNTIFS('Commodity Prices'!$A$9:$A$2500,'Uranium - Prices'!D14,'Commodity Prices'!$B$9:$B$2500,4)+
COUNTIFS('Commodity Prices'!$A$9:$A$2500,'Uranium - Prices'!E14,'Commodity Prices'!$B$9:$B$2500,1)+
COUNTIFS('Commodity Prices'!$A$9:$A$2500,'Uranium - Prices'!E14,'Commodity Prices'!$B$9:$B$2500,2))</f>
        <v>9.375</v>
      </c>
    </row>
    <row r="15" spans="1:27">
      <c r="A15" s="621">
        <f>LARGE('Commodity Prices'!C$159:C$902,53)</f>
        <v>42767</v>
      </c>
      <c r="B15" s="12">
        <f>SUMIF('Commodity Prices'!C$62:C$902,A15,'Commodity Prices'!Q$62:Q$902)</f>
        <v>24.5</v>
      </c>
      <c r="C15" s="10"/>
      <c r="D15" s="373">
        <f t="shared" si="0"/>
        <v>1993</v>
      </c>
      <c r="E15" s="373">
        <f t="shared" si="1"/>
        <v>1994</v>
      </c>
      <c r="F15" s="624" t="str">
        <f t="shared" si="2"/>
        <v>1993-94</v>
      </c>
      <c r="G15" s="31">
        <f t="array" ref="G15">IF($F$6="Historic Calendar Year",IFERROR(AVERAGE(IF($F15=YEAR('Commodity Prices'!C$100:C$1000),'Commodity Prices'!Q$100:Q$1000)),"NA"),IFERROR(IF(H15=0,"NA",H15),"NA"))</f>
        <v>9.6666666666666661</v>
      </c>
      <c r="H15" s="459">
        <f>(SUMIFS('Commodity Prices'!$Q$9:$Q$2500,'Commodity Prices'!$A$9:$A$2500,'Uranium - Prices'!D15,'Commodity Prices'!$B$9:$B$2500,3)+
SUMIFS('Commodity Prices'!$Q$9:$Q$2500,'Commodity Prices'!$A$9:$A$2500,'Uranium - Prices'!D15,'Commodity Prices'!$B$9:$B$2500,4)+
SUMIFS('Commodity Prices'!$Q$9:$Q$2500,'Commodity Prices'!$A$9:$A$2500,'Uranium - Prices'!E15,'Commodity Prices'!$B$9:$B$2500,1)+
SUMIFS('Commodity Prices'!$Q$9:$Q$2500,'Commodity Prices'!$A$9:$A$2500,'Uranium - Prices'!E15,'Commodity Prices'!$B$9:$B$2500,2))
/(COUNTIFS('Commodity Prices'!$A$9:$A$2500,'Uranium - Prices'!D15,'Commodity Prices'!$B$9:$B$2500,3)+
COUNTIFS('Commodity Prices'!$A$9:$A$2500,'Uranium - Prices'!D15,'Commodity Prices'!$B$9:$B$2500,4)+
COUNTIFS('Commodity Prices'!$A$9:$A$2500,'Uranium - Prices'!E15,'Commodity Prices'!$B$9:$B$2500,1)+
COUNTIFS('Commodity Prices'!$A$9:$A$2500,'Uranium - Prices'!E15,'Commodity Prices'!$B$9:$B$2500,2))</f>
        <v>9.6666666666666661</v>
      </c>
    </row>
    <row r="16" spans="1:27">
      <c r="A16" s="620">
        <f>LARGE('Commodity Prices'!C$159:C$902,52)</f>
        <v>42795</v>
      </c>
      <c r="B16" s="31">
        <f>SUMIF('Commodity Prices'!C$62:C$902,A16,'Commodity Prices'!Q$62:Q$902)</f>
        <v>24.5</v>
      </c>
      <c r="C16" s="10"/>
      <c r="D16" s="373">
        <f t="shared" si="0"/>
        <v>1994</v>
      </c>
      <c r="E16" s="373">
        <f t="shared" si="1"/>
        <v>1995</v>
      </c>
      <c r="F16" s="623" t="str">
        <f t="shared" si="2"/>
        <v>1994-95</v>
      </c>
      <c r="G16" s="12">
        <f t="array" ref="G16">IF($F$6="Historic Calendar Year",IFERROR(AVERAGE(IF($F16=YEAR('Commodity Prices'!C$100:C$1000),'Commodity Prices'!Q$100:Q$1000)),"NA"),IFERROR(IF(H16=0,"NA",H16),"NA"))</f>
        <v>10.183333333333334</v>
      </c>
      <c r="H16" s="459">
        <f>(SUMIFS('Commodity Prices'!$Q$9:$Q$2500,'Commodity Prices'!$A$9:$A$2500,'Uranium - Prices'!D16,'Commodity Prices'!$B$9:$B$2500,3)+
SUMIFS('Commodity Prices'!$Q$9:$Q$2500,'Commodity Prices'!$A$9:$A$2500,'Uranium - Prices'!D16,'Commodity Prices'!$B$9:$B$2500,4)+
SUMIFS('Commodity Prices'!$Q$9:$Q$2500,'Commodity Prices'!$A$9:$A$2500,'Uranium - Prices'!E16,'Commodity Prices'!$B$9:$B$2500,1)+
SUMIFS('Commodity Prices'!$Q$9:$Q$2500,'Commodity Prices'!$A$9:$A$2500,'Uranium - Prices'!E16,'Commodity Prices'!$B$9:$B$2500,2))
/(COUNTIFS('Commodity Prices'!$A$9:$A$2500,'Uranium - Prices'!D16,'Commodity Prices'!$B$9:$B$2500,3)+
COUNTIFS('Commodity Prices'!$A$9:$A$2500,'Uranium - Prices'!D16,'Commodity Prices'!$B$9:$B$2500,4)+
COUNTIFS('Commodity Prices'!$A$9:$A$2500,'Uranium - Prices'!E16,'Commodity Prices'!$B$9:$B$2500,1)+
COUNTIFS('Commodity Prices'!$A$9:$A$2500,'Uranium - Prices'!E16,'Commodity Prices'!$B$9:$B$2500,2))</f>
        <v>10.183333333333334</v>
      </c>
    </row>
    <row r="17" spans="1:8">
      <c r="A17" s="621">
        <f>LARGE('Commodity Prices'!C$159:C$902,51)</f>
        <v>42826</v>
      </c>
      <c r="B17" s="12">
        <f>SUMIF('Commodity Prices'!C$62:C$902,A17,'Commodity Prices'!Q$62:Q$902)</f>
        <v>22.75</v>
      </c>
      <c r="C17" s="10"/>
      <c r="D17" s="373">
        <f t="shared" si="0"/>
        <v>1995</v>
      </c>
      <c r="E17" s="373">
        <f t="shared" si="1"/>
        <v>1996</v>
      </c>
      <c r="F17" s="624" t="str">
        <f t="shared" si="2"/>
        <v>1995-96</v>
      </c>
      <c r="G17" s="31">
        <f t="array" ref="G17">IF($F$6="Historic Calendar Year",IFERROR(AVERAGE(IF($F17=YEAR('Commodity Prices'!C$100:C$1000),'Commodity Prices'!Q$100:Q$1000)),"NA"),IFERROR(IF(H17=0,"NA",H17),"NA"))</f>
        <v>13.637500000000001</v>
      </c>
      <c r="H17" s="459">
        <f>(SUMIFS('Commodity Prices'!$Q$9:$Q$2500,'Commodity Prices'!$A$9:$A$2500,'Uranium - Prices'!D17,'Commodity Prices'!$B$9:$B$2500,3)+
SUMIFS('Commodity Prices'!$Q$9:$Q$2500,'Commodity Prices'!$A$9:$A$2500,'Uranium - Prices'!D17,'Commodity Prices'!$B$9:$B$2500,4)+
SUMIFS('Commodity Prices'!$Q$9:$Q$2500,'Commodity Prices'!$A$9:$A$2500,'Uranium - Prices'!E17,'Commodity Prices'!$B$9:$B$2500,1)+
SUMIFS('Commodity Prices'!$Q$9:$Q$2500,'Commodity Prices'!$A$9:$A$2500,'Uranium - Prices'!E17,'Commodity Prices'!$B$9:$B$2500,2))
/(COUNTIFS('Commodity Prices'!$A$9:$A$2500,'Uranium - Prices'!D17,'Commodity Prices'!$B$9:$B$2500,3)+
COUNTIFS('Commodity Prices'!$A$9:$A$2500,'Uranium - Prices'!D17,'Commodity Prices'!$B$9:$B$2500,4)+
COUNTIFS('Commodity Prices'!$A$9:$A$2500,'Uranium - Prices'!E17,'Commodity Prices'!$B$9:$B$2500,1)+
COUNTIFS('Commodity Prices'!$A$9:$A$2500,'Uranium - Prices'!E17,'Commodity Prices'!$B$9:$B$2500,2))</f>
        <v>13.637500000000001</v>
      </c>
    </row>
    <row r="18" spans="1:8">
      <c r="A18" s="620">
        <f>LARGE('Commodity Prices'!C$159:C$902,50)</f>
        <v>42856</v>
      </c>
      <c r="B18" s="31">
        <f>SUMIF('Commodity Prices'!C$62:C$902,A18,'Commodity Prices'!Q$62:Q$902)</f>
        <v>19.25</v>
      </c>
      <c r="C18" s="10"/>
      <c r="D18" s="373">
        <f t="shared" si="0"/>
        <v>1996</v>
      </c>
      <c r="E18" s="373">
        <f t="shared" si="1"/>
        <v>1997</v>
      </c>
      <c r="F18" s="623" t="str">
        <f t="shared" si="2"/>
        <v>1996-97</v>
      </c>
      <c r="G18" s="12">
        <f t="array" ref="G18">IF($F$6="Historic Calendar Year",IFERROR(AVERAGE(IF($F18=YEAR('Commodity Prices'!C$100:C$1000),'Commodity Prices'!Q$100:Q$1000)),"NA"),IFERROR(IF(H18=0,"NA",H18),"NA"))</f>
        <v>14.204166666666666</v>
      </c>
      <c r="H18" s="459">
        <f>(SUMIFS('Commodity Prices'!$Q$9:$Q$2500,'Commodity Prices'!$A$9:$A$2500,'Uranium - Prices'!D18,'Commodity Prices'!$B$9:$B$2500,3)+
SUMIFS('Commodity Prices'!$Q$9:$Q$2500,'Commodity Prices'!$A$9:$A$2500,'Uranium - Prices'!D18,'Commodity Prices'!$B$9:$B$2500,4)+
SUMIFS('Commodity Prices'!$Q$9:$Q$2500,'Commodity Prices'!$A$9:$A$2500,'Uranium - Prices'!E18,'Commodity Prices'!$B$9:$B$2500,1)+
SUMIFS('Commodity Prices'!$Q$9:$Q$2500,'Commodity Prices'!$A$9:$A$2500,'Uranium - Prices'!E18,'Commodity Prices'!$B$9:$B$2500,2))
/(COUNTIFS('Commodity Prices'!$A$9:$A$2500,'Uranium - Prices'!D18,'Commodity Prices'!$B$9:$B$2500,3)+
COUNTIFS('Commodity Prices'!$A$9:$A$2500,'Uranium - Prices'!D18,'Commodity Prices'!$B$9:$B$2500,4)+
COUNTIFS('Commodity Prices'!$A$9:$A$2500,'Uranium - Prices'!E18,'Commodity Prices'!$B$9:$B$2500,1)+
COUNTIFS('Commodity Prices'!$A$9:$A$2500,'Uranium - Prices'!E18,'Commodity Prices'!$B$9:$B$2500,2))</f>
        <v>14.204166666666666</v>
      </c>
    </row>
    <row r="19" spans="1:8">
      <c r="A19" s="621">
        <f>LARGE('Commodity Prices'!C$159:C$902,49)</f>
        <v>42887</v>
      </c>
      <c r="B19" s="12">
        <f>SUMIF('Commodity Prices'!C$62:C$902,A19,'Commodity Prices'!Q$62:Q$902)</f>
        <v>20.100000000000001</v>
      </c>
      <c r="C19" s="10"/>
      <c r="D19" s="373">
        <f t="shared" si="0"/>
        <v>1997</v>
      </c>
      <c r="E19" s="373">
        <f t="shared" si="1"/>
        <v>1998</v>
      </c>
      <c r="F19" s="624" t="str">
        <f t="shared" si="2"/>
        <v>1997-98</v>
      </c>
      <c r="G19" s="31">
        <f t="array" ref="G19">IF($F$6="Historic Calendar Year",IFERROR(AVERAGE(IF($F19=YEAR('Commodity Prices'!C$100:C$1000),'Commodity Prices'!Q$100:Q$1000)),"NA"),IFERROR(IF(H19=0,"NA",H19),"NA"))</f>
        <v>11.241666666666667</v>
      </c>
      <c r="H19" s="459">
        <f>(SUMIFS('Commodity Prices'!$Q$9:$Q$2500,'Commodity Prices'!$A$9:$A$2500,'Uranium - Prices'!D19,'Commodity Prices'!$B$9:$B$2500,3)+
SUMIFS('Commodity Prices'!$Q$9:$Q$2500,'Commodity Prices'!$A$9:$A$2500,'Uranium - Prices'!D19,'Commodity Prices'!$B$9:$B$2500,4)+
SUMIFS('Commodity Prices'!$Q$9:$Q$2500,'Commodity Prices'!$A$9:$A$2500,'Uranium - Prices'!E19,'Commodity Prices'!$B$9:$B$2500,1)+
SUMIFS('Commodity Prices'!$Q$9:$Q$2500,'Commodity Prices'!$A$9:$A$2500,'Uranium - Prices'!E19,'Commodity Prices'!$B$9:$B$2500,2))
/(COUNTIFS('Commodity Prices'!$A$9:$A$2500,'Uranium - Prices'!D19,'Commodity Prices'!$B$9:$B$2500,3)+
COUNTIFS('Commodity Prices'!$A$9:$A$2500,'Uranium - Prices'!D19,'Commodity Prices'!$B$9:$B$2500,4)+
COUNTIFS('Commodity Prices'!$A$9:$A$2500,'Uranium - Prices'!E19,'Commodity Prices'!$B$9:$B$2500,1)+
COUNTIFS('Commodity Prices'!$A$9:$A$2500,'Uranium - Prices'!E19,'Commodity Prices'!$B$9:$B$2500,2))</f>
        <v>11.241666666666667</v>
      </c>
    </row>
    <row r="20" spans="1:8">
      <c r="A20" s="620">
        <f>LARGE('Commodity Prices'!C$159:C$902,48)</f>
        <v>42917</v>
      </c>
      <c r="B20" s="31">
        <f>SUMIF('Commodity Prices'!C$62:C$902,A20,'Commodity Prices'!Q$62:Q$902)</f>
        <v>20.5</v>
      </c>
      <c r="C20" s="10"/>
      <c r="D20" s="373">
        <f t="shared" si="0"/>
        <v>1998</v>
      </c>
      <c r="E20" s="373">
        <f t="shared" si="1"/>
        <v>1999</v>
      </c>
      <c r="F20" s="623" t="str">
        <f t="shared" si="2"/>
        <v>1998-99</v>
      </c>
      <c r="G20" s="12">
        <f t="array" ref="G20">IF($F$6="Historic Calendar Year",IFERROR(AVERAGE(IF($F20=YEAR('Commodity Prices'!C$100:C$1000),'Commodity Prices'!Q$100:Q$1000)),"NA"),IFERROR(IF(H20=0,"NA",H20),"NA"))</f>
        <v>10.093333333333332</v>
      </c>
      <c r="H20" s="459">
        <f>(SUMIFS('Commodity Prices'!$Q$9:$Q$2500,'Commodity Prices'!$A$9:$A$2500,'Uranium - Prices'!D20,'Commodity Prices'!$B$9:$B$2500,3)+
SUMIFS('Commodity Prices'!$Q$9:$Q$2500,'Commodity Prices'!$A$9:$A$2500,'Uranium - Prices'!D20,'Commodity Prices'!$B$9:$B$2500,4)+
SUMIFS('Commodity Prices'!$Q$9:$Q$2500,'Commodity Prices'!$A$9:$A$2500,'Uranium - Prices'!E20,'Commodity Prices'!$B$9:$B$2500,1)+
SUMIFS('Commodity Prices'!$Q$9:$Q$2500,'Commodity Prices'!$A$9:$A$2500,'Uranium - Prices'!E20,'Commodity Prices'!$B$9:$B$2500,2))
/(COUNTIFS('Commodity Prices'!$A$9:$A$2500,'Uranium - Prices'!D20,'Commodity Prices'!$B$9:$B$2500,3)+
COUNTIFS('Commodity Prices'!$A$9:$A$2500,'Uranium - Prices'!D20,'Commodity Prices'!$B$9:$B$2500,4)+
COUNTIFS('Commodity Prices'!$A$9:$A$2500,'Uranium - Prices'!E20,'Commodity Prices'!$B$9:$B$2500,1)+
COUNTIFS('Commodity Prices'!$A$9:$A$2500,'Uranium - Prices'!E20,'Commodity Prices'!$B$9:$B$2500,2))</f>
        <v>10.093333333333332</v>
      </c>
    </row>
    <row r="21" spans="1:8">
      <c r="A21" s="621">
        <f>LARGE('Commodity Prices'!C$159:C$902,47)</f>
        <v>42948</v>
      </c>
      <c r="B21" s="12">
        <f>SUMIF('Commodity Prices'!C$62:C$902,A21,'Commodity Prices'!Q$62:Q$902)</f>
        <v>20</v>
      </c>
      <c r="C21" s="10"/>
      <c r="D21" s="373">
        <f t="shared" si="0"/>
        <v>1999</v>
      </c>
      <c r="E21" s="373">
        <f t="shared" si="1"/>
        <v>2000</v>
      </c>
      <c r="F21" s="624" t="str">
        <f t="shared" si="2"/>
        <v>1999-00</v>
      </c>
      <c r="G21" s="31">
        <f t="array" ref="G21">IF($F$6="Historic Calendar Year",IFERROR(AVERAGE(IF($F21=YEAR('Commodity Prices'!C$100:C$1000),'Commodity Prices'!Q$100:Q$1000)),"NA"),IFERROR(IF(H21=0,"NA",H21),"NA"))</f>
        <v>9.4416666666666647</v>
      </c>
      <c r="H21" s="459">
        <f>(SUMIFS('Commodity Prices'!$Q$9:$Q$2500,'Commodity Prices'!$A$9:$A$2500,'Uranium - Prices'!D21,'Commodity Prices'!$B$9:$B$2500,3)+
SUMIFS('Commodity Prices'!$Q$9:$Q$2500,'Commodity Prices'!$A$9:$A$2500,'Uranium - Prices'!D21,'Commodity Prices'!$B$9:$B$2500,4)+
SUMIFS('Commodity Prices'!$Q$9:$Q$2500,'Commodity Prices'!$A$9:$A$2500,'Uranium - Prices'!E21,'Commodity Prices'!$B$9:$B$2500,1)+
SUMIFS('Commodity Prices'!$Q$9:$Q$2500,'Commodity Prices'!$A$9:$A$2500,'Uranium - Prices'!E21,'Commodity Prices'!$B$9:$B$2500,2))
/(COUNTIFS('Commodity Prices'!$A$9:$A$2500,'Uranium - Prices'!D21,'Commodity Prices'!$B$9:$B$2500,3)+
COUNTIFS('Commodity Prices'!$A$9:$A$2500,'Uranium - Prices'!D21,'Commodity Prices'!$B$9:$B$2500,4)+
COUNTIFS('Commodity Prices'!$A$9:$A$2500,'Uranium - Prices'!E21,'Commodity Prices'!$B$9:$B$2500,1)+
COUNTIFS('Commodity Prices'!$A$9:$A$2500,'Uranium - Prices'!E21,'Commodity Prices'!$B$9:$B$2500,2))</f>
        <v>9.4416666666666647</v>
      </c>
    </row>
    <row r="22" spans="1:8">
      <c r="A22" s="620">
        <f>LARGE('Commodity Prices'!C$159:C$902,46)</f>
        <v>42979</v>
      </c>
      <c r="B22" s="31">
        <f>SUMIF('Commodity Prices'!C$62:C$902,A22,'Commodity Prices'!Q$62:Q$902)</f>
        <v>20.25</v>
      </c>
      <c r="C22" s="10"/>
      <c r="D22" s="373">
        <f t="shared" si="0"/>
        <v>2000</v>
      </c>
      <c r="E22" s="373">
        <f t="shared" si="1"/>
        <v>2001</v>
      </c>
      <c r="F22" s="623" t="str">
        <f t="shared" si="2"/>
        <v>2000-01</v>
      </c>
      <c r="G22" s="12">
        <f t="array" ref="G22">IF($F$6="Historic Calendar Year",IFERROR(AVERAGE(IF($F22=YEAR('Commodity Prices'!C$100:C$1000),'Commodity Prices'!Q$100:Q$1000)),"NA"),IFERROR(IF(H22=0,"NA",H22),"NA"))</f>
        <v>7.875</v>
      </c>
      <c r="H22" s="459">
        <f>(SUMIFS('Commodity Prices'!$Q$9:$Q$2500,'Commodity Prices'!$A$9:$A$2500,'Uranium - Prices'!D22,'Commodity Prices'!$B$9:$B$2500,3)+
SUMIFS('Commodity Prices'!$Q$9:$Q$2500,'Commodity Prices'!$A$9:$A$2500,'Uranium - Prices'!D22,'Commodity Prices'!$B$9:$B$2500,4)+
SUMIFS('Commodity Prices'!$Q$9:$Q$2500,'Commodity Prices'!$A$9:$A$2500,'Uranium - Prices'!E22,'Commodity Prices'!$B$9:$B$2500,1)+
SUMIFS('Commodity Prices'!$Q$9:$Q$2500,'Commodity Prices'!$A$9:$A$2500,'Uranium - Prices'!E22,'Commodity Prices'!$B$9:$B$2500,2))
/(COUNTIFS('Commodity Prices'!$A$9:$A$2500,'Uranium - Prices'!D22,'Commodity Prices'!$B$9:$B$2500,3)+
COUNTIFS('Commodity Prices'!$A$9:$A$2500,'Uranium - Prices'!D22,'Commodity Prices'!$B$9:$B$2500,4)+
COUNTIFS('Commodity Prices'!$A$9:$A$2500,'Uranium - Prices'!E22,'Commodity Prices'!$B$9:$B$2500,1)+
COUNTIFS('Commodity Prices'!$A$9:$A$2500,'Uranium - Prices'!E22,'Commodity Prices'!$B$9:$B$2500,2))</f>
        <v>7.875</v>
      </c>
    </row>
    <row r="23" spans="1:8">
      <c r="A23" s="621">
        <f>LARGE('Commodity Prices'!C$159:C$902,45)</f>
        <v>43009</v>
      </c>
      <c r="B23" s="12">
        <f>SUMIF('Commodity Prices'!C$62:C$902,A23,'Commodity Prices'!Q$62:Q$902)</f>
        <v>19.95</v>
      </c>
      <c r="C23" s="10"/>
      <c r="D23" s="373">
        <f t="shared" si="0"/>
        <v>2001</v>
      </c>
      <c r="E23" s="373">
        <f t="shared" si="1"/>
        <v>2002</v>
      </c>
      <c r="F23" s="624" t="str">
        <f t="shared" si="2"/>
        <v>2001-02</v>
      </c>
      <c r="G23" s="31">
        <f t="array" ref="G23">IF($F$6="Historic Calendar Year",IFERROR(AVERAGE(IF($F23=YEAR('Commodity Prices'!C$100:C$1000),'Commodity Prices'!Q$100:Q$1000)),"NA"),IFERROR(IF(H23=0,"NA",H23),"NA"))</f>
        <v>9.5958333333333332</v>
      </c>
      <c r="H23" s="459">
        <f>(SUMIFS('Commodity Prices'!$Q$9:$Q$2500,'Commodity Prices'!$A$9:$A$2500,'Uranium - Prices'!D23,'Commodity Prices'!$B$9:$B$2500,3)+
SUMIFS('Commodity Prices'!$Q$9:$Q$2500,'Commodity Prices'!$A$9:$A$2500,'Uranium - Prices'!D23,'Commodity Prices'!$B$9:$B$2500,4)+
SUMIFS('Commodity Prices'!$Q$9:$Q$2500,'Commodity Prices'!$A$9:$A$2500,'Uranium - Prices'!E23,'Commodity Prices'!$B$9:$B$2500,1)+
SUMIFS('Commodity Prices'!$Q$9:$Q$2500,'Commodity Prices'!$A$9:$A$2500,'Uranium - Prices'!E23,'Commodity Prices'!$B$9:$B$2500,2))
/(COUNTIFS('Commodity Prices'!$A$9:$A$2500,'Uranium - Prices'!D23,'Commodity Prices'!$B$9:$B$2500,3)+
COUNTIFS('Commodity Prices'!$A$9:$A$2500,'Uranium - Prices'!D23,'Commodity Prices'!$B$9:$B$2500,4)+
COUNTIFS('Commodity Prices'!$A$9:$A$2500,'Uranium - Prices'!E23,'Commodity Prices'!$B$9:$B$2500,1)+
COUNTIFS('Commodity Prices'!$A$9:$A$2500,'Uranium - Prices'!E23,'Commodity Prices'!$B$9:$B$2500,2))</f>
        <v>9.5958333333333332</v>
      </c>
    </row>
    <row r="24" spans="1:8">
      <c r="A24" s="620">
        <f>LARGE('Commodity Prices'!C$159:C$902,44)</f>
        <v>43040</v>
      </c>
      <c r="B24" s="31">
        <f>SUMIF('Commodity Prices'!C$62:C$902,A24,'Commodity Prices'!Q$62:Q$902)</f>
        <v>22</v>
      </c>
      <c r="C24" s="10"/>
      <c r="D24" s="373">
        <f t="shared" si="0"/>
        <v>2002</v>
      </c>
      <c r="E24" s="373">
        <f t="shared" si="1"/>
        <v>2003</v>
      </c>
      <c r="F24" s="623" t="str">
        <f t="shared" si="2"/>
        <v>2002-03</v>
      </c>
      <c r="G24" s="12">
        <f t="array" ref="G24">IF($F$6="Historic Calendar Year",IFERROR(AVERAGE(IF($F24=YEAR('Commodity Prices'!C$100:C$1000),'Commodity Prices'!Q$100:Q$1000)),"NA"),IFERROR(IF(H24=0,"NA",H24),"NA"))</f>
        <v>10.216666666666667</v>
      </c>
      <c r="H24" s="459">
        <f>(SUMIFS('Commodity Prices'!$Q$9:$Q$2500,'Commodity Prices'!$A$9:$A$2500,'Uranium - Prices'!D24,'Commodity Prices'!$B$9:$B$2500,3)+
SUMIFS('Commodity Prices'!$Q$9:$Q$2500,'Commodity Prices'!$A$9:$A$2500,'Uranium - Prices'!D24,'Commodity Prices'!$B$9:$B$2500,4)+
SUMIFS('Commodity Prices'!$Q$9:$Q$2500,'Commodity Prices'!$A$9:$A$2500,'Uranium - Prices'!E24,'Commodity Prices'!$B$9:$B$2500,1)+
SUMIFS('Commodity Prices'!$Q$9:$Q$2500,'Commodity Prices'!$A$9:$A$2500,'Uranium - Prices'!E24,'Commodity Prices'!$B$9:$B$2500,2))
/(COUNTIFS('Commodity Prices'!$A$9:$A$2500,'Uranium - Prices'!D24,'Commodity Prices'!$B$9:$B$2500,3)+
COUNTIFS('Commodity Prices'!$A$9:$A$2500,'Uranium - Prices'!D24,'Commodity Prices'!$B$9:$B$2500,4)+
COUNTIFS('Commodity Prices'!$A$9:$A$2500,'Uranium - Prices'!E24,'Commodity Prices'!$B$9:$B$2500,1)+
COUNTIFS('Commodity Prices'!$A$9:$A$2500,'Uranium - Prices'!E24,'Commodity Prices'!$B$9:$B$2500,2))</f>
        <v>10.216666666666667</v>
      </c>
    </row>
    <row r="25" spans="1:8">
      <c r="A25" s="621">
        <f>LARGE('Commodity Prices'!C$159:C$902,43)</f>
        <v>43070</v>
      </c>
      <c r="B25" s="12">
        <f>SUMIF('Commodity Prices'!C$62:C$902,A25,'Commodity Prices'!Q$62:Q$902)</f>
        <v>23.75</v>
      </c>
      <c r="C25" s="10"/>
      <c r="D25" s="373">
        <f t="shared" si="0"/>
        <v>2003</v>
      </c>
      <c r="E25" s="373">
        <f t="shared" si="1"/>
        <v>2004</v>
      </c>
      <c r="F25" s="624" t="str">
        <f t="shared" si="2"/>
        <v>2003-04</v>
      </c>
      <c r="G25" s="31">
        <f t="array" ref="G25">IF($F$6="Historic Calendar Year",IFERROR(AVERAGE(IF($F25=YEAR('Commodity Prices'!C$100:C$1000),'Commodity Prices'!Q$100:Q$1000)),"NA"),IFERROR(IF(H25=0,"NA",H25),"NA"))</f>
        <v>14.987500000000002</v>
      </c>
      <c r="H25" s="459">
        <f>(SUMIFS('Commodity Prices'!$Q$9:$Q$2500,'Commodity Prices'!$A$9:$A$2500,'Uranium - Prices'!D25,'Commodity Prices'!$B$9:$B$2500,3)+
SUMIFS('Commodity Prices'!$Q$9:$Q$2500,'Commodity Prices'!$A$9:$A$2500,'Uranium - Prices'!D25,'Commodity Prices'!$B$9:$B$2500,4)+
SUMIFS('Commodity Prices'!$Q$9:$Q$2500,'Commodity Prices'!$A$9:$A$2500,'Uranium - Prices'!E25,'Commodity Prices'!$B$9:$B$2500,1)+
SUMIFS('Commodity Prices'!$Q$9:$Q$2500,'Commodity Prices'!$A$9:$A$2500,'Uranium - Prices'!E25,'Commodity Prices'!$B$9:$B$2500,2))
/(COUNTIFS('Commodity Prices'!$A$9:$A$2500,'Uranium - Prices'!D25,'Commodity Prices'!$B$9:$B$2500,3)+
COUNTIFS('Commodity Prices'!$A$9:$A$2500,'Uranium - Prices'!D25,'Commodity Prices'!$B$9:$B$2500,4)+
COUNTIFS('Commodity Prices'!$A$9:$A$2500,'Uranium - Prices'!E25,'Commodity Prices'!$B$9:$B$2500,1)+
COUNTIFS('Commodity Prices'!$A$9:$A$2500,'Uranium - Prices'!E25,'Commodity Prices'!$B$9:$B$2500,2))</f>
        <v>14.987500000000002</v>
      </c>
    </row>
    <row r="26" spans="1:8">
      <c r="A26" s="620">
        <f>LARGE('Commodity Prices'!C$159:C$902,42)</f>
        <v>43101</v>
      </c>
      <c r="B26" s="31">
        <f>SUMIF('Commodity Prices'!C$62:C$902,A26,'Commodity Prices'!Q$62:Q$902)</f>
        <v>22</v>
      </c>
      <c r="C26" s="10"/>
      <c r="D26" s="373">
        <f t="shared" si="0"/>
        <v>2004</v>
      </c>
      <c r="E26" s="373">
        <f t="shared" si="1"/>
        <v>2005</v>
      </c>
      <c r="F26" s="623" t="str">
        <f t="shared" si="2"/>
        <v>2004-05</v>
      </c>
      <c r="G26" s="12">
        <f t="array" ref="G26">IF($F$6="Historic Calendar Year",IFERROR(AVERAGE(IF($F26=YEAR('Commodity Prices'!C$100:C$1000),'Commodity Prices'!Q$100:Q$1000)),"NA"),IFERROR(IF(H26=0,"NA",H26),"NA"))</f>
        <v>22.204166666666666</v>
      </c>
      <c r="H26" s="459">
        <f>(SUMIFS('Commodity Prices'!$Q$9:$Q$2500,'Commodity Prices'!$A$9:$A$2500,'Uranium - Prices'!D26,'Commodity Prices'!$B$9:$B$2500,3)+
SUMIFS('Commodity Prices'!$Q$9:$Q$2500,'Commodity Prices'!$A$9:$A$2500,'Uranium - Prices'!D26,'Commodity Prices'!$B$9:$B$2500,4)+
SUMIFS('Commodity Prices'!$Q$9:$Q$2500,'Commodity Prices'!$A$9:$A$2500,'Uranium - Prices'!E26,'Commodity Prices'!$B$9:$B$2500,1)+
SUMIFS('Commodity Prices'!$Q$9:$Q$2500,'Commodity Prices'!$A$9:$A$2500,'Uranium - Prices'!E26,'Commodity Prices'!$B$9:$B$2500,2))
/(COUNTIFS('Commodity Prices'!$A$9:$A$2500,'Uranium - Prices'!D26,'Commodity Prices'!$B$9:$B$2500,3)+
COUNTIFS('Commodity Prices'!$A$9:$A$2500,'Uranium - Prices'!D26,'Commodity Prices'!$B$9:$B$2500,4)+
COUNTIFS('Commodity Prices'!$A$9:$A$2500,'Uranium - Prices'!E26,'Commodity Prices'!$B$9:$B$2500,1)+
COUNTIFS('Commodity Prices'!$A$9:$A$2500,'Uranium - Prices'!E26,'Commodity Prices'!$B$9:$B$2500,2))</f>
        <v>22.204166666666666</v>
      </c>
    </row>
    <row r="27" spans="1:8">
      <c r="A27" s="621">
        <f>LARGE('Commodity Prices'!C$159:C$902,41)</f>
        <v>43132</v>
      </c>
      <c r="B27" s="12">
        <f>SUMIF('Commodity Prices'!C$62:C$902,A27,'Commodity Prices'!Q$62:Q$902)</f>
        <v>21.75</v>
      </c>
      <c r="C27" s="10"/>
      <c r="D27" s="373">
        <f t="shared" si="0"/>
        <v>2005</v>
      </c>
      <c r="E27" s="373">
        <f t="shared" si="1"/>
        <v>2006</v>
      </c>
      <c r="F27" s="624" t="str">
        <f t="shared" si="2"/>
        <v>2005-06</v>
      </c>
      <c r="G27" s="31">
        <f t="array" ref="G27">IF($F$6="Historic Calendar Year",IFERROR(AVERAGE(IF($F27=YEAR('Commodity Prices'!C$100:C$1000),'Commodity Prices'!Q$100:Q$1000)),"NA"),IFERROR(IF(H27=0,"NA",H27),"NA"))</f>
        <v>36.795833333333327</v>
      </c>
      <c r="H27" s="459">
        <f>(SUMIFS('Commodity Prices'!$Q$9:$Q$2500,'Commodity Prices'!$A$9:$A$2500,'Uranium - Prices'!D27,'Commodity Prices'!$B$9:$B$2500,3)+
SUMIFS('Commodity Prices'!$Q$9:$Q$2500,'Commodity Prices'!$A$9:$A$2500,'Uranium - Prices'!D27,'Commodity Prices'!$B$9:$B$2500,4)+
SUMIFS('Commodity Prices'!$Q$9:$Q$2500,'Commodity Prices'!$A$9:$A$2500,'Uranium - Prices'!E27,'Commodity Prices'!$B$9:$B$2500,1)+
SUMIFS('Commodity Prices'!$Q$9:$Q$2500,'Commodity Prices'!$A$9:$A$2500,'Uranium - Prices'!E27,'Commodity Prices'!$B$9:$B$2500,2))
/(COUNTIFS('Commodity Prices'!$A$9:$A$2500,'Uranium - Prices'!D27,'Commodity Prices'!$B$9:$B$2500,3)+
COUNTIFS('Commodity Prices'!$A$9:$A$2500,'Uranium - Prices'!D27,'Commodity Prices'!$B$9:$B$2500,4)+
COUNTIFS('Commodity Prices'!$A$9:$A$2500,'Uranium - Prices'!E27,'Commodity Prices'!$B$9:$B$2500,1)+
COUNTIFS('Commodity Prices'!$A$9:$A$2500,'Uranium - Prices'!E27,'Commodity Prices'!$B$9:$B$2500,2))</f>
        <v>36.795833333333327</v>
      </c>
    </row>
    <row r="28" spans="1:8">
      <c r="A28" s="620">
        <f>LARGE('Commodity Prices'!C$159:C$902,40)</f>
        <v>43160</v>
      </c>
      <c r="B28" s="31">
        <f>SUMIF('Commodity Prices'!C$62:C$902,A28,'Commodity Prices'!Q$62:Q$902)</f>
        <v>21.1</v>
      </c>
      <c r="C28" s="10"/>
      <c r="D28" s="373">
        <f t="shared" si="0"/>
        <v>2006</v>
      </c>
      <c r="E28" s="373">
        <f t="shared" si="1"/>
        <v>2007</v>
      </c>
      <c r="F28" s="623" t="str">
        <f t="shared" si="2"/>
        <v>2006-07</v>
      </c>
      <c r="G28" s="12">
        <f t="array" ref="G28">IF($F$6="Historic Calendar Year",IFERROR(AVERAGE(IF($F28=YEAR('Commodity Prices'!C$100:C$1000),'Commodity Prices'!Q$100:Q$1000)),"NA"),IFERROR(IF(H28=0,"NA",H28),"NA"))</f>
        <v>81.145833333333329</v>
      </c>
      <c r="H28" s="459">
        <f>(SUMIFS('Commodity Prices'!$Q$9:$Q$2500,'Commodity Prices'!$A$9:$A$2500,'Uranium - Prices'!D28,'Commodity Prices'!$B$9:$B$2500,3)+
SUMIFS('Commodity Prices'!$Q$9:$Q$2500,'Commodity Prices'!$A$9:$A$2500,'Uranium - Prices'!D28,'Commodity Prices'!$B$9:$B$2500,4)+
SUMIFS('Commodity Prices'!$Q$9:$Q$2500,'Commodity Prices'!$A$9:$A$2500,'Uranium - Prices'!E28,'Commodity Prices'!$B$9:$B$2500,1)+
SUMIFS('Commodity Prices'!$Q$9:$Q$2500,'Commodity Prices'!$A$9:$A$2500,'Uranium - Prices'!E28,'Commodity Prices'!$B$9:$B$2500,2))
/(COUNTIFS('Commodity Prices'!$A$9:$A$2500,'Uranium - Prices'!D28,'Commodity Prices'!$B$9:$B$2500,3)+
COUNTIFS('Commodity Prices'!$A$9:$A$2500,'Uranium - Prices'!D28,'Commodity Prices'!$B$9:$B$2500,4)+
COUNTIFS('Commodity Prices'!$A$9:$A$2500,'Uranium - Prices'!E28,'Commodity Prices'!$B$9:$B$2500,1)+
COUNTIFS('Commodity Prices'!$A$9:$A$2500,'Uranium - Prices'!E28,'Commodity Prices'!$B$9:$B$2500,2))</f>
        <v>81.145833333333329</v>
      </c>
    </row>
    <row r="29" spans="1:8">
      <c r="A29" s="621">
        <f>LARGE('Commodity Prices'!C$159:C$902,39)</f>
        <v>43191</v>
      </c>
      <c r="B29" s="12">
        <f>SUMIF('Commodity Prices'!C$62:C$902,A29,'Commodity Prices'!Q$62:Q$902)</f>
        <v>21</v>
      </c>
      <c r="C29" s="10"/>
      <c r="D29" s="373">
        <f t="shared" si="0"/>
        <v>2007</v>
      </c>
      <c r="E29" s="373">
        <f t="shared" si="1"/>
        <v>2008</v>
      </c>
      <c r="F29" s="624" t="str">
        <f t="shared" si="2"/>
        <v>2007-08</v>
      </c>
      <c r="G29" s="31">
        <f t="array" ref="G29">IF($F$6="Historic Calendar Year",IFERROR(AVERAGE(IF($F29=YEAR('Commodity Prices'!C$100:C$1000),'Commodity Prices'!Q$100:Q$1000)),"NA"),IFERROR(IF(H29=0,"NA",H29),"NA"))</f>
        <v>79.916666666666671</v>
      </c>
      <c r="H29" s="459">
        <f>(SUMIFS('Commodity Prices'!$Q$9:$Q$2500,'Commodity Prices'!$A$9:$A$2500,'Uranium - Prices'!D29,'Commodity Prices'!$B$9:$B$2500,3)+
SUMIFS('Commodity Prices'!$Q$9:$Q$2500,'Commodity Prices'!$A$9:$A$2500,'Uranium - Prices'!D29,'Commodity Prices'!$B$9:$B$2500,4)+
SUMIFS('Commodity Prices'!$Q$9:$Q$2500,'Commodity Prices'!$A$9:$A$2500,'Uranium - Prices'!E29,'Commodity Prices'!$B$9:$B$2500,1)+
SUMIFS('Commodity Prices'!$Q$9:$Q$2500,'Commodity Prices'!$A$9:$A$2500,'Uranium - Prices'!E29,'Commodity Prices'!$B$9:$B$2500,2))
/(COUNTIFS('Commodity Prices'!$A$9:$A$2500,'Uranium - Prices'!D29,'Commodity Prices'!$B$9:$B$2500,3)+
COUNTIFS('Commodity Prices'!$A$9:$A$2500,'Uranium - Prices'!D29,'Commodity Prices'!$B$9:$B$2500,4)+
COUNTIFS('Commodity Prices'!$A$9:$A$2500,'Uranium - Prices'!E29,'Commodity Prices'!$B$9:$B$2500,1)+
COUNTIFS('Commodity Prices'!$A$9:$A$2500,'Uranium - Prices'!E29,'Commodity Prices'!$B$9:$B$2500,2))</f>
        <v>79.916666666666671</v>
      </c>
    </row>
    <row r="30" spans="1:8">
      <c r="A30" s="620">
        <f>LARGE('Commodity Prices'!C$159:C$902,38)</f>
        <v>43221</v>
      </c>
      <c r="B30" s="31">
        <f>SUMIF('Commodity Prices'!C$62:C$902,A30,'Commodity Prices'!Q$62:Q$902)</f>
        <v>22.75</v>
      </c>
      <c r="C30" s="10"/>
      <c r="D30" s="373">
        <f t="shared" si="0"/>
        <v>2008</v>
      </c>
      <c r="E30" s="373">
        <f t="shared" si="1"/>
        <v>2009</v>
      </c>
      <c r="F30" s="623" t="str">
        <f t="shared" si="2"/>
        <v>2008-09</v>
      </c>
      <c r="G30" s="12">
        <f t="array" ref="G30">IF($F$6="Historic Calendar Year",IFERROR(AVERAGE(IF($F30=YEAR('Commodity Prices'!C$100:C$1000),'Commodity Prices'!Q$100:Q$1000)),"NA"),IFERROR(IF(H30=0,"NA",H30),"NA"))</f>
        <v>51.375</v>
      </c>
      <c r="H30" s="459">
        <f>(SUMIFS('Commodity Prices'!$Q$9:$Q$2500,'Commodity Prices'!$A$9:$A$2500,'Uranium - Prices'!D30,'Commodity Prices'!$B$9:$B$2500,3)+
SUMIFS('Commodity Prices'!$Q$9:$Q$2500,'Commodity Prices'!$A$9:$A$2500,'Uranium - Prices'!D30,'Commodity Prices'!$B$9:$B$2500,4)+
SUMIFS('Commodity Prices'!$Q$9:$Q$2500,'Commodity Prices'!$A$9:$A$2500,'Uranium - Prices'!E30,'Commodity Prices'!$B$9:$B$2500,1)+
SUMIFS('Commodity Prices'!$Q$9:$Q$2500,'Commodity Prices'!$A$9:$A$2500,'Uranium - Prices'!E30,'Commodity Prices'!$B$9:$B$2500,2))
/(COUNTIFS('Commodity Prices'!$A$9:$A$2500,'Uranium - Prices'!D30,'Commodity Prices'!$B$9:$B$2500,3)+
COUNTIFS('Commodity Prices'!$A$9:$A$2500,'Uranium - Prices'!D30,'Commodity Prices'!$B$9:$B$2500,4)+
COUNTIFS('Commodity Prices'!$A$9:$A$2500,'Uranium - Prices'!E30,'Commodity Prices'!$B$9:$B$2500,1)+
COUNTIFS('Commodity Prices'!$A$9:$A$2500,'Uranium - Prices'!E30,'Commodity Prices'!$B$9:$B$2500,2))</f>
        <v>51.375</v>
      </c>
    </row>
    <row r="31" spans="1:8">
      <c r="A31" s="621">
        <f>LARGE('Commodity Prices'!C$159:C$902,37)</f>
        <v>43252</v>
      </c>
      <c r="B31" s="12">
        <f>SUMIF('Commodity Prices'!C$62:C$902,A31,'Commodity Prices'!Q$62:Q$902)</f>
        <v>22.55</v>
      </c>
      <c r="C31" s="10"/>
      <c r="D31" s="373">
        <f t="shared" si="0"/>
        <v>2009</v>
      </c>
      <c r="E31" s="373">
        <f t="shared" si="1"/>
        <v>2010</v>
      </c>
      <c r="F31" s="624" t="str">
        <f t="shared" si="2"/>
        <v>2009-10</v>
      </c>
      <c r="G31" s="31">
        <f t="array" ref="G31">IF($F$6="Historic Calendar Year",IFERROR(AVERAGE(IF($F31=YEAR('Commodity Prices'!C$100:C$1000),'Commodity Prices'!Q$100:Q$1000)),"NA"),IFERROR(IF(H31=0,"NA",H31),"NA"))</f>
        <v>43.8125</v>
      </c>
      <c r="H31" s="459">
        <f>(SUMIFS('Commodity Prices'!$Q$9:$Q$2500,'Commodity Prices'!$A$9:$A$2500,'Uranium - Prices'!D31,'Commodity Prices'!$B$9:$B$2500,3)+
SUMIFS('Commodity Prices'!$Q$9:$Q$2500,'Commodity Prices'!$A$9:$A$2500,'Uranium - Prices'!D31,'Commodity Prices'!$B$9:$B$2500,4)+
SUMIFS('Commodity Prices'!$Q$9:$Q$2500,'Commodity Prices'!$A$9:$A$2500,'Uranium - Prices'!E31,'Commodity Prices'!$B$9:$B$2500,1)+
SUMIFS('Commodity Prices'!$Q$9:$Q$2500,'Commodity Prices'!$A$9:$A$2500,'Uranium - Prices'!E31,'Commodity Prices'!$B$9:$B$2500,2))
/(COUNTIFS('Commodity Prices'!$A$9:$A$2500,'Uranium - Prices'!D31,'Commodity Prices'!$B$9:$B$2500,3)+
COUNTIFS('Commodity Prices'!$A$9:$A$2500,'Uranium - Prices'!D31,'Commodity Prices'!$B$9:$B$2500,4)+
COUNTIFS('Commodity Prices'!$A$9:$A$2500,'Uranium - Prices'!E31,'Commodity Prices'!$B$9:$B$2500,1)+
COUNTIFS('Commodity Prices'!$A$9:$A$2500,'Uranium - Prices'!E31,'Commodity Prices'!$B$9:$B$2500,2))</f>
        <v>43.8125</v>
      </c>
    </row>
    <row r="32" spans="1:8">
      <c r="A32" s="620">
        <f>LARGE('Commodity Prices'!C$159:C$902,36)</f>
        <v>43282</v>
      </c>
      <c r="B32" s="31">
        <f>SUMIF('Commodity Prices'!C$62:C$902,A32,'Commodity Prices'!Q$62:Q$902)</f>
        <v>25.7</v>
      </c>
      <c r="C32" s="10"/>
      <c r="D32" s="373">
        <f t="shared" si="0"/>
        <v>2010</v>
      </c>
      <c r="E32" s="373">
        <f t="shared" si="1"/>
        <v>2011</v>
      </c>
      <c r="F32" s="623" t="str">
        <f t="shared" si="2"/>
        <v>2010-11</v>
      </c>
      <c r="G32" s="12">
        <f t="array" ref="G32">IF($F$6="Historic Calendar Year",IFERROR(AVERAGE(IF($F32=YEAR('Commodity Prices'!C$100:C$1000),'Commodity Prices'!Q$100:Q$1000)),"NA"),IFERROR(IF(H32=0,"NA",H32),"NA"))</f>
        <v>56.645833333333336</v>
      </c>
      <c r="H32" s="459">
        <f>(SUMIFS('Commodity Prices'!$Q$9:$Q$2500,'Commodity Prices'!$A$9:$A$2500,'Uranium - Prices'!D32,'Commodity Prices'!$B$9:$B$2500,3)+
SUMIFS('Commodity Prices'!$Q$9:$Q$2500,'Commodity Prices'!$A$9:$A$2500,'Uranium - Prices'!D32,'Commodity Prices'!$B$9:$B$2500,4)+
SUMIFS('Commodity Prices'!$Q$9:$Q$2500,'Commodity Prices'!$A$9:$A$2500,'Uranium - Prices'!E32,'Commodity Prices'!$B$9:$B$2500,1)+
SUMIFS('Commodity Prices'!$Q$9:$Q$2500,'Commodity Prices'!$A$9:$A$2500,'Uranium - Prices'!E32,'Commodity Prices'!$B$9:$B$2500,2))
/(COUNTIFS('Commodity Prices'!$A$9:$A$2500,'Uranium - Prices'!D32,'Commodity Prices'!$B$9:$B$2500,3)+
COUNTIFS('Commodity Prices'!$A$9:$A$2500,'Uranium - Prices'!D32,'Commodity Prices'!$B$9:$B$2500,4)+
COUNTIFS('Commodity Prices'!$A$9:$A$2500,'Uranium - Prices'!E32,'Commodity Prices'!$B$9:$B$2500,1)+
COUNTIFS('Commodity Prices'!$A$9:$A$2500,'Uranium - Prices'!E32,'Commodity Prices'!$B$9:$B$2500,2))</f>
        <v>56.645833333333336</v>
      </c>
    </row>
    <row r="33" spans="1:8">
      <c r="A33" s="621">
        <f>LARGE('Commodity Prices'!C$159:C$902,35)</f>
        <v>43313</v>
      </c>
      <c r="B33" s="12">
        <f>SUMIF('Commodity Prices'!C$62:C$902,A33,'Commodity Prices'!Q$62:Q$902)</f>
        <v>27.35</v>
      </c>
      <c r="C33" s="10"/>
      <c r="D33" s="373">
        <f t="shared" si="0"/>
        <v>2011</v>
      </c>
      <c r="E33" s="373">
        <f t="shared" si="1"/>
        <v>2012</v>
      </c>
      <c r="F33" s="624" t="str">
        <f t="shared" si="2"/>
        <v>2011-12</v>
      </c>
      <c r="G33" s="31">
        <f t="array" ref="G33">IF($F$6="Historic Calendar Year",IFERROR(AVERAGE(IF($F33=YEAR('Commodity Prices'!C$100:C$1000),'Commodity Prices'!Q$100:Q$1000)),"NA"),IFERROR(IF(H33=0,"NA",H33),"NA"))</f>
        <v>51.625</v>
      </c>
      <c r="H33" s="459">
        <f>(SUMIFS('Commodity Prices'!$Q$9:$Q$2500,'Commodity Prices'!$A$9:$A$2500,'Uranium - Prices'!D33,'Commodity Prices'!$B$9:$B$2500,3)+
SUMIFS('Commodity Prices'!$Q$9:$Q$2500,'Commodity Prices'!$A$9:$A$2500,'Uranium - Prices'!D33,'Commodity Prices'!$B$9:$B$2500,4)+
SUMIFS('Commodity Prices'!$Q$9:$Q$2500,'Commodity Prices'!$A$9:$A$2500,'Uranium - Prices'!E33,'Commodity Prices'!$B$9:$B$2500,1)+
SUMIFS('Commodity Prices'!$Q$9:$Q$2500,'Commodity Prices'!$A$9:$A$2500,'Uranium - Prices'!E33,'Commodity Prices'!$B$9:$B$2500,2))
/(COUNTIFS('Commodity Prices'!$A$9:$A$2500,'Uranium - Prices'!D33,'Commodity Prices'!$B$9:$B$2500,3)+
COUNTIFS('Commodity Prices'!$A$9:$A$2500,'Uranium - Prices'!D33,'Commodity Prices'!$B$9:$B$2500,4)+
COUNTIFS('Commodity Prices'!$A$9:$A$2500,'Uranium - Prices'!E33,'Commodity Prices'!$B$9:$B$2500,1)+
COUNTIFS('Commodity Prices'!$A$9:$A$2500,'Uranium - Prices'!E33,'Commodity Prices'!$B$9:$B$2500,2))</f>
        <v>51.625</v>
      </c>
    </row>
    <row r="34" spans="1:8">
      <c r="A34" s="620">
        <f>LARGE('Commodity Prices'!C$159:C$902,34)</f>
        <v>43344</v>
      </c>
      <c r="B34" s="31">
        <f>SUMIF('Commodity Prices'!C$62:C$902,A34,'Commodity Prices'!Q$62:Q$902)</f>
        <v>27.4</v>
      </c>
      <c r="C34" s="10"/>
      <c r="D34" s="373">
        <f t="shared" si="0"/>
        <v>2012</v>
      </c>
      <c r="E34" s="373">
        <f t="shared" si="1"/>
        <v>2013</v>
      </c>
      <c r="F34" s="623" t="str">
        <f t="shared" si="2"/>
        <v>2012-13</v>
      </c>
      <c r="G34" s="12">
        <f t="array" ref="G34">IF($F$6="Historic Calendar Year",IFERROR(AVERAGE(IF($F34=YEAR('Commodity Prices'!C$100:C$1000),'Commodity Prices'!Q$100:Q$1000)),"NA"),IFERROR(IF(H34=0,"NA",H34),"NA"))</f>
        <v>43.345833333333331</v>
      </c>
      <c r="H34" s="459">
        <f>(SUMIFS('Commodity Prices'!$Q$9:$Q$2500,'Commodity Prices'!$A$9:$A$2500,'Uranium - Prices'!D34,'Commodity Prices'!$B$9:$B$2500,3)+
SUMIFS('Commodity Prices'!$Q$9:$Q$2500,'Commodity Prices'!$A$9:$A$2500,'Uranium - Prices'!D34,'Commodity Prices'!$B$9:$B$2500,4)+
SUMIFS('Commodity Prices'!$Q$9:$Q$2500,'Commodity Prices'!$A$9:$A$2500,'Uranium - Prices'!E34,'Commodity Prices'!$B$9:$B$2500,1)+
SUMIFS('Commodity Prices'!$Q$9:$Q$2500,'Commodity Prices'!$A$9:$A$2500,'Uranium - Prices'!E34,'Commodity Prices'!$B$9:$B$2500,2))
/(COUNTIFS('Commodity Prices'!$A$9:$A$2500,'Uranium - Prices'!D34,'Commodity Prices'!$B$9:$B$2500,3)+
COUNTIFS('Commodity Prices'!$A$9:$A$2500,'Uranium - Prices'!D34,'Commodity Prices'!$B$9:$B$2500,4)+
COUNTIFS('Commodity Prices'!$A$9:$A$2500,'Uranium - Prices'!E34,'Commodity Prices'!$B$9:$B$2500,1)+
COUNTIFS('Commodity Prices'!$A$9:$A$2500,'Uranium - Prices'!E34,'Commodity Prices'!$B$9:$B$2500,2))</f>
        <v>43.345833333333331</v>
      </c>
    </row>
    <row r="35" spans="1:8">
      <c r="A35" s="621">
        <f>LARGE('Commodity Prices'!C$159:C$902,33)</f>
        <v>43374</v>
      </c>
      <c r="B35" s="12">
        <f>SUMIF('Commodity Prices'!C$62:C$902,A35,'Commodity Prices'!Q$62:Q$902)</f>
        <v>27.9</v>
      </c>
      <c r="C35" s="10"/>
      <c r="D35" s="373">
        <f t="shared" si="0"/>
        <v>2013</v>
      </c>
      <c r="E35" s="373">
        <f t="shared" si="1"/>
        <v>2014</v>
      </c>
      <c r="F35" s="624" t="str">
        <f t="shared" si="2"/>
        <v>2013-14</v>
      </c>
      <c r="G35" s="31">
        <f t="array" ref="G35">IF($F$6="Historic Calendar Year",IFERROR(AVERAGE(IF($F35=YEAR('Commodity Prices'!C$100:C$1000),'Commodity Prices'!Q$100:Q$1000)),"NA"),IFERROR(IF(H35=0,"NA",H35),"NA"))</f>
        <v>33.604166666666664</v>
      </c>
      <c r="H35" s="459">
        <f>(SUMIFS('Commodity Prices'!$Q$9:$Q$2500,'Commodity Prices'!$A$9:$A$2500,'Uranium - Prices'!D35,'Commodity Prices'!$B$9:$B$2500,3)+
SUMIFS('Commodity Prices'!$Q$9:$Q$2500,'Commodity Prices'!$A$9:$A$2500,'Uranium - Prices'!D35,'Commodity Prices'!$B$9:$B$2500,4)+
SUMIFS('Commodity Prices'!$Q$9:$Q$2500,'Commodity Prices'!$A$9:$A$2500,'Uranium - Prices'!E35,'Commodity Prices'!$B$9:$B$2500,1)+
SUMIFS('Commodity Prices'!$Q$9:$Q$2500,'Commodity Prices'!$A$9:$A$2500,'Uranium - Prices'!E35,'Commodity Prices'!$B$9:$B$2500,2))
/(COUNTIFS('Commodity Prices'!$A$9:$A$2500,'Uranium - Prices'!D35,'Commodity Prices'!$B$9:$B$2500,3)+
COUNTIFS('Commodity Prices'!$A$9:$A$2500,'Uranium - Prices'!D35,'Commodity Prices'!$B$9:$B$2500,4)+
COUNTIFS('Commodity Prices'!$A$9:$A$2500,'Uranium - Prices'!E35,'Commodity Prices'!$B$9:$B$2500,1)+
COUNTIFS('Commodity Prices'!$A$9:$A$2500,'Uranium - Prices'!E35,'Commodity Prices'!$B$9:$B$2500,2))</f>
        <v>33.604166666666664</v>
      </c>
    </row>
    <row r="36" spans="1:8">
      <c r="A36" s="620">
        <f>LARGE('Commodity Prices'!C$159:C$902,32)</f>
        <v>43405</v>
      </c>
      <c r="B36" s="31">
        <f>SUMIF('Commodity Prices'!C$62:C$902,A36,'Commodity Prices'!Q$62:Q$902)</f>
        <v>29.1</v>
      </c>
      <c r="C36" s="10"/>
      <c r="D36" s="373">
        <f t="shared" si="0"/>
        <v>2014</v>
      </c>
      <c r="E36" s="373">
        <f t="shared" si="1"/>
        <v>2015</v>
      </c>
      <c r="F36" s="623" t="str">
        <f t="shared" si="2"/>
        <v>2014-15</v>
      </c>
      <c r="G36" s="12">
        <f t="array" ref="G36">IF($F$6="Historic Calendar Year",IFERROR(AVERAGE(IF($F36=YEAR('Commodity Prices'!C$100:C$1000),'Commodity Prices'!Q$100:Q$1000)),"NA"),IFERROR(IF(H36=0,"NA",H36),"NA"))</f>
        <v>35.916666666666664</v>
      </c>
      <c r="H36" s="459">
        <f>(SUMIFS('Commodity Prices'!$Q$9:$Q$2500,'Commodity Prices'!$A$9:$A$2500,'Uranium - Prices'!D36,'Commodity Prices'!$B$9:$B$2500,3)+
SUMIFS('Commodity Prices'!$Q$9:$Q$2500,'Commodity Prices'!$A$9:$A$2500,'Uranium - Prices'!D36,'Commodity Prices'!$B$9:$B$2500,4)+
SUMIFS('Commodity Prices'!$Q$9:$Q$2500,'Commodity Prices'!$A$9:$A$2500,'Uranium - Prices'!E36,'Commodity Prices'!$B$9:$B$2500,1)+
SUMIFS('Commodity Prices'!$Q$9:$Q$2500,'Commodity Prices'!$A$9:$A$2500,'Uranium - Prices'!E36,'Commodity Prices'!$B$9:$B$2500,2))
/(COUNTIFS('Commodity Prices'!$A$9:$A$2500,'Uranium - Prices'!D36,'Commodity Prices'!$B$9:$B$2500,3)+
COUNTIFS('Commodity Prices'!$A$9:$A$2500,'Uranium - Prices'!D36,'Commodity Prices'!$B$9:$B$2500,4)+
COUNTIFS('Commodity Prices'!$A$9:$A$2500,'Uranium - Prices'!E36,'Commodity Prices'!$B$9:$B$2500,1)+
COUNTIFS('Commodity Prices'!$A$9:$A$2500,'Uranium - Prices'!E36,'Commodity Prices'!$B$9:$B$2500,2))</f>
        <v>35.916666666666664</v>
      </c>
    </row>
    <row r="37" spans="1:8">
      <c r="A37" s="621">
        <f>LARGE('Commodity Prices'!C$159:C$902,31)</f>
        <v>43435</v>
      </c>
      <c r="B37" s="12">
        <f>SUMIF('Commodity Prices'!C$62:C$902,A37,'Commodity Prices'!Q$62:Q$902)</f>
        <v>28.5</v>
      </c>
      <c r="C37" s="10"/>
      <c r="D37" s="373">
        <f t="shared" si="0"/>
        <v>2015</v>
      </c>
      <c r="E37" s="373">
        <f t="shared" si="1"/>
        <v>2016</v>
      </c>
      <c r="F37" s="624" t="str">
        <f t="shared" si="2"/>
        <v>2015-16</v>
      </c>
      <c r="G37" s="31">
        <f t="array" ref="G37">IF($F$6="Historic Calendar Year",IFERROR(AVERAGE(IF($F37=YEAR('Commodity Prices'!C$100:C$1000),'Commodity Prices'!Q$100:Q$1000)),"NA"),IFERROR(IF(H37=0,"NA",H37),"NA"))</f>
        <v>32.795833333333334</v>
      </c>
      <c r="H37" s="459">
        <f>(SUMIFS('Commodity Prices'!$Q$9:$Q$2500,'Commodity Prices'!$A$9:$A$2500,'Uranium - Prices'!D37,'Commodity Prices'!$B$9:$B$2500,3)+
SUMIFS('Commodity Prices'!$Q$9:$Q$2500,'Commodity Prices'!$A$9:$A$2500,'Uranium - Prices'!D37,'Commodity Prices'!$B$9:$B$2500,4)+
SUMIFS('Commodity Prices'!$Q$9:$Q$2500,'Commodity Prices'!$A$9:$A$2500,'Uranium - Prices'!E37,'Commodity Prices'!$B$9:$B$2500,1)+
SUMIFS('Commodity Prices'!$Q$9:$Q$2500,'Commodity Prices'!$A$9:$A$2500,'Uranium - Prices'!E37,'Commodity Prices'!$B$9:$B$2500,2))
/(COUNTIFS('Commodity Prices'!$A$9:$A$2500,'Uranium - Prices'!D37,'Commodity Prices'!$B$9:$B$2500,3)+
COUNTIFS('Commodity Prices'!$A$9:$A$2500,'Uranium - Prices'!D37,'Commodity Prices'!$B$9:$B$2500,4)+
COUNTIFS('Commodity Prices'!$A$9:$A$2500,'Uranium - Prices'!E37,'Commodity Prices'!$B$9:$B$2500,1)+
COUNTIFS('Commodity Prices'!$A$9:$A$2500,'Uranium - Prices'!E37,'Commodity Prices'!$B$9:$B$2500,2))</f>
        <v>32.795833333333334</v>
      </c>
    </row>
    <row r="38" spans="1:8">
      <c r="A38" s="620">
        <f>LARGE('Commodity Prices'!C$159:C$902,30)</f>
        <v>43466</v>
      </c>
      <c r="B38" s="31">
        <f>SUMIF('Commodity Prices'!C$62:C$902,A38,'Commodity Prices'!Q$62:Q$902)</f>
        <v>28.9</v>
      </c>
      <c r="C38" s="10"/>
      <c r="D38" s="373">
        <f t="shared" si="0"/>
        <v>2016</v>
      </c>
      <c r="E38" s="373">
        <f t="shared" si="1"/>
        <v>2017</v>
      </c>
      <c r="F38" s="623" t="str">
        <f t="shared" si="2"/>
        <v>2016-17</v>
      </c>
      <c r="G38" s="12">
        <f t="array" ref="G38">IF($F$6="Historic Calendar Year",IFERROR(AVERAGE(IF($F38=YEAR('Commodity Prices'!C$100:C$1000),'Commodity Prices'!Q$100:Q$1000)),"NA"),IFERROR(IF(H38=0,"NA",H38),"NA"))</f>
        <v>22.362500000000001</v>
      </c>
      <c r="H38" s="459">
        <f>(SUMIFS('Commodity Prices'!$Q$9:$Q$2500,'Commodity Prices'!$A$9:$A$2500,'Uranium - Prices'!D38,'Commodity Prices'!$B$9:$B$2500,3)+
SUMIFS('Commodity Prices'!$Q$9:$Q$2500,'Commodity Prices'!$A$9:$A$2500,'Uranium - Prices'!D38,'Commodity Prices'!$B$9:$B$2500,4)+
SUMIFS('Commodity Prices'!$Q$9:$Q$2500,'Commodity Prices'!$A$9:$A$2500,'Uranium - Prices'!E38,'Commodity Prices'!$B$9:$B$2500,1)+
SUMIFS('Commodity Prices'!$Q$9:$Q$2500,'Commodity Prices'!$A$9:$A$2500,'Uranium - Prices'!E38,'Commodity Prices'!$B$9:$B$2500,2))
/(COUNTIFS('Commodity Prices'!$A$9:$A$2500,'Uranium - Prices'!D38,'Commodity Prices'!$B$9:$B$2500,3)+
COUNTIFS('Commodity Prices'!$A$9:$A$2500,'Uranium - Prices'!D38,'Commodity Prices'!$B$9:$B$2500,4)+
COUNTIFS('Commodity Prices'!$A$9:$A$2500,'Uranium - Prices'!E38,'Commodity Prices'!$B$9:$B$2500,1)+
COUNTIFS('Commodity Prices'!$A$9:$A$2500,'Uranium - Prices'!E38,'Commodity Prices'!$B$9:$B$2500,2))</f>
        <v>22.362500000000001</v>
      </c>
    </row>
    <row r="39" spans="1:8">
      <c r="A39" s="621">
        <f>LARGE('Commodity Prices'!C$159:C$902,29)</f>
        <v>43497</v>
      </c>
      <c r="B39" s="12">
        <f>SUMIF('Commodity Prices'!C$62:C$902,A39,'Commodity Prices'!Q$62:Q$902)</f>
        <v>28</v>
      </c>
      <c r="C39" s="10"/>
      <c r="D39" s="373">
        <f t="shared" si="0"/>
        <v>2017</v>
      </c>
      <c r="E39" s="373">
        <f t="shared" si="1"/>
        <v>2018</v>
      </c>
      <c r="F39" s="624" t="str">
        <f t="shared" si="2"/>
        <v>2017-18</v>
      </c>
      <c r="G39" s="31">
        <f t="array" ref="G39">IF($F$6="Historic Calendar Year",IFERROR(AVERAGE(IF($F39=YEAR('Commodity Prices'!C$100:C$1000),'Commodity Prices'!Q$100:Q$1000)),"NA"),IFERROR(IF(H39=0,"NA",H39),"NA"))</f>
        <v>21.466666666666669</v>
      </c>
      <c r="H39" s="459">
        <f>(SUMIFS('Commodity Prices'!$Q$9:$Q$2500,'Commodity Prices'!$A$9:$A$2500,'Uranium - Prices'!D39,'Commodity Prices'!$B$9:$B$2500,3)+
SUMIFS('Commodity Prices'!$Q$9:$Q$2500,'Commodity Prices'!$A$9:$A$2500,'Uranium - Prices'!D39,'Commodity Prices'!$B$9:$B$2500,4)+
SUMIFS('Commodity Prices'!$Q$9:$Q$2500,'Commodity Prices'!$A$9:$A$2500,'Uranium - Prices'!E39,'Commodity Prices'!$B$9:$B$2500,1)+
SUMIFS('Commodity Prices'!$Q$9:$Q$2500,'Commodity Prices'!$A$9:$A$2500,'Uranium - Prices'!E39,'Commodity Prices'!$B$9:$B$2500,2))
/(COUNTIFS('Commodity Prices'!$A$9:$A$2500,'Uranium - Prices'!D39,'Commodity Prices'!$B$9:$B$2500,3)+
COUNTIFS('Commodity Prices'!$A$9:$A$2500,'Uranium - Prices'!D39,'Commodity Prices'!$B$9:$B$2500,4)+
COUNTIFS('Commodity Prices'!$A$9:$A$2500,'Uranium - Prices'!E39,'Commodity Prices'!$B$9:$B$2500,1)+
COUNTIFS('Commodity Prices'!$A$9:$A$2500,'Uranium - Prices'!E39,'Commodity Prices'!$B$9:$B$2500,2))</f>
        <v>21.466666666666669</v>
      </c>
    </row>
    <row r="40" spans="1:8">
      <c r="A40" s="620">
        <f>LARGE('Commodity Prices'!C$159:C$902,28)</f>
        <v>43525</v>
      </c>
      <c r="B40" s="31">
        <f>SUMIF('Commodity Prices'!C$62:C$902,A40,'Commodity Prices'!Q$62:Q$902)</f>
        <v>25.75</v>
      </c>
      <c r="C40" s="10"/>
      <c r="D40" s="373">
        <f t="shared" si="0"/>
        <v>2018</v>
      </c>
      <c r="E40" s="373">
        <f t="shared" si="1"/>
        <v>2019</v>
      </c>
      <c r="F40" s="623" t="str">
        <f t="shared" si="2"/>
        <v>2018-19</v>
      </c>
      <c r="G40" s="12">
        <f t="array" ref="G40">IF($F$6="Historic Calendar Year",IFERROR(AVERAGE(IF($F40=YEAR('Commodity Prices'!C$100:C$1000),'Commodity Prices'!Q$100:Q$1000)),"NA"),IFERROR(IF(H40=0,"NA",H40),"NA"))</f>
        <v>26.908333333333331</v>
      </c>
      <c r="H40" s="459">
        <f>(SUMIFS('Commodity Prices'!$Q$9:$Q$2500,'Commodity Prices'!$A$9:$A$2500,'Uranium - Prices'!D40,'Commodity Prices'!$B$9:$B$2500,3)+
SUMIFS('Commodity Prices'!$Q$9:$Q$2500,'Commodity Prices'!$A$9:$A$2500,'Uranium - Prices'!D40,'Commodity Prices'!$B$9:$B$2500,4)+
SUMIFS('Commodity Prices'!$Q$9:$Q$2500,'Commodity Prices'!$A$9:$A$2500,'Uranium - Prices'!E40,'Commodity Prices'!$B$9:$B$2500,1)+
SUMIFS('Commodity Prices'!$Q$9:$Q$2500,'Commodity Prices'!$A$9:$A$2500,'Uranium - Prices'!E40,'Commodity Prices'!$B$9:$B$2500,2))
/(COUNTIFS('Commodity Prices'!$A$9:$A$2500,'Uranium - Prices'!D40,'Commodity Prices'!$B$9:$B$2500,3)+
COUNTIFS('Commodity Prices'!$A$9:$A$2500,'Uranium - Prices'!D40,'Commodity Prices'!$B$9:$B$2500,4)+
COUNTIFS('Commodity Prices'!$A$9:$A$2500,'Uranium - Prices'!E40,'Commodity Prices'!$B$9:$B$2500,1)+
COUNTIFS('Commodity Prices'!$A$9:$A$2500,'Uranium - Prices'!E40,'Commodity Prices'!$B$9:$B$2500,2))</f>
        <v>26.908333333333331</v>
      </c>
    </row>
    <row r="41" spans="1:8">
      <c r="A41" s="621">
        <f>LARGE('Commodity Prices'!C$159:C$902,27)</f>
        <v>43556</v>
      </c>
      <c r="B41" s="12">
        <f>SUMIF('Commodity Prices'!C$62:C$902,A41,'Commodity Prices'!Q$62:Q$902)</f>
        <v>24.1</v>
      </c>
      <c r="C41" s="10"/>
      <c r="D41" s="373">
        <f t="shared" si="0"/>
        <v>2019</v>
      </c>
      <c r="E41" s="373">
        <f t="shared" si="1"/>
        <v>2020</v>
      </c>
      <c r="F41" s="624" t="str">
        <f t="shared" si="2"/>
        <v>2019-20</v>
      </c>
      <c r="G41" s="31">
        <f t="array" ref="G41">IF($F$6="Historic Calendar Year",IFERROR(AVERAGE(IF($F41=YEAR('Commodity Prices'!C$100:C$1000),'Commodity Prices'!Q$100:Q$1000)),"NA"),IFERROR(IF(H41=0,"NA",H41),"NA"))</f>
        <v>27.2775</v>
      </c>
      <c r="H41" s="459">
        <f>(SUMIFS('Commodity Prices'!$Q$9:$Q$2500,'Commodity Prices'!$A$9:$A$2500,'Uranium - Prices'!D41,'Commodity Prices'!$B$9:$B$2500,3)+
SUMIFS('Commodity Prices'!$Q$9:$Q$2500,'Commodity Prices'!$A$9:$A$2500,'Uranium - Prices'!D41,'Commodity Prices'!$B$9:$B$2500,4)+
SUMIFS('Commodity Prices'!$Q$9:$Q$2500,'Commodity Prices'!$A$9:$A$2500,'Uranium - Prices'!E41,'Commodity Prices'!$B$9:$B$2500,1)+
SUMIFS('Commodity Prices'!$Q$9:$Q$2500,'Commodity Prices'!$A$9:$A$2500,'Uranium - Prices'!E41,'Commodity Prices'!$B$9:$B$2500,2))
/(COUNTIFS('Commodity Prices'!$A$9:$A$2500,'Uranium - Prices'!D41,'Commodity Prices'!$B$9:$B$2500,3)+
COUNTIFS('Commodity Prices'!$A$9:$A$2500,'Uranium - Prices'!D41,'Commodity Prices'!$B$9:$B$2500,4)+
COUNTIFS('Commodity Prices'!$A$9:$A$2500,'Uranium - Prices'!E41,'Commodity Prices'!$B$9:$B$2500,1)+
COUNTIFS('Commodity Prices'!$A$9:$A$2500,'Uranium - Prices'!E41,'Commodity Prices'!$B$9:$B$2500,2))</f>
        <v>27.2775</v>
      </c>
    </row>
    <row r="42" spans="1:8" ht="15.75" thickBot="1">
      <c r="A42" s="620">
        <f>LARGE('Commodity Prices'!C$159:C$902,26)</f>
        <v>43586</v>
      </c>
      <c r="B42" s="31">
        <f>SUMIF('Commodity Prices'!C$62:C$902,A42,'Commodity Prices'!Q$62:Q$902)</f>
        <v>24.7</v>
      </c>
      <c r="C42" s="10"/>
      <c r="D42" s="373">
        <f t="shared" si="0"/>
        <v>2020</v>
      </c>
      <c r="E42" s="373">
        <f t="shared" si="1"/>
        <v>2021</v>
      </c>
      <c r="F42" s="625" t="str">
        <f t="shared" si="2"/>
        <v>2020-21</v>
      </c>
      <c r="G42" s="11">
        <f t="array" ref="G42">IF($F$6="Historic Calendar Year",IFERROR(AVERAGE(IF($F42=YEAR('Commodity Prices'!C$100:C$1000),'Commodity Prices'!Q$100:Q$1000)),"NA"),IFERROR(IF(H42=0,"NA",H42),"NA"))</f>
        <v>30.133333333333336</v>
      </c>
      <c r="H42" s="459">
        <f>(SUMIFS('Commodity Prices'!$Q$9:$Q$2500,'Commodity Prices'!$A$9:$A$2500,'Uranium - Prices'!D42,'Commodity Prices'!$B$9:$B$2500,3)+
SUMIFS('Commodity Prices'!$Q$9:$Q$2500,'Commodity Prices'!$A$9:$A$2500,'Uranium - Prices'!D42,'Commodity Prices'!$B$9:$B$2500,4)+
SUMIFS('Commodity Prices'!$Q$9:$Q$2500,'Commodity Prices'!$A$9:$A$2500,'Uranium - Prices'!E42,'Commodity Prices'!$B$9:$B$2500,1)+
SUMIFS('Commodity Prices'!$Q$9:$Q$2500,'Commodity Prices'!$A$9:$A$2500,'Uranium - Prices'!E42,'Commodity Prices'!$B$9:$B$2500,2))
/(COUNTIFS('Commodity Prices'!$A$9:$A$2500,'Uranium - Prices'!D42,'Commodity Prices'!$B$9:$B$2500,3)+
COUNTIFS('Commodity Prices'!$A$9:$A$2500,'Uranium - Prices'!D42,'Commodity Prices'!$B$9:$B$2500,4)+
COUNTIFS('Commodity Prices'!$A$9:$A$2500,'Uranium - Prices'!E42,'Commodity Prices'!$B$9:$B$2500,1)+
COUNTIFS('Commodity Prices'!$A$9:$A$2500,'Uranium - Prices'!E42,'Commodity Prices'!$B$9:$B$2500,2))</f>
        <v>30.133333333333336</v>
      </c>
    </row>
    <row r="43" spans="1:8" ht="15.75" thickBot="1">
      <c r="A43" s="621">
        <f>LARGE('Commodity Prices'!C$159:C$902,25)</f>
        <v>43617</v>
      </c>
      <c r="B43" s="12">
        <f>SUMIF('Commodity Prices'!C$62:C$902,A43,'Commodity Prices'!Q$62:Q$902)</f>
        <v>25.5</v>
      </c>
      <c r="C43" s="10"/>
      <c r="D43" s="373"/>
      <c r="E43" s="373"/>
      <c r="F43" s="10"/>
      <c r="G43" s="10"/>
    </row>
    <row r="44" spans="1:8" ht="15.75" thickBot="1">
      <c r="A44" s="620">
        <f>LARGE('Commodity Prices'!C$159:C$902,24)</f>
        <v>43647</v>
      </c>
      <c r="B44" s="31">
        <f>SUMIF('Commodity Prices'!C$62:C$902,A44,'Commodity Prices'!Q$62:Q$902)</f>
        <v>25.38</v>
      </c>
      <c r="C44" s="10"/>
      <c r="D44" s="373"/>
      <c r="E44" s="373"/>
      <c r="F44" s="2081" t="s">
        <v>506</v>
      </c>
      <c r="G44" s="2082"/>
    </row>
    <row r="45" spans="1:8" ht="15.75" thickBot="1">
      <c r="A45" s="621">
        <f>LARGE('Commodity Prices'!C$159:C$902,23)</f>
        <v>43678</v>
      </c>
      <c r="B45" s="12">
        <f>SUMIF('Commodity Prices'!C$62:C$902,A45,'Commodity Prices'!Q$62:Q$902)</f>
        <v>25.3</v>
      </c>
      <c r="C45" s="10"/>
      <c r="D45" s="373"/>
      <c r="E45" s="373"/>
      <c r="F45" s="1985" t="s">
        <v>464</v>
      </c>
      <c r="G45" s="1986"/>
    </row>
    <row r="46" spans="1:8">
      <c r="A46" s="620">
        <f>LARGE('Commodity Prices'!C$159:C$902,22)</f>
        <v>43709</v>
      </c>
      <c r="B46" s="31">
        <f>SUMIF('Commodity Prices'!C$62:C$902,A46,'Commodity Prices'!Q$62:Q$902)</f>
        <v>25.65</v>
      </c>
      <c r="C46" s="10"/>
      <c r="D46" s="373"/>
      <c r="E46" s="373"/>
      <c r="F46" s="2080" t="s">
        <v>513</v>
      </c>
      <c r="G46" s="2080"/>
    </row>
    <row r="47" spans="1:8">
      <c r="A47" s="621">
        <f>LARGE('Commodity Prices'!C$159:C$902,21)</f>
        <v>43739</v>
      </c>
      <c r="B47" s="12">
        <f>SUMIF('Commodity Prices'!C$62:C$902,A47,'Commodity Prices'!Q$62:Q$902)</f>
        <v>24</v>
      </c>
      <c r="C47" s="10"/>
      <c r="D47" s="373"/>
      <c r="E47" s="373"/>
      <c r="F47" s="10"/>
      <c r="G47" s="10"/>
    </row>
    <row r="48" spans="1:8">
      <c r="A48" s="620">
        <f>LARGE('Commodity Prices'!C$159:C$902,20)</f>
        <v>43770</v>
      </c>
      <c r="B48" s="31">
        <f>SUMIF('Commodity Prices'!C$62:C$902,A48,'Commodity Prices'!Q$62:Q$902)</f>
        <v>26</v>
      </c>
      <c r="C48" s="10"/>
      <c r="D48" s="373"/>
      <c r="E48" s="373"/>
      <c r="F48" s="10"/>
      <c r="G48" s="10"/>
    </row>
    <row r="49" spans="1:7">
      <c r="A49" s="621">
        <f>LARGE('Commodity Prices'!C$159:C$902,19)</f>
        <v>43800</v>
      </c>
      <c r="B49" s="12">
        <f>SUMIF('Commodity Prices'!C$62:C$902,A49,'Commodity Prices'!Q$62:Q$902)</f>
        <v>25</v>
      </c>
      <c r="C49" s="10"/>
      <c r="D49" s="373"/>
      <c r="E49" s="373"/>
      <c r="F49" s="10"/>
      <c r="G49" s="10"/>
    </row>
    <row r="50" spans="1:7">
      <c r="A50" s="620">
        <f>LARGE('Commodity Prices'!C$159:C$902,18)</f>
        <v>43831</v>
      </c>
      <c r="B50" s="31">
        <f>SUMIF('Commodity Prices'!C$62:C$902,A50,'Commodity Prices'!Q$62:Q$902)</f>
        <v>24.35</v>
      </c>
      <c r="C50" s="10"/>
      <c r="D50" s="373"/>
      <c r="E50" s="373"/>
      <c r="F50" s="10"/>
      <c r="G50" s="10"/>
    </row>
    <row r="51" spans="1:7">
      <c r="A51" s="621">
        <f>LARGE('Commodity Prices'!C$159:C$902,17)</f>
        <v>43862</v>
      </c>
      <c r="B51" s="12">
        <f>SUMIF('Commodity Prices'!C$62:C$902,A51,'Commodity Prices'!Q$62:Q$902)</f>
        <v>24.7</v>
      </c>
      <c r="C51" s="10"/>
      <c r="D51" s="373"/>
      <c r="E51" s="373"/>
      <c r="F51" s="10"/>
      <c r="G51" s="10"/>
    </row>
    <row r="52" spans="1:7">
      <c r="A52" s="620">
        <f>LARGE('Commodity Prices'!C$159:C$902,16)</f>
        <v>43891</v>
      </c>
      <c r="B52" s="31">
        <f>SUMIF('Commodity Prices'!C$62:C$902,A52,'Commodity Prices'!Q$62:Q$902)</f>
        <v>27.4</v>
      </c>
      <c r="C52" s="10"/>
      <c r="D52" s="373"/>
      <c r="E52" s="373"/>
      <c r="F52" s="10"/>
      <c r="G52" s="10"/>
    </row>
    <row r="53" spans="1:7">
      <c r="A53" s="621">
        <f>LARGE('Commodity Prices'!C$159:C$902,15)</f>
        <v>43922</v>
      </c>
      <c r="B53" s="12">
        <f>SUMIF('Commodity Prices'!C$62:C$902,A53,'Commodity Prices'!Q$62:Q$902)</f>
        <v>32.75</v>
      </c>
      <c r="C53" s="10"/>
      <c r="D53" s="373"/>
      <c r="E53" s="373"/>
      <c r="F53" s="10"/>
      <c r="G53" s="10"/>
    </row>
    <row r="54" spans="1:7">
      <c r="A54" s="620">
        <f>LARGE('Commodity Prices'!C$159:C$902,14)</f>
        <v>43952</v>
      </c>
      <c r="B54" s="31">
        <f>SUMIF('Commodity Prices'!C$62:C$902,A54,'Commodity Prices'!Q$62:Q$902)</f>
        <v>34</v>
      </c>
      <c r="C54" s="10"/>
      <c r="D54" s="373"/>
      <c r="E54" s="373"/>
      <c r="F54" s="10"/>
      <c r="G54" s="10"/>
    </row>
    <row r="55" spans="1:7">
      <c r="A55" s="621">
        <f>LARGE('Commodity Prices'!C$159:C$902,13)</f>
        <v>43983</v>
      </c>
      <c r="B55" s="12">
        <f>SUMIF('Commodity Prices'!C$62:C$902,A55,'Commodity Prices'!Q$62:Q$902)</f>
        <v>32.799999999999997</v>
      </c>
      <c r="C55" s="10"/>
      <c r="D55" s="373"/>
      <c r="E55" s="373"/>
      <c r="F55" s="10"/>
      <c r="G55" s="10"/>
    </row>
    <row r="56" spans="1:7">
      <c r="A56" s="620">
        <f>LARGE('Commodity Prices'!C$159:C$902,12)</f>
        <v>44013</v>
      </c>
      <c r="B56" s="31">
        <f>SUMIF('Commodity Prices'!C$62:C$902,A56,'Commodity Prices'!Q$62:Q$902)</f>
        <v>32.200000000000003</v>
      </c>
      <c r="C56" s="10"/>
      <c r="D56" s="373"/>
      <c r="E56" s="373"/>
      <c r="F56" s="10"/>
      <c r="G56" s="10"/>
    </row>
    <row r="57" spans="1:7">
      <c r="A57" s="621">
        <f>LARGE('Commodity Prices'!C$159:C$902,11)</f>
        <v>44044</v>
      </c>
      <c r="B57" s="12">
        <f>SUMIF('Commodity Prices'!C$62:C$902,A57,'Commodity Prices'!Q$62:Q$902)</f>
        <v>30.85</v>
      </c>
      <c r="C57" s="10"/>
      <c r="D57" s="373"/>
      <c r="E57" s="373"/>
      <c r="F57" s="10"/>
      <c r="G57" s="10"/>
    </row>
    <row r="58" spans="1:7">
      <c r="A58" s="620">
        <f>LARGE('Commodity Prices'!C$159:C$902,10)</f>
        <v>44075</v>
      </c>
      <c r="B58" s="31">
        <f>SUMIF('Commodity Prices'!C$62:C$902,A58,'Commodity Prices'!Q$62:Q$902)</f>
        <v>29.6</v>
      </c>
      <c r="C58" s="10"/>
      <c r="D58" s="373"/>
      <c r="E58" s="373"/>
      <c r="F58" s="10"/>
      <c r="G58" s="10"/>
    </row>
    <row r="59" spans="1:7">
      <c r="A59" s="621">
        <f>LARGE('Commodity Prices'!C$159:C$902,9)</f>
        <v>44105</v>
      </c>
      <c r="B59" s="12">
        <f>SUMIF('Commodity Prices'!C$62:C$902,A59,'Commodity Prices'!Q$62:Q$902)</f>
        <v>29.55</v>
      </c>
      <c r="C59" s="10"/>
      <c r="D59" s="373"/>
      <c r="E59" s="373"/>
      <c r="F59" s="10"/>
      <c r="G59" s="10"/>
    </row>
    <row r="60" spans="1:7">
      <c r="A60" s="620">
        <f>LARGE('Commodity Prices'!C$159:C$902,8)</f>
        <v>44136</v>
      </c>
      <c r="B60" s="31">
        <f>SUMIF('Commodity Prices'!C$62:C$902,A60,'Commodity Prices'!Q$62:Q$902)</f>
        <v>29.45</v>
      </c>
      <c r="C60" s="10"/>
      <c r="D60" s="373"/>
      <c r="E60" s="373"/>
      <c r="F60" s="10"/>
      <c r="G60" s="10"/>
    </row>
    <row r="61" spans="1:7">
      <c r="A61" s="621">
        <f>LARGE('Commodity Prices'!C$159:C$902,7)</f>
        <v>44166</v>
      </c>
      <c r="B61" s="12">
        <f>SUMIF('Commodity Prices'!C$62:C$902,A61,'Commodity Prices'!Q$62:Q$902)</f>
        <v>30</v>
      </c>
      <c r="C61" s="10"/>
      <c r="D61" s="373"/>
      <c r="E61" s="373"/>
      <c r="F61" s="10"/>
      <c r="G61" s="10"/>
    </row>
    <row r="62" spans="1:7">
      <c r="A62" s="620">
        <f>LARGE('Commodity Prices'!C$159:C$902,6)</f>
        <v>44197</v>
      </c>
      <c r="B62" s="31">
        <f>SUMIF('Commodity Prices'!C$62:C$902,A62,'Commodity Prices'!Q$62:Q$902)</f>
        <v>29.1</v>
      </c>
      <c r="C62" s="10"/>
      <c r="D62" s="373"/>
      <c r="E62" s="373"/>
      <c r="F62" s="10"/>
      <c r="G62" s="10"/>
    </row>
    <row r="63" spans="1:7">
      <c r="A63" s="621">
        <f>LARGE('Commodity Prices'!C$159:C$902,5)</f>
        <v>44228</v>
      </c>
      <c r="B63" s="12">
        <f>SUMIF('Commodity Prices'!C$62:C$902,A63,'Commodity Prices'!Q$62:Q$902)</f>
        <v>27.75</v>
      </c>
      <c r="C63" s="10"/>
      <c r="D63" s="373"/>
      <c r="E63" s="373"/>
      <c r="F63" s="10"/>
      <c r="G63" s="10"/>
    </row>
    <row r="64" spans="1:7">
      <c r="A64" s="620">
        <f>LARGE('Commodity Prices'!C$159:C$902,4)</f>
        <v>44256</v>
      </c>
      <c r="B64" s="31">
        <f>SUMIF('Commodity Prices'!C$62:C$902,A64,'Commodity Prices'!Q$62:Q$902)</f>
        <v>30.85</v>
      </c>
      <c r="C64" s="10"/>
      <c r="D64" s="373"/>
      <c r="E64" s="373"/>
      <c r="F64" s="10"/>
      <c r="G64" s="10"/>
    </row>
    <row r="65" spans="1:7">
      <c r="A65" s="621">
        <f>LARGE('Commodity Prices'!C$159:C$902,3)</f>
        <v>44287</v>
      </c>
      <c r="B65" s="12">
        <f>SUMIF('Commodity Prices'!C$62:C$902,A65,'Commodity Prices'!Q$62:Q$902)</f>
        <v>28.65</v>
      </c>
      <c r="C65" s="10"/>
      <c r="D65" s="373"/>
      <c r="E65" s="373"/>
      <c r="F65" s="10"/>
      <c r="G65" s="10"/>
    </row>
    <row r="66" spans="1:7">
      <c r="A66" s="620">
        <f>LARGE('Commodity Prices'!C$159:C$902,2)</f>
        <v>44317</v>
      </c>
      <c r="B66" s="31">
        <f>SUMIF('Commodity Prices'!C$62:C$902,A66,'Commodity Prices'!Q$62:Q$902)</f>
        <v>31.4</v>
      </c>
      <c r="C66" s="10"/>
      <c r="D66" s="373"/>
      <c r="E66" s="373"/>
      <c r="F66" s="10"/>
      <c r="G66" s="10"/>
    </row>
    <row r="67" spans="1:7" ht="15.75" thickBot="1">
      <c r="A67" s="622">
        <f>LARGE('Commodity Prices'!C$159:C$902,1)</f>
        <v>44348</v>
      </c>
      <c r="B67" s="11">
        <f>SUMIF('Commodity Prices'!C$62:C$902,A67,'Commodity Prices'!Q$62:Q$902)</f>
        <v>32.200000000000003</v>
      </c>
      <c r="C67" s="10"/>
      <c r="D67" s="373"/>
      <c r="E67" s="373"/>
      <c r="F67" s="10"/>
      <c r="G67" s="10"/>
    </row>
  </sheetData>
  <mergeCells count="7">
    <mergeCell ref="F45:G45"/>
    <mergeCell ref="F46:G46"/>
    <mergeCell ref="A5:B5"/>
    <mergeCell ref="F5:G5"/>
    <mergeCell ref="A6:B6"/>
    <mergeCell ref="F6:G6"/>
    <mergeCell ref="F44:G44"/>
  </mergeCells>
  <dataValidations count="1">
    <dataValidation type="list" allowBlank="1" showInputMessage="1" showErrorMessage="1" promptTitle="Select a Period:" prompt="Select Financial or Calendar years." sqref="F45:G45">
      <formula1>$AA$1:$AA$2</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M154"/>
  <sheetViews>
    <sheetView showGridLines="0" zoomScaleNormal="100" workbookViewId="0">
      <pane ySplit="10" topLeftCell="A11" activePane="bottomLeft" state="frozen"/>
      <selection activeCell="X4" sqref="X4"/>
      <selection pane="bottomLeft" activeCell="H84" sqref="H84"/>
    </sheetView>
  </sheetViews>
  <sheetFormatPr defaultRowHeight="15"/>
  <cols>
    <col min="1" max="1" width="67.7109375" style="74" bestFit="1" customWidth="1"/>
    <col min="2" max="2" width="12.85546875" style="84" bestFit="1" customWidth="1"/>
    <col min="3" max="3" width="15.28515625" style="21" customWidth="1"/>
    <col min="4" max="4" width="2.7109375" style="21" bestFit="1" customWidth="1"/>
    <col min="5" max="5" width="15.42578125" style="21" customWidth="1"/>
    <col min="6" max="6" width="2.7109375" style="74" bestFit="1" customWidth="1"/>
    <col min="7" max="7" width="15.42578125" style="21" customWidth="1"/>
    <col min="8" max="8" width="3.140625" style="21" bestFit="1" customWidth="1"/>
    <col min="9" max="9" width="15.140625" style="21" customWidth="1"/>
    <col min="10" max="10" width="0.140625" style="459" customWidth="1"/>
    <col min="11" max="11" width="10.7109375" style="75" customWidth="1"/>
    <col min="12" max="12" width="3.42578125" style="21" customWidth="1"/>
    <col min="13" max="13" width="3.28515625" style="21" customWidth="1"/>
    <col min="14" max="14" width="29.28515625" style="21" customWidth="1"/>
    <col min="15" max="15" width="17.85546875" style="21" customWidth="1"/>
    <col min="16" max="16" width="10.42578125" style="21" customWidth="1"/>
    <col min="17" max="17" width="17" style="21" customWidth="1"/>
    <col min="18" max="18" width="11.140625" style="21" customWidth="1"/>
    <col min="19" max="20" width="10.42578125" style="21" customWidth="1"/>
    <col min="21" max="21" width="9.140625" style="21"/>
    <col min="22" max="22" width="26.85546875" style="326" customWidth="1"/>
    <col min="23" max="23" width="14.5703125" style="326" customWidth="1"/>
    <col min="24" max="27" width="9.140625" style="326"/>
    <col min="28" max="16384" width="9.140625" style="21"/>
  </cols>
  <sheetData>
    <row r="1" spans="1:39" ht="15.75">
      <c r="U1" s="420"/>
      <c r="V1" s="532" t="str">
        <f>IF(B6="Calendar Year",MAX('CY Q&amp;V 2004 to Now'!$C$7:$CA$7),CONCATENATE(MAX('Commodity Prices'!$A$9:$A$1300)-1,"-",RIGHT(MAX('Commodity Prices'!$A$9:$A$1300),2)))</f>
        <v>2020-21</v>
      </c>
      <c r="W1" s="532">
        <f>IF(B6="Calendar Year",MATCH('Q&amp;V Summary 2-years'!V1,'CY Q&amp;V 2004 to Now'!$A$7:$GE$7,0),MATCH('Q&amp;V Summary 2-years'!V1,'FY Q&amp;V 2003-04 to Now'!$A$7:$GE$7,0))</f>
        <v>37</v>
      </c>
      <c r="X1" s="532"/>
      <c r="Y1" s="533"/>
      <c r="AJ1" s="420" t="str">
        <f>CONCATENATE(IF(LEFT(C8,1)="C",RIGHT(O12,4),RIGHT(O12,7))," Mineral and Petroleum Summary")</f>
        <v>2019-20 Mineral and Petroleum Summary</v>
      </c>
      <c r="AM1" s="420" t="str">
        <f>(Q12)&amp;" Mineral and Petroleum Summary"</f>
        <v>2020-21 Mineral and Petroleum Summary</v>
      </c>
    </row>
    <row r="2" spans="1:39" ht="15.75">
      <c r="B2" s="1662" t="s">
        <v>369</v>
      </c>
      <c r="U2" s="420"/>
      <c r="V2" s="532" t="str">
        <f>IF(B6="Calendar Year",V1-1,CONCATENATE(MAX('Commodity Prices'!$A$9:$A$1300)-2,"-",RIGHT(MAX('Commodity Prices'!$A$9:$A$1300)-1,2)))</f>
        <v>2019-20</v>
      </c>
      <c r="W2" s="532">
        <f>W1-2</f>
        <v>35</v>
      </c>
      <c r="X2" s="532"/>
      <c r="Y2" s="533"/>
      <c r="AJ2" s="420" t="str">
        <f>CONCATENATE(IF(LEFT(G8,1)="C",RIGHT(Q12,4),RIGHT(Q12,7))," Mineral and Petroleum Summary")</f>
        <v>2020-21 Mineral and Petroleum Summary</v>
      </c>
      <c r="AM2" s="420" t="str">
        <f>(O12)&amp;" Mineral and Petroleum Summary"</f>
        <v>2019-20 Mineral and Petroleum Summary</v>
      </c>
    </row>
    <row r="3" spans="1:39" ht="28.5">
      <c r="B3" s="1662" t="s">
        <v>382</v>
      </c>
      <c r="N3" s="526"/>
      <c r="U3" s="420"/>
      <c r="V3" s="532"/>
      <c r="W3" s="532"/>
      <c r="X3" s="532"/>
      <c r="Y3" s="533"/>
      <c r="AJ3" s="420"/>
    </row>
    <row r="4" spans="1:39" ht="15.75">
      <c r="I4" s="492"/>
      <c r="V4" s="1704"/>
      <c r="W4" s="533"/>
      <c r="X4" s="533"/>
      <c r="Y4" s="533"/>
      <c r="AJ4" s="420"/>
    </row>
    <row r="5" spans="1:39" ht="16.5" thickBot="1">
      <c r="A5" s="76" t="s">
        <v>798</v>
      </c>
      <c r="B5" s="82"/>
      <c r="C5" s="75"/>
      <c r="D5" s="75"/>
      <c r="E5" s="75"/>
      <c r="F5" s="77"/>
      <c r="G5" s="75"/>
      <c r="H5" s="75"/>
      <c r="I5" s="75"/>
      <c r="J5" s="431"/>
      <c r="V5" s="1704"/>
      <c r="W5" s="533"/>
      <c r="X5" s="533"/>
      <c r="Y5" s="533"/>
    </row>
    <row r="6" spans="1:39" s="459" customFormat="1" ht="15.75" thickBot="1">
      <c r="A6" s="1599" t="s">
        <v>383</v>
      </c>
      <c r="B6" s="1954" t="s">
        <v>382</v>
      </c>
      <c r="C6" s="1955"/>
      <c r="D6" s="1955"/>
      <c r="E6" s="1955"/>
      <c r="F6" s="1956"/>
      <c r="G6" s="431"/>
      <c r="H6" s="431"/>
      <c r="I6" s="431"/>
      <c r="J6" s="431"/>
      <c r="K6" s="431"/>
      <c r="V6" s="326"/>
      <c r="W6" s="326"/>
      <c r="X6" s="326"/>
      <c r="Y6" s="326"/>
      <c r="Z6" s="326"/>
      <c r="AA6" s="326"/>
    </row>
    <row r="7" spans="1:39" ht="15.75" thickBot="1">
      <c r="A7" s="77"/>
      <c r="B7" s="82"/>
      <c r="C7" s="75"/>
      <c r="D7" s="75"/>
      <c r="E7" s="75"/>
      <c r="F7" s="77"/>
      <c r="G7" s="75"/>
      <c r="H7" s="75"/>
      <c r="I7" s="75"/>
      <c r="J7" s="431"/>
    </row>
    <row r="8" spans="1:39" ht="15" customHeight="1">
      <c r="A8" s="464"/>
      <c r="B8" s="1479"/>
      <c r="C8" s="1961" t="str">
        <f>V2</f>
        <v>2019-20</v>
      </c>
      <c r="D8" s="1961"/>
      <c r="E8" s="1961"/>
      <c r="F8" s="695"/>
      <c r="G8" s="1960" t="str">
        <f>V1</f>
        <v>2020-21</v>
      </c>
      <c r="H8" s="1961"/>
      <c r="I8" s="1962"/>
      <c r="J8" s="487"/>
      <c r="K8" s="386"/>
      <c r="L8" s="386"/>
    </row>
    <row r="9" spans="1:39">
      <c r="A9" s="465" t="s">
        <v>154</v>
      </c>
      <c r="B9" s="521" t="s">
        <v>155</v>
      </c>
      <c r="C9" s="466" t="s">
        <v>156</v>
      </c>
      <c r="D9" s="488"/>
      <c r="E9" s="488" t="s">
        <v>289</v>
      </c>
      <c r="F9" s="683"/>
      <c r="G9" s="684" t="s">
        <v>156</v>
      </c>
      <c r="H9" s="488"/>
      <c r="I9" s="683" t="s">
        <v>289</v>
      </c>
      <c r="J9" s="466"/>
      <c r="K9" s="386"/>
      <c r="L9" s="386"/>
    </row>
    <row r="10" spans="1:39" ht="15.75" thickBot="1">
      <c r="A10" s="467"/>
      <c r="B10" s="522"/>
      <c r="C10" s="469"/>
      <c r="D10" s="469"/>
      <c r="E10" s="469" t="s">
        <v>675</v>
      </c>
      <c r="F10" s="470"/>
      <c r="G10" s="468"/>
      <c r="H10" s="469"/>
      <c r="I10" s="470" t="s">
        <v>675</v>
      </c>
      <c r="J10" s="488"/>
      <c r="K10" s="386"/>
      <c r="L10" s="386"/>
    </row>
    <row r="11" spans="1:39" ht="15.75" thickBot="1">
      <c r="A11" s="471" t="s">
        <v>468</v>
      </c>
      <c r="B11" s="523" t="s">
        <v>87</v>
      </c>
      <c r="C11" s="1242">
        <f>IF($B$6="Calendar Year",
INDEX('CY Q&amp;V 2004 to Now'!$A$1:$KA$230,$J11,'Q&amp;V Summary 2-years'!$W$2),
INDEX('FY Q&amp;V 2003-04 to Now'!$A$1:$KA$228,$J11,'Q&amp;V Summary 2-years'!$W$2))</f>
        <v>15804008.443000002</v>
      </c>
      <c r="D11" s="685"/>
      <c r="E11" s="1242">
        <f>IF($B$6="Calendar Year",
INDEX('CY Q&amp;V 2004 to Now'!$A$1:$KA$230,$J11,'Q&amp;V Summary 2-years'!$W$2+1),
INDEX('FY Q&amp;V 2003-04 to Now'!$A$1:$KA$228,$J11,'Q&amp;V Summary 2-years'!$W$2+1))</f>
        <v>6416399637</v>
      </c>
      <c r="F11" s="685"/>
      <c r="G11" s="1245">
        <f>IF($B$6="Calendar Year",
INDEX('CY Q&amp;V 2004 to Now'!$A$1:$KA$230,$J11,'Q&amp;V Summary 2-years'!$W$1),
INDEX('FY Q&amp;V 2003-04 to Now'!$A$1:$KA$228,$J11,'Q&amp;V Summary 2-years'!$W$1))</f>
        <v>16205112.27</v>
      </c>
      <c r="H11" s="685"/>
      <c r="I11" s="1247">
        <f>IF($B$6="Calendar Year",
INDEX('CY Q&amp;V 2004 to Now'!$A$1:$KA$230,$J11,'Q&amp;V Summary 2-years'!$W$1+1),
INDEX('FY Q&amp;V 2003-04 to Now'!$A$1:$KA$228,$J11,'Q&amp;V Summary 2-years'!$W$1+1))</f>
        <v>5565020545</v>
      </c>
      <c r="J11" s="472">
        <v>14</v>
      </c>
      <c r="K11" s="535"/>
      <c r="L11" s="535"/>
      <c r="M11" s="535"/>
      <c r="N11" s="535"/>
      <c r="O11" s="535"/>
      <c r="P11" s="535"/>
      <c r="Q11" s="535"/>
      <c r="R11" s="535"/>
      <c r="S11" s="535"/>
      <c r="T11" s="535"/>
      <c r="U11" s="535"/>
      <c r="AB11" s="535"/>
      <c r="AC11" s="535"/>
      <c r="AD11" s="535"/>
      <c r="AE11" s="535"/>
      <c r="AF11" s="535"/>
      <c r="AG11" s="535"/>
      <c r="AH11" s="535"/>
      <c r="AI11" s="535"/>
      <c r="AJ11" s="535"/>
      <c r="AK11" s="535"/>
      <c r="AL11" s="535"/>
      <c r="AM11" s="535"/>
    </row>
    <row r="12" spans="1:39">
      <c r="A12" s="555"/>
      <c r="B12" s="585"/>
      <c r="C12" s="685"/>
      <c r="D12" s="685"/>
      <c r="E12" s="1242"/>
      <c r="F12" s="685"/>
      <c r="G12" s="1245"/>
      <c r="H12" s="685"/>
      <c r="I12" s="1247"/>
      <c r="J12" s="472"/>
      <c r="K12" s="431"/>
      <c r="L12" s="535"/>
      <c r="M12" s="535"/>
      <c r="N12" s="680"/>
      <c r="O12" s="1958" t="str">
        <f>C8</f>
        <v>2019-20</v>
      </c>
      <c r="P12" s="1959"/>
      <c r="Q12" s="1958" t="str">
        <f>G8</f>
        <v>2020-21</v>
      </c>
      <c r="R12" s="1959"/>
      <c r="S12" s="103"/>
      <c r="T12" s="103"/>
      <c r="U12" s="535"/>
      <c r="AB12" s="535"/>
      <c r="AC12" s="535"/>
      <c r="AD12" s="535"/>
      <c r="AE12" s="535"/>
      <c r="AF12" s="535"/>
      <c r="AG12" s="535"/>
      <c r="AH12" s="535"/>
      <c r="AI12" s="535"/>
      <c r="AJ12" s="535"/>
      <c r="AK12" s="535"/>
      <c r="AL12" s="535"/>
      <c r="AM12" s="535"/>
    </row>
    <row r="13" spans="1:39" ht="15.75" thickBot="1">
      <c r="A13" s="394" t="s">
        <v>172</v>
      </c>
      <c r="B13" s="688"/>
      <c r="C13" s="689"/>
      <c r="D13" s="689"/>
      <c r="E13" s="396"/>
      <c r="F13" s="689"/>
      <c r="G13" s="1480"/>
      <c r="H13" s="689"/>
      <c r="I13" s="1248"/>
      <c r="J13" s="395"/>
      <c r="K13" s="431"/>
      <c r="L13" s="535"/>
      <c r="M13" s="535"/>
      <c r="N13" s="479"/>
      <c r="O13" s="681" t="s">
        <v>672</v>
      </c>
      <c r="P13" s="682" t="s">
        <v>673</v>
      </c>
      <c r="Q13" s="681" t="s">
        <v>672</v>
      </c>
      <c r="R13" s="682" t="s">
        <v>673</v>
      </c>
      <c r="S13" s="535"/>
      <c r="T13" s="535"/>
      <c r="U13" s="140"/>
      <c r="AB13" s="535"/>
      <c r="AC13" s="535"/>
      <c r="AD13" s="535"/>
      <c r="AE13" s="535"/>
      <c r="AF13" s="535"/>
      <c r="AG13" s="535"/>
      <c r="AH13" s="535"/>
      <c r="AI13" s="535"/>
      <c r="AJ13" s="535"/>
      <c r="AK13" s="535"/>
      <c r="AL13" s="535"/>
      <c r="AM13" s="535"/>
    </row>
    <row r="14" spans="1:39">
      <c r="A14" s="393" t="s">
        <v>290</v>
      </c>
      <c r="B14" s="524" t="s">
        <v>87</v>
      </c>
      <c r="C14" s="1241">
        <f>IF($B$6="Calendar Year",
INDEX('CY Q&amp;V 2004 to Now'!$A$1:$KA$230,$J14,'Q&amp;V Summary 2-years'!$W$2),
INDEX('FY Q&amp;V 2003-04 to Now'!$A$1:$KA$228,$J14,'Q&amp;V Summary 2-years'!$W$2))</f>
        <v>171383.19</v>
      </c>
      <c r="D14" s="689"/>
      <c r="E14" s="396">
        <f>IF($B$6="Calendar Year",
INDEX('CY Q&amp;V 2004 to Now'!$A$1:$KA$230,$J14,'Q&amp;V Summary 2-years'!$W$2+1),
INDEX('FY Q&amp;V 2003-04 to Now'!$A$1:$KA$228,$J14,'Q&amp;V Summary 2-years'!$W$2+1))</f>
        <v>1386762286</v>
      </c>
      <c r="F14" s="689"/>
      <c r="G14" s="1480">
        <f>IF($B$6="Calendar Year",
INDEX('CY Q&amp;V 2004 to Now'!$A$1:$KA$230,$J14,'Q&amp;V Summary 2-years'!$W$1),
INDEX('FY Q&amp;V 2003-04 to Now'!$A$1:$KA$228,$J14,'Q&amp;V Summary 2-years'!$W$1))</f>
        <v>145852.734</v>
      </c>
      <c r="H14" s="689"/>
      <c r="I14" s="1248">
        <f>IF($B$6="Calendar Year",
INDEX('CY Q&amp;V 2004 to Now'!$A$1:$KA$230,$J14,'Q&amp;V Summary 2-years'!$W$1+1),
INDEX('FY Q&amp;V 2003-04 to Now'!$A$1:$KA$228,$J14,'Q&amp;V Summary 2-years'!$W$1+1))</f>
        <v>1485144139.9999998</v>
      </c>
      <c r="J14" s="395">
        <f>MATCH(A14,'CY Q&amp;V 2004 to Now'!$A$1:$A$95,0)</f>
        <v>17</v>
      </c>
      <c r="K14" s="431"/>
      <c r="L14" s="535"/>
      <c r="M14" s="535"/>
      <c r="N14" s="102" t="s">
        <v>360</v>
      </c>
      <c r="O14" s="1189">
        <f>VLOOKUP(N14,$A$11:$I$117,5,FALSE)/1000000</f>
        <v>104616.533849</v>
      </c>
      <c r="P14" s="676">
        <f t="shared" ref="P14:P24" si="0">O14/$O$27</f>
        <v>0.60512577321504601</v>
      </c>
      <c r="Q14" s="1193">
        <f>VLOOKUP(N14,$A$11:$I$117,9,FALSE)/1000000</f>
        <v>154732.94078899999</v>
      </c>
      <c r="R14" s="676">
        <f t="shared" ref="R14:R24" si="1">Q14/$Q$27</f>
        <v>0.7380720769446496</v>
      </c>
      <c r="S14" s="535"/>
      <c r="T14" s="535"/>
      <c r="U14" s="498"/>
      <c r="AB14" s="535"/>
      <c r="AC14" s="535"/>
      <c r="AD14" s="535"/>
      <c r="AE14" s="535"/>
      <c r="AF14" s="535"/>
      <c r="AG14" s="535"/>
      <c r="AH14" s="535"/>
      <c r="AI14" s="535"/>
      <c r="AJ14" s="535"/>
      <c r="AK14" s="535"/>
      <c r="AL14" s="535"/>
      <c r="AM14" s="535"/>
    </row>
    <row r="15" spans="1:39">
      <c r="A15" s="393" t="s">
        <v>291</v>
      </c>
      <c r="B15" s="524" t="s">
        <v>87</v>
      </c>
      <c r="C15" s="1241">
        <f>IF($B$6="Calendar Year",
INDEX('CY Q&amp;V 2004 to Now'!$A$1:$KA$230,$J15,'Q&amp;V Summary 2-years'!$W$2),
INDEX('FY Q&amp;V 2003-04 to Now'!$A$1:$KA$228,$J15,'Q&amp;V Summary 2-years'!$W$2))</f>
        <v>2775.3150000000001</v>
      </c>
      <c r="D15" s="689"/>
      <c r="E15" s="396">
        <f>IF($B$6="Calendar Year",
INDEX('CY Q&amp;V 2004 to Now'!$A$1:$KA$230,$J15,'Q&amp;V Summary 2-years'!$W$2+1),
INDEX('FY Q&amp;V 2003-04 to Now'!$A$1:$KA$228,$J15,'Q&amp;V Summary 2-years'!$W$2+1))</f>
        <v>7470739.9999999991</v>
      </c>
      <c r="F15" s="689"/>
      <c r="G15" s="1480">
        <f>IF($B$6="Calendar Year",
INDEX('CY Q&amp;V 2004 to Now'!$A$1:$KA$230,$J15,'Q&amp;V Summary 2-years'!$W$1),
INDEX('FY Q&amp;V 2003-04 to Now'!$A$1:$KA$228,$J15,'Q&amp;V Summary 2-years'!$W$1))</f>
        <v>851.25099999999998</v>
      </c>
      <c r="H15" s="689"/>
      <c r="I15" s="1248">
        <f>IF($B$6="Calendar Year",
INDEX('CY Q&amp;V 2004 to Now'!$A$1:$KA$230,$J15,'Q&amp;V Summary 2-years'!$W$1+1),
INDEX('FY Q&amp;V 2003-04 to Now'!$A$1:$KA$228,$J15,'Q&amp;V Summary 2-years'!$W$1+1))</f>
        <v>2186696.66</v>
      </c>
      <c r="J15" s="395">
        <f>MATCH(A15,'CY Q&amp;V 2004 to Now'!$A$1:$A$95,0)</f>
        <v>18</v>
      </c>
      <c r="K15" s="431"/>
      <c r="L15" s="535"/>
      <c r="M15" s="535"/>
      <c r="N15" s="571" t="s">
        <v>1</v>
      </c>
      <c r="O15" s="1190">
        <f>VLOOKUP(N15,$A$11:$I$117,5,FALSE)/1000000</f>
        <v>15872.150556000001</v>
      </c>
      <c r="P15" s="677">
        <f t="shared" si="0"/>
        <v>9.1808120804768287E-2</v>
      </c>
      <c r="Q15" s="1194">
        <f>VLOOKUP(N15,$A$11:$I$117,9,FALSE)/1000000</f>
        <v>16573.7607118919</v>
      </c>
      <c r="R15" s="677">
        <f t="shared" si="1"/>
        <v>7.9056404725678889E-2</v>
      </c>
      <c r="S15" s="535"/>
      <c r="T15" s="535"/>
      <c r="U15" s="498"/>
      <c r="AB15" s="535"/>
      <c r="AC15" s="535"/>
      <c r="AD15" s="535"/>
      <c r="AE15" s="535"/>
      <c r="AF15" s="535"/>
      <c r="AG15" s="535"/>
      <c r="AH15" s="535"/>
      <c r="AI15" s="535"/>
      <c r="AJ15" s="535"/>
      <c r="AK15" s="535"/>
      <c r="AL15" s="535"/>
      <c r="AM15" s="535"/>
    </row>
    <row r="16" spans="1:39">
      <c r="A16" s="393" t="s">
        <v>292</v>
      </c>
      <c r="B16" s="524" t="s">
        <v>87</v>
      </c>
      <c r="C16" s="1241">
        <f>IF($B$6="Calendar Year",
INDEX('CY Q&amp;V 2004 to Now'!$A$1:$KA$230,$J16,'Q&amp;V Summary 2-years'!$W$2),
INDEX('FY Q&amp;V 2003-04 to Now'!$A$1:$KA$228,$J16,'Q&amp;V Summary 2-years'!$W$2))</f>
        <v>71770.606</v>
      </c>
      <c r="D16" s="689"/>
      <c r="E16" s="396">
        <f>IF($B$6="Calendar Year",
INDEX('CY Q&amp;V 2004 to Now'!$A$1:$KA$230,$J16,'Q&amp;V Summary 2-years'!$W$2+1),
INDEX('FY Q&amp;V 2003-04 to Now'!$A$1:$KA$228,$J16,'Q&amp;V Summary 2-years'!$W$2+1))</f>
        <v>223321577</v>
      </c>
      <c r="F16" s="689"/>
      <c r="G16" s="1480">
        <f>IF($B$6="Calendar Year",
INDEX('CY Q&amp;V 2004 to Now'!$A$1:$KA$230,$J16,'Q&amp;V Summary 2-years'!$W$1),
INDEX('FY Q&amp;V 2003-04 to Now'!$A$1:$KA$228,$J16,'Q&amp;V Summary 2-years'!$W$1))</f>
        <v>64219.087</v>
      </c>
      <c r="H16" s="689"/>
      <c r="I16" s="1248">
        <f>IF($B$6="Calendar Year",
INDEX('CY Q&amp;V 2004 to Now'!$A$1:$KA$230,$J16,'Q&amp;V Summary 2-years'!$W$1+1),
INDEX('FY Q&amp;V 2003-04 to Now'!$A$1:$KA$228,$J16,'Q&amp;V Summary 2-years'!$W$1+1))</f>
        <v>229189907.51000002</v>
      </c>
      <c r="J16" s="395">
        <f>MATCH(A16,'CY Q&amp;V 2004 to Now'!$A$1:$A$95,0)</f>
        <v>19</v>
      </c>
      <c r="K16" s="431"/>
      <c r="L16" s="535"/>
      <c r="M16" s="535"/>
      <c r="N16" s="102" t="s">
        <v>303</v>
      </c>
      <c r="O16" s="1189">
        <f>VLOOKUP(N16,$A$11:$I$117,5,FALSE)/1000000</f>
        <v>27047.964512300576</v>
      </c>
      <c r="P16" s="676">
        <f t="shared" si="0"/>
        <v>0.15645156494118986</v>
      </c>
      <c r="Q16" s="1193">
        <f>VLOOKUP(N16,$A$11:$I$117,9,FALSE)/1000000</f>
        <v>15780.495069759772</v>
      </c>
      <c r="R16" s="676">
        <f t="shared" si="1"/>
        <v>7.5272548378918919E-2</v>
      </c>
      <c r="S16" s="535"/>
      <c r="T16" s="535"/>
      <c r="U16" s="498"/>
      <c r="AB16" s="535"/>
      <c r="AC16" s="535"/>
      <c r="AD16" s="535"/>
      <c r="AE16" s="535"/>
      <c r="AF16" s="535"/>
      <c r="AG16" s="535"/>
      <c r="AH16" s="535"/>
      <c r="AI16" s="535"/>
      <c r="AJ16" s="535"/>
      <c r="AK16" s="535"/>
      <c r="AL16" s="535"/>
      <c r="AM16" s="535"/>
    </row>
    <row r="17" spans="1:22">
      <c r="A17" s="392" t="s">
        <v>179</v>
      </c>
      <c r="B17" s="688"/>
      <c r="C17" s="396"/>
      <c r="D17" s="689"/>
      <c r="E17" s="1241">
        <f>SUM(E14:E16)</f>
        <v>1617554603</v>
      </c>
      <c r="F17" s="689"/>
      <c r="G17" s="1480"/>
      <c r="H17" s="689"/>
      <c r="I17" s="1248">
        <f>SUM(I14:I16)</f>
        <v>1716520744.1699998</v>
      </c>
      <c r="J17" s="395"/>
      <c r="K17" s="431"/>
      <c r="L17" s="535"/>
      <c r="M17" s="535"/>
      <c r="N17" s="571" t="s">
        <v>664</v>
      </c>
      <c r="O17" s="1190">
        <f>(O151+O153)/1000000</f>
        <v>8082.513349870962</v>
      </c>
      <c r="P17" s="677">
        <f t="shared" si="0"/>
        <v>4.6751091442400611E-2</v>
      </c>
      <c r="Q17" s="1194">
        <f>(Q151+Q153)/1000000</f>
        <v>5994.4022845359787</v>
      </c>
      <c r="R17" s="677">
        <f t="shared" si="1"/>
        <v>2.8593141975000499E-2</v>
      </c>
      <c r="S17" s="535"/>
      <c r="T17" s="535"/>
      <c r="U17" s="498"/>
    </row>
    <row r="18" spans="1:22">
      <c r="A18" s="394"/>
      <c r="B18" s="688"/>
      <c r="C18" s="396"/>
      <c r="D18" s="689"/>
      <c r="E18" s="396"/>
      <c r="F18" s="689"/>
      <c r="G18" s="1480"/>
      <c r="H18" s="689"/>
      <c r="I18" s="1248"/>
      <c r="J18" s="395"/>
      <c r="K18" s="387"/>
      <c r="L18" s="386"/>
      <c r="N18" s="102" t="s">
        <v>469</v>
      </c>
      <c r="O18" s="1189">
        <f>VLOOKUP(N18,$A$11:$I$117,5,FALSE)/1000000</f>
        <v>6416.3996370000004</v>
      </c>
      <c r="P18" s="676">
        <f t="shared" si="0"/>
        <v>3.7113911623191095E-2</v>
      </c>
      <c r="Q18" s="1193">
        <f>VLOOKUP(N18,$A$11:$I$117,9,FALSE)/1000000</f>
        <v>5565.0205450000003</v>
      </c>
      <c r="R18" s="676">
        <f t="shared" si="1"/>
        <v>2.6545002317824438E-2</v>
      </c>
      <c r="U18" s="140"/>
    </row>
    <row r="19" spans="1:22">
      <c r="A19" s="471" t="s">
        <v>182</v>
      </c>
      <c r="B19" s="585" t="s">
        <v>87</v>
      </c>
      <c r="C19" s="1242">
        <f>IF($B$6="Calendar Year",
INDEX('CY Q&amp;V 2004 to Now'!$A$1:$KA$230,$J19,'Q&amp;V Summary 2-years'!$W$2),
INDEX('FY Q&amp;V 2003-04 to Now'!$A$1:$KA$228,$J19,'Q&amp;V Summary 2-years'!$W$2))</f>
        <v>18920.017</v>
      </c>
      <c r="D19" s="685"/>
      <c r="E19" s="1242">
        <f>IF($B$6="Calendar Year",
INDEX('CY Q&amp;V 2004 to Now'!$A$1:$KA$230,$J19,'Q&amp;V Summary 2-years'!$W$2+1),
INDEX('FY Q&amp;V 2003-04 to Now'!$A$1:$KA$228,$J19,'Q&amp;V Summary 2-years'!$W$2+1))</f>
        <v>1985156</v>
      </c>
      <c r="F19" s="687"/>
      <c r="G19" s="1242">
        <f>IF($B$6="Calendar Year",
INDEX('CY Q&amp;V 2004 to Now'!$A$1:$KA$234,$J19,'Q&amp;V Summary 2-years'!$W$1),
INDEX('FY Q&amp;V 2003-04 to Now'!$A$1:$KC$232,$J19,'Q&amp;V Summary 2-years'!$W$1))</f>
        <v>23772.745999999999</v>
      </c>
      <c r="H19" s="685"/>
      <c r="I19" s="1247">
        <f>IF($B$6="Calendar Year",
INDEX('CY Q&amp;V 2004 to Now'!$A$1:$KA$234,$J19,'Q&amp;V Summary 2-years'!$W$1+1),
INDEX('FY Q&amp;V 2003-04 to Now'!$A$1:$KC$232,$J19,'Q&amp;V Summary 2-years'!$W$1+1))</f>
        <v>2866699</v>
      </c>
      <c r="J19" s="472">
        <f>MATCH(A19,'CY Q&amp;V 2004 to Now'!$A$1:$A$95,0)</f>
        <v>24</v>
      </c>
      <c r="K19" s="387"/>
      <c r="L19" s="386"/>
      <c r="N19" s="102" t="s">
        <v>3</v>
      </c>
      <c r="O19" s="1189">
        <f>VLOOKUP(N19,$A$11:$I$117,5,FALSE)/1000000</f>
        <v>3167.49278</v>
      </c>
      <c r="P19" s="676">
        <f t="shared" si="0"/>
        <v>1.8321497062951081E-2</v>
      </c>
      <c r="Q19" s="1193">
        <f>VLOOKUP(N19,$A$11:$I$117,9,FALSE)/1000000</f>
        <v>3480.602339</v>
      </c>
      <c r="R19" s="676">
        <f t="shared" si="1"/>
        <v>1.6602382041373067E-2</v>
      </c>
      <c r="U19" s="140"/>
    </row>
    <row r="20" spans="1:22">
      <c r="A20" s="471"/>
      <c r="B20" s="585"/>
      <c r="C20" s="1242"/>
      <c r="D20" s="685"/>
      <c r="E20" s="1242"/>
      <c r="F20" s="685"/>
      <c r="G20" s="1245"/>
      <c r="H20" s="685"/>
      <c r="I20" s="1247"/>
      <c r="J20" s="472"/>
      <c r="K20" s="387"/>
      <c r="L20" s="386"/>
      <c r="N20" s="571" t="s">
        <v>307</v>
      </c>
      <c r="O20" s="1190">
        <f>VLOOKUP("TOTAL BASE METALS",$A$11:$I$117,5,FALSE)/1000000</f>
        <v>1617.554603</v>
      </c>
      <c r="P20" s="677">
        <f t="shared" si="0"/>
        <v>9.3563029078246231E-3</v>
      </c>
      <c r="Q20" s="1194">
        <f>VLOOKUP("TOTAL BASE METALS",$A$11:$I$117,9,FALSE)/1000000</f>
        <v>1716.5207441699999</v>
      </c>
      <c r="R20" s="677">
        <f t="shared" si="1"/>
        <v>8.1877590143894733E-3</v>
      </c>
      <c r="U20" s="498"/>
    </row>
    <row r="21" spans="1:22">
      <c r="A21" s="556" t="s">
        <v>194</v>
      </c>
      <c r="B21" s="558" t="s">
        <v>87</v>
      </c>
      <c r="C21" s="1241">
        <f>IF($B$6="Calendar Year",
INDEX('CY Q&amp;V 2004 to Now'!$A$1:$KA$230,$J21,'Q&amp;V Summary 2-years'!$W$2),
INDEX('FY Q&amp;V 2003-04 to Now'!$A$1:$KA$228,$J21,'Q&amp;V Summary 2-years'!$W$2))</f>
        <v>6195613.7570000002</v>
      </c>
      <c r="D21" s="690"/>
      <c r="E21" s="1241">
        <f>IF($B$6="Calendar Year",
INDEX('CY Q&amp;V 2004 to Now'!$A$1:$KA$230,$J21,'Q&amp;V Summary 2-years'!$W$2+1),
INDEX('FY Q&amp;V 2003-04 to Now'!$A$1:$KA$228,$J21,'Q&amp;V Summary 2-years'!$W$2+1))</f>
        <v>326981226</v>
      </c>
      <c r="F21" s="690"/>
      <c r="G21" s="1244">
        <f>IF($B$6="Calendar Year",
INDEX('CY Q&amp;V 2004 to Now'!$A$1:$KA$234,$J21,'Q&amp;V Summary 2-years'!$W$1),
INDEX('FY Q&amp;V 2003-04 to Now'!$A$1:$KC$232,$J21,'Q&amp;V Summary 2-years'!$W$1))</f>
        <v>5272434.04</v>
      </c>
      <c r="H21" s="690"/>
      <c r="I21" s="1249">
        <f>IF($B$6="Calendar Year",
INDEX('CY Q&amp;V 2004 to Now'!$A$1:$KA$234,$J21,'Q&amp;V Summary 2-years'!$W$1+1),
INDEX('FY Q&amp;V 2003-04 to Now'!$A$1:$KC$232,$J21,'Q&amp;V Summary 2-years'!$W$1+1))</f>
        <v>306063405</v>
      </c>
      <c r="J21" s="472">
        <f>MATCH(A21,'CY Q&amp;V 2004 to Now'!$A$1:$A$95,0)</f>
        <v>26</v>
      </c>
      <c r="K21" s="387"/>
      <c r="L21" s="386"/>
      <c r="N21" s="102" t="s">
        <v>308</v>
      </c>
      <c r="O21" s="1189">
        <f>(O152+O154)/1000000</f>
        <v>1990.3084019534283</v>
      </c>
      <c r="P21" s="676">
        <f t="shared" si="0"/>
        <v>1.1512395472849853E-2</v>
      </c>
      <c r="Q21" s="1193">
        <f>(Q152+Q154)/1000000</f>
        <v>1698.8656294948737</v>
      </c>
      <c r="R21" s="676">
        <f t="shared" si="1"/>
        <v>8.1035445795669906E-3</v>
      </c>
    </row>
    <row r="22" spans="1:22">
      <c r="A22" s="557"/>
      <c r="B22" s="558"/>
      <c r="C22" s="1241"/>
      <c r="D22" s="690"/>
      <c r="E22" s="690"/>
      <c r="F22" s="690"/>
      <c r="G22" s="1244"/>
      <c r="H22" s="690"/>
      <c r="I22" s="1249"/>
      <c r="J22" s="472"/>
      <c r="K22" s="387"/>
      <c r="L22" s="386"/>
      <c r="N22" s="102" t="s">
        <v>574</v>
      </c>
      <c r="O22" s="1189">
        <f>VLOOKUP("Spodumene",$A$11:$I$117,5,FALSE)/1000000</f>
        <v>998.656158</v>
      </c>
      <c r="P22" s="676">
        <f t="shared" si="0"/>
        <v>5.7764538505735786E-3</v>
      </c>
      <c r="Q22" s="1193">
        <f>VLOOKUP("Spodumene",$A$11:$I$117,9,FALSE)/1000000</f>
        <v>938.305026</v>
      </c>
      <c r="R22" s="676">
        <f t="shared" si="1"/>
        <v>4.4756904109500137E-3</v>
      </c>
    </row>
    <row r="23" spans="1:22">
      <c r="A23" s="471" t="s">
        <v>195</v>
      </c>
      <c r="B23" s="585"/>
      <c r="C23" s="1242"/>
      <c r="D23" s="685"/>
      <c r="E23" s="685"/>
      <c r="F23" s="685"/>
      <c r="G23" s="1245"/>
      <c r="H23" s="685"/>
      <c r="I23" s="1247"/>
      <c r="J23" s="395"/>
      <c r="K23" s="387"/>
      <c r="L23" s="386"/>
      <c r="N23" s="102" t="s">
        <v>457</v>
      </c>
      <c r="O23" s="1189">
        <f>VLOOKUP("TOTAL MINERAL SANDS",$A$11:$I$117,5,FALSE)/1000000</f>
        <v>775.29770798595712</v>
      </c>
      <c r="P23" s="676">
        <f t="shared" si="0"/>
        <v>4.4844978872461442E-3</v>
      </c>
      <c r="Q23" s="1193">
        <f>VLOOKUP("TOTAL MINERAL SANDS",$A$11:$I$117,9,FALSE)/1000000</f>
        <v>824.44663970389831</v>
      </c>
      <c r="R23" s="676">
        <f t="shared" si="1"/>
        <v>3.9325888889171299E-3</v>
      </c>
      <c r="V23" s="534"/>
    </row>
    <row r="24" spans="1:22" ht="15.75" thickBot="1">
      <c r="A24" s="477" t="s">
        <v>293</v>
      </c>
      <c r="B24" s="523" t="s">
        <v>87</v>
      </c>
      <c r="C24" s="1242">
        <f>IF($B$6="Calendar Year",
INDEX('CY Q&amp;V 2004 to Now'!$A$1:$KA$234,$J24,'Q&amp;V Summary 2-years'!$W$2),
INDEX('FY Q&amp;V 2003-04 to Now'!$A$1:$KC$232,$J24,'Q&amp;V Summary 2-years'!$W$2))</f>
        <v>3286048.9730000002</v>
      </c>
      <c r="D24" s="685"/>
      <c r="E24" s="1242">
        <f>IF($B$6="Calendar Year",
INDEX('CY Q&amp;V 2004 to Now'!$A$1:$KA$234,$J24,'Q&amp;V Summary 2-years'!$W$2+1),
INDEX('FY Q&amp;V 2003-04 to Now'!$A$1:$KC$232,$J24,'Q&amp;V Summary 2-years'!$W$2+1))</f>
        <v>87003095.569337741</v>
      </c>
      <c r="F24" s="685"/>
      <c r="G24" s="1245">
        <f>IF($B$6="Calendar Year",
INDEX('CY Q&amp;V 2004 to Now'!$A$1:$KA$234,$J24,'Q&amp;V Summary 2-years'!$W$1),
INDEX('FY Q&amp;V 2003-04 to Now'!$A$1:$KC$232,$J24,'Q&amp;V Summary 2-years'!$W$1))</f>
        <v>2740476.0510000004</v>
      </c>
      <c r="H24" s="685"/>
      <c r="I24" s="1247">
        <f>IF($B$6="Calendar Year",
INDEX('CY Q&amp;V 2004 to Now'!$A$1:$KA$234,$J24,'Q&amp;V Summary 2-years'!$W$1+1),
INDEX('FY Q&amp;V 2003-04 to Now'!$A$1:$KC$232,$J24,'Q&amp;V Summary 2-years'!$W$1+1))</f>
        <v>75774220.840000004</v>
      </c>
      <c r="J24" s="395">
        <f>MATCH(A24,'CY Q&amp;V 2004 to Now'!$A$1:$A$95,0)</f>
        <v>29</v>
      </c>
      <c r="K24" s="387"/>
      <c r="L24" s="386"/>
      <c r="N24" s="102" t="s">
        <v>362</v>
      </c>
      <c r="O24" s="1189">
        <f>O25-SUM(O14,O18,O19,O22,O23,O15,O20)</f>
        <v>2299.0783271923137</v>
      </c>
      <c r="P24" s="676">
        <f t="shared" si="0"/>
        <v>1.329839079195895E-2</v>
      </c>
      <c r="Q24" s="1193">
        <f>Q25-SUM(Q14,Q15,Q18,Q19,Q20,Q22,Q23)</f>
        <v>2339.396638104372</v>
      </c>
      <c r="R24" s="676">
        <f t="shared" si="1"/>
        <v>1.1158860722730942E-2</v>
      </c>
    </row>
    <row r="25" spans="1:22" ht="15.75" thickBot="1">
      <c r="A25" s="477" t="s">
        <v>294</v>
      </c>
      <c r="B25" s="523" t="s">
        <v>87</v>
      </c>
      <c r="C25" s="1242">
        <f>IF($B$6="Calendar Year",
INDEX('CY Q&amp;V 2004 to Now'!$A$1:$KA$234,$J25,'Q&amp;V Summary 2-years'!$W$2),
INDEX('FY Q&amp;V 2003-04 to Now'!$A$1:$KC$232,$J25,'Q&amp;V Summary 2-years'!$W$2))</f>
        <v>171850.15</v>
      </c>
      <c r="D25" s="685"/>
      <c r="E25" s="1242">
        <f>IF($B$6="Calendar Year",
INDEX('CY Q&amp;V 2004 to Now'!$A$1:$KA$234,$J25,'Q&amp;V Summary 2-years'!$W$2+1),
INDEX('FY Q&amp;V 2003-04 to Now'!$A$1:$KC$232,$J25,'Q&amp;V Summary 2-years'!$W$2+1))</f>
        <v>2246537.7015416245</v>
      </c>
      <c r="F25" s="685"/>
      <c r="G25" s="1245">
        <f>IF($B$6="Calendar Year",
INDEX('CY Q&amp;V 2004 to Now'!$A$1:$KA$234,$J25,'Q&amp;V Summary 2-years'!$W$1),
INDEX('FY Q&amp;V 2003-04 to Now'!$A$1:$KC$232,$J25,'Q&amp;V Summary 2-years'!$W$1))</f>
        <v>100341.93000000001</v>
      </c>
      <c r="H25" s="685"/>
      <c r="I25" s="1247">
        <f>IF($B$6="Calendar Year",
INDEX('CY Q&amp;V 2004 to Now'!$A$1:$KA$234,$J25,'Q&amp;V Summary 2-years'!$W$1+1),
INDEX('FY Q&amp;V 2003-04 to Now'!$A$1:$KC$232,$J25,'Q&amp;V Summary 2-years'!$W$1+1))</f>
        <v>1368124.0846000002</v>
      </c>
      <c r="J25" s="395">
        <f>MATCH(A25,'CY Q&amp;V 2004 to Now'!$A$1:$A$95,0)</f>
        <v>30</v>
      </c>
      <c r="K25" s="386"/>
      <c r="L25" s="386"/>
      <c r="N25" s="480" t="s">
        <v>671</v>
      </c>
      <c r="O25" s="1191">
        <f>O27-O26</f>
        <v>135763.16361817825</v>
      </c>
      <c r="P25" s="678">
        <f>O25/O$27</f>
        <v>0.78528494814355965</v>
      </c>
      <c r="Q25" s="1195">
        <f>Q27-Q26</f>
        <v>186170.99343287016</v>
      </c>
      <c r="R25" s="678">
        <f>Q25/Q$27</f>
        <v>0.88803076506651357</v>
      </c>
    </row>
    <row r="26" spans="1:22" ht="15.75" thickBot="1">
      <c r="A26" s="477" t="s">
        <v>295</v>
      </c>
      <c r="B26" s="523" t="s">
        <v>87</v>
      </c>
      <c r="C26" s="1242">
        <f>IF($B$6="Calendar Year",
INDEX('CY Q&amp;V 2004 to Now'!$A$1:$KA$234,$J26,'Q&amp;V Summary 2-years'!$W$2),
INDEX('FY Q&amp;V 2003-04 to Now'!$A$1:$KC$232,$J26,'Q&amp;V Summary 2-years'!$W$2))</f>
        <v>330066.98</v>
      </c>
      <c r="D26" s="685"/>
      <c r="E26" s="1242">
        <f>IF($B$6="Calendar Year",
INDEX('CY Q&amp;V 2004 to Now'!$A$1:$KA$234,$J26,'Q&amp;V Summary 2-years'!$W$2+1),
INDEX('FY Q&amp;V 2003-04 to Now'!$A$1:$KC$232,$J26,'Q&amp;V Summary 2-years'!$W$2+1))</f>
        <v>7277601.7417743141</v>
      </c>
      <c r="F26" s="685"/>
      <c r="G26" s="1245">
        <f>IF($B$6="Calendar Year",
INDEX('CY Q&amp;V 2004 to Now'!$A$1:$KA$234,$J26,'Q&amp;V Summary 2-years'!$W$1),
INDEX('FY Q&amp;V 2003-04 to Now'!$A$1:$KC$232,$J26,'Q&amp;V Summary 2-years'!$W$1))</f>
        <v>491247.67000000004</v>
      </c>
      <c r="H26" s="685"/>
      <c r="I26" s="1247">
        <f>IF($B$6="Calendar Year",
INDEX('CY Q&amp;V 2004 to Now'!$A$1:$KA$234,$J26,'Q&amp;V Summary 2-years'!$W$1+1),
INDEX('FY Q&amp;V 2003-04 to Now'!$A$1:$KC$232,$J26,'Q&amp;V Summary 2-years'!$W$1+1))</f>
        <v>10367435.18</v>
      </c>
      <c r="J26" s="395">
        <f>MATCH(A26,'CY Q&amp;V 2004 to Now'!$A$1:$A$95,0)</f>
        <v>31</v>
      </c>
      <c r="K26" s="386"/>
      <c r="L26" s="386"/>
      <c r="N26" s="480" t="s">
        <v>361</v>
      </c>
      <c r="O26" s="1191">
        <f>VLOOKUP(N26,$A$11:$I$117,5,FALSE)/1000000</f>
        <v>37120.786264124967</v>
      </c>
      <c r="P26" s="678">
        <f>O26/$O$27</f>
        <v>0.21471505185644033</v>
      </c>
      <c r="Q26" s="1195">
        <f>VLOOKUP(N26,$A$11:$I$117,9,FALSE)/1000000</f>
        <v>23473.762983790628</v>
      </c>
      <c r="R26" s="678">
        <f>Q26/$Q$27</f>
        <v>0.11196923493348643</v>
      </c>
    </row>
    <row r="27" spans="1:22" ht="15.75" thickBot="1">
      <c r="A27" s="477" t="s">
        <v>296</v>
      </c>
      <c r="B27" s="523" t="s">
        <v>87</v>
      </c>
      <c r="C27" s="1242">
        <f>IF($B$6="Calendar Year",
INDEX('CY Q&amp;V 2004 to Now'!$A$1:$KA$234,$J27,'Q&amp;V Summary 2-years'!$W$2),
INDEX('FY Q&amp;V 2003-04 to Now'!$A$1:$KC$232,$J27,'Q&amp;V Summary 2-years'!$W$2))</f>
        <v>2459329.1320000002</v>
      </c>
      <c r="D27" s="685"/>
      <c r="E27" s="1242">
        <f>IF($B$6="Calendar Year",
INDEX('CY Q&amp;V 2004 to Now'!$A$1:$KA$234,$J27,'Q&amp;V Summary 2-years'!$W$2+1),
INDEX('FY Q&amp;V 2003-04 to Now'!$A$1:$KC$232,$J27,'Q&amp;V Summary 2-years'!$W$2+1))</f>
        <v>30404254.760949314</v>
      </c>
      <c r="F27" s="685"/>
      <c r="G27" s="1245">
        <f>IF($B$6="Calendar Year",
INDEX('CY Q&amp;V 2004 to Now'!$A$1:$KA$234,$J27,'Q&amp;V Summary 2-years'!$W$1),
INDEX('FY Q&amp;V 2003-04 to Now'!$A$1:$KC$232,$J27,'Q&amp;V Summary 2-years'!$W$1))</f>
        <v>2992342.4780000001</v>
      </c>
      <c r="H27" s="685"/>
      <c r="I27" s="1247">
        <f>IF($B$6="Calendar Year",
INDEX('CY Q&amp;V 2004 to Now'!$A$1:$KA$234,$J27,'Q&amp;V Summary 2-years'!$W$1+1),
INDEX('FY Q&amp;V 2003-04 to Now'!$A$1:$KC$232,$J27,'Q&amp;V Summary 2-years'!$W$1+1))</f>
        <v>33834424.200999998</v>
      </c>
      <c r="J27" s="395">
        <f>MATCH(A27,'CY Q&amp;V 2004 to Now'!$A$1:$A$95,0)</f>
        <v>32</v>
      </c>
      <c r="K27" s="386"/>
      <c r="L27" s="386"/>
      <c r="N27" s="479" t="s">
        <v>779</v>
      </c>
      <c r="O27" s="1192">
        <f>VLOOKUP(N27,$A$11:$I$117,5,FALSE)/1000000</f>
        <v>172883.94988230322</v>
      </c>
      <c r="P27" s="679"/>
      <c r="Q27" s="1196">
        <f>VLOOKUP(N27,$A$11:$I$117,9,FALSE)/1000000</f>
        <v>209644.75641666079</v>
      </c>
      <c r="R27" s="679"/>
    </row>
    <row r="28" spans="1:22">
      <c r="A28" s="477" t="s">
        <v>197</v>
      </c>
      <c r="B28" s="585"/>
      <c r="C28" s="1242"/>
      <c r="D28" s="685"/>
      <c r="E28" s="1242">
        <f>SUM(E24:E27)</f>
        <v>126931489.77360299</v>
      </c>
      <c r="F28" s="685"/>
      <c r="G28" s="1245"/>
      <c r="H28" s="685"/>
      <c r="I28" s="1247">
        <f>SUM(I24:I27)</f>
        <v>121344204.30560002</v>
      </c>
      <c r="J28" s="395"/>
      <c r="K28" s="386"/>
      <c r="L28" s="386"/>
    </row>
    <row r="29" spans="1:22">
      <c r="A29" s="476"/>
      <c r="B29" s="585"/>
      <c r="C29" s="1242"/>
      <c r="D29" s="685"/>
      <c r="E29" s="1242"/>
      <c r="F29" s="685"/>
      <c r="G29" s="1245"/>
      <c r="H29" s="685"/>
      <c r="I29" s="1247"/>
      <c r="J29" s="395"/>
      <c r="K29" s="386"/>
      <c r="L29" s="386"/>
    </row>
    <row r="30" spans="1:22">
      <c r="A30" s="556" t="s">
        <v>198</v>
      </c>
      <c r="B30" s="558" t="s">
        <v>199</v>
      </c>
      <c r="C30" s="1241">
        <f>IF($B$6="Calendar Year",
INDEX('CY Q&amp;V 2004 to Now'!$A$1:$KA$234,$J30,'Q&amp;V Summary 2-years'!$W$2),
INDEX('FY Q&amp;V 2003-04 to Now'!$A$1:$KC$232,$J30,'Q&amp;V Summary 2-years'!$W$2))</f>
        <v>17489919.959999997</v>
      </c>
      <c r="D30" s="690"/>
      <c r="E30" s="1241">
        <f>IF($B$6="Calendar Year",
INDEX('CY Q&amp;V 2004 to Now'!$A$1:$KA$234,$J30,'Q&amp;V Summary 2-years'!$W$2+1),
INDEX('FY Q&amp;V 2003-04 to Now'!$A$1:$KC$232,$J30,'Q&amp;V Summary 2-years'!$W$2+1))</f>
        <v>281266033</v>
      </c>
      <c r="F30" s="690"/>
      <c r="G30" s="1244">
        <f>IF($B$6="Calendar Year",
INDEX('CY Q&amp;V 2004 to Now'!$A$1:$KA$234,$J30,'Q&amp;V Summary 2-years'!$W$1),
INDEX('FY Q&amp;V 2003-04 to Now'!$A$1:$KC$232,$J30,'Q&amp;V Summary 2-years'!$W$1))</f>
        <v>8083055.5300000012</v>
      </c>
      <c r="H30" s="690"/>
      <c r="I30" s="1249">
        <f>IF($B$6="Calendar Year",
INDEX('CY Q&amp;V 2004 to Now'!$A$1:$KA$234,$J30,'Q&amp;V Summary 2-years'!$W$1+1),
INDEX('FY Q&amp;V 2003-04 to Now'!$A$1:$KC$232,$J30,'Q&amp;V Summary 2-years'!$W$1+1))</f>
        <v>112100235.00000001</v>
      </c>
      <c r="J30" s="472">
        <f>MATCH(A30,'CY Q&amp;V 2004 to Now'!$A$1:$A$95,0)</f>
        <v>36</v>
      </c>
      <c r="K30" s="386"/>
      <c r="L30" s="386"/>
    </row>
    <row r="31" spans="1:22">
      <c r="A31" s="557"/>
      <c r="B31" s="558"/>
      <c r="C31" s="1241"/>
      <c r="D31" s="690"/>
      <c r="E31" s="1241"/>
      <c r="F31" s="690"/>
      <c r="G31" s="1244"/>
      <c r="H31" s="690"/>
      <c r="I31" s="1249"/>
      <c r="J31" s="472"/>
      <c r="K31" s="386"/>
      <c r="L31" s="386"/>
    </row>
    <row r="32" spans="1:22">
      <c r="A32" s="471" t="s">
        <v>201</v>
      </c>
      <c r="B32" s="585" t="s">
        <v>87</v>
      </c>
      <c r="C32" s="1242">
        <f>IF($B$6="Calendar Year",
INDEX('CY Q&amp;V 2004 to Now'!$A$1:$KA$234,$J32,'Q&amp;V Summary 2-years'!$W$2),
INDEX('FY Q&amp;V 2003-04 to Now'!$A$1:$KC$232,$J32,'Q&amp;V Summary 2-years'!$W$2))</f>
        <v>10849.264999999999</v>
      </c>
      <c r="D32" s="685"/>
      <c r="E32" s="1242">
        <f>IF($B$6="Calendar Year",
INDEX('CY Q&amp;V 2004 to Now'!$A$1:$KA$234,$J32,'Q&amp;V Summary 2-years'!$W$2+1),
INDEX('FY Q&amp;V 2003-04 to Now'!$A$1:$KC$232,$J32,'Q&amp;V Summary 2-years'!$W$2+1))</f>
        <v>1739353</v>
      </c>
      <c r="F32" s="685"/>
      <c r="G32" s="1245">
        <f>IF($B$6="Calendar Year",
INDEX('CY Q&amp;V 2004 to Now'!$A$1:$KA$234,$J32,'Q&amp;V Summary 2-years'!$W$1),
INDEX('FY Q&amp;V 2003-04 to Now'!$A$1:$KC$232,$J32,'Q&amp;V Summary 2-years'!$W$1))</f>
        <v>7235.9260000000004</v>
      </c>
      <c r="H32" s="685"/>
      <c r="I32" s="1247">
        <f>IF($B$6="Calendar Year",
INDEX('CY Q&amp;V 2004 to Now'!$A$1:$KA$234,$J32,'Q&amp;V Summary 2-years'!$W$1+1),
INDEX('FY Q&amp;V 2003-04 to Now'!$A$1:$KC$232,$J32,'Q&amp;V Summary 2-years'!$W$1+1))</f>
        <v>867678</v>
      </c>
      <c r="J32" s="395">
        <f>MATCH(A32,'CY Q&amp;V 2004 to Now'!$A$1:$A$95,0)</f>
        <v>38</v>
      </c>
      <c r="K32" s="386"/>
      <c r="L32" s="386"/>
    </row>
    <row r="33" spans="1:27">
      <c r="A33" s="476"/>
      <c r="B33" s="585"/>
      <c r="C33" s="1242"/>
      <c r="D33" s="685"/>
      <c r="E33" s="1242"/>
      <c r="F33" s="685"/>
      <c r="G33" s="1245"/>
      <c r="H33" s="685"/>
      <c r="I33" s="1247"/>
      <c r="J33" s="395"/>
      <c r="K33" s="386"/>
      <c r="L33" s="386"/>
    </row>
    <row r="34" spans="1:27">
      <c r="A34" s="556" t="s">
        <v>212</v>
      </c>
      <c r="B34" s="559" t="s">
        <v>160</v>
      </c>
      <c r="C34" s="1241">
        <f>IF($B$6="Calendar Year",
INDEX('CY Q&amp;V 2004 to Now'!$A$1:$KA$234,$J34,'Q&amp;V Summary 2-years'!$W$2),
INDEX('FY Q&amp;V 2003-04 to Now'!$A$1:$KC$232,$J34,'Q&amp;V Summary 2-years'!$W$2))</f>
        <v>268035.96999999997</v>
      </c>
      <c r="D34" s="690"/>
      <c r="E34" s="1241">
        <f>IF($B$6="Calendar Year",
INDEX('CY Q&amp;V 2004 to Now'!$A$1:$KA$234,$J34,'Q&amp;V Summary 2-years'!$W$2+1),
INDEX('FY Q&amp;V 2003-04 to Now'!$A$1:$KC$232,$J34,'Q&amp;V Summary 2-years'!$W$2+1))</f>
        <v>423429</v>
      </c>
      <c r="F34" s="690"/>
      <c r="G34" s="1244">
        <f>IF($B$6="Calendar Year",
INDEX('CY Q&amp;V 2004 to Now'!$A$1:$KA$234,$J34,'Q&amp;V Summary 2-years'!$W$1),
INDEX('FY Q&amp;V 2003-04 to Now'!$A$1:$KC$232,$J34,'Q&amp;V Summary 2-years'!$W$1))</f>
        <v>295776.06</v>
      </c>
      <c r="H34" s="690"/>
      <c r="I34" s="1249">
        <f>IF($B$6="Calendar Year",
INDEX('CY Q&amp;V 2004 to Now'!$A$1:$KA$234,$J34,'Q&amp;V Summary 2-years'!$W$1+1),
INDEX('FY Q&amp;V 2003-04 to Now'!$A$1:$KC$232,$J34,'Q&amp;V Summary 2-years'!$W$1+1))</f>
        <v>464759</v>
      </c>
      <c r="J34" s="472">
        <f>MATCH(A34,'CY Q&amp;V 2004 to Now'!$A$1:$A$95,0)</f>
        <v>40</v>
      </c>
      <c r="K34" s="386"/>
      <c r="L34" s="386"/>
    </row>
    <row r="35" spans="1:27">
      <c r="A35" s="557"/>
      <c r="B35" s="558"/>
      <c r="C35" s="1241"/>
      <c r="D35" s="690"/>
      <c r="E35" s="1241"/>
      <c r="F35" s="690"/>
      <c r="G35" s="1244"/>
      <c r="H35" s="690"/>
      <c r="I35" s="1249"/>
      <c r="J35" s="472"/>
      <c r="K35" s="386"/>
      <c r="L35" s="386"/>
    </row>
    <row r="36" spans="1:27">
      <c r="A36" s="471" t="s">
        <v>232</v>
      </c>
      <c r="B36" s="523" t="s">
        <v>160</v>
      </c>
      <c r="C36" s="1242">
        <f>IF($B$6="Calendar Year",
INDEX('CY Q&amp;V 2004 to Now'!$A$1:$KA$234,$J36,'Q&amp;V Summary 2-years'!$W$2),
INDEX('FY Q&amp;V 2003-04 to Now'!$A$1:$KC$232,$J36,'Q&amp;V Summary 2-years'!$W$2))</f>
        <v>212142.25874086726</v>
      </c>
      <c r="D36" s="685"/>
      <c r="E36" s="1242">
        <f>IF($B$6="Calendar Year",
INDEX('CY Q&amp;V 2004 to Now'!$A$1:$KA$234,$J36,'Q&amp;V Summary 2-years'!$W$2+1),
INDEX('FY Q&amp;V 2003-04 to Now'!$A$1:$KC$232,$J36,'Q&amp;V Summary 2-years'!$W$2+1))</f>
        <v>15872150556</v>
      </c>
      <c r="F36" s="685"/>
      <c r="G36" s="1245">
        <f>IF($B$6="Calendar Year",
INDEX('CY Q&amp;V 2004 to Now'!$A$1:$KA$234,$J36,'Q&amp;V Summary 2-years'!$W$1),
INDEX('FY Q&amp;V 2003-04 to Now'!$A$1:$KC$232,$J36,'Q&amp;V Summary 2-years'!$W$1))</f>
        <v>207566.94364352876</v>
      </c>
      <c r="H36" s="685"/>
      <c r="I36" s="1247">
        <f>IF($B$6="Calendar Year",
INDEX('CY Q&amp;V 2004 to Now'!$A$1:$KA$234,$J36,'Q&amp;V Summary 2-years'!$W$1+1),
INDEX('FY Q&amp;V 2003-04 to Now'!$A$1:$KC$232,$J36,'Q&amp;V Summary 2-years'!$W$1+1))</f>
        <v>16573760711.891901</v>
      </c>
      <c r="J36" s="395">
        <f>MATCH(A36,'CY Q&amp;V 2004 to Now'!$A$1:$A$95,0)</f>
        <v>42</v>
      </c>
      <c r="K36" s="386"/>
      <c r="L36" s="386"/>
    </row>
    <row r="37" spans="1:27">
      <c r="A37" s="474"/>
      <c r="B37" s="523"/>
      <c r="C37" s="1242"/>
      <c r="D37" s="685"/>
      <c r="E37" s="1242"/>
      <c r="F37" s="685"/>
      <c r="G37" s="1481"/>
      <c r="H37" s="693"/>
      <c r="I37" s="1250"/>
      <c r="J37" s="475"/>
      <c r="K37" s="386"/>
      <c r="L37" s="386"/>
    </row>
    <row r="38" spans="1:27">
      <c r="A38" s="556" t="s">
        <v>234</v>
      </c>
      <c r="B38" s="559" t="s">
        <v>87</v>
      </c>
      <c r="C38" s="1241">
        <f>IF($B$6="Calendar Year",
INDEX('CY Q&amp;V 2004 to Now'!$A$1:$KA$234,$J38,'Q&amp;V Summary 2-years'!$W$2),
INDEX('FY Q&amp;V 2003-04 to Now'!$A$1:$KC$232,$J38,'Q&amp;V Summary 2-years'!$W$2))</f>
        <v>515194.32999999996</v>
      </c>
      <c r="D38" s="690"/>
      <c r="E38" s="1241">
        <f>IF($B$6="Calendar Year",
INDEX('CY Q&amp;V 2004 to Now'!$A$1:$KA$234,$J38,'Q&amp;V Summary 2-years'!$W$2+1),
INDEX('FY Q&amp;V 2003-04 to Now'!$A$1:$KC$232,$J38,'Q&amp;V Summary 2-years'!$W$2+1))</f>
        <v>11798020.6544</v>
      </c>
      <c r="F38" s="690"/>
      <c r="G38" s="1244">
        <f>IF($B$6="Calendar Year",
INDEX('CY Q&amp;V 2004 to Now'!$A$1:$KA$234,$J38,'Q&amp;V Summary 2-years'!$W$1),
INDEX('FY Q&amp;V 2003-04 to Now'!$A$1:$KC$232,$J38,'Q&amp;V Summary 2-years'!$W$1))</f>
        <v>781179.35499999998</v>
      </c>
      <c r="H38" s="690"/>
      <c r="I38" s="1249">
        <f>IF($B$6="Calendar Year",
INDEX('CY Q&amp;V 2004 to Now'!$A$1:$KA$234,$J38,'Q&amp;V Summary 2-years'!$W$1+1),
INDEX('FY Q&amp;V 2003-04 to Now'!$A$1:$KC$232,$J38,'Q&amp;V Summary 2-years'!$W$1+1))</f>
        <v>17748365.838200003</v>
      </c>
      <c r="J38" s="472">
        <f>MATCH(A38,'CY Q&amp;V 2004 to Now'!$A$1:$A$95,0)</f>
        <v>44</v>
      </c>
      <c r="K38" s="386"/>
      <c r="L38" s="386"/>
    </row>
    <row r="39" spans="1:27">
      <c r="A39" s="556"/>
      <c r="B39" s="559"/>
      <c r="C39" s="1241"/>
      <c r="D39" s="690"/>
      <c r="E39" s="1241"/>
      <c r="F39" s="690"/>
      <c r="G39" s="1244"/>
      <c r="H39" s="690"/>
      <c r="I39" s="1249"/>
      <c r="J39" s="472"/>
      <c r="K39" s="386"/>
      <c r="L39" s="386"/>
    </row>
    <row r="40" spans="1:27">
      <c r="A40" s="471" t="s">
        <v>460</v>
      </c>
      <c r="B40" s="585"/>
      <c r="C40" s="1242"/>
      <c r="D40" s="685"/>
      <c r="E40" s="1242"/>
      <c r="F40" s="685"/>
      <c r="G40" s="1245"/>
      <c r="H40" s="685"/>
      <c r="I40" s="1247"/>
      <c r="J40" s="395"/>
      <c r="K40" s="386"/>
      <c r="L40" s="386"/>
    </row>
    <row r="41" spans="1:27">
      <c r="A41" s="477" t="s">
        <v>297</v>
      </c>
      <c r="B41" s="523" t="s">
        <v>87</v>
      </c>
      <c r="C41" s="1242">
        <f>IF($B$6="Calendar Year",
INDEX('CY Q&amp;V 2004 to Now'!$A$1:$KA$234,$J41,'Q&amp;V Summary 2-years'!$W$2),
INDEX('FY Q&amp;V 2003-04 to Now'!$A$1:$KC$232,$J41,'Q&amp;V Summary 2-years'!$W$2))</f>
        <v>323841.57999999996</v>
      </c>
      <c r="D41" s="685"/>
      <c r="E41" s="1242" t="str">
        <f>IF($B$6="Calendar Year",
INDEX('CY Q&amp;V 2004 to Now'!$A$1:$KA$234,$J41,'Q&amp;V Summary 2-years'!$W$2+1),
INDEX('FY Q&amp;V 2003-04 to Now'!$A$1:$KC$232,$J41,'Q&amp;V Summary 2-years'!$W$2+1))</f>
        <v>nfp</v>
      </c>
      <c r="F41" s="685"/>
      <c r="G41" s="1245">
        <f>IF($B$6="Calendar Year",
INDEX('CY Q&amp;V 2004 to Now'!$A$1:$KA$234,$J41,'Q&amp;V Summary 2-years'!$W$1),
INDEX('FY Q&amp;V 2003-04 to Now'!$A$1:$KC$232,$J41,'Q&amp;V Summary 2-years'!$W$1))</f>
        <v>277047.27</v>
      </c>
      <c r="H41" s="685"/>
      <c r="I41" s="1247" t="str">
        <f>IF($B$6="Calendar Year",
INDEX('CY Q&amp;V 2004 to Now'!$A$1:$KA$234,$J41,'Q&amp;V Summary 2-years'!$W$1+1),
INDEX('FY Q&amp;V 2003-04 to Now'!$A$1:$KC$232,$J41,'Q&amp;V Summary 2-years'!$W$1+1))</f>
        <v>nfp</v>
      </c>
      <c r="J41" s="396">
        <f>MATCH(A41,'CY Q&amp;V 2004 to Now'!$A$1:$A$95,0)</f>
        <v>47</v>
      </c>
      <c r="K41" s="386"/>
      <c r="L41" s="386"/>
    </row>
    <row r="42" spans="1:27">
      <c r="A42" s="477" t="s">
        <v>298</v>
      </c>
      <c r="B42" s="523" t="s">
        <v>87</v>
      </c>
      <c r="C42" s="1242">
        <f>IF($B$6="Calendar Year",
INDEX('CY Q&amp;V 2004 to Now'!$A$1:$KA$234,$J42,'Q&amp;V Summary 2-years'!$W$2),
INDEX('FY Q&amp;V 2003-04 to Now'!$A$1:$KC$232,$J42,'Q&amp;V Summary 2-years'!$W$2))</f>
        <v>264846.37</v>
      </c>
      <c r="D42" s="685"/>
      <c r="E42" s="1242">
        <f>IF($B$6="Calendar Year",
INDEX('CY Q&amp;V 2004 to Now'!$A$1:$KA$234,$J42,'Q&amp;V Summary 2-years'!$W$2+1),
INDEX('FY Q&amp;V 2003-04 to Now'!$A$1:$KC$232,$J42,'Q&amp;V Summary 2-years'!$W$2+1))</f>
        <v>60671202</v>
      </c>
      <c r="F42" s="685"/>
      <c r="G42" s="1245">
        <f>IF($B$6="Calendar Year",
INDEX('CY Q&amp;V 2004 to Now'!$A$1:$KA$234,$J42,'Q&amp;V Summary 2-years'!$W$1),
INDEX('FY Q&amp;V 2003-04 to Now'!$A$1:$KC$232,$J42,'Q&amp;V Summary 2-years'!$W$1))</f>
        <v>322113.91000000003</v>
      </c>
      <c r="H42" s="685"/>
      <c r="I42" s="1247">
        <f>IF($B$6="Calendar Year",
INDEX('CY Q&amp;V 2004 to Now'!$A$1:$KA$234,$J42,'Q&amp;V Summary 2-years'!$W$1+1),
INDEX('FY Q&amp;V 2003-04 to Now'!$A$1:$KC$232,$J42,'Q&amp;V Summary 2-years'!$W$1+1))</f>
        <v>71880419</v>
      </c>
      <c r="J42" s="395">
        <f>MATCH(A42,'CY Q&amp;V 2004 to Now'!$A$1:$A$95,0)</f>
        <v>48</v>
      </c>
      <c r="K42" s="386"/>
      <c r="L42" s="386"/>
    </row>
    <row r="43" spans="1:27">
      <c r="A43" s="477" t="s">
        <v>299</v>
      </c>
      <c r="B43" s="523" t="s">
        <v>87</v>
      </c>
      <c r="C43" s="1242">
        <f>IF($B$6="Calendar Year",
INDEX('CY Q&amp;V 2004 to Now'!$A$1:$KA$234,$J43,'Q&amp;V Summary 2-years'!$W$2),
INDEX('FY Q&amp;V 2003-04 to Now'!$A$1:$KC$232,$J43,'Q&amp;V Summary 2-years'!$W$2))</f>
        <v>27128.928</v>
      </c>
      <c r="D43" s="685"/>
      <c r="E43" s="1242">
        <f>IF($B$6="Calendar Year",
INDEX('CY Q&amp;V 2004 to Now'!$A$1:$KA$234,$J43,'Q&amp;V Summary 2-years'!$W$2+1),
INDEX('FY Q&amp;V 2003-04 to Now'!$A$1:$KC$232,$J43,'Q&amp;V Summary 2-years'!$W$2+1))</f>
        <v>27918452</v>
      </c>
      <c r="F43" s="685"/>
      <c r="G43" s="1245">
        <f>IF($B$6="Calendar Year",
INDEX('CY Q&amp;V 2004 to Now'!$A$1:$KA$234,$J43,'Q&amp;V Summary 2-years'!$W$1),
INDEX('FY Q&amp;V 2003-04 to Now'!$A$1:$KC$232,$J43,'Q&amp;V Summary 2-years'!$W$1))</f>
        <v>19893.03</v>
      </c>
      <c r="H43" s="685"/>
      <c r="I43" s="1247">
        <f>IF($B$6="Calendar Year",
INDEX('CY Q&amp;V 2004 to Now'!$A$1:$KA$234,$J43,'Q&amp;V Summary 2-years'!$W$1+1),
INDEX('FY Q&amp;V 2003-04 to Now'!$A$1:$KC$232,$J43,'Q&amp;V Summary 2-years'!$W$1+1))</f>
        <v>23729974.789999999</v>
      </c>
      <c r="J43" s="395">
        <f>MATCH(A43,'CY Q&amp;V 2004 to Now'!$A$1:$A$95,0)</f>
        <v>49</v>
      </c>
      <c r="K43" s="386"/>
      <c r="L43" s="386"/>
    </row>
    <row r="44" spans="1:27">
      <c r="A44" s="477" t="s">
        <v>309</v>
      </c>
      <c r="B44" s="523" t="s">
        <v>87</v>
      </c>
      <c r="C44" s="1242">
        <f>IF($B$6="Calendar Year",
INDEX('CY Q&amp;V 2004 to Now'!$A$1:$KA$234,$J44,'Q&amp;V Summary 2-years'!$W$2),
INDEX('FY Q&amp;V 2003-04 to Now'!$A$1:$KC$232,$J44,'Q&amp;V Summary 2-years'!$W$2))</f>
        <v>32844.61</v>
      </c>
      <c r="D44" s="685"/>
      <c r="E44" s="1242">
        <f>IF($B$6="Calendar Year",
INDEX('CY Q&amp;V 2004 to Now'!$A$1:$KA$234,$J44,'Q&amp;V Summary 2-years'!$W$2+1),
INDEX('FY Q&amp;V 2003-04 to Now'!$A$1:$KC$232,$J44,'Q&amp;V Summary 2-years'!$W$2+1))</f>
        <v>36694067</v>
      </c>
      <c r="F44" s="685"/>
      <c r="G44" s="1245">
        <f>IF($B$6="Calendar Year",
INDEX('CY Q&amp;V 2004 to Now'!$A$1:$KA$234,$J44,'Q&amp;V Summary 2-years'!$W$1),
INDEX('FY Q&amp;V 2003-04 to Now'!$A$1:$KC$232,$J44,'Q&amp;V Summary 2-years'!$W$1))</f>
        <v>48548.480000000003</v>
      </c>
      <c r="H44" s="685"/>
      <c r="I44" s="1247">
        <f>IF($B$6="Calendar Year",
INDEX('CY Q&amp;V 2004 to Now'!$A$1:$KA$234,$J44,'Q&amp;V Summary 2-years'!$W$1+1),
INDEX('FY Q&amp;V 2003-04 to Now'!$A$1:$KC$232,$J44,'Q&amp;V Summary 2-years'!$W$1+1))</f>
        <v>43494131.189999998</v>
      </c>
      <c r="J44" s="395">
        <v>50</v>
      </c>
      <c r="K44" s="386"/>
      <c r="L44" s="386"/>
    </row>
    <row r="45" spans="1:27">
      <c r="A45" s="477" t="s">
        <v>300</v>
      </c>
      <c r="B45" s="523" t="s">
        <v>87</v>
      </c>
      <c r="C45" s="1242">
        <f>IF($B$6="Calendar Year",
INDEX('CY Q&amp;V 2004 to Now'!$A$1:$KA$234,$J45,'Q&amp;V Summary 2-years'!$W$2),
INDEX('FY Q&amp;V 2003-04 to Now'!$A$1:$KC$232,$J45,'Q&amp;V Summary 2-years'!$W$2))</f>
        <v>171592.09</v>
      </c>
      <c r="D45" s="685"/>
      <c r="E45" s="1242">
        <f>IF($B$6="Calendar Year",
INDEX('CY Q&amp;V 2004 to Now'!$A$1:$KA$234,$J45,'Q&amp;V Summary 2-years'!$W$2+1),
INDEX('FY Q&amp;V 2003-04 to Now'!$A$1:$KC$232,$J45,'Q&amp;V Summary 2-years'!$W$2+1))</f>
        <v>275620889.98595721</v>
      </c>
      <c r="F45" s="685"/>
      <c r="G45" s="1245">
        <f>IF($B$6="Calendar Year",
INDEX('CY Q&amp;V 2004 to Now'!$A$1:$KA$234,$J45,'Q&amp;V Summary 2-years'!$W$1),
INDEX('FY Q&amp;V 2003-04 to Now'!$A$1:$KC$232,$J45,'Q&amp;V Summary 2-years'!$W$1))</f>
        <v>221078.59</v>
      </c>
      <c r="H45" s="685"/>
      <c r="I45" s="1247">
        <f>IF($B$6="Calendar Year",
INDEX('CY Q&amp;V 2004 to Now'!$A$1:$KA$234,$J45,'Q&amp;V Summary 2-years'!$W$1+1),
INDEX('FY Q&amp;V 2003-04 to Now'!$A$1:$KC$232,$J45,'Q&amp;V Summary 2-years'!$W$1+1))</f>
        <v>323860271.64999998</v>
      </c>
      <c r="J45" s="395">
        <v>51</v>
      </c>
      <c r="K45" s="386"/>
      <c r="L45" s="386"/>
    </row>
    <row r="46" spans="1:27" s="535" customFormat="1">
      <c r="A46" s="477" t="s">
        <v>657</v>
      </c>
      <c r="B46" s="523" t="s">
        <v>87</v>
      </c>
      <c r="C46" s="1242">
        <f>IF($B$6="Calendar Year",
INDEX('CY Q&amp;V 2004 to Now'!$A$1:$KA$234,$J46,'Q&amp;V Summary 2-years'!$W$2),
INDEX('FY Q&amp;V 2003-04 to Now'!$A$1:$KC$232,$J46,'Q&amp;V Summary 2-years'!$W$2))</f>
        <v>255890.67871515156</v>
      </c>
      <c r="D46" s="685"/>
      <c r="E46" s="1242">
        <f>IF($B$6="Calendar Year",
INDEX('CY Q&amp;V 2004 to Now'!$A$1:$KA$234,$J46,'Q&amp;V Summary 2-years'!$W$2+1),
INDEX('FY Q&amp;V 2003-04 to Now'!$A$1:$KC$232,$J46,'Q&amp;V Summary 2-years'!$W$2+1))</f>
        <v>268419815</v>
      </c>
      <c r="F46" s="685"/>
      <c r="G46" s="1245">
        <f>IF($B$6="Calendar Year",
INDEX('CY Q&amp;V 2004 to Now'!$A$1:$KA$234,$J46,'Q&amp;V Summary 2-years'!$W$1),
INDEX('FY Q&amp;V 2003-04 to Now'!$A$1:$KC$232,$J46,'Q&amp;V Summary 2-years'!$W$1))</f>
        <v>150631.37696969698</v>
      </c>
      <c r="H46" s="685"/>
      <c r="I46" s="1247">
        <f>IF($B$6="Calendar Year",
INDEX('CY Q&amp;V 2004 to Now'!$A$1:$KA$234,$J46,'Q&amp;V Summary 2-years'!$W$1+1),
INDEX('FY Q&amp;V 2003-04 to Now'!$A$1:$KC$232,$J46,'Q&amp;V Summary 2-years'!$W$1+1))</f>
        <v>261436769.25389829</v>
      </c>
      <c r="J46" s="395">
        <v>52</v>
      </c>
      <c r="N46" s="21"/>
      <c r="O46" s="21"/>
      <c r="P46" s="21"/>
      <c r="Q46" s="21"/>
      <c r="R46" s="21"/>
      <c r="V46" s="326"/>
      <c r="W46" s="326"/>
      <c r="X46" s="326"/>
      <c r="Y46" s="326"/>
      <c r="Z46" s="326"/>
      <c r="AA46" s="326"/>
    </row>
    <row r="47" spans="1:27">
      <c r="A47" s="477" t="s">
        <v>776</v>
      </c>
      <c r="B47" s="585" t="s">
        <v>87</v>
      </c>
      <c r="C47" s="1242"/>
      <c r="D47" s="685"/>
      <c r="E47" s="1242">
        <f>E48-(SUM(E41:E46))</f>
        <v>105973282</v>
      </c>
      <c r="F47" s="685"/>
      <c r="G47" s="1245"/>
      <c r="H47" s="685"/>
      <c r="I47" s="1247">
        <f>I48-(SUM(I41:I46))</f>
        <v>100045073.82000005</v>
      </c>
      <c r="J47" s="489">
        <v>53</v>
      </c>
      <c r="K47" s="386"/>
      <c r="L47" s="386"/>
    </row>
    <row r="48" spans="1:27">
      <c r="A48" s="477" t="s">
        <v>465</v>
      </c>
      <c r="B48" s="585"/>
      <c r="C48" s="1242"/>
      <c r="D48" s="685"/>
      <c r="E48" s="1242">
        <f>IF($B$6="Calendar Year",
INDEX('CY Q&amp;V 2004 to Now'!$A$1:$KA$234,$J48,'Q&amp;V Summary 2-years'!$W$2+1),
INDEX('FY Q&amp;V 2003-04 to Now'!$A$1:$KC$232,$J48,'Q&amp;V Summary 2-years'!$W$2+1))</f>
        <v>775297707.98595715</v>
      </c>
      <c r="F48" s="685"/>
      <c r="G48" s="1245"/>
      <c r="H48" s="685"/>
      <c r="I48" s="1247">
        <f>IF($B$6="Calendar Year",
INDEX('CY Q&amp;V 2004 to Now'!$A$1:$KA$234,$J48,'Q&amp;V Summary 2-years'!$W$1+1),
INDEX('FY Q&amp;V 2003-04 to Now'!$A$1:$KC$232,$J48,'Q&amp;V Summary 2-years'!$W$1+1))</f>
        <v>824446639.70389831</v>
      </c>
      <c r="J48" s="489">
        <f>J47+1</f>
        <v>54</v>
      </c>
      <c r="K48" s="386"/>
      <c r="L48" s="386"/>
    </row>
    <row r="49" spans="1:27">
      <c r="A49" s="477"/>
      <c r="B49" s="585"/>
      <c r="C49" s="1242"/>
      <c r="D49" s="685"/>
      <c r="E49" s="1242"/>
      <c r="F49" s="685"/>
      <c r="G49" s="1245"/>
      <c r="H49" s="685"/>
      <c r="I49" s="1247"/>
      <c r="J49" s="489"/>
      <c r="K49" s="386"/>
      <c r="L49" s="386"/>
      <c r="N49" s="535"/>
      <c r="O49" s="535"/>
      <c r="P49" s="535"/>
      <c r="Q49" s="535"/>
      <c r="R49" s="535"/>
    </row>
    <row r="50" spans="1:27">
      <c r="A50" s="556" t="s">
        <v>247</v>
      </c>
      <c r="B50" s="559" t="s">
        <v>87</v>
      </c>
      <c r="C50" s="1241">
        <f>IF($B$6="Calendar Year",
INDEX('CY Q&amp;V 2004 to Now'!$A$1:$KA$234,$J50,'Q&amp;V Summary 2-years'!$W$2),
INDEX('FY Q&amp;V 2003-04 to Now'!$A$1:$KC$232,$J50,'Q&amp;V Summary 2-years'!$W$2))</f>
        <v>836757810.32899988</v>
      </c>
      <c r="D50" s="690"/>
      <c r="E50" s="1241">
        <f>IF($B$6="Calendar Year",
INDEX('CY Q&amp;V 2004 to Now'!$A$1:$KA$234,$J50,'Q&amp;V Summary 2-years'!$W$2+1),
INDEX('FY Q&amp;V 2003-04 to Now'!$A$1:$KC$232,$J50,'Q&amp;V Summary 2-years'!$W$2+1))</f>
        <v>104616533849</v>
      </c>
      <c r="F50" s="690"/>
      <c r="G50" s="1244">
        <f>IF($B$6="Calendar Year",
INDEX('CY Q&amp;V 2004 to Now'!$A$1:$KA$234,$J50,'Q&amp;V Summary 2-years'!$W$1),
INDEX('FY Q&amp;V 2003-04 to Now'!$A$1:$KC$232,$J50,'Q&amp;V Summary 2-years'!$W$1))</f>
        <v>838687123.37100005</v>
      </c>
      <c r="H50" s="690"/>
      <c r="I50" s="1249">
        <f>IF($B$6="Calendar Year",
INDEX('CY Q&amp;V 2004 to Now'!$A$1:$KA$234,$J50,'Q&amp;V Summary 2-years'!$W$1+1),
INDEX('FY Q&amp;V 2003-04 to Now'!$A$1:$KC$232,$J50,'Q&amp;V Summary 2-years'!$W$1+1))</f>
        <v>154732940789</v>
      </c>
      <c r="J50" s="472">
        <f>MATCH(A50,'CY Q&amp;V 2004 to Now'!$A$1:$A$95,0)</f>
        <v>56</v>
      </c>
      <c r="K50" s="386"/>
      <c r="L50" s="386"/>
    </row>
    <row r="51" spans="1:27">
      <c r="A51" s="560"/>
      <c r="B51" s="558"/>
      <c r="C51" s="1241"/>
      <c r="D51" s="690"/>
      <c r="E51" s="1241"/>
      <c r="F51" s="690"/>
      <c r="G51" s="691"/>
      <c r="H51" s="690"/>
      <c r="I51" s="1249"/>
      <c r="J51" s="472"/>
      <c r="K51" s="386"/>
      <c r="L51" s="386"/>
    </row>
    <row r="52" spans="1:27">
      <c r="A52" s="471" t="s">
        <v>253</v>
      </c>
      <c r="B52" s="523" t="s">
        <v>87</v>
      </c>
      <c r="C52" s="1242">
        <f>IF($B$6="Calendar Year",
INDEX('CY Q&amp;V 2004 to Now'!$A$1:$KA$234,$J52,'Q&amp;V Summary 2-years'!$W$2),
INDEX('FY Q&amp;V 2003-04 to Now'!$A$1:$KC$232,$J52,'Q&amp;V Summary 2-years'!$W$2))</f>
        <v>4009523.4880000008</v>
      </c>
      <c r="D52" s="685"/>
      <c r="E52" s="1242">
        <f>IF($B$6="Calendar Year",
INDEX('CY Q&amp;V 2004 to Now'!$A$1:$KA$234,$J52,'Q&amp;V Summary 2-years'!$W$2+1),
INDEX('FY Q&amp;V 2003-04 to Now'!$A$1:$KC$232,$J52,'Q&amp;V Summary 2-years'!$W$2+1))</f>
        <v>39531243.907299995</v>
      </c>
      <c r="F52" s="685"/>
      <c r="G52" s="1245">
        <f>IF($B$6="Calendar Year",
INDEX('CY Q&amp;V 2004 to Now'!$A$1:$KA$234,$J52,'Q&amp;V Summary 2-years'!$W$1),
INDEX('FY Q&amp;V 2003-04 to Now'!$A$1:$KC$232,$J52,'Q&amp;V Summary 2-years'!$W$1))</f>
        <v>4732727.4370000008</v>
      </c>
      <c r="H52" s="685"/>
      <c r="I52" s="1247">
        <f>IF($B$6="Calendar Year",
INDEX('CY Q&amp;V 2004 to Now'!$A$1:$KA$234,$J52,'Q&amp;V Summary 2-years'!$W$1+1),
INDEX('FY Q&amp;V 2003-04 to Now'!$A$1:$KC$232,$J52,'Q&amp;V Summary 2-years'!$W$1+1))</f>
        <v>48067032.96796</v>
      </c>
      <c r="J52" s="395">
        <f>MATCH(A52,'CY Q&amp;V 2004 to Now'!$A$1:$A$95,0)</f>
        <v>58</v>
      </c>
      <c r="K52" s="386"/>
      <c r="L52" s="386"/>
    </row>
    <row r="53" spans="1:27">
      <c r="A53" s="471"/>
      <c r="B53" s="523"/>
      <c r="C53" s="1242"/>
      <c r="D53" s="685"/>
      <c r="E53" s="1242"/>
      <c r="F53" s="685"/>
      <c r="G53" s="686"/>
      <c r="H53" s="685"/>
      <c r="I53" s="1247"/>
      <c r="J53" s="395"/>
      <c r="K53" s="386"/>
      <c r="L53" s="386"/>
    </row>
    <row r="54" spans="1:27">
      <c r="A54" s="556" t="s">
        <v>782</v>
      </c>
      <c r="B54" s="558"/>
      <c r="C54" s="1241"/>
      <c r="D54" s="690"/>
      <c r="E54" s="1241"/>
      <c r="F54" s="690"/>
      <c r="G54" s="1244"/>
      <c r="H54" s="690"/>
      <c r="I54" s="1249"/>
      <c r="J54" s="473"/>
      <c r="K54" s="386"/>
      <c r="L54" s="386"/>
    </row>
    <row r="55" spans="1:27">
      <c r="A55" s="554" t="s">
        <v>310</v>
      </c>
      <c r="B55" s="558" t="s">
        <v>87</v>
      </c>
      <c r="C55" s="1241">
        <f>IF($B$6="Calendar Year",
INDEX('CY Q&amp;V 2004 to Now'!$A$1:$KA$234,$J55,'Q&amp;V Summary 2-years'!$W$2),
INDEX('FY Q&amp;V 2003-04 to Now'!$A$1:$KC$232,$J55,'Q&amp;V Summary 2-years'!$W$2))</f>
        <v>1459796.9205000002</v>
      </c>
      <c r="D55" s="690"/>
      <c r="E55" s="1241">
        <f>IF($B$6="Calendar Year",
INDEX('CY Q&amp;V 2004 to Now'!$A$1:$KA$234,$J55,'Q&amp;V Summary 2-years'!$W$2+1),
INDEX('FY Q&amp;V 2003-04 to Now'!$A$1:$KC$232,$J55,'Q&amp;V Summary 2-years'!$W$2+1))</f>
        <v>998656158</v>
      </c>
      <c r="F55" s="690"/>
      <c r="G55" s="1244">
        <f>IF($B$6="Calendar Year",
INDEX('CY Q&amp;V 2004 to Now'!$A$1:$KA$234,$J55,'Q&amp;V Summary 2-years'!$W$1),
INDEX('FY Q&amp;V 2003-04 to Now'!$A$1:$KC$232,$J55,'Q&amp;V Summary 2-years'!$W$1))</f>
        <v>1627771.2169999999</v>
      </c>
      <c r="H55" s="690"/>
      <c r="I55" s="1249">
        <f>IF($B$6="Calendar Year",
INDEX('CY Q&amp;V 2004 to Now'!$A$1:$KA$234,$J55,'Q&amp;V Summary 2-years'!$W$1+1),
INDEX('FY Q&amp;V 2003-04 to Now'!$A$1:$KC$232,$J55,'Q&amp;V Summary 2-years'!$W$1+1))</f>
        <v>938305026</v>
      </c>
      <c r="J55" s="473">
        <f>MATCH(A55,'CY Q&amp;V 2004 to Now'!$A$1:$A$95,0)</f>
        <v>61</v>
      </c>
      <c r="K55" s="386"/>
      <c r="L55" s="386"/>
    </row>
    <row r="56" spans="1:27">
      <c r="A56" s="554" t="s">
        <v>311</v>
      </c>
      <c r="B56" s="558" t="s">
        <v>87</v>
      </c>
      <c r="C56" s="1241">
        <f>IF($B$6="Calendar Year",
INDEX('CY Q&amp;V 2004 to Now'!$A$1:$KA$234,$J56,'Q&amp;V Summary 2-years'!$W$2),
INDEX('FY Q&amp;V 2003-04 to Now'!$A$1:$KC$232,$J56,'Q&amp;V Summary 2-years'!$W$2))</f>
        <v>191</v>
      </c>
      <c r="D56" s="690"/>
      <c r="E56" s="1241" t="str">
        <f>IF($B$6="Calendar Year",
INDEX('CY Q&amp;V 2004 to Now'!$A$1:$KA$234,$J56,'Q&amp;V Summary 2-years'!$W$2+1),
INDEX('FY Q&amp;V 2003-04 to Now'!$A$1:$KC$232,$J56,'Q&amp;V Summary 2-years'!$W$2+1))</f>
        <v>nfp</v>
      </c>
      <c r="F56" s="690"/>
      <c r="G56" s="1244">
        <f>IF($B$6="Calendar Year",
INDEX('CY Q&amp;V 2004 to Now'!$A$1:$KA$234,$J56,'Q&amp;V Summary 2-years'!$W$1),
INDEX('FY Q&amp;V 2003-04 to Now'!$A$1:$KC$232,$J56,'Q&amp;V Summary 2-years'!$W$1))</f>
        <v>108.46500000000002</v>
      </c>
      <c r="H56" s="690"/>
      <c r="I56" s="1249" t="str">
        <f>IF($B$6="Calendar Year",
INDEX('CY Q&amp;V 2004 to Now'!$A$1:$KA$234,$J56,'Q&amp;V Summary 2-years'!$W$1+1),
INDEX('FY Q&amp;V 2003-04 to Now'!$A$1:$KC$232,$J56,'Q&amp;V Summary 2-years'!$W$1+1))</f>
        <v>nfp</v>
      </c>
      <c r="J56" s="473">
        <f>MATCH(A56,'CY Q&amp;V 2004 to Now'!$A$1:$A$95,0)</f>
        <v>62</v>
      </c>
      <c r="K56" s="386"/>
      <c r="L56" s="386"/>
    </row>
    <row r="57" spans="1:27">
      <c r="A57" s="554" t="s">
        <v>312</v>
      </c>
      <c r="B57" s="558" t="s">
        <v>87</v>
      </c>
      <c r="C57" s="1241">
        <f>IF($B$6="Calendar Year",
INDEX('CY Q&amp;V 2004 to Now'!$A$1:$KA$234,$J57,'Q&amp;V Summary 2-years'!$W$2),
INDEX('FY Q&amp;V 2003-04 to Now'!$A$1:$KC$232,$J57,'Q&amp;V Summary 2-years'!$W$2))</f>
        <v>150</v>
      </c>
      <c r="D57" s="690"/>
      <c r="E57" s="1241" t="str">
        <f>IF($B$6="Calendar Year",
INDEX('CY Q&amp;V 2004 to Now'!$A$1:$KA$234,$J57,'Q&amp;V Summary 2-years'!$W$2+1),
INDEX('FY Q&amp;V 2003-04 to Now'!$A$1:$KC$232,$J57,'Q&amp;V Summary 2-years'!$W$2+1))</f>
        <v>nfp</v>
      </c>
      <c r="F57" s="690"/>
      <c r="G57" s="1244">
        <f>IF($B$6="Calendar Year",
INDEX('CY Q&amp;V 2004 to Now'!$A$1:$KA$234,$J57,'Q&amp;V Summary 2-years'!$W$1),
INDEX('FY Q&amp;V 2003-04 to Now'!$A$1:$KC$232,$J57,'Q&amp;V Summary 2-years'!$W$1))</f>
        <v>54.863999999999997</v>
      </c>
      <c r="H57" s="690"/>
      <c r="I57" s="1249" t="str">
        <f>IF($B$6="Calendar Year",
INDEX('CY Q&amp;V 2004 to Now'!$A$1:$KA$234,$J57,'Q&amp;V Summary 2-years'!$W$1+1),
INDEX('FY Q&amp;V 2003-04 to Now'!$A$1:$KC$232,$J57,'Q&amp;V Summary 2-years'!$W$1+1))</f>
        <v>nfp</v>
      </c>
      <c r="J57" s="473">
        <f>MATCH(A57,'CY Q&amp;V 2004 to Now'!$A$1:$A$95,0)</f>
        <v>63</v>
      </c>
      <c r="K57" s="386"/>
      <c r="L57" s="386"/>
    </row>
    <row r="58" spans="1:27">
      <c r="A58" s="554" t="s">
        <v>781</v>
      </c>
      <c r="B58" s="558"/>
      <c r="C58" s="1241"/>
      <c r="D58" s="690"/>
      <c r="E58" s="1241">
        <f>IF($B$6="Calendar Year",
INDEX('CY Q&amp;V 2004 to Now'!$A$1:$KA$234,$J58,'Q&amp;V Summary 2-years'!$W$2+1),
INDEX('FY Q&amp;V 2003-04 to Now'!$A$1:$KC$232,$J58,'Q&amp;V Summary 2-years'!$W$2+1))</f>
        <v>1029879825</v>
      </c>
      <c r="F58" s="690"/>
      <c r="G58" s="1244"/>
      <c r="H58" s="690"/>
      <c r="I58" s="1249">
        <f>IF($B$6="Calendar Year",
INDEX('CY Q&amp;V 2004 to Now'!$A$1:$KA$234,$J58,'Q&amp;V Summary 2-years'!$W$1+1),
INDEX('FY Q&amp;V 2003-04 to Now'!$A$1:$KC$232,$J58,'Q&amp;V Summary 2-years'!$W$1+1))</f>
        <v>953754802</v>
      </c>
      <c r="J58" s="473">
        <f>MATCH(A58,'CY Q&amp;V 2004 to Now'!$A$1:$A$95,0)</f>
        <v>64</v>
      </c>
      <c r="K58" s="386"/>
      <c r="L58" s="386"/>
    </row>
    <row r="59" spans="1:27" s="535" customFormat="1">
      <c r="A59" s="554"/>
      <c r="B59" s="558"/>
      <c r="C59" s="1241"/>
      <c r="D59" s="690"/>
      <c r="E59" s="1241"/>
      <c r="F59" s="690"/>
      <c r="G59" s="1244"/>
      <c r="H59" s="690"/>
      <c r="I59" s="1249"/>
      <c r="J59" s="473"/>
      <c r="V59" s="326"/>
      <c r="W59" s="326"/>
      <c r="X59" s="326"/>
      <c r="Y59" s="326"/>
      <c r="Z59" s="326"/>
      <c r="AA59" s="326"/>
    </row>
    <row r="60" spans="1:27">
      <c r="A60" s="471" t="s">
        <v>256</v>
      </c>
      <c r="B60" s="523" t="s">
        <v>87</v>
      </c>
      <c r="C60" s="1242">
        <f>IF($B$6="Calendar Year",
INDEX('CY Q&amp;V 2004 to Now'!$A$1:$KA$234,$J60,'Q&amp;V Summary 2-years'!$W$2),
INDEX('FY Q&amp;V 2003-04 to Now'!$A$1:$KC$232,$J60,'Q&amp;V Summary 2-years'!$W$2))</f>
        <v>554483.04</v>
      </c>
      <c r="D60" s="685"/>
      <c r="E60" s="1242">
        <f>IF($B$6="Calendar Year",
INDEX('CY Q&amp;V 2004 to Now'!$A$1:$KA$234,$J60,'Q&amp;V Summary 2-years'!$W$2+1),
INDEX('FY Q&amp;V 2003-04 to Now'!$A$1:$KC$232,$J60,'Q&amp;V Summary 2-years'!$W$2+1))</f>
        <v>359186308</v>
      </c>
      <c r="F60" s="685"/>
      <c r="G60" s="1245">
        <f>IF($B$6="Calendar Year",
INDEX('CY Q&amp;V 2004 to Now'!$A$1:$KA$234,$J60,'Q&amp;V Summary 2-years'!$W$1),
INDEX('FY Q&amp;V 2003-04 to Now'!$A$1:$KC$232,$J60,'Q&amp;V Summary 2-years'!$W$1))</f>
        <v>467659.76</v>
      </c>
      <c r="H60" s="685"/>
      <c r="I60" s="1247" t="str">
        <f>IF($B$6="Calendar Year",
INDEX('CY Q&amp;V 2004 to Now'!$A$1:$KA$234,$J60,'Q&amp;V Summary 2-years'!$W$1+1),
INDEX('FY Q&amp;V 2003-04 to Now'!$A$1:$KC$232,$J60,'Q&amp;V Summary 2-years'!$W$1+1))</f>
        <v>nfp</v>
      </c>
      <c r="J60" s="472">
        <f>MATCH(A60,'CY Q&amp;V 2004 to Now'!$A$1:$A$95,0)</f>
        <v>66</v>
      </c>
      <c r="K60" s="386"/>
      <c r="L60" s="386"/>
    </row>
    <row r="61" spans="1:27">
      <c r="A61" s="471"/>
      <c r="B61" s="523"/>
      <c r="C61" s="1242"/>
      <c r="D61" s="685"/>
      <c r="E61" s="1242"/>
      <c r="F61" s="685"/>
      <c r="G61" s="1245"/>
      <c r="H61" s="685"/>
      <c r="I61" s="1247"/>
      <c r="J61" s="472"/>
      <c r="K61" s="386"/>
      <c r="L61" s="386"/>
    </row>
    <row r="62" spans="1:27">
      <c r="A62" s="556" t="s">
        <v>258</v>
      </c>
      <c r="B62" s="559"/>
      <c r="C62" s="1241"/>
      <c r="D62" s="690"/>
      <c r="E62" s="1241"/>
      <c r="F62" s="690"/>
      <c r="G62" s="1244"/>
      <c r="H62" s="690"/>
      <c r="I62" s="1249"/>
      <c r="J62" s="473"/>
      <c r="K62" s="386"/>
      <c r="L62" s="386"/>
    </row>
    <row r="63" spans="1:27">
      <c r="A63" s="554" t="s">
        <v>301</v>
      </c>
      <c r="B63" s="559" t="s">
        <v>87</v>
      </c>
      <c r="C63" s="1241">
        <f>IF($B$6="Calendar Year",
INDEX('CY Q&amp;V 2004 to Now'!$A$1:$KA$234,$J63,'Q&amp;V Summary 2-years'!$W$2),
INDEX('FY Q&amp;V 2003-04 to Now'!$A$1:$KC$232,$J63,'Q&amp;V Summary 2-years'!$W$2))</f>
        <v>5796.1149999999998</v>
      </c>
      <c r="D63" s="690"/>
      <c r="E63" s="1241">
        <f>IF($B$6="Calendar Year",
INDEX('CY Q&amp;V 2004 to Now'!$A$1:$KA$234,$J63,'Q&amp;V Summary 2-years'!$W$2+1),
INDEX('FY Q&amp;V 2003-04 to Now'!$A$1:$KC$232,$J63,'Q&amp;V Summary 2-years'!$W$2+1))</f>
        <v>295164292</v>
      </c>
      <c r="F63" s="690"/>
      <c r="G63" s="1244">
        <f>IF($B$6="Calendar Year",
INDEX('CY Q&amp;V 2004 to Now'!$A$1:$KA$234,$J63,'Q&amp;V Summary 2-years'!$W$1),
INDEX('FY Q&amp;V 2003-04 to Now'!$A$1:$KC$232,$J63,'Q&amp;V Summary 2-years'!$W$1))</f>
        <v>5445.9019999999982</v>
      </c>
      <c r="H63" s="690"/>
      <c r="I63" s="1249">
        <f>IF($B$6="Calendar Year",
INDEX('CY Q&amp;V 2004 to Now'!$A$1:$KA$234,$J63,'Q&amp;V Summary 2-years'!$W$1+1),
INDEX('FY Q&amp;V 2003-04 to Now'!$A$1:$KC$232,$J63,'Q&amp;V Summary 2-years'!$W$1+1))</f>
        <v>293803177</v>
      </c>
      <c r="J63" s="473">
        <f>MATCH(A63,'CY Q&amp;V 2004 to Now'!$A$1:$A$95,0)</f>
        <v>69</v>
      </c>
      <c r="K63" s="386"/>
      <c r="L63" s="386"/>
    </row>
    <row r="64" spans="1:27">
      <c r="A64" s="554" t="s">
        <v>3</v>
      </c>
      <c r="B64" s="559" t="s">
        <v>87</v>
      </c>
      <c r="C64" s="1241">
        <f>IF($B$6="Calendar Year",
INDEX('CY Q&amp;V 2004 to Now'!$A$1:$KA$234,$J64,'Q&amp;V Summary 2-years'!$W$2),
INDEX('FY Q&amp;V 2003-04 to Now'!$A$1:$KC$232,$J64,'Q&amp;V Summary 2-years'!$W$2))</f>
        <v>153419.90400000004</v>
      </c>
      <c r="D64" s="690"/>
      <c r="E64" s="1241">
        <f>IF($B$6="Calendar Year",
INDEX('CY Q&amp;V 2004 to Now'!$A$1:$KA$234,$J64,'Q&amp;V Summary 2-years'!$W$2+1),
INDEX('FY Q&amp;V 2003-04 to Now'!$A$1:$KC$232,$J64,'Q&amp;V Summary 2-years'!$W$2+1))</f>
        <v>3167492780</v>
      </c>
      <c r="F64" s="690"/>
      <c r="G64" s="1244">
        <f>IF($B$6="Calendar Year",
INDEX('CY Q&amp;V 2004 to Now'!$A$1:$KA$234,$J64,'Q&amp;V Summary 2-years'!$W$1),
INDEX('FY Q&amp;V 2003-04 to Now'!$A$1:$KC$232,$J64,'Q&amp;V Summary 2-years'!$W$1))</f>
        <v>158710.027</v>
      </c>
      <c r="H64" s="690"/>
      <c r="I64" s="1249">
        <f>IF($B$6="Calendar Year",
INDEX('CY Q&amp;V 2004 to Now'!$A$1:$KA$234,$J64,'Q&amp;V Summary 2-years'!$W$1+1),
INDEX('FY Q&amp;V 2003-04 to Now'!$A$1:$KC$232,$J64,'Q&amp;V Summary 2-years'!$W$1+1))</f>
        <v>3480602339</v>
      </c>
      <c r="J64" s="473">
        <f>MATCH(A64,'CY Q&amp;V 2004 to Now'!$A$1:$A$95,0)</f>
        <v>70</v>
      </c>
      <c r="K64" s="386"/>
      <c r="L64" s="386"/>
    </row>
    <row r="65" spans="1:12">
      <c r="A65" s="554" t="s">
        <v>302</v>
      </c>
      <c r="B65" s="559" t="s">
        <v>160</v>
      </c>
      <c r="C65" s="1241">
        <f>IF($B$6="Calendar Year",
INDEX('CY Q&amp;V 2004 to Now'!$A$1:$KA$234,$J65,'Q&amp;V Summary 2-years'!$W$2),
INDEX('FY Q&amp;V 2003-04 to Now'!$A$1:$KC$232,$J65,'Q&amp;V Summary 2-years'!$W$2))</f>
        <v>481.90739237403847</v>
      </c>
      <c r="D65" s="690"/>
      <c r="E65" s="1241">
        <f>IF($B$6="Calendar Year",
INDEX('CY Q&amp;V 2004 to Now'!$A$1:$KA$234,$J65,'Q&amp;V Summary 2-years'!$W$2+1),
INDEX('FY Q&amp;V 2003-04 to Now'!$A$1:$KC$232,$J65,'Q&amp;V Summary 2-years'!$W$2+1))</f>
        <v>39618802</v>
      </c>
      <c r="F65" s="690"/>
      <c r="G65" s="1244">
        <f>IF($B$6="Calendar Year",
INDEX('CY Q&amp;V 2004 to Now'!$A$1:$KA$234,$J65,'Q&amp;V Summary 2-years'!$W$1),
INDEX('FY Q&amp;V 2003-04 to Now'!$A$1:$KC$232,$J65,'Q&amp;V Summary 2-years'!$W$1))</f>
        <v>470.3328387873359</v>
      </c>
      <c r="H65" s="690"/>
      <c r="I65" s="1249">
        <f>IF($B$6="Calendar Year",
INDEX('CY Q&amp;V 2004 to Now'!$A$1:$KA$234,$J65,'Q&amp;V Summary 2-years'!$W$1+1),
INDEX('FY Q&amp;V 2003-04 to Now'!$A$1:$KC$232,$J65,'Q&amp;V Summary 2-years'!$W$1+1))</f>
        <v>40285878</v>
      </c>
      <c r="J65" s="473">
        <f>MATCH(A65,'CY Q&amp;V 2004 to Now'!$A$1:$A$95,0)</f>
        <v>71</v>
      </c>
      <c r="K65" s="386"/>
      <c r="L65" s="386"/>
    </row>
    <row r="66" spans="1:12">
      <c r="A66" s="554" t="s">
        <v>262</v>
      </c>
      <c r="B66" s="558"/>
      <c r="C66" s="1241"/>
      <c r="D66" s="690"/>
      <c r="E66" s="1241">
        <f>SUM(E63:E65)</f>
        <v>3502275874</v>
      </c>
      <c r="F66" s="690"/>
      <c r="G66" s="1244"/>
      <c r="H66" s="690"/>
      <c r="I66" s="1249">
        <f>SUM(I63:I65)</f>
        <v>3814691394</v>
      </c>
      <c r="J66" s="473"/>
      <c r="K66" s="386"/>
      <c r="L66" s="386"/>
    </row>
    <row r="67" spans="1:12">
      <c r="A67" s="557" t="s">
        <v>265</v>
      </c>
      <c r="B67" s="558"/>
      <c r="C67" s="1241"/>
      <c r="D67" s="690"/>
      <c r="E67" s="1241"/>
      <c r="F67" s="690"/>
      <c r="G67" s="1244"/>
      <c r="H67" s="690"/>
      <c r="I67" s="1249"/>
      <c r="J67" s="473"/>
      <c r="K67" s="386"/>
      <c r="L67" s="386"/>
    </row>
    <row r="68" spans="1:12">
      <c r="A68" s="471" t="s">
        <v>266</v>
      </c>
      <c r="B68" s="585"/>
      <c r="C68" s="1242"/>
      <c r="D68" s="685"/>
      <c r="E68" s="1242"/>
      <c r="F68" s="685"/>
      <c r="G68" s="1245"/>
      <c r="H68" s="685"/>
      <c r="I68" s="1247"/>
      <c r="J68" s="472"/>
      <c r="K68" s="386"/>
      <c r="L68" s="386"/>
    </row>
    <row r="69" spans="1:12">
      <c r="A69" s="477" t="s">
        <v>80</v>
      </c>
      <c r="B69" s="523" t="s">
        <v>267</v>
      </c>
      <c r="C69" s="1242">
        <f>IF($B$6="Calendar Year",
INDEX('CY Q&amp;V 2004 to Now'!$A$1:$KA$234,$J69,'Q&amp;V Summary 2-years'!$W$2),
INDEX('FY Q&amp;V 2003-04 to Now'!$A$1:$KC$232,$J69,'Q&amp;V Summary 2-years'!$W$2))</f>
        <v>12340926.11349741</v>
      </c>
      <c r="D69" s="685"/>
      <c r="E69" s="1242">
        <f>IF($B$6="Calendar Year",
INDEX('CY Q&amp;V 2004 to Now'!$A$1:$KA$234,$J69,'Q&amp;V Summary 2-years'!$W$2+1),
INDEX('FY Q&amp;V 2003-04 to Now'!$A$1:$KC$232,$J69,'Q&amp;V Summary 2-years'!$W$2+1))</f>
        <v>5401864390.327383</v>
      </c>
      <c r="F69" s="685"/>
      <c r="G69" s="1245">
        <f>IF($B$6="Calendar Year",
INDEX('CY Q&amp;V 2004 to Now'!$A$1:$KA$234,$J69,'Q&amp;V Summary 2-years'!$W$1),
INDEX('FY Q&amp;V 2003-04 to Now'!$A$1:$KC$232,$J69,'Q&amp;V Summary 2-years'!$W$1))</f>
        <v>11116897.742583131</v>
      </c>
      <c r="H69" s="685"/>
      <c r="I69" s="1247">
        <f>IF($B$6="Calendar Year",
INDEX('CY Q&amp;V 2004 to Now'!$A$1:$KA$234,$J69,'Q&amp;V Summary 2-years'!$W$1+1),
INDEX('FY Q&amp;V 2003-04 to Now'!$A$1:$KC$232,$J69,'Q&amp;V Summary 2-years'!$W$1+1))</f>
        <v>4277981027.1622028</v>
      </c>
      <c r="J69" s="472">
        <f>MATCH(A69,'CY Q&amp;V 2004 to Now'!$A$1:$A$95,0)</f>
        <v>75</v>
      </c>
      <c r="K69" s="386"/>
      <c r="L69" s="386"/>
    </row>
    <row r="70" spans="1:12">
      <c r="A70" s="477" t="s">
        <v>79</v>
      </c>
      <c r="B70" s="523" t="s">
        <v>267</v>
      </c>
      <c r="C70" s="1242">
        <f>IF($B$6="Calendar Year",
INDEX('CY Q&amp;V 2004 to Now'!$A$1:$KA$234,$J70,'Q&amp;V Summary 2-years'!$W$2),
INDEX('FY Q&amp;V 2003-04 to Now'!$A$1:$KC$232,$J70,'Q&amp;V Summary 2-years'!$W$2))</f>
        <v>5006073.8206409039</v>
      </c>
      <c r="D70" s="685"/>
      <c r="E70" s="1242">
        <f>IF($B$6="Calendar Year",
INDEX('CY Q&amp;V 2004 to Now'!$A$1:$KA$234,$J70,'Q&amp;V Summary 2-years'!$W$2+1),
INDEX('FY Q&amp;V 2003-04 to Now'!$A$1:$KC$232,$J70,'Q&amp;V Summary 2-years'!$W$2+1))</f>
        <v>2680648959.5435796</v>
      </c>
      <c r="F70" s="685"/>
      <c r="G70" s="1245">
        <f>IF($B$6="Calendar Year",
INDEX('CY Q&amp;V 2004 to Now'!$A$1:$KA$234,$J70,'Q&amp;V Summary 2-years'!$W$1),
INDEX('FY Q&amp;V 2003-04 to Now'!$A$1:$KC$232,$J70,'Q&amp;V Summary 2-years'!$W$1))</f>
        <v>4361027.891535637</v>
      </c>
      <c r="H70" s="685"/>
      <c r="I70" s="1247">
        <f>IF($B$6="Calendar Year",
INDEX('CY Q&amp;V 2004 to Now'!$A$1:$KA$234,$J70,'Q&amp;V Summary 2-years'!$W$1+1),
INDEX('FY Q&amp;V 2003-04 to Now'!$A$1:$KC$232,$J70,'Q&amp;V Summary 2-years'!$W$1+1))</f>
        <v>1716421257.373775</v>
      </c>
      <c r="J70" s="472">
        <f>MATCH(A70,'CY Q&amp;V 2004 to Now'!$A$1:$A$95,0)</f>
        <v>76</v>
      </c>
      <c r="K70" s="386"/>
      <c r="L70" s="386"/>
    </row>
    <row r="71" spans="1:12">
      <c r="A71" s="477" t="s">
        <v>303</v>
      </c>
      <c r="B71" s="523" t="s">
        <v>87</v>
      </c>
      <c r="C71" s="1242">
        <f>IF($B$6="Calendar Year",
INDEX('CY Q&amp;V 2004 to Now'!$A$1:$KA$234,$J71,'Q&amp;V Summary 2-years'!$W$2),
INDEX('FY Q&amp;V 2003-04 to Now'!$A$1:$KC$232,$J71,'Q&amp;V Summary 2-years'!$W$2))</f>
        <v>47113044.842457362</v>
      </c>
      <c r="D71" s="685"/>
      <c r="E71" s="1242">
        <f>IF($B$6="Calendar Year",
INDEX('CY Q&amp;V 2004 to Now'!$A$1:$KA$234,$J71,'Q&amp;V Summary 2-years'!$W$2+1),
INDEX('FY Q&amp;V 2003-04 to Now'!$A$1:$KC$232,$J71,'Q&amp;V Summary 2-years'!$W$2+1))</f>
        <v>27047964512.300575</v>
      </c>
      <c r="F71" s="685"/>
      <c r="G71" s="1245">
        <f>IF($B$6="Calendar Year",
INDEX('CY Q&amp;V 2004 to Now'!$A$1:$KA$234,$J71,'Q&amp;V Summary 2-years'!$W$1),
INDEX('FY Q&amp;V 2003-04 to Now'!$A$1:$KC$232,$J71,'Q&amp;V Summary 2-years'!$W$1))</f>
        <v>42392686.661688775</v>
      </c>
      <c r="H71" s="685"/>
      <c r="I71" s="1247">
        <f>IF($B$6="Calendar Year",
INDEX('CY Q&amp;V 2004 to Now'!$A$1:$KA$234,$J71,'Q&amp;V Summary 2-years'!$W$1+1),
INDEX('FY Q&amp;V 2003-04 to Now'!$A$1:$KC$232,$J71,'Q&amp;V Summary 2-years'!$W$1+1))</f>
        <v>15780495069.759773</v>
      </c>
      <c r="J71" s="472">
        <f>MATCH(A71,'CY Q&amp;V 2004 to Now'!$A$1:$A$95,0)</f>
        <v>77</v>
      </c>
      <c r="K71" s="386"/>
      <c r="L71" s="386"/>
    </row>
    <row r="72" spans="1:12">
      <c r="A72" s="477" t="s">
        <v>304</v>
      </c>
      <c r="B72" s="523" t="s">
        <v>87</v>
      </c>
      <c r="C72" s="1242">
        <f>IF($B$6="Calendar Year",
INDEX('CY Q&amp;V 2004 to Now'!$A$1:$KA$234,$J72,'Q&amp;V Summary 2-years'!$W$2),
INDEX('FY Q&amp;V 2003-04 to Now'!$A$1:$KC$232,$J72,'Q&amp;V Summary 2-years'!$W$2))</f>
        <v>431562</v>
      </c>
      <c r="D72" s="685"/>
      <c r="E72" s="1242">
        <f>IF($B$6="Calendar Year",
INDEX('CY Q&amp;V 2004 to Now'!$A$1:$KA$234,$J72,'Q&amp;V Summary 2-years'!$W$2+1),
INDEX('FY Q&amp;V 2003-04 to Now'!$A$1:$KC$232,$J72,'Q&amp;V Summary 2-years'!$W$2+1))</f>
        <v>217253672.36001399</v>
      </c>
      <c r="F72" s="685"/>
      <c r="G72" s="1245">
        <f>IF($B$6="Calendar Year",
INDEX('CY Q&amp;V 2004 to Now'!$A$1:$KA$234,$J72,'Q&amp;V Summary 2-years'!$W$1),
INDEX('FY Q&amp;V 2003-04 to Now'!$A$1:$KC$232,$J72,'Q&amp;V Summary 2-years'!$W$1))</f>
        <v>379651</v>
      </c>
      <c r="H72" s="685"/>
      <c r="I72" s="1247">
        <f>IF($B$6="Calendar Year",
INDEX('CY Q&amp;V 2004 to Now'!$A$1:$KA$234,$J72,'Q&amp;V Summary 2-years'!$W$1+1),
INDEX('FY Q&amp;V 2003-04 to Now'!$A$1:$KC$232,$J72,'Q&amp;V Summary 2-years'!$W$1+1))</f>
        <v>227504064.84030467</v>
      </c>
      <c r="J72" s="472">
        <f>MATCH(A72,'CY Q&amp;V 2004 to Now'!$A$1:$A$95,0)</f>
        <v>78</v>
      </c>
      <c r="K72" s="386"/>
      <c r="L72" s="386"/>
    </row>
    <row r="73" spans="1:12">
      <c r="A73" s="477" t="s">
        <v>124</v>
      </c>
      <c r="B73" s="1510" t="s">
        <v>305</v>
      </c>
      <c r="C73" s="1242">
        <f>IF($B$6="Calendar Year",
INDEX('CY Q&amp;V 2004 to Now'!$A$1:$KA$234,$J73,'Q&amp;V Summary 2-years'!$W$2),
INDEX('FY Q&amp;V 2003-04 to Now'!$A$1:$KC$232,$J73,'Q&amp;V Summary 2-years'!$W$2))</f>
        <v>11158952.040437331</v>
      </c>
      <c r="D73" s="685"/>
      <c r="E73" s="1242">
        <f>IF($B$6="Calendar Year",
INDEX('CY Q&amp;V 2004 to Now'!$A$1:$KA$234,$J73,'Q&amp;V Summary 2-years'!$W$2+1),
INDEX('FY Q&amp;V 2003-04 to Now'!$A$1:$KC$232,$J73,'Q&amp;V Summary 2-years'!$W$2+1))</f>
        <v>1773054729.5934143</v>
      </c>
      <c r="F73" s="685"/>
      <c r="G73" s="1245">
        <f>IF($B$6="Calendar Year",
INDEX('CY Q&amp;V 2004 to Now'!$A$1:$KA$234,$J73,'Q&amp;V Summary 2-years'!$W$1),
INDEX('FY Q&amp;V 2003-04 to Now'!$A$1:$KC$232,$J73,'Q&amp;V Summary 2-years'!$W$1))</f>
        <v>10178574.95177735</v>
      </c>
      <c r="H73" s="685"/>
      <c r="I73" s="1247">
        <f>IF($B$6="Calendar Year",
INDEX('CY Q&amp;V 2004 to Now'!$A$1:$KA$234,$J73,'Q&amp;V Summary 2-years'!$W$1+1),
INDEX('FY Q&amp;V 2003-04 to Now'!$A$1:$KC$232,$J73,'Q&amp;V Summary 2-years'!$W$1+1))</f>
        <v>1471361564.6545691</v>
      </c>
      <c r="J73" s="472">
        <f>MATCH(A73,'CY Q&amp;V 2004 to Now'!$A$1:$A$95,0)</f>
        <v>79</v>
      </c>
      <c r="K73" s="386"/>
      <c r="L73" s="386"/>
    </row>
    <row r="74" spans="1:12">
      <c r="A74" s="477" t="s">
        <v>88</v>
      </c>
      <c r="B74" s="585"/>
      <c r="C74" s="1242"/>
      <c r="D74" s="685"/>
      <c r="E74" s="1242">
        <f>SUM(E69:E73)</f>
        <v>37120786264.124969</v>
      </c>
      <c r="F74" s="685"/>
      <c r="G74" s="1245"/>
      <c r="H74" s="685"/>
      <c r="I74" s="1247">
        <f>SUM(I69:I73)</f>
        <v>23473762983.790627</v>
      </c>
      <c r="J74" s="472"/>
      <c r="K74" s="386"/>
      <c r="L74" s="386"/>
    </row>
    <row r="75" spans="1:12">
      <c r="A75" s="626"/>
      <c r="B75" s="523"/>
      <c r="C75" s="1242"/>
      <c r="D75" s="685"/>
      <c r="E75" s="1242"/>
      <c r="F75" s="685"/>
      <c r="G75" s="1245"/>
      <c r="H75" s="685"/>
      <c r="I75" s="1247"/>
      <c r="J75" s="472"/>
      <c r="K75" s="386"/>
      <c r="L75" s="386"/>
    </row>
    <row r="76" spans="1:12">
      <c r="A76" s="556" t="s">
        <v>665</v>
      </c>
      <c r="B76" s="559" t="s">
        <v>160</v>
      </c>
      <c r="C76" s="1241">
        <f>IF($B$6="Calendar Year",
INDEX('CY Q&amp;V 2004 to Now'!$A$1:$KA$234,$J76,'Q&amp;V Summary 2-years'!$W$2),
INDEX('FY Q&amp;V 2003-04 to Now'!$A$1:$KC$232,$J76,'Q&amp;V Summary 2-years'!$W$2))</f>
        <v>22149362.239999998</v>
      </c>
      <c r="D76" s="690"/>
      <c r="E76" s="1241">
        <f>IF($B$6="Calendar Year",
INDEX('CY Q&amp;V 2004 to Now'!$A$1:$KA$234,$J76,'Q&amp;V Summary 2-years'!$W$2+1),
INDEX('FY Q&amp;V 2003-04 to Now'!$A$1:$KC$232,$J76,'Q&amp;V Summary 2-years'!$W$2+1))</f>
        <v>258918330</v>
      </c>
      <c r="F76" s="690"/>
      <c r="G76" s="1244">
        <f>IF($B$6="Calendar Year",
INDEX('CY Q&amp;V 2004 to Now'!$A$1:$KA$234,$J76,'Q&amp;V Summary 2-years'!$W$1),
INDEX('FY Q&amp;V 2003-04 to Now'!$A$1:$KC$232,$J76,'Q&amp;V Summary 2-years'!$W$1))</f>
        <v>27103719</v>
      </c>
      <c r="H76" s="690"/>
      <c r="I76" s="1249" t="str">
        <f>IF($B$6="Calendar Year",
INDEX('CY Q&amp;V 2004 to Now'!$A$1:$KA$234,$J76,'Q&amp;V Summary 2-years'!$W$1+1),
INDEX('FY Q&amp;V 2003-04 to Now'!$A$1:$KC$232,$J76,'Q&amp;V Summary 2-years'!$W$1+1))</f>
        <v>nfp</v>
      </c>
      <c r="J76" s="473">
        <f>MATCH(A76,'CY Q&amp;V 2004 to Now'!$A$1:$A$95,0)</f>
        <v>82</v>
      </c>
      <c r="K76" s="386"/>
      <c r="L76" s="386"/>
    </row>
    <row r="77" spans="1:12">
      <c r="A77" s="561"/>
      <c r="B77" s="559"/>
      <c r="C77" s="1241"/>
      <c r="D77" s="690"/>
      <c r="E77" s="1241"/>
      <c r="F77" s="690"/>
      <c r="G77" s="1244"/>
      <c r="H77" s="690"/>
      <c r="I77" s="1249"/>
      <c r="J77" s="473"/>
      <c r="K77" s="386"/>
      <c r="L77" s="386"/>
    </row>
    <row r="78" spans="1:12">
      <c r="A78" s="471" t="s">
        <v>274</v>
      </c>
      <c r="B78" s="523" t="s">
        <v>87</v>
      </c>
      <c r="C78" s="1242">
        <f>IF($B$6="Calendar Year",
INDEX('CY Q&amp;V 2004 to Now'!$A$1:$KA$234,$J78,'Q&amp;V Summary 2-years'!$W$2),
INDEX('FY Q&amp;V 2003-04 to Now'!$A$1:$KC$232,$J78,'Q&amp;V Summary 2-years'!$W$2))</f>
        <v>11266385.220000001</v>
      </c>
      <c r="D78" s="685"/>
      <c r="E78" s="1242">
        <f>IF($B$6="Calendar Year",
INDEX('CY Q&amp;V 2004 to Now'!$A$1:$KA$234,$J78,'Q&amp;V Summary 2-years'!$W$2+1),
INDEX('FY Q&amp;V 2003-04 to Now'!$A$1:$KC$232,$J78,'Q&amp;V Summary 2-years'!$W$2+1))</f>
        <v>375124666.85699999</v>
      </c>
      <c r="F78" s="687"/>
      <c r="G78" s="1245">
        <f>IF($B$6="Calendar Year",
INDEX('CY Q&amp;V 2004 to Now'!$A$1:$KA$234,$J78,'Q&amp;V Summary 2-years'!$W$1),
INDEX('FY Q&amp;V 2003-04 to Now'!$A$1:$KC$232,$J78,'Q&amp;V Summary 2-years'!$W$1))</f>
        <v>12498613.345000001</v>
      </c>
      <c r="H78" s="685"/>
      <c r="I78" s="1247">
        <f>IF($B$6="Calendar Year",
INDEX('CY Q&amp;V 2004 to Now'!$A$1:$KA$234,$J78,'Q&amp;V Summary 2-years'!$W$1+1),
INDEX('FY Q&amp;V 2003-04 to Now'!$A$1:$KC$232,$J78,'Q&amp;V Summary 2-years'!$W$1+1))</f>
        <v>553347569.93299997</v>
      </c>
      <c r="J78" s="472">
        <f>MATCH(A78,'CY Q&amp;V 2004 to Now'!$A$1:$A$95,0)</f>
        <v>84</v>
      </c>
      <c r="K78" s="386"/>
      <c r="L78" s="386"/>
    </row>
    <row r="79" spans="1:12">
      <c r="A79" s="471"/>
      <c r="B79" s="523"/>
      <c r="C79" s="1242"/>
      <c r="D79" s="685"/>
      <c r="E79" s="1242"/>
      <c r="F79" s="687"/>
      <c r="G79" s="1245"/>
      <c r="H79" s="685"/>
      <c r="I79" s="1247"/>
      <c r="J79" s="472"/>
      <c r="K79" s="386"/>
      <c r="L79" s="386"/>
    </row>
    <row r="80" spans="1:12">
      <c r="A80" s="556" t="s">
        <v>275</v>
      </c>
      <c r="B80" s="558" t="s">
        <v>87</v>
      </c>
      <c r="C80" s="1241">
        <f>IF($B$6="Calendar Year",
INDEX('CY Q&amp;V 2004 to Now'!$A$1:$KA$234,$J80,'Q&amp;V Summary 2-years'!$W$2),
INDEX('FY Q&amp;V 2003-04 to Now'!$A$1:$KC$232,$J80,'Q&amp;V Summary 2-years'!$W$2))</f>
        <v>991397.67800000007</v>
      </c>
      <c r="D80" s="690"/>
      <c r="E80" s="1241">
        <f>IF($B$6="Calendar Year",
INDEX('CY Q&amp;V 2004 to Now'!$A$1:$KA$234,$J80,'Q&amp;V Summary 2-years'!$W$2+1),
INDEX('FY Q&amp;V 2003-04 to Now'!$A$1:$KC$232,$J80,'Q&amp;V Summary 2-years'!$W$2+1))</f>
        <v>19661802</v>
      </c>
      <c r="F80" s="692"/>
      <c r="G80" s="1244">
        <f>IF($B$6="Calendar Year",
INDEX('CY Q&amp;V 2004 to Now'!$A$1:$KA$234,$J80,'Q&amp;V Summary 2-years'!$W$1),
INDEX('FY Q&amp;V 2003-04 to Now'!$A$1:$KC$232,$J80,'Q&amp;V Summary 2-years'!$W$1))</f>
        <v>849162.37399999984</v>
      </c>
      <c r="H80" s="690"/>
      <c r="I80" s="1249">
        <f>IF($B$6="Calendar Year",
INDEX('CY Q&amp;V 2004 to Now'!$A$1:$KA$234,$J80,'Q&amp;V Summary 2-years'!$W$1+1),
INDEX('FY Q&amp;V 2003-04 to Now'!$A$1:$KC$232,$J80,'Q&amp;V Summary 2-years'!$W$1+1))</f>
        <v>16825292</v>
      </c>
      <c r="J80" s="473">
        <f>MATCH(A80,'CY Q&amp;V 2004 to Now'!$A$1:$A$95,0)</f>
        <v>86</v>
      </c>
      <c r="K80" s="386"/>
      <c r="L80" s="386"/>
    </row>
    <row r="81" spans="1:27">
      <c r="A81" s="557"/>
      <c r="B81" s="558"/>
      <c r="C81" s="1241"/>
      <c r="D81" s="690"/>
      <c r="E81" s="1241"/>
      <c r="F81" s="692"/>
      <c r="G81" s="1244"/>
      <c r="H81" s="690"/>
      <c r="I81" s="1249"/>
      <c r="J81" s="473"/>
      <c r="K81" s="386"/>
      <c r="L81" s="386"/>
    </row>
    <row r="82" spans="1:27">
      <c r="A82" s="471" t="s">
        <v>278</v>
      </c>
      <c r="B82" s="523" t="s">
        <v>160</v>
      </c>
      <c r="C82" s="1242">
        <f>IF($B$6="Calendar Year",
INDEX('CY Q&amp;V 2004 to Now'!$A$1:$KA$234,$J82,'Q&amp;V Summary 2-years'!$W$2),
INDEX('FY Q&amp;V 2003-04 to Now'!$A$1:$KC$232,$J82,'Q&amp;V Summary 2-years'!$W$2))</f>
        <v>131665.15509771174</v>
      </c>
      <c r="D82" s="685"/>
      <c r="E82" s="1242">
        <f>IF($B$6="Calendar Year",
INDEX('CY Q&amp;V 2004 to Now'!$A$1:$KA$234,$J82,'Q&amp;V Summary 2-years'!$W$2+1),
INDEX('FY Q&amp;V 2003-04 to Now'!$A$1:$KC$232,$J82,'Q&amp;V Summary 2-years'!$W$2+1))</f>
        <v>109720500</v>
      </c>
      <c r="F82" s="687"/>
      <c r="G82" s="1245">
        <f>IF($B$6="Calendar Year",
INDEX('CY Q&amp;V 2004 to Now'!$A$1:$KA$234,$J82,'Q&amp;V Summary 2-years'!$W$1),
INDEX('FY Q&amp;V 2003-04 to Now'!$A$1:$KC$232,$J82,'Q&amp;V Summary 2-years'!$W$1))</f>
        <v>139814.30898860676</v>
      </c>
      <c r="H82" s="685"/>
      <c r="I82" s="1247">
        <f>IF($B$6="Calendar Year",
INDEX('CY Q&amp;V 2004 to Now'!$A$1:$KA$234,$J82,'Q&amp;V Summary 2-years'!$W$1+1),
INDEX('FY Q&amp;V 2003-04 to Now'!$A$1:$KC$232,$J82,'Q&amp;V Summary 2-years'!$W$1+1))</f>
        <v>153185939.65959999</v>
      </c>
      <c r="J82" s="472">
        <f>MATCH(A82,'CY Q&amp;V 2004 to Now'!$A$1:$A$95,0)</f>
        <v>88</v>
      </c>
      <c r="K82" s="386"/>
      <c r="L82" s="386"/>
    </row>
    <row r="83" spans="1:27">
      <c r="A83" s="471"/>
      <c r="B83" s="523"/>
      <c r="C83" s="1242"/>
      <c r="D83" s="685"/>
      <c r="E83" s="1242"/>
      <c r="F83" s="687"/>
      <c r="G83" s="1245"/>
      <c r="H83" s="685"/>
      <c r="I83" s="1247"/>
      <c r="J83" s="472"/>
      <c r="K83" s="386"/>
      <c r="L83" s="386"/>
    </row>
    <row r="84" spans="1:27">
      <c r="A84" s="556" t="s">
        <v>263</v>
      </c>
      <c r="B84" s="559"/>
      <c r="C84" s="690"/>
      <c r="D84" s="690"/>
      <c r="E84" s="1241">
        <f>IF($B$6="Calendar Year",
INDEX('CY Q&amp;V 2004 to Now'!$A$1:$KA$234,$J84,'Q&amp;V Summary 2-years'!$W$2+1),
INDEX('FY Q&amp;V 2003-04 to Now'!$A$1:$KC$232,$J84,'Q&amp;V Summary 2-years'!$W$2+1))</f>
        <v>19804008</v>
      </c>
      <c r="F84" s="692"/>
      <c r="G84" s="1244"/>
      <c r="H84" s="690"/>
      <c r="I84" s="1249">
        <f>IF($B$6="Calendar Year",
INDEX('CY Q&amp;V 2004 to Now'!$A$1:$KA$234,$J84,'Q&amp;V Summary 2-years'!$W$1+1),
INDEX('FY Q&amp;V 2003-04 to Now'!$A$1:$KC$232,$J84,'Q&amp;V Summary 2-years'!$W$1+1))</f>
        <v>656976626.39999998</v>
      </c>
      <c r="J84" s="473">
        <v>90</v>
      </c>
      <c r="K84" s="21"/>
    </row>
    <row r="85" spans="1:27">
      <c r="A85" s="556" t="s">
        <v>658</v>
      </c>
      <c r="B85" s="558"/>
      <c r="C85" s="690"/>
      <c r="D85" s="690"/>
      <c r="E85" s="1241"/>
      <c r="F85" s="692"/>
      <c r="G85" s="1244"/>
      <c r="H85" s="690"/>
      <c r="I85" s="1249"/>
      <c r="J85" s="473"/>
      <c r="K85" s="21"/>
    </row>
    <row r="86" spans="1:27">
      <c r="A86" s="556"/>
      <c r="B86" s="558"/>
      <c r="C86" s="690"/>
      <c r="D86" s="690"/>
      <c r="E86" s="1241"/>
      <c r="F86" s="692"/>
      <c r="G86" s="1244"/>
      <c r="H86" s="690"/>
      <c r="I86" s="1249"/>
      <c r="J86" s="627"/>
      <c r="K86" s="21"/>
    </row>
    <row r="87" spans="1:27">
      <c r="A87" s="478" t="s">
        <v>777</v>
      </c>
      <c r="B87" s="694"/>
      <c r="C87" s="1500"/>
      <c r="D87" s="1500"/>
      <c r="E87" s="1243">
        <f>E89-E74</f>
        <v>135763163618.17825</v>
      </c>
      <c r="F87" s="1501"/>
      <c r="G87" s="1246"/>
      <c r="H87" s="1500"/>
      <c r="I87" s="1502">
        <f>I89-I74</f>
        <v>186170993432.87018</v>
      </c>
      <c r="J87" s="627"/>
      <c r="K87" s="535"/>
    </row>
    <row r="88" spans="1:27" s="535" customFormat="1">
      <c r="A88" s="478"/>
      <c r="B88" s="694"/>
      <c r="C88" s="1500"/>
      <c r="D88" s="1500"/>
      <c r="E88" s="1243"/>
      <c r="F88" s="1501"/>
      <c r="G88" s="1246"/>
      <c r="H88" s="1500"/>
      <c r="I88" s="1502"/>
      <c r="J88" s="627"/>
      <c r="V88" s="326"/>
      <c r="W88" s="326"/>
      <c r="X88" s="326"/>
      <c r="Y88" s="326"/>
      <c r="Z88" s="326"/>
      <c r="AA88" s="326"/>
    </row>
    <row r="89" spans="1:27" ht="15.75" thickBot="1">
      <c r="A89" s="1503" t="s">
        <v>778</v>
      </c>
      <c r="B89" s="1504"/>
      <c r="C89" s="1505"/>
      <c r="D89" s="1505"/>
      <c r="E89" s="1506">
        <f>IF($B$6="Calendar Year",
INDEX('CY Q&amp;V 2004 to Now'!$A$1:$KA$234,$J89,'Q&amp;V Summary 2-years'!$W$2+1),
INDEX('FY Q&amp;V 2003-04 to Now'!$A$1:$KC$232,$J89,'Q&amp;V Summary 2-years'!$W$2+1))</f>
        <v>172883949882.30322</v>
      </c>
      <c r="F89" s="1507"/>
      <c r="G89" s="1508"/>
      <c r="H89" s="1505"/>
      <c r="I89" s="1509">
        <f>IF($B$6="Calendar Year",
INDEX('CY Q&amp;V 2004 to Now'!$A$1:$KA$234,$J89,'Q&amp;V Summary 2-years'!$W$1+1),
INDEX('FY Q&amp;V 2003-04 to Now'!$A$1:$KC$232,$J89,'Q&amp;V Summary 2-years'!$W$1+1))</f>
        <v>209644756416.6608</v>
      </c>
      <c r="J89" s="473">
        <v>95</v>
      </c>
      <c r="K89" s="21"/>
    </row>
    <row r="90" spans="1:27">
      <c r="A90" s="1957"/>
      <c r="B90" s="1957"/>
      <c r="C90" s="1957"/>
      <c r="D90" s="1957"/>
      <c r="E90" s="1957"/>
      <c r="F90" s="1957"/>
      <c r="G90" s="1957"/>
      <c r="H90" s="1957"/>
      <c r="I90" s="1957"/>
      <c r="J90" s="448"/>
      <c r="K90" s="21"/>
    </row>
    <row r="91" spans="1:27">
      <c r="A91" s="78"/>
      <c r="B91" s="83"/>
      <c r="C91" s="83"/>
      <c r="D91" s="83"/>
      <c r="E91" s="83"/>
      <c r="F91" s="79"/>
      <c r="G91" s="79"/>
      <c r="H91" s="79"/>
      <c r="I91" s="79"/>
      <c r="K91" s="21"/>
    </row>
    <row r="92" spans="1:27">
      <c r="B92" s="83"/>
      <c r="C92" s="83"/>
      <c r="D92" s="83"/>
      <c r="E92" s="83"/>
      <c r="F92" s="79"/>
      <c r="G92" s="79"/>
      <c r="H92" s="79"/>
      <c r="I92" s="79"/>
      <c r="K92" s="21"/>
    </row>
    <row r="93" spans="1:27">
      <c r="A93" s="75"/>
      <c r="B93" s="21"/>
      <c r="F93" s="21"/>
    </row>
    <row r="94" spans="1:27">
      <c r="A94" s="75"/>
      <c r="B94" s="80"/>
      <c r="F94" s="21"/>
      <c r="G94" s="451"/>
      <c r="I94" s="451"/>
    </row>
    <row r="95" spans="1:27">
      <c r="A95" s="75"/>
      <c r="B95" s="80"/>
      <c r="E95" s="107"/>
      <c r="F95" s="21"/>
      <c r="G95" s="388"/>
      <c r="J95" s="448"/>
    </row>
    <row r="96" spans="1:27">
      <c r="A96" s="75"/>
      <c r="B96" s="21"/>
      <c r="E96" s="388"/>
      <c r="F96" s="21"/>
      <c r="J96" s="448"/>
    </row>
    <row r="97" spans="7:10">
      <c r="G97" s="79"/>
      <c r="H97" s="79"/>
      <c r="I97" s="79"/>
      <c r="J97" s="448"/>
    </row>
    <row r="98" spans="7:10">
      <c r="G98" s="79"/>
      <c r="H98" s="79"/>
      <c r="I98" s="79"/>
      <c r="J98" s="452"/>
    </row>
    <row r="99" spans="7:10">
      <c r="G99" s="79"/>
      <c r="H99" s="79"/>
      <c r="I99" s="79"/>
      <c r="J99" s="117"/>
    </row>
    <row r="100" spans="7:10">
      <c r="G100" s="79"/>
      <c r="H100" s="80"/>
      <c r="I100" s="80"/>
      <c r="J100" s="452"/>
    </row>
    <row r="101" spans="7:10">
      <c r="G101" s="80"/>
      <c r="H101" s="80"/>
      <c r="I101" s="81"/>
      <c r="J101" s="452"/>
    </row>
    <row r="102" spans="7:10">
      <c r="G102" s="80"/>
      <c r="H102" s="80"/>
      <c r="I102" s="80"/>
    </row>
    <row r="103" spans="7:10">
      <c r="G103" s="80"/>
      <c r="H103" s="80"/>
      <c r="I103" s="80"/>
    </row>
    <row r="151" spans="14:17">
      <c r="N151" s="420" t="s">
        <v>80</v>
      </c>
      <c r="O151" s="420">
        <f>VLOOKUP(N151,$A$11:$I$117,5,FALSE)</f>
        <v>5401864390.327383</v>
      </c>
      <c r="P151" s="420"/>
      <c r="Q151" s="420">
        <f>VLOOKUP(N151,$A$11:$I$117,9,FALSE)</f>
        <v>4277981027.1622028</v>
      </c>
    </row>
    <row r="152" spans="14:17">
      <c r="N152" s="420" t="s">
        <v>124</v>
      </c>
      <c r="O152" s="420">
        <f>VLOOKUP(N152,$A$11:$I$117,5,FALSE)</f>
        <v>1773054729.5934143</v>
      </c>
      <c r="P152" s="420"/>
      <c r="Q152" s="420">
        <f>VLOOKUP(N152,$A$11:$I$117,9,FALSE)</f>
        <v>1471361564.6545691</v>
      </c>
    </row>
    <row r="153" spans="14:17">
      <c r="N153" s="655" t="s">
        <v>79</v>
      </c>
      <c r="O153" s="420">
        <f>VLOOKUP(N153,$A$11:$I$117,5,FALSE)</f>
        <v>2680648959.5435796</v>
      </c>
      <c r="P153" s="420"/>
      <c r="Q153" s="420">
        <f>VLOOKUP(N153,$A$11:$I$117,9,FALSE)</f>
        <v>1716421257.373775</v>
      </c>
    </row>
    <row r="154" spans="14:17">
      <c r="N154" s="655" t="s">
        <v>304</v>
      </c>
      <c r="O154" s="420">
        <f>VLOOKUP(N154,$A$11:$I$117,5,FALSE)</f>
        <v>217253672.36001399</v>
      </c>
      <c r="P154" s="420"/>
      <c r="Q154" s="420">
        <f>VLOOKUP(N154,$A$11:$I$117,9,FALSE)</f>
        <v>227504064.84030467</v>
      </c>
    </row>
  </sheetData>
  <mergeCells count="6">
    <mergeCell ref="B6:F6"/>
    <mergeCell ref="A90:I90"/>
    <mergeCell ref="O12:P12"/>
    <mergeCell ref="Q12:R12"/>
    <mergeCell ref="G8:I8"/>
    <mergeCell ref="C8:E8"/>
  </mergeCells>
  <dataValidations count="1">
    <dataValidation type="list" allowBlank="1" showInputMessage="1" showErrorMessage="1" promptTitle="Select a Period:" prompt="Select Financial or Calendar years." sqref="B6:F6">
      <formula1>$B$2:$B$3</formula1>
    </dataValidation>
  </dataValidations>
  <pageMargins left="0.74803149606299213" right="0.35433070866141736" top="0.31496062992125984" bottom="0.27559055118110237" header="0.51181102362204722" footer="0.55118110236220474"/>
  <pageSetup paperSize="9" scale="70" orientation="portrait" horizontalDpi="4294967292" verticalDpi="300" r:id="rId1"/>
  <headerFooter alignWithMargins="0"/>
  <ignoredErrors>
    <ignoredError sqref="E47 I47 Q17 O17 P21 P25 R25" 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RU835"/>
  <sheetViews>
    <sheetView showGridLines="0" zoomScaleNormal="100" workbookViewId="0">
      <pane xSplit="2" ySplit="8" topLeftCell="C9" activePane="bottomRight" state="frozenSplit"/>
      <selection activeCell="N6" sqref="N6"/>
      <selection pane="topRight" activeCell="N6" sqref="N6"/>
      <selection pane="bottomLeft" activeCell="N6" sqref="N6"/>
      <selection pane="bottomRight"/>
    </sheetView>
  </sheetViews>
  <sheetFormatPr defaultColWidth="9.140625" defaultRowHeight="15"/>
  <cols>
    <col min="1" max="1" width="64.7109375" style="136" bestFit="1" customWidth="1"/>
    <col min="2" max="2" width="6.85546875" style="136" customWidth="1"/>
    <col min="3" max="3" width="21.7109375" style="234" bestFit="1" customWidth="1"/>
    <col min="4" max="4" width="20.42578125" style="234" bestFit="1" customWidth="1"/>
    <col min="5" max="5" width="14.85546875" style="136" bestFit="1" customWidth="1"/>
    <col min="6" max="6" width="12.7109375" style="136" bestFit="1" customWidth="1"/>
    <col min="7" max="7" width="14.85546875" style="136" bestFit="1" customWidth="1"/>
    <col min="8" max="8" width="12.7109375" style="136" bestFit="1" customWidth="1"/>
    <col min="9" max="9" width="14.85546875" style="136" bestFit="1" customWidth="1"/>
    <col min="10" max="10" width="12.7109375" style="136" bestFit="1" customWidth="1"/>
    <col min="11" max="11" width="14.85546875" style="136" bestFit="1" customWidth="1"/>
    <col min="12" max="12" width="12.7109375" style="136" bestFit="1" customWidth="1"/>
    <col min="13" max="13" width="14.85546875" style="136" bestFit="1" customWidth="1"/>
    <col min="14" max="14" width="12.7109375" style="136" bestFit="1" customWidth="1"/>
    <col min="15" max="15" width="14.85546875" style="136" bestFit="1" customWidth="1"/>
    <col min="16" max="16" width="12.7109375" style="136" bestFit="1" customWidth="1"/>
    <col min="17" max="17" width="14.85546875" style="136" bestFit="1" customWidth="1"/>
    <col min="18" max="18" width="12.7109375" style="136" bestFit="1" customWidth="1"/>
    <col min="19" max="19" width="14.85546875" style="136" bestFit="1" customWidth="1"/>
    <col min="20" max="20" width="12.7109375" style="136" bestFit="1" customWidth="1"/>
    <col min="21" max="21" width="14.85546875" style="136" bestFit="1" customWidth="1"/>
    <col min="22" max="22" width="12.7109375" style="136" bestFit="1" customWidth="1"/>
    <col min="23" max="23" width="14.85546875" style="136" bestFit="1" customWidth="1"/>
    <col min="24" max="24" width="12.7109375" style="136" bestFit="1" customWidth="1"/>
    <col min="25" max="25" width="14.85546875" style="136" bestFit="1" customWidth="1"/>
    <col min="26" max="26" width="13.85546875" style="136" bestFit="1" customWidth="1"/>
    <col min="27" max="27" width="14.85546875" style="136" bestFit="1" customWidth="1"/>
    <col min="28" max="28" width="13.85546875" style="136" bestFit="1" customWidth="1"/>
    <col min="29" max="29" width="14.85546875" style="136" bestFit="1" customWidth="1"/>
    <col min="30" max="30" width="13.85546875" style="136" bestFit="1" customWidth="1"/>
    <col min="31" max="31" width="14.85546875" style="235" bestFit="1" customWidth="1"/>
    <col min="32" max="32" width="13.85546875" style="235" bestFit="1" customWidth="1"/>
    <col min="33" max="33" width="14.85546875" style="136" bestFit="1" customWidth="1"/>
    <col min="34" max="34" width="13.85546875" style="136" bestFit="1" customWidth="1"/>
    <col min="35" max="35" width="14.85546875" style="136" bestFit="1" customWidth="1"/>
    <col min="36" max="36" width="13.85546875" style="136" bestFit="1" customWidth="1"/>
    <col min="37" max="37" width="14.85546875" style="138" bestFit="1" customWidth="1"/>
    <col min="38" max="38" width="13.85546875" style="138" bestFit="1" customWidth="1"/>
    <col min="39" max="39" width="14.85546875" style="136" bestFit="1" customWidth="1"/>
    <col min="40" max="40" width="13.85546875" style="136" bestFit="1" customWidth="1"/>
    <col min="41" max="41" width="14.85546875" style="229" bestFit="1" customWidth="1"/>
    <col min="42" max="42" width="13.85546875" style="229" bestFit="1" customWidth="1"/>
    <col min="43" max="43" width="14.85546875" style="136" bestFit="1" customWidth="1"/>
    <col min="44" max="44" width="13.85546875" style="136" bestFit="1" customWidth="1"/>
    <col min="45" max="45" width="14.85546875" style="136" bestFit="1" customWidth="1"/>
    <col min="46" max="46" width="13.85546875" style="136" bestFit="1" customWidth="1"/>
    <col min="47" max="47" width="14.85546875" style="136" bestFit="1" customWidth="1"/>
    <col min="48" max="48" width="13.85546875" style="136" bestFit="1" customWidth="1"/>
    <col min="49" max="49" width="14.85546875" style="136" bestFit="1" customWidth="1"/>
    <col min="50" max="50" width="13.85546875" style="136" bestFit="1" customWidth="1"/>
    <col min="51" max="51" width="14.85546875" style="236" bestFit="1" customWidth="1"/>
    <col min="52" max="52" width="13.85546875" style="236" bestFit="1" customWidth="1"/>
    <col min="53" max="53" width="3" style="136" hidden="1" customWidth="1"/>
    <col min="54" max="54" width="11.140625" style="136" hidden="1" customWidth="1"/>
    <col min="55" max="55" width="3.140625" style="136" hidden="1" customWidth="1"/>
    <col min="56" max="56" width="13.85546875" style="136" hidden="1" customWidth="1"/>
    <col min="57" max="57" width="3.140625" style="136" hidden="1" customWidth="1"/>
    <col min="58" max="58" width="11.140625" style="136" hidden="1" customWidth="1"/>
    <col min="59" max="59" width="3.140625" style="136" hidden="1" customWidth="1"/>
    <col min="60" max="60" width="13.85546875" style="136" hidden="1" customWidth="1"/>
    <col min="61" max="61" width="3.140625" style="136" hidden="1" customWidth="1"/>
    <col min="62" max="62" width="19.5703125" style="136" bestFit="1" customWidth="1"/>
    <col min="63" max="63" width="18.42578125" style="136" bestFit="1" customWidth="1"/>
    <col min="64" max="64" width="16.7109375" style="136" bestFit="1" customWidth="1"/>
    <col min="65" max="65" width="12" style="172" bestFit="1" customWidth="1"/>
    <col min="66" max="66" width="4" style="172" customWidth="1"/>
    <col min="67" max="67" width="13.85546875" style="172" bestFit="1" customWidth="1"/>
    <col min="68" max="166" width="9.140625" style="172"/>
    <col min="167" max="167" width="11.140625" style="172" bestFit="1" customWidth="1"/>
    <col min="168" max="16384" width="9.140625" style="172"/>
  </cols>
  <sheetData>
    <row r="1" spans="1:1165" ht="18" customHeight="1">
      <c r="BL1" s="172"/>
    </row>
    <row r="2" spans="1:1165" ht="18" customHeight="1">
      <c r="W2" s="238"/>
      <c r="BL2" s="172"/>
    </row>
    <row r="3" spans="1:1165" ht="18" customHeight="1">
      <c r="W3" s="238"/>
      <c r="AS3" s="237"/>
      <c r="BL3" s="172"/>
    </row>
    <row r="4" spans="1:1165" ht="18" customHeight="1">
      <c r="O4" s="239"/>
      <c r="BL4" s="172"/>
    </row>
    <row r="5" spans="1:1165" ht="12.75" customHeight="1">
      <c r="A5" s="436" t="s">
        <v>740</v>
      </c>
      <c r="B5" s="172"/>
      <c r="C5" s="240"/>
      <c r="D5" s="240"/>
      <c r="E5" s="172"/>
      <c r="F5" s="172"/>
      <c r="G5" s="172"/>
      <c r="H5" s="172"/>
      <c r="I5" s="172"/>
      <c r="J5" s="172"/>
      <c r="K5" s="172"/>
      <c r="L5" s="172"/>
      <c r="M5" s="172"/>
      <c r="N5" s="172"/>
      <c r="O5" s="241"/>
      <c r="P5" s="172"/>
      <c r="Q5" s="172"/>
      <c r="R5" s="172"/>
      <c r="S5" s="172"/>
      <c r="T5" s="172"/>
      <c r="U5" s="172"/>
      <c r="V5" s="172"/>
      <c r="W5" s="172"/>
      <c r="X5" s="172"/>
      <c r="Y5" s="172"/>
      <c r="Z5" s="172"/>
      <c r="AA5" s="172"/>
      <c r="AB5" s="172"/>
      <c r="AC5" s="172"/>
      <c r="AD5" s="172"/>
      <c r="AE5" s="242"/>
      <c r="AF5" s="242"/>
      <c r="AG5" s="172"/>
      <c r="AH5" s="172"/>
      <c r="AI5" s="172"/>
      <c r="AJ5" s="172"/>
      <c r="AK5" s="139"/>
      <c r="AL5" s="139"/>
      <c r="AM5" s="172"/>
      <c r="AN5" s="172"/>
      <c r="AO5" s="231"/>
      <c r="AP5" s="231"/>
      <c r="AS5" s="172"/>
      <c r="AT5" s="172"/>
      <c r="AU5" s="172"/>
      <c r="AV5" s="172"/>
      <c r="AW5" s="172"/>
      <c r="AX5" s="172"/>
      <c r="AY5" s="243"/>
      <c r="AZ5" s="243"/>
      <c r="BA5" s="172"/>
      <c r="BB5" s="172"/>
      <c r="BC5" s="172"/>
      <c r="BD5" s="172"/>
      <c r="BE5" s="172"/>
      <c r="BF5" s="172"/>
      <c r="BG5" s="172"/>
      <c r="BH5" s="172"/>
      <c r="BI5" s="172"/>
      <c r="BL5" s="172"/>
    </row>
    <row r="6" spans="1:1165" ht="9.75" customHeight="1">
      <c r="A6" s="172"/>
      <c r="B6" s="172"/>
      <c r="C6" s="240"/>
      <c r="D6" s="240"/>
      <c r="E6" s="172"/>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242"/>
      <c r="AF6" s="242"/>
      <c r="AG6" s="172"/>
      <c r="AH6" s="172"/>
      <c r="AI6" s="172"/>
      <c r="AJ6" s="172"/>
      <c r="AK6" s="139"/>
      <c r="AL6" s="139"/>
      <c r="AM6" s="172"/>
      <c r="AN6" s="172"/>
      <c r="AO6" s="231"/>
      <c r="AP6" s="231"/>
      <c r="AS6" s="172"/>
      <c r="AT6" s="172"/>
      <c r="AU6" s="172"/>
      <c r="AV6" s="172"/>
      <c r="AW6" s="172"/>
      <c r="AX6" s="172"/>
      <c r="AY6" s="243"/>
      <c r="AZ6" s="243"/>
      <c r="BA6" s="172"/>
      <c r="BB6" s="172"/>
      <c r="BC6" s="172"/>
      <c r="BD6" s="172"/>
      <c r="BE6" s="172"/>
      <c r="BF6" s="172"/>
      <c r="BG6" s="172"/>
      <c r="BH6" s="172"/>
      <c r="BI6" s="172"/>
      <c r="BL6" s="172"/>
    </row>
    <row r="7" spans="1:1165">
      <c r="A7" s="215"/>
      <c r="B7" s="215"/>
      <c r="C7" s="1964" t="s">
        <v>153</v>
      </c>
      <c r="D7" s="1964"/>
      <c r="E7" s="1965">
        <v>1980</v>
      </c>
      <c r="F7" s="1965"/>
      <c r="G7" s="1963">
        <v>1981</v>
      </c>
      <c r="H7" s="1963"/>
      <c r="I7" s="1963">
        <v>1982</v>
      </c>
      <c r="J7" s="1963"/>
      <c r="K7" s="1963">
        <v>1983</v>
      </c>
      <c r="L7" s="1963"/>
      <c r="M7" s="1963">
        <v>1984</v>
      </c>
      <c r="N7" s="1963"/>
      <c r="O7" s="1963">
        <v>1985</v>
      </c>
      <c r="P7" s="1963"/>
      <c r="Q7" s="1963">
        <v>1986</v>
      </c>
      <c r="R7" s="1963"/>
      <c r="S7" s="1963">
        <v>1987</v>
      </c>
      <c r="T7" s="1963"/>
      <c r="U7" s="1963">
        <v>1988</v>
      </c>
      <c r="V7" s="1963"/>
      <c r="W7" s="1963">
        <v>1989</v>
      </c>
      <c r="X7" s="1963"/>
      <c r="Y7" s="1963">
        <v>1990</v>
      </c>
      <c r="Z7" s="1963"/>
      <c r="AA7" s="1963">
        <v>1991</v>
      </c>
      <c r="AB7" s="1963"/>
      <c r="AC7" s="1963">
        <v>1992</v>
      </c>
      <c r="AD7" s="1963"/>
      <c r="AE7" s="1963">
        <v>1993</v>
      </c>
      <c r="AF7" s="1963"/>
      <c r="AG7" s="1965">
        <v>1994</v>
      </c>
      <c r="AH7" s="1965"/>
      <c r="AI7" s="1965">
        <v>1995</v>
      </c>
      <c r="AJ7" s="1965"/>
      <c r="AK7" s="1965">
        <v>1996</v>
      </c>
      <c r="AL7" s="1965"/>
      <c r="AM7" s="1965">
        <v>1997</v>
      </c>
      <c r="AN7" s="1965"/>
      <c r="AO7" s="1963">
        <v>1998</v>
      </c>
      <c r="AP7" s="1963"/>
      <c r="AQ7" s="1155">
        <v>1999</v>
      </c>
      <c r="AR7" s="213"/>
      <c r="AS7" s="1967">
        <v>2000</v>
      </c>
      <c r="AT7" s="1967"/>
      <c r="AU7" s="1967">
        <v>2001</v>
      </c>
      <c r="AV7" s="1967"/>
      <c r="AW7" s="1967">
        <v>2002</v>
      </c>
      <c r="AX7" s="1967"/>
      <c r="AY7" s="1967">
        <v>2003</v>
      </c>
      <c r="AZ7" s="1967"/>
      <c r="BA7" s="257"/>
      <c r="BB7" s="1967"/>
      <c r="BC7" s="1967"/>
      <c r="BD7" s="1967"/>
      <c r="BE7" s="1182"/>
      <c r="BF7" s="1967"/>
      <c r="BG7" s="1967"/>
      <c r="BH7" s="1967"/>
      <c r="BI7" s="257"/>
      <c r="BJ7" s="1966" t="s">
        <v>92</v>
      </c>
      <c r="BK7" s="1966"/>
      <c r="BL7" s="172"/>
    </row>
    <row r="8" spans="1:1165">
      <c r="A8" s="192" t="s">
        <v>154</v>
      </c>
      <c r="B8" s="1155" t="s">
        <v>155</v>
      </c>
      <c r="C8" s="1183" t="str">
        <f>CONCATENATE(C7, " Quantity")</f>
        <v>1886 to 1980 Quantity</v>
      </c>
      <c r="D8" s="1184" t="str">
        <f>CONCATENATE(C7, " Value $")</f>
        <v>1886 to 1980 Value $</v>
      </c>
      <c r="E8" s="1183" t="str">
        <f t="shared" ref="E8" si="0">CONCATENATE(E7, " Quantity")</f>
        <v>1980 Quantity</v>
      </c>
      <c r="F8" s="1184" t="str">
        <f t="shared" ref="F8" si="1">CONCATENATE(E7, " Value $")</f>
        <v>1980 Value $</v>
      </c>
      <c r="G8" s="1183" t="str">
        <f t="shared" ref="G8" si="2">CONCATENATE(G7, " Quantity")</f>
        <v>1981 Quantity</v>
      </c>
      <c r="H8" s="1184" t="str">
        <f t="shared" ref="H8" si="3">CONCATENATE(G7, " Value $")</f>
        <v>1981 Value $</v>
      </c>
      <c r="I8" s="1183" t="str">
        <f t="shared" ref="I8" si="4">CONCATENATE(I7, " Quantity")</f>
        <v>1982 Quantity</v>
      </c>
      <c r="J8" s="1184" t="str">
        <f t="shared" ref="J8" si="5">CONCATENATE(I7, " Value $")</f>
        <v>1982 Value $</v>
      </c>
      <c r="K8" s="1183" t="str">
        <f t="shared" ref="K8" si="6">CONCATENATE(K7, " Quantity")</f>
        <v>1983 Quantity</v>
      </c>
      <c r="L8" s="1184" t="str">
        <f t="shared" ref="L8" si="7">CONCATENATE(K7, " Value $")</f>
        <v>1983 Value $</v>
      </c>
      <c r="M8" s="1183" t="str">
        <f t="shared" ref="M8" si="8">CONCATENATE(M7, " Quantity")</f>
        <v>1984 Quantity</v>
      </c>
      <c r="N8" s="1184" t="str">
        <f t="shared" ref="N8" si="9">CONCATENATE(M7, " Value $")</f>
        <v>1984 Value $</v>
      </c>
      <c r="O8" s="1183" t="str">
        <f t="shared" ref="O8" si="10">CONCATENATE(O7, " Quantity")</f>
        <v>1985 Quantity</v>
      </c>
      <c r="P8" s="1184" t="str">
        <f t="shared" ref="P8" si="11">CONCATENATE(O7, " Value $")</f>
        <v>1985 Value $</v>
      </c>
      <c r="Q8" s="1183" t="str">
        <f t="shared" ref="Q8" si="12">CONCATENATE(Q7, " Quantity")</f>
        <v>1986 Quantity</v>
      </c>
      <c r="R8" s="1184" t="str">
        <f t="shared" ref="R8" si="13">CONCATENATE(Q7, " Value $")</f>
        <v>1986 Value $</v>
      </c>
      <c r="S8" s="1183" t="str">
        <f t="shared" ref="S8" si="14">CONCATENATE(S7, " Quantity")</f>
        <v>1987 Quantity</v>
      </c>
      <c r="T8" s="1184" t="str">
        <f t="shared" ref="T8" si="15">CONCATENATE(S7, " Value $")</f>
        <v>1987 Value $</v>
      </c>
      <c r="U8" s="1183" t="str">
        <f t="shared" ref="U8" si="16">CONCATENATE(U7, " Quantity")</f>
        <v>1988 Quantity</v>
      </c>
      <c r="V8" s="1184" t="str">
        <f t="shared" ref="V8" si="17">CONCATENATE(U7, " Value $")</f>
        <v>1988 Value $</v>
      </c>
      <c r="W8" s="1183" t="str">
        <f t="shared" ref="W8" si="18">CONCATENATE(W7, " Quantity")</f>
        <v>1989 Quantity</v>
      </c>
      <c r="X8" s="1184" t="str">
        <f t="shared" ref="X8" si="19">CONCATENATE(W7, " Value $")</f>
        <v>1989 Value $</v>
      </c>
      <c r="Y8" s="1183" t="str">
        <f t="shared" ref="Y8" si="20">CONCATENATE(Y7, " Quantity")</f>
        <v>1990 Quantity</v>
      </c>
      <c r="Z8" s="1184" t="str">
        <f t="shared" ref="Z8" si="21">CONCATENATE(Y7, " Value $")</f>
        <v>1990 Value $</v>
      </c>
      <c r="AA8" s="1183" t="str">
        <f t="shared" ref="AA8" si="22">CONCATENATE(AA7, " Quantity")</f>
        <v>1991 Quantity</v>
      </c>
      <c r="AB8" s="1184" t="str">
        <f t="shared" ref="AB8" si="23">CONCATENATE(AA7, " Value $")</f>
        <v>1991 Value $</v>
      </c>
      <c r="AC8" s="1183" t="str">
        <f t="shared" ref="AC8" si="24">CONCATENATE(AC7, " Quantity")</f>
        <v>1992 Quantity</v>
      </c>
      <c r="AD8" s="1184" t="str">
        <f t="shared" ref="AD8" si="25">CONCATENATE(AC7, " Value $")</f>
        <v>1992 Value $</v>
      </c>
      <c r="AE8" s="1183" t="str">
        <f t="shared" ref="AE8" si="26">CONCATENATE(AE7, " Quantity")</f>
        <v>1993 Quantity</v>
      </c>
      <c r="AF8" s="1184" t="str">
        <f t="shared" ref="AF8" si="27">CONCATENATE(AE7, " Value $")</f>
        <v>1993 Value $</v>
      </c>
      <c r="AG8" s="1183" t="str">
        <f t="shared" ref="AG8" si="28">CONCATENATE(AG7, " Quantity")</f>
        <v>1994 Quantity</v>
      </c>
      <c r="AH8" s="1184" t="str">
        <f t="shared" ref="AH8" si="29">CONCATENATE(AG7, " Value $")</f>
        <v>1994 Value $</v>
      </c>
      <c r="AI8" s="1183" t="str">
        <f t="shared" ref="AI8" si="30">CONCATENATE(AI7, " Quantity")</f>
        <v>1995 Quantity</v>
      </c>
      <c r="AJ8" s="1184" t="str">
        <f t="shared" ref="AJ8" si="31">CONCATENATE(AI7, " Value $")</f>
        <v>1995 Value $</v>
      </c>
      <c r="AK8" s="1183" t="str">
        <f t="shared" ref="AK8" si="32">CONCATENATE(AK7, " Quantity")</f>
        <v>1996 Quantity</v>
      </c>
      <c r="AL8" s="1184" t="str">
        <f t="shared" ref="AL8" si="33">CONCATENATE(AK7, " Value $")</f>
        <v>1996 Value $</v>
      </c>
      <c r="AM8" s="1183" t="str">
        <f t="shared" ref="AM8" si="34">CONCATENATE(AM7, " Quantity")</f>
        <v>1997 Quantity</v>
      </c>
      <c r="AN8" s="1184" t="str">
        <f t="shared" ref="AN8" si="35">CONCATENATE(AM7, " Value $")</f>
        <v>1997 Value $</v>
      </c>
      <c r="AO8" s="1183" t="str">
        <f t="shared" ref="AO8" si="36">CONCATENATE(AO7, " Quantity")</f>
        <v>1998 Quantity</v>
      </c>
      <c r="AP8" s="1184" t="str">
        <f t="shared" ref="AP8" si="37">CONCATENATE(AO7, " Value $")</f>
        <v>1998 Value $</v>
      </c>
      <c r="AQ8" s="1183" t="str">
        <f t="shared" ref="AQ8" si="38">CONCATENATE(AQ7, " Quantity")</f>
        <v>1999 Quantity</v>
      </c>
      <c r="AR8" s="1184" t="str">
        <f t="shared" ref="AR8" si="39">CONCATENATE(AQ7, " Value $")</f>
        <v>1999 Value $</v>
      </c>
      <c r="AS8" s="1183" t="str">
        <f t="shared" ref="AS8" si="40">CONCATENATE(AS7, " Quantity")</f>
        <v>2000 Quantity</v>
      </c>
      <c r="AT8" s="1184" t="str">
        <f t="shared" ref="AT8" si="41">CONCATENATE(AS7, " Value $")</f>
        <v>2000 Value $</v>
      </c>
      <c r="AU8" s="1183" t="str">
        <f t="shared" ref="AU8" si="42">CONCATENATE(AU7, " Quantity")</f>
        <v>2001 Quantity</v>
      </c>
      <c r="AV8" s="1184" t="str">
        <f t="shared" ref="AV8" si="43">CONCATENATE(AU7, " Value $")</f>
        <v>2001 Value $</v>
      </c>
      <c r="AW8" s="1183" t="str">
        <f t="shared" ref="AW8" si="44">CONCATENATE(AW7, " Quantity")</f>
        <v>2002 Quantity</v>
      </c>
      <c r="AX8" s="1184" t="str">
        <f t="shared" ref="AX8" si="45">CONCATENATE(AW7, " Value $")</f>
        <v>2002 Value $</v>
      </c>
      <c r="AY8" s="1183" t="str">
        <f t="shared" ref="AY8" si="46">CONCATENATE(AY7, " Quantity")</f>
        <v>2003 Quantity</v>
      </c>
      <c r="AZ8" s="1184" t="str">
        <f t="shared" ref="AZ8" si="47">CONCATENATE(AY7, " Value $")</f>
        <v>2003 Value $</v>
      </c>
      <c r="BA8" s="221"/>
      <c r="BB8" s="1182"/>
      <c r="BC8" s="213"/>
      <c r="BD8" s="1155"/>
      <c r="BE8" s="221"/>
      <c r="BF8" s="1182"/>
      <c r="BG8" s="213"/>
      <c r="BH8" s="1155"/>
      <c r="BI8" s="221"/>
      <c r="BJ8" s="1182" t="s">
        <v>735</v>
      </c>
      <c r="BK8" s="1155" t="s">
        <v>734</v>
      </c>
      <c r="BL8" s="172"/>
    </row>
    <row r="9" spans="1:1165">
      <c r="A9" s="1155"/>
      <c r="B9" s="1155"/>
      <c r="C9" s="1184"/>
      <c r="D9" s="1184"/>
      <c r="E9" s="1155"/>
      <c r="F9" s="1155"/>
      <c r="G9" s="251"/>
      <c r="H9" s="251"/>
      <c r="I9" s="286"/>
      <c r="J9" s="286"/>
      <c r="K9" s="286"/>
      <c r="L9" s="286"/>
      <c r="M9" s="251"/>
      <c r="N9" s="251"/>
      <c r="O9" s="251"/>
      <c r="P9" s="251"/>
      <c r="Q9" s="251"/>
      <c r="R9" s="251"/>
      <c r="S9" s="251"/>
      <c r="T9" s="251"/>
      <c r="U9" s="251"/>
      <c r="V9" s="251"/>
      <c r="W9" s="251"/>
      <c r="X9" s="251"/>
      <c r="Y9" s="251"/>
      <c r="Z9" s="251"/>
      <c r="AA9" s="251"/>
      <c r="AB9" s="251"/>
      <c r="AC9" s="251"/>
      <c r="AD9" s="251"/>
      <c r="AE9" s="286"/>
      <c r="AF9" s="286"/>
      <c r="AG9" s="251"/>
      <c r="AH9" s="251"/>
      <c r="AI9" s="251"/>
      <c r="AJ9" s="251"/>
      <c r="AK9" s="251"/>
      <c r="AL9" s="251"/>
      <c r="AM9" s="251"/>
      <c r="AN9" s="251"/>
      <c r="AO9" s="251"/>
      <c r="AP9" s="251"/>
      <c r="AQ9" s="288"/>
      <c r="AR9" s="252"/>
      <c r="AS9" s="251"/>
      <c r="AT9" s="251"/>
      <c r="AU9" s="251"/>
      <c r="AV9" s="251"/>
      <c r="AW9" s="252"/>
      <c r="AX9" s="252"/>
      <c r="AY9" s="255"/>
      <c r="AZ9" s="255"/>
      <c r="BA9" s="254"/>
      <c r="BB9" s="256"/>
      <c r="BC9" s="256"/>
      <c r="BD9" s="256"/>
      <c r="BE9" s="256"/>
      <c r="BF9" s="256"/>
      <c r="BG9" s="256"/>
      <c r="BH9" s="256"/>
      <c r="BI9" s="254"/>
      <c r="BJ9" s="291"/>
      <c r="BK9" s="291"/>
      <c r="BL9" s="172"/>
      <c r="BM9" s="231"/>
      <c r="BN9" s="231"/>
      <c r="BO9" s="231"/>
      <c r="BP9" s="231"/>
    </row>
    <row r="10" spans="1:1165" s="257" customFormat="1">
      <c r="A10" s="194" t="s">
        <v>157</v>
      </c>
      <c r="B10" s="195"/>
      <c r="C10" s="250"/>
      <c r="D10" s="250"/>
      <c r="E10" s="195"/>
      <c r="F10" s="195"/>
      <c r="G10" s="198"/>
      <c r="H10" s="198"/>
      <c r="I10" s="198"/>
      <c r="J10" s="198"/>
      <c r="K10" s="198"/>
      <c r="L10" s="198"/>
      <c r="M10" s="198"/>
      <c r="N10" s="198"/>
      <c r="O10" s="198"/>
      <c r="P10" s="198"/>
      <c r="Q10" s="198"/>
      <c r="R10" s="198"/>
      <c r="S10" s="198"/>
      <c r="T10" s="198"/>
      <c r="U10" s="227"/>
      <c r="V10" s="227"/>
      <c r="W10" s="227"/>
      <c r="X10" s="227"/>
      <c r="Y10" s="227"/>
      <c r="Z10" s="227"/>
      <c r="AA10" s="227"/>
      <c r="AB10" s="227"/>
      <c r="AC10" s="227"/>
      <c r="AD10" s="227"/>
      <c r="AE10" s="198"/>
      <c r="AF10" s="198"/>
      <c r="AG10" s="227"/>
      <c r="AH10" s="227"/>
      <c r="AI10" s="227"/>
      <c r="AJ10" s="227"/>
      <c r="AK10" s="227"/>
      <c r="AL10" s="227"/>
      <c r="AM10" s="251"/>
      <c r="AN10" s="251"/>
      <c r="AO10" s="251"/>
      <c r="AP10" s="251"/>
      <c r="AQ10" s="196"/>
      <c r="AR10" s="252"/>
      <c r="AS10" s="253"/>
      <c r="AT10" s="251"/>
      <c r="AU10" s="253"/>
      <c r="AV10" s="251"/>
      <c r="AW10" s="254"/>
      <c r="AX10" s="254"/>
      <c r="AY10" s="255"/>
      <c r="AZ10" s="255"/>
      <c r="BA10" s="254"/>
      <c r="BB10" s="256"/>
      <c r="BC10" s="256"/>
      <c r="BD10" s="256"/>
      <c r="BE10" s="256"/>
      <c r="BF10" s="256"/>
      <c r="BG10" s="256"/>
      <c r="BH10" s="256"/>
      <c r="BI10" s="254"/>
      <c r="BJ10" s="256"/>
      <c r="BK10" s="256"/>
      <c r="BL10" s="172"/>
      <c r="BM10" s="172"/>
      <c r="BN10" s="172"/>
      <c r="BO10" s="172"/>
      <c r="BP10" s="231"/>
      <c r="BQ10" s="172"/>
      <c r="BR10" s="172"/>
      <c r="BS10" s="172"/>
      <c r="BT10" s="172"/>
      <c r="BU10" s="172"/>
      <c r="BV10" s="172"/>
      <c r="BW10" s="172"/>
      <c r="BX10" s="172"/>
      <c r="BY10" s="172"/>
      <c r="BZ10" s="172"/>
      <c r="CA10" s="172"/>
      <c r="CB10" s="172"/>
      <c r="CC10" s="172"/>
      <c r="CD10" s="172"/>
      <c r="CE10" s="172"/>
      <c r="CF10" s="172"/>
      <c r="CG10" s="172"/>
      <c r="CH10" s="172"/>
      <c r="CI10" s="172"/>
      <c r="CJ10" s="172"/>
      <c r="CK10" s="172"/>
      <c r="CL10" s="172"/>
      <c r="CM10" s="172"/>
      <c r="CN10" s="172"/>
      <c r="CO10" s="172"/>
      <c r="CP10" s="172"/>
      <c r="CQ10" s="172"/>
      <c r="CR10" s="172"/>
      <c r="CS10" s="172"/>
      <c r="CT10" s="172"/>
      <c r="CU10" s="172"/>
      <c r="CV10" s="172"/>
      <c r="CW10" s="172"/>
      <c r="CX10" s="172"/>
      <c r="CY10" s="172"/>
      <c r="CZ10" s="172"/>
      <c r="DA10" s="172"/>
      <c r="DB10" s="172"/>
      <c r="DC10" s="172"/>
      <c r="DD10" s="172"/>
      <c r="DE10" s="172"/>
      <c r="DF10" s="172"/>
      <c r="DG10" s="172"/>
      <c r="DH10" s="172"/>
      <c r="DI10" s="172"/>
      <c r="DJ10" s="172"/>
      <c r="DK10" s="172"/>
      <c r="DL10" s="172"/>
      <c r="DM10" s="172"/>
      <c r="DN10" s="172"/>
      <c r="DO10" s="172"/>
      <c r="DP10" s="172"/>
      <c r="DQ10" s="172"/>
      <c r="DR10" s="172"/>
      <c r="DS10" s="172"/>
      <c r="DT10" s="172"/>
      <c r="DU10" s="172"/>
      <c r="DV10" s="172"/>
      <c r="DW10" s="172"/>
      <c r="DX10" s="172"/>
      <c r="DY10" s="172"/>
      <c r="DZ10" s="172"/>
      <c r="EA10" s="172"/>
      <c r="EB10" s="172"/>
      <c r="EC10" s="172"/>
      <c r="ED10" s="172"/>
      <c r="EE10" s="172"/>
      <c r="EF10" s="172"/>
      <c r="EG10" s="172"/>
      <c r="EH10" s="172"/>
      <c r="EI10" s="172"/>
      <c r="EJ10" s="172"/>
      <c r="EK10" s="172"/>
      <c r="EL10" s="172"/>
      <c r="EM10" s="172"/>
      <c r="EN10" s="172"/>
      <c r="EO10" s="172"/>
      <c r="EP10" s="172"/>
      <c r="EQ10" s="172"/>
      <c r="ER10" s="172"/>
      <c r="ES10" s="172"/>
      <c r="ET10" s="172"/>
      <c r="EU10" s="172"/>
      <c r="EV10" s="172"/>
      <c r="EW10" s="172"/>
      <c r="EX10" s="172"/>
      <c r="EY10" s="172"/>
      <c r="EZ10" s="172"/>
      <c r="FA10" s="172"/>
      <c r="FB10" s="172"/>
      <c r="FC10" s="172"/>
      <c r="FD10" s="172"/>
      <c r="FE10" s="172"/>
      <c r="FF10" s="172"/>
      <c r="FG10" s="172"/>
      <c r="FH10" s="172"/>
      <c r="FI10" s="172"/>
      <c r="FJ10" s="172"/>
      <c r="FK10" s="172"/>
      <c r="FL10" s="172"/>
      <c r="FM10" s="172"/>
      <c r="FN10" s="172"/>
      <c r="FO10" s="172"/>
      <c r="FP10" s="172"/>
      <c r="FQ10" s="172"/>
      <c r="FR10" s="172"/>
      <c r="FS10" s="172"/>
      <c r="FT10" s="172"/>
      <c r="FU10" s="172"/>
      <c r="FV10" s="172"/>
      <c r="FW10" s="172"/>
      <c r="FX10" s="172"/>
      <c r="FY10" s="172"/>
      <c r="FZ10" s="172"/>
      <c r="GA10" s="172"/>
      <c r="GB10" s="172"/>
      <c r="GC10" s="172"/>
      <c r="GD10" s="172"/>
      <c r="GE10" s="172"/>
      <c r="GF10" s="172"/>
      <c r="GG10" s="172"/>
      <c r="GH10" s="172"/>
      <c r="GI10" s="172"/>
      <c r="GJ10" s="172"/>
      <c r="GK10" s="172"/>
      <c r="GL10" s="172"/>
      <c r="GM10" s="172"/>
      <c r="GN10" s="172"/>
      <c r="GO10" s="172"/>
      <c r="GP10" s="172"/>
      <c r="GQ10" s="172"/>
      <c r="GR10" s="172"/>
      <c r="GS10" s="172"/>
      <c r="GT10" s="172"/>
      <c r="GU10" s="172"/>
      <c r="GV10" s="172"/>
      <c r="GW10" s="172"/>
      <c r="GX10" s="172"/>
      <c r="GY10" s="172"/>
      <c r="GZ10" s="172"/>
      <c r="HA10" s="172"/>
      <c r="HB10" s="172"/>
      <c r="HC10" s="172"/>
      <c r="HD10" s="172"/>
      <c r="HE10" s="172"/>
      <c r="HF10" s="172"/>
      <c r="HG10" s="172"/>
      <c r="HH10" s="172"/>
      <c r="HI10" s="172"/>
      <c r="HJ10" s="172"/>
      <c r="HK10" s="172"/>
      <c r="HL10" s="172"/>
      <c r="HM10" s="172"/>
      <c r="HN10" s="172"/>
      <c r="HO10" s="172"/>
      <c r="HP10" s="172"/>
      <c r="HQ10" s="172"/>
      <c r="HR10" s="172"/>
      <c r="HS10" s="172"/>
      <c r="HT10" s="172"/>
      <c r="HU10" s="172"/>
      <c r="HV10" s="172"/>
      <c r="HW10" s="172"/>
      <c r="HX10" s="172"/>
      <c r="HY10" s="172"/>
      <c r="HZ10" s="172"/>
      <c r="IA10" s="172"/>
      <c r="IB10" s="172"/>
      <c r="IC10" s="172"/>
      <c r="ID10" s="172"/>
      <c r="IE10" s="172"/>
      <c r="IF10" s="172"/>
      <c r="IG10" s="172"/>
      <c r="IH10" s="172"/>
      <c r="II10" s="172"/>
      <c r="IJ10" s="172"/>
      <c r="IK10" s="172"/>
      <c r="IL10" s="172"/>
      <c r="IM10" s="172"/>
      <c r="IN10" s="172"/>
      <c r="IO10" s="172"/>
      <c r="IP10" s="172"/>
      <c r="IQ10" s="172"/>
      <c r="IR10" s="172"/>
      <c r="IS10" s="172"/>
      <c r="IT10" s="172"/>
      <c r="IU10" s="172"/>
      <c r="IV10" s="172"/>
      <c r="IW10" s="172"/>
      <c r="IX10" s="172"/>
      <c r="IY10" s="172"/>
      <c r="IZ10" s="172"/>
      <c r="JA10" s="172"/>
      <c r="JB10" s="172"/>
      <c r="JC10" s="172"/>
      <c r="JD10" s="172"/>
      <c r="JE10" s="172"/>
      <c r="JF10" s="172"/>
      <c r="JG10" s="172"/>
      <c r="JH10" s="172"/>
      <c r="JI10" s="172"/>
      <c r="JJ10" s="172"/>
      <c r="JK10" s="172"/>
      <c r="JL10" s="172"/>
      <c r="JM10" s="172"/>
      <c r="JN10" s="172"/>
      <c r="JO10" s="172"/>
      <c r="JP10" s="172"/>
      <c r="JQ10" s="172"/>
      <c r="JR10" s="172"/>
      <c r="JS10" s="172"/>
      <c r="JT10" s="172"/>
      <c r="JU10" s="172"/>
      <c r="JV10" s="172"/>
      <c r="JW10" s="172"/>
      <c r="JX10" s="172"/>
      <c r="JY10" s="172"/>
      <c r="JZ10" s="172"/>
      <c r="KA10" s="172"/>
      <c r="KB10" s="172"/>
      <c r="KC10" s="172"/>
      <c r="KD10" s="172"/>
      <c r="KE10" s="172"/>
      <c r="KF10" s="172"/>
      <c r="KG10" s="172"/>
      <c r="KH10" s="172"/>
      <c r="KI10" s="172"/>
      <c r="KJ10" s="172"/>
      <c r="KK10" s="172"/>
      <c r="KL10" s="172"/>
      <c r="KM10" s="172"/>
      <c r="KN10" s="172"/>
      <c r="KO10" s="172"/>
      <c r="KP10" s="172"/>
      <c r="KQ10" s="172"/>
      <c r="KR10" s="172"/>
      <c r="KS10" s="172"/>
      <c r="KT10" s="172"/>
      <c r="KU10" s="172"/>
      <c r="KV10" s="172"/>
      <c r="KW10" s="172"/>
      <c r="KX10" s="172"/>
      <c r="KY10" s="172"/>
      <c r="KZ10" s="172"/>
      <c r="LA10" s="172"/>
      <c r="LB10" s="172"/>
      <c r="LC10" s="172"/>
      <c r="LD10" s="172"/>
      <c r="LE10" s="172"/>
      <c r="LF10" s="172"/>
      <c r="LG10" s="172"/>
      <c r="LH10" s="172"/>
      <c r="LI10" s="172"/>
      <c r="LJ10" s="172"/>
      <c r="LK10" s="172"/>
      <c r="LL10" s="172"/>
      <c r="LM10" s="172"/>
      <c r="LN10" s="172"/>
      <c r="LO10" s="172"/>
      <c r="LP10" s="172"/>
      <c r="LQ10" s="172"/>
      <c r="LR10" s="172"/>
      <c r="LS10" s="172"/>
      <c r="LT10" s="172"/>
      <c r="LU10" s="172"/>
      <c r="LV10" s="172"/>
      <c r="LW10" s="172"/>
      <c r="LX10" s="172"/>
      <c r="LY10" s="172"/>
      <c r="LZ10" s="172"/>
      <c r="MA10" s="172"/>
      <c r="MB10" s="172"/>
      <c r="MC10" s="172"/>
      <c r="MD10" s="172"/>
      <c r="ME10" s="172"/>
      <c r="MF10" s="172"/>
      <c r="MG10" s="172"/>
      <c r="MH10" s="172"/>
      <c r="MI10" s="172"/>
      <c r="MJ10" s="172"/>
      <c r="MK10" s="172"/>
      <c r="ML10" s="172"/>
      <c r="MM10" s="172"/>
      <c r="MN10" s="172"/>
      <c r="MO10" s="172"/>
      <c r="MP10" s="172"/>
      <c r="MQ10" s="172"/>
      <c r="MR10" s="172"/>
      <c r="MS10" s="172"/>
      <c r="MT10" s="172"/>
      <c r="MU10" s="172"/>
      <c r="MV10" s="172"/>
      <c r="MW10" s="172"/>
      <c r="MX10" s="172"/>
      <c r="MY10" s="172"/>
      <c r="MZ10" s="172"/>
      <c r="NA10" s="172"/>
      <c r="NB10" s="172"/>
      <c r="NC10" s="172"/>
      <c r="ND10" s="172"/>
      <c r="NE10" s="172"/>
      <c r="NF10" s="172"/>
      <c r="NG10" s="172"/>
      <c r="NH10" s="172"/>
      <c r="NI10" s="172"/>
      <c r="NJ10" s="172"/>
      <c r="NK10" s="172"/>
      <c r="NL10" s="172"/>
      <c r="NM10" s="172"/>
      <c r="NN10" s="172"/>
      <c r="NO10" s="172"/>
      <c r="NP10" s="172"/>
      <c r="NQ10" s="172"/>
      <c r="NR10" s="172"/>
      <c r="NS10" s="172"/>
      <c r="NT10" s="172"/>
      <c r="NU10" s="172"/>
      <c r="NV10" s="172"/>
      <c r="NW10" s="172"/>
      <c r="NX10" s="172"/>
      <c r="NY10" s="172"/>
      <c r="NZ10" s="172"/>
      <c r="OA10" s="172"/>
      <c r="OB10" s="172"/>
      <c r="OC10" s="172"/>
      <c r="OD10" s="172"/>
      <c r="OE10" s="172"/>
      <c r="OF10" s="172"/>
      <c r="OG10" s="172"/>
      <c r="OH10" s="172"/>
      <c r="OI10" s="172"/>
      <c r="OJ10" s="172"/>
      <c r="OK10" s="172"/>
      <c r="OL10" s="172"/>
      <c r="OM10" s="172"/>
      <c r="ON10" s="172"/>
      <c r="OO10" s="172"/>
      <c r="OP10" s="172"/>
      <c r="OQ10" s="172"/>
      <c r="OR10" s="172"/>
      <c r="OS10" s="172"/>
      <c r="OT10" s="172"/>
      <c r="OU10" s="172"/>
      <c r="OV10" s="172"/>
      <c r="OW10" s="172"/>
      <c r="OX10" s="172"/>
      <c r="OY10" s="172"/>
      <c r="OZ10" s="172"/>
      <c r="PA10" s="172"/>
      <c r="PB10" s="172"/>
      <c r="PC10" s="172"/>
      <c r="PD10" s="172"/>
      <c r="PE10" s="172"/>
      <c r="PF10" s="172"/>
      <c r="PG10" s="172"/>
      <c r="PH10" s="172"/>
      <c r="PI10" s="172"/>
      <c r="PJ10" s="172"/>
      <c r="PK10" s="172"/>
      <c r="PL10" s="172"/>
      <c r="PM10" s="172"/>
      <c r="PN10" s="172"/>
      <c r="PO10" s="172"/>
      <c r="PP10" s="172"/>
      <c r="PQ10" s="172"/>
      <c r="PR10" s="172"/>
      <c r="PS10" s="172"/>
      <c r="PT10" s="172"/>
      <c r="PU10" s="172"/>
      <c r="PV10" s="172"/>
      <c r="PW10" s="172"/>
      <c r="PX10" s="172"/>
      <c r="PY10" s="172"/>
      <c r="PZ10" s="172"/>
      <c r="QA10" s="172"/>
      <c r="QB10" s="172"/>
      <c r="QC10" s="172"/>
      <c r="QD10" s="172"/>
      <c r="QE10" s="172"/>
      <c r="QF10" s="172"/>
      <c r="QG10" s="172"/>
      <c r="QH10" s="172"/>
      <c r="QI10" s="172"/>
      <c r="QJ10" s="172"/>
      <c r="QK10" s="172"/>
      <c r="QL10" s="172"/>
      <c r="QM10" s="172"/>
      <c r="QN10" s="172"/>
      <c r="QO10" s="172"/>
      <c r="QP10" s="172"/>
      <c r="QQ10" s="172"/>
      <c r="QR10" s="172"/>
      <c r="QS10" s="172"/>
      <c r="QT10" s="172"/>
      <c r="QU10" s="172"/>
      <c r="QV10" s="172"/>
      <c r="QW10" s="172"/>
      <c r="QX10" s="172"/>
      <c r="QY10" s="172"/>
      <c r="QZ10" s="172"/>
      <c r="RA10" s="172"/>
      <c r="RB10" s="172"/>
      <c r="RC10" s="172"/>
      <c r="RD10" s="172"/>
      <c r="RE10" s="172"/>
      <c r="RF10" s="172"/>
      <c r="RG10" s="172"/>
      <c r="RH10" s="172"/>
      <c r="RI10" s="172"/>
      <c r="RJ10" s="172"/>
      <c r="RK10" s="172"/>
      <c r="RL10" s="172"/>
      <c r="RM10" s="172"/>
      <c r="RN10" s="172"/>
      <c r="RO10" s="172"/>
      <c r="RP10" s="172"/>
      <c r="RQ10" s="172"/>
      <c r="RR10" s="172"/>
      <c r="RS10" s="172"/>
      <c r="RT10" s="172"/>
      <c r="RU10" s="172"/>
      <c r="RV10" s="172"/>
      <c r="RW10" s="172"/>
      <c r="RX10" s="172"/>
      <c r="RY10" s="172"/>
      <c r="RZ10" s="172"/>
      <c r="SA10" s="172"/>
      <c r="SB10" s="172"/>
      <c r="SC10" s="172"/>
      <c r="SD10" s="172"/>
      <c r="SE10" s="172"/>
      <c r="SF10" s="172"/>
      <c r="SG10" s="172"/>
      <c r="SH10" s="172"/>
      <c r="SI10" s="172"/>
      <c r="SJ10" s="172"/>
      <c r="SK10" s="172"/>
      <c r="SL10" s="172"/>
      <c r="SM10" s="172"/>
      <c r="SN10" s="172"/>
      <c r="SO10" s="172"/>
      <c r="SP10" s="172"/>
      <c r="SQ10" s="172"/>
      <c r="SR10" s="172"/>
      <c r="SS10" s="172"/>
      <c r="ST10" s="172"/>
      <c r="SU10" s="172"/>
      <c r="SV10" s="172"/>
      <c r="SW10" s="172"/>
      <c r="SX10" s="172"/>
      <c r="SY10" s="172"/>
      <c r="SZ10" s="172"/>
      <c r="TA10" s="172"/>
      <c r="TB10" s="172"/>
      <c r="TC10" s="172"/>
      <c r="TD10" s="172"/>
      <c r="TE10" s="172"/>
      <c r="TF10" s="172"/>
      <c r="TG10" s="172"/>
      <c r="TH10" s="172"/>
      <c r="TI10" s="172"/>
      <c r="TJ10" s="172"/>
      <c r="TK10" s="172"/>
      <c r="TL10" s="172"/>
      <c r="TM10" s="172"/>
      <c r="TN10" s="172"/>
      <c r="TO10" s="172"/>
      <c r="TP10" s="172"/>
      <c r="TQ10" s="172"/>
      <c r="TR10" s="172"/>
      <c r="TS10" s="172"/>
      <c r="TT10" s="172"/>
      <c r="TU10" s="172"/>
      <c r="TV10" s="172"/>
      <c r="TW10" s="172"/>
      <c r="TX10" s="172"/>
      <c r="TY10" s="172"/>
      <c r="TZ10" s="172"/>
      <c r="UA10" s="172"/>
      <c r="UB10" s="172"/>
      <c r="UC10" s="172"/>
      <c r="UD10" s="172"/>
      <c r="UE10" s="172"/>
      <c r="UF10" s="172"/>
      <c r="UG10" s="172"/>
      <c r="UH10" s="172"/>
      <c r="UI10" s="172"/>
      <c r="UJ10" s="172"/>
      <c r="UK10" s="172"/>
      <c r="UL10" s="172"/>
      <c r="UM10" s="172"/>
      <c r="UN10" s="172"/>
      <c r="UO10" s="172"/>
      <c r="UP10" s="172"/>
      <c r="UQ10" s="172"/>
      <c r="UR10" s="172"/>
      <c r="US10" s="172"/>
      <c r="UT10" s="172"/>
      <c r="UU10" s="172"/>
      <c r="UV10" s="172"/>
      <c r="UW10" s="172"/>
      <c r="UX10" s="172"/>
      <c r="UY10" s="172"/>
      <c r="UZ10" s="172"/>
      <c r="VA10" s="172"/>
      <c r="VB10" s="172"/>
      <c r="VC10" s="172"/>
      <c r="VD10" s="172"/>
      <c r="VE10" s="172"/>
      <c r="VF10" s="172"/>
      <c r="VG10" s="172"/>
      <c r="VH10" s="172"/>
      <c r="VI10" s="172"/>
      <c r="VJ10" s="172"/>
      <c r="VK10" s="172"/>
      <c r="VL10" s="172"/>
      <c r="VM10" s="172"/>
      <c r="VN10" s="172"/>
      <c r="VO10" s="172"/>
      <c r="VP10" s="172"/>
      <c r="VQ10" s="172"/>
      <c r="VR10" s="172"/>
      <c r="VS10" s="172"/>
      <c r="VT10" s="172"/>
      <c r="VU10" s="172"/>
      <c r="VV10" s="172"/>
      <c r="VW10" s="172"/>
      <c r="VX10" s="172"/>
      <c r="VY10" s="172"/>
      <c r="VZ10" s="172"/>
      <c r="WA10" s="172"/>
      <c r="WB10" s="172"/>
      <c r="WC10" s="172"/>
      <c r="WD10" s="172"/>
      <c r="WE10" s="172"/>
      <c r="WF10" s="172"/>
      <c r="WG10" s="172"/>
      <c r="WH10" s="172"/>
      <c r="WI10" s="172"/>
      <c r="WJ10" s="172"/>
      <c r="WK10" s="172"/>
      <c r="WL10" s="172"/>
      <c r="WM10" s="172"/>
      <c r="WN10" s="172"/>
      <c r="WO10" s="172"/>
      <c r="WP10" s="172"/>
      <c r="WQ10" s="172"/>
      <c r="WR10" s="172"/>
      <c r="WS10" s="172"/>
      <c r="WT10" s="172"/>
      <c r="WU10" s="172"/>
      <c r="WV10" s="172"/>
      <c r="WW10" s="172"/>
      <c r="WX10" s="172"/>
      <c r="WY10" s="172"/>
      <c r="WZ10" s="172"/>
      <c r="XA10" s="172"/>
      <c r="XB10" s="172"/>
      <c r="XC10" s="172"/>
      <c r="XD10" s="172"/>
      <c r="XE10" s="172"/>
      <c r="XF10" s="172"/>
      <c r="XG10" s="172"/>
      <c r="XH10" s="172"/>
      <c r="XI10" s="172"/>
      <c r="XJ10" s="172"/>
      <c r="XK10" s="172"/>
      <c r="XL10" s="172"/>
      <c r="XM10" s="172"/>
      <c r="XN10" s="172"/>
      <c r="XO10" s="172"/>
      <c r="XP10" s="172"/>
      <c r="XQ10" s="172"/>
      <c r="XR10" s="172"/>
      <c r="XS10" s="172"/>
      <c r="XT10" s="172"/>
      <c r="XU10" s="172"/>
      <c r="XV10" s="172"/>
      <c r="XW10" s="172"/>
      <c r="XX10" s="172"/>
      <c r="XY10" s="172"/>
      <c r="XZ10" s="172"/>
      <c r="YA10" s="172"/>
      <c r="YB10" s="172"/>
      <c r="YC10" s="172"/>
      <c r="YD10" s="172"/>
      <c r="YE10" s="172"/>
      <c r="YF10" s="172"/>
      <c r="YG10" s="172"/>
      <c r="YH10" s="172"/>
      <c r="YI10" s="172"/>
      <c r="YJ10" s="172"/>
      <c r="YK10" s="172"/>
      <c r="YL10" s="172"/>
      <c r="YM10" s="172"/>
      <c r="YN10" s="172"/>
      <c r="YO10" s="172"/>
      <c r="YP10" s="172"/>
      <c r="YQ10" s="172"/>
      <c r="YR10" s="172"/>
      <c r="YS10" s="172"/>
      <c r="YT10" s="172"/>
      <c r="YU10" s="172"/>
      <c r="YV10" s="172"/>
      <c r="YW10" s="172"/>
      <c r="YX10" s="172"/>
      <c r="YY10" s="172"/>
      <c r="YZ10" s="172"/>
      <c r="ZA10" s="172"/>
      <c r="ZB10" s="172"/>
      <c r="ZC10" s="172"/>
      <c r="ZD10" s="172"/>
      <c r="ZE10" s="172"/>
      <c r="ZF10" s="172"/>
      <c r="ZG10" s="172"/>
      <c r="ZH10" s="172"/>
      <c r="ZI10" s="172"/>
      <c r="ZJ10" s="172"/>
      <c r="ZK10" s="172"/>
      <c r="ZL10" s="172"/>
      <c r="ZM10" s="172"/>
      <c r="ZN10" s="172"/>
      <c r="ZO10" s="172"/>
      <c r="ZP10" s="172"/>
      <c r="ZQ10" s="172"/>
      <c r="ZR10" s="172"/>
      <c r="ZS10" s="172"/>
      <c r="ZT10" s="172"/>
      <c r="ZU10" s="172"/>
      <c r="ZV10" s="172"/>
      <c r="ZW10" s="172"/>
      <c r="ZX10" s="172"/>
      <c r="ZY10" s="172"/>
      <c r="ZZ10" s="172"/>
      <c r="AAA10" s="172"/>
      <c r="AAB10" s="172"/>
      <c r="AAC10" s="172"/>
      <c r="AAD10" s="172"/>
      <c r="AAE10" s="172"/>
      <c r="AAF10" s="172"/>
      <c r="AAG10" s="172"/>
      <c r="AAH10" s="172"/>
      <c r="AAI10" s="172"/>
      <c r="AAJ10" s="172"/>
      <c r="AAK10" s="172"/>
      <c r="AAL10" s="172"/>
      <c r="AAM10" s="172"/>
      <c r="AAN10" s="172"/>
      <c r="AAO10" s="172"/>
      <c r="AAP10" s="172"/>
      <c r="AAQ10" s="172"/>
      <c r="AAR10" s="172"/>
      <c r="AAS10" s="172"/>
      <c r="AAT10" s="172"/>
      <c r="AAU10" s="172"/>
      <c r="AAV10" s="172"/>
      <c r="AAW10" s="172"/>
      <c r="AAX10" s="172"/>
      <c r="AAY10" s="172"/>
      <c r="AAZ10" s="172"/>
      <c r="ABA10" s="172"/>
      <c r="ABB10" s="172"/>
      <c r="ABC10" s="172"/>
      <c r="ABD10" s="172"/>
      <c r="ABE10" s="172"/>
      <c r="ABF10" s="172"/>
      <c r="ABG10" s="172"/>
      <c r="ABH10" s="172"/>
      <c r="ABI10" s="172"/>
      <c r="ABJ10" s="172"/>
      <c r="ABK10" s="172"/>
      <c r="ABL10" s="172"/>
      <c r="ABM10" s="172"/>
      <c r="ABN10" s="172"/>
      <c r="ABO10" s="172"/>
      <c r="ABP10" s="172"/>
      <c r="ABQ10" s="172"/>
      <c r="ABR10" s="172"/>
      <c r="ABS10" s="172"/>
      <c r="ABT10" s="172"/>
      <c r="ABU10" s="172"/>
      <c r="ABV10" s="172"/>
      <c r="ABW10" s="172"/>
      <c r="ABX10" s="172"/>
      <c r="ABY10" s="172"/>
      <c r="ABZ10" s="172"/>
      <c r="ACA10" s="172"/>
      <c r="ACB10" s="172"/>
      <c r="ACC10" s="172"/>
      <c r="ACD10" s="172"/>
      <c r="ACE10" s="172"/>
      <c r="ACF10" s="172"/>
      <c r="ACG10" s="172"/>
      <c r="ACH10" s="172"/>
      <c r="ACI10" s="172"/>
      <c r="ACJ10" s="172"/>
      <c r="ACK10" s="172"/>
      <c r="ACL10" s="172"/>
      <c r="ACM10" s="172"/>
      <c r="ACN10" s="172"/>
      <c r="ACO10" s="172"/>
      <c r="ACP10" s="172"/>
      <c r="ACQ10" s="172"/>
      <c r="ACR10" s="172"/>
      <c r="ACS10" s="172"/>
      <c r="ACT10" s="172"/>
      <c r="ACU10" s="172"/>
      <c r="ACV10" s="172"/>
      <c r="ACW10" s="172"/>
      <c r="ACX10" s="172"/>
      <c r="ACY10" s="172"/>
      <c r="ACZ10" s="172"/>
      <c r="ADA10" s="172"/>
      <c r="ADB10" s="172"/>
      <c r="ADC10" s="172"/>
      <c r="ADD10" s="172"/>
      <c r="ADE10" s="172"/>
      <c r="ADF10" s="172"/>
      <c r="ADG10" s="172"/>
      <c r="ADH10" s="172"/>
      <c r="ADI10" s="172"/>
      <c r="ADJ10" s="172"/>
      <c r="ADK10" s="172"/>
      <c r="ADL10" s="172"/>
      <c r="ADM10" s="172"/>
      <c r="ADN10" s="172"/>
      <c r="ADO10" s="172"/>
      <c r="ADP10" s="172"/>
      <c r="ADQ10" s="172"/>
      <c r="ADR10" s="172"/>
      <c r="ADS10" s="172"/>
      <c r="ADT10" s="172"/>
      <c r="ADU10" s="172"/>
      <c r="ADV10" s="172"/>
      <c r="ADW10" s="172"/>
      <c r="ADX10" s="172"/>
      <c r="ADY10" s="172"/>
      <c r="ADZ10" s="172"/>
      <c r="AEA10" s="172"/>
      <c r="AEB10" s="172"/>
      <c r="AEC10" s="172"/>
      <c r="AED10" s="172"/>
      <c r="AEE10" s="172"/>
      <c r="AEF10" s="172"/>
      <c r="AEG10" s="172"/>
      <c r="AEH10" s="172"/>
      <c r="AEI10" s="172"/>
      <c r="AEJ10" s="172"/>
      <c r="AEK10" s="172"/>
      <c r="AEL10" s="172"/>
      <c r="AEM10" s="172"/>
      <c r="AEN10" s="172"/>
      <c r="AEO10" s="172"/>
      <c r="AEP10" s="172"/>
      <c r="AEQ10" s="172"/>
      <c r="AER10" s="172"/>
      <c r="AES10" s="172"/>
      <c r="AET10" s="172"/>
      <c r="AEU10" s="172"/>
      <c r="AEV10" s="172"/>
      <c r="AEW10" s="172"/>
      <c r="AEX10" s="172"/>
      <c r="AEY10" s="172"/>
      <c r="AEZ10" s="172"/>
      <c r="AFA10" s="172"/>
      <c r="AFB10" s="172"/>
      <c r="AFC10" s="172"/>
      <c r="AFD10" s="172"/>
      <c r="AFE10" s="172"/>
      <c r="AFF10" s="172"/>
      <c r="AFG10" s="172"/>
      <c r="AFH10" s="172"/>
      <c r="AFI10" s="172"/>
      <c r="AFJ10" s="172"/>
      <c r="AFK10" s="172"/>
      <c r="AFL10" s="172"/>
      <c r="AFM10" s="172"/>
      <c r="AFN10" s="172"/>
      <c r="AFO10" s="172"/>
      <c r="AFP10" s="172"/>
      <c r="AFQ10" s="172"/>
      <c r="AFR10" s="172"/>
      <c r="AFS10" s="172"/>
      <c r="AFT10" s="172"/>
      <c r="AFU10" s="172"/>
      <c r="AFV10" s="172"/>
      <c r="AFW10" s="172"/>
      <c r="AFX10" s="172"/>
      <c r="AFY10" s="172"/>
      <c r="AFZ10" s="172"/>
      <c r="AGA10" s="172"/>
      <c r="AGB10" s="172"/>
      <c r="AGC10" s="172"/>
      <c r="AGD10" s="172"/>
      <c r="AGE10" s="172"/>
      <c r="AGF10" s="172"/>
      <c r="AGG10" s="172"/>
      <c r="AGH10" s="172"/>
      <c r="AGI10" s="172"/>
      <c r="AGJ10" s="172"/>
      <c r="AGK10" s="172"/>
      <c r="AGL10" s="172"/>
      <c r="AGM10" s="172"/>
      <c r="AGN10" s="172"/>
      <c r="AGO10" s="172"/>
      <c r="AGP10" s="172"/>
      <c r="AGQ10" s="172"/>
      <c r="AGR10" s="172"/>
      <c r="AGS10" s="172"/>
      <c r="AGT10" s="172"/>
      <c r="AGU10" s="172"/>
      <c r="AGV10" s="172"/>
      <c r="AGW10" s="172"/>
      <c r="AGX10" s="172"/>
      <c r="AGY10" s="172"/>
      <c r="AGZ10" s="172"/>
      <c r="AHA10" s="172"/>
      <c r="AHB10" s="172"/>
      <c r="AHC10" s="172"/>
      <c r="AHD10" s="172"/>
      <c r="AHE10" s="172"/>
      <c r="AHF10" s="172"/>
      <c r="AHG10" s="172"/>
      <c r="AHH10" s="172"/>
      <c r="AHI10" s="172"/>
      <c r="AHJ10" s="172"/>
      <c r="AHK10" s="172"/>
      <c r="AHL10" s="172"/>
      <c r="AHM10" s="172"/>
      <c r="AHN10" s="172"/>
      <c r="AHO10" s="172"/>
      <c r="AHP10" s="172"/>
      <c r="AHQ10" s="172"/>
      <c r="AHR10" s="172"/>
      <c r="AHS10" s="172"/>
      <c r="AHT10" s="172"/>
      <c r="AHU10" s="172"/>
      <c r="AHV10" s="172"/>
      <c r="AHW10" s="172"/>
      <c r="AHX10" s="172"/>
      <c r="AHY10" s="172"/>
      <c r="AHZ10" s="172"/>
      <c r="AIA10" s="172"/>
      <c r="AIB10" s="172"/>
      <c r="AIC10" s="172"/>
      <c r="AID10" s="172"/>
      <c r="AIE10" s="172"/>
      <c r="AIF10" s="172"/>
      <c r="AIG10" s="172"/>
      <c r="AIH10" s="172"/>
      <c r="AII10" s="172"/>
      <c r="AIJ10" s="172"/>
      <c r="AIK10" s="172"/>
      <c r="AIL10" s="172"/>
      <c r="AIM10" s="172"/>
      <c r="AIN10" s="172"/>
      <c r="AIO10" s="172"/>
      <c r="AIP10" s="172"/>
      <c r="AIQ10" s="172"/>
      <c r="AIR10" s="172"/>
      <c r="AIS10" s="172"/>
      <c r="AIT10" s="172"/>
      <c r="AIU10" s="172"/>
      <c r="AIV10" s="172"/>
      <c r="AIW10" s="172"/>
      <c r="AIX10" s="172"/>
      <c r="AIY10" s="172"/>
      <c r="AIZ10" s="172"/>
      <c r="AJA10" s="172"/>
      <c r="AJB10" s="172"/>
      <c r="AJC10" s="172"/>
      <c r="AJD10" s="172"/>
      <c r="AJE10" s="172"/>
      <c r="AJF10" s="172"/>
      <c r="AJG10" s="172"/>
      <c r="AJH10" s="172"/>
      <c r="AJI10" s="172"/>
      <c r="AJJ10" s="172"/>
      <c r="AJK10" s="172"/>
      <c r="AJL10" s="172"/>
      <c r="AJM10" s="172"/>
      <c r="AJN10" s="172"/>
      <c r="AJO10" s="172"/>
      <c r="AJP10" s="172"/>
      <c r="AJQ10" s="172"/>
      <c r="AJR10" s="172"/>
      <c r="AJS10" s="172"/>
      <c r="AJT10" s="172"/>
      <c r="AJU10" s="172"/>
      <c r="AJV10" s="172"/>
      <c r="AJW10" s="172"/>
      <c r="AJX10" s="172"/>
      <c r="AJY10" s="172"/>
      <c r="AJZ10" s="172"/>
      <c r="AKA10" s="172"/>
      <c r="AKB10" s="172"/>
      <c r="AKC10" s="172"/>
      <c r="AKD10" s="172"/>
      <c r="AKE10" s="172"/>
      <c r="AKF10" s="172"/>
      <c r="AKG10" s="172"/>
      <c r="AKH10" s="172"/>
      <c r="AKI10" s="172"/>
      <c r="AKJ10" s="172"/>
      <c r="AKK10" s="172"/>
      <c r="AKL10" s="172"/>
      <c r="AKM10" s="172"/>
      <c r="AKN10" s="172"/>
      <c r="AKO10" s="172"/>
      <c r="AKP10" s="172"/>
      <c r="AKQ10" s="172"/>
      <c r="AKR10" s="172"/>
      <c r="AKS10" s="172"/>
      <c r="AKT10" s="172"/>
      <c r="AKU10" s="172"/>
      <c r="AKV10" s="172"/>
      <c r="AKW10" s="172"/>
      <c r="AKX10" s="172"/>
      <c r="AKY10" s="172"/>
      <c r="AKZ10" s="172"/>
      <c r="ALA10" s="172"/>
      <c r="ALB10" s="172"/>
      <c r="ALC10" s="172"/>
      <c r="ALD10" s="172"/>
      <c r="ALE10" s="172"/>
      <c r="ALF10" s="172"/>
      <c r="ALG10" s="172"/>
      <c r="ALH10" s="172"/>
      <c r="ALI10" s="172"/>
      <c r="ALJ10" s="172"/>
      <c r="ALK10" s="172"/>
      <c r="ALL10" s="172"/>
      <c r="ALM10" s="172"/>
      <c r="ALN10" s="172"/>
      <c r="ALO10" s="172"/>
      <c r="ALP10" s="172"/>
      <c r="ALQ10" s="172"/>
      <c r="ALR10" s="172"/>
      <c r="ALS10" s="172"/>
      <c r="ALT10" s="172"/>
      <c r="ALU10" s="172"/>
      <c r="ALV10" s="172"/>
      <c r="ALW10" s="172"/>
      <c r="ALX10" s="172"/>
      <c r="ALY10" s="172"/>
      <c r="ALZ10" s="172"/>
      <c r="AMA10" s="172"/>
      <c r="AMB10" s="172"/>
      <c r="AMC10" s="172"/>
      <c r="AMD10" s="172"/>
      <c r="AME10" s="172"/>
      <c r="AMF10" s="172"/>
      <c r="AMG10" s="172"/>
      <c r="AMH10" s="172"/>
      <c r="AMI10" s="172"/>
      <c r="AMJ10" s="172"/>
      <c r="AMK10" s="172"/>
      <c r="AML10" s="172"/>
      <c r="AMM10" s="172"/>
      <c r="AMN10" s="172"/>
      <c r="AMO10" s="172"/>
      <c r="AMP10" s="172"/>
      <c r="AMQ10" s="172"/>
      <c r="AMR10" s="172"/>
      <c r="AMS10" s="172"/>
      <c r="AMT10" s="172"/>
      <c r="AMU10" s="172"/>
      <c r="AMV10" s="172"/>
      <c r="AMW10" s="172"/>
      <c r="AMX10" s="172"/>
      <c r="AMY10" s="172"/>
      <c r="AMZ10" s="172"/>
      <c r="ANA10" s="172"/>
      <c r="ANB10" s="172"/>
      <c r="ANC10" s="172"/>
      <c r="AND10" s="172"/>
      <c r="ANE10" s="172"/>
      <c r="ANF10" s="172"/>
      <c r="ANG10" s="172"/>
      <c r="ANH10" s="172"/>
      <c r="ANI10" s="172"/>
      <c r="ANJ10" s="172"/>
      <c r="ANK10" s="172"/>
      <c r="ANL10" s="172"/>
      <c r="ANM10" s="172"/>
      <c r="ANN10" s="172"/>
      <c r="ANO10" s="172"/>
      <c r="ANP10" s="172"/>
      <c r="ANQ10" s="172"/>
      <c r="ANR10" s="172"/>
      <c r="ANS10" s="172"/>
      <c r="ANT10" s="172"/>
      <c r="ANU10" s="172"/>
      <c r="ANV10" s="172"/>
      <c r="ANW10" s="172"/>
      <c r="ANX10" s="172"/>
      <c r="ANY10" s="172"/>
      <c r="ANZ10" s="172"/>
      <c r="AOA10" s="172"/>
      <c r="AOB10" s="172"/>
      <c r="AOC10" s="172"/>
      <c r="AOD10" s="172"/>
      <c r="AOE10" s="172"/>
      <c r="AOF10" s="172"/>
      <c r="AOG10" s="172"/>
      <c r="AOH10" s="172"/>
      <c r="AOI10" s="172"/>
      <c r="AOJ10" s="172"/>
      <c r="AOK10" s="172"/>
      <c r="AOL10" s="172"/>
      <c r="AOM10" s="172"/>
      <c r="AON10" s="172"/>
      <c r="AOO10" s="172"/>
      <c r="AOP10" s="172"/>
      <c r="AOQ10" s="172"/>
      <c r="AOR10" s="172"/>
      <c r="AOS10" s="172"/>
      <c r="AOT10" s="172"/>
      <c r="AOU10" s="172"/>
      <c r="AOV10" s="172"/>
      <c r="AOW10" s="172"/>
      <c r="AOX10" s="172"/>
      <c r="AOY10" s="172"/>
      <c r="AOZ10" s="172"/>
      <c r="APA10" s="172"/>
      <c r="APB10" s="172"/>
      <c r="APC10" s="172"/>
      <c r="APD10" s="172"/>
      <c r="APE10" s="172"/>
      <c r="APF10" s="172"/>
      <c r="APG10" s="172"/>
      <c r="APH10" s="172"/>
      <c r="API10" s="172"/>
      <c r="APJ10" s="172"/>
      <c r="APK10" s="172"/>
      <c r="APL10" s="172"/>
      <c r="APM10" s="172"/>
      <c r="APN10" s="172"/>
      <c r="APO10" s="172"/>
      <c r="APP10" s="172"/>
      <c r="APQ10" s="172"/>
      <c r="APR10" s="172"/>
      <c r="APS10" s="172"/>
      <c r="APT10" s="172"/>
      <c r="APU10" s="172"/>
      <c r="APV10" s="172"/>
      <c r="APW10" s="172"/>
      <c r="APX10" s="172"/>
      <c r="APY10" s="172"/>
      <c r="APZ10" s="172"/>
      <c r="AQA10" s="172"/>
      <c r="AQB10" s="172"/>
      <c r="AQC10" s="172"/>
      <c r="AQD10" s="172"/>
      <c r="AQE10" s="172"/>
      <c r="AQF10" s="172"/>
      <c r="AQG10" s="172"/>
      <c r="AQH10" s="172"/>
      <c r="AQI10" s="172"/>
      <c r="AQJ10" s="172"/>
      <c r="AQK10" s="172"/>
      <c r="AQL10" s="172"/>
      <c r="AQM10" s="172"/>
      <c r="AQN10" s="172"/>
      <c r="AQO10" s="172"/>
      <c r="AQP10" s="172"/>
      <c r="AQQ10" s="172"/>
      <c r="AQR10" s="172"/>
      <c r="AQS10" s="172"/>
      <c r="AQT10" s="172"/>
      <c r="AQU10" s="172"/>
      <c r="AQV10" s="172"/>
      <c r="AQW10" s="172"/>
      <c r="AQX10" s="172"/>
      <c r="AQY10" s="172"/>
      <c r="AQZ10" s="172"/>
      <c r="ARA10" s="172"/>
      <c r="ARB10" s="172"/>
      <c r="ARC10" s="172"/>
      <c r="ARD10" s="172"/>
      <c r="ARE10" s="172"/>
      <c r="ARF10" s="172"/>
      <c r="ARG10" s="172"/>
      <c r="ARH10" s="172"/>
      <c r="ARI10" s="172"/>
      <c r="ARJ10" s="172"/>
      <c r="ARK10" s="172"/>
      <c r="ARL10" s="172"/>
      <c r="ARM10" s="172"/>
      <c r="ARN10" s="172"/>
      <c r="ARO10" s="172"/>
      <c r="ARP10" s="172"/>
      <c r="ARQ10" s="172"/>
      <c r="ARR10" s="172"/>
      <c r="ARS10" s="172"/>
      <c r="ART10" s="172"/>
      <c r="ARU10" s="172"/>
    </row>
    <row r="11" spans="1:1165" s="257" customFormat="1">
      <c r="A11" s="222" t="s">
        <v>0</v>
      </c>
      <c r="B11" s="195" t="s">
        <v>87</v>
      </c>
      <c r="C11" s="258">
        <v>25517415</v>
      </c>
      <c r="D11" s="258">
        <v>2422962046</v>
      </c>
      <c r="E11" s="198">
        <v>3663689</v>
      </c>
      <c r="F11" s="198">
        <v>436014691</v>
      </c>
      <c r="G11" s="198">
        <v>3678480</v>
      </c>
      <c r="H11" s="198">
        <v>548093520</v>
      </c>
      <c r="I11" s="198">
        <v>3676385</v>
      </c>
      <c r="J11" s="198">
        <v>647822717</v>
      </c>
      <c r="K11" s="198">
        <v>3983098</v>
      </c>
      <c r="L11" s="198">
        <v>745084355</v>
      </c>
      <c r="M11" s="198">
        <v>5004998</v>
      </c>
      <c r="N11" s="198">
        <v>940855670</v>
      </c>
      <c r="O11" s="198">
        <v>5419623</v>
      </c>
      <c r="P11" s="198">
        <v>1098152135</v>
      </c>
      <c r="Q11" s="198">
        <v>5442790</v>
      </c>
      <c r="R11" s="198">
        <v>1015172246</v>
      </c>
      <c r="S11" s="198">
        <v>5928763</v>
      </c>
      <c r="T11" s="198">
        <v>1104313745</v>
      </c>
      <c r="U11" s="211">
        <v>6176414</v>
      </c>
      <c r="V11" s="211">
        <v>1301425700</v>
      </c>
      <c r="W11" s="211">
        <v>6384796</v>
      </c>
      <c r="X11" s="211">
        <v>2096790010</v>
      </c>
      <c r="Y11" s="259">
        <v>6722292</v>
      </c>
      <c r="Z11" s="259">
        <v>2358954531</v>
      </c>
      <c r="AA11" s="226">
        <v>7009184</v>
      </c>
      <c r="AB11" s="226">
        <v>1844032647</v>
      </c>
      <c r="AC11" s="227">
        <v>7082757</v>
      </c>
      <c r="AD11" s="227">
        <v>1689720803</v>
      </c>
      <c r="AE11" s="198">
        <v>7801274</v>
      </c>
      <c r="AF11" s="198">
        <v>1891855796</v>
      </c>
      <c r="AG11" s="226">
        <v>7933321</v>
      </c>
      <c r="AH11" s="226">
        <v>1684580839</v>
      </c>
      <c r="AI11" s="226">
        <v>8067380</v>
      </c>
      <c r="AJ11" s="226">
        <v>1757356480</v>
      </c>
      <c r="AK11" s="260">
        <v>8249660</v>
      </c>
      <c r="AL11" s="260">
        <v>1967808060.25</v>
      </c>
      <c r="AM11" s="261">
        <v>8481895</v>
      </c>
      <c r="AN11" s="261">
        <v>2084713647</v>
      </c>
      <c r="AO11" s="196">
        <v>8748182</v>
      </c>
      <c r="AP11" s="196">
        <v>2429704528</v>
      </c>
      <c r="AQ11" s="196">
        <v>8930010</v>
      </c>
      <c r="AR11" s="196">
        <v>2311377164.5799999</v>
      </c>
      <c r="AS11" s="196">
        <v>10003058</v>
      </c>
      <c r="AT11" s="196">
        <v>3187472430</v>
      </c>
      <c r="AU11" s="226">
        <v>10748039</v>
      </c>
      <c r="AV11" s="226">
        <v>3766551734</v>
      </c>
      <c r="AW11" s="226">
        <v>11000041</v>
      </c>
      <c r="AX11" s="226">
        <v>3339247705</v>
      </c>
      <c r="AY11" s="198">
        <v>11228615</v>
      </c>
      <c r="AZ11" s="198">
        <v>3140479497</v>
      </c>
      <c r="BA11" s="263"/>
      <c r="BB11" s="198"/>
      <c r="BC11" s="198"/>
      <c r="BD11" s="198"/>
      <c r="BE11" s="198"/>
      <c r="BF11" s="198"/>
      <c r="BG11" s="198"/>
      <c r="BH11" s="198"/>
      <c r="BI11" s="263"/>
      <c r="BJ11" s="198">
        <f>C11+G11+I11+K11+M11+O11+Q11+S11+U11+W11+Y11+AA11+AC11+AE11+AG11+AI11+AK11+AM11+AO11+AQ11+AS11+AU11+AW11+AY11+BB11+BF11</f>
        <v>193218470</v>
      </c>
      <c r="BK11" s="198">
        <f>D11+H11+J11+L11+N11+P11+R11+T11+V11+X11+Z11+AB11+AD11+AF11+AH11+AJ11+AL11+AN11+AP11+AR11+AT11+AV11+AX11+AZ11+BD11+BH11</f>
        <v>45374528005.830002</v>
      </c>
      <c r="BL11" s="172"/>
      <c r="BM11" s="231"/>
      <c r="BN11" s="231"/>
      <c r="BO11" s="231"/>
      <c r="BP11" s="231"/>
      <c r="BQ11" s="172"/>
      <c r="BR11" s="172"/>
      <c r="BS11" s="172"/>
      <c r="BT11" s="172"/>
      <c r="BU11" s="172"/>
      <c r="BV11" s="172"/>
      <c r="BW11" s="172"/>
      <c r="BX11" s="172"/>
      <c r="BY11" s="172"/>
      <c r="BZ11" s="172"/>
      <c r="CA11" s="172"/>
      <c r="CB11" s="172"/>
      <c r="CC11" s="172"/>
      <c r="CD11" s="172"/>
      <c r="CE11" s="172"/>
      <c r="CF11" s="172"/>
      <c r="CG11" s="172"/>
      <c r="CH11" s="172"/>
      <c r="CI11" s="172"/>
      <c r="CJ11" s="172"/>
      <c r="CK11" s="172"/>
      <c r="CL11" s="172"/>
      <c r="CM11" s="172"/>
      <c r="CN11" s="172"/>
      <c r="CO11" s="172"/>
      <c r="CP11" s="172"/>
      <c r="CQ11" s="172"/>
      <c r="CR11" s="172"/>
      <c r="CS11" s="172"/>
      <c r="CT11" s="172"/>
      <c r="CU11" s="172"/>
      <c r="CV11" s="172"/>
      <c r="CW11" s="172"/>
      <c r="CX11" s="172"/>
      <c r="CY11" s="172"/>
      <c r="CZ11" s="172"/>
      <c r="DA11" s="172"/>
      <c r="DB11" s="172"/>
      <c r="DC11" s="172"/>
      <c r="DD11" s="172"/>
      <c r="DE11" s="172"/>
      <c r="DF11" s="172"/>
      <c r="DG11" s="172"/>
      <c r="DH11" s="172"/>
      <c r="DI11" s="172"/>
      <c r="DJ11" s="172"/>
      <c r="DK11" s="172"/>
      <c r="DL11" s="172"/>
      <c r="DM11" s="172"/>
      <c r="DN11" s="172"/>
      <c r="DO11" s="172"/>
      <c r="DP11" s="172"/>
      <c r="DQ11" s="172"/>
      <c r="DR11" s="172"/>
      <c r="DS11" s="172"/>
      <c r="DT11" s="172"/>
      <c r="DU11" s="172"/>
      <c r="DV11" s="172"/>
      <c r="DW11" s="172"/>
      <c r="DX11" s="172"/>
      <c r="DY11" s="172"/>
      <c r="DZ11" s="172"/>
      <c r="EA11" s="172"/>
      <c r="EB11" s="172"/>
      <c r="EC11" s="172"/>
      <c r="ED11" s="172"/>
      <c r="EE11" s="172"/>
      <c r="EF11" s="172"/>
      <c r="EG11" s="172"/>
      <c r="EH11" s="172"/>
      <c r="EI11" s="172"/>
      <c r="EJ11" s="172"/>
      <c r="EK11" s="172"/>
      <c r="EL11" s="172"/>
      <c r="EM11" s="172"/>
      <c r="EN11" s="172"/>
      <c r="EO11" s="172"/>
      <c r="EP11" s="172"/>
      <c r="EQ11" s="172"/>
      <c r="ER11" s="172"/>
      <c r="ES11" s="172"/>
      <c r="ET11" s="172"/>
      <c r="EU11" s="172"/>
      <c r="EV11" s="172"/>
      <c r="EW11" s="172"/>
      <c r="EX11" s="172"/>
      <c r="EY11" s="172"/>
      <c r="EZ11" s="172"/>
      <c r="FA11" s="172"/>
      <c r="FB11" s="172"/>
      <c r="FC11" s="172"/>
      <c r="FD11" s="172"/>
      <c r="FE11" s="172"/>
      <c r="FF11" s="172"/>
      <c r="FG11" s="172"/>
      <c r="FH11" s="172"/>
      <c r="FI11" s="172"/>
      <c r="FJ11" s="172"/>
      <c r="FK11" s="172"/>
      <c r="FL11" s="172"/>
      <c r="FM11" s="172"/>
      <c r="FN11" s="172"/>
      <c r="FO11" s="172"/>
      <c r="FP11" s="172"/>
      <c r="FQ11" s="172"/>
      <c r="FR11" s="172"/>
      <c r="FS11" s="172"/>
      <c r="FT11" s="172"/>
      <c r="FU11" s="172"/>
      <c r="FV11" s="172"/>
      <c r="FW11" s="172"/>
      <c r="FX11" s="172"/>
      <c r="FY11" s="172"/>
      <c r="FZ11" s="172"/>
      <c r="GA11" s="172"/>
      <c r="GB11" s="172"/>
      <c r="GC11" s="172"/>
      <c r="GD11" s="172"/>
      <c r="GE11" s="172"/>
      <c r="GF11" s="172"/>
      <c r="GG11" s="172"/>
      <c r="GH11" s="172"/>
      <c r="GI11" s="172"/>
      <c r="GJ11" s="172"/>
      <c r="GK11" s="172"/>
      <c r="GL11" s="172"/>
      <c r="GM11" s="172"/>
      <c r="GN11" s="172"/>
      <c r="GO11" s="172"/>
      <c r="GP11" s="172"/>
      <c r="GQ11" s="172"/>
      <c r="GR11" s="172"/>
      <c r="GS11" s="172"/>
      <c r="GT11" s="172"/>
      <c r="GU11" s="172"/>
      <c r="GV11" s="172"/>
      <c r="GW11" s="172"/>
      <c r="GX11" s="172"/>
      <c r="GY11" s="172"/>
      <c r="GZ11" s="172"/>
      <c r="HA11" s="172"/>
      <c r="HB11" s="172"/>
      <c r="HC11" s="172"/>
      <c r="HD11" s="172"/>
      <c r="HE11" s="172"/>
      <c r="HF11" s="172"/>
      <c r="HG11" s="172"/>
      <c r="HH11" s="172"/>
      <c r="HI11" s="172"/>
      <c r="HJ11" s="172"/>
      <c r="HK11" s="172"/>
      <c r="HL11" s="172"/>
      <c r="HM11" s="172"/>
      <c r="HN11" s="172"/>
      <c r="HO11" s="172"/>
      <c r="HP11" s="172"/>
      <c r="HQ11" s="172"/>
      <c r="HR11" s="172"/>
      <c r="HS11" s="172"/>
      <c r="HT11" s="172"/>
      <c r="HU11" s="172"/>
      <c r="HV11" s="172"/>
      <c r="HW11" s="172"/>
      <c r="HX11" s="172"/>
      <c r="HY11" s="172"/>
      <c r="HZ11" s="172"/>
      <c r="IA11" s="172"/>
      <c r="IB11" s="172"/>
      <c r="IC11" s="172"/>
      <c r="ID11" s="172"/>
      <c r="IE11" s="172"/>
      <c r="IF11" s="172"/>
      <c r="IG11" s="172"/>
      <c r="IH11" s="172"/>
      <c r="II11" s="172"/>
      <c r="IJ11" s="172"/>
      <c r="IK11" s="172"/>
      <c r="IL11" s="172"/>
      <c r="IM11" s="172"/>
      <c r="IN11" s="172"/>
      <c r="IO11" s="172"/>
      <c r="IP11" s="172"/>
      <c r="IQ11" s="172"/>
      <c r="IR11" s="172"/>
      <c r="IS11" s="172"/>
      <c r="IT11" s="172"/>
      <c r="IU11" s="172"/>
      <c r="IV11" s="172"/>
      <c r="IW11" s="172"/>
      <c r="IX11" s="172"/>
      <c r="IY11" s="172"/>
      <c r="IZ11" s="172"/>
      <c r="JA11" s="172"/>
      <c r="JB11" s="172"/>
      <c r="JC11" s="172"/>
      <c r="JD11" s="172"/>
      <c r="JE11" s="172"/>
      <c r="JF11" s="172"/>
      <c r="JG11" s="172"/>
      <c r="JH11" s="172"/>
      <c r="JI11" s="172"/>
      <c r="JJ11" s="172"/>
      <c r="JK11" s="172"/>
      <c r="JL11" s="172"/>
      <c r="JM11" s="172"/>
      <c r="JN11" s="172"/>
      <c r="JO11" s="172"/>
      <c r="JP11" s="172"/>
      <c r="JQ11" s="172"/>
      <c r="JR11" s="172"/>
      <c r="JS11" s="172"/>
      <c r="JT11" s="172"/>
      <c r="JU11" s="172"/>
      <c r="JV11" s="172"/>
      <c r="JW11" s="172"/>
      <c r="JX11" s="172"/>
      <c r="JY11" s="172"/>
      <c r="JZ11" s="172"/>
      <c r="KA11" s="172"/>
      <c r="KB11" s="172"/>
      <c r="KC11" s="172"/>
      <c r="KD11" s="172"/>
      <c r="KE11" s="172"/>
      <c r="KF11" s="172"/>
      <c r="KG11" s="172"/>
      <c r="KH11" s="172"/>
      <c r="KI11" s="172"/>
      <c r="KJ11" s="172"/>
      <c r="KK11" s="172"/>
      <c r="KL11" s="172"/>
      <c r="KM11" s="172"/>
      <c r="KN11" s="172"/>
      <c r="KO11" s="172"/>
      <c r="KP11" s="172"/>
      <c r="KQ11" s="172"/>
      <c r="KR11" s="172"/>
      <c r="KS11" s="172"/>
      <c r="KT11" s="172"/>
      <c r="KU11" s="172"/>
      <c r="KV11" s="172"/>
      <c r="KW11" s="172"/>
      <c r="KX11" s="172"/>
      <c r="KY11" s="172"/>
      <c r="KZ11" s="172"/>
      <c r="LA11" s="172"/>
      <c r="LB11" s="172"/>
      <c r="LC11" s="172"/>
      <c r="LD11" s="172"/>
      <c r="LE11" s="172"/>
      <c r="LF11" s="172"/>
      <c r="LG11" s="172"/>
      <c r="LH11" s="172"/>
      <c r="LI11" s="172"/>
      <c r="LJ11" s="172"/>
      <c r="LK11" s="172"/>
      <c r="LL11" s="172"/>
      <c r="LM11" s="172"/>
      <c r="LN11" s="172"/>
      <c r="LO11" s="172"/>
      <c r="LP11" s="172"/>
      <c r="LQ11" s="172"/>
      <c r="LR11" s="172"/>
      <c r="LS11" s="172"/>
      <c r="LT11" s="172"/>
      <c r="LU11" s="172"/>
      <c r="LV11" s="172"/>
      <c r="LW11" s="172"/>
      <c r="LX11" s="172"/>
      <c r="LY11" s="172"/>
      <c r="LZ11" s="172"/>
      <c r="MA11" s="172"/>
      <c r="MB11" s="172"/>
      <c r="MC11" s="172"/>
      <c r="MD11" s="172"/>
      <c r="ME11" s="172"/>
      <c r="MF11" s="172"/>
      <c r="MG11" s="172"/>
      <c r="MH11" s="172"/>
      <c r="MI11" s="172"/>
      <c r="MJ11" s="172"/>
      <c r="MK11" s="172"/>
      <c r="ML11" s="172"/>
      <c r="MM11" s="172"/>
      <c r="MN11" s="172"/>
      <c r="MO11" s="172"/>
      <c r="MP11" s="172"/>
      <c r="MQ11" s="172"/>
      <c r="MR11" s="172"/>
      <c r="MS11" s="172"/>
      <c r="MT11" s="172"/>
      <c r="MU11" s="172"/>
      <c r="MV11" s="172"/>
      <c r="MW11" s="172"/>
      <c r="MX11" s="172"/>
      <c r="MY11" s="172"/>
      <c r="MZ11" s="172"/>
      <c r="NA11" s="172"/>
      <c r="NB11" s="172"/>
      <c r="NC11" s="172"/>
      <c r="ND11" s="172"/>
      <c r="NE11" s="172"/>
      <c r="NF11" s="172"/>
      <c r="NG11" s="172"/>
      <c r="NH11" s="172"/>
      <c r="NI11" s="172"/>
      <c r="NJ11" s="172"/>
      <c r="NK11" s="172"/>
      <c r="NL11" s="172"/>
      <c r="NM11" s="172"/>
      <c r="NN11" s="172"/>
      <c r="NO11" s="172"/>
      <c r="NP11" s="172"/>
      <c r="NQ11" s="172"/>
      <c r="NR11" s="172"/>
      <c r="NS11" s="172"/>
      <c r="NT11" s="172"/>
      <c r="NU11" s="172"/>
      <c r="NV11" s="172"/>
      <c r="NW11" s="172"/>
      <c r="NX11" s="172"/>
      <c r="NY11" s="172"/>
      <c r="NZ11" s="172"/>
      <c r="OA11" s="172"/>
      <c r="OB11" s="172"/>
      <c r="OC11" s="172"/>
      <c r="OD11" s="172"/>
      <c r="OE11" s="172"/>
      <c r="OF11" s="172"/>
      <c r="OG11" s="172"/>
      <c r="OH11" s="172"/>
      <c r="OI11" s="172"/>
      <c r="OJ11" s="172"/>
      <c r="OK11" s="172"/>
      <c r="OL11" s="172"/>
      <c r="OM11" s="172"/>
      <c r="ON11" s="172"/>
      <c r="OO11" s="172"/>
      <c r="OP11" s="172"/>
      <c r="OQ11" s="172"/>
      <c r="OR11" s="172"/>
      <c r="OS11" s="172"/>
      <c r="OT11" s="172"/>
      <c r="OU11" s="172"/>
      <c r="OV11" s="172"/>
      <c r="OW11" s="172"/>
      <c r="OX11" s="172"/>
      <c r="OY11" s="172"/>
      <c r="OZ11" s="172"/>
      <c r="PA11" s="172"/>
      <c r="PB11" s="172"/>
      <c r="PC11" s="172"/>
      <c r="PD11" s="172"/>
      <c r="PE11" s="172"/>
      <c r="PF11" s="172"/>
      <c r="PG11" s="172"/>
      <c r="PH11" s="172"/>
      <c r="PI11" s="172"/>
      <c r="PJ11" s="172"/>
      <c r="PK11" s="172"/>
      <c r="PL11" s="172"/>
      <c r="PM11" s="172"/>
      <c r="PN11" s="172"/>
      <c r="PO11" s="172"/>
      <c r="PP11" s="172"/>
      <c r="PQ11" s="172"/>
      <c r="PR11" s="172"/>
      <c r="PS11" s="172"/>
      <c r="PT11" s="172"/>
      <c r="PU11" s="172"/>
      <c r="PV11" s="172"/>
      <c r="PW11" s="172"/>
      <c r="PX11" s="172"/>
      <c r="PY11" s="172"/>
      <c r="PZ11" s="172"/>
      <c r="QA11" s="172"/>
      <c r="QB11" s="172"/>
      <c r="QC11" s="172"/>
      <c r="QD11" s="172"/>
      <c r="QE11" s="172"/>
      <c r="QF11" s="172"/>
      <c r="QG11" s="172"/>
      <c r="QH11" s="172"/>
      <c r="QI11" s="172"/>
      <c r="QJ11" s="172"/>
      <c r="QK11" s="172"/>
      <c r="QL11" s="172"/>
      <c r="QM11" s="172"/>
      <c r="QN11" s="172"/>
      <c r="QO11" s="172"/>
      <c r="QP11" s="172"/>
      <c r="QQ11" s="172"/>
      <c r="QR11" s="172"/>
      <c r="QS11" s="172"/>
      <c r="QT11" s="172"/>
      <c r="QU11" s="172"/>
      <c r="QV11" s="172"/>
      <c r="QW11" s="172"/>
      <c r="QX11" s="172"/>
      <c r="QY11" s="172"/>
      <c r="QZ11" s="172"/>
      <c r="RA11" s="172"/>
      <c r="RB11" s="172"/>
      <c r="RC11" s="172"/>
      <c r="RD11" s="172"/>
      <c r="RE11" s="172"/>
      <c r="RF11" s="172"/>
      <c r="RG11" s="172"/>
      <c r="RH11" s="172"/>
      <c r="RI11" s="172"/>
      <c r="RJ11" s="172"/>
      <c r="RK11" s="172"/>
      <c r="RL11" s="172"/>
      <c r="RM11" s="172"/>
      <c r="RN11" s="172"/>
      <c r="RO11" s="172"/>
      <c r="RP11" s="172"/>
      <c r="RQ11" s="172"/>
      <c r="RR11" s="172"/>
      <c r="RS11" s="172"/>
      <c r="RT11" s="172"/>
      <c r="RU11" s="172"/>
      <c r="RV11" s="172"/>
      <c r="RW11" s="172"/>
      <c r="RX11" s="172"/>
      <c r="RY11" s="172"/>
      <c r="RZ11" s="172"/>
      <c r="SA11" s="172"/>
      <c r="SB11" s="172"/>
      <c r="SC11" s="172"/>
      <c r="SD11" s="172"/>
      <c r="SE11" s="172"/>
      <c r="SF11" s="172"/>
      <c r="SG11" s="172"/>
      <c r="SH11" s="172"/>
      <c r="SI11" s="172"/>
      <c r="SJ11" s="172"/>
      <c r="SK11" s="172"/>
      <c r="SL11" s="172"/>
      <c r="SM11" s="172"/>
      <c r="SN11" s="172"/>
      <c r="SO11" s="172"/>
      <c r="SP11" s="172"/>
      <c r="SQ11" s="172"/>
      <c r="SR11" s="172"/>
      <c r="SS11" s="172"/>
      <c r="ST11" s="172"/>
      <c r="SU11" s="172"/>
      <c r="SV11" s="172"/>
      <c r="SW11" s="172"/>
      <c r="SX11" s="172"/>
      <c r="SY11" s="172"/>
      <c r="SZ11" s="172"/>
      <c r="TA11" s="172"/>
      <c r="TB11" s="172"/>
      <c r="TC11" s="172"/>
      <c r="TD11" s="172"/>
      <c r="TE11" s="172"/>
      <c r="TF11" s="172"/>
      <c r="TG11" s="172"/>
      <c r="TH11" s="172"/>
      <c r="TI11" s="172"/>
      <c r="TJ11" s="172"/>
      <c r="TK11" s="172"/>
      <c r="TL11" s="172"/>
      <c r="TM11" s="172"/>
      <c r="TN11" s="172"/>
      <c r="TO11" s="172"/>
      <c r="TP11" s="172"/>
      <c r="TQ11" s="172"/>
      <c r="TR11" s="172"/>
      <c r="TS11" s="172"/>
      <c r="TT11" s="172"/>
      <c r="TU11" s="172"/>
      <c r="TV11" s="172"/>
      <c r="TW11" s="172"/>
      <c r="TX11" s="172"/>
      <c r="TY11" s="172"/>
      <c r="TZ11" s="172"/>
      <c r="UA11" s="172"/>
      <c r="UB11" s="172"/>
      <c r="UC11" s="172"/>
      <c r="UD11" s="172"/>
      <c r="UE11" s="172"/>
      <c r="UF11" s="172"/>
      <c r="UG11" s="172"/>
      <c r="UH11" s="172"/>
      <c r="UI11" s="172"/>
      <c r="UJ11" s="172"/>
      <c r="UK11" s="172"/>
      <c r="UL11" s="172"/>
      <c r="UM11" s="172"/>
      <c r="UN11" s="172"/>
      <c r="UO11" s="172"/>
      <c r="UP11" s="172"/>
      <c r="UQ11" s="172"/>
      <c r="UR11" s="172"/>
      <c r="US11" s="172"/>
      <c r="UT11" s="172"/>
      <c r="UU11" s="172"/>
      <c r="UV11" s="172"/>
      <c r="UW11" s="172"/>
      <c r="UX11" s="172"/>
      <c r="UY11" s="172"/>
      <c r="UZ11" s="172"/>
      <c r="VA11" s="172"/>
      <c r="VB11" s="172"/>
      <c r="VC11" s="172"/>
      <c r="VD11" s="172"/>
      <c r="VE11" s="172"/>
      <c r="VF11" s="172"/>
      <c r="VG11" s="172"/>
      <c r="VH11" s="172"/>
      <c r="VI11" s="172"/>
      <c r="VJ11" s="172"/>
      <c r="VK11" s="172"/>
      <c r="VL11" s="172"/>
      <c r="VM11" s="172"/>
      <c r="VN11" s="172"/>
      <c r="VO11" s="172"/>
      <c r="VP11" s="172"/>
      <c r="VQ11" s="172"/>
      <c r="VR11" s="172"/>
      <c r="VS11" s="172"/>
      <c r="VT11" s="172"/>
      <c r="VU11" s="172"/>
      <c r="VV11" s="172"/>
      <c r="VW11" s="172"/>
      <c r="VX11" s="172"/>
      <c r="VY11" s="172"/>
      <c r="VZ11" s="172"/>
      <c r="WA11" s="172"/>
      <c r="WB11" s="172"/>
      <c r="WC11" s="172"/>
      <c r="WD11" s="172"/>
      <c r="WE11" s="172"/>
      <c r="WF11" s="172"/>
      <c r="WG11" s="172"/>
      <c r="WH11" s="172"/>
      <c r="WI11" s="172"/>
      <c r="WJ11" s="172"/>
      <c r="WK11" s="172"/>
      <c r="WL11" s="172"/>
      <c r="WM11" s="172"/>
      <c r="WN11" s="172"/>
      <c r="WO11" s="172"/>
      <c r="WP11" s="172"/>
      <c r="WQ11" s="172"/>
      <c r="WR11" s="172"/>
      <c r="WS11" s="172"/>
      <c r="WT11" s="172"/>
      <c r="WU11" s="172"/>
      <c r="WV11" s="172"/>
      <c r="WW11" s="172"/>
      <c r="WX11" s="172"/>
      <c r="WY11" s="172"/>
      <c r="WZ11" s="172"/>
      <c r="XA11" s="172"/>
      <c r="XB11" s="172"/>
      <c r="XC11" s="172"/>
      <c r="XD11" s="172"/>
      <c r="XE11" s="172"/>
      <c r="XF11" s="172"/>
      <c r="XG11" s="172"/>
      <c r="XH11" s="172"/>
      <c r="XI11" s="172"/>
      <c r="XJ11" s="172"/>
      <c r="XK11" s="172"/>
      <c r="XL11" s="172"/>
      <c r="XM11" s="172"/>
      <c r="XN11" s="172"/>
      <c r="XO11" s="172"/>
      <c r="XP11" s="172"/>
      <c r="XQ11" s="172"/>
      <c r="XR11" s="172"/>
      <c r="XS11" s="172"/>
      <c r="XT11" s="172"/>
      <c r="XU11" s="172"/>
      <c r="XV11" s="172"/>
      <c r="XW11" s="172"/>
      <c r="XX11" s="172"/>
      <c r="XY11" s="172"/>
      <c r="XZ11" s="172"/>
      <c r="YA11" s="172"/>
      <c r="YB11" s="172"/>
      <c r="YC11" s="172"/>
      <c r="YD11" s="172"/>
      <c r="YE11" s="172"/>
      <c r="YF11" s="172"/>
      <c r="YG11" s="172"/>
      <c r="YH11" s="172"/>
      <c r="YI11" s="172"/>
      <c r="YJ11" s="172"/>
      <c r="YK11" s="172"/>
      <c r="YL11" s="172"/>
      <c r="YM11" s="172"/>
      <c r="YN11" s="172"/>
      <c r="YO11" s="172"/>
      <c r="YP11" s="172"/>
      <c r="YQ11" s="172"/>
      <c r="YR11" s="172"/>
      <c r="YS11" s="172"/>
      <c r="YT11" s="172"/>
      <c r="YU11" s="172"/>
      <c r="YV11" s="172"/>
      <c r="YW11" s="172"/>
      <c r="YX11" s="172"/>
      <c r="YY11" s="172"/>
      <c r="YZ11" s="172"/>
      <c r="ZA11" s="172"/>
      <c r="ZB11" s="172"/>
      <c r="ZC11" s="172"/>
      <c r="ZD11" s="172"/>
      <c r="ZE11" s="172"/>
      <c r="ZF11" s="172"/>
      <c r="ZG11" s="172"/>
      <c r="ZH11" s="172"/>
      <c r="ZI11" s="172"/>
      <c r="ZJ11" s="172"/>
      <c r="ZK11" s="172"/>
      <c r="ZL11" s="172"/>
      <c r="ZM11" s="172"/>
      <c r="ZN11" s="172"/>
      <c r="ZO11" s="172"/>
      <c r="ZP11" s="172"/>
      <c r="ZQ11" s="172"/>
      <c r="ZR11" s="172"/>
      <c r="ZS11" s="172"/>
      <c r="ZT11" s="172"/>
      <c r="ZU11" s="172"/>
      <c r="ZV11" s="172"/>
      <c r="ZW11" s="172"/>
      <c r="ZX11" s="172"/>
      <c r="ZY11" s="172"/>
      <c r="ZZ11" s="172"/>
      <c r="AAA11" s="172"/>
      <c r="AAB11" s="172"/>
      <c r="AAC11" s="172"/>
      <c r="AAD11" s="172"/>
      <c r="AAE11" s="172"/>
      <c r="AAF11" s="172"/>
      <c r="AAG11" s="172"/>
      <c r="AAH11" s="172"/>
      <c r="AAI11" s="172"/>
      <c r="AAJ11" s="172"/>
      <c r="AAK11" s="172"/>
      <c r="AAL11" s="172"/>
      <c r="AAM11" s="172"/>
      <c r="AAN11" s="172"/>
      <c r="AAO11" s="172"/>
      <c r="AAP11" s="172"/>
      <c r="AAQ11" s="172"/>
      <c r="AAR11" s="172"/>
      <c r="AAS11" s="172"/>
      <c r="AAT11" s="172"/>
      <c r="AAU11" s="172"/>
      <c r="AAV11" s="172"/>
      <c r="AAW11" s="172"/>
      <c r="AAX11" s="172"/>
      <c r="AAY11" s="172"/>
      <c r="AAZ11" s="172"/>
      <c r="ABA11" s="172"/>
      <c r="ABB11" s="172"/>
      <c r="ABC11" s="172"/>
      <c r="ABD11" s="172"/>
      <c r="ABE11" s="172"/>
      <c r="ABF11" s="172"/>
      <c r="ABG11" s="172"/>
      <c r="ABH11" s="172"/>
      <c r="ABI11" s="172"/>
      <c r="ABJ11" s="172"/>
      <c r="ABK11" s="172"/>
      <c r="ABL11" s="172"/>
      <c r="ABM11" s="172"/>
      <c r="ABN11" s="172"/>
      <c r="ABO11" s="172"/>
      <c r="ABP11" s="172"/>
      <c r="ABQ11" s="172"/>
      <c r="ABR11" s="172"/>
      <c r="ABS11" s="172"/>
      <c r="ABT11" s="172"/>
      <c r="ABU11" s="172"/>
      <c r="ABV11" s="172"/>
      <c r="ABW11" s="172"/>
      <c r="ABX11" s="172"/>
      <c r="ABY11" s="172"/>
      <c r="ABZ11" s="172"/>
      <c r="ACA11" s="172"/>
      <c r="ACB11" s="172"/>
      <c r="ACC11" s="172"/>
      <c r="ACD11" s="172"/>
      <c r="ACE11" s="172"/>
      <c r="ACF11" s="172"/>
      <c r="ACG11" s="172"/>
      <c r="ACH11" s="172"/>
      <c r="ACI11" s="172"/>
      <c r="ACJ11" s="172"/>
      <c r="ACK11" s="172"/>
      <c r="ACL11" s="172"/>
      <c r="ACM11" s="172"/>
      <c r="ACN11" s="172"/>
      <c r="ACO11" s="172"/>
      <c r="ACP11" s="172"/>
      <c r="ACQ11" s="172"/>
      <c r="ACR11" s="172"/>
      <c r="ACS11" s="172"/>
      <c r="ACT11" s="172"/>
      <c r="ACU11" s="172"/>
      <c r="ACV11" s="172"/>
      <c r="ACW11" s="172"/>
      <c r="ACX11" s="172"/>
      <c r="ACY11" s="172"/>
      <c r="ACZ11" s="172"/>
      <c r="ADA11" s="172"/>
      <c r="ADB11" s="172"/>
      <c r="ADC11" s="172"/>
      <c r="ADD11" s="172"/>
      <c r="ADE11" s="172"/>
      <c r="ADF11" s="172"/>
      <c r="ADG11" s="172"/>
      <c r="ADH11" s="172"/>
      <c r="ADI11" s="172"/>
      <c r="ADJ11" s="172"/>
      <c r="ADK11" s="172"/>
      <c r="ADL11" s="172"/>
      <c r="ADM11" s="172"/>
      <c r="ADN11" s="172"/>
      <c r="ADO11" s="172"/>
      <c r="ADP11" s="172"/>
      <c r="ADQ11" s="172"/>
      <c r="ADR11" s="172"/>
      <c r="ADS11" s="172"/>
      <c r="ADT11" s="172"/>
      <c r="ADU11" s="172"/>
      <c r="ADV11" s="172"/>
      <c r="ADW11" s="172"/>
      <c r="ADX11" s="172"/>
      <c r="ADY11" s="172"/>
      <c r="ADZ11" s="172"/>
      <c r="AEA11" s="172"/>
      <c r="AEB11" s="172"/>
      <c r="AEC11" s="172"/>
      <c r="AED11" s="172"/>
      <c r="AEE11" s="172"/>
      <c r="AEF11" s="172"/>
      <c r="AEG11" s="172"/>
      <c r="AEH11" s="172"/>
      <c r="AEI11" s="172"/>
      <c r="AEJ11" s="172"/>
      <c r="AEK11" s="172"/>
      <c r="AEL11" s="172"/>
      <c r="AEM11" s="172"/>
      <c r="AEN11" s="172"/>
      <c r="AEO11" s="172"/>
      <c r="AEP11" s="172"/>
      <c r="AEQ11" s="172"/>
      <c r="AER11" s="172"/>
      <c r="AES11" s="172"/>
      <c r="AET11" s="172"/>
      <c r="AEU11" s="172"/>
      <c r="AEV11" s="172"/>
      <c r="AEW11" s="172"/>
      <c r="AEX11" s="172"/>
      <c r="AEY11" s="172"/>
      <c r="AEZ11" s="172"/>
      <c r="AFA11" s="172"/>
      <c r="AFB11" s="172"/>
      <c r="AFC11" s="172"/>
      <c r="AFD11" s="172"/>
      <c r="AFE11" s="172"/>
      <c r="AFF11" s="172"/>
      <c r="AFG11" s="172"/>
      <c r="AFH11" s="172"/>
      <c r="AFI11" s="172"/>
      <c r="AFJ11" s="172"/>
      <c r="AFK11" s="172"/>
      <c r="AFL11" s="172"/>
      <c r="AFM11" s="172"/>
      <c r="AFN11" s="172"/>
      <c r="AFO11" s="172"/>
      <c r="AFP11" s="172"/>
      <c r="AFQ11" s="172"/>
      <c r="AFR11" s="172"/>
      <c r="AFS11" s="172"/>
      <c r="AFT11" s="172"/>
      <c r="AFU11" s="172"/>
      <c r="AFV11" s="172"/>
      <c r="AFW11" s="172"/>
      <c r="AFX11" s="172"/>
      <c r="AFY11" s="172"/>
      <c r="AFZ11" s="172"/>
      <c r="AGA11" s="172"/>
      <c r="AGB11" s="172"/>
      <c r="AGC11" s="172"/>
      <c r="AGD11" s="172"/>
      <c r="AGE11" s="172"/>
      <c r="AGF11" s="172"/>
      <c r="AGG11" s="172"/>
      <c r="AGH11" s="172"/>
      <c r="AGI11" s="172"/>
      <c r="AGJ11" s="172"/>
      <c r="AGK11" s="172"/>
      <c r="AGL11" s="172"/>
      <c r="AGM11" s="172"/>
      <c r="AGN11" s="172"/>
      <c r="AGO11" s="172"/>
      <c r="AGP11" s="172"/>
      <c r="AGQ11" s="172"/>
      <c r="AGR11" s="172"/>
      <c r="AGS11" s="172"/>
      <c r="AGT11" s="172"/>
      <c r="AGU11" s="172"/>
      <c r="AGV11" s="172"/>
      <c r="AGW11" s="172"/>
      <c r="AGX11" s="172"/>
      <c r="AGY11" s="172"/>
      <c r="AGZ11" s="172"/>
      <c r="AHA11" s="172"/>
      <c r="AHB11" s="172"/>
      <c r="AHC11" s="172"/>
      <c r="AHD11" s="172"/>
      <c r="AHE11" s="172"/>
      <c r="AHF11" s="172"/>
      <c r="AHG11" s="172"/>
      <c r="AHH11" s="172"/>
      <c r="AHI11" s="172"/>
      <c r="AHJ11" s="172"/>
      <c r="AHK11" s="172"/>
      <c r="AHL11" s="172"/>
      <c r="AHM11" s="172"/>
      <c r="AHN11" s="172"/>
      <c r="AHO11" s="172"/>
      <c r="AHP11" s="172"/>
      <c r="AHQ11" s="172"/>
      <c r="AHR11" s="172"/>
      <c r="AHS11" s="172"/>
      <c r="AHT11" s="172"/>
      <c r="AHU11" s="172"/>
      <c r="AHV11" s="172"/>
      <c r="AHW11" s="172"/>
      <c r="AHX11" s="172"/>
      <c r="AHY11" s="172"/>
      <c r="AHZ11" s="172"/>
      <c r="AIA11" s="172"/>
      <c r="AIB11" s="172"/>
      <c r="AIC11" s="172"/>
      <c r="AID11" s="172"/>
      <c r="AIE11" s="172"/>
      <c r="AIF11" s="172"/>
      <c r="AIG11" s="172"/>
      <c r="AIH11" s="172"/>
      <c r="AII11" s="172"/>
      <c r="AIJ11" s="172"/>
      <c r="AIK11" s="172"/>
      <c r="AIL11" s="172"/>
      <c r="AIM11" s="172"/>
      <c r="AIN11" s="172"/>
      <c r="AIO11" s="172"/>
      <c r="AIP11" s="172"/>
      <c r="AIQ11" s="172"/>
      <c r="AIR11" s="172"/>
      <c r="AIS11" s="172"/>
      <c r="AIT11" s="172"/>
      <c r="AIU11" s="172"/>
      <c r="AIV11" s="172"/>
      <c r="AIW11" s="172"/>
      <c r="AIX11" s="172"/>
      <c r="AIY11" s="172"/>
      <c r="AIZ11" s="172"/>
      <c r="AJA11" s="172"/>
      <c r="AJB11" s="172"/>
      <c r="AJC11" s="172"/>
      <c r="AJD11" s="172"/>
      <c r="AJE11" s="172"/>
      <c r="AJF11" s="172"/>
      <c r="AJG11" s="172"/>
      <c r="AJH11" s="172"/>
      <c r="AJI11" s="172"/>
      <c r="AJJ11" s="172"/>
      <c r="AJK11" s="172"/>
      <c r="AJL11" s="172"/>
      <c r="AJM11" s="172"/>
      <c r="AJN11" s="172"/>
      <c r="AJO11" s="172"/>
      <c r="AJP11" s="172"/>
      <c r="AJQ11" s="172"/>
      <c r="AJR11" s="172"/>
      <c r="AJS11" s="172"/>
      <c r="AJT11" s="172"/>
      <c r="AJU11" s="172"/>
      <c r="AJV11" s="172"/>
      <c r="AJW11" s="172"/>
      <c r="AJX11" s="172"/>
      <c r="AJY11" s="172"/>
      <c r="AJZ11" s="172"/>
      <c r="AKA11" s="172"/>
      <c r="AKB11" s="172"/>
      <c r="AKC11" s="172"/>
      <c r="AKD11" s="172"/>
      <c r="AKE11" s="172"/>
      <c r="AKF11" s="172"/>
      <c r="AKG11" s="172"/>
      <c r="AKH11" s="172"/>
      <c r="AKI11" s="172"/>
      <c r="AKJ11" s="172"/>
      <c r="AKK11" s="172"/>
      <c r="AKL11" s="172"/>
      <c r="AKM11" s="172"/>
      <c r="AKN11" s="172"/>
      <c r="AKO11" s="172"/>
      <c r="AKP11" s="172"/>
      <c r="AKQ11" s="172"/>
      <c r="AKR11" s="172"/>
      <c r="AKS11" s="172"/>
      <c r="AKT11" s="172"/>
      <c r="AKU11" s="172"/>
      <c r="AKV11" s="172"/>
      <c r="AKW11" s="172"/>
      <c r="AKX11" s="172"/>
      <c r="AKY11" s="172"/>
      <c r="AKZ11" s="172"/>
      <c r="ALA11" s="172"/>
      <c r="ALB11" s="172"/>
      <c r="ALC11" s="172"/>
      <c r="ALD11" s="172"/>
      <c r="ALE11" s="172"/>
      <c r="ALF11" s="172"/>
      <c r="ALG11" s="172"/>
      <c r="ALH11" s="172"/>
      <c r="ALI11" s="172"/>
      <c r="ALJ11" s="172"/>
      <c r="ALK11" s="172"/>
      <c r="ALL11" s="172"/>
      <c r="ALM11" s="172"/>
      <c r="ALN11" s="172"/>
      <c r="ALO11" s="172"/>
      <c r="ALP11" s="172"/>
      <c r="ALQ11" s="172"/>
      <c r="ALR11" s="172"/>
      <c r="ALS11" s="172"/>
      <c r="ALT11" s="172"/>
      <c r="ALU11" s="172"/>
      <c r="ALV11" s="172"/>
      <c r="ALW11" s="172"/>
      <c r="ALX11" s="172"/>
      <c r="ALY11" s="172"/>
      <c r="ALZ11" s="172"/>
      <c r="AMA11" s="172"/>
      <c r="AMB11" s="172"/>
      <c r="AMC11" s="172"/>
      <c r="AMD11" s="172"/>
      <c r="AME11" s="172"/>
      <c r="AMF11" s="172"/>
      <c r="AMG11" s="172"/>
      <c r="AMH11" s="172"/>
      <c r="AMI11" s="172"/>
      <c r="AMJ11" s="172"/>
      <c r="AMK11" s="172"/>
      <c r="AML11" s="172"/>
      <c r="AMM11" s="172"/>
      <c r="AMN11" s="172"/>
      <c r="AMO11" s="172"/>
      <c r="AMP11" s="172"/>
      <c r="AMQ11" s="172"/>
      <c r="AMR11" s="172"/>
      <c r="AMS11" s="172"/>
      <c r="AMT11" s="172"/>
      <c r="AMU11" s="172"/>
      <c r="AMV11" s="172"/>
      <c r="AMW11" s="172"/>
      <c r="AMX11" s="172"/>
      <c r="AMY11" s="172"/>
      <c r="AMZ11" s="172"/>
      <c r="ANA11" s="172"/>
      <c r="ANB11" s="172"/>
      <c r="ANC11" s="172"/>
      <c r="AND11" s="172"/>
      <c r="ANE11" s="172"/>
      <c r="ANF11" s="172"/>
      <c r="ANG11" s="172"/>
      <c r="ANH11" s="172"/>
      <c r="ANI11" s="172"/>
      <c r="ANJ11" s="172"/>
      <c r="ANK11" s="172"/>
      <c r="ANL11" s="172"/>
      <c r="ANM11" s="172"/>
      <c r="ANN11" s="172"/>
      <c r="ANO11" s="172"/>
      <c r="ANP11" s="172"/>
      <c r="ANQ11" s="172"/>
      <c r="ANR11" s="172"/>
      <c r="ANS11" s="172"/>
      <c r="ANT11" s="172"/>
      <c r="ANU11" s="172"/>
      <c r="ANV11" s="172"/>
      <c r="ANW11" s="172"/>
      <c r="ANX11" s="172"/>
      <c r="ANY11" s="172"/>
      <c r="ANZ11" s="172"/>
      <c r="AOA11" s="172"/>
      <c r="AOB11" s="172"/>
      <c r="AOC11" s="172"/>
      <c r="AOD11" s="172"/>
      <c r="AOE11" s="172"/>
      <c r="AOF11" s="172"/>
      <c r="AOG11" s="172"/>
      <c r="AOH11" s="172"/>
      <c r="AOI11" s="172"/>
      <c r="AOJ11" s="172"/>
      <c r="AOK11" s="172"/>
      <c r="AOL11" s="172"/>
      <c r="AOM11" s="172"/>
      <c r="AON11" s="172"/>
      <c r="AOO11" s="172"/>
      <c r="AOP11" s="172"/>
      <c r="AOQ11" s="172"/>
      <c r="AOR11" s="172"/>
      <c r="AOS11" s="172"/>
      <c r="AOT11" s="172"/>
      <c r="AOU11" s="172"/>
      <c r="AOV11" s="172"/>
      <c r="AOW11" s="172"/>
      <c r="AOX11" s="172"/>
      <c r="AOY11" s="172"/>
      <c r="AOZ11" s="172"/>
      <c r="APA11" s="172"/>
      <c r="APB11" s="172"/>
      <c r="APC11" s="172"/>
      <c r="APD11" s="172"/>
      <c r="APE11" s="172"/>
      <c r="APF11" s="172"/>
      <c r="APG11" s="172"/>
      <c r="APH11" s="172"/>
      <c r="API11" s="172"/>
      <c r="APJ11" s="172"/>
      <c r="APK11" s="172"/>
      <c r="APL11" s="172"/>
      <c r="APM11" s="172"/>
      <c r="APN11" s="172"/>
      <c r="APO11" s="172"/>
      <c r="APP11" s="172"/>
      <c r="APQ11" s="172"/>
      <c r="APR11" s="172"/>
      <c r="APS11" s="172"/>
      <c r="APT11" s="172"/>
      <c r="APU11" s="172"/>
      <c r="APV11" s="172"/>
      <c r="APW11" s="172"/>
      <c r="APX11" s="172"/>
      <c r="APY11" s="172"/>
      <c r="APZ11" s="172"/>
      <c r="AQA11" s="172"/>
      <c r="AQB11" s="172"/>
      <c r="AQC11" s="172"/>
      <c r="AQD11" s="172"/>
      <c r="AQE11" s="172"/>
      <c r="AQF11" s="172"/>
      <c r="AQG11" s="172"/>
      <c r="AQH11" s="172"/>
      <c r="AQI11" s="172"/>
      <c r="AQJ11" s="172"/>
      <c r="AQK11" s="172"/>
      <c r="AQL11" s="172"/>
      <c r="AQM11" s="172"/>
      <c r="AQN11" s="172"/>
      <c r="AQO11" s="172"/>
      <c r="AQP11" s="172"/>
      <c r="AQQ11" s="172"/>
      <c r="AQR11" s="172"/>
      <c r="AQS11" s="172"/>
      <c r="AQT11" s="172"/>
      <c r="AQU11" s="172"/>
      <c r="AQV11" s="172"/>
      <c r="AQW11" s="172"/>
      <c r="AQX11" s="172"/>
      <c r="AQY11" s="172"/>
      <c r="AQZ11" s="172"/>
      <c r="ARA11" s="172"/>
      <c r="ARB11" s="172"/>
      <c r="ARC11" s="172"/>
      <c r="ARD11" s="172"/>
      <c r="ARE11" s="172"/>
      <c r="ARF11" s="172"/>
      <c r="ARG11" s="172"/>
      <c r="ARH11" s="172"/>
      <c r="ARI11" s="172"/>
      <c r="ARJ11" s="172"/>
      <c r="ARK11" s="172"/>
      <c r="ARL11" s="172"/>
      <c r="ARM11" s="172"/>
      <c r="ARN11" s="172"/>
      <c r="ARO11" s="172"/>
      <c r="ARP11" s="172"/>
      <c r="ARQ11" s="172"/>
      <c r="ARR11" s="172"/>
      <c r="ARS11" s="172"/>
      <c r="ART11" s="172"/>
      <c r="ARU11" s="172"/>
    </row>
    <row r="12" spans="1:1165" s="257" customFormat="1">
      <c r="A12" s="222" t="s">
        <v>158</v>
      </c>
      <c r="B12" s="195" t="s">
        <v>87</v>
      </c>
      <c r="C12" s="258">
        <v>37331</v>
      </c>
      <c r="D12" s="258">
        <v>187070</v>
      </c>
      <c r="E12" s="258">
        <v>0</v>
      </c>
      <c r="F12" s="258">
        <v>0</v>
      </c>
      <c r="G12" s="258">
        <v>0</v>
      </c>
      <c r="H12" s="258">
        <v>0</v>
      </c>
      <c r="I12" s="258">
        <v>0</v>
      </c>
      <c r="J12" s="258">
        <v>0</v>
      </c>
      <c r="K12" s="258">
        <v>0</v>
      </c>
      <c r="L12" s="258">
        <v>0</v>
      </c>
      <c r="M12" s="258">
        <v>0</v>
      </c>
      <c r="N12" s="258">
        <v>0</v>
      </c>
      <c r="O12" s="258">
        <v>0</v>
      </c>
      <c r="P12" s="258">
        <v>0</v>
      </c>
      <c r="Q12" s="258">
        <v>0</v>
      </c>
      <c r="R12" s="258">
        <v>0</v>
      </c>
      <c r="S12" s="258">
        <v>0</v>
      </c>
      <c r="T12" s="258">
        <v>0</v>
      </c>
      <c r="U12" s="258">
        <v>0</v>
      </c>
      <c r="V12" s="258">
        <v>0</v>
      </c>
      <c r="W12" s="258">
        <v>0</v>
      </c>
      <c r="X12" s="258">
        <v>0</v>
      </c>
      <c r="Y12" s="258">
        <v>0</v>
      </c>
      <c r="Z12" s="258">
        <v>0</v>
      </c>
      <c r="AA12" s="258">
        <v>0</v>
      </c>
      <c r="AB12" s="258">
        <v>0</v>
      </c>
      <c r="AC12" s="258">
        <v>0</v>
      </c>
      <c r="AD12" s="258">
        <v>0</v>
      </c>
      <c r="AE12" s="258">
        <v>0</v>
      </c>
      <c r="AF12" s="258">
        <v>0</v>
      </c>
      <c r="AG12" s="258">
        <v>0</v>
      </c>
      <c r="AH12" s="258">
        <v>0</v>
      </c>
      <c r="AI12" s="258">
        <v>0</v>
      </c>
      <c r="AJ12" s="258">
        <v>0</v>
      </c>
      <c r="AK12" s="258">
        <v>0</v>
      </c>
      <c r="AL12" s="258">
        <v>0</v>
      </c>
      <c r="AM12" s="258">
        <v>0</v>
      </c>
      <c r="AN12" s="258">
        <v>0</v>
      </c>
      <c r="AO12" s="258">
        <v>0</v>
      </c>
      <c r="AP12" s="258">
        <v>0</v>
      </c>
      <c r="AQ12" s="258">
        <v>0</v>
      </c>
      <c r="AR12" s="258">
        <v>0</v>
      </c>
      <c r="AS12" s="258">
        <v>0</v>
      </c>
      <c r="AT12" s="258">
        <v>0</v>
      </c>
      <c r="AU12" s="258">
        <v>0</v>
      </c>
      <c r="AV12" s="258">
        <v>0</v>
      </c>
      <c r="AW12" s="258">
        <v>0</v>
      </c>
      <c r="AX12" s="258">
        <v>0</v>
      </c>
      <c r="AY12" s="258">
        <v>0</v>
      </c>
      <c r="AZ12" s="258">
        <v>0</v>
      </c>
      <c r="BA12" s="262"/>
      <c r="BB12" s="258"/>
      <c r="BC12" s="258"/>
      <c r="BD12" s="258"/>
      <c r="BE12" s="258"/>
      <c r="BF12" s="258"/>
      <c r="BG12" s="258"/>
      <c r="BH12" s="258"/>
      <c r="BI12" s="262"/>
      <c r="BJ12" s="258">
        <f t="shared" ref="BJ12:BJ13" si="48">C12+G12+I12+K12+M12+O12+Q12+S12+U12+W12+Y12+AA12+AC12+AE12+AG12+AI12+AK12+AM12+AO12+AQ12+AS12+AU12+AW12+AY12+BB12+BF12</f>
        <v>37331</v>
      </c>
      <c r="BK12" s="258">
        <f>D12+H12+J12+L12+N12+P12+R12+T12+V12+X12+Z12+AB12+AD12+AF12+AH12+AJ12+AL12+AN12+AP12+AR12+AT12+AV12+AX12+AZ12+BD12+BH12</f>
        <v>187070</v>
      </c>
      <c r="BL12" s="172"/>
      <c r="BM12" s="231"/>
      <c r="BN12" s="231"/>
      <c r="BO12" s="231"/>
      <c r="BP12" s="231"/>
      <c r="BQ12" s="172"/>
      <c r="BR12" s="172"/>
      <c r="BS12" s="172"/>
      <c r="BT12" s="172"/>
      <c r="BU12" s="172"/>
      <c r="BV12" s="172"/>
      <c r="BW12" s="172"/>
      <c r="BX12" s="172"/>
      <c r="BY12" s="172"/>
      <c r="BZ12" s="172"/>
      <c r="CA12" s="172"/>
      <c r="CB12" s="172"/>
      <c r="CC12" s="172"/>
      <c r="CD12" s="172"/>
      <c r="CE12" s="172"/>
      <c r="CF12" s="172"/>
      <c r="CG12" s="172"/>
      <c r="CH12" s="172"/>
      <c r="CI12" s="172"/>
      <c r="CJ12" s="172"/>
      <c r="CK12" s="172"/>
      <c r="CL12" s="172"/>
      <c r="CM12" s="172"/>
      <c r="CN12" s="172"/>
      <c r="CO12" s="172"/>
      <c r="CP12" s="172"/>
      <c r="CQ12" s="172"/>
      <c r="CR12" s="172"/>
      <c r="CS12" s="172"/>
      <c r="CT12" s="172"/>
      <c r="CU12" s="172"/>
      <c r="CV12" s="172"/>
      <c r="CW12" s="172"/>
      <c r="CX12" s="172"/>
      <c r="CY12" s="172"/>
      <c r="CZ12" s="172"/>
      <c r="DA12" s="172"/>
      <c r="DB12" s="172"/>
      <c r="DC12" s="172"/>
      <c r="DD12" s="172"/>
      <c r="DE12" s="172"/>
      <c r="DF12" s="172"/>
      <c r="DG12" s="172"/>
      <c r="DH12" s="172"/>
      <c r="DI12" s="172"/>
      <c r="DJ12" s="172"/>
      <c r="DK12" s="172"/>
      <c r="DL12" s="172"/>
      <c r="DM12" s="172"/>
      <c r="DN12" s="172"/>
      <c r="DO12" s="172"/>
      <c r="DP12" s="172"/>
      <c r="DQ12" s="172"/>
      <c r="DR12" s="172"/>
      <c r="DS12" s="172"/>
      <c r="DT12" s="172"/>
      <c r="DU12" s="172"/>
      <c r="DV12" s="172"/>
      <c r="DW12" s="172"/>
      <c r="DX12" s="172"/>
      <c r="DY12" s="172"/>
      <c r="DZ12" s="172"/>
      <c r="EA12" s="172"/>
      <c r="EB12" s="172"/>
      <c r="EC12" s="172"/>
      <c r="ED12" s="172"/>
      <c r="EE12" s="172"/>
      <c r="EF12" s="172"/>
      <c r="EG12" s="172"/>
      <c r="EH12" s="172"/>
      <c r="EI12" s="172"/>
      <c r="EJ12" s="172"/>
      <c r="EK12" s="172"/>
      <c r="EL12" s="172"/>
      <c r="EM12" s="172"/>
      <c r="EN12" s="172"/>
      <c r="EO12" s="172"/>
      <c r="EP12" s="172"/>
      <c r="EQ12" s="172"/>
      <c r="ER12" s="172"/>
      <c r="ES12" s="172"/>
      <c r="ET12" s="172"/>
      <c r="EU12" s="172"/>
      <c r="EV12" s="172"/>
      <c r="EW12" s="172"/>
      <c r="EX12" s="172"/>
      <c r="EY12" s="172"/>
      <c r="EZ12" s="172"/>
      <c r="FA12" s="172"/>
      <c r="FB12" s="172"/>
      <c r="FC12" s="172"/>
      <c r="FD12" s="172"/>
      <c r="FE12" s="172"/>
      <c r="FF12" s="172"/>
      <c r="FG12" s="172"/>
      <c r="FH12" s="172"/>
      <c r="FI12" s="172"/>
      <c r="FJ12" s="172"/>
      <c r="FK12" s="172"/>
      <c r="FL12" s="172"/>
      <c r="FM12" s="172"/>
      <c r="FN12" s="172"/>
      <c r="FO12" s="172"/>
      <c r="FP12" s="172"/>
      <c r="FQ12" s="172"/>
      <c r="FR12" s="172"/>
      <c r="FS12" s="172"/>
      <c r="FT12" s="172"/>
      <c r="FU12" s="172"/>
      <c r="FV12" s="172"/>
      <c r="FW12" s="172"/>
      <c r="FX12" s="172"/>
      <c r="FY12" s="172"/>
      <c r="FZ12" s="172"/>
      <c r="GA12" s="172"/>
      <c r="GB12" s="172"/>
      <c r="GC12" s="172"/>
      <c r="GD12" s="172"/>
      <c r="GE12" s="172"/>
      <c r="GF12" s="172"/>
      <c r="GG12" s="172"/>
      <c r="GH12" s="172"/>
      <c r="GI12" s="172"/>
      <c r="GJ12" s="172"/>
      <c r="GK12" s="172"/>
      <c r="GL12" s="172"/>
      <c r="GM12" s="172"/>
      <c r="GN12" s="172"/>
      <c r="GO12" s="172"/>
      <c r="GP12" s="172"/>
      <c r="GQ12" s="172"/>
      <c r="GR12" s="172"/>
      <c r="GS12" s="172"/>
      <c r="GT12" s="172"/>
      <c r="GU12" s="172"/>
      <c r="GV12" s="172"/>
      <c r="GW12" s="172"/>
      <c r="GX12" s="172"/>
      <c r="GY12" s="172"/>
      <c r="GZ12" s="172"/>
      <c r="HA12" s="172"/>
      <c r="HB12" s="172"/>
      <c r="HC12" s="172"/>
      <c r="HD12" s="172"/>
      <c r="HE12" s="172"/>
      <c r="HF12" s="172"/>
      <c r="HG12" s="172"/>
      <c r="HH12" s="172"/>
      <c r="HI12" s="172"/>
      <c r="HJ12" s="172"/>
      <c r="HK12" s="172"/>
      <c r="HL12" s="172"/>
      <c r="HM12" s="172"/>
      <c r="HN12" s="172"/>
      <c r="HO12" s="172"/>
      <c r="HP12" s="172"/>
      <c r="HQ12" s="172"/>
      <c r="HR12" s="172"/>
      <c r="HS12" s="172"/>
      <c r="HT12" s="172"/>
      <c r="HU12" s="172"/>
      <c r="HV12" s="172"/>
      <c r="HW12" s="172"/>
      <c r="HX12" s="172"/>
      <c r="HY12" s="172"/>
      <c r="HZ12" s="172"/>
      <c r="IA12" s="172"/>
      <c r="IB12" s="172"/>
      <c r="IC12" s="172"/>
      <c r="ID12" s="172"/>
      <c r="IE12" s="172"/>
      <c r="IF12" s="172"/>
      <c r="IG12" s="172"/>
      <c r="IH12" s="172"/>
      <c r="II12" s="172"/>
      <c r="IJ12" s="172"/>
      <c r="IK12" s="172"/>
      <c r="IL12" s="172"/>
      <c r="IM12" s="172"/>
      <c r="IN12" s="172"/>
      <c r="IO12" s="172"/>
      <c r="IP12" s="172"/>
      <c r="IQ12" s="172"/>
      <c r="IR12" s="172"/>
      <c r="IS12" s="172"/>
      <c r="IT12" s="172"/>
      <c r="IU12" s="172"/>
      <c r="IV12" s="172"/>
      <c r="IW12" s="172"/>
      <c r="IX12" s="172"/>
      <c r="IY12" s="172"/>
      <c r="IZ12" s="172"/>
      <c r="JA12" s="172"/>
      <c r="JB12" s="172"/>
      <c r="JC12" s="172"/>
      <c r="JD12" s="172"/>
      <c r="JE12" s="172"/>
      <c r="JF12" s="172"/>
      <c r="JG12" s="172"/>
      <c r="JH12" s="172"/>
      <c r="JI12" s="172"/>
      <c r="JJ12" s="172"/>
      <c r="JK12" s="172"/>
      <c r="JL12" s="172"/>
      <c r="JM12" s="172"/>
      <c r="JN12" s="172"/>
      <c r="JO12" s="172"/>
      <c r="JP12" s="172"/>
      <c r="JQ12" s="172"/>
      <c r="JR12" s="172"/>
      <c r="JS12" s="172"/>
      <c r="JT12" s="172"/>
      <c r="JU12" s="172"/>
      <c r="JV12" s="172"/>
      <c r="JW12" s="172"/>
      <c r="JX12" s="172"/>
      <c r="JY12" s="172"/>
      <c r="JZ12" s="172"/>
      <c r="KA12" s="172"/>
      <c r="KB12" s="172"/>
      <c r="KC12" s="172"/>
      <c r="KD12" s="172"/>
      <c r="KE12" s="172"/>
      <c r="KF12" s="172"/>
      <c r="KG12" s="172"/>
      <c r="KH12" s="172"/>
      <c r="KI12" s="172"/>
      <c r="KJ12" s="172"/>
      <c r="KK12" s="172"/>
      <c r="KL12" s="172"/>
      <c r="KM12" s="172"/>
      <c r="KN12" s="172"/>
      <c r="KO12" s="172"/>
      <c r="KP12" s="172"/>
      <c r="KQ12" s="172"/>
      <c r="KR12" s="172"/>
      <c r="KS12" s="172"/>
      <c r="KT12" s="172"/>
      <c r="KU12" s="172"/>
      <c r="KV12" s="172"/>
      <c r="KW12" s="172"/>
      <c r="KX12" s="172"/>
      <c r="KY12" s="172"/>
      <c r="KZ12" s="172"/>
      <c r="LA12" s="172"/>
      <c r="LB12" s="172"/>
      <c r="LC12" s="172"/>
      <c r="LD12" s="172"/>
      <c r="LE12" s="172"/>
      <c r="LF12" s="172"/>
      <c r="LG12" s="172"/>
      <c r="LH12" s="172"/>
      <c r="LI12" s="172"/>
      <c r="LJ12" s="172"/>
      <c r="LK12" s="172"/>
      <c r="LL12" s="172"/>
      <c r="LM12" s="172"/>
      <c r="LN12" s="172"/>
      <c r="LO12" s="172"/>
      <c r="LP12" s="172"/>
      <c r="LQ12" s="172"/>
      <c r="LR12" s="172"/>
      <c r="LS12" s="172"/>
      <c r="LT12" s="172"/>
      <c r="LU12" s="172"/>
      <c r="LV12" s="172"/>
      <c r="LW12" s="172"/>
      <c r="LX12" s="172"/>
      <c r="LY12" s="172"/>
      <c r="LZ12" s="172"/>
      <c r="MA12" s="172"/>
      <c r="MB12" s="172"/>
      <c r="MC12" s="172"/>
      <c r="MD12" s="172"/>
      <c r="ME12" s="172"/>
      <c r="MF12" s="172"/>
      <c r="MG12" s="172"/>
      <c r="MH12" s="172"/>
      <c r="MI12" s="172"/>
      <c r="MJ12" s="172"/>
      <c r="MK12" s="172"/>
      <c r="ML12" s="172"/>
      <c r="MM12" s="172"/>
      <c r="MN12" s="172"/>
      <c r="MO12" s="172"/>
      <c r="MP12" s="172"/>
      <c r="MQ12" s="172"/>
      <c r="MR12" s="172"/>
      <c r="MS12" s="172"/>
      <c r="MT12" s="172"/>
      <c r="MU12" s="172"/>
      <c r="MV12" s="172"/>
      <c r="MW12" s="172"/>
      <c r="MX12" s="172"/>
      <c r="MY12" s="172"/>
      <c r="MZ12" s="172"/>
      <c r="NA12" s="172"/>
      <c r="NB12" s="172"/>
      <c r="NC12" s="172"/>
      <c r="ND12" s="172"/>
      <c r="NE12" s="172"/>
      <c r="NF12" s="172"/>
      <c r="NG12" s="172"/>
      <c r="NH12" s="172"/>
      <c r="NI12" s="172"/>
      <c r="NJ12" s="172"/>
      <c r="NK12" s="172"/>
      <c r="NL12" s="172"/>
      <c r="NM12" s="172"/>
      <c r="NN12" s="172"/>
      <c r="NO12" s="172"/>
      <c r="NP12" s="172"/>
      <c r="NQ12" s="172"/>
      <c r="NR12" s="172"/>
      <c r="NS12" s="172"/>
      <c r="NT12" s="172"/>
      <c r="NU12" s="172"/>
      <c r="NV12" s="172"/>
      <c r="NW12" s="172"/>
      <c r="NX12" s="172"/>
      <c r="NY12" s="172"/>
      <c r="NZ12" s="172"/>
      <c r="OA12" s="172"/>
      <c r="OB12" s="172"/>
      <c r="OC12" s="172"/>
      <c r="OD12" s="172"/>
      <c r="OE12" s="172"/>
      <c r="OF12" s="172"/>
      <c r="OG12" s="172"/>
      <c r="OH12" s="172"/>
      <c r="OI12" s="172"/>
      <c r="OJ12" s="172"/>
      <c r="OK12" s="172"/>
      <c r="OL12" s="172"/>
      <c r="OM12" s="172"/>
      <c r="ON12" s="172"/>
      <c r="OO12" s="172"/>
      <c r="OP12" s="172"/>
      <c r="OQ12" s="172"/>
      <c r="OR12" s="172"/>
      <c r="OS12" s="172"/>
      <c r="OT12" s="172"/>
      <c r="OU12" s="172"/>
      <c r="OV12" s="172"/>
      <c r="OW12" s="172"/>
      <c r="OX12" s="172"/>
      <c r="OY12" s="172"/>
      <c r="OZ12" s="172"/>
      <c r="PA12" s="172"/>
      <c r="PB12" s="172"/>
      <c r="PC12" s="172"/>
      <c r="PD12" s="172"/>
      <c r="PE12" s="172"/>
      <c r="PF12" s="172"/>
      <c r="PG12" s="172"/>
      <c r="PH12" s="172"/>
      <c r="PI12" s="172"/>
      <c r="PJ12" s="172"/>
      <c r="PK12" s="172"/>
      <c r="PL12" s="172"/>
      <c r="PM12" s="172"/>
      <c r="PN12" s="172"/>
      <c r="PO12" s="172"/>
      <c r="PP12" s="172"/>
      <c r="PQ12" s="172"/>
      <c r="PR12" s="172"/>
      <c r="PS12" s="172"/>
      <c r="PT12" s="172"/>
      <c r="PU12" s="172"/>
      <c r="PV12" s="172"/>
      <c r="PW12" s="172"/>
      <c r="PX12" s="172"/>
      <c r="PY12" s="172"/>
      <c r="PZ12" s="172"/>
      <c r="QA12" s="172"/>
      <c r="QB12" s="172"/>
      <c r="QC12" s="172"/>
      <c r="QD12" s="172"/>
      <c r="QE12" s="172"/>
      <c r="QF12" s="172"/>
      <c r="QG12" s="172"/>
      <c r="QH12" s="172"/>
      <c r="QI12" s="172"/>
      <c r="QJ12" s="172"/>
      <c r="QK12" s="172"/>
      <c r="QL12" s="172"/>
      <c r="QM12" s="172"/>
      <c r="QN12" s="172"/>
      <c r="QO12" s="172"/>
      <c r="QP12" s="172"/>
      <c r="QQ12" s="172"/>
      <c r="QR12" s="172"/>
      <c r="QS12" s="172"/>
      <c r="QT12" s="172"/>
      <c r="QU12" s="172"/>
      <c r="QV12" s="172"/>
      <c r="QW12" s="172"/>
      <c r="QX12" s="172"/>
      <c r="QY12" s="172"/>
      <c r="QZ12" s="172"/>
      <c r="RA12" s="172"/>
      <c r="RB12" s="172"/>
      <c r="RC12" s="172"/>
      <c r="RD12" s="172"/>
      <c r="RE12" s="172"/>
      <c r="RF12" s="172"/>
      <c r="RG12" s="172"/>
      <c r="RH12" s="172"/>
      <c r="RI12" s="172"/>
      <c r="RJ12" s="172"/>
      <c r="RK12" s="172"/>
      <c r="RL12" s="172"/>
      <c r="RM12" s="172"/>
      <c r="RN12" s="172"/>
      <c r="RO12" s="172"/>
      <c r="RP12" s="172"/>
      <c r="RQ12" s="172"/>
      <c r="RR12" s="172"/>
      <c r="RS12" s="172"/>
      <c r="RT12" s="172"/>
      <c r="RU12" s="172"/>
      <c r="RV12" s="172"/>
      <c r="RW12" s="172"/>
      <c r="RX12" s="172"/>
      <c r="RY12" s="172"/>
      <c r="RZ12" s="172"/>
      <c r="SA12" s="172"/>
      <c r="SB12" s="172"/>
      <c r="SC12" s="172"/>
      <c r="SD12" s="172"/>
      <c r="SE12" s="172"/>
      <c r="SF12" s="172"/>
      <c r="SG12" s="172"/>
      <c r="SH12" s="172"/>
      <c r="SI12" s="172"/>
      <c r="SJ12" s="172"/>
      <c r="SK12" s="172"/>
      <c r="SL12" s="172"/>
      <c r="SM12" s="172"/>
      <c r="SN12" s="172"/>
      <c r="SO12" s="172"/>
      <c r="SP12" s="172"/>
      <c r="SQ12" s="172"/>
      <c r="SR12" s="172"/>
      <c r="SS12" s="172"/>
      <c r="ST12" s="172"/>
      <c r="SU12" s="172"/>
      <c r="SV12" s="172"/>
      <c r="SW12" s="172"/>
      <c r="SX12" s="172"/>
      <c r="SY12" s="172"/>
      <c r="SZ12" s="172"/>
      <c r="TA12" s="172"/>
      <c r="TB12" s="172"/>
      <c r="TC12" s="172"/>
      <c r="TD12" s="172"/>
      <c r="TE12" s="172"/>
      <c r="TF12" s="172"/>
      <c r="TG12" s="172"/>
      <c r="TH12" s="172"/>
      <c r="TI12" s="172"/>
      <c r="TJ12" s="172"/>
      <c r="TK12" s="172"/>
      <c r="TL12" s="172"/>
      <c r="TM12" s="172"/>
      <c r="TN12" s="172"/>
      <c r="TO12" s="172"/>
      <c r="TP12" s="172"/>
      <c r="TQ12" s="172"/>
      <c r="TR12" s="172"/>
      <c r="TS12" s="172"/>
      <c r="TT12" s="172"/>
      <c r="TU12" s="172"/>
      <c r="TV12" s="172"/>
      <c r="TW12" s="172"/>
      <c r="TX12" s="172"/>
      <c r="TY12" s="172"/>
      <c r="TZ12" s="172"/>
      <c r="UA12" s="172"/>
      <c r="UB12" s="172"/>
      <c r="UC12" s="172"/>
      <c r="UD12" s="172"/>
      <c r="UE12" s="172"/>
      <c r="UF12" s="172"/>
      <c r="UG12" s="172"/>
      <c r="UH12" s="172"/>
      <c r="UI12" s="172"/>
      <c r="UJ12" s="172"/>
      <c r="UK12" s="172"/>
      <c r="UL12" s="172"/>
      <c r="UM12" s="172"/>
      <c r="UN12" s="172"/>
      <c r="UO12" s="172"/>
      <c r="UP12" s="172"/>
      <c r="UQ12" s="172"/>
      <c r="UR12" s="172"/>
      <c r="US12" s="172"/>
      <c r="UT12" s="172"/>
      <c r="UU12" s="172"/>
      <c r="UV12" s="172"/>
      <c r="UW12" s="172"/>
      <c r="UX12" s="172"/>
      <c r="UY12" s="172"/>
      <c r="UZ12" s="172"/>
      <c r="VA12" s="172"/>
      <c r="VB12" s="172"/>
      <c r="VC12" s="172"/>
      <c r="VD12" s="172"/>
      <c r="VE12" s="172"/>
      <c r="VF12" s="172"/>
      <c r="VG12" s="172"/>
      <c r="VH12" s="172"/>
      <c r="VI12" s="172"/>
      <c r="VJ12" s="172"/>
      <c r="VK12" s="172"/>
      <c r="VL12" s="172"/>
      <c r="VM12" s="172"/>
      <c r="VN12" s="172"/>
      <c r="VO12" s="172"/>
      <c r="VP12" s="172"/>
      <c r="VQ12" s="172"/>
      <c r="VR12" s="172"/>
      <c r="VS12" s="172"/>
      <c r="VT12" s="172"/>
      <c r="VU12" s="172"/>
      <c r="VV12" s="172"/>
      <c r="VW12" s="172"/>
      <c r="VX12" s="172"/>
      <c r="VY12" s="172"/>
      <c r="VZ12" s="172"/>
      <c r="WA12" s="172"/>
      <c r="WB12" s="172"/>
      <c r="WC12" s="172"/>
      <c r="WD12" s="172"/>
      <c r="WE12" s="172"/>
      <c r="WF12" s="172"/>
      <c r="WG12" s="172"/>
      <c r="WH12" s="172"/>
      <c r="WI12" s="172"/>
      <c r="WJ12" s="172"/>
      <c r="WK12" s="172"/>
      <c r="WL12" s="172"/>
      <c r="WM12" s="172"/>
      <c r="WN12" s="172"/>
      <c r="WO12" s="172"/>
      <c r="WP12" s="172"/>
      <c r="WQ12" s="172"/>
      <c r="WR12" s="172"/>
      <c r="WS12" s="172"/>
      <c r="WT12" s="172"/>
      <c r="WU12" s="172"/>
      <c r="WV12" s="172"/>
      <c r="WW12" s="172"/>
      <c r="WX12" s="172"/>
      <c r="WY12" s="172"/>
      <c r="WZ12" s="172"/>
      <c r="XA12" s="172"/>
      <c r="XB12" s="172"/>
      <c r="XC12" s="172"/>
      <c r="XD12" s="172"/>
      <c r="XE12" s="172"/>
      <c r="XF12" s="172"/>
      <c r="XG12" s="172"/>
      <c r="XH12" s="172"/>
      <c r="XI12" s="172"/>
      <c r="XJ12" s="172"/>
      <c r="XK12" s="172"/>
      <c r="XL12" s="172"/>
      <c r="XM12" s="172"/>
      <c r="XN12" s="172"/>
      <c r="XO12" s="172"/>
      <c r="XP12" s="172"/>
      <c r="XQ12" s="172"/>
      <c r="XR12" s="172"/>
      <c r="XS12" s="172"/>
      <c r="XT12" s="172"/>
      <c r="XU12" s="172"/>
      <c r="XV12" s="172"/>
      <c r="XW12" s="172"/>
      <c r="XX12" s="172"/>
      <c r="XY12" s="172"/>
      <c r="XZ12" s="172"/>
      <c r="YA12" s="172"/>
      <c r="YB12" s="172"/>
      <c r="YC12" s="172"/>
      <c r="YD12" s="172"/>
      <c r="YE12" s="172"/>
      <c r="YF12" s="172"/>
      <c r="YG12" s="172"/>
      <c r="YH12" s="172"/>
      <c r="YI12" s="172"/>
      <c r="YJ12" s="172"/>
      <c r="YK12" s="172"/>
      <c r="YL12" s="172"/>
      <c r="YM12" s="172"/>
      <c r="YN12" s="172"/>
      <c r="YO12" s="172"/>
      <c r="YP12" s="172"/>
      <c r="YQ12" s="172"/>
      <c r="YR12" s="172"/>
      <c r="YS12" s="172"/>
      <c r="YT12" s="172"/>
      <c r="YU12" s="172"/>
      <c r="YV12" s="172"/>
      <c r="YW12" s="172"/>
      <c r="YX12" s="172"/>
      <c r="YY12" s="172"/>
      <c r="YZ12" s="172"/>
      <c r="ZA12" s="172"/>
      <c r="ZB12" s="172"/>
      <c r="ZC12" s="172"/>
      <c r="ZD12" s="172"/>
      <c r="ZE12" s="172"/>
      <c r="ZF12" s="172"/>
      <c r="ZG12" s="172"/>
      <c r="ZH12" s="172"/>
      <c r="ZI12" s="172"/>
      <c r="ZJ12" s="172"/>
      <c r="ZK12" s="172"/>
      <c r="ZL12" s="172"/>
      <c r="ZM12" s="172"/>
      <c r="ZN12" s="172"/>
      <c r="ZO12" s="172"/>
      <c r="ZP12" s="172"/>
      <c r="ZQ12" s="172"/>
      <c r="ZR12" s="172"/>
      <c r="ZS12" s="172"/>
      <c r="ZT12" s="172"/>
      <c r="ZU12" s="172"/>
      <c r="ZV12" s="172"/>
      <c r="ZW12" s="172"/>
      <c r="ZX12" s="172"/>
      <c r="ZY12" s="172"/>
      <c r="ZZ12" s="172"/>
      <c r="AAA12" s="172"/>
      <c r="AAB12" s="172"/>
      <c r="AAC12" s="172"/>
      <c r="AAD12" s="172"/>
      <c r="AAE12" s="172"/>
      <c r="AAF12" s="172"/>
      <c r="AAG12" s="172"/>
      <c r="AAH12" s="172"/>
      <c r="AAI12" s="172"/>
      <c r="AAJ12" s="172"/>
      <c r="AAK12" s="172"/>
      <c r="AAL12" s="172"/>
      <c r="AAM12" s="172"/>
      <c r="AAN12" s="172"/>
      <c r="AAO12" s="172"/>
      <c r="AAP12" s="172"/>
      <c r="AAQ12" s="172"/>
      <c r="AAR12" s="172"/>
      <c r="AAS12" s="172"/>
      <c r="AAT12" s="172"/>
      <c r="AAU12" s="172"/>
      <c r="AAV12" s="172"/>
      <c r="AAW12" s="172"/>
      <c r="AAX12" s="172"/>
      <c r="AAY12" s="172"/>
      <c r="AAZ12" s="172"/>
      <c r="ABA12" s="172"/>
      <c r="ABB12" s="172"/>
      <c r="ABC12" s="172"/>
      <c r="ABD12" s="172"/>
      <c r="ABE12" s="172"/>
      <c r="ABF12" s="172"/>
      <c r="ABG12" s="172"/>
      <c r="ABH12" s="172"/>
      <c r="ABI12" s="172"/>
      <c r="ABJ12" s="172"/>
      <c r="ABK12" s="172"/>
      <c r="ABL12" s="172"/>
      <c r="ABM12" s="172"/>
      <c r="ABN12" s="172"/>
      <c r="ABO12" s="172"/>
      <c r="ABP12" s="172"/>
      <c r="ABQ12" s="172"/>
      <c r="ABR12" s="172"/>
      <c r="ABS12" s="172"/>
      <c r="ABT12" s="172"/>
      <c r="ABU12" s="172"/>
      <c r="ABV12" s="172"/>
      <c r="ABW12" s="172"/>
      <c r="ABX12" s="172"/>
      <c r="ABY12" s="172"/>
      <c r="ABZ12" s="172"/>
      <c r="ACA12" s="172"/>
      <c r="ACB12" s="172"/>
      <c r="ACC12" s="172"/>
      <c r="ACD12" s="172"/>
      <c r="ACE12" s="172"/>
      <c r="ACF12" s="172"/>
      <c r="ACG12" s="172"/>
      <c r="ACH12" s="172"/>
      <c r="ACI12" s="172"/>
      <c r="ACJ12" s="172"/>
      <c r="ACK12" s="172"/>
      <c r="ACL12" s="172"/>
      <c r="ACM12" s="172"/>
      <c r="ACN12" s="172"/>
      <c r="ACO12" s="172"/>
      <c r="ACP12" s="172"/>
      <c r="ACQ12" s="172"/>
      <c r="ACR12" s="172"/>
      <c r="ACS12" s="172"/>
      <c r="ACT12" s="172"/>
      <c r="ACU12" s="172"/>
      <c r="ACV12" s="172"/>
      <c r="ACW12" s="172"/>
      <c r="ACX12" s="172"/>
      <c r="ACY12" s="172"/>
      <c r="ACZ12" s="172"/>
      <c r="ADA12" s="172"/>
      <c r="ADB12" s="172"/>
      <c r="ADC12" s="172"/>
      <c r="ADD12" s="172"/>
      <c r="ADE12" s="172"/>
      <c r="ADF12" s="172"/>
      <c r="ADG12" s="172"/>
      <c r="ADH12" s="172"/>
      <c r="ADI12" s="172"/>
      <c r="ADJ12" s="172"/>
      <c r="ADK12" s="172"/>
      <c r="ADL12" s="172"/>
      <c r="ADM12" s="172"/>
      <c r="ADN12" s="172"/>
      <c r="ADO12" s="172"/>
      <c r="ADP12" s="172"/>
      <c r="ADQ12" s="172"/>
      <c r="ADR12" s="172"/>
      <c r="ADS12" s="172"/>
      <c r="ADT12" s="172"/>
      <c r="ADU12" s="172"/>
      <c r="ADV12" s="172"/>
      <c r="ADW12" s="172"/>
      <c r="ADX12" s="172"/>
      <c r="ADY12" s="172"/>
      <c r="ADZ12" s="172"/>
      <c r="AEA12" s="172"/>
      <c r="AEB12" s="172"/>
      <c r="AEC12" s="172"/>
      <c r="AED12" s="172"/>
      <c r="AEE12" s="172"/>
      <c r="AEF12" s="172"/>
      <c r="AEG12" s="172"/>
      <c r="AEH12" s="172"/>
      <c r="AEI12" s="172"/>
      <c r="AEJ12" s="172"/>
      <c r="AEK12" s="172"/>
      <c r="AEL12" s="172"/>
      <c r="AEM12" s="172"/>
      <c r="AEN12" s="172"/>
      <c r="AEO12" s="172"/>
      <c r="AEP12" s="172"/>
      <c r="AEQ12" s="172"/>
      <c r="AER12" s="172"/>
      <c r="AES12" s="172"/>
      <c r="AET12" s="172"/>
      <c r="AEU12" s="172"/>
      <c r="AEV12" s="172"/>
      <c r="AEW12" s="172"/>
      <c r="AEX12" s="172"/>
      <c r="AEY12" s="172"/>
      <c r="AEZ12" s="172"/>
      <c r="AFA12" s="172"/>
      <c r="AFB12" s="172"/>
      <c r="AFC12" s="172"/>
      <c r="AFD12" s="172"/>
      <c r="AFE12" s="172"/>
      <c r="AFF12" s="172"/>
      <c r="AFG12" s="172"/>
      <c r="AFH12" s="172"/>
      <c r="AFI12" s="172"/>
      <c r="AFJ12" s="172"/>
      <c r="AFK12" s="172"/>
      <c r="AFL12" s="172"/>
      <c r="AFM12" s="172"/>
      <c r="AFN12" s="172"/>
      <c r="AFO12" s="172"/>
      <c r="AFP12" s="172"/>
      <c r="AFQ12" s="172"/>
      <c r="AFR12" s="172"/>
      <c r="AFS12" s="172"/>
      <c r="AFT12" s="172"/>
      <c r="AFU12" s="172"/>
      <c r="AFV12" s="172"/>
      <c r="AFW12" s="172"/>
      <c r="AFX12" s="172"/>
      <c r="AFY12" s="172"/>
      <c r="AFZ12" s="172"/>
      <c r="AGA12" s="172"/>
      <c r="AGB12" s="172"/>
      <c r="AGC12" s="172"/>
      <c r="AGD12" s="172"/>
      <c r="AGE12" s="172"/>
      <c r="AGF12" s="172"/>
      <c r="AGG12" s="172"/>
      <c r="AGH12" s="172"/>
      <c r="AGI12" s="172"/>
      <c r="AGJ12" s="172"/>
      <c r="AGK12" s="172"/>
      <c r="AGL12" s="172"/>
      <c r="AGM12" s="172"/>
      <c r="AGN12" s="172"/>
      <c r="AGO12" s="172"/>
      <c r="AGP12" s="172"/>
      <c r="AGQ12" s="172"/>
      <c r="AGR12" s="172"/>
      <c r="AGS12" s="172"/>
      <c r="AGT12" s="172"/>
      <c r="AGU12" s="172"/>
      <c r="AGV12" s="172"/>
      <c r="AGW12" s="172"/>
      <c r="AGX12" s="172"/>
      <c r="AGY12" s="172"/>
      <c r="AGZ12" s="172"/>
      <c r="AHA12" s="172"/>
      <c r="AHB12" s="172"/>
      <c r="AHC12" s="172"/>
      <c r="AHD12" s="172"/>
      <c r="AHE12" s="172"/>
      <c r="AHF12" s="172"/>
      <c r="AHG12" s="172"/>
      <c r="AHH12" s="172"/>
      <c r="AHI12" s="172"/>
      <c r="AHJ12" s="172"/>
      <c r="AHK12" s="172"/>
      <c r="AHL12" s="172"/>
      <c r="AHM12" s="172"/>
      <c r="AHN12" s="172"/>
      <c r="AHO12" s="172"/>
      <c r="AHP12" s="172"/>
      <c r="AHQ12" s="172"/>
      <c r="AHR12" s="172"/>
      <c r="AHS12" s="172"/>
      <c r="AHT12" s="172"/>
      <c r="AHU12" s="172"/>
      <c r="AHV12" s="172"/>
      <c r="AHW12" s="172"/>
      <c r="AHX12" s="172"/>
      <c r="AHY12" s="172"/>
      <c r="AHZ12" s="172"/>
      <c r="AIA12" s="172"/>
      <c r="AIB12" s="172"/>
      <c r="AIC12" s="172"/>
      <c r="AID12" s="172"/>
      <c r="AIE12" s="172"/>
      <c r="AIF12" s="172"/>
      <c r="AIG12" s="172"/>
      <c r="AIH12" s="172"/>
      <c r="AII12" s="172"/>
      <c r="AIJ12" s="172"/>
      <c r="AIK12" s="172"/>
      <c r="AIL12" s="172"/>
      <c r="AIM12" s="172"/>
      <c r="AIN12" s="172"/>
      <c r="AIO12" s="172"/>
      <c r="AIP12" s="172"/>
      <c r="AIQ12" s="172"/>
      <c r="AIR12" s="172"/>
      <c r="AIS12" s="172"/>
      <c r="AIT12" s="172"/>
      <c r="AIU12" s="172"/>
      <c r="AIV12" s="172"/>
      <c r="AIW12" s="172"/>
      <c r="AIX12" s="172"/>
      <c r="AIY12" s="172"/>
      <c r="AIZ12" s="172"/>
      <c r="AJA12" s="172"/>
      <c r="AJB12" s="172"/>
      <c r="AJC12" s="172"/>
      <c r="AJD12" s="172"/>
      <c r="AJE12" s="172"/>
      <c r="AJF12" s="172"/>
      <c r="AJG12" s="172"/>
      <c r="AJH12" s="172"/>
      <c r="AJI12" s="172"/>
      <c r="AJJ12" s="172"/>
      <c r="AJK12" s="172"/>
      <c r="AJL12" s="172"/>
      <c r="AJM12" s="172"/>
      <c r="AJN12" s="172"/>
      <c r="AJO12" s="172"/>
      <c r="AJP12" s="172"/>
      <c r="AJQ12" s="172"/>
      <c r="AJR12" s="172"/>
      <c r="AJS12" s="172"/>
      <c r="AJT12" s="172"/>
      <c r="AJU12" s="172"/>
      <c r="AJV12" s="172"/>
      <c r="AJW12" s="172"/>
      <c r="AJX12" s="172"/>
      <c r="AJY12" s="172"/>
      <c r="AJZ12" s="172"/>
      <c r="AKA12" s="172"/>
      <c r="AKB12" s="172"/>
      <c r="AKC12" s="172"/>
      <c r="AKD12" s="172"/>
      <c r="AKE12" s="172"/>
      <c r="AKF12" s="172"/>
      <c r="AKG12" s="172"/>
      <c r="AKH12" s="172"/>
      <c r="AKI12" s="172"/>
      <c r="AKJ12" s="172"/>
      <c r="AKK12" s="172"/>
      <c r="AKL12" s="172"/>
      <c r="AKM12" s="172"/>
      <c r="AKN12" s="172"/>
      <c r="AKO12" s="172"/>
      <c r="AKP12" s="172"/>
      <c r="AKQ12" s="172"/>
      <c r="AKR12" s="172"/>
      <c r="AKS12" s="172"/>
      <c r="AKT12" s="172"/>
      <c r="AKU12" s="172"/>
      <c r="AKV12" s="172"/>
      <c r="AKW12" s="172"/>
      <c r="AKX12" s="172"/>
      <c r="AKY12" s="172"/>
      <c r="AKZ12" s="172"/>
      <c r="ALA12" s="172"/>
      <c r="ALB12" s="172"/>
      <c r="ALC12" s="172"/>
      <c r="ALD12" s="172"/>
      <c r="ALE12" s="172"/>
      <c r="ALF12" s="172"/>
      <c r="ALG12" s="172"/>
      <c r="ALH12" s="172"/>
      <c r="ALI12" s="172"/>
      <c r="ALJ12" s="172"/>
      <c r="ALK12" s="172"/>
      <c r="ALL12" s="172"/>
      <c r="ALM12" s="172"/>
      <c r="ALN12" s="172"/>
      <c r="ALO12" s="172"/>
      <c r="ALP12" s="172"/>
      <c r="ALQ12" s="172"/>
      <c r="ALR12" s="172"/>
      <c r="ALS12" s="172"/>
      <c r="ALT12" s="172"/>
      <c r="ALU12" s="172"/>
      <c r="ALV12" s="172"/>
      <c r="ALW12" s="172"/>
      <c r="ALX12" s="172"/>
      <c r="ALY12" s="172"/>
      <c r="ALZ12" s="172"/>
      <c r="AMA12" s="172"/>
      <c r="AMB12" s="172"/>
      <c r="AMC12" s="172"/>
      <c r="AMD12" s="172"/>
      <c r="AME12" s="172"/>
      <c r="AMF12" s="172"/>
      <c r="AMG12" s="172"/>
      <c r="AMH12" s="172"/>
      <c r="AMI12" s="172"/>
      <c r="AMJ12" s="172"/>
      <c r="AMK12" s="172"/>
      <c r="AML12" s="172"/>
      <c r="AMM12" s="172"/>
      <c r="AMN12" s="172"/>
      <c r="AMO12" s="172"/>
      <c r="AMP12" s="172"/>
      <c r="AMQ12" s="172"/>
      <c r="AMR12" s="172"/>
      <c r="AMS12" s="172"/>
      <c r="AMT12" s="172"/>
      <c r="AMU12" s="172"/>
      <c r="AMV12" s="172"/>
      <c r="AMW12" s="172"/>
      <c r="AMX12" s="172"/>
      <c r="AMY12" s="172"/>
      <c r="AMZ12" s="172"/>
      <c r="ANA12" s="172"/>
      <c r="ANB12" s="172"/>
      <c r="ANC12" s="172"/>
      <c r="AND12" s="172"/>
      <c r="ANE12" s="172"/>
      <c r="ANF12" s="172"/>
      <c r="ANG12" s="172"/>
      <c r="ANH12" s="172"/>
      <c r="ANI12" s="172"/>
      <c r="ANJ12" s="172"/>
      <c r="ANK12" s="172"/>
      <c r="ANL12" s="172"/>
      <c r="ANM12" s="172"/>
      <c r="ANN12" s="172"/>
      <c r="ANO12" s="172"/>
      <c r="ANP12" s="172"/>
      <c r="ANQ12" s="172"/>
      <c r="ANR12" s="172"/>
      <c r="ANS12" s="172"/>
      <c r="ANT12" s="172"/>
      <c r="ANU12" s="172"/>
      <c r="ANV12" s="172"/>
      <c r="ANW12" s="172"/>
      <c r="ANX12" s="172"/>
      <c r="ANY12" s="172"/>
      <c r="ANZ12" s="172"/>
      <c r="AOA12" s="172"/>
      <c r="AOB12" s="172"/>
      <c r="AOC12" s="172"/>
      <c r="AOD12" s="172"/>
      <c r="AOE12" s="172"/>
      <c r="AOF12" s="172"/>
      <c r="AOG12" s="172"/>
      <c r="AOH12" s="172"/>
      <c r="AOI12" s="172"/>
      <c r="AOJ12" s="172"/>
      <c r="AOK12" s="172"/>
      <c r="AOL12" s="172"/>
      <c r="AOM12" s="172"/>
      <c r="AON12" s="172"/>
      <c r="AOO12" s="172"/>
      <c r="AOP12" s="172"/>
      <c r="AOQ12" s="172"/>
      <c r="AOR12" s="172"/>
      <c r="AOS12" s="172"/>
      <c r="AOT12" s="172"/>
      <c r="AOU12" s="172"/>
      <c r="AOV12" s="172"/>
      <c r="AOW12" s="172"/>
      <c r="AOX12" s="172"/>
      <c r="AOY12" s="172"/>
      <c r="AOZ12" s="172"/>
      <c r="APA12" s="172"/>
      <c r="APB12" s="172"/>
      <c r="APC12" s="172"/>
      <c r="APD12" s="172"/>
      <c r="APE12" s="172"/>
      <c r="APF12" s="172"/>
      <c r="APG12" s="172"/>
      <c r="APH12" s="172"/>
      <c r="API12" s="172"/>
      <c r="APJ12" s="172"/>
      <c r="APK12" s="172"/>
      <c r="APL12" s="172"/>
      <c r="APM12" s="172"/>
      <c r="APN12" s="172"/>
      <c r="APO12" s="172"/>
      <c r="APP12" s="172"/>
      <c r="APQ12" s="172"/>
      <c r="APR12" s="172"/>
      <c r="APS12" s="172"/>
      <c r="APT12" s="172"/>
      <c r="APU12" s="172"/>
      <c r="APV12" s="172"/>
      <c r="APW12" s="172"/>
      <c r="APX12" s="172"/>
      <c r="APY12" s="172"/>
      <c r="APZ12" s="172"/>
      <c r="AQA12" s="172"/>
      <c r="AQB12" s="172"/>
      <c r="AQC12" s="172"/>
      <c r="AQD12" s="172"/>
      <c r="AQE12" s="172"/>
      <c r="AQF12" s="172"/>
      <c r="AQG12" s="172"/>
      <c r="AQH12" s="172"/>
      <c r="AQI12" s="172"/>
      <c r="AQJ12" s="172"/>
      <c r="AQK12" s="172"/>
      <c r="AQL12" s="172"/>
      <c r="AQM12" s="172"/>
      <c r="AQN12" s="172"/>
      <c r="AQO12" s="172"/>
      <c r="AQP12" s="172"/>
      <c r="AQQ12" s="172"/>
      <c r="AQR12" s="172"/>
      <c r="AQS12" s="172"/>
      <c r="AQT12" s="172"/>
      <c r="AQU12" s="172"/>
      <c r="AQV12" s="172"/>
      <c r="AQW12" s="172"/>
      <c r="AQX12" s="172"/>
      <c r="AQY12" s="172"/>
      <c r="AQZ12" s="172"/>
      <c r="ARA12" s="172"/>
      <c r="ARB12" s="172"/>
      <c r="ARC12" s="172"/>
      <c r="ARD12" s="172"/>
      <c r="ARE12" s="172"/>
      <c r="ARF12" s="172"/>
      <c r="ARG12" s="172"/>
      <c r="ARH12" s="172"/>
      <c r="ARI12" s="172"/>
      <c r="ARJ12" s="172"/>
      <c r="ARK12" s="172"/>
      <c r="ARL12" s="172"/>
      <c r="ARM12" s="172"/>
      <c r="ARN12" s="172"/>
      <c r="ARO12" s="172"/>
      <c r="ARP12" s="172"/>
      <c r="ARQ12" s="172"/>
      <c r="ARR12" s="172"/>
      <c r="ARS12" s="172"/>
      <c r="ART12" s="172"/>
      <c r="ARU12" s="172"/>
    </row>
    <row r="13" spans="1:1165" s="257" customFormat="1">
      <c r="A13" s="222" t="s">
        <v>159</v>
      </c>
      <c r="B13" s="195" t="s">
        <v>160</v>
      </c>
      <c r="C13" s="258">
        <v>0</v>
      </c>
      <c r="D13" s="258">
        <v>0</v>
      </c>
      <c r="E13" s="258">
        <v>0</v>
      </c>
      <c r="F13" s="258">
        <v>0</v>
      </c>
      <c r="G13" s="284">
        <v>0</v>
      </c>
      <c r="H13" s="284">
        <v>0</v>
      </c>
      <c r="I13" s="284">
        <v>0</v>
      </c>
      <c r="J13" s="284">
        <v>0</v>
      </c>
      <c r="K13" s="284">
        <v>0</v>
      </c>
      <c r="L13" s="284">
        <v>0</v>
      </c>
      <c r="M13" s="284">
        <v>0</v>
      </c>
      <c r="N13" s="284">
        <v>0</v>
      </c>
      <c r="O13" s="284">
        <v>0</v>
      </c>
      <c r="P13" s="284">
        <v>0</v>
      </c>
      <c r="Q13" s="284">
        <v>0</v>
      </c>
      <c r="R13" s="284">
        <v>0</v>
      </c>
      <c r="S13" s="284">
        <v>0</v>
      </c>
      <c r="T13" s="284">
        <v>0</v>
      </c>
      <c r="U13" s="284">
        <v>0</v>
      </c>
      <c r="V13" s="284">
        <v>0</v>
      </c>
      <c r="W13" s="284">
        <v>21859</v>
      </c>
      <c r="X13" s="284">
        <v>757820</v>
      </c>
      <c r="Y13" s="258">
        <v>31375</v>
      </c>
      <c r="Z13" s="258">
        <v>1025196</v>
      </c>
      <c r="AA13" s="302">
        <v>0</v>
      </c>
      <c r="AB13" s="302">
        <v>0</v>
      </c>
      <c r="AC13" s="258">
        <v>0</v>
      </c>
      <c r="AD13" s="258">
        <v>0</v>
      </c>
      <c r="AE13" s="258">
        <v>0</v>
      </c>
      <c r="AF13" s="258">
        <v>0</v>
      </c>
      <c r="AG13" s="302">
        <v>0</v>
      </c>
      <c r="AH13" s="302">
        <v>0</v>
      </c>
      <c r="AI13" s="302">
        <v>0</v>
      </c>
      <c r="AJ13" s="302">
        <v>0</v>
      </c>
      <c r="AK13" s="288">
        <v>24834.768</v>
      </c>
      <c r="AL13" s="288">
        <v>9841724</v>
      </c>
      <c r="AM13" s="261">
        <v>7299.1380000000008</v>
      </c>
      <c r="AN13" s="261">
        <v>2335724</v>
      </c>
      <c r="AO13" s="288">
        <v>0</v>
      </c>
      <c r="AP13" s="288">
        <v>0</v>
      </c>
      <c r="AQ13" s="288">
        <v>0</v>
      </c>
      <c r="AR13" s="288">
        <v>0</v>
      </c>
      <c r="AS13" s="288">
        <v>0</v>
      </c>
      <c r="AT13" s="288">
        <v>0</v>
      </c>
      <c r="AU13" s="288">
        <v>0</v>
      </c>
      <c r="AV13" s="288">
        <v>0</v>
      </c>
      <c r="AW13" s="288">
        <v>0</v>
      </c>
      <c r="AX13" s="288">
        <v>0</v>
      </c>
      <c r="AY13" s="258">
        <v>0</v>
      </c>
      <c r="AZ13" s="258">
        <v>0</v>
      </c>
      <c r="BA13" s="288"/>
      <c r="BB13" s="258"/>
      <c r="BC13" s="258"/>
      <c r="BD13" s="258"/>
      <c r="BE13" s="258"/>
      <c r="BF13" s="258"/>
      <c r="BG13" s="258"/>
      <c r="BH13" s="258"/>
      <c r="BI13" s="288"/>
      <c r="BJ13" s="258">
        <f t="shared" si="48"/>
        <v>85367.906000000003</v>
      </c>
      <c r="BK13" s="258">
        <f>D13+H13+J13+L13+N13+P13+R13+T13+V13+X13+Z13+AB13+AD13+AF13+AH13+AJ13+AL13+AN13+AP13+AR13+AT13+AV13+AX13+AZ13+BD13+BH13</f>
        <v>13960464</v>
      </c>
      <c r="BL13" s="172"/>
      <c r="BM13" s="231"/>
      <c r="BN13" s="231"/>
      <c r="BO13" s="231"/>
      <c r="BP13" s="231"/>
      <c r="BQ13" s="172"/>
      <c r="BR13" s="172"/>
      <c r="BS13" s="172"/>
      <c r="BT13" s="172"/>
      <c r="BU13" s="172"/>
      <c r="BV13" s="172"/>
      <c r="BW13" s="172"/>
      <c r="BX13" s="172"/>
      <c r="BY13" s="172"/>
      <c r="BZ13" s="172"/>
      <c r="CA13" s="172"/>
      <c r="CB13" s="172"/>
      <c r="CC13" s="172"/>
      <c r="CD13" s="172"/>
      <c r="CE13" s="172"/>
      <c r="CF13" s="172"/>
      <c r="CG13" s="172"/>
      <c r="CH13" s="172"/>
      <c r="CI13" s="172"/>
      <c r="CJ13" s="172"/>
      <c r="CK13" s="172"/>
      <c r="CL13" s="172"/>
      <c r="CM13" s="172"/>
      <c r="CN13" s="172"/>
      <c r="CO13" s="172"/>
      <c r="CP13" s="172"/>
      <c r="CQ13" s="172"/>
      <c r="CR13" s="172"/>
      <c r="CS13" s="172"/>
      <c r="CT13" s="172"/>
      <c r="CU13" s="172"/>
      <c r="CV13" s="172"/>
      <c r="CW13" s="172"/>
      <c r="CX13" s="172"/>
      <c r="CY13" s="172"/>
      <c r="CZ13" s="172"/>
      <c r="DA13" s="172"/>
      <c r="DB13" s="172"/>
      <c r="DC13" s="172"/>
      <c r="DD13" s="172"/>
      <c r="DE13" s="172"/>
      <c r="DF13" s="172"/>
      <c r="DG13" s="172"/>
      <c r="DH13" s="172"/>
      <c r="DI13" s="172"/>
      <c r="DJ13" s="172"/>
      <c r="DK13" s="172"/>
      <c r="DL13" s="172"/>
      <c r="DM13" s="172"/>
      <c r="DN13" s="172"/>
      <c r="DO13" s="172"/>
      <c r="DP13" s="172"/>
      <c r="DQ13" s="172"/>
      <c r="DR13" s="172"/>
      <c r="DS13" s="172"/>
      <c r="DT13" s="172"/>
      <c r="DU13" s="172"/>
      <c r="DV13" s="172"/>
      <c r="DW13" s="172"/>
      <c r="DX13" s="172"/>
      <c r="DY13" s="172"/>
      <c r="DZ13" s="172"/>
      <c r="EA13" s="172"/>
      <c r="EB13" s="172"/>
      <c r="EC13" s="172"/>
      <c r="ED13" s="172"/>
      <c r="EE13" s="172"/>
      <c r="EF13" s="172"/>
      <c r="EG13" s="172"/>
      <c r="EH13" s="172"/>
      <c r="EI13" s="172"/>
      <c r="EJ13" s="172"/>
      <c r="EK13" s="172"/>
      <c r="EL13" s="172"/>
      <c r="EM13" s="172"/>
      <c r="EN13" s="172"/>
      <c r="EO13" s="172"/>
      <c r="EP13" s="172"/>
      <c r="EQ13" s="172"/>
      <c r="ER13" s="172"/>
      <c r="ES13" s="172"/>
      <c r="ET13" s="172"/>
      <c r="EU13" s="172"/>
      <c r="EV13" s="172"/>
      <c r="EW13" s="172"/>
      <c r="EX13" s="172"/>
      <c r="EY13" s="172"/>
      <c r="EZ13" s="172"/>
      <c r="FA13" s="172"/>
      <c r="FB13" s="172"/>
      <c r="FC13" s="172"/>
      <c r="FD13" s="172"/>
      <c r="FE13" s="172"/>
      <c r="FF13" s="172"/>
      <c r="FG13" s="172"/>
      <c r="FH13" s="172"/>
      <c r="FI13" s="172"/>
      <c r="FJ13" s="172"/>
      <c r="FK13" s="172"/>
      <c r="FL13" s="172"/>
      <c r="FM13" s="172"/>
      <c r="FN13" s="172"/>
      <c r="FO13" s="172"/>
      <c r="FP13" s="172"/>
      <c r="FQ13" s="172"/>
      <c r="FR13" s="172"/>
      <c r="FS13" s="172"/>
      <c r="FT13" s="172"/>
      <c r="FU13" s="172"/>
      <c r="FV13" s="172"/>
      <c r="FW13" s="172"/>
      <c r="FX13" s="172"/>
      <c r="FY13" s="172"/>
      <c r="FZ13" s="172"/>
      <c r="GA13" s="172"/>
      <c r="GB13" s="172"/>
      <c r="GC13" s="172"/>
      <c r="GD13" s="172"/>
      <c r="GE13" s="172"/>
      <c r="GF13" s="172"/>
      <c r="GG13" s="172"/>
      <c r="GH13" s="172"/>
      <c r="GI13" s="172"/>
      <c r="GJ13" s="172"/>
      <c r="GK13" s="172"/>
      <c r="GL13" s="172"/>
      <c r="GM13" s="172"/>
      <c r="GN13" s="172"/>
      <c r="GO13" s="172"/>
      <c r="GP13" s="172"/>
      <c r="GQ13" s="172"/>
      <c r="GR13" s="172"/>
      <c r="GS13" s="172"/>
      <c r="GT13" s="172"/>
      <c r="GU13" s="172"/>
      <c r="GV13" s="172"/>
      <c r="GW13" s="172"/>
      <c r="GX13" s="172"/>
      <c r="GY13" s="172"/>
      <c r="GZ13" s="172"/>
      <c r="HA13" s="172"/>
      <c r="HB13" s="172"/>
      <c r="HC13" s="172"/>
      <c r="HD13" s="172"/>
      <c r="HE13" s="172"/>
      <c r="HF13" s="172"/>
      <c r="HG13" s="172"/>
      <c r="HH13" s="172"/>
      <c r="HI13" s="172"/>
      <c r="HJ13" s="172"/>
      <c r="HK13" s="172"/>
      <c r="HL13" s="172"/>
      <c r="HM13" s="172"/>
      <c r="HN13" s="172"/>
      <c r="HO13" s="172"/>
      <c r="HP13" s="172"/>
      <c r="HQ13" s="172"/>
      <c r="HR13" s="172"/>
      <c r="HS13" s="172"/>
      <c r="HT13" s="172"/>
      <c r="HU13" s="172"/>
      <c r="HV13" s="172"/>
      <c r="HW13" s="172"/>
      <c r="HX13" s="172"/>
      <c r="HY13" s="172"/>
      <c r="HZ13" s="172"/>
      <c r="IA13" s="172"/>
      <c r="IB13" s="172"/>
      <c r="IC13" s="172"/>
      <c r="ID13" s="172"/>
      <c r="IE13" s="172"/>
      <c r="IF13" s="172"/>
      <c r="IG13" s="172"/>
      <c r="IH13" s="172"/>
      <c r="II13" s="172"/>
      <c r="IJ13" s="172"/>
      <c r="IK13" s="172"/>
      <c r="IL13" s="172"/>
      <c r="IM13" s="172"/>
      <c r="IN13" s="172"/>
      <c r="IO13" s="172"/>
      <c r="IP13" s="172"/>
      <c r="IQ13" s="172"/>
      <c r="IR13" s="172"/>
      <c r="IS13" s="172"/>
      <c r="IT13" s="172"/>
      <c r="IU13" s="172"/>
      <c r="IV13" s="172"/>
      <c r="IW13" s="172"/>
      <c r="IX13" s="172"/>
      <c r="IY13" s="172"/>
      <c r="IZ13" s="172"/>
      <c r="JA13" s="172"/>
      <c r="JB13" s="172"/>
      <c r="JC13" s="172"/>
      <c r="JD13" s="172"/>
      <c r="JE13" s="172"/>
      <c r="JF13" s="172"/>
      <c r="JG13" s="172"/>
      <c r="JH13" s="172"/>
      <c r="JI13" s="172"/>
      <c r="JJ13" s="172"/>
      <c r="JK13" s="172"/>
      <c r="JL13" s="172"/>
      <c r="JM13" s="172"/>
      <c r="JN13" s="172"/>
      <c r="JO13" s="172"/>
      <c r="JP13" s="172"/>
      <c r="JQ13" s="172"/>
      <c r="JR13" s="172"/>
      <c r="JS13" s="172"/>
      <c r="JT13" s="172"/>
      <c r="JU13" s="172"/>
      <c r="JV13" s="172"/>
      <c r="JW13" s="172"/>
      <c r="JX13" s="172"/>
      <c r="JY13" s="172"/>
      <c r="JZ13" s="172"/>
      <c r="KA13" s="172"/>
      <c r="KB13" s="172"/>
      <c r="KC13" s="172"/>
      <c r="KD13" s="172"/>
      <c r="KE13" s="172"/>
      <c r="KF13" s="172"/>
      <c r="KG13" s="172"/>
      <c r="KH13" s="172"/>
      <c r="KI13" s="172"/>
      <c r="KJ13" s="172"/>
      <c r="KK13" s="172"/>
      <c r="KL13" s="172"/>
      <c r="KM13" s="172"/>
      <c r="KN13" s="172"/>
      <c r="KO13" s="172"/>
      <c r="KP13" s="172"/>
      <c r="KQ13" s="172"/>
      <c r="KR13" s="172"/>
      <c r="KS13" s="172"/>
      <c r="KT13" s="172"/>
      <c r="KU13" s="172"/>
      <c r="KV13" s="172"/>
      <c r="KW13" s="172"/>
      <c r="KX13" s="172"/>
      <c r="KY13" s="172"/>
      <c r="KZ13" s="172"/>
      <c r="LA13" s="172"/>
      <c r="LB13" s="172"/>
      <c r="LC13" s="172"/>
      <c r="LD13" s="172"/>
      <c r="LE13" s="172"/>
      <c r="LF13" s="172"/>
      <c r="LG13" s="172"/>
      <c r="LH13" s="172"/>
      <c r="LI13" s="172"/>
      <c r="LJ13" s="172"/>
      <c r="LK13" s="172"/>
      <c r="LL13" s="172"/>
      <c r="LM13" s="172"/>
      <c r="LN13" s="172"/>
      <c r="LO13" s="172"/>
      <c r="LP13" s="172"/>
      <c r="LQ13" s="172"/>
      <c r="LR13" s="172"/>
      <c r="LS13" s="172"/>
      <c r="LT13" s="172"/>
      <c r="LU13" s="172"/>
      <c r="LV13" s="172"/>
      <c r="LW13" s="172"/>
      <c r="LX13" s="172"/>
      <c r="LY13" s="172"/>
      <c r="LZ13" s="172"/>
      <c r="MA13" s="172"/>
      <c r="MB13" s="172"/>
      <c r="MC13" s="172"/>
      <c r="MD13" s="172"/>
      <c r="ME13" s="172"/>
      <c r="MF13" s="172"/>
      <c r="MG13" s="172"/>
      <c r="MH13" s="172"/>
      <c r="MI13" s="172"/>
      <c r="MJ13" s="172"/>
      <c r="MK13" s="172"/>
      <c r="ML13" s="172"/>
      <c r="MM13" s="172"/>
      <c r="MN13" s="172"/>
      <c r="MO13" s="172"/>
      <c r="MP13" s="172"/>
      <c r="MQ13" s="172"/>
      <c r="MR13" s="172"/>
      <c r="MS13" s="172"/>
      <c r="MT13" s="172"/>
      <c r="MU13" s="172"/>
      <c r="MV13" s="172"/>
      <c r="MW13" s="172"/>
      <c r="MX13" s="172"/>
      <c r="MY13" s="172"/>
      <c r="MZ13" s="172"/>
      <c r="NA13" s="172"/>
      <c r="NB13" s="172"/>
      <c r="NC13" s="172"/>
      <c r="ND13" s="172"/>
      <c r="NE13" s="172"/>
      <c r="NF13" s="172"/>
      <c r="NG13" s="172"/>
      <c r="NH13" s="172"/>
      <c r="NI13" s="172"/>
      <c r="NJ13" s="172"/>
      <c r="NK13" s="172"/>
      <c r="NL13" s="172"/>
      <c r="NM13" s="172"/>
      <c r="NN13" s="172"/>
      <c r="NO13" s="172"/>
      <c r="NP13" s="172"/>
      <c r="NQ13" s="172"/>
      <c r="NR13" s="172"/>
      <c r="NS13" s="172"/>
      <c r="NT13" s="172"/>
      <c r="NU13" s="172"/>
      <c r="NV13" s="172"/>
      <c r="NW13" s="172"/>
      <c r="NX13" s="172"/>
      <c r="NY13" s="172"/>
      <c r="NZ13" s="172"/>
      <c r="OA13" s="172"/>
      <c r="OB13" s="172"/>
      <c r="OC13" s="172"/>
      <c r="OD13" s="172"/>
      <c r="OE13" s="172"/>
      <c r="OF13" s="172"/>
      <c r="OG13" s="172"/>
      <c r="OH13" s="172"/>
      <c r="OI13" s="172"/>
      <c r="OJ13" s="172"/>
      <c r="OK13" s="172"/>
      <c r="OL13" s="172"/>
      <c r="OM13" s="172"/>
      <c r="ON13" s="172"/>
      <c r="OO13" s="172"/>
      <c r="OP13" s="172"/>
      <c r="OQ13" s="172"/>
      <c r="OR13" s="172"/>
      <c r="OS13" s="172"/>
      <c r="OT13" s="172"/>
      <c r="OU13" s="172"/>
      <c r="OV13" s="172"/>
      <c r="OW13" s="172"/>
      <c r="OX13" s="172"/>
      <c r="OY13" s="172"/>
      <c r="OZ13" s="172"/>
      <c r="PA13" s="172"/>
      <c r="PB13" s="172"/>
      <c r="PC13" s="172"/>
      <c r="PD13" s="172"/>
      <c r="PE13" s="172"/>
      <c r="PF13" s="172"/>
      <c r="PG13" s="172"/>
      <c r="PH13" s="172"/>
      <c r="PI13" s="172"/>
      <c r="PJ13" s="172"/>
      <c r="PK13" s="172"/>
      <c r="PL13" s="172"/>
      <c r="PM13" s="172"/>
      <c r="PN13" s="172"/>
      <c r="PO13" s="172"/>
      <c r="PP13" s="172"/>
      <c r="PQ13" s="172"/>
      <c r="PR13" s="172"/>
      <c r="PS13" s="172"/>
      <c r="PT13" s="172"/>
      <c r="PU13" s="172"/>
      <c r="PV13" s="172"/>
      <c r="PW13" s="172"/>
      <c r="PX13" s="172"/>
      <c r="PY13" s="172"/>
      <c r="PZ13" s="172"/>
      <c r="QA13" s="172"/>
      <c r="QB13" s="172"/>
      <c r="QC13" s="172"/>
      <c r="QD13" s="172"/>
      <c r="QE13" s="172"/>
      <c r="QF13" s="172"/>
      <c r="QG13" s="172"/>
      <c r="QH13" s="172"/>
      <c r="QI13" s="172"/>
      <c r="QJ13" s="172"/>
      <c r="QK13" s="172"/>
      <c r="QL13" s="172"/>
      <c r="QM13" s="172"/>
      <c r="QN13" s="172"/>
      <c r="QO13" s="172"/>
      <c r="QP13" s="172"/>
      <c r="QQ13" s="172"/>
      <c r="QR13" s="172"/>
      <c r="QS13" s="172"/>
      <c r="QT13" s="172"/>
      <c r="QU13" s="172"/>
      <c r="QV13" s="172"/>
      <c r="QW13" s="172"/>
      <c r="QX13" s="172"/>
      <c r="QY13" s="172"/>
      <c r="QZ13" s="172"/>
      <c r="RA13" s="172"/>
      <c r="RB13" s="172"/>
      <c r="RC13" s="172"/>
      <c r="RD13" s="172"/>
      <c r="RE13" s="172"/>
      <c r="RF13" s="172"/>
      <c r="RG13" s="172"/>
      <c r="RH13" s="172"/>
      <c r="RI13" s="172"/>
      <c r="RJ13" s="172"/>
      <c r="RK13" s="172"/>
      <c r="RL13" s="172"/>
      <c r="RM13" s="172"/>
      <c r="RN13" s="172"/>
      <c r="RO13" s="172"/>
      <c r="RP13" s="172"/>
      <c r="RQ13" s="172"/>
      <c r="RR13" s="172"/>
      <c r="RS13" s="172"/>
      <c r="RT13" s="172"/>
      <c r="RU13" s="172"/>
      <c r="RV13" s="172"/>
      <c r="RW13" s="172"/>
      <c r="RX13" s="172"/>
      <c r="RY13" s="172"/>
      <c r="RZ13" s="172"/>
      <c r="SA13" s="172"/>
      <c r="SB13" s="172"/>
      <c r="SC13" s="172"/>
      <c r="SD13" s="172"/>
      <c r="SE13" s="172"/>
      <c r="SF13" s="172"/>
      <c r="SG13" s="172"/>
      <c r="SH13" s="172"/>
      <c r="SI13" s="172"/>
      <c r="SJ13" s="172"/>
      <c r="SK13" s="172"/>
      <c r="SL13" s="172"/>
      <c r="SM13" s="172"/>
      <c r="SN13" s="172"/>
      <c r="SO13" s="172"/>
      <c r="SP13" s="172"/>
      <c r="SQ13" s="172"/>
      <c r="SR13" s="172"/>
      <c r="SS13" s="172"/>
      <c r="ST13" s="172"/>
      <c r="SU13" s="172"/>
      <c r="SV13" s="172"/>
      <c r="SW13" s="172"/>
      <c r="SX13" s="172"/>
      <c r="SY13" s="172"/>
      <c r="SZ13" s="172"/>
      <c r="TA13" s="172"/>
      <c r="TB13" s="172"/>
      <c r="TC13" s="172"/>
      <c r="TD13" s="172"/>
      <c r="TE13" s="172"/>
      <c r="TF13" s="172"/>
      <c r="TG13" s="172"/>
      <c r="TH13" s="172"/>
      <c r="TI13" s="172"/>
      <c r="TJ13" s="172"/>
      <c r="TK13" s="172"/>
      <c r="TL13" s="172"/>
      <c r="TM13" s="172"/>
      <c r="TN13" s="172"/>
      <c r="TO13" s="172"/>
      <c r="TP13" s="172"/>
      <c r="TQ13" s="172"/>
      <c r="TR13" s="172"/>
      <c r="TS13" s="172"/>
      <c r="TT13" s="172"/>
      <c r="TU13" s="172"/>
      <c r="TV13" s="172"/>
      <c r="TW13" s="172"/>
      <c r="TX13" s="172"/>
      <c r="TY13" s="172"/>
      <c r="TZ13" s="172"/>
      <c r="UA13" s="172"/>
      <c r="UB13" s="172"/>
      <c r="UC13" s="172"/>
      <c r="UD13" s="172"/>
      <c r="UE13" s="172"/>
      <c r="UF13" s="172"/>
      <c r="UG13" s="172"/>
      <c r="UH13" s="172"/>
      <c r="UI13" s="172"/>
      <c r="UJ13" s="172"/>
      <c r="UK13" s="172"/>
      <c r="UL13" s="172"/>
      <c r="UM13" s="172"/>
      <c r="UN13" s="172"/>
      <c r="UO13" s="172"/>
      <c r="UP13" s="172"/>
      <c r="UQ13" s="172"/>
      <c r="UR13" s="172"/>
      <c r="US13" s="172"/>
      <c r="UT13" s="172"/>
      <c r="UU13" s="172"/>
      <c r="UV13" s="172"/>
      <c r="UW13" s="172"/>
      <c r="UX13" s="172"/>
      <c r="UY13" s="172"/>
      <c r="UZ13" s="172"/>
      <c r="VA13" s="172"/>
      <c r="VB13" s="172"/>
      <c r="VC13" s="172"/>
      <c r="VD13" s="172"/>
      <c r="VE13" s="172"/>
      <c r="VF13" s="172"/>
      <c r="VG13" s="172"/>
      <c r="VH13" s="172"/>
      <c r="VI13" s="172"/>
      <c r="VJ13" s="172"/>
      <c r="VK13" s="172"/>
      <c r="VL13" s="172"/>
      <c r="VM13" s="172"/>
      <c r="VN13" s="172"/>
      <c r="VO13" s="172"/>
      <c r="VP13" s="172"/>
      <c r="VQ13" s="172"/>
      <c r="VR13" s="172"/>
      <c r="VS13" s="172"/>
      <c r="VT13" s="172"/>
      <c r="VU13" s="172"/>
      <c r="VV13" s="172"/>
      <c r="VW13" s="172"/>
      <c r="VX13" s="172"/>
      <c r="VY13" s="172"/>
      <c r="VZ13" s="172"/>
      <c r="WA13" s="172"/>
      <c r="WB13" s="172"/>
      <c r="WC13" s="172"/>
      <c r="WD13" s="172"/>
      <c r="WE13" s="172"/>
      <c r="WF13" s="172"/>
      <c r="WG13" s="172"/>
      <c r="WH13" s="172"/>
      <c r="WI13" s="172"/>
      <c r="WJ13" s="172"/>
      <c r="WK13" s="172"/>
      <c r="WL13" s="172"/>
      <c r="WM13" s="172"/>
      <c r="WN13" s="172"/>
      <c r="WO13" s="172"/>
      <c r="WP13" s="172"/>
      <c r="WQ13" s="172"/>
      <c r="WR13" s="172"/>
      <c r="WS13" s="172"/>
      <c r="WT13" s="172"/>
      <c r="WU13" s="172"/>
      <c r="WV13" s="172"/>
      <c r="WW13" s="172"/>
      <c r="WX13" s="172"/>
      <c r="WY13" s="172"/>
      <c r="WZ13" s="172"/>
      <c r="XA13" s="172"/>
      <c r="XB13" s="172"/>
      <c r="XC13" s="172"/>
      <c r="XD13" s="172"/>
      <c r="XE13" s="172"/>
      <c r="XF13" s="172"/>
      <c r="XG13" s="172"/>
      <c r="XH13" s="172"/>
      <c r="XI13" s="172"/>
      <c r="XJ13" s="172"/>
      <c r="XK13" s="172"/>
      <c r="XL13" s="172"/>
      <c r="XM13" s="172"/>
      <c r="XN13" s="172"/>
      <c r="XO13" s="172"/>
      <c r="XP13" s="172"/>
      <c r="XQ13" s="172"/>
      <c r="XR13" s="172"/>
      <c r="XS13" s="172"/>
      <c r="XT13" s="172"/>
      <c r="XU13" s="172"/>
      <c r="XV13" s="172"/>
      <c r="XW13" s="172"/>
      <c r="XX13" s="172"/>
      <c r="XY13" s="172"/>
      <c r="XZ13" s="172"/>
      <c r="YA13" s="172"/>
      <c r="YB13" s="172"/>
      <c r="YC13" s="172"/>
      <c r="YD13" s="172"/>
      <c r="YE13" s="172"/>
      <c r="YF13" s="172"/>
      <c r="YG13" s="172"/>
      <c r="YH13" s="172"/>
      <c r="YI13" s="172"/>
      <c r="YJ13" s="172"/>
      <c r="YK13" s="172"/>
      <c r="YL13" s="172"/>
      <c r="YM13" s="172"/>
      <c r="YN13" s="172"/>
      <c r="YO13" s="172"/>
      <c r="YP13" s="172"/>
      <c r="YQ13" s="172"/>
      <c r="YR13" s="172"/>
      <c r="YS13" s="172"/>
      <c r="YT13" s="172"/>
      <c r="YU13" s="172"/>
      <c r="YV13" s="172"/>
      <c r="YW13" s="172"/>
      <c r="YX13" s="172"/>
      <c r="YY13" s="172"/>
      <c r="YZ13" s="172"/>
      <c r="ZA13" s="172"/>
      <c r="ZB13" s="172"/>
      <c r="ZC13" s="172"/>
      <c r="ZD13" s="172"/>
      <c r="ZE13" s="172"/>
      <c r="ZF13" s="172"/>
      <c r="ZG13" s="172"/>
      <c r="ZH13" s="172"/>
      <c r="ZI13" s="172"/>
      <c r="ZJ13" s="172"/>
      <c r="ZK13" s="172"/>
      <c r="ZL13" s="172"/>
      <c r="ZM13" s="172"/>
      <c r="ZN13" s="172"/>
      <c r="ZO13" s="172"/>
      <c r="ZP13" s="172"/>
      <c r="ZQ13" s="172"/>
      <c r="ZR13" s="172"/>
      <c r="ZS13" s="172"/>
      <c r="ZT13" s="172"/>
      <c r="ZU13" s="172"/>
      <c r="ZV13" s="172"/>
      <c r="ZW13" s="172"/>
      <c r="ZX13" s="172"/>
      <c r="ZY13" s="172"/>
      <c r="ZZ13" s="172"/>
      <c r="AAA13" s="172"/>
      <c r="AAB13" s="172"/>
      <c r="AAC13" s="172"/>
      <c r="AAD13" s="172"/>
      <c r="AAE13" s="172"/>
      <c r="AAF13" s="172"/>
      <c r="AAG13" s="172"/>
      <c r="AAH13" s="172"/>
      <c r="AAI13" s="172"/>
      <c r="AAJ13" s="172"/>
      <c r="AAK13" s="172"/>
      <c r="AAL13" s="172"/>
      <c r="AAM13" s="172"/>
      <c r="AAN13" s="172"/>
      <c r="AAO13" s="172"/>
      <c r="AAP13" s="172"/>
      <c r="AAQ13" s="172"/>
      <c r="AAR13" s="172"/>
      <c r="AAS13" s="172"/>
      <c r="AAT13" s="172"/>
      <c r="AAU13" s="172"/>
      <c r="AAV13" s="172"/>
      <c r="AAW13" s="172"/>
      <c r="AAX13" s="172"/>
      <c r="AAY13" s="172"/>
      <c r="AAZ13" s="172"/>
      <c r="ABA13" s="172"/>
      <c r="ABB13" s="172"/>
      <c r="ABC13" s="172"/>
      <c r="ABD13" s="172"/>
      <c r="ABE13" s="172"/>
      <c r="ABF13" s="172"/>
      <c r="ABG13" s="172"/>
      <c r="ABH13" s="172"/>
      <c r="ABI13" s="172"/>
      <c r="ABJ13" s="172"/>
      <c r="ABK13" s="172"/>
      <c r="ABL13" s="172"/>
      <c r="ABM13" s="172"/>
      <c r="ABN13" s="172"/>
      <c r="ABO13" s="172"/>
      <c r="ABP13" s="172"/>
      <c r="ABQ13" s="172"/>
      <c r="ABR13" s="172"/>
      <c r="ABS13" s="172"/>
      <c r="ABT13" s="172"/>
      <c r="ABU13" s="172"/>
      <c r="ABV13" s="172"/>
      <c r="ABW13" s="172"/>
      <c r="ABX13" s="172"/>
      <c r="ABY13" s="172"/>
      <c r="ABZ13" s="172"/>
      <c r="ACA13" s="172"/>
      <c r="ACB13" s="172"/>
      <c r="ACC13" s="172"/>
      <c r="ACD13" s="172"/>
      <c r="ACE13" s="172"/>
      <c r="ACF13" s="172"/>
      <c r="ACG13" s="172"/>
      <c r="ACH13" s="172"/>
      <c r="ACI13" s="172"/>
      <c r="ACJ13" s="172"/>
      <c r="ACK13" s="172"/>
      <c r="ACL13" s="172"/>
      <c r="ACM13" s="172"/>
      <c r="ACN13" s="172"/>
      <c r="ACO13" s="172"/>
      <c r="ACP13" s="172"/>
      <c r="ACQ13" s="172"/>
      <c r="ACR13" s="172"/>
      <c r="ACS13" s="172"/>
      <c r="ACT13" s="172"/>
      <c r="ACU13" s="172"/>
      <c r="ACV13" s="172"/>
      <c r="ACW13" s="172"/>
      <c r="ACX13" s="172"/>
      <c r="ACY13" s="172"/>
      <c r="ACZ13" s="172"/>
      <c r="ADA13" s="172"/>
      <c r="ADB13" s="172"/>
      <c r="ADC13" s="172"/>
      <c r="ADD13" s="172"/>
      <c r="ADE13" s="172"/>
      <c r="ADF13" s="172"/>
      <c r="ADG13" s="172"/>
      <c r="ADH13" s="172"/>
      <c r="ADI13" s="172"/>
      <c r="ADJ13" s="172"/>
      <c r="ADK13" s="172"/>
      <c r="ADL13" s="172"/>
      <c r="ADM13" s="172"/>
      <c r="ADN13" s="172"/>
      <c r="ADO13" s="172"/>
      <c r="ADP13" s="172"/>
      <c r="ADQ13" s="172"/>
      <c r="ADR13" s="172"/>
      <c r="ADS13" s="172"/>
      <c r="ADT13" s="172"/>
      <c r="ADU13" s="172"/>
      <c r="ADV13" s="172"/>
      <c r="ADW13" s="172"/>
      <c r="ADX13" s="172"/>
      <c r="ADY13" s="172"/>
      <c r="ADZ13" s="172"/>
      <c r="AEA13" s="172"/>
      <c r="AEB13" s="172"/>
      <c r="AEC13" s="172"/>
      <c r="AED13" s="172"/>
      <c r="AEE13" s="172"/>
      <c r="AEF13" s="172"/>
      <c r="AEG13" s="172"/>
      <c r="AEH13" s="172"/>
      <c r="AEI13" s="172"/>
      <c r="AEJ13" s="172"/>
      <c r="AEK13" s="172"/>
      <c r="AEL13" s="172"/>
      <c r="AEM13" s="172"/>
      <c r="AEN13" s="172"/>
      <c r="AEO13" s="172"/>
      <c r="AEP13" s="172"/>
      <c r="AEQ13" s="172"/>
      <c r="AER13" s="172"/>
      <c r="AES13" s="172"/>
      <c r="AET13" s="172"/>
      <c r="AEU13" s="172"/>
      <c r="AEV13" s="172"/>
      <c r="AEW13" s="172"/>
      <c r="AEX13" s="172"/>
      <c r="AEY13" s="172"/>
      <c r="AEZ13" s="172"/>
      <c r="AFA13" s="172"/>
      <c r="AFB13" s="172"/>
      <c r="AFC13" s="172"/>
      <c r="AFD13" s="172"/>
      <c r="AFE13" s="172"/>
      <c r="AFF13" s="172"/>
      <c r="AFG13" s="172"/>
      <c r="AFH13" s="172"/>
      <c r="AFI13" s="172"/>
      <c r="AFJ13" s="172"/>
      <c r="AFK13" s="172"/>
      <c r="AFL13" s="172"/>
      <c r="AFM13" s="172"/>
      <c r="AFN13" s="172"/>
      <c r="AFO13" s="172"/>
      <c r="AFP13" s="172"/>
      <c r="AFQ13" s="172"/>
      <c r="AFR13" s="172"/>
      <c r="AFS13" s="172"/>
      <c r="AFT13" s="172"/>
      <c r="AFU13" s="172"/>
      <c r="AFV13" s="172"/>
      <c r="AFW13" s="172"/>
      <c r="AFX13" s="172"/>
      <c r="AFY13" s="172"/>
      <c r="AFZ13" s="172"/>
      <c r="AGA13" s="172"/>
      <c r="AGB13" s="172"/>
      <c r="AGC13" s="172"/>
      <c r="AGD13" s="172"/>
      <c r="AGE13" s="172"/>
      <c r="AGF13" s="172"/>
      <c r="AGG13" s="172"/>
      <c r="AGH13" s="172"/>
      <c r="AGI13" s="172"/>
      <c r="AGJ13" s="172"/>
      <c r="AGK13" s="172"/>
      <c r="AGL13" s="172"/>
      <c r="AGM13" s="172"/>
      <c r="AGN13" s="172"/>
      <c r="AGO13" s="172"/>
      <c r="AGP13" s="172"/>
      <c r="AGQ13" s="172"/>
      <c r="AGR13" s="172"/>
      <c r="AGS13" s="172"/>
      <c r="AGT13" s="172"/>
      <c r="AGU13" s="172"/>
      <c r="AGV13" s="172"/>
      <c r="AGW13" s="172"/>
      <c r="AGX13" s="172"/>
      <c r="AGY13" s="172"/>
      <c r="AGZ13" s="172"/>
      <c r="AHA13" s="172"/>
      <c r="AHB13" s="172"/>
      <c r="AHC13" s="172"/>
      <c r="AHD13" s="172"/>
      <c r="AHE13" s="172"/>
      <c r="AHF13" s="172"/>
      <c r="AHG13" s="172"/>
      <c r="AHH13" s="172"/>
      <c r="AHI13" s="172"/>
      <c r="AHJ13" s="172"/>
      <c r="AHK13" s="172"/>
      <c r="AHL13" s="172"/>
      <c r="AHM13" s="172"/>
      <c r="AHN13" s="172"/>
      <c r="AHO13" s="172"/>
      <c r="AHP13" s="172"/>
      <c r="AHQ13" s="172"/>
      <c r="AHR13" s="172"/>
      <c r="AHS13" s="172"/>
      <c r="AHT13" s="172"/>
      <c r="AHU13" s="172"/>
      <c r="AHV13" s="172"/>
      <c r="AHW13" s="172"/>
      <c r="AHX13" s="172"/>
      <c r="AHY13" s="172"/>
      <c r="AHZ13" s="172"/>
      <c r="AIA13" s="172"/>
      <c r="AIB13" s="172"/>
      <c r="AIC13" s="172"/>
      <c r="AID13" s="172"/>
      <c r="AIE13" s="172"/>
      <c r="AIF13" s="172"/>
      <c r="AIG13" s="172"/>
      <c r="AIH13" s="172"/>
      <c r="AII13" s="172"/>
      <c r="AIJ13" s="172"/>
      <c r="AIK13" s="172"/>
      <c r="AIL13" s="172"/>
      <c r="AIM13" s="172"/>
      <c r="AIN13" s="172"/>
      <c r="AIO13" s="172"/>
      <c r="AIP13" s="172"/>
      <c r="AIQ13" s="172"/>
      <c r="AIR13" s="172"/>
      <c r="AIS13" s="172"/>
      <c r="AIT13" s="172"/>
      <c r="AIU13" s="172"/>
      <c r="AIV13" s="172"/>
      <c r="AIW13" s="172"/>
      <c r="AIX13" s="172"/>
      <c r="AIY13" s="172"/>
      <c r="AIZ13" s="172"/>
      <c r="AJA13" s="172"/>
      <c r="AJB13" s="172"/>
      <c r="AJC13" s="172"/>
      <c r="AJD13" s="172"/>
      <c r="AJE13" s="172"/>
      <c r="AJF13" s="172"/>
      <c r="AJG13" s="172"/>
      <c r="AJH13" s="172"/>
      <c r="AJI13" s="172"/>
      <c r="AJJ13" s="172"/>
      <c r="AJK13" s="172"/>
      <c r="AJL13" s="172"/>
      <c r="AJM13" s="172"/>
      <c r="AJN13" s="172"/>
      <c r="AJO13" s="172"/>
      <c r="AJP13" s="172"/>
      <c r="AJQ13" s="172"/>
      <c r="AJR13" s="172"/>
      <c r="AJS13" s="172"/>
      <c r="AJT13" s="172"/>
      <c r="AJU13" s="172"/>
      <c r="AJV13" s="172"/>
      <c r="AJW13" s="172"/>
      <c r="AJX13" s="172"/>
      <c r="AJY13" s="172"/>
      <c r="AJZ13" s="172"/>
      <c r="AKA13" s="172"/>
      <c r="AKB13" s="172"/>
      <c r="AKC13" s="172"/>
      <c r="AKD13" s="172"/>
      <c r="AKE13" s="172"/>
      <c r="AKF13" s="172"/>
      <c r="AKG13" s="172"/>
      <c r="AKH13" s="172"/>
      <c r="AKI13" s="172"/>
      <c r="AKJ13" s="172"/>
      <c r="AKK13" s="172"/>
      <c r="AKL13" s="172"/>
      <c r="AKM13" s="172"/>
      <c r="AKN13" s="172"/>
      <c r="AKO13" s="172"/>
      <c r="AKP13" s="172"/>
      <c r="AKQ13" s="172"/>
      <c r="AKR13" s="172"/>
      <c r="AKS13" s="172"/>
      <c r="AKT13" s="172"/>
      <c r="AKU13" s="172"/>
      <c r="AKV13" s="172"/>
      <c r="AKW13" s="172"/>
      <c r="AKX13" s="172"/>
      <c r="AKY13" s="172"/>
      <c r="AKZ13" s="172"/>
      <c r="ALA13" s="172"/>
      <c r="ALB13" s="172"/>
      <c r="ALC13" s="172"/>
      <c r="ALD13" s="172"/>
      <c r="ALE13" s="172"/>
      <c r="ALF13" s="172"/>
      <c r="ALG13" s="172"/>
      <c r="ALH13" s="172"/>
      <c r="ALI13" s="172"/>
      <c r="ALJ13" s="172"/>
      <c r="ALK13" s="172"/>
      <c r="ALL13" s="172"/>
      <c r="ALM13" s="172"/>
      <c r="ALN13" s="172"/>
      <c r="ALO13" s="172"/>
      <c r="ALP13" s="172"/>
      <c r="ALQ13" s="172"/>
      <c r="ALR13" s="172"/>
      <c r="ALS13" s="172"/>
      <c r="ALT13" s="172"/>
      <c r="ALU13" s="172"/>
      <c r="ALV13" s="172"/>
      <c r="ALW13" s="172"/>
      <c r="ALX13" s="172"/>
      <c r="ALY13" s="172"/>
      <c r="ALZ13" s="172"/>
      <c r="AMA13" s="172"/>
      <c r="AMB13" s="172"/>
      <c r="AMC13" s="172"/>
      <c r="AMD13" s="172"/>
      <c r="AME13" s="172"/>
      <c r="AMF13" s="172"/>
      <c r="AMG13" s="172"/>
      <c r="AMH13" s="172"/>
      <c r="AMI13" s="172"/>
      <c r="AMJ13" s="172"/>
      <c r="AMK13" s="172"/>
      <c r="AML13" s="172"/>
      <c r="AMM13" s="172"/>
      <c r="AMN13" s="172"/>
      <c r="AMO13" s="172"/>
      <c r="AMP13" s="172"/>
      <c r="AMQ13" s="172"/>
      <c r="AMR13" s="172"/>
      <c r="AMS13" s="172"/>
      <c r="AMT13" s="172"/>
      <c r="AMU13" s="172"/>
      <c r="AMV13" s="172"/>
      <c r="AMW13" s="172"/>
      <c r="AMX13" s="172"/>
      <c r="AMY13" s="172"/>
      <c r="AMZ13" s="172"/>
      <c r="ANA13" s="172"/>
      <c r="ANB13" s="172"/>
      <c r="ANC13" s="172"/>
      <c r="AND13" s="172"/>
      <c r="ANE13" s="172"/>
      <c r="ANF13" s="172"/>
      <c r="ANG13" s="172"/>
      <c r="ANH13" s="172"/>
      <c r="ANI13" s="172"/>
      <c r="ANJ13" s="172"/>
      <c r="ANK13" s="172"/>
      <c r="ANL13" s="172"/>
      <c r="ANM13" s="172"/>
      <c r="ANN13" s="172"/>
      <c r="ANO13" s="172"/>
      <c r="ANP13" s="172"/>
      <c r="ANQ13" s="172"/>
      <c r="ANR13" s="172"/>
      <c r="ANS13" s="172"/>
      <c r="ANT13" s="172"/>
      <c r="ANU13" s="172"/>
      <c r="ANV13" s="172"/>
      <c r="ANW13" s="172"/>
      <c r="ANX13" s="172"/>
      <c r="ANY13" s="172"/>
      <c r="ANZ13" s="172"/>
      <c r="AOA13" s="172"/>
      <c r="AOB13" s="172"/>
      <c r="AOC13" s="172"/>
      <c r="AOD13" s="172"/>
      <c r="AOE13" s="172"/>
      <c r="AOF13" s="172"/>
      <c r="AOG13" s="172"/>
      <c r="AOH13" s="172"/>
      <c r="AOI13" s="172"/>
      <c r="AOJ13" s="172"/>
      <c r="AOK13" s="172"/>
      <c r="AOL13" s="172"/>
      <c r="AOM13" s="172"/>
      <c r="AON13" s="172"/>
      <c r="AOO13" s="172"/>
      <c r="AOP13" s="172"/>
      <c r="AOQ13" s="172"/>
      <c r="AOR13" s="172"/>
      <c r="AOS13" s="172"/>
      <c r="AOT13" s="172"/>
      <c r="AOU13" s="172"/>
      <c r="AOV13" s="172"/>
      <c r="AOW13" s="172"/>
      <c r="AOX13" s="172"/>
      <c r="AOY13" s="172"/>
      <c r="AOZ13" s="172"/>
      <c r="APA13" s="172"/>
      <c r="APB13" s="172"/>
      <c r="APC13" s="172"/>
      <c r="APD13" s="172"/>
      <c r="APE13" s="172"/>
      <c r="APF13" s="172"/>
      <c r="APG13" s="172"/>
      <c r="APH13" s="172"/>
      <c r="API13" s="172"/>
      <c r="APJ13" s="172"/>
      <c r="APK13" s="172"/>
      <c r="APL13" s="172"/>
      <c r="APM13" s="172"/>
      <c r="APN13" s="172"/>
      <c r="APO13" s="172"/>
      <c r="APP13" s="172"/>
      <c r="APQ13" s="172"/>
      <c r="APR13" s="172"/>
      <c r="APS13" s="172"/>
      <c r="APT13" s="172"/>
      <c r="APU13" s="172"/>
      <c r="APV13" s="172"/>
      <c r="APW13" s="172"/>
      <c r="APX13" s="172"/>
      <c r="APY13" s="172"/>
      <c r="APZ13" s="172"/>
      <c r="AQA13" s="172"/>
      <c r="AQB13" s="172"/>
      <c r="AQC13" s="172"/>
      <c r="AQD13" s="172"/>
      <c r="AQE13" s="172"/>
      <c r="AQF13" s="172"/>
      <c r="AQG13" s="172"/>
      <c r="AQH13" s="172"/>
      <c r="AQI13" s="172"/>
      <c r="AQJ13" s="172"/>
      <c r="AQK13" s="172"/>
      <c r="AQL13" s="172"/>
      <c r="AQM13" s="172"/>
      <c r="AQN13" s="172"/>
      <c r="AQO13" s="172"/>
      <c r="AQP13" s="172"/>
      <c r="AQQ13" s="172"/>
      <c r="AQR13" s="172"/>
      <c r="AQS13" s="172"/>
      <c r="AQT13" s="172"/>
      <c r="AQU13" s="172"/>
      <c r="AQV13" s="172"/>
      <c r="AQW13" s="172"/>
      <c r="AQX13" s="172"/>
      <c r="AQY13" s="172"/>
      <c r="AQZ13" s="172"/>
      <c r="ARA13" s="172"/>
      <c r="ARB13" s="172"/>
      <c r="ARC13" s="172"/>
      <c r="ARD13" s="172"/>
      <c r="ARE13" s="172"/>
      <c r="ARF13" s="172"/>
      <c r="ARG13" s="172"/>
      <c r="ARH13" s="172"/>
      <c r="ARI13" s="172"/>
      <c r="ARJ13" s="172"/>
      <c r="ARK13" s="172"/>
      <c r="ARL13" s="172"/>
      <c r="ARM13" s="172"/>
      <c r="ARN13" s="172"/>
      <c r="ARO13" s="172"/>
      <c r="ARP13" s="172"/>
      <c r="ARQ13" s="172"/>
      <c r="ARR13" s="172"/>
      <c r="ARS13" s="172"/>
      <c r="ART13" s="172"/>
      <c r="ARU13" s="172"/>
    </row>
    <row r="14" spans="1:1165" s="257" customFormat="1">
      <c r="A14" s="220" t="s">
        <v>161</v>
      </c>
      <c r="B14" s="195"/>
      <c r="C14" s="258">
        <f>SUM(C11:C13)</f>
        <v>25554746</v>
      </c>
      <c r="D14" s="258">
        <f>SUM(D11:D13)</f>
        <v>2423149116</v>
      </c>
      <c r="E14" s="258">
        <f t="shared" ref="E14:AZ14" si="49">SUM(E11:E13)</f>
        <v>3663689</v>
      </c>
      <c r="F14" s="258">
        <f t="shared" si="49"/>
        <v>436014691</v>
      </c>
      <c r="G14" s="258">
        <f t="shared" si="49"/>
        <v>3678480</v>
      </c>
      <c r="H14" s="258">
        <f t="shared" si="49"/>
        <v>548093520</v>
      </c>
      <c r="I14" s="258">
        <f t="shared" si="49"/>
        <v>3676385</v>
      </c>
      <c r="J14" s="258">
        <f t="shared" si="49"/>
        <v>647822717</v>
      </c>
      <c r="K14" s="258">
        <f t="shared" si="49"/>
        <v>3983098</v>
      </c>
      <c r="L14" s="258">
        <f t="shared" si="49"/>
        <v>745084355</v>
      </c>
      <c r="M14" s="258">
        <f t="shared" si="49"/>
        <v>5004998</v>
      </c>
      <c r="N14" s="258">
        <f t="shared" si="49"/>
        <v>940855670</v>
      </c>
      <c r="O14" s="258">
        <f t="shared" si="49"/>
        <v>5419623</v>
      </c>
      <c r="P14" s="258">
        <f t="shared" si="49"/>
        <v>1098152135</v>
      </c>
      <c r="Q14" s="258">
        <f t="shared" si="49"/>
        <v>5442790</v>
      </c>
      <c r="R14" s="258">
        <f t="shared" si="49"/>
        <v>1015172246</v>
      </c>
      <c r="S14" s="258">
        <f t="shared" si="49"/>
        <v>5928763</v>
      </c>
      <c r="T14" s="258">
        <f t="shared" si="49"/>
        <v>1104313745</v>
      </c>
      <c r="U14" s="258">
        <f t="shared" si="49"/>
        <v>6176414</v>
      </c>
      <c r="V14" s="258">
        <f t="shared" si="49"/>
        <v>1301425700</v>
      </c>
      <c r="W14" s="258" t="s">
        <v>236</v>
      </c>
      <c r="X14" s="258">
        <f t="shared" si="49"/>
        <v>2097547830</v>
      </c>
      <c r="Y14" s="258" t="s">
        <v>236</v>
      </c>
      <c r="Z14" s="258">
        <f t="shared" si="49"/>
        <v>2359979727</v>
      </c>
      <c r="AA14" s="258">
        <f t="shared" si="49"/>
        <v>7009184</v>
      </c>
      <c r="AB14" s="258">
        <f t="shared" si="49"/>
        <v>1844032647</v>
      </c>
      <c r="AC14" s="258">
        <f t="shared" si="49"/>
        <v>7082757</v>
      </c>
      <c r="AD14" s="258">
        <f t="shared" si="49"/>
        <v>1689720803</v>
      </c>
      <c r="AE14" s="258">
        <f t="shared" si="49"/>
        <v>7801274</v>
      </c>
      <c r="AF14" s="258">
        <f t="shared" si="49"/>
        <v>1891855796</v>
      </c>
      <c r="AG14" s="258">
        <f t="shared" si="49"/>
        <v>7933321</v>
      </c>
      <c r="AH14" s="258">
        <f t="shared" si="49"/>
        <v>1684580839</v>
      </c>
      <c r="AI14" s="258">
        <f t="shared" si="49"/>
        <v>8067380</v>
      </c>
      <c r="AJ14" s="258">
        <f t="shared" si="49"/>
        <v>1757356480</v>
      </c>
      <c r="AK14" s="258" t="s">
        <v>236</v>
      </c>
      <c r="AL14" s="258">
        <f t="shared" si="49"/>
        <v>1977649784.25</v>
      </c>
      <c r="AM14" s="258" t="s">
        <v>236</v>
      </c>
      <c r="AN14" s="258">
        <f t="shared" si="49"/>
        <v>2087049371</v>
      </c>
      <c r="AO14" s="258">
        <f t="shared" si="49"/>
        <v>8748182</v>
      </c>
      <c r="AP14" s="258">
        <f t="shared" si="49"/>
        <v>2429704528</v>
      </c>
      <c r="AQ14" s="258">
        <f t="shared" si="49"/>
        <v>8930010</v>
      </c>
      <c r="AR14" s="258">
        <f t="shared" si="49"/>
        <v>2311377164.5799999</v>
      </c>
      <c r="AS14" s="258">
        <f t="shared" si="49"/>
        <v>10003058</v>
      </c>
      <c r="AT14" s="258">
        <f t="shared" si="49"/>
        <v>3187472430</v>
      </c>
      <c r="AU14" s="258">
        <f t="shared" si="49"/>
        <v>10748039</v>
      </c>
      <c r="AV14" s="258">
        <f t="shared" si="49"/>
        <v>3766551734</v>
      </c>
      <c r="AW14" s="258">
        <f t="shared" si="49"/>
        <v>11000041</v>
      </c>
      <c r="AX14" s="258">
        <f t="shared" si="49"/>
        <v>3339247705</v>
      </c>
      <c r="AY14" s="258">
        <f t="shared" si="49"/>
        <v>11228615</v>
      </c>
      <c r="AZ14" s="258">
        <f t="shared" si="49"/>
        <v>3140479497</v>
      </c>
      <c r="BA14" s="265"/>
      <c r="BB14" s="258"/>
      <c r="BC14" s="258"/>
      <c r="BD14" s="258"/>
      <c r="BE14" s="258"/>
      <c r="BF14" s="258"/>
      <c r="BG14" s="258"/>
      <c r="BH14" s="258"/>
      <c r="BI14" s="263"/>
      <c r="BJ14" s="258" t="s">
        <v>236</v>
      </c>
      <c r="BK14" s="258">
        <f>D14+H14+J14+L14+N14+P14+R14+T14+V14+X14+Z14+AB14+AD14+AF14+AH14+AJ14+AL14+AN14+AP14+AR14+AT14+AV14+AX14+AZ14+BD14+BH14</f>
        <v>45388675539.830002</v>
      </c>
      <c r="BL14" s="172"/>
      <c r="BM14" s="231"/>
      <c r="BN14" s="231"/>
      <c r="BO14" s="231"/>
      <c r="BP14" s="231"/>
      <c r="BQ14" s="172"/>
      <c r="BR14" s="172"/>
      <c r="BS14" s="172"/>
      <c r="BT14" s="172"/>
      <c r="BU14" s="172"/>
      <c r="BV14" s="172"/>
      <c r="BW14" s="172"/>
      <c r="BX14" s="172"/>
      <c r="BY14" s="172"/>
      <c r="BZ14" s="172"/>
      <c r="CA14" s="172"/>
      <c r="CB14" s="172"/>
      <c r="CC14" s="172"/>
      <c r="CD14" s="172"/>
      <c r="CE14" s="172"/>
      <c r="CF14" s="172"/>
      <c r="CG14" s="172"/>
      <c r="CH14" s="172"/>
      <c r="CI14" s="172"/>
      <c r="CJ14" s="172"/>
      <c r="CK14" s="172"/>
      <c r="CL14" s="172"/>
      <c r="CM14" s="172"/>
      <c r="CN14" s="172"/>
      <c r="CO14" s="172"/>
      <c r="CP14" s="172"/>
      <c r="CQ14" s="172"/>
      <c r="CR14" s="172"/>
      <c r="CS14" s="172"/>
      <c r="CT14" s="172"/>
      <c r="CU14" s="172"/>
      <c r="CV14" s="172"/>
      <c r="CW14" s="172"/>
      <c r="CX14" s="172"/>
      <c r="CY14" s="172"/>
      <c r="CZ14" s="172"/>
      <c r="DA14" s="172"/>
      <c r="DB14" s="172"/>
      <c r="DC14" s="172"/>
      <c r="DD14" s="172"/>
      <c r="DE14" s="172"/>
      <c r="DF14" s="172"/>
      <c r="DG14" s="172"/>
      <c r="DH14" s="172"/>
      <c r="DI14" s="172"/>
      <c r="DJ14" s="172"/>
      <c r="DK14" s="172"/>
      <c r="DL14" s="172"/>
      <c r="DM14" s="172"/>
      <c r="DN14" s="172"/>
      <c r="DO14" s="172"/>
      <c r="DP14" s="172"/>
      <c r="DQ14" s="172"/>
      <c r="DR14" s="172"/>
      <c r="DS14" s="172"/>
      <c r="DT14" s="172"/>
      <c r="DU14" s="172"/>
      <c r="DV14" s="172"/>
      <c r="DW14" s="172"/>
      <c r="DX14" s="172"/>
      <c r="DY14" s="172"/>
      <c r="DZ14" s="172"/>
      <c r="EA14" s="172"/>
      <c r="EB14" s="172"/>
      <c r="EC14" s="172"/>
      <c r="ED14" s="172"/>
      <c r="EE14" s="172"/>
      <c r="EF14" s="172"/>
      <c r="EG14" s="172"/>
      <c r="EH14" s="172"/>
      <c r="EI14" s="172"/>
      <c r="EJ14" s="172"/>
      <c r="EK14" s="172"/>
      <c r="EL14" s="172"/>
      <c r="EM14" s="172"/>
      <c r="EN14" s="172"/>
      <c r="EO14" s="172"/>
      <c r="EP14" s="172"/>
      <c r="EQ14" s="172"/>
      <c r="ER14" s="172"/>
      <c r="ES14" s="172"/>
      <c r="ET14" s="172"/>
      <c r="EU14" s="172"/>
      <c r="EV14" s="172"/>
      <c r="EW14" s="172"/>
      <c r="EX14" s="172"/>
      <c r="EY14" s="172"/>
      <c r="EZ14" s="172"/>
      <c r="FA14" s="172"/>
      <c r="FB14" s="172"/>
      <c r="FC14" s="172"/>
      <c r="FD14" s="172"/>
      <c r="FE14" s="172"/>
      <c r="FF14" s="172"/>
      <c r="FG14" s="172"/>
      <c r="FH14" s="172"/>
      <c r="FI14" s="172"/>
      <c r="FJ14" s="172"/>
      <c r="FK14" s="172"/>
      <c r="FL14" s="172"/>
      <c r="FM14" s="172"/>
      <c r="FN14" s="172"/>
      <c r="FO14" s="172"/>
      <c r="FP14" s="172"/>
      <c r="FQ14" s="172"/>
      <c r="FR14" s="172"/>
      <c r="FS14" s="172"/>
      <c r="FT14" s="172"/>
      <c r="FU14" s="172"/>
      <c r="FV14" s="172"/>
      <c r="FW14" s="172"/>
      <c r="FX14" s="172"/>
      <c r="FY14" s="172"/>
      <c r="FZ14" s="172"/>
      <c r="GA14" s="172"/>
      <c r="GB14" s="172"/>
      <c r="GC14" s="172"/>
      <c r="GD14" s="172"/>
      <c r="GE14" s="172"/>
      <c r="GF14" s="172"/>
      <c r="GG14" s="172"/>
      <c r="GH14" s="172"/>
      <c r="GI14" s="172"/>
      <c r="GJ14" s="172"/>
      <c r="GK14" s="172"/>
      <c r="GL14" s="172"/>
      <c r="GM14" s="172"/>
      <c r="GN14" s="172"/>
      <c r="GO14" s="172"/>
      <c r="GP14" s="172"/>
      <c r="GQ14" s="172"/>
      <c r="GR14" s="172"/>
      <c r="GS14" s="172"/>
      <c r="GT14" s="172"/>
      <c r="GU14" s="172"/>
      <c r="GV14" s="172"/>
      <c r="GW14" s="172"/>
      <c r="GX14" s="172"/>
      <c r="GY14" s="172"/>
      <c r="GZ14" s="172"/>
      <c r="HA14" s="172"/>
      <c r="HB14" s="172"/>
      <c r="HC14" s="172"/>
      <c r="HD14" s="172"/>
      <c r="HE14" s="172"/>
      <c r="HF14" s="172"/>
      <c r="HG14" s="172"/>
      <c r="HH14" s="172"/>
      <c r="HI14" s="172"/>
      <c r="HJ14" s="172"/>
      <c r="HK14" s="172"/>
      <c r="HL14" s="172"/>
      <c r="HM14" s="172"/>
      <c r="HN14" s="172"/>
      <c r="HO14" s="172"/>
      <c r="HP14" s="172"/>
      <c r="HQ14" s="172"/>
      <c r="HR14" s="172"/>
      <c r="HS14" s="172"/>
      <c r="HT14" s="172"/>
      <c r="HU14" s="172"/>
      <c r="HV14" s="172"/>
      <c r="HW14" s="172"/>
      <c r="HX14" s="172"/>
      <c r="HY14" s="172"/>
      <c r="HZ14" s="172"/>
      <c r="IA14" s="172"/>
      <c r="IB14" s="172"/>
      <c r="IC14" s="172"/>
      <c r="ID14" s="172"/>
      <c r="IE14" s="172"/>
      <c r="IF14" s="172"/>
      <c r="IG14" s="172"/>
      <c r="IH14" s="172"/>
      <c r="II14" s="172"/>
      <c r="IJ14" s="172"/>
      <c r="IK14" s="172"/>
      <c r="IL14" s="172"/>
      <c r="IM14" s="172"/>
      <c r="IN14" s="172"/>
      <c r="IO14" s="172"/>
      <c r="IP14" s="172"/>
      <c r="IQ14" s="172"/>
      <c r="IR14" s="172"/>
      <c r="IS14" s="172"/>
      <c r="IT14" s="172"/>
      <c r="IU14" s="172"/>
      <c r="IV14" s="172"/>
      <c r="IW14" s="172"/>
      <c r="IX14" s="172"/>
      <c r="IY14" s="172"/>
      <c r="IZ14" s="172"/>
      <c r="JA14" s="172"/>
      <c r="JB14" s="172"/>
      <c r="JC14" s="172"/>
      <c r="JD14" s="172"/>
      <c r="JE14" s="172"/>
      <c r="JF14" s="172"/>
      <c r="JG14" s="172"/>
      <c r="JH14" s="172"/>
      <c r="JI14" s="172"/>
      <c r="JJ14" s="172"/>
      <c r="JK14" s="172"/>
      <c r="JL14" s="172"/>
      <c r="JM14" s="172"/>
      <c r="JN14" s="172"/>
      <c r="JO14" s="172"/>
      <c r="JP14" s="172"/>
      <c r="JQ14" s="172"/>
      <c r="JR14" s="172"/>
      <c r="JS14" s="172"/>
      <c r="JT14" s="172"/>
      <c r="JU14" s="172"/>
      <c r="JV14" s="172"/>
      <c r="JW14" s="172"/>
      <c r="JX14" s="172"/>
      <c r="JY14" s="172"/>
      <c r="JZ14" s="172"/>
      <c r="KA14" s="172"/>
      <c r="KB14" s="172"/>
      <c r="KC14" s="172"/>
      <c r="KD14" s="172"/>
      <c r="KE14" s="172"/>
      <c r="KF14" s="172"/>
      <c r="KG14" s="172"/>
      <c r="KH14" s="172"/>
      <c r="KI14" s="172"/>
      <c r="KJ14" s="172"/>
      <c r="KK14" s="172"/>
      <c r="KL14" s="172"/>
      <c r="KM14" s="172"/>
      <c r="KN14" s="172"/>
      <c r="KO14" s="172"/>
      <c r="KP14" s="172"/>
      <c r="KQ14" s="172"/>
      <c r="KR14" s="172"/>
      <c r="KS14" s="172"/>
      <c r="KT14" s="172"/>
      <c r="KU14" s="172"/>
      <c r="KV14" s="172"/>
      <c r="KW14" s="172"/>
      <c r="KX14" s="172"/>
      <c r="KY14" s="172"/>
      <c r="KZ14" s="172"/>
      <c r="LA14" s="172"/>
      <c r="LB14" s="172"/>
      <c r="LC14" s="172"/>
      <c r="LD14" s="172"/>
      <c r="LE14" s="172"/>
      <c r="LF14" s="172"/>
      <c r="LG14" s="172"/>
      <c r="LH14" s="172"/>
      <c r="LI14" s="172"/>
      <c r="LJ14" s="172"/>
      <c r="LK14" s="172"/>
      <c r="LL14" s="172"/>
      <c r="LM14" s="172"/>
      <c r="LN14" s="172"/>
      <c r="LO14" s="172"/>
      <c r="LP14" s="172"/>
      <c r="LQ14" s="172"/>
      <c r="LR14" s="172"/>
      <c r="LS14" s="172"/>
      <c r="LT14" s="172"/>
      <c r="LU14" s="172"/>
      <c r="LV14" s="172"/>
      <c r="LW14" s="172"/>
      <c r="LX14" s="172"/>
      <c r="LY14" s="172"/>
      <c r="LZ14" s="172"/>
      <c r="MA14" s="172"/>
      <c r="MB14" s="172"/>
      <c r="MC14" s="172"/>
      <c r="MD14" s="172"/>
      <c r="ME14" s="172"/>
      <c r="MF14" s="172"/>
      <c r="MG14" s="172"/>
      <c r="MH14" s="172"/>
      <c r="MI14" s="172"/>
      <c r="MJ14" s="172"/>
      <c r="MK14" s="172"/>
      <c r="ML14" s="172"/>
      <c r="MM14" s="172"/>
      <c r="MN14" s="172"/>
      <c r="MO14" s="172"/>
      <c r="MP14" s="172"/>
      <c r="MQ14" s="172"/>
      <c r="MR14" s="172"/>
      <c r="MS14" s="172"/>
      <c r="MT14" s="172"/>
      <c r="MU14" s="172"/>
      <c r="MV14" s="172"/>
      <c r="MW14" s="172"/>
      <c r="MX14" s="172"/>
      <c r="MY14" s="172"/>
      <c r="MZ14" s="172"/>
      <c r="NA14" s="172"/>
      <c r="NB14" s="172"/>
      <c r="NC14" s="172"/>
      <c r="ND14" s="172"/>
      <c r="NE14" s="172"/>
      <c r="NF14" s="172"/>
      <c r="NG14" s="172"/>
      <c r="NH14" s="172"/>
      <c r="NI14" s="172"/>
      <c r="NJ14" s="172"/>
      <c r="NK14" s="172"/>
      <c r="NL14" s="172"/>
      <c r="NM14" s="172"/>
      <c r="NN14" s="172"/>
      <c r="NO14" s="172"/>
      <c r="NP14" s="172"/>
      <c r="NQ14" s="172"/>
      <c r="NR14" s="172"/>
      <c r="NS14" s="172"/>
      <c r="NT14" s="172"/>
      <c r="NU14" s="172"/>
      <c r="NV14" s="172"/>
      <c r="NW14" s="172"/>
      <c r="NX14" s="172"/>
      <c r="NY14" s="172"/>
      <c r="NZ14" s="172"/>
      <c r="OA14" s="172"/>
      <c r="OB14" s="172"/>
      <c r="OC14" s="172"/>
      <c r="OD14" s="172"/>
      <c r="OE14" s="172"/>
      <c r="OF14" s="172"/>
      <c r="OG14" s="172"/>
      <c r="OH14" s="172"/>
      <c r="OI14" s="172"/>
      <c r="OJ14" s="172"/>
      <c r="OK14" s="172"/>
      <c r="OL14" s="172"/>
      <c r="OM14" s="172"/>
      <c r="ON14" s="172"/>
      <c r="OO14" s="172"/>
      <c r="OP14" s="172"/>
      <c r="OQ14" s="172"/>
      <c r="OR14" s="172"/>
      <c r="OS14" s="172"/>
      <c r="OT14" s="172"/>
      <c r="OU14" s="172"/>
      <c r="OV14" s="172"/>
      <c r="OW14" s="172"/>
      <c r="OX14" s="172"/>
      <c r="OY14" s="172"/>
      <c r="OZ14" s="172"/>
      <c r="PA14" s="172"/>
      <c r="PB14" s="172"/>
      <c r="PC14" s="172"/>
      <c r="PD14" s="172"/>
      <c r="PE14" s="172"/>
      <c r="PF14" s="172"/>
      <c r="PG14" s="172"/>
      <c r="PH14" s="172"/>
      <c r="PI14" s="172"/>
      <c r="PJ14" s="172"/>
      <c r="PK14" s="172"/>
      <c r="PL14" s="172"/>
      <c r="PM14" s="172"/>
      <c r="PN14" s="172"/>
      <c r="PO14" s="172"/>
      <c r="PP14" s="172"/>
      <c r="PQ14" s="172"/>
      <c r="PR14" s="172"/>
      <c r="PS14" s="172"/>
      <c r="PT14" s="172"/>
      <c r="PU14" s="172"/>
      <c r="PV14" s="172"/>
      <c r="PW14" s="172"/>
      <c r="PX14" s="172"/>
      <c r="PY14" s="172"/>
      <c r="PZ14" s="172"/>
      <c r="QA14" s="172"/>
      <c r="QB14" s="172"/>
      <c r="QC14" s="172"/>
      <c r="QD14" s="172"/>
      <c r="QE14" s="172"/>
      <c r="QF14" s="172"/>
      <c r="QG14" s="172"/>
      <c r="QH14" s="172"/>
      <c r="QI14" s="172"/>
      <c r="QJ14" s="172"/>
      <c r="QK14" s="172"/>
      <c r="QL14" s="172"/>
      <c r="QM14" s="172"/>
      <c r="QN14" s="172"/>
      <c r="QO14" s="172"/>
      <c r="QP14" s="172"/>
      <c r="QQ14" s="172"/>
      <c r="QR14" s="172"/>
      <c r="QS14" s="172"/>
      <c r="QT14" s="172"/>
      <c r="QU14" s="172"/>
      <c r="QV14" s="172"/>
      <c r="QW14" s="172"/>
      <c r="QX14" s="172"/>
      <c r="QY14" s="172"/>
      <c r="QZ14" s="172"/>
      <c r="RA14" s="172"/>
      <c r="RB14" s="172"/>
      <c r="RC14" s="172"/>
      <c r="RD14" s="172"/>
      <c r="RE14" s="172"/>
      <c r="RF14" s="172"/>
      <c r="RG14" s="172"/>
      <c r="RH14" s="172"/>
      <c r="RI14" s="172"/>
      <c r="RJ14" s="172"/>
      <c r="RK14" s="172"/>
      <c r="RL14" s="172"/>
      <c r="RM14" s="172"/>
      <c r="RN14" s="172"/>
      <c r="RO14" s="172"/>
      <c r="RP14" s="172"/>
      <c r="RQ14" s="172"/>
      <c r="RR14" s="172"/>
      <c r="RS14" s="172"/>
      <c r="RT14" s="172"/>
      <c r="RU14" s="172"/>
      <c r="RV14" s="172"/>
      <c r="RW14" s="172"/>
      <c r="RX14" s="172"/>
      <c r="RY14" s="172"/>
      <c r="RZ14" s="172"/>
      <c r="SA14" s="172"/>
      <c r="SB14" s="172"/>
      <c r="SC14" s="172"/>
      <c r="SD14" s="172"/>
      <c r="SE14" s="172"/>
      <c r="SF14" s="172"/>
      <c r="SG14" s="172"/>
      <c r="SH14" s="172"/>
      <c r="SI14" s="172"/>
      <c r="SJ14" s="172"/>
      <c r="SK14" s="172"/>
      <c r="SL14" s="172"/>
      <c r="SM14" s="172"/>
      <c r="SN14" s="172"/>
      <c r="SO14" s="172"/>
      <c r="SP14" s="172"/>
      <c r="SQ14" s="172"/>
      <c r="SR14" s="172"/>
      <c r="SS14" s="172"/>
      <c r="ST14" s="172"/>
      <c r="SU14" s="172"/>
      <c r="SV14" s="172"/>
      <c r="SW14" s="172"/>
      <c r="SX14" s="172"/>
      <c r="SY14" s="172"/>
      <c r="SZ14" s="172"/>
      <c r="TA14" s="172"/>
      <c r="TB14" s="172"/>
      <c r="TC14" s="172"/>
      <c r="TD14" s="172"/>
      <c r="TE14" s="172"/>
      <c r="TF14" s="172"/>
      <c r="TG14" s="172"/>
      <c r="TH14" s="172"/>
      <c r="TI14" s="172"/>
      <c r="TJ14" s="172"/>
      <c r="TK14" s="172"/>
      <c r="TL14" s="172"/>
      <c r="TM14" s="172"/>
      <c r="TN14" s="172"/>
      <c r="TO14" s="172"/>
      <c r="TP14" s="172"/>
      <c r="TQ14" s="172"/>
      <c r="TR14" s="172"/>
      <c r="TS14" s="172"/>
      <c r="TT14" s="172"/>
      <c r="TU14" s="172"/>
      <c r="TV14" s="172"/>
      <c r="TW14" s="172"/>
      <c r="TX14" s="172"/>
      <c r="TY14" s="172"/>
      <c r="TZ14" s="172"/>
      <c r="UA14" s="172"/>
      <c r="UB14" s="172"/>
      <c r="UC14" s="172"/>
      <c r="UD14" s="172"/>
      <c r="UE14" s="172"/>
      <c r="UF14" s="172"/>
      <c r="UG14" s="172"/>
      <c r="UH14" s="172"/>
      <c r="UI14" s="172"/>
      <c r="UJ14" s="172"/>
      <c r="UK14" s="172"/>
      <c r="UL14" s="172"/>
      <c r="UM14" s="172"/>
      <c r="UN14" s="172"/>
      <c r="UO14" s="172"/>
      <c r="UP14" s="172"/>
      <c r="UQ14" s="172"/>
      <c r="UR14" s="172"/>
      <c r="US14" s="172"/>
      <c r="UT14" s="172"/>
      <c r="UU14" s="172"/>
      <c r="UV14" s="172"/>
      <c r="UW14" s="172"/>
      <c r="UX14" s="172"/>
      <c r="UY14" s="172"/>
      <c r="UZ14" s="172"/>
      <c r="VA14" s="172"/>
      <c r="VB14" s="172"/>
      <c r="VC14" s="172"/>
      <c r="VD14" s="172"/>
      <c r="VE14" s="172"/>
      <c r="VF14" s="172"/>
      <c r="VG14" s="172"/>
      <c r="VH14" s="172"/>
      <c r="VI14" s="172"/>
      <c r="VJ14" s="172"/>
      <c r="VK14" s="172"/>
      <c r="VL14" s="172"/>
      <c r="VM14" s="172"/>
      <c r="VN14" s="172"/>
      <c r="VO14" s="172"/>
      <c r="VP14" s="172"/>
      <c r="VQ14" s="172"/>
      <c r="VR14" s="172"/>
      <c r="VS14" s="172"/>
      <c r="VT14" s="172"/>
      <c r="VU14" s="172"/>
      <c r="VV14" s="172"/>
      <c r="VW14" s="172"/>
      <c r="VX14" s="172"/>
      <c r="VY14" s="172"/>
      <c r="VZ14" s="172"/>
      <c r="WA14" s="172"/>
      <c r="WB14" s="172"/>
      <c r="WC14" s="172"/>
      <c r="WD14" s="172"/>
      <c r="WE14" s="172"/>
      <c r="WF14" s="172"/>
      <c r="WG14" s="172"/>
      <c r="WH14" s="172"/>
      <c r="WI14" s="172"/>
      <c r="WJ14" s="172"/>
      <c r="WK14" s="172"/>
      <c r="WL14" s="172"/>
      <c r="WM14" s="172"/>
      <c r="WN14" s="172"/>
      <c r="WO14" s="172"/>
      <c r="WP14" s="172"/>
      <c r="WQ14" s="172"/>
      <c r="WR14" s="172"/>
      <c r="WS14" s="172"/>
      <c r="WT14" s="172"/>
      <c r="WU14" s="172"/>
      <c r="WV14" s="172"/>
      <c r="WW14" s="172"/>
      <c r="WX14" s="172"/>
      <c r="WY14" s="172"/>
      <c r="WZ14" s="172"/>
      <c r="XA14" s="172"/>
      <c r="XB14" s="172"/>
      <c r="XC14" s="172"/>
      <c r="XD14" s="172"/>
      <c r="XE14" s="172"/>
      <c r="XF14" s="172"/>
      <c r="XG14" s="172"/>
      <c r="XH14" s="172"/>
      <c r="XI14" s="172"/>
      <c r="XJ14" s="172"/>
      <c r="XK14" s="172"/>
      <c r="XL14" s="172"/>
      <c r="XM14" s="172"/>
      <c r="XN14" s="172"/>
      <c r="XO14" s="172"/>
      <c r="XP14" s="172"/>
      <c r="XQ14" s="172"/>
      <c r="XR14" s="172"/>
      <c r="XS14" s="172"/>
      <c r="XT14" s="172"/>
      <c r="XU14" s="172"/>
      <c r="XV14" s="172"/>
      <c r="XW14" s="172"/>
      <c r="XX14" s="172"/>
      <c r="XY14" s="172"/>
      <c r="XZ14" s="172"/>
      <c r="YA14" s="172"/>
      <c r="YB14" s="172"/>
      <c r="YC14" s="172"/>
      <c r="YD14" s="172"/>
      <c r="YE14" s="172"/>
      <c r="YF14" s="172"/>
      <c r="YG14" s="172"/>
      <c r="YH14" s="172"/>
      <c r="YI14" s="172"/>
      <c r="YJ14" s="172"/>
      <c r="YK14" s="172"/>
      <c r="YL14" s="172"/>
      <c r="YM14" s="172"/>
      <c r="YN14" s="172"/>
      <c r="YO14" s="172"/>
      <c r="YP14" s="172"/>
      <c r="YQ14" s="172"/>
      <c r="YR14" s="172"/>
      <c r="YS14" s="172"/>
      <c r="YT14" s="172"/>
      <c r="YU14" s="172"/>
      <c r="YV14" s="172"/>
      <c r="YW14" s="172"/>
      <c r="YX14" s="172"/>
      <c r="YY14" s="172"/>
      <c r="YZ14" s="172"/>
      <c r="ZA14" s="172"/>
      <c r="ZB14" s="172"/>
      <c r="ZC14" s="172"/>
      <c r="ZD14" s="172"/>
      <c r="ZE14" s="172"/>
      <c r="ZF14" s="172"/>
      <c r="ZG14" s="172"/>
      <c r="ZH14" s="172"/>
      <c r="ZI14" s="172"/>
      <c r="ZJ14" s="172"/>
      <c r="ZK14" s="172"/>
      <c r="ZL14" s="172"/>
      <c r="ZM14" s="172"/>
      <c r="ZN14" s="172"/>
      <c r="ZO14" s="172"/>
      <c r="ZP14" s="172"/>
      <c r="ZQ14" s="172"/>
      <c r="ZR14" s="172"/>
      <c r="ZS14" s="172"/>
      <c r="ZT14" s="172"/>
      <c r="ZU14" s="172"/>
      <c r="ZV14" s="172"/>
      <c r="ZW14" s="172"/>
      <c r="ZX14" s="172"/>
      <c r="ZY14" s="172"/>
      <c r="ZZ14" s="172"/>
      <c r="AAA14" s="172"/>
      <c r="AAB14" s="172"/>
      <c r="AAC14" s="172"/>
      <c r="AAD14" s="172"/>
      <c r="AAE14" s="172"/>
      <c r="AAF14" s="172"/>
      <c r="AAG14" s="172"/>
      <c r="AAH14" s="172"/>
      <c r="AAI14" s="172"/>
      <c r="AAJ14" s="172"/>
      <c r="AAK14" s="172"/>
      <c r="AAL14" s="172"/>
      <c r="AAM14" s="172"/>
      <c r="AAN14" s="172"/>
      <c r="AAO14" s="172"/>
      <c r="AAP14" s="172"/>
      <c r="AAQ14" s="172"/>
      <c r="AAR14" s="172"/>
      <c r="AAS14" s="172"/>
      <c r="AAT14" s="172"/>
      <c r="AAU14" s="172"/>
      <c r="AAV14" s="172"/>
      <c r="AAW14" s="172"/>
      <c r="AAX14" s="172"/>
      <c r="AAY14" s="172"/>
      <c r="AAZ14" s="172"/>
      <c r="ABA14" s="172"/>
      <c r="ABB14" s="172"/>
      <c r="ABC14" s="172"/>
      <c r="ABD14" s="172"/>
      <c r="ABE14" s="172"/>
      <c r="ABF14" s="172"/>
      <c r="ABG14" s="172"/>
      <c r="ABH14" s="172"/>
      <c r="ABI14" s="172"/>
      <c r="ABJ14" s="172"/>
      <c r="ABK14" s="172"/>
      <c r="ABL14" s="172"/>
      <c r="ABM14" s="172"/>
      <c r="ABN14" s="172"/>
      <c r="ABO14" s="172"/>
      <c r="ABP14" s="172"/>
      <c r="ABQ14" s="172"/>
      <c r="ABR14" s="172"/>
      <c r="ABS14" s="172"/>
      <c r="ABT14" s="172"/>
      <c r="ABU14" s="172"/>
      <c r="ABV14" s="172"/>
      <c r="ABW14" s="172"/>
      <c r="ABX14" s="172"/>
      <c r="ABY14" s="172"/>
      <c r="ABZ14" s="172"/>
      <c r="ACA14" s="172"/>
      <c r="ACB14" s="172"/>
      <c r="ACC14" s="172"/>
      <c r="ACD14" s="172"/>
      <c r="ACE14" s="172"/>
      <c r="ACF14" s="172"/>
      <c r="ACG14" s="172"/>
      <c r="ACH14" s="172"/>
      <c r="ACI14" s="172"/>
      <c r="ACJ14" s="172"/>
      <c r="ACK14" s="172"/>
      <c r="ACL14" s="172"/>
      <c r="ACM14" s="172"/>
      <c r="ACN14" s="172"/>
      <c r="ACO14" s="172"/>
      <c r="ACP14" s="172"/>
      <c r="ACQ14" s="172"/>
      <c r="ACR14" s="172"/>
      <c r="ACS14" s="172"/>
      <c r="ACT14" s="172"/>
      <c r="ACU14" s="172"/>
      <c r="ACV14" s="172"/>
      <c r="ACW14" s="172"/>
      <c r="ACX14" s="172"/>
      <c r="ACY14" s="172"/>
      <c r="ACZ14" s="172"/>
      <c r="ADA14" s="172"/>
      <c r="ADB14" s="172"/>
      <c r="ADC14" s="172"/>
      <c r="ADD14" s="172"/>
      <c r="ADE14" s="172"/>
      <c r="ADF14" s="172"/>
      <c r="ADG14" s="172"/>
      <c r="ADH14" s="172"/>
      <c r="ADI14" s="172"/>
      <c r="ADJ14" s="172"/>
      <c r="ADK14" s="172"/>
      <c r="ADL14" s="172"/>
      <c r="ADM14" s="172"/>
      <c r="ADN14" s="172"/>
      <c r="ADO14" s="172"/>
      <c r="ADP14" s="172"/>
      <c r="ADQ14" s="172"/>
      <c r="ADR14" s="172"/>
      <c r="ADS14" s="172"/>
      <c r="ADT14" s="172"/>
      <c r="ADU14" s="172"/>
      <c r="ADV14" s="172"/>
      <c r="ADW14" s="172"/>
      <c r="ADX14" s="172"/>
      <c r="ADY14" s="172"/>
      <c r="ADZ14" s="172"/>
      <c r="AEA14" s="172"/>
      <c r="AEB14" s="172"/>
      <c r="AEC14" s="172"/>
      <c r="AED14" s="172"/>
      <c r="AEE14" s="172"/>
      <c r="AEF14" s="172"/>
      <c r="AEG14" s="172"/>
      <c r="AEH14" s="172"/>
      <c r="AEI14" s="172"/>
      <c r="AEJ14" s="172"/>
      <c r="AEK14" s="172"/>
      <c r="AEL14" s="172"/>
      <c r="AEM14" s="172"/>
      <c r="AEN14" s="172"/>
      <c r="AEO14" s="172"/>
      <c r="AEP14" s="172"/>
      <c r="AEQ14" s="172"/>
      <c r="AER14" s="172"/>
      <c r="AES14" s="172"/>
      <c r="AET14" s="172"/>
      <c r="AEU14" s="172"/>
      <c r="AEV14" s="172"/>
      <c r="AEW14" s="172"/>
      <c r="AEX14" s="172"/>
      <c r="AEY14" s="172"/>
      <c r="AEZ14" s="172"/>
      <c r="AFA14" s="172"/>
      <c r="AFB14" s="172"/>
      <c r="AFC14" s="172"/>
      <c r="AFD14" s="172"/>
      <c r="AFE14" s="172"/>
      <c r="AFF14" s="172"/>
      <c r="AFG14" s="172"/>
      <c r="AFH14" s="172"/>
      <c r="AFI14" s="172"/>
      <c r="AFJ14" s="172"/>
      <c r="AFK14" s="172"/>
      <c r="AFL14" s="172"/>
      <c r="AFM14" s="172"/>
      <c r="AFN14" s="172"/>
      <c r="AFO14" s="172"/>
      <c r="AFP14" s="172"/>
      <c r="AFQ14" s="172"/>
      <c r="AFR14" s="172"/>
      <c r="AFS14" s="172"/>
      <c r="AFT14" s="172"/>
      <c r="AFU14" s="172"/>
      <c r="AFV14" s="172"/>
      <c r="AFW14" s="172"/>
      <c r="AFX14" s="172"/>
      <c r="AFY14" s="172"/>
      <c r="AFZ14" s="172"/>
      <c r="AGA14" s="172"/>
      <c r="AGB14" s="172"/>
      <c r="AGC14" s="172"/>
      <c r="AGD14" s="172"/>
      <c r="AGE14" s="172"/>
      <c r="AGF14" s="172"/>
      <c r="AGG14" s="172"/>
      <c r="AGH14" s="172"/>
      <c r="AGI14" s="172"/>
      <c r="AGJ14" s="172"/>
      <c r="AGK14" s="172"/>
      <c r="AGL14" s="172"/>
      <c r="AGM14" s="172"/>
      <c r="AGN14" s="172"/>
      <c r="AGO14" s="172"/>
      <c r="AGP14" s="172"/>
      <c r="AGQ14" s="172"/>
      <c r="AGR14" s="172"/>
      <c r="AGS14" s="172"/>
      <c r="AGT14" s="172"/>
      <c r="AGU14" s="172"/>
      <c r="AGV14" s="172"/>
      <c r="AGW14" s="172"/>
      <c r="AGX14" s="172"/>
      <c r="AGY14" s="172"/>
      <c r="AGZ14" s="172"/>
      <c r="AHA14" s="172"/>
      <c r="AHB14" s="172"/>
      <c r="AHC14" s="172"/>
      <c r="AHD14" s="172"/>
      <c r="AHE14" s="172"/>
      <c r="AHF14" s="172"/>
      <c r="AHG14" s="172"/>
      <c r="AHH14" s="172"/>
      <c r="AHI14" s="172"/>
      <c r="AHJ14" s="172"/>
      <c r="AHK14" s="172"/>
      <c r="AHL14" s="172"/>
      <c r="AHM14" s="172"/>
      <c r="AHN14" s="172"/>
      <c r="AHO14" s="172"/>
      <c r="AHP14" s="172"/>
      <c r="AHQ14" s="172"/>
      <c r="AHR14" s="172"/>
      <c r="AHS14" s="172"/>
      <c r="AHT14" s="172"/>
      <c r="AHU14" s="172"/>
      <c r="AHV14" s="172"/>
      <c r="AHW14" s="172"/>
      <c r="AHX14" s="172"/>
      <c r="AHY14" s="172"/>
      <c r="AHZ14" s="172"/>
      <c r="AIA14" s="172"/>
      <c r="AIB14" s="172"/>
      <c r="AIC14" s="172"/>
      <c r="AID14" s="172"/>
      <c r="AIE14" s="172"/>
      <c r="AIF14" s="172"/>
      <c r="AIG14" s="172"/>
      <c r="AIH14" s="172"/>
      <c r="AII14" s="172"/>
      <c r="AIJ14" s="172"/>
      <c r="AIK14" s="172"/>
      <c r="AIL14" s="172"/>
      <c r="AIM14" s="172"/>
      <c r="AIN14" s="172"/>
      <c r="AIO14" s="172"/>
      <c r="AIP14" s="172"/>
      <c r="AIQ14" s="172"/>
      <c r="AIR14" s="172"/>
      <c r="AIS14" s="172"/>
      <c r="AIT14" s="172"/>
      <c r="AIU14" s="172"/>
      <c r="AIV14" s="172"/>
      <c r="AIW14" s="172"/>
      <c r="AIX14" s="172"/>
      <c r="AIY14" s="172"/>
      <c r="AIZ14" s="172"/>
      <c r="AJA14" s="172"/>
      <c r="AJB14" s="172"/>
      <c r="AJC14" s="172"/>
      <c r="AJD14" s="172"/>
      <c r="AJE14" s="172"/>
      <c r="AJF14" s="172"/>
      <c r="AJG14" s="172"/>
      <c r="AJH14" s="172"/>
      <c r="AJI14" s="172"/>
      <c r="AJJ14" s="172"/>
      <c r="AJK14" s="172"/>
      <c r="AJL14" s="172"/>
      <c r="AJM14" s="172"/>
      <c r="AJN14" s="172"/>
      <c r="AJO14" s="172"/>
      <c r="AJP14" s="172"/>
      <c r="AJQ14" s="172"/>
      <c r="AJR14" s="172"/>
      <c r="AJS14" s="172"/>
      <c r="AJT14" s="172"/>
      <c r="AJU14" s="172"/>
      <c r="AJV14" s="172"/>
      <c r="AJW14" s="172"/>
      <c r="AJX14" s="172"/>
      <c r="AJY14" s="172"/>
      <c r="AJZ14" s="172"/>
      <c r="AKA14" s="172"/>
      <c r="AKB14" s="172"/>
      <c r="AKC14" s="172"/>
      <c r="AKD14" s="172"/>
      <c r="AKE14" s="172"/>
      <c r="AKF14" s="172"/>
      <c r="AKG14" s="172"/>
      <c r="AKH14" s="172"/>
      <c r="AKI14" s="172"/>
      <c r="AKJ14" s="172"/>
      <c r="AKK14" s="172"/>
      <c r="AKL14" s="172"/>
      <c r="AKM14" s="172"/>
      <c r="AKN14" s="172"/>
      <c r="AKO14" s="172"/>
      <c r="AKP14" s="172"/>
      <c r="AKQ14" s="172"/>
      <c r="AKR14" s="172"/>
      <c r="AKS14" s="172"/>
      <c r="AKT14" s="172"/>
      <c r="AKU14" s="172"/>
      <c r="AKV14" s="172"/>
      <c r="AKW14" s="172"/>
      <c r="AKX14" s="172"/>
      <c r="AKY14" s="172"/>
      <c r="AKZ14" s="172"/>
      <c r="ALA14" s="172"/>
      <c r="ALB14" s="172"/>
      <c r="ALC14" s="172"/>
      <c r="ALD14" s="172"/>
      <c r="ALE14" s="172"/>
      <c r="ALF14" s="172"/>
      <c r="ALG14" s="172"/>
      <c r="ALH14" s="172"/>
      <c r="ALI14" s="172"/>
      <c r="ALJ14" s="172"/>
      <c r="ALK14" s="172"/>
      <c r="ALL14" s="172"/>
      <c r="ALM14" s="172"/>
      <c r="ALN14" s="172"/>
      <c r="ALO14" s="172"/>
      <c r="ALP14" s="172"/>
      <c r="ALQ14" s="172"/>
      <c r="ALR14" s="172"/>
      <c r="ALS14" s="172"/>
      <c r="ALT14" s="172"/>
      <c r="ALU14" s="172"/>
      <c r="ALV14" s="172"/>
      <c r="ALW14" s="172"/>
      <c r="ALX14" s="172"/>
      <c r="ALY14" s="172"/>
      <c r="ALZ14" s="172"/>
      <c r="AMA14" s="172"/>
      <c r="AMB14" s="172"/>
      <c r="AMC14" s="172"/>
      <c r="AMD14" s="172"/>
      <c r="AME14" s="172"/>
      <c r="AMF14" s="172"/>
      <c r="AMG14" s="172"/>
      <c r="AMH14" s="172"/>
      <c r="AMI14" s="172"/>
      <c r="AMJ14" s="172"/>
      <c r="AMK14" s="172"/>
      <c r="AML14" s="172"/>
      <c r="AMM14" s="172"/>
      <c r="AMN14" s="172"/>
      <c r="AMO14" s="172"/>
      <c r="AMP14" s="172"/>
      <c r="AMQ14" s="172"/>
      <c r="AMR14" s="172"/>
      <c r="AMS14" s="172"/>
      <c r="AMT14" s="172"/>
      <c r="AMU14" s="172"/>
      <c r="AMV14" s="172"/>
      <c r="AMW14" s="172"/>
      <c r="AMX14" s="172"/>
      <c r="AMY14" s="172"/>
      <c r="AMZ14" s="172"/>
      <c r="ANA14" s="172"/>
      <c r="ANB14" s="172"/>
      <c r="ANC14" s="172"/>
      <c r="AND14" s="172"/>
      <c r="ANE14" s="172"/>
      <c r="ANF14" s="172"/>
      <c r="ANG14" s="172"/>
      <c r="ANH14" s="172"/>
      <c r="ANI14" s="172"/>
      <c r="ANJ14" s="172"/>
      <c r="ANK14" s="172"/>
      <c r="ANL14" s="172"/>
      <c r="ANM14" s="172"/>
      <c r="ANN14" s="172"/>
      <c r="ANO14" s="172"/>
      <c r="ANP14" s="172"/>
      <c r="ANQ14" s="172"/>
      <c r="ANR14" s="172"/>
      <c r="ANS14" s="172"/>
      <c r="ANT14" s="172"/>
      <c r="ANU14" s="172"/>
      <c r="ANV14" s="172"/>
      <c r="ANW14" s="172"/>
      <c r="ANX14" s="172"/>
      <c r="ANY14" s="172"/>
      <c r="ANZ14" s="172"/>
      <c r="AOA14" s="172"/>
      <c r="AOB14" s="172"/>
      <c r="AOC14" s="172"/>
      <c r="AOD14" s="172"/>
      <c r="AOE14" s="172"/>
      <c r="AOF14" s="172"/>
      <c r="AOG14" s="172"/>
      <c r="AOH14" s="172"/>
      <c r="AOI14" s="172"/>
      <c r="AOJ14" s="172"/>
      <c r="AOK14" s="172"/>
      <c r="AOL14" s="172"/>
      <c r="AOM14" s="172"/>
      <c r="AON14" s="172"/>
      <c r="AOO14" s="172"/>
      <c r="AOP14" s="172"/>
      <c r="AOQ14" s="172"/>
      <c r="AOR14" s="172"/>
      <c r="AOS14" s="172"/>
      <c r="AOT14" s="172"/>
      <c r="AOU14" s="172"/>
      <c r="AOV14" s="172"/>
      <c r="AOW14" s="172"/>
      <c r="AOX14" s="172"/>
      <c r="AOY14" s="172"/>
      <c r="AOZ14" s="172"/>
      <c r="APA14" s="172"/>
      <c r="APB14" s="172"/>
      <c r="APC14" s="172"/>
      <c r="APD14" s="172"/>
      <c r="APE14" s="172"/>
      <c r="APF14" s="172"/>
      <c r="APG14" s="172"/>
      <c r="APH14" s="172"/>
      <c r="API14" s="172"/>
      <c r="APJ14" s="172"/>
      <c r="APK14" s="172"/>
      <c r="APL14" s="172"/>
      <c r="APM14" s="172"/>
      <c r="APN14" s="172"/>
      <c r="APO14" s="172"/>
      <c r="APP14" s="172"/>
      <c r="APQ14" s="172"/>
      <c r="APR14" s="172"/>
      <c r="APS14" s="172"/>
      <c r="APT14" s="172"/>
      <c r="APU14" s="172"/>
      <c r="APV14" s="172"/>
      <c r="APW14" s="172"/>
      <c r="APX14" s="172"/>
      <c r="APY14" s="172"/>
      <c r="APZ14" s="172"/>
      <c r="AQA14" s="172"/>
      <c r="AQB14" s="172"/>
      <c r="AQC14" s="172"/>
      <c r="AQD14" s="172"/>
      <c r="AQE14" s="172"/>
      <c r="AQF14" s="172"/>
      <c r="AQG14" s="172"/>
      <c r="AQH14" s="172"/>
      <c r="AQI14" s="172"/>
      <c r="AQJ14" s="172"/>
      <c r="AQK14" s="172"/>
      <c r="AQL14" s="172"/>
      <c r="AQM14" s="172"/>
      <c r="AQN14" s="172"/>
      <c r="AQO14" s="172"/>
      <c r="AQP14" s="172"/>
      <c r="AQQ14" s="172"/>
      <c r="AQR14" s="172"/>
      <c r="AQS14" s="172"/>
      <c r="AQT14" s="172"/>
      <c r="AQU14" s="172"/>
      <c r="AQV14" s="172"/>
      <c r="AQW14" s="172"/>
      <c r="AQX14" s="172"/>
      <c r="AQY14" s="172"/>
      <c r="AQZ14" s="172"/>
      <c r="ARA14" s="172"/>
      <c r="ARB14" s="172"/>
      <c r="ARC14" s="172"/>
      <c r="ARD14" s="172"/>
      <c r="ARE14" s="172"/>
      <c r="ARF14" s="172"/>
      <c r="ARG14" s="172"/>
      <c r="ARH14" s="172"/>
      <c r="ARI14" s="172"/>
      <c r="ARJ14" s="172"/>
      <c r="ARK14" s="172"/>
      <c r="ARL14" s="172"/>
      <c r="ARM14" s="172"/>
      <c r="ARN14" s="172"/>
      <c r="ARO14" s="172"/>
      <c r="ARP14" s="172"/>
      <c r="ARQ14" s="172"/>
      <c r="ARR14" s="172"/>
      <c r="ARS14" s="172"/>
      <c r="ART14" s="172"/>
      <c r="ARU14" s="172"/>
    </row>
    <row r="15" spans="1:1165">
      <c r="A15" s="220"/>
      <c r="B15" s="195"/>
      <c r="C15" s="258"/>
      <c r="D15" s="258"/>
      <c r="E15" s="258"/>
      <c r="F15" s="258"/>
      <c r="G15" s="258"/>
      <c r="H15" s="258"/>
      <c r="I15" s="258"/>
      <c r="J15" s="258"/>
      <c r="K15" s="258"/>
      <c r="L15" s="258"/>
      <c r="M15" s="258"/>
      <c r="N15" s="258"/>
      <c r="O15" s="258"/>
      <c r="P15" s="258"/>
      <c r="Q15" s="258"/>
      <c r="R15" s="258"/>
      <c r="S15" s="258"/>
      <c r="T15" s="258"/>
      <c r="U15" s="227"/>
      <c r="V15" s="258"/>
      <c r="W15" s="227"/>
      <c r="X15" s="258"/>
      <c r="Y15" s="227"/>
      <c r="Z15" s="258"/>
      <c r="AA15" s="258"/>
      <c r="AB15" s="258"/>
      <c r="AC15" s="258"/>
      <c r="AD15" s="258"/>
      <c r="AE15" s="258"/>
      <c r="AF15" s="258"/>
      <c r="AG15" s="258"/>
      <c r="AH15" s="258"/>
      <c r="AI15" s="258"/>
      <c r="AJ15" s="258"/>
      <c r="AK15" s="288"/>
      <c r="AL15" s="288"/>
      <c r="AM15" s="267"/>
      <c r="AN15" s="261"/>
      <c r="AO15" s="258"/>
      <c r="AP15" s="258"/>
      <c r="AQ15" s="258"/>
      <c r="AR15" s="258"/>
      <c r="AS15" s="258"/>
      <c r="AT15" s="258"/>
      <c r="AU15" s="258"/>
      <c r="AV15" s="258"/>
      <c r="AW15" s="258"/>
      <c r="AX15" s="258"/>
      <c r="AY15" s="265"/>
      <c r="AZ15" s="265"/>
      <c r="BA15" s="227"/>
      <c r="BB15" s="258"/>
      <c r="BC15" s="258"/>
      <c r="BD15" s="258"/>
      <c r="BE15" s="258"/>
      <c r="BF15" s="258"/>
      <c r="BG15" s="258"/>
      <c r="BH15" s="258"/>
      <c r="BI15" s="227"/>
      <c r="BJ15" s="258"/>
      <c r="BK15" s="258"/>
      <c r="BL15" s="172"/>
      <c r="BM15" s="231"/>
      <c r="BN15" s="231"/>
      <c r="BO15" s="231"/>
      <c r="BP15" s="231"/>
    </row>
    <row r="16" spans="1:1165">
      <c r="A16" s="204" t="s">
        <v>162</v>
      </c>
      <c r="B16" s="207" t="s">
        <v>87</v>
      </c>
      <c r="C16" s="268">
        <v>9219</v>
      </c>
      <c r="D16" s="268">
        <v>431729</v>
      </c>
      <c r="E16" s="208">
        <v>0</v>
      </c>
      <c r="F16" s="208">
        <v>0</v>
      </c>
      <c r="G16" s="208">
        <v>0</v>
      </c>
      <c r="H16" s="208">
        <v>0</v>
      </c>
      <c r="I16" s="208">
        <v>0</v>
      </c>
      <c r="J16" s="208">
        <v>0</v>
      </c>
      <c r="K16" s="208">
        <v>0</v>
      </c>
      <c r="L16" s="208">
        <v>0</v>
      </c>
      <c r="M16" s="208">
        <v>0</v>
      </c>
      <c r="N16" s="208">
        <v>0</v>
      </c>
      <c r="O16" s="208">
        <v>0</v>
      </c>
      <c r="P16" s="208">
        <v>0</v>
      </c>
      <c r="Q16" s="208">
        <v>0</v>
      </c>
      <c r="R16" s="208">
        <v>0</v>
      </c>
      <c r="S16" s="208">
        <v>0</v>
      </c>
      <c r="T16" s="208">
        <v>0</v>
      </c>
      <c r="U16" s="208">
        <v>0</v>
      </c>
      <c r="V16" s="208">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08">
        <v>0</v>
      </c>
      <c r="AN16" s="208">
        <v>0</v>
      </c>
      <c r="AO16" s="208">
        <v>0</v>
      </c>
      <c r="AP16" s="208">
        <v>0</v>
      </c>
      <c r="AQ16" s="208">
        <v>0</v>
      </c>
      <c r="AR16" s="208">
        <v>0</v>
      </c>
      <c r="AS16" s="208">
        <v>0</v>
      </c>
      <c r="AT16" s="208">
        <v>0</v>
      </c>
      <c r="AU16" s="208">
        <v>0</v>
      </c>
      <c r="AV16" s="208">
        <v>0</v>
      </c>
      <c r="AW16" s="208">
        <v>0</v>
      </c>
      <c r="AX16" s="208">
        <v>0</v>
      </c>
      <c r="AY16" s="216">
        <v>0</v>
      </c>
      <c r="AZ16" s="216">
        <v>0</v>
      </c>
      <c r="BA16" s="216"/>
      <c r="BB16" s="216"/>
      <c r="BC16" s="216"/>
      <c r="BD16" s="216"/>
      <c r="BE16" s="216"/>
      <c r="BF16" s="216"/>
      <c r="BG16" s="216"/>
      <c r="BH16" s="216"/>
      <c r="BI16" s="207"/>
      <c r="BJ16" s="216">
        <f>C16+G16+I16+K16+M16+O16+Q16+S16+U16+W16+Y16+AA16+AC16+AE16+AG16+AI16+AK16+AM16+AO16+AQ16+AS16+AU16+AW16+AY16+BB16+BF16</f>
        <v>9219</v>
      </c>
      <c r="BK16" s="208">
        <f>D16+H16+J16+L16+N16+P16+R16+T16+V16+X16+Z16+AB16+AD16+AF16+AH16+AJ16+AL16+AN16+AP16+AR16+AT16+AV16+AX16+AZ16+BD16+BH16</f>
        <v>431729</v>
      </c>
      <c r="BL16" s="172"/>
      <c r="BM16" s="231"/>
      <c r="BN16" s="231"/>
      <c r="BO16" s="231"/>
      <c r="BP16" s="231"/>
    </row>
    <row r="17" spans="1:1165">
      <c r="A17" s="204"/>
      <c r="B17" s="207"/>
      <c r="C17" s="268"/>
      <c r="D17" s="26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75"/>
      <c r="AZ17" s="275"/>
      <c r="BA17" s="207"/>
      <c r="BB17" s="216"/>
      <c r="BC17" s="216"/>
      <c r="BD17" s="216"/>
      <c r="BE17" s="216"/>
      <c r="BF17" s="216"/>
      <c r="BG17" s="216"/>
      <c r="BH17" s="216"/>
      <c r="BI17" s="207"/>
      <c r="BJ17" s="216"/>
      <c r="BK17" s="216"/>
      <c r="BL17" s="172"/>
      <c r="BM17" s="231"/>
      <c r="BN17" s="231"/>
      <c r="BO17" s="231"/>
      <c r="BP17" s="231"/>
    </row>
    <row r="18" spans="1:1165" s="257" customFormat="1">
      <c r="A18" s="194" t="s">
        <v>163</v>
      </c>
      <c r="B18" s="195" t="s">
        <v>87</v>
      </c>
      <c r="C18" s="258">
        <v>39295</v>
      </c>
      <c r="D18" s="258">
        <v>1494410</v>
      </c>
      <c r="E18" s="258">
        <v>0</v>
      </c>
      <c r="F18" s="258">
        <v>0</v>
      </c>
      <c r="G18" s="258">
        <v>0</v>
      </c>
      <c r="H18" s="258">
        <v>0</v>
      </c>
      <c r="I18" s="258">
        <v>0</v>
      </c>
      <c r="J18" s="258">
        <v>0</v>
      </c>
      <c r="K18" s="258">
        <v>0</v>
      </c>
      <c r="L18" s="258">
        <v>0</v>
      </c>
      <c r="M18" s="258">
        <v>0</v>
      </c>
      <c r="N18" s="258">
        <v>0</v>
      </c>
      <c r="O18" s="258">
        <v>0</v>
      </c>
      <c r="P18" s="258">
        <v>0</v>
      </c>
      <c r="Q18" s="258">
        <v>0</v>
      </c>
      <c r="R18" s="258">
        <v>0</v>
      </c>
      <c r="S18" s="258">
        <v>0</v>
      </c>
      <c r="T18" s="258">
        <v>0</v>
      </c>
      <c r="U18" s="258">
        <v>0</v>
      </c>
      <c r="V18" s="258">
        <v>0</v>
      </c>
      <c r="W18" s="258">
        <v>0</v>
      </c>
      <c r="X18" s="258">
        <v>0</v>
      </c>
      <c r="Y18" s="258">
        <v>0</v>
      </c>
      <c r="Z18" s="258">
        <v>0</v>
      </c>
      <c r="AA18" s="258">
        <v>0</v>
      </c>
      <c r="AB18" s="258">
        <v>0</v>
      </c>
      <c r="AC18" s="258">
        <v>0</v>
      </c>
      <c r="AD18" s="258">
        <v>0</v>
      </c>
      <c r="AE18" s="258">
        <v>0</v>
      </c>
      <c r="AF18" s="258">
        <v>0</v>
      </c>
      <c r="AG18" s="258">
        <v>0</v>
      </c>
      <c r="AH18" s="258">
        <v>0</v>
      </c>
      <c r="AI18" s="258">
        <v>0</v>
      </c>
      <c r="AJ18" s="258">
        <v>0</v>
      </c>
      <c r="AK18" s="258">
        <v>0</v>
      </c>
      <c r="AL18" s="258">
        <v>0</v>
      </c>
      <c r="AM18" s="258">
        <v>0</v>
      </c>
      <c r="AN18" s="258">
        <v>0</v>
      </c>
      <c r="AO18" s="258">
        <v>0</v>
      </c>
      <c r="AP18" s="258">
        <v>0</v>
      </c>
      <c r="AQ18" s="258">
        <v>0</v>
      </c>
      <c r="AR18" s="258">
        <v>0</v>
      </c>
      <c r="AS18" s="258">
        <v>0</v>
      </c>
      <c r="AT18" s="258">
        <v>0</v>
      </c>
      <c r="AU18" s="258">
        <v>0</v>
      </c>
      <c r="AV18" s="258">
        <v>0</v>
      </c>
      <c r="AW18" s="258">
        <v>0</v>
      </c>
      <c r="AX18" s="258">
        <v>0</v>
      </c>
      <c r="AY18" s="224">
        <v>0</v>
      </c>
      <c r="AZ18" s="224">
        <v>0</v>
      </c>
      <c r="BA18" s="195"/>
      <c r="BB18" s="224"/>
      <c r="BC18" s="224"/>
      <c r="BD18" s="224"/>
      <c r="BE18" s="224"/>
      <c r="BF18" s="224"/>
      <c r="BG18" s="224"/>
      <c r="BH18" s="224"/>
      <c r="BI18" s="195"/>
      <c r="BJ18" s="258">
        <f>C18+G18+I18+K18+M18+O18+Q18+S18+U18+W18+Y18+AA18+AC18+AE18+AG18+AI18+AK18+AM18+AO18+AQ18+AS18+AU18+AW18+AY18+BB18+BF18</f>
        <v>39295</v>
      </c>
      <c r="BK18" s="258">
        <f>D18+H18+J18+L18+N18+P18+R18+T18+V18+X18+Z18+AB18+AD18+AF18+AH18+AJ18+AL18+AN18+AP18+AR18+AT18+AV18+AX18+AZ18+BD18+BH18</f>
        <v>1494410</v>
      </c>
      <c r="BL18" s="172"/>
      <c r="BM18" s="231"/>
      <c r="BN18" s="231"/>
      <c r="BO18" s="231"/>
      <c r="BP18" s="231"/>
      <c r="BQ18" s="172"/>
      <c r="BR18" s="172"/>
      <c r="BS18" s="172"/>
      <c r="BT18" s="172"/>
      <c r="BU18" s="172"/>
      <c r="BV18" s="172"/>
      <c r="BW18" s="172"/>
      <c r="BX18" s="172"/>
      <c r="BY18" s="172"/>
      <c r="BZ18" s="172"/>
      <c r="CA18" s="172"/>
      <c r="CB18" s="172"/>
      <c r="CC18" s="172"/>
      <c r="CD18" s="172"/>
      <c r="CE18" s="172"/>
      <c r="CF18" s="172"/>
      <c r="CG18" s="172"/>
      <c r="CH18" s="172"/>
      <c r="CI18" s="172"/>
      <c r="CJ18" s="172"/>
      <c r="CK18" s="172"/>
      <c r="CL18" s="172"/>
      <c r="CM18" s="172"/>
      <c r="CN18" s="172"/>
      <c r="CO18" s="172"/>
      <c r="CP18" s="172"/>
      <c r="CQ18" s="172"/>
      <c r="CR18" s="172"/>
      <c r="CS18" s="172"/>
      <c r="CT18" s="172"/>
      <c r="CU18" s="172"/>
      <c r="CV18" s="172"/>
      <c r="CW18" s="172"/>
      <c r="CX18" s="172"/>
      <c r="CY18" s="172"/>
      <c r="CZ18" s="172"/>
      <c r="DA18" s="172"/>
      <c r="DB18" s="172"/>
      <c r="DC18" s="172"/>
      <c r="DD18" s="172"/>
      <c r="DE18" s="172"/>
      <c r="DF18" s="172"/>
      <c r="DG18" s="172"/>
      <c r="DH18" s="172"/>
      <c r="DI18" s="172"/>
      <c r="DJ18" s="172"/>
      <c r="DK18" s="172"/>
      <c r="DL18" s="172"/>
      <c r="DM18" s="172"/>
      <c r="DN18" s="172"/>
      <c r="DO18" s="172"/>
      <c r="DP18" s="172"/>
      <c r="DQ18" s="172"/>
      <c r="DR18" s="172"/>
      <c r="DS18" s="172"/>
      <c r="DT18" s="172"/>
      <c r="DU18" s="172"/>
      <c r="DV18" s="172"/>
      <c r="DW18" s="172"/>
      <c r="DX18" s="172"/>
      <c r="DY18" s="172"/>
      <c r="DZ18" s="172"/>
      <c r="EA18" s="172"/>
      <c r="EB18" s="172"/>
      <c r="EC18" s="172"/>
      <c r="ED18" s="172"/>
      <c r="EE18" s="172"/>
      <c r="EF18" s="172"/>
      <c r="EG18" s="172"/>
      <c r="EH18" s="172"/>
      <c r="EI18" s="172"/>
      <c r="EJ18" s="172"/>
      <c r="EK18" s="172"/>
      <c r="EL18" s="172"/>
      <c r="EM18" s="172"/>
      <c r="EN18" s="172"/>
      <c r="EO18" s="172"/>
      <c r="EP18" s="172"/>
      <c r="EQ18" s="172"/>
      <c r="ER18" s="172"/>
      <c r="ES18" s="172"/>
      <c r="ET18" s="172"/>
      <c r="EU18" s="172"/>
      <c r="EV18" s="172"/>
      <c r="EW18" s="172"/>
      <c r="EX18" s="172"/>
      <c r="EY18" s="172"/>
      <c r="EZ18" s="172"/>
      <c r="FA18" s="172"/>
      <c r="FB18" s="172"/>
      <c r="FC18" s="172"/>
      <c r="FD18" s="172"/>
      <c r="FE18" s="172"/>
      <c r="FF18" s="172"/>
      <c r="FG18" s="172"/>
      <c r="FH18" s="172"/>
      <c r="FI18" s="172"/>
      <c r="FJ18" s="172"/>
      <c r="FK18" s="172"/>
      <c r="FL18" s="172"/>
      <c r="FM18" s="172"/>
      <c r="FN18" s="172"/>
      <c r="FO18" s="172"/>
      <c r="FP18" s="172"/>
      <c r="FQ18" s="172"/>
      <c r="FR18" s="172"/>
      <c r="FS18" s="172"/>
      <c r="FT18" s="172"/>
      <c r="FU18" s="172"/>
      <c r="FV18" s="172"/>
      <c r="FW18" s="172"/>
      <c r="FX18" s="172"/>
      <c r="FY18" s="172"/>
      <c r="FZ18" s="172"/>
      <c r="GA18" s="172"/>
      <c r="GB18" s="172"/>
      <c r="GC18" s="172"/>
      <c r="GD18" s="172"/>
      <c r="GE18" s="172"/>
      <c r="GF18" s="172"/>
      <c r="GG18" s="172"/>
      <c r="GH18" s="172"/>
      <c r="GI18" s="172"/>
      <c r="GJ18" s="172"/>
      <c r="GK18" s="172"/>
      <c r="GL18" s="172"/>
      <c r="GM18" s="172"/>
      <c r="GN18" s="172"/>
      <c r="GO18" s="172"/>
      <c r="GP18" s="172"/>
      <c r="GQ18" s="172"/>
      <c r="GR18" s="172"/>
      <c r="GS18" s="172"/>
      <c r="GT18" s="172"/>
      <c r="GU18" s="172"/>
      <c r="GV18" s="172"/>
      <c r="GW18" s="172"/>
      <c r="GX18" s="172"/>
      <c r="GY18" s="172"/>
      <c r="GZ18" s="172"/>
      <c r="HA18" s="172"/>
      <c r="HB18" s="172"/>
      <c r="HC18" s="172"/>
      <c r="HD18" s="172"/>
      <c r="HE18" s="172"/>
      <c r="HF18" s="172"/>
      <c r="HG18" s="172"/>
      <c r="HH18" s="172"/>
      <c r="HI18" s="172"/>
      <c r="HJ18" s="172"/>
      <c r="HK18" s="172"/>
      <c r="HL18" s="172"/>
      <c r="HM18" s="172"/>
      <c r="HN18" s="172"/>
      <c r="HO18" s="172"/>
      <c r="HP18" s="172"/>
      <c r="HQ18" s="172"/>
      <c r="HR18" s="172"/>
      <c r="HS18" s="172"/>
      <c r="HT18" s="172"/>
      <c r="HU18" s="172"/>
      <c r="HV18" s="172"/>
      <c r="HW18" s="172"/>
      <c r="HX18" s="172"/>
      <c r="HY18" s="172"/>
      <c r="HZ18" s="172"/>
      <c r="IA18" s="172"/>
      <c r="IB18" s="172"/>
      <c r="IC18" s="172"/>
      <c r="ID18" s="172"/>
      <c r="IE18" s="172"/>
      <c r="IF18" s="172"/>
      <c r="IG18" s="172"/>
      <c r="IH18" s="172"/>
      <c r="II18" s="172"/>
      <c r="IJ18" s="172"/>
      <c r="IK18" s="172"/>
      <c r="IL18" s="172"/>
      <c r="IM18" s="172"/>
      <c r="IN18" s="172"/>
      <c r="IO18" s="172"/>
      <c r="IP18" s="172"/>
      <c r="IQ18" s="172"/>
      <c r="IR18" s="172"/>
      <c r="IS18" s="172"/>
      <c r="IT18" s="172"/>
      <c r="IU18" s="172"/>
      <c r="IV18" s="172"/>
      <c r="IW18" s="172"/>
      <c r="IX18" s="172"/>
      <c r="IY18" s="172"/>
      <c r="IZ18" s="172"/>
      <c r="JA18" s="172"/>
      <c r="JB18" s="172"/>
      <c r="JC18" s="172"/>
      <c r="JD18" s="172"/>
      <c r="JE18" s="172"/>
      <c r="JF18" s="172"/>
      <c r="JG18" s="172"/>
      <c r="JH18" s="172"/>
      <c r="JI18" s="172"/>
      <c r="JJ18" s="172"/>
      <c r="JK18" s="172"/>
      <c r="JL18" s="172"/>
      <c r="JM18" s="172"/>
      <c r="JN18" s="172"/>
      <c r="JO18" s="172"/>
      <c r="JP18" s="172"/>
      <c r="JQ18" s="172"/>
      <c r="JR18" s="172"/>
      <c r="JS18" s="172"/>
      <c r="JT18" s="172"/>
      <c r="JU18" s="172"/>
      <c r="JV18" s="172"/>
      <c r="JW18" s="172"/>
      <c r="JX18" s="172"/>
      <c r="JY18" s="172"/>
      <c r="JZ18" s="172"/>
      <c r="KA18" s="172"/>
      <c r="KB18" s="172"/>
      <c r="KC18" s="172"/>
      <c r="KD18" s="172"/>
      <c r="KE18" s="172"/>
      <c r="KF18" s="172"/>
      <c r="KG18" s="172"/>
      <c r="KH18" s="172"/>
      <c r="KI18" s="172"/>
      <c r="KJ18" s="172"/>
      <c r="KK18" s="172"/>
      <c r="KL18" s="172"/>
      <c r="KM18" s="172"/>
      <c r="KN18" s="172"/>
      <c r="KO18" s="172"/>
      <c r="KP18" s="172"/>
      <c r="KQ18" s="172"/>
      <c r="KR18" s="172"/>
      <c r="KS18" s="172"/>
      <c r="KT18" s="172"/>
      <c r="KU18" s="172"/>
      <c r="KV18" s="172"/>
      <c r="KW18" s="172"/>
      <c r="KX18" s="172"/>
      <c r="KY18" s="172"/>
      <c r="KZ18" s="172"/>
      <c r="LA18" s="172"/>
      <c r="LB18" s="172"/>
      <c r="LC18" s="172"/>
      <c r="LD18" s="172"/>
      <c r="LE18" s="172"/>
      <c r="LF18" s="172"/>
      <c r="LG18" s="172"/>
      <c r="LH18" s="172"/>
      <c r="LI18" s="172"/>
      <c r="LJ18" s="172"/>
      <c r="LK18" s="172"/>
      <c r="LL18" s="172"/>
      <c r="LM18" s="172"/>
      <c r="LN18" s="172"/>
      <c r="LO18" s="172"/>
      <c r="LP18" s="172"/>
      <c r="LQ18" s="172"/>
      <c r="LR18" s="172"/>
      <c r="LS18" s="172"/>
      <c r="LT18" s="172"/>
      <c r="LU18" s="172"/>
      <c r="LV18" s="172"/>
      <c r="LW18" s="172"/>
      <c r="LX18" s="172"/>
      <c r="LY18" s="172"/>
      <c r="LZ18" s="172"/>
      <c r="MA18" s="172"/>
      <c r="MB18" s="172"/>
      <c r="MC18" s="172"/>
      <c r="MD18" s="172"/>
      <c r="ME18" s="172"/>
      <c r="MF18" s="172"/>
      <c r="MG18" s="172"/>
      <c r="MH18" s="172"/>
      <c r="MI18" s="172"/>
      <c r="MJ18" s="172"/>
      <c r="MK18" s="172"/>
      <c r="ML18" s="172"/>
      <c r="MM18" s="172"/>
      <c r="MN18" s="172"/>
      <c r="MO18" s="172"/>
      <c r="MP18" s="172"/>
      <c r="MQ18" s="172"/>
      <c r="MR18" s="172"/>
      <c r="MS18" s="172"/>
      <c r="MT18" s="172"/>
      <c r="MU18" s="172"/>
      <c r="MV18" s="172"/>
      <c r="MW18" s="172"/>
      <c r="MX18" s="172"/>
      <c r="MY18" s="172"/>
      <c r="MZ18" s="172"/>
      <c r="NA18" s="172"/>
      <c r="NB18" s="172"/>
      <c r="NC18" s="172"/>
      <c r="ND18" s="172"/>
      <c r="NE18" s="172"/>
      <c r="NF18" s="172"/>
      <c r="NG18" s="172"/>
      <c r="NH18" s="172"/>
      <c r="NI18" s="172"/>
      <c r="NJ18" s="172"/>
      <c r="NK18" s="172"/>
      <c r="NL18" s="172"/>
      <c r="NM18" s="172"/>
      <c r="NN18" s="172"/>
      <c r="NO18" s="172"/>
      <c r="NP18" s="172"/>
      <c r="NQ18" s="172"/>
      <c r="NR18" s="172"/>
      <c r="NS18" s="172"/>
      <c r="NT18" s="172"/>
      <c r="NU18" s="172"/>
      <c r="NV18" s="172"/>
      <c r="NW18" s="172"/>
      <c r="NX18" s="172"/>
      <c r="NY18" s="172"/>
      <c r="NZ18" s="172"/>
      <c r="OA18" s="172"/>
      <c r="OB18" s="172"/>
      <c r="OC18" s="172"/>
      <c r="OD18" s="172"/>
      <c r="OE18" s="172"/>
      <c r="OF18" s="172"/>
      <c r="OG18" s="172"/>
      <c r="OH18" s="172"/>
      <c r="OI18" s="172"/>
      <c r="OJ18" s="172"/>
      <c r="OK18" s="172"/>
      <c r="OL18" s="172"/>
      <c r="OM18" s="172"/>
      <c r="ON18" s="172"/>
      <c r="OO18" s="172"/>
      <c r="OP18" s="172"/>
      <c r="OQ18" s="172"/>
      <c r="OR18" s="172"/>
      <c r="OS18" s="172"/>
      <c r="OT18" s="172"/>
      <c r="OU18" s="172"/>
      <c r="OV18" s="172"/>
      <c r="OW18" s="172"/>
      <c r="OX18" s="172"/>
      <c r="OY18" s="172"/>
      <c r="OZ18" s="172"/>
      <c r="PA18" s="172"/>
      <c r="PB18" s="172"/>
      <c r="PC18" s="172"/>
      <c r="PD18" s="172"/>
      <c r="PE18" s="172"/>
      <c r="PF18" s="172"/>
      <c r="PG18" s="172"/>
      <c r="PH18" s="172"/>
      <c r="PI18" s="172"/>
      <c r="PJ18" s="172"/>
      <c r="PK18" s="172"/>
      <c r="PL18" s="172"/>
      <c r="PM18" s="172"/>
      <c r="PN18" s="172"/>
      <c r="PO18" s="172"/>
      <c r="PP18" s="172"/>
      <c r="PQ18" s="172"/>
      <c r="PR18" s="172"/>
      <c r="PS18" s="172"/>
      <c r="PT18" s="172"/>
      <c r="PU18" s="172"/>
      <c r="PV18" s="172"/>
      <c r="PW18" s="172"/>
      <c r="PX18" s="172"/>
      <c r="PY18" s="172"/>
      <c r="PZ18" s="172"/>
      <c r="QA18" s="172"/>
      <c r="QB18" s="172"/>
      <c r="QC18" s="172"/>
      <c r="QD18" s="172"/>
      <c r="QE18" s="172"/>
      <c r="QF18" s="172"/>
      <c r="QG18" s="172"/>
      <c r="QH18" s="172"/>
      <c r="QI18" s="172"/>
      <c r="QJ18" s="172"/>
      <c r="QK18" s="172"/>
      <c r="QL18" s="172"/>
      <c r="QM18" s="172"/>
      <c r="QN18" s="172"/>
      <c r="QO18" s="172"/>
      <c r="QP18" s="172"/>
      <c r="QQ18" s="172"/>
      <c r="QR18" s="172"/>
      <c r="QS18" s="172"/>
      <c r="QT18" s="172"/>
      <c r="QU18" s="172"/>
      <c r="QV18" s="172"/>
      <c r="QW18" s="172"/>
      <c r="QX18" s="172"/>
      <c r="QY18" s="172"/>
      <c r="QZ18" s="172"/>
      <c r="RA18" s="172"/>
      <c r="RB18" s="172"/>
      <c r="RC18" s="172"/>
      <c r="RD18" s="172"/>
      <c r="RE18" s="172"/>
      <c r="RF18" s="172"/>
      <c r="RG18" s="172"/>
      <c r="RH18" s="172"/>
      <c r="RI18" s="172"/>
      <c r="RJ18" s="172"/>
      <c r="RK18" s="172"/>
      <c r="RL18" s="172"/>
      <c r="RM18" s="172"/>
      <c r="RN18" s="172"/>
      <c r="RO18" s="172"/>
      <c r="RP18" s="172"/>
      <c r="RQ18" s="172"/>
      <c r="RR18" s="172"/>
      <c r="RS18" s="172"/>
      <c r="RT18" s="172"/>
      <c r="RU18" s="172"/>
      <c r="RV18" s="172"/>
      <c r="RW18" s="172"/>
      <c r="RX18" s="172"/>
      <c r="RY18" s="172"/>
      <c r="RZ18" s="172"/>
      <c r="SA18" s="172"/>
      <c r="SB18" s="172"/>
      <c r="SC18" s="172"/>
      <c r="SD18" s="172"/>
      <c r="SE18" s="172"/>
      <c r="SF18" s="172"/>
      <c r="SG18" s="172"/>
      <c r="SH18" s="172"/>
      <c r="SI18" s="172"/>
      <c r="SJ18" s="172"/>
      <c r="SK18" s="172"/>
      <c r="SL18" s="172"/>
      <c r="SM18" s="172"/>
      <c r="SN18" s="172"/>
      <c r="SO18" s="172"/>
      <c r="SP18" s="172"/>
      <c r="SQ18" s="172"/>
      <c r="SR18" s="172"/>
      <c r="SS18" s="172"/>
      <c r="ST18" s="172"/>
      <c r="SU18" s="172"/>
      <c r="SV18" s="172"/>
      <c r="SW18" s="172"/>
      <c r="SX18" s="172"/>
      <c r="SY18" s="172"/>
      <c r="SZ18" s="172"/>
      <c r="TA18" s="172"/>
      <c r="TB18" s="172"/>
      <c r="TC18" s="172"/>
      <c r="TD18" s="172"/>
      <c r="TE18" s="172"/>
      <c r="TF18" s="172"/>
      <c r="TG18" s="172"/>
      <c r="TH18" s="172"/>
      <c r="TI18" s="172"/>
      <c r="TJ18" s="172"/>
      <c r="TK18" s="172"/>
      <c r="TL18" s="172"/>
      <c r="TM18" s="172"/>
      <c r="TN18" s="172"/>
      <c r="TO18" s="172"/>
      <c r="TP18" s="172"/>
      <c r="TQ18" s="172"/>
      <c r="TR18" s="172"/>
      <c r="TS18" s="172"/>
      <c r="TT18" s="172"/>
      <c r="TU18" s="172"/>
      <c r="TV18" s="172"/>
      <c r="TW18" s="172"/>
      <c r="TX18" s="172"/>
      <c r="TY18" s="172"/>
      <c r="TZ18" s="172"/>
      <c r="UA18" s="172"/>
      <c r="UB18" s="172"/>
      <c r="UC18" s="172"/>
      <c r="UD18" s="172"/>
      <c r="UE18" s="172"/>
      <c r="UF18" s="172"/>
      <c r="UG18" s="172"/>
      <c r="UH18" s="172"/>
      <c r="UI18" s="172"/>
      <c r="UJ18" s="172"/>
      <c r="UK18" s="172"/>
      <c r="UL18" s="172"/>
      <c r="UM18" s="172"/>
      <c r="UN18" s="172"/>
      <c r="UO18" s="172"/>
      <c r="UP18" s="172"/>
      <c r="UQ18" s="172"/>
      <c r="UR18" s="172"/>
      <c r="US18" s="172"/>
      <c r="UT18" s="172"/>
      <c r="UU18" s="172"/>
      <c r="UV18" s="172"/>
      <c r="UW18" s="172"/>
      <c r="UX18" s="172"/>
      <c r="UY18" s="172"/>
      <c r="UZ18" s="172"/>
      <c r="VA18" s="172"/>
      <c r="VB18" s="172"/>
      <c r="VC18" s="172"/>
      <c r="VD18" s="172"/>
      <c r="VE18" s="172"/>
      <c r="VF18" s="172"/>
      <c r="VG18" s="172"/>
      <c r="VH18" s="172"/>
      <c r="VI18" s="172"/>
      <c r="VJ18" s="172"/>
      <c r="VK18" s="172"/>
      <c r="VL18" s="172"/>
      <c r="VM18" s="172"/>
      <c r="VN18" s="172"/>
      <c r="VO18" s="172"/>
      <c r="VP18" s="172"/>
      <c r="VQ18" s="172"/>
      <c r="VR18" s="172"/>
      <c r="VS18" s="172"/>
      <c r="VT18" s="172"/>
      <c r="VU18" s="172"/>
      <c r="VV18" s="172"/>
      <c r="VW18" s="172"/>
      <c r="VX18" s="172"/>
      <c r="VY18" s="172"/>
      <c r="VZ18" s="172"/>
      <c r="WA18" s="172"/>
      <c r="WB18" s="172"/>
      <c r="WC18" s="172"/>
      <c r="WD18" s="172"/>
      <c r="WE18" s="172"/>
      <c r="WF18" s="172"/>
      <c r="WG18" s="172"/>
      <c r="WH18" s="172"/>
      <c r="WI18" s="172"/>
      <c r="WJ18" s="172"/>
      <c r="WK18" s="172"/>
      <c r="WL18" s="172"/>
      <c r="WM18" s="172"/>
      <c r="WN18" s="172"/>
      <c r="WO18" s="172"/>
      <c r="WP18" s="172"/>
      <c r="WQ18" s="172"/>
      <c r="WR18" s="172"/>
      <c r="WS18" s="172"/>
      <c r="WT18" s="172"/>
      <c r="WU18" s="172"/>
      <c r="WV18" s="172"/>
      <c r="WW18" s="172"/>
      <c r="WX18" s="172"/>
      <c r="WY18" s="172"/>
      <c r="WZ18" s="172"/>
      <c r="XA18" s="172"/>
      <c r="XB18" s="172"/>
      <c r="XC18" s="172"/>
      <c r="XD18" s="172"/>
      <c r="XE18" s="172"/>
      <c r="XF18" s="172"/>
      <c r="XG18" s="172"/>
      <c r="XH18" s="172"/>
      <c r="XI18" s="172"/>
      <c r="XJ18" s="172"/>
      <c r="XK18" s="172"/>
      <c r="XL18" s="172"/>
      <c r="XM18" s="172"/>
      <c r="XN18" s="172"/>
      <c r="XO18" s="172"/>
      <c r="XP18" s="172"/>
      <c r="XQ18" s="172"/>
      <c r="XR18" s="172"/>
      <c r="XS18" s="172"/>
      <c r="XT18" s="172"/>
      <c r="XU18" s="172"/>
      <c r="XV18" s="172"/>
      <c r="XW18" s="172"/>
      <c r="XX18" s="172"/>
      <c r="XY18" s="172"/>
      <c r="XZ18" s="172"/>
      <c r="YA18" s="172"/>
      <c r="YB18" s="172"/>
      <c r="YC18" s="172"/>
      <c r="YD18" s="172"/>
      <c r="YE18" s="172"/>
      <c r="YF18" s="172"/>
      <c r="YG18" s="172"/>
      <c r="YH18" s="172"/>
      <c r="YI18" s="172"/>
      <c r="YJ18" s="172"/>
      <c r="YK18" s="172"/>
      <c r="YL18" s="172"/>
      <c r="YM18" s="172"/>
      <c r="YN18" s="172"/>
      <c r="YO18" s="172"/>
      <c r="YP18" s="172"/>
      <c r="YQ18" s="172"/>
      <c r="YR18" s="172"/>
      <c r="YS18" s="172"/>
      <c r="YT18" s="172"/>
      <c r="YU18" s="172"/>
      <c r="YV18" s="172"/>
      <c r="YW18" s="172"/>
      <c r="YX18" s="172"/>
      <c r="YY18" s="172"/>
      <c r="YZ18" s="172"/>
      <c r="ZA18" s="172"/>
      <c r="ZB18" s="172"/>
      <c r="ZC18" s="172"/>
      <c r="ZD18" s="172"/>
      <c r="ZE18" s="172"/>
      <c r="ZF18" s="172"/>
      <c r="ZG18" s="172"/>
      <c r="ZH18" s="172"/>
      <c r="ZI18" s="172"/>
      <c r="ZJ18" s="172"/>
      <c r="ZK18" s="172"/>
      <c r="ZL18" s="172"/>
      <c r="ZM18" s="172"/>
      <c r="ZN18" s="172"/>
      <c r="ZO18" s="172"/>
      <c r="ZP18" s="172"/>
      <c r="ZQ18" s="172"/>
      <c r="ZR18" s="172"/>
      <c r="ZS18" s="172"/>
      <c r="ZT18" s="172"/>
      <c r="ZU18" s="172"/>
      <c r="ZV18" s="172"/>
      <c r="ZW18" s="172"/>
      <c r="ZX18" s="172"/>
      <c r="ZY18" s="172"/>
      <c r="ZZ18" s="172"/>
      <c r="AAA18" s="172"/>
      <c r="AAB18" s="172"/>
      <c r="AAC18" s="172"/>
      <c r="AAD18" s="172"/>
      <c r="AAE18" s="172"/>
      <c r="AAF18" s="172"/>
      <c r="AAG18" s="172"/>
      <c r="AAH18" s="172"/>
      <c r="AAI18" s="172"/>
      <c r="AAJ18" s="172"/>
      <c r="AAK18" s="172"/>
      <c r="AAL18" s="172"/>
      <c r="AAM18" s="172"/>
      <c r="AAN18" s="172"/>
      <c r="AAO18" s="172"/>
      <c r="AAP18" s="172"/>
      <c r="AAQ18" s="172"/>
      <c r="AAR18" s="172"/>
      <c r="AAS18" s="172"/>
      <c r="AAT18" s="172"/>
      <c r="AAU18" s="172"/>
      <c r="AAV18" s="172"/>
      <c r="AAW18" s="172"/>
      <c r="AAX18" s="172"/>
      <c r="AAY18" s="172"/>
      <c r="AAZ18" s="172"/>
      <c r="ABA18" s="172"/>
      <c r="ABB18" s="172"/>
      <c r="ABC18" s="172"/>
      <c r="ABD18" s="172"/>
      <c r="ABE18" s="172"/>
      <c r="ABF18" s="172"/>
      <c r="ABG18" s="172"/>
      <c r="ABH18" s="172"/>
      <c r="ABI18" s="172"/>
      <c r="ABJ18" s="172"/>
      <c r="ABK18" s="172"/>
      <c r="ABL18" s="172"/>
      <c r="ABM18" s="172"/>
      <c r="ABN18" s="172"/>
      <c r="ABO18" s="172"/>
      <c r="ABP18" s="172"/>
      <c r="ABQ18" s="172"/>
      <c r="ABR18" s="172"/>
      <c r="ABS18" s="172"/>
      <c r="ABT18" s="172"/>
      <c r="ABU18" s="172"/>
      <c r="ABV18" s="172"/>
      <c r="ABW18" s="172"/>
      <c r="ABX18" s="172"/>
      <c r="ABY18" s="172"/>
      <c r="ABZ18" s="172"/>
      <c r="ACA18" s="172"/>
      <c r="ACB18" s="172"/>
      <c r="ACC18" s="172"/>
      <c r="ACD18" s="172"/>
      <c r="ACE18" s="172"/>
      <c r="ACF18" s="172"/>
      <c r="ACG18" s="172"/>
      <c r="ACH18" s="172"/>
      <c r="ACI18" s="172"/>
      <c r="ACJ18" s="172"/>
      <c r="ACK18" s="172"/>
      <c r="ACL18" s="172"/>
      <c r="ACM18" s="172"/>
      <c r="ACN18" s="172"/>
      <c r="ACO18" s="172"/>
      <c r="ACP18" s="172"/>
      <c r="ACQ18" s="172"/>
      <c r="ACR18" s="172"/>
      <c r="ACS18" s="172"/>
      <c r="ACT18" s="172"/>
      <c r="ACU18" s="172"/>
      <c r="ACV18" s="172"/>
      <c r="ACW18" s="172"/>
      <c r="ACX18" s="172"/>
      <c r="ACY18" s="172"/>
      <c r="ACZ18" s="172"/>
      <c r="ADA18" s="172"/>
      <c r="ADB18" s="172"/>
      <c r="ADC18" s="172"/>
      <c r="ADD18" s="172"/>
      <c r="ADE18" s="172"/>
      <c r="ADF18" s="172"/>
      <c r="ADG18" s="172"/>
      <c r="ADH18" s="172"/>
      <c r="ADI18" s="172"/>
      <c r="ADJ18" s="172"/>
      <c r="ADK18" s="172"/>
      <c r="ADL18" s="172"/>
      <c r="ADM18" s="172"/>
      <c r="ADN18" s="172"/>
      <c r="ADO18" s="172"/>
      <c r="ADP18" s="172"/>
      <c r="ADQ18" s="172"/>
      <c r="ADR18" s="172"/>
      <c r="ADS18" s="172"/>
      <c r="ADT18" s="172"/>
      <c r="ADU18" s="172"/>
      <c r="ADV18" s="172"/>
      <c r="ADW18" s="172"/>
      <c r="ADX18" s="172"/>
      <c r="ADY18" s="172"/>
      <c r="ADZ18" s="172"/>
      <c r="AEA18" s="172"/>
      <c r="AEB18" s="172"/>
      <c r="AEC18" s="172"/>
      <c r="AED18" s="172"/>
      <c r="AEE18" s="172"/>
      <c r="AEF18" s="172"/>
      <c r="AEG18" s="172"/>
      <c r="AEH18" s="172"/>
      <c r="AEI18" s="172"/>
      <c r="AEJ18" s="172"/>
      <c r="AEK18" s="172"/>
      <c r="AEL18" s="172"/>
      <c r="AEM18" s="172"/>
      <c r="AEN18" s="172"/>
      <c r="AEO18" s="172"/>
      <c r="AEP18" s="172"/>
      <c r="AEQ18" s="172"/>
      <c r="AER18" s="172"/>
      <c r="AES18" s="172"/>
      <c r="AET18" s="172"/>
      <c r="AEU18" s="172"/>
      <c r="AEV18" s="172"/>
      <c r="AEW18" s="172"/>
      <c r="AEX18" s="172"/>
      <c r="AEY18" s="172"/>
      <c r="AEZ18" s="172"/>
      <c r="AFA18" s="172"/>
      <c r="AFB18" s="172"/>
      <c r="AFC18" s="172"/>
      <c r="AFD18" s="172"/>
      <c r="AFE18" s="172"/>
      <c r="AFF18" s="172"/>
      <c r="AFG18" s="172"/>
      <c r="AFH18" s="172"/>
      <c r="AFI18" s="172"/>
      <c r="AFJ18" s="172"/>
      <c r="AFK18" s="172"/>
      <c r="AFL18" s="172"/>
      <c r="AFM18" s="172"/>
      <c r="AFN18" s="172"/>
      <c r="AFO18" s="172"/>
      <c r="AFP18" s="172"/>
      <c r="AFQ18" s="172"/>
      <c r="AFR18" s="172"/>
      <c r="AFS18" s="172"/>
      <c r="AFT18" s="172"/>
      <c r="AFU18" s="172"/>
      <c r="AFV18" s="172"/>
      <c r="AFW18" s="172"/>
      <c r="AFX18" s="172"/>
      <c r="AFY18" s="172"/>
      <c r="AFZ18" s="172"/>
      <c r="AGA18" s="172"/>
      <c r="AGB18" s="172"/>
      <c r="AGC18" s="172"/>
      <c r="AGD18" s="172"/>
      <c r="AGE18" s="172"/>
      <c r="AGF18" s="172"/>
      <c r="AGG18" s="172"/>
      <c r="AGH18" s="172"/>
      <c r="AGI18" s="172"/>
      <c r="AGJ18" s="172"/>
      <c r="AGK18" s="172"/>
      <c r="AGL18" s="172"/>
      <c r="AGM18" s="172"/>
      <c r="AGN18" s="172"/>
      <c r="AGO18" s="172"/>
      <c r="AGP18" s="172"/>
      <c r="AGQ18" s="172"/>
      <c r="AGR18" s="172"/>
      <c r="AGS18" s="172"/>
      <c r="AGT18" s="172"/>
      <c r="AGU18" s="172"/>
      <c r="AGV18" s="172"/>
      <c r="AGW18" s="172"/>
      <c r="AGX18" s="172"/>
      <c r="AGY18" s="172"/>
      <c r="AGZ18" s="172"/>
      <c r="AHA18" s="172"/>
      <c r="AHB18" s="172"/>
      <c r="AHC18" s="172"/>
      <c r="AHD18" s="172"/>
      <c r="AHE18" s="172"/>
      <c r="AHF18" s="172"/>
      <c r="AHG18" s="172"/>
      <c r="AHH18" s="172"/>
      <c r="AHI18" s="172"/>
      <c r="AHJ18" s="172"/>
      <c r="AHK18" s="172"/>
      <c r="AHL18" s="172"/>
      <c r="AHM18" s="172"/>
      <c r="AHN18" s="172"/>
      <c r="AHO18" s="172"/>
      <c r="AHP18" s="172"/>
      <c r="AHQ18" s="172"/>
      <c r="AHR18" s="172"/>
      <c r="AHS18" s="172"/>
      <c r="AHT18" s="172"/>
      <c r="AHU18" s="172"/>
      <c r="AHV18" s="172"/>
      <c r="AHW18" s="172"/>
      <c r="AHX18" s="172"/>
      <c r="AHY18" s="172"/>
      <c r="AHZ18" s="172"/>
      <c r="AIA18" s="172"/>
      <c r="AIB18" s="172"/>
      <c r="AIC18" s="172"/>
      <c r="AID18" s="172"/>
      <c r="AIE18" s="172"/>
      <c r="AIF18" s="172"/>
      <c r="AIG18" s="172"/>
      <c r="AIH18" s="172"/>
      <c r="AII18" s="172"/>
      <c r="AIJ18" s="172"/>
      <c r="AIK18" s="172"/>
      <c r="AIL18" s="172"/>
      <c r="AIM18" s="172"/>
      <c r="AIN18" s="172"/>
      <c r="AIO18" s="172"/>
      <c r="AIP18" s="172"/>
      <c r="AIQ18" s="172"/>
      <c r="AIR18" s="172"/>
      <c r="AIS18" s="172"/>
      <c r="AIT18" s="172"/>
      <c r="AIU18" s="172"/>
      <c r="AIV18" s="172"/>
      <c r="AIW18" s="172"/>
      <c r="AIX18" s="172"/>
      <c r="AIY18" s="172"/>
      <c r="AIZ18" s="172"/>
      <c r="AJA18" s="172"/>
      <c r="AJB18" s="172"/>
      <c r="AJC18" s="172"/>
      <c r="AJD18" s="172"/>
      <c r="AJE18" s="172"/>
      <c r="AJF18" s="172"/>
      <c r="AJG18" s="172"/>
      <c r="AJH18" s="172"/>
      <c r="AJI18" s="172"/>
      <c r="AJJ18" s="172"/>
      <c r="AJK18" s="172"/>
      <c r="AJL18" s="172"/>
      <c r="AJM18" s="172"/>
      <c r="AJN18" s="172"/>
      <c r="AJO18" s="172"/>
      <c r="AJP18" s="172"/>
      <c r="AJQ18" s="172"/>
      <c r="AJR18" s="172"/>
      <c r="AJS18" s="172"/>
      <c r="AJT18" s="172"/>
      <c r="AJU18" s="172"/>
      <c r="AJV18" s="172"/>
      <c r="AJW18" s="172"/>
      <c r="AJX18" s="172"/>
      <c r="AJY18" s="172"/>
      <c r="AJZ18" s="172"/>
      <c r="AKA18" s="172"/>
      <c r="AKB18" s="172"/>
      <c r="AKC18" s="172"/>
      <c r="AKD18" s="172"/>
      <c r="AKE18" s="172"/>
      <c r="AKF18" s="172"/>
      <c r="AKG18" s="172"/>
      <c r="AKH18" s="172"/>
      <c r="AKI18" s="172"/>
      <c r="AKJ18" s="172"/>
      <c r="AKK18" s="172"/>
      <c r="AKL18" s="172"/>
      <c r="AKM18" s="172"/>
      <c r="AKN18" s="172"/>
      <c r="AKO18" s="172"/>
      <c r="AKP18" s="172"/>
      <c r="AKQ18" s="172"/>
      <c r="AKR18" s="172"/>
      <c r="AKS18" s="172"/>
      <c r="AKT18" s="172"/>
      <c r="AKU18" s="172"/>
      <c r="AKV18" s="172"/>
      <c r="AKW18" s="172"/>
      <c r="AKX18" s="172"/>
      <c r="AKY18" s="172"/>
      <c r="AKZ18" s="172"/>
      <c r="ALA18" s="172"/>
      <c r="ALB18" s="172"/>
      <c r="ALC18" s="172"/>
      <c r="ALD18" s="172"/>
      <c r="ALE18" s="172"/>
      <c r="ALF18" s="172"/>
      <c r="ALG18" s="172"/>
      <c r="ALH18" s="172"/>
      <c r="ALI18" s="172"/>
      <c r="ALJ18" s="172"/>
      <c r="ALK18" s="172"/>
      <c r="ALL18" s="172"/>
      <c r="ALM18" s="172"/>
      <c r="ALN18" s="172"/>
      <c r="ALO18" s="172"/>
      <c r="ALP18" s="172"/>
      <c r="ALQ18" s="172"/>
      <c r="ALR18" s="172"/>
      <c r="ALS18" s="172"/>
      <c r="ALT18" s="172"/>
      <c r="ALU18" s="172"/>
      <c r="ALV18" s="172"/>
      <c r="ALW18" s="172"/>
      <c r="ALX18" s="172"/>
      <c r="ALY18" s="172"/>
      <c r="ALZ18" s="172"/>
      <c r="AMA18" s="172"/>
      <c r="AMB18" s="172"/>
      <c r="AMC18" s="172"/>
      <c r="AMD18" s="172"/>
      <c r="AME18" s="172"/>
      <c r="AMF18" s="172"/>
      <c r="AMG18" s="172"/>
      <c r="AMH18" s="172"/>
      <c r="AMI18" s="172"/>
      <c r="AMJ18" s="172"/>
      <c r="AMK18" s="172"/>
      <c r="AML18" s="172"/>
      <c r="AMM18" s="172"/>
      <c r="AMN18" s="172"/>
      <c r="AMO18" s="172"/>
      <c r="AMP18" s="172"/>
      <c r="AMQ18" s="172"/>
      <c r="AMR18" s="172"/>
      <c r="AMS18" s="172"/>
      <c r="AMT18" s="172"/>
      <c r="AMU18" s="172"/>
      <c r="AMV18" s="172"/>
      <c r="AMW18" s="172"/>
      <c r="AMX18" s="172"/>
      <c r="AMY18" s="172"/>
      <c r="AMZ18" s="172"/>
      <c r="ANA18" s="172"/>
      <c r="ANB18" s="172"/>
      <c r="ANC18" s="172"/>
      <c r="AND18" s="172"/>
      <c r="ANE18" s="172"/>
      <c r="ANF18" s="172"/>
      <c r="ANG18" s="172"/>
      <c r="ANH18" s="172"/>
      <c r="ANI18" s="172"/>
      <c r="ANJ18" s="172"/>
      <c r="ANK18" s="172"/>
      <c r="ANL18" s="172"/>
      <c r="ANM18" s="172"/>
      <c r="ANN18" s="172"/>
      <c r="ANO18" s="172"/>
      <c r="ANP18" s="172"/>
      <c r="ANQ18" s="172"/>
      <c r="ANR18" s="172"/>
      <c r="ANS18" s="172"/>
      <c r="ANT18" s="172"/>
      <c r="ANU18" s="172"/>
      <c r="ANV18" s="172"/>
      <c r="ANW18" s="172"/>
      <c r="ANX18" s="172"/>
      <c r="ANY18" s="172"/>
      <c r="ANZ18" s="172"/>
      <c r="AOA18" s="172"/>
      <c r="AOB18" s="172"/>
      <c r="AOC18" s="172"/>
      <c r="AOD18" s="172"/>
      <c r="AOE18" s="172"/>
      <c r="AOF18" s="172"/>
      <c r="AOG18" s="172"/>
      <c r="AOH18" s="172"/>
      <c r="AOI18" s="172"/>
      <c r="AOJ18" s="172"/>
      <c r="AOK18" s="172"/>
      <c r="AOL18" s="172"/>
      <c r="AOM18" s="172"/>
      <c r="AON18" s="172"/>
      <c r="AOO18" s="172"/>
      <c r="AOP18" s="172"/>
      <c r="AOQ18" s="172"/>
      <c r="AOR18" s="172"/>
      <c r="AOS18" s="172"/>
      <c r="AOT18" s="172"/>
      <c r="AOU18" s="172"/>
      <c r="AOV18" s="172"/>
      <c r="AOW18" s="172"/>
      <c r="AOX18" s="172"/>
      <c r="AOY18" s="172"/>
      <c r="AOZ18" s="172"/>
      <c r="APA18" s="172"/>
      <c r="APB18" s="172"/>
      <c r="APC18" s="172"/>
      <c r="APD18" s="172"/>
      <c r="APE18" s="172"/>
      <c r="APF18" s="172"/>
      <c r="APG18" s="172"/>
      <c r="APH18" s="172"/>
      <c r="API18" s="172"/>
      <c r="APJ18" s="172"/>
      <c r="APK18" s="172"/>
      <c r="APL18" s="172"/>
      <c r="APM18" s="172"/>
      <c r="APN18" s="172"/>
      <c r="APO18" s="172"/>
      <c r="APP18" s="172"/>
      <c r="APQ18" s="172"/>
      <c r="APR18" s="172"/>
      <c r="APS18" s="172"/>
      <c r="APT18" s="172"/>
      <c r="APU18" s="172"/>
      <c r="APV18" s="172"/>
      <c r="APW18" s="172"/>
      <c r="APX18" s="172"/>
      <c r="APY18" s="172"/>
      <c r="APZ18" s="172"/>
      <c r="AQA18" s="172"/>
      <c r="AQB18" s="172"/>
      <c r="AQC18" s="172"/>
      <c r="AQD18" s="172"/>
      <c r="AQE18" s="172"/>
      <c r="AQF18" s="172"/>
      <c r="AQG18" s="172"/>
      <c r="AQH18" s="172"/>
      <c r="AQI18" s="172"/>
      <c r="AQJ18" s="172"/>
      <c r="AQK18" s="172"/>
      <c r="AQL18" s="172"/>
      <c r="AQM18" s="172"/>
      <c r="AQN18" s="172"/>
      <c r="AQO18" s="172"/>
      <c r="AQP18" s="172"/>
      <c r="AQQ18" s="172"/>
      <c r="AQR18" s="172"/>
      <c r="AQS18" s="172"/>
      <c r="AQT18" s="172"/>
      <c r="AQU18" s="172"/>
      <c r="AQV18" s="172"/>
      <c r="AQW18" s="172"/>
      <c r="AQX18" s="172"/>
      <c r="AQY18" s="172"/>
      <c r="AQZ18" s="172"/>
      <c r="ARA18" s="172"/>
      <c r="ARB18" s="172"/>
      <c r="ARC18" s="172"/>
      <c r="ARD18" s="172"/>
      <c r="ARE18" s="172"/>
      <c r="ARF18" s="172"/>
      <c r="ARG18" s="172"/>
      <c r="ARH18" s="172"/>
      <c r="ARI18" s="172"/>
      <c r="ARJ18" s="172"/>
      <c r="ARK18" s="172"/>
      <c r="ARL18" s="172"/>
      <c r="ARM18" s="172"/>
      <c r="ARN18" s="172"/>
      <c r="ARO18" s="172"/>
      <c r="ARP18" s="172"/>
      <c r="ARQ18" s="172"/>
      <c r="ARR18" s="172"/>
      <c r="ARS18" s="172"/>
      <c r="ART18" s="172"/>
      <c r="ARU18" s="172"/>
    </row>
    <row r="19" spans="1:1165">
      <c r="A19" s="194"/>
      <c r="B19" s="195"/>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1185"/>
      <c r="AZ19" s="1185"/>
      <c r="BA19" s="195"/>
      <c r="BB19" s="224"/>
      <c r="BC19" s="224"/>
      <c r="BD19" s="224"/>
      <c r="BE19" s="224"/>
      <c r="BF19" s="224"/>
      <c r="BG19" s="224"/>
      <c r="BH19" s="224"/>
      <c r="BI19" s="195"/>
      <c r="BJ19" s="224"/>
      <c r="BK19" s="224"/>
      <c r="BL19" s="172"/>
      <c r="BM19" s="231"/>
      <c r="BN19" s="231"/>
      <c r="BO19" s="231"/>
      <c r="BP19" s="231"/>
    </row>
    <row r="20" spans="1:1165">
      <c r="A20" s="204" t="s">
        <v>164</v>
      </c>
      <c r="B20" s="207" t="s">
        <v>87</v>
      </c>
      <c r="C20" s="268">
        <v>11132</v>
      </c>
      <c r="D20" s="268">
        <v>1863882</v>
      </c>
      <c r="E20" s="208">
        <v>0</v>
      </c>
      <c r="F20" s="208">
        <v>0</v>
      </c>
      <c r="G20" s="208">
        <v>0</v>
      </c>
      <c r="H20" s="208">
        <v>0</v>
      </c>
      <c r="I20" s="208">
        <v>0</v>
      </c>
      <c r="J20" s="208">
        <v>0</v>
      </c>
      <c r="K20" s="208">
        <v>0</v>
      </c>
      <c r="L20" s="208">
        <v>0</v>
      </c>
      <c r="M20" s="208">
        <v>0</v>
      </c>
      <c r="N20" s="208">
        <v>0</v>
      </c>
      <c r="O20" s="208">
        <v>0</v>
      </c>
      <c r="P20" s="208">
        <v>0</v>
      </c>
      <c r="Q20" s="208">
        <v>0</v>
      </c>
      <c r="R20" s="208">
        <v>0</v>
      </c>
      <c r="S20" s="208">
        <v>0</v>
      </c>
      <c r="T20" s="208">
        <v>0</v>
      </c>
      <c r="U20" s="208">
        <v>0</v>
      </c>
      <c r="V20" s="208">
        <v>0</v>
      </c>
      <c r="W20" s="208">
        <v>0</v>
      </c>
      <c r="X20" s="208">
        <v>0</v>
      </c>
      <c r="Y20" s="208">
        <v>0</v>
      </c>
      <c r="Z20" s="208">
        <v>0</v>
      </c>
      <c r="AA20" s="208">
        <v>0</v>
      </c>
      <c r="AB20" s="208">
        <v>0</v>
      </c>
      <c r="AC20" s="208">
        <v>0</v>
      </c>
      <c r="AD20" s="208">
        <v>0</v>
      </c>
      <c r="AE20" s="208">
        <v>0</v>
      </c>
      <c r="AF20" s="208">
        <v>0</v>
      </c>
      <c r="AG20" s="208">
        <v>0</v>
      </c>
      <c r="AH20" s="208">
        <v>0</v>
      </c>
      <c r="AI20" s="208">
        <v>0</v>
      </c>
      <c r="AJ20" s="208">
        <v>0</v>
      </c>
      <c r="AK20" s="208">
        <v>0</v>
      </c>
      <c r="AL20" s="208">
        <v>0</v>
      </c>
      <c r="AM20" s="208">
        <v>0</v>
      </c>
      <c r="AN20" s="208">
        <v>0</v>
      </c>
      <c r="AO20" s="208">
        <v>0</v>
      </c>
      <c r="AP20" s="208">
        <v>0</v>
      </c>
      <c r="AQ20" s="208">
        <v>0</v>
      </c>
      <c r="AR20" s="208">
        <v>0</v>
      </c>
      <c r="AS20" s="208">
        <v>0</v>
      </c>
      <c r="AT20" s="208">
        <v>0</v>
      </c>
      <c r="AU20" s="208">
        <v>0</v>
      </c>
      <c r="AV20" s="208">
        <v>0</v>
      </c>
      <c r="AW20" s="208">
        <v>0</v>
      </c>
      <c r="AX20" s="208">
        <v>0</v>
      </c>
      <c r="AY20" s="216">
        <v>0</v>
      </c>
      <c r="AZ20" s="216">
        <v>0</v>
      </c>
      <c r="BA20" s="207"/>
      <c r="BB20" s="216"/>
      <c r="BC20" s="216"/>
      <c r="BD20" s="216"/>
      <c r="BE20" s="216"/>
      <c r="BF20" s="216"/>
      <c r="BG20" s="216"/>
      <c r="BH20" s="216"/>
      <c r="BI20" s="207"/>
      <c r="BJ20" s="208">
        <f>C20+G20+I20+K20+M20+O20+Q20+S20+U20+W20+Y20+AA20+AC20+AE20+AG20+AI20+AK20+AM20+AO20+AQ20+AS20+AU20+AW20+AY20+BB20+BF20</f>
        <v>11132</v>
      </c>
      <c r="BK20" s="208">
        <f>D20+H20+J20+L20+N20+P20+R20+T20+V20+X20+Z20+AB20+AD20+AF20+AH20+AJ20+AL20+AN20+AP20+AR20+AT20+AV20+AX20+AZ20+BD20+BH20</f>
        <v>1863882</v>
      </c>
      <c r="BL20" s="172"/>
      <c r="BM20" s="231"/>
      <c r="BN20" s="231"/>
      <c r="BO20" s="231"/>
      <c r="BP20" s="231"/>
    </row>
    <row r="21" spans="1:1165">
      <c r="A21" s="209"/>
      <c r="B21" s="207"/>
      <c r="C21" s="268"/>
      <c r="D21" s="268"/>
      <c r="E21" s="208"/>
      <c r="F21" s="208"/>
      <c r="G21" s="208"/>
      <c r="H21" s="208"/>
      <c r="I21" s="208"/>
      <c r="J21" s="208"/>
      <c r="K21" s="208"/>
      <c r="L21" s="208"/>
      <c r="M21" s="208"/>
      <c r="N21" s="208"/>
      <c r="O21" s="208"/>
      <c r="P21" s="208"/>
      <c r="Q21" s="208"/>
      <c r="R21" s="208"/>
      <c r="S21" s="208"/>
      <c r="T21" s="208"/>
      <c r="U21" s="269"/>
      <c r="V21" s="208"/>
      <c r="W21" s="269"/>
      <c r="X21" s="208"/>
      <c r="Y21" s="269"/>
      <c r="Z21" s="208"/>
      <c r="AA21" s="208"/>
      <c r="AB21" s="208"/>
      <c r="AC21" s="208"/>
      <c r="AD21" s="208"/>
      <c r="AE21" s="208"/>
      <c r="AF21" s="208"/>
      <c r="AG21" s="208"/>
      <c r="AH21" s="208"/>
      <c r="AI21" s="208"/>
      <c r="AJ21" s="208"/>
      <c r="AK21" s="270"/>
      <c r="AL21" s="270"/>
      <c r="AM21" s="272"/>
      <c r="AN21" s="273"/>
      <c r="AO21" s="208"/>
      <c r="AP21" s="208"/>
      <c r="AQ21" s="208"/>
      <c r="AR21" s="208"/>
      <c r="AS21" s="208"/>
      <c r="AT21" s="208"/>
      <c r="AU21" s="208"/>
      <c r="AV21" s="208"/>
      <c r="AW21" s="208"/>
      <c r="AX21" s="208"/>
      <c r="AY21" s="274"/>
      <c r="AZ21" s="274"/>
      <c r="BA21" s="269"/>
      <c r="BB21" s="208"/>
      <c r="BC21" s="208"/>
      <c r="BD21" s="208"/>
      <c r="BE21" s="208"/>
      <c r="BF21" s="208"/>
      <c r="BG21" s="208"/>
      <c r="BH21" s="208"/>
      <c r="BI21" s="269"/>
      <c r="BJ21" s="208"/>
      <c r="BK21" s="208"/>
      <c r="BL21" s="172"/>
      <c r="BM21" s="231"/>
      <c r="BN21" s="231"/>
      <c r="BO21" s="231"/>
      <c r="BP21" s="231"/>
    </row>
    <row r="22" spans="1:1165" s="257" customFormat="1">
      <c r="A22" s="194" t="s">
        <v>165</v>
      </c>
      <c r="B22" s="195"/>
      <c r="C22" s="258"/>
      <c r="D22" s="258"/>
      <c r="E22" s="258"/>
      <c r="F22" s="258"/>
      <c r="G22" s="258"/>
      <c r="H22" s="258"/>
      <c r="I22" s="258"/>
      <c r="J22" s="258"/>
      <c r="K22" s="258"/>
      <c r="L22" s="258"/>
      <c r="M22" s="258"/>
      <c r="N22" s="258"/>
      <c r="O22" s="258"/>
      <c r="P22" s="258"/>
      <c r="Q22" s="258"/>
      <c r="R22" s="258"/>
      <c r="S22" s="258"/>
      <c r="T22" s="258"/>
      <c r="U22" s="227"/>
      <c r="V22" s="258"/>
      <c r="W22" s="227"/>
      <c r="X22" s="258"/>
      <c r="Y22" s="227"/>
      <c r="Z22" s="258"/>
      <c r="AA22" s="258"/>
      <c r="AB22" s="258"/>
      <c r="AC22" s="258"/>
      <c r="AD22" s="258"/>
      <c r="AE22" s="258"/>
      <c r="AF22" s="258"/>
      <c r="AG22" s="258"/>
      <c r="AH22" s="258"/>
      <c r="AI22" s="258"/>
      <c r="AJ22" s="258"/>
      <c r="AK22" s="288"/>
      <c r="AL22" s="288"/>
      <c r="AM22" s="267"/>
      <c r="AN22" s="261"/>
      <c r="AO22" s="258"/>
      <c r="AP22" s="258"/>
      <c r="AQ22" s="258"/>
      <c r="AR22" s="258"/>
      <c r="AS22" s="258"/>
      <c r="AT22" s="258"/>
      <c r="AU22" s="258"/>
      <c r="AV22" s="258"/>
      <c r="AW22" s="258"/>
      <c r="AX22" s="258"/>
      <c r="AY22" s="265"/>
      <c r="AZ22" s="265"/>
      <c r="BA22" s="227"/>
      <c r="BB22" s="258"/>
      <c r="BC22" s="258"/>
      <c r="BD22" s="258"/>
      <c r="BE22" s="258"/>
      <c r="BF22" s="258"/>
      <c r="BG22" s="258"/>
      <c r="BH22" s="258"/>
      <c r="BI22" s="227"/>
      <c r="BJ22" s="258"/>
      <c r="BK22" s="258"/>
      <c r="BL22" s="172"/>
      <c r="BM22" s="231"/>
      <c r="BN22" s="231"/>
      <c r="BO22" s="231"/>
      <c r="BP22" s="231"/>
      <c r="BQ22" s="172"/>
      <c r="BR22" s="172"/>
      <c r="BS22" s="172"/>
      <c r="BT22" s="172"/>
      <c r="BU22" s="172"/>
      <c r="BV22" s="172"/>
      <c r="BW22" s="172"/>
      <c r="BX22" s="172"/>
      <c r="BY22" s="172"/>
      <c r="BZ22" s="172"/>
      <c r="CA22" s="172"/>
      <c r="CB22" s="172"/>
      <c r="CC22" s="172"/>
      <c r="CD22" s="172"/>
      <c r="CE22" s="172"/>
      <c r="CF22" s="172"/>
      <c r="CG22" s="172"/>
      <c r="CH22" s="172"/>
      <c r="CI22" s="172"/>
      <c r="CJ22" s="172"/>
      <c r="CK22" s="172"/>
      <c r="CL22" s="172"/>
      <c r="CM22" s="172"/>
      <c r="CN22" s="172"/>
      <c r="CO22" s="172"/>
      <c r="CP22" s="172"/>
      <c r="CQ22" s="172"/>
      <c r="CR22" s="172"/>
      <c r="CS22" s="172"/>
      <c r="CT22" s="172"/>
      <c r="CU22" s="172"/>
      <c r="CV22" s="172"/>
      <c r="CW22" s="172"/>
      <c r="CX22" s="172"/>
      <c r="CY22" s="172"/>
      <c r="CZ22" s="172"/>
      <c r="DA22" s="172"/>
      <c r="DB22" s="172"/>
      <c r="DC22" s="172"/>
      <c r="DD22" s="172"/>
      <c r="DE22" s="172"/>
      <c r="DF22" s="172"/>
      <c r="DG22" s="172"/>
      <c r="DH22" s="172"/>
      <c r="DI22" s="172"/>
      <c r="DJ22" s="172"/>
      <c r="DK22" s="172"/>
      <c r="DL22" s="172"/>
      <c r="DM22" s="172"/>
      <c r="DN22" s="172"/>
      <c r="DO22" s="172"/>
      <c r="DP22" s="172"/>
      <c r="DQ22" s="172"/>
      <c r="DR22" s="172"/>
      <c r="DS22" s="172"/>
      <c r="DT22" s="172"/>
      <c r="DU22" s="172"/>
      <c r="DV22" s="172"/>
      <c r="DW22" s="172"/>
      <c r="DX22" s="172"/>
      <c r="DY22" s="172"/>
      <c r="DZ22" s="172"/>
      <c r="EA22" s="172"/>
      <c r="EB22" s="172"/>
      <c r="EC22" s="172"/>
      <c r="ED22" s="172"/>
      <c r="EE22" s="172"/>
      <c r="EF22" s="172"/>
      <c r="EG22" s="172"/>
      <c r="EH22" s="172"/>
      <c r="EI22" s="172"/>
      <c r="EJ22" s="172"/>
      <c r="EK22" s="172"/>
      <c r="EL22" s="172"/>
      <c r="EM22" s="172"/>
      <c r="EN22" s="172"/>
      <c r="EO22" s="172"/>
      <c r="EP22" s="172"/>
      <c r="EQ22" s="172"/>
      <c r="ER22" s="172"/>
      <c r="ES22" s="172"/>
      <c r="ET22" s="172"/>
      <c r="EU22" s="172"/>
      <c r="EV22" s="172"/>
      <c r="EW22" s="172"/>
      <c r="EX22" s="172"/>
      <c r="EY22" s="172"/>
      <c r="EZ22" s="172"/>
      <c r="FA22" s="172"/>
      <c r="FB22" s="172"/>
      <c r="FC22" s="172"/>
      <c r="FD22" s="172"/>
      <c r="FE22" s="172"/>
      <c r="FF22" s="172"/>
      <c r="FG22" s="172"/>
      <c r="FH22" s="172"/>
      <c r="FI22" s="172"/>
      <c r="FJ22" s="172"/>
      <c r="FK22" s="172"/>
      <c r="FL22" s="172"/>
      <c r="FM22" s="172"/>
      <c r="FN22" s="172"/>
      <c r="FO22" s="172"/>
      <c r="FP22" s="172"/>
      <c r="FQ22" s="172"/>
      <c r="FR22" s="172"/>
      <c r="FS22" s="172"/>
      <c r="FT22" s="172"/>
      <c r="FU22" s="172"/>
      <c r="FV22" s="172"/>
      <c r="FW22" s="172"/>
      <c r="FX22" s="172"/>
      <c r="FY22" s="172"/>
      <c r="FZ22" s="172"/>
      <c r="GA22" s="172"/>
      <c r="GB22" s="172"/>
      <c r="GC22" s="172"/>
      <c r="GD22" s="172"/>
      <c r="GE22" s="172"/>
      <c r="GF22" s="172"/>
      <c r="GG22" s="172"/>
      <c r="GH22" s="172"/>
      <c r="GI22" s="172"/>
      <c r="GJ22" s="172"/>
      <c r="GK22" s="172"/>
      <c r="GL22" s="172"/>
      <c r="GM22" s="172"/>
      <c r="GN22" s="172"/>
      <c r="GO22" s="172"/>
      <c r="GP22" s="172"/>
      <c r="GQ22" s="172"/>
      <c r="GR22" s="172"/>
      <c r="GS22" s="172"/>
      <c r="GT22" s="172"/>
      <c r="GU22" s="172"/>
      <c r="GV22" s="172"/>
      <c r="GW22" s="172"/>
      <c r="GX22" s="172"/>
      <c r="GY22" s="172"/>
      <c r="GZ22" s="172"/>
      <c r="HA22" s="172"/>
      <c r="HB22" s="172"/>
      <c r="HC22" s="172"/>
      <c r="HD22" s="172"/>
      <c r="HE22" s="172"/>
      <c r="HF22" s="172"/>
      <c r="HG22" s="172"/>
      <c r="HH22" s="172"/>
      <c r="HI22" s="172"/>
      <c r="HJ22" s="172"/>
      <c r="HK22" s="172"/>
      <c r="HL22" s="172"/>
      <c r="HM22" s="172"/>
      <c r="HN22" s="172"/>
      <c r="HO22" s="172"/>
      <c r="HP22" s="172"/>
      <c r="HQ22" s="172"/>
      <c r="HR22" s="172"/>
      <c r="HS22" s="172"/>
      <c r="HT22" s="172"/>
      <c r="HU22" s="172"/>
      <c r="HV22" s="172"/>
      <c r="HW22" s="172"/>
      <c r="HX22" s="172"/>
      <c r="HY22" s="172"/>
      <c r="HZ22" s="172"/>
      <c r="IA22" s="172"/>
      <c r="IB22" s="172"/>
      <c r="IC22" s="172"/>
      <c r="ID22" s="172"/>
      <c r="IE22" s="172"/>
      <c r="IF22" s="172"/>
      <c r="IG22" s="172"/>
      <c r="IH22" s="172"/>
      <c r="II22" s="172"/>
      <c r="IJ22" s="172"/>
      <c r="IK22" s="172"/>
      <c r="IL22" s="172"/>
      <c r="IM22" s="172"/>
      <c r="IN22" s="172"/>
      <c r="IO22" s="172"/>
      <c r="IP22" s="172"/>
      <c r="IQ22" s="172"/>
      <c r="IR22" s="172"/>
      <c r="IS22" s="172"/>
      <c r="IT22" s="172"/>
      <c r="IU22" s="172"/>
      <c r="IV22" s="172"/>
      <c r="IW22" s="172"/>
      <c r="IX22" s="172"/>
      <c r="IY22" s="172"/>
      <c r="IZ22" s="172"/>
      <c r="JA22" s="172"/>
      <c r="JB22" s="172"/>
      <c r="JC22" s="172"/>
      <c r="JD22" s="172"/>
      <c r="JE22" s="172"/>
      <c r="JF22" s="172"/>
      <c r="JG22" s="172"/>
      <c r="JH22" s="172"/>
      <c r="JI22" s="172"/>
      <c r="JJ22" s="172"/>
      <c r="JK22" s="172"/>
      <c r="JL22" s="172"/>
      <c r="JM22" s="172"/>
      <c r="JN22" s="172"/>
      <c r="JO22" s="172"/>
      <c r="JP22" s="172"/>
      <c r="JQ22" s="172"/>
      <c r="JR22" s="172"/>
      <c r="JS22" s="172"/>
      <c r="JT22" s="172"/>
      <c r="JU22" s="172"/>
      <c r="JV22" s="172"/>
      <c r="JW22" s="172"/>
      <c r="JX22" s="172"/>
      <c r="JY22" s="172"/>
      <c r="JZ22" s="172"/>
      <c r="KA22" s="172"/>
      <c r="KB22" s="172"/>
      <c r="KC22" s="172"/>
      <c r="KD22" s="172"/>
      <c r="KE22" s="172"/>
      <c r="KF22" s="172"/>
      <c r="KG22" s="172"/>
      <c r="KH22" s="172"/>
      <c r="KI22" s="172"/>
      <c r="KJ22" s="172"/>
      <c r="KK22" s="172"/>
      <c r="KL22" s="172"/>
      <c r="KM22" s="172"/>
      <c r="KN22" s="172"/>
      <c r="KO22" s="172"/>
      <c r="KP22" s="172"/>
      <c r="KQ22" s="172"/>
      <c r="KR22" s="172"/>
      <c r="KS22" s="172"/>
      <c r="KT22" s="172"/>
      <c r="KU22" s="172"/>
      <c r="KV22" s="172"/>
      <c r="KW22" s="172"/>
      <c r="KX22" s="172"/>
      <c r="KY22" s="172"/>
      <c r="KZ22" s="172"/>
      <c r="LA22" s="172"/>
      <c r="LB22" s="172"/>
      <c r="LC22" s="172"/>
      <c r="LD22" s="172"/>
      <c r="LE22" s="172"/>
      <c r="LF22" s="172"/>
      <c r="LG22" s="172"/>
      <c r="LH22" s="172"/>
      <c r="LI22" s="172"/>
      <c r="LJ22" s="172"/>
      <c r="LK22" s="172"/>
      <c r="LL22" s="172"/>
      <c r="LM22" s="172"/>
      <c r="LN22" s="172"/>
      <c r="LO22" s="172"/>
      <c r="LP22" s="172"/>
      <c r="LQ22" s="172"/>
      <c r="LR22" s="172"/>
      <c r="LS22" s="172"/>
      <c r="LT22" s="172"/>
      <c r="LU22" s="172"/>
      <c r="LV22" s="172"/>
      <c r="LW22" s="172"/>
      <c r="LX22" s="172"/>
      <c r="LY22" s="172"/>
      <c r="LZ22" s="172"/>
      <c r="MA22" s="172"/>
      <c r="MB22" s="172"/>
      <c r="MC22" s="172"/>
      <c r="MD22" s="172"/>
      <c r="ME22" s="172"/>
      <c r="MF22" s="172"/>
      <c r="MG22" s="172"/>
      <c r="MH22" s="172"/>
      <c r="MI22" s="172"/>
      <c r="MJ22" s="172"/>
      <c r="MK22" s="172"/>
      <c r="ML22" s="172"/>
      <c r="MM22" s="172"/>
      <c r="MN22" s="172"/>
      <c r="MO22" s="172"/>
      <c r="MP22" s="172"/>
      <c r="MQ22" s="172"/>
      <c r="MR22" s="172"/>
      <c r="MS22" s="172"/>
      <c r="MT22" s="172"/>
      <c r="MU22" s="172"/>
      <c r="MV22" s="172"/>
      <c r="MW22" s="172"/>
      <c r="MX22" s="172"/>
      <c r="MY22" s="172"/>
      <c r="MZ22" s="172"/>
      <c r="NA22" s="172"/>
      <c r="NB22" s="172"/>
      <c r="NC22" s="172"/>
      <c r="ND22" s="172"/>
      <c r="NE22" s="172"/>
      <c r="NF22" s="172"/>
      <c r="NG22" s="172"/>
      <c r="NH22" s="172"/>
      <c r="NI22" s="172"/>
      <c r="NJ22" s="172"/>
      <c r="NK22" s="172"/>
      <c r="NL22" s="172"/>
      <c r="NM22" s="172"/>
      <c r="NN22" s="172"/>
      <c r="NO22" s="172"/>
      <c r="NP22" s="172"/>
      <c r="NQ22" s="172"/>
      <c r="NR22" s="172"/>
      <c r="NS22" s="172"/>
      <c r="NT22" s="172"/>
      <c r="NU22" s="172"/>
      <c r="NV22" s="172"/>
      <c r="NW22" s="172"/>
      <c r="NX22" s="172"/>
      <c r="NY22" s="172"/>
      <c r="NZ22" s="172"/>
      <c r="OA22" s="172"/>
      <c r="OB22" s="172"/>
      <c r="OC22" s="172"/>
      <c r="OD22" s="172"/>
      <c r="OE22" s="172"/>
      <c r="OF22" s="172"/>
      <c r="OG22" s="172"/>
      <c r="OH22" s="172"/>
      <c r="OI22" s="172"/>
      <c r="OJ22" s="172"/>
      <c r="OK22" s="172"/>
      <c r="OL22" s="172"/>
      <c r="OM22" s="172"/>
      <c r="ON22" s="172"/>
      <c r="OO22" s="172"/>
      <c r="OP22" s="172"/>
      <c r="OQ22" s="172"/>
      <c r="OR22" s="172"/>
      <c r="OS22" s="172"/>
      <c r="OT22" s="172"/>
      <c r="OU22" s="172"/>
      <c r="OV22" s="172"/>
      <c r="OW22" s="172"/>
      <c r="OX22" s="172"/>
      <c r="OY22" s="172"/>
      <c r="OZ22" s="172"/>
      <c r="PA22" s="172"/>
      <c r="PB22" s="172"/>
      <c r="PC22" s="172"/>
      <c r="PD22" s="172"/>
      <c r="PE22" s="172"/>
      <c r="PF22" s="172"/>
      <c r="PG22" s="172"/>
      <c r="PH22" s="172"/>
      <c r="PI22" s="172"/>
      <c r="PJ22" s="172"/>
      <c r="PK22" s="172"/>
      <c r="PL22" s="172"/>
      <c r="PM22" s="172"/>
      <c r="PN22" s="172"/>
      <c r="PO22" s="172"/>
      <c r="PP22" s="172"/>
      <c r="PQ22" s="172"/>
      <c r="PR22" s="172"/>
      <c r="PS22" s="172"/>
      <c r="PT22" s="172"/>
      <c r="PU22" s="172"/>
      <c r="PV22" s="172"/>
      <c r="PW22" s="172"/>
      <c r="PX22" s="172"/>
      <c r="PY22" s="172"/>
      <c r="PZ22" s="172"/>
      <c r="QA22" s="172"/>
      <c r="QB22" s="172"/>
      <c r="QC22" s="172"/>
      <c r="QD22" s="172"/>
      <c r="QE22" s="172"/>
      <c r="QF22" s="172"/>
      <c r="QG22" s="172"/>
      <c r="QH22" s="172"/>
      <c r="QI22" s="172"/>
      <c r="QJ22" s="172"/>
      <c r="QK22" s="172"/>
      <c r="QL22" s="172"/>
      <c r="QM22" s="172"/>
      <c r="QN22" s="172"/>
      <c r="QO22" s="172"/>
      <c r="QP22" s="172"/>
      <c r="QQ22" s="172"/>
      <c r="QR22" s="172"/>
      <c r="QS22" s="172"/>
      <c r="QT22" s="172"/>
      <c r="QU22" s="172"/>
      <c r="QV22" s="172"/>
      <c r="QW22" s="172"/>
      <c r="QX22" s="172"/>
      <c r="QY22" s="172"/>
      <c r="QZ22" s="172"/>
      <c r="RA22" s="172"/>
      <c r="RB22" s="172"/>
      <c r="RC22" s="172"/>
      <c r="RD22" s="172"/>
      <c r="RE22" s="172"/>
      <c r="RF22" s="172"/>
      <c r="RG22" s="172"/>
      <c r="RH22" s="172"/>
      <c r="RI22" s="172"/>
      <c r="RJ22" s="172"/>
      <c r="RK22" s="172"/>
      <c r="RL22" s="172"/>
      <c r="RM22" s="172"/>
      <c r="RN22" s="172"/>
      <c r="RO22" s="172"/>
      <c r="RP22" s="172"/>
      <c r="RQ22" s="172"/>
      <c r="RR22" s="172"/>
      <c r="RS22" s="172"/>
      <c r="RT22" s="172"/>
      <c r="RU22" s="172"/>
      <c r="RV22" s="172"/>
      <c r="RW22" s="172"/>
      <c r="RX22" s="172"/>
      <c r="RY22" s="172"/>
      <c r="RZ22" s="172"/>
      <c r="SA22" s="172"/>
      <c r="SB22" s="172"/>
      <c r="SC22" s="172"/>
      <c r="SD22" s="172"/>
      <c r="SE22" s="172"/>
      <c r="SF22" s="172"/>
      <c r="SG22" s="172"/>
      <c r="SH22" s="172"/>
      <c r="SI22" s="172"/>
      <c r="SJ22" s="172"/>
      <c r="SK22" s="172"/>
      <c r="SL22" s="172"/>
      <c r="SM22" s="172"/>
      <c r="SN22" s="172"/>
      <c r="SO22" s="172"/>
      <c r="SP22" s="172"/>
      <c r="SQ22" s="172"/>
      <c r="SR22" s="172"/>
      <c r="SS22" s="172"/>
      <c r="ST22" s="172"/>
      <c r="SU22" s="172"/>
      <c r="SV22" s="172"/>
      <c r="SW22" s="172"/>
      <c r="SX22" s="172"/>
      <c r="SY22" s="172"/>
      <c r="SZ22" s="172"/>
      <c r="TA22" s="172"/>
      <c r="TB22" s="172"/>
      <c r="TC22" s="172"/>
      <c r="TD22" s="172"/>
      <c r="TE22" s="172"/>
      <c r="TF22" s="172"/>
      <c r="TG22" s="172"/>
      <c r="TH22" s="172"/>
      <c r="TI22" s="172"/>
      <c r="TJ22" s="172"/>
      <c r="TK22" s="172"/>
      <c r="TL22" s="172"/>
      <c r="TM22" s="172"/>
      <c r="TN22" s="172"/>
      <c r="TO22" s="172"/>
      <c r="TP22" s="172"/>
      <c r="TQ22" s="172"/>
      <c r="TR22" s="172"/>
      <c r="TS22" s="172"/>
      <c r="TT22" s="172"/>
      <c r="TU22" s="172"/>
      <c r="TV22" s="172"/>
      <c r="TW22" s="172"/>
      <c r="TX22" s="172"/>
      <c r="TY22" s="172"/>
      <c r="TZ22" s="172"/>
      <c r="UA22" s="172"/>
      <c r="UB22" s="172"/>
      <c r="UC22" s="172"/>
      <c r="UD22" s="172"/>
      <c r="UE22" s="172"/>
      <c r="UF22" s="172"/>
      <c r="UG22" s="172"/>
      <c r="UH22" s="172"/>
      <c r="UI22" s="172"/>
      <c r="UJ22" s="172"/>
      <c r="UK22" s="172"/>
      <c r="UL22" s="172"/>
      <c r="UM22" s="172"/>
      <c r="UN22" s="172"/>
      <c r="UO22" s="172"/>
      <c r="UP22" s="172"/>
      <c r="UQ22" s="172"/>
      <c r="UR22" s="172"/>
      <c r="US22" s="172"/>
      <c r="UT22" s="172"/>
      <c r="UU22" s="172"/>
      <c r="UV22" s="172"/>
      <c r="UW22" s="172"/>
      <c r="UX22" s="172"/>
      <c r="UY22" s="172"/>
      <c r="UZ22" s="172"/>
      <c r="VA22" s="172"/>
      <c r="VB22" s="172"/>
      <c r="VC22" s="172"/>
      <c r="VD22" s="172"/>
      <c r="VE22" s="172"/>
      <c r="VF22" s="172"/>
      <c r="VG22" s="172"/>
      <c r="VH22" s="172"/>
      <c r="VI22" s="172"/>
      <c r="VJ22" s="172"/>
      <c r="VK22" s="172"/>
      <c r="VL22" s="172"/>
      <c r="VM22" s="172"/>
      <c r="VN22" s="172"/>
      <c r="VO22" s="172"/>
      <c r="VP22" s="172"/>
      <c r="VQ22" s="172"/>
      <c r="VR22" s="172"/>
      <c r="VS22" s="172"/>
      <c r="VT22" s="172"/>
      <c r="VU22" s="172"/>
      <c r="VV22" s="172"/>
      <c r="VW22" s="172"/>
      <c r="VX22" s="172"/>
      <c r="VY22" s="172"/>
      <c r="VZ22" s="172"/>
      <c r="WA22" s="172"/>
      <c r="WB22" s="172"/>
      <c r="WC22" s="172"/>
      <c r="WD22" s="172"/>
      <c r="WE22" s="172"/>
      <c r="WF22" s="172"/>
      <c r="WG22" s="172"/>
      <c r="WH22" s="172"/>
      <c r="WI22" s="172"/>
      <c r="WJ22" s="172"/>
      <c r="WK22" s="172"/>
      <c r="WL22" s="172"/>
      <c r="WM22" s="172"/>
      <c r="WN22" s="172"/>
      <c r="WO22" s="172"/>
      <c r="WP22" s="172"/>
      <c r="WQ22" s="172"/>
      <c r="WR22" s="172"/>
      <c r="WS22" s="172"/>
      <c r="WT22" s="172"/>
      <c r="WU22" s="172"/>
      <c r="WV22" s="172"/>
      <c r="WW22" s="172"/>
      <c r="WX22" s="172"/>
      <c r="WY22" s="172"/>
      <c r="WZ22" s="172"/>
      <c r="XA22" s="172"/>
      <c r="XB22" s="172"/>
      <c r="XC22" s="172"/>
      <c r="XD22" s="172"/>
      <c r="XE22" s="172"/>
      <c r="XF22" s="172"/>
      <c r="XG22" s="172"/>
      <c r="XH22" s="172"/>
      <c r="XI22" s="172"/>
      <c r="XJ22" s="172"/>
      <c r="XK22" s="172"/>
      <c r="XL22" s="172"/>
      <c r="XM22" s="172"/>
      <c r="XN22" s="172"/>
      <c r="XO22" s="172"/>
      <c r="XP22" s="172"/>
      <c r="XQ22" s="172"/>
      <c r="XR22" s="172"/>
      <c r="XS22" s="172"/>
      <c r="XT22" s="172"/>
      <c r="XU22" s="172"/>
      <c r="XV22" s="172"/>
      <c r="XW22" s="172"/>
      <c r="XX22" s="172"/>
      <c r="XY22" s="172"/>
      <c r="XZ22" s="172"/>
      <c r="YA22" s="172"/>
      <c r="YB22" s="172"/>
      <c r="YC22" s="172"/>
      <c r="YD22" s="172"/>
      <c r="YE22" s="172"/>
      <c r="YF22" s="172"/>
      <c r="YG22" s="172"/>
      <c r="YH22" s="172"/>
      <c r="YI22" s="172"/>
      <c r="YJ22" s="172"/>
      <c r="YK22" s="172"/>
      <c r="YL22" s="172"/>
      <c r="YM22" s="172"/>
      <c r="YN22" s="172"/>
      <c r="YO22" s="172"/>
      <c r="YP22" s="172"/>
      <c r="YQ22" s="172"/>
      <c r="YR22" s="172"/>
      <c r="YS22" s="172"/>
      <c r="YT22" s="172"/>
      <c r="YU22" s="172"/>
      <c r="YV22" s="172"/>
      <c r="YW22" s="172"/>
      <c r="YX22" s="172"/>
      <c r="YY22" s="172"/>
      <c r="YZ22" s="172"/>
      <c r="ZA22" s="172"/>
      <c r="ZB22" s="172"/>
      <c r="ZC22" s="172"/>
      <c r="ZD22" s="172"/>
      <c r="ZE22" s="172"/>
      <c r="ZF22" s="172"/>
      <c r="ZG22" s="172"/>
      <c r="ZH22" s="172"/>
      <c r="ZI22" s="172"/>
      <c r="ZJ22" s="172"/>
      <c r="ZK22" s="172"/>
      <c r="ZL22" s="172"/>
      <c r="ZM22" s="172"/>
      <c r="ZN22" s="172"/>
      <c r="ZO22" s="172"/>
      <c r="ZP22" s="172"/>
      <c r="ZQ22" s="172"/>
      <c r="ZR22" s="172"/>
      <c r="ZS22" s="172"/>
      <c r="ZT22" s="172"/>
      <c r="ZU22" s="172"/>
      <c r="ZV22" s="172"/>
      <c r="ZW22" s="172"/>
      <c r="ZX22" s="172"/>
      <c r="ZY22" s="172"/>
      <c r="ZZ22" s="172"/>
      <c r="AAA22" s="172"/>
      <c r="AAB22" s="172"/>
      <c r="AAC22" s="172"/>
      <c r="AAD22" s="172"/>
      <c r="AAE22" s="172"/>
      <c r="AAF22" s="172"/>
      <c r="AAG22" s="172"/>
      <c r="AAH22" s="172"/>
      <c r="AAI22" s="172"/>
      <c r="AAJ22" s="172"/>
      <c r="AAK22" s="172"/>
      <c r="AAL22" s="172"/>
      <c r="AAM22" s="172"/>
      <c r="AAN22" s="172"/>
      <c r="AAO22" s="172"/>
      <c r="AAP22" s="172"/>
      <c r="AAQ22" s="172"/>
      <c r="AAR22" s="172"/>
      <c r="AAS22" s="172"/>
      <c r="AAT22" s="172"/>
      <c r="AAU22" s="172"/>
      <c r="AAV22" s="172"/>
      <c r="AAW22" s="172"/>
      <c r="AAX22" s="172"/>
      <c r="AAY22" s="172"/>
      <c r="AAZ22" s="172"/>
      <c r="ABA22" s="172"/>
      <c r="ABB22" s="172"/>
      <c r="ABC22" s="172"/>
      <c r="ABD22" s="172"/>
      <c r="ABE22" s="172"/>
      <c r="ABF22" s="172"/>
      <c r="ABG22" s="172"/>
      <c r="ABH22" s="172"/>
      <c r="ABI22" s="172"/>
      <c r="ABJ22" s="172"/>
      <c r="ABK22" s="172"/>
      <c r="ABL22" s="172"/>
      <c r="ABM22" s="172"/>
      <c r="ABN22" s="172"/>
      <c r="ABO22" s="172"/>
      <c r="ABP22" s="172"/>
      <c r="ABQ22" s="172"/>
      <c r="ABR22" s="172"/>
      <c r="ABS22" s="172"/>
      <c r="ABT22" s="172"/>
      <c r="ABU22" s="172"/>
      <c r="ABV22" s="172"/>
      <c r="ABW22" s="172"/>
      <c r="ABX22" s="172"/>
      <c r="ABY22" s="172"/>
      <c r="ABZ22" s="172"/>
      <c r="ACA22" s="172"/>
      <c r="ACB22" s="172"/>
      <c r="ACC22" s="172"/>
      <c r="ACD22" s="172"/>
      <c r="ACE22" s="172"/>
      <c r="ACF22" s="172"/>
      <c r="ACG22" s="172"/>
      <c r="ACH22" s="172"/>
      <c r="ACI22" s="172"/>
      <c r="ACJ22" s="172"/>
      <c r="ACK22" s="172"/>
      <c r="ACL22" s="172"/>
      <c r="ACM22" s="172"/>
      <c r="ACN22" s="172"/>
      <c r="ACO22" s="172"/>
      <c r="ACP22" s="172"/>
      <c r="ACQ22" s="172"/>
      <c r="ACR22" s="172"/>
      <c r="ACS22" s="172"/>
      <c r="ACT22" s="172"/>
      <c r="ACU22" s="172"/>
      <c r="ACV22" s="172"/>
      <c r="ACW22" s="172"/>
      <c r="ACX22" s="172"/>
      <c r="ACY22" s="172"/>
      <c r="ACZ22" s="172"/>
      <c r="ADA22" s="172"/>
      <c r="ADB22" s="172"/>
      <c r="ADC22" s="172"/>
      <c r="ADD22" s="172"/>
      <c r="ADE22" s="172"/>
      <c r="ADF22" s="172"/>
      <c r="ADG22" s="172"/>
      <c r="ADH22" s="172"/>
      <c r="ADI22" s="172"/>
      <c r="ADJ22" s="172"/>
      <c r="ADK22" s="172"/>
      <c r="ADL22" s="172"/>
      <c r="ADM22" s="172"/>
      <c r="ADN22" s="172"/>
      <c r="ADO22" s="172"/>
      <c r="ADP22" s="172"/>
      <c r="ADQ22" s="172"/>
      <c r="ADR22" s="172"/>
      <c r="ADS22" s="172"/>
      <c r="ADT22" s="172"/>
      <c r="ADU22" s="172"/>
      <c r="ADV22" s="172"/>
      <c r="ADW22" s="172"/>
      <c r="ADX22" s="172"/>
      <c r="ADY22" s="172"/>
      <c r="ADZ22" s="172"/>
      <c r="AEA22" s="172"/>
      <c r="AEB22" s="172"/>
      <c r="AEC22" s="172"/>
      <c r="AED22" s="172"/>
      <c r="AEE22" s="172"/>
      <c r="AEF22" s="172"/>
      <c r="AEG22" s="172"/>
      <c r="AEH22" s="172"/>
      <c r="AEI22" s="172"/>
      <c r="AEJ22" s="172"/>
      <c r="AEK22" s="172"/>
      <c r="AEL22" s="172"/>
      <c r="AEM22" s="172"/>
      <c r="AEN22" s="172"/>
      <c r="AEO22" s="172"/>
      <c r="AEP22" s="172"/>
      <c r="AEQ22" s="172"/>
      <c r="AER22" s="172"/>
      <c r="AES22" s="172"/>
      <c r="AET22" s="172"/>
      <c r="AEU22" s="172"/>
      <c r="AEV22" s="172"/>
      <c r="AEW22" s="172"/>
      <c r="AEX22" s="172"/>
      <c r="AEY22" s="172"/>
      <c r="AEZ22" s="172"/>
      <c r="AFA22" s="172"/>
      <c r="AFB22" s="172"/>
      <c r="AFC22" s="172"/>
      <c r="AFD22" s="172"/>
      <c r="AFE22" s="172"/>
      <c r="AFF22" s="172"/>
      <c r="AFG22" s="172"/>
      <c r="AFH22" s="172"/>
      <c r="AFI22" s="172"/>
      <c r="AFJ22" s="172"/>
      <c r="AFK22" s="172"/>
      <c r="AFL22" s="172"/>
      <c r="AFM22" s="172"/>
      <c r="AFN22" s="172"/>
      <c r="AFO22" s="172"/>
      <c r="AFP22" s="172"/>
      <c r="AFQ22" s="172"/>
      <c r="AFR22" s="172"/>
      <c r="AFS22" s="172"/>
      <c r="AFT22" s="172"/>
      <c r="AFU22" s="172"/>
      <c r="AFV22" s="172"/>
      <c r="AFW22" s="172"/>
      <c r="AFX22" s="172"/>
      <c r="AFY22" s="172"/>
      <c r="AFZ22" s="172"/>
      <c r="AGA22" s="172"/>
      <c r="AGB22" s="172"/>
      <c r="AGC22" s="172"/>
      <c r="AGD22" s="172"/>
      <c r="AGE22" s="172"/>
      <c r="AGF22" s="172"/>
      <c r="AGG22" s="172"/>
      <c r="AGH22" s="172"/>
      <c r="AGI22" s="172"/>
      <c r="AGJ22" s="172"/>
      <c r="AGK22" s="172"/>
      <c r="AGL22" s="172"/>
      <c r="AGM22" s="172"/>
      <c r="AGN22" s="172"/>
      <c r="AGO22" s="172"/>
      <c r="AGP22" s="172"/>
      <c r="AGQ22" s="172"/>
      <c r="AGR22" s="172"/>
      <c r="AGS22" s="172"/>
      <c r="AGT22" s="172"/>
      <c r="AGU22" s="172"/>
      <c r="AGV22" s="172"/>
      <c r="AGW22" s="172"/>
      <c r="AGX22" s="172"/>
      <c r="AGY22" s="172"/>
      <c r="AGZ22" s="172"/>
      <c r="AHA22" s="172"/>
      <c r="AHB22" s="172"/>
      <c r="AHC22" s="172"/>
      <c r="AHD22" s="172"/>
      <c r="AHE22" s="172"/>
      <c r="AHF22" s="172"/>
      <c r="AHG22" s="172"/>
      <c r="AHH22" s="172"/>
      <c r="AHI22" s="172"/>
      <c r="AHJ22" s="172"/>
      <c r="AHK22" s="172"/>
      <c r="AHL22" s="172"/>
      <c r="AHM22" s="172"/>
      <c r="AHN22" s="172"/>
      <c r="AHO22" s="172"/>
      <c r="AHP22" s="172"/>
      <c r="AHQ22" s="172"/>
      <c r="AHR22" s="172"/>
      <c r="AHS22" s="172"/>
      <c r="AHT22" s="172"/>
      <c r="AHU22" s="172"/>
      <c r="AHV22" s="172"/>
      <c r="AHW22" s="172"/>
      <c r="AHX22" s="172"/>
      <c r="AHY22" s="172"/>
      <c r="AHZ22" s="172"/>
      <c r="AIA22" s="172"/>
      <c r="AIB22" s="172"/>
      <c r="AIC22" s="172"/>
      <c r="AID22" s="172"/>
      <c r="AIE22" s="172"/>
      <c r="AIF22" s="172"/>
      <c r="AIG22" s="172"/>
      <c r="AIH22" s="172"/>
      <c r="AII22" s="172"/>
      <c r="AIJ22" s="172"/>
      <c r="AIK22" s="172"/>
      <c r="AIL22" s="172"/>
      <c r="AIM22" s="172"/>
      <c r="AIN22" s="172"/>
      <c r="AIO22" s="172"/>
      <c r="AIP22" s="172"/>
      <c r="AIQ22" s="172"/>
      <c r="AIR22" s="172"/>
      <c r="AIS22" s="172"/>
      <c r="AIT22" s="172"/>
      <c r="AIU22" s="172"/>
      <c r="AIV22" s="172"/>
      <c r="AIW22" s="172"/>
      <c r="AIX22" s="172"/>
      <c r="AIY22" s="172"/>
      <c r="AIZ22" s="172"/>
      <c r="AJA22" s="172"/>
      <c r="AJB22" s="172"/>
      <c r="AJC22" s="172"/>
      <c r="AJD22" s="172"/>
      <c r="AJE22" s="172"/>
      <c r="AJF22" s="172"/>
      <c r="AJG22" s="172"/>
      <c r="AJH22" s="172"/>
      <c r="AJI22" s="172"/>
      <c r="AJJ22" s="172"/>
      <c r="AJK22" s="172"/>
      <c r="AJL22" s="172"/>
      <c r="AJM22" s="172"/>
      <c r="AJN22" s="172"/>
      <c r="AJO22" s="172"/>
      <c r="AJP22" s="172"/>
      <c r="AJQ22" s="172"/>
      <c r="AJR22" s="172"/>
      <c r="AJS22" s="172"/>
      <c r="AJT22" s="172"/>
      <c r="AJU22" s="172"/>
      <c r="AJV22" s="172"/>
      <c r="AJW22" s="172"/>
      <c r="AJX22" s="172"/>
      <c r="AJY22" s="172"/>
      <c r="AJZ22" s="172"/>
      <c r="AKA22" s="172"/>
      <c r="AKB22" s="172"/>
      <c r="AKC22" s="172"/>
      <c r="AKD22" s="172"/>
      <c r="AKE22" s="172"/>
      <c r="AKF22" s="172"/>
      <c r="AKG22" s="172"/>
      <c r="AKH22" s="172"/>
      <c r="AKI22" s="172"/>
      <c r="AKJ22" s="172"/>
      <c r="AKK22" s="172"/>
      <c r="AKL22" s="172"/>
      <c r="AKM22" s="172"/>
      <c r="AKN22" s="172"/>
      <c r="AKO22" s="172"/>
      <c r="AKP22" s="172"/>
      <c r="AKQ22" s="172"/>
      <c r="AKR22" s="172"/>
      <c r="AKS22" s="172"/>
      <c r="AKT22" s="172"/>
      <c r="AKU22" s="172"/>
      <c r="AKV22" s="172"/>
      <c r="AKW22" s="172"/>
      <c r="AKX22" s="172"/>
      <c r="AKY22" s="172"/>
      <c r="AKZ22" s="172"/>
      <c r="ALA22" s="172"/>
      <c r="ALB22" s="172"/>
      <c r="ALC22" s="172"/>
      <c r="ALD22" s="172"/>
      <c r="ALE22" s="172"/>
      <c r="ALF22" s="172"/>
      <c r="ALG22" s="172"/>
      <c r="ALH22" s="172"/>
      <c r="ALI22" s="172"/>
      <c r="ALJ22" s="172"/>
      <c r="ALK22" s="172"/>
      <c r="ALL22" s="172"/>
      <c r="ALM22" s="172"/>
      <c r="ALN22" s="172"/>
      <c r="ALO22" s="172"/>
      <c r="ALP22" s="172"/>
      <c r="ALQ22" s="172"/>
      <c r="ALR22" s="172"/>
      <c r="ALS22" s="172"/>
      <c r="ALT22" s="172"/>
      <c r="ALU22" s="172"/>
      <c r="ALV22" s="172"/>
      <c r="ALW22" s="172"/>
      <c r="ALX22" s="172"/>
      <c r="ALY22" s="172"/>
      <c r="ALZ22" s="172"/>
      <c r="AMA22" s="172"/>
      <c r="AMB22" s="172"/>
      <c r="AMC22" s="172"/>
      <c r="AMD22" s="172"/>
      <c r="AME22" s="172"/>
      <c r="AMF22" s="172"/>
      <c r="AMG22" s="172"/>
      <c r="AMH22" s="172"/>
      <c r="AMI22" s="172"/>
      <c r="AMJ22" s="172"/>
      <c r="AMK22" s="172"/>
      <c r="AML22" s="172"/>
      <c r="AMM22" s="172"/>
      <c r="AMN22" s="172"/>
      <c r="AMO22" s="172"/>
      <c r="AMP22" s="172"/>
      <c r="AMQ22" s="172"/>
      <c r="AMR22" s="172"/>
      <c r="AMS22" s="172"/>
      <c r="AMT22" s="172"/>
      <c r="AMU22" s="172"/>
      <c r="AMV22" s="172"/>
      <c r="AMW22" s="172"/>
      <c r="AMX22" s="172"/>
      <c r="AMY22" s="172"/>
      <c r="AMZ22" s="172"/>
      <c r="ANA22" s="172"/>
      <c r="ANB22" s="172"/>
      <c r="ANC22" s="172"/>
      <c r="AND22" s="172"/>
      <c r="ANE22" s="172"/>
      <c r="ANF22" s="172"/>
      <c r="ANG22" s="172"/>
      <c r="ANH22" s="172"/>
      <c r="ANI22" s="172"/>
      <c r="ANJ22" s="172"/>
      <c r="ANK22" s="172"/>
      <c r="ANL22" s="172"/>
      <c r="ANM22" s="172"/>
      <c r="ANN22" s="172"/>
      <c r="ANO22" s="172"/>
      <c r="ANP22" s="172"/>
      <c r="ANQ22" s="172"/>
      <c r="ANR22" s="172"/>
      <c r="ANS22" s="172"/>
      <c r="ANT22" s="172"/>
      <c r="ANU22" s="172"/>
      <c r="ANV22" s="172"/>
      <c r="ANW22" s="172"/>
      <c r="ANX22" s="172"/>
      <c r="ANY22" s="172"/>
      <c r="ANZ22" s="172"/>
      <c r="AOA22" s="172"/>
      <c r="AOB22" s="172"/>
      <c r="AOC22" s="172"/>
      <c r="AOD22" s="172"/>
      <c r="AOE22" s="172"/>
      <c r="AOF22" s="172"/>
      <c r="AOG22" s="172"/>
      <c r="AOH22" s="172"/>
      <c r="AOI22" s="172"/>
      <c r="AOJ22" s="172"/>
      <c r="AOK22" s="172"/>
      <c r="AOL22" s="172"/>
      <c r="AOM22" s="172"/>
      <c r="AON22" s="172"/>
      <c r="AOO22" s="172"/>
      <c r="AOP22" s="172"/>
      <c r="AOQ22" s="172"/>
      <c r="AOR22" s="172"/>
      <c r="AOS22" s="172"/>
      <c r="AOT22" s="172"/>
      <c r="AOU22" s="172"/>
      <c r="AOV22" s="172"/>
      <c r="AOW22" s="172"/>
      <c r="AOX22" s="172"/>
      <c r="AOY22" s="172"/>
      <c r="AOZ22" s="172"/>
      <c r="APA22" s="172"/>
      <c r="APB22" s="172"/>
      <c r="APC22" s="172"/>
      <c r="APD22" s="172"/>
      <c r="APE22" s="172"/>
      <c r="APF22" s="172"/>
      <c r="APG22" s="172"/>
      <c r="APH22" s="172"/>
      <c r="API22" s="172"/>
      <c r="APJ22" s="172"/>
      <c r="APK22" s="172"/>
      <c r="APL22" s="172"/>
      <c r="APM22" s="172"/>
      <c r="APN22" s="172"/>
      <c r="APO22" s="172"/>
      <c r="APP22" s="172"/>
      <c r="APQ22" s="172"/>
      <c r="APR22" s="172"/>
      <c r="APS22" s="172"/>
      <c r="APT22" s="172"/>
      <c r="APU22" s="172"/>
      <c r="APV22" s="172"/>
      <c r="APW22" s="172"/>
      <c r="APX22" s="172"/>
      <c r="APY22" s="172"/>
      <c r="APZ22" s="172"/>
      <c r="AQA22" s="172"/>
      <c r="AQB22" s="172"/>
      <c r="AQC22" s="172"/>
      <c r="AQD22" s="172"/>
      <c r="AQE22" s="172"/>
      <c r="AQF22" s="172"/>
      <c r="AQG22" s="172"/>
      <c r="AQH22" s="172"/>
      <c r="AQI22" s="172"/>
      <c r="AQJ22" s="172"/>
      <c r="AQK22" s="172"/>
      <c r="AQL22" s="172"/>
      <c r="AQM22" s="172"/>
      <c r="AQN22" s="172"/>
      <c r="AQO22" s="172"/>
      <c r="AQP22" s="172"/>
      <c r="AQQ22" s="172"/>
      <c r="AQR22" s="172"/>
      <c r="AQS22" s="172"/>
      <c r="AQT22" s="172"/>
      <c r="AQU22" s="172"/>
      <c r="AQV22" s="172"/>
      <c r="AQW22" s="172"/>
      <c r="AQX22" s="172"/>
      <c r="AQY22" s="172"/>
      <c r="AQZ22" s="172"/>
      <c r="ARA22" s="172"/>
      <c r="ARB22" s="172"/>
      <c r="ARC22" s="172"/>
      <c r="ARD22" s="172"/>
      <c r="ARE22" s="172"/>
      <c r="ARF22" s="172"/>
      <c r="ARG22" s="172"/>
      <c r="ARH22" s="172"/>
      <c r="ARI22" s="172"/>
      <c r="ARJ22" s="172"/>
      <c r="ARK22" s="172"/>
      <c r="ARL22" s="172"/>
      <c r="ARM22" s="172"/>
      <c r="ARN22" s="172"/>
      <c r="ARO22" s="172"/>
      <c r="ARP22" s="172"/>
      <c r="ARQ22" s="172"/>
      <c r="ARR22" s="172"/>
      <c r="ARS22" s="172"/>
      <c r="ART22" s="172"/>
      <c r="ARU22" s="172"/>
    </row>
    <row r="23" spans="1:1165" s="257" customFormat="1">
      <c r="A23" s="222" t="s">
        <v>166</v>
      </c>
      <c r="B23" s="195" t="s">
        <v>87</v>
      </c>
      <c r="C23" s="258">
        <v>518</v>
      </c>
      <c r="D23" s="258">
        <v>13547</v>
      </c>
      <c r="E23" s="258">
        <v>0</v>
      </c>
      <c r="F23" s="258">
        <v>0</v>
      </c>
      <c r="G23" s="258">
        <v>0</v>
      </c>
      <c r="H23" s="258">
        <v>0</v>
      </c>
      <c r="I23" s="258">
        <v>0</v>
      </c>
      <c r="J23" s="258">
        <v>0</v>
      </c>
      <c r="K23" s="258">
        <v>0</v>
      </c>
      <c r="L23" s="258">
        <v>0</v>
      </c>
      <c r="M23" s="258">
        <v>0</v>
      </c>
      <c r="N23" s="258">
        <v>0</v>
      </c>
      <c r="O23" s="258">
        <v>0</v>
      </c>
      <c r="P23" s="258">
        <v>0</v>
      </c>
      <c r="Q23" s="258">
        <v>0</v>
      </c>
      <c r="R23" s="258">
        <v>0</v>
      </c>
      <c r="S23" s="258">
        <v>0</v>
      </c>
      <c r="T23" s="258">
        <v>0</v>
      </c>
      <c r="U23" s="258">
        <v>0</v>
      </c>
      <c r="V23" s="258">
        <v>0</v>
      </c>
      <c r="W23" s="258">
        <v>0</v>
      </c>
      <c r="X23" s="258">
        <v>0</v>
      </c>
      <c r="Y23" s="258">
        <v>0</v>
      </c>
      <c r="Z23" s="258">
        <v>0</v>
      </c>
      <c r="AA23" s="258">
        <v>0</v>
      </c>
      <c r="AB23" s="258">
        <v>0</v>
      </c>
      <c r="AC23" s="258">
        <v>0</v>
      </c>
      <c r="AD23" s="258">
        <v>0</v>
      </c>
      <c r="AE23" s="258">
        <v>0</v>
      </c>
      <c r="AF23" s="258">
        <v>0</v>
      </c>
      <c r="AG23" s="258">
        <v>0</v>
      </c>
      <c r="AH23" s="258">
        <v>0</v>
      </c>
      <c r="AI23" s="258">
        <v>0</v>
      </c>
      <c r="AJ23" s="258">
        <v>0</v>
      </c>
      <c r="AK23" s="258">
        <v>0</v>
      </c>
      <c r="AL23" s="258">
        <v>0</v>
      </c>
      <c r="AM23" s="258">
        <v>0</v>
      </c>
      <c r="AN23" s="258">
        <v>0</v>
      </c>
      <c r="AO23" s="258">
        <v>0</v>
      </c>
      <c r="AP23" s="258">
        <v>0</v>
      </c>
      <c r="AQ23" s="258">
        <v>0</v>
      </c>
      <c r="AR23" s="258">
        <v>0</v>
      </c>
      <c r="AS23" s="258">
        <v>0</v>
      </c>
      <c r="AT23" s="258">
        <v>0</v>
      </c>
      <c r="AU23" s="258">
        <v>0</v>
      </c>
      <c r="AV23" s="258">
        <v>0</v>
      </c>
      <c r="AW23" s="258">
        <v>0</v>
      </c>
      <c r="AX23" s="258">
        <v>0</v>
      </c>
      <c r="AY23" s="224">
        <v>0</v>
      </c>
      <c r="AZ23" s="224">
        <v>0</v>
      </c>
      <c r="BA23" s="227"/>
      <c r="BB23" s="258"/>
      <c r="BC23" s="258"/>
      <c r="BD23" s="258"/>
      <c r="BE23" s="258"/>
      <c r="BF23" s="258"/>
      <c r="BG23" s="258"/>
      <c r="BH23" s="258"/>
      <c r="BI23" s="227"/>
      <c r="BJ23" s="258">
        <f t="shared" ref="BJ23:BJ27" si="50">C23+G23+I23+K23+M23+O23+Q23+S23+U23+W23+Y23+AA23+AC23+AE23+AG23+AI23+AK23+AM23+AO23+AQ23+AS23+AU23+AW23+AY23+BB23+BF23</f>
        <v>518</v>
      </c>
      <c r="BK23" s="258">
        <f>D23+H23+J23+L23+N23+P23+R23+T23+V23+X23+Z23+AB23+AD23+AF23+AH23+AJ23+AL23+AN23+AP23+AR23+AT23+AV23+AX23+AZ23+BD23+BH23</f>
        <v>13547</v>
      </c>
      <c r="BL23" s="172"/>
      <c r="BM23" s="231"/>
      <c r="BN23" s="231"/>
      <c r="BO23" s="231"/>
      <c r="BP23" s="231"/>
      <c r="BQ23" s="172"/>
      <c r="BR23" s="172"/>
      <c r="BS23" s="172"/>
      <c r="BT23" s="172"/>
      <c r="BU23" s="172"/>
      <c r="BV23" s="172"/>
      <c r="BW23" s="172"/>
      <c r="BX23" s="172"/>
      <c r="BY23" s="172"/>
      <c r="BZ23" s="172"/>
      <c r="CA23" s="172"/>
      <c r="CB23" s="172"/>
      <c r="CC23" s="172"/>
      <c r="CD23" s="172"/>
      <c r="CE23" s="172"/>
      <c r="CF23" s="172"/>
      <c r="CG23" s="172"/>
      <c r="CH23" s="172"/>
      <c r="CI23" s="172"/>
      <c r="CJ23" s="172"/>
      <c r="CK23" s="172"/>
      <c r="CL23" s="172"/>
      <c r="CM23" s="172"/>
      <c r="CN23" s="172"/>
      <c r="CO23" s="172"/>
      <c r="CP23" s="172"/>
      <c r="CQ23" s="172"/>
      <c r="CR23" s="172"/>
      <c r="CS23" s="172"/>
      <c r="CT23" s="172"/>
      <c r="CU23" s="172"/>
      <c r="CV23" s="172"/>
      <c r="CW23" s="172"/>
      <c r="CX23" s="172"/>
      <c r="CY23" s="172"/>
      <c r="CZ23" s="172"/>
      <c r="DA23" s="172"/>
      <c r="DB23" s="172"/>
      <c r="DC23" s="172"/>
      <c r="DD23" s="172"/>
      <c r="DE23" s="172"/>
      <c r="DF23" s="172"/>
      <c r="DG23" s="172"/>
      <c r="DH23" s="172"/>
      <c r="DI23" s="172"/>
      <c r="DJ23" s="172"/>
      <c r="DK23" s="172"/>
      <c r="DL23" s="172"/>
      <c r="DM23" s="172"/>
      <c r="DN23" s="172"/>
      <c r="DO23" s="172"/>
      <c r="DP23" s="172"/>
      <c r="DQ23" s="172"/>
      <c r="DR23" s="172"/>
      <c r="DS23" s="172"/>
      <c r="DT23" s="172"/>
      <c r="DU23" s="172"/>
      <c r="DV23" s="172"/>
      <c r="DW23" s="172"/>
      <c r="DX23" s="172"/>
      <c r="DY23" s="172"/>
      <c r="DZ23" s="172"/>
      <c r="EA23" s="172"/>
      <c r="EB23" s="172"/>
      <c r="EC23" s="172"/>
      <c r="ED23" s="172"/>
      <c r="EE23" s="172"/>
      <c r="EF23" s="172"/>
      <c r="EG23" s="172"/>
      <c r="EH23" s="172"/>
      <c r="EI23" s="172"/>
      <c r="EJ23" s="172"/>
      <c r="EK23" s="172"/>
      <c r="EL23" s="172"/>
      <c r="EM23" s="172"/>
      <c r="EN23" s="172"/>
      <c r="EO23" s="172"/>
      <c r="EP23" s="172"/>
      <c r="EQ23" s="172"/>
      <c r="ER23" s="172"/>
      <c r="ES23" s="172"/>
      <c r="ET23" s="172"/>
      <c r="EU23" s="172"/>
      <c r="EV23" s="172"/>
      <c r="EW23" s="172"/>
      <c r="EX23" s="172"/>
      <c r="EY23" s="172"/>
      <c r="EZ23" s="172"/>
      <c r="FA23" s="172"/>
      <c r="FB23" s="172"/>
      <c r="FC23" s="172"/>
      <c r="FD23" s="172"/>
      <c r="FE23" s="172"/>
      <c r="FF23" s="172"/>
      <c r="FG23" s="172"/>
      <c r="FH23" s="172"/>
      <c r="FI23" s="172"/>
      <c r="FJ23" s="172"/>
      <c r="FK23" s="172"/>
      <c r="FL23" s="172"/>
      <c r="FM23" s="172"/>
      <c r="FN23" s="172"/>
      <c r="FO23" s="172"/>
      <c r="FP23" s="172"/>
      <c r="FQ23" s="172"/>
      <c r="FR23" s="172"/>
      <c r="FS23" s="172"/>
      <c r="FT23" s="172"/>
      <c r="FU23" s="172"/>
      <c r="FV23" s="172"/>
      <c r="FW23" s="172"/>
      <c r="FX23" s="172"/>
      <c r="FY23" s="172"/>
      <c r="FZ23" s="172"/>
      <c r="GA23" s="172"/>
      <c r="GB23" s="172"/>
      <c r="GC23" s="172"/>
      <c r="GD23" s="172"/>
      <c r="GE23" s="172"/>
      <c r="GF23" s="172"/>
      <c r="GG23" s="172"/>
      <c r="GH23" s="172"/>
      <c r="GI23" s="172"/>
      <c r="GJ23" s="172"/>
      <c r="GK23" s="172"/>
      <c r="GL23" s="172"/>
      <c r="GM23" s="172"/>
      <c r="GN23" s="172"/>
      <c r="GO23" s="172"/>
      <c r="GP23" s="172"/>
      <c r="GQ23" s="172"/>
      <c r="GR23" s="172"/>
      <c r="GS23" s="172"/>
      <c r="GT23" s="172"/>
      <c r="GU23" s="172"/>
      <c r="GV23" s="172"/>
      <c r="GW23" s="172"/>
      <c r="GX23" s="172"/>
      <c r="GY23" s="172"/>
      <c r="GZ23" s="172"/>
      <c r="HA23" s="172"/>
      <c r="HB23" s="172"/>
      <c r="HC23" s="172"/>
      <c r="HD23" s="172"/>
      <c r="HE23" s="172"/>
      <c r="HF23" s="172"/>
      <c r="HG23" s="172"/>
      <c r="HH23" s="172"/>
      <c r="HI23" s="172"/>
      <c r="HJ23" s="172"/>
      <c r="HK23" s="172"/>
      <c r="HL23" s="172"/>
      <c r="HM23" s="172"/>
      <c r="HN23" s="172"/>
      <c r="HO23" s="172"/>
      <c r="HP23" s="172"/>
      <c r="HQ23" s="172"/>
      <c r="HR23" s="172"/>
      <c r="HS23" s="172"/>
      <c r="HT23" s="172"/>
      <c r="HU23" s="172"/>
      <c r="HV23" s="172"/>
      <c r="HW23" s="172"/>
      <c r="HX23" s="172"/>
      <c r="HY23" s="172"/>
      <c r="HZ23" s="172"/>
      <c r="IA23" s="172"/>
      <c r="IB23" s="172"/>
      <c r="IC23" s="172"/>
      <c r="ID23" s="172"/>
      <c r="IE23" s="172"/>
      <c r="IF23" s="172"/>
      <c r="IG23" s="172"/>
      <c r="IH23" s="172"/>
      <c r="II23" s="172"/>
      <c r="IJ23" s="172"/>
      <c r="IK23" s="172"/>
      <c r="IL23" s="172"/>
      <c r="IM23" s="172"/>
      <c r="IN23" s="172"/>
      <c r="IO23" s="172"/>
      <c r="IP23" s="172"/>
      <c r="IQ23" s="172"/>
      <c r="IR23" s="172"/>
      <c r="IS23" s="172"/>
      <c r="IT23" s="172"/>
      <c r="IU23" s="172"/>
      <c r="IV23" s="172"/>
      <c r="IW23" s="172"/>
      <c r="IX23" s="172"/>
      <c r="IY23" s="172"/>
      <c r="IZ23" s="172"/>
      <c r="JA23" s="172"/>
      <c r="JB23" s="172"/>
      <c r="JC23" s="172"/>
      <c r="JD23" s="172"/>
      <c r="JE23" s="172"/>
      <c r="JF23" s="172"/>
      <c r="JG23" s="172"/>
      <c r="JH23" s="172"/>
      <c r="JI23" s="172"/>
      <c r="JJ23" s="172"/>
      <c r="JK23" s="172"/>
      <c r="JL23" s="172"/>
      <c r="JM23" s="172"/>
      <c r="JN23" s="172"/>
      <c r="JO23" s="172"/>
      <c r="JP23" s="172"/>
      <c r="JQ23" s="172"/>
      <c r="JR23" s="172"/>
      <c r="JS23" s="172"/>
      <c r="JT23" s="172"/>
      <c r="JU23" s="172"/>
      <c r="JV23" s="172"/>
      <c r="JW23" s="172"/>
      <c r="JX23" s="172"/>
      <c r="JY23" s="172"/>
      <c r="JZ23" s="172"/>
      <c r="KA23" s="172"/>
      <c r="KB23" s="172"/>
      <c r="KC23" s="172"/>
      <c r="KD23" s="172"/>
      <c r="KE23" s="172"/>
      <c r="KF23" s="172"/>
      <c r="KG23" s="172"/>
      <c r="KH23" s="172"/>
      <c r="KI23" s="172"/>
      <c r="KJ23" s="172"/>
      <c r="KK23" s="172"/>
      <c r="KL23" s="172"/>
      <c r="KM23" s="172"/>
      <c r="KN23" s="172"/>
      <c r="KO23" s="172"/>
      <c r="KP23" s="172"/>
      <c r="KQ23" s="172"/>
      <c r="KR23" s="172"/>
      <c r="KS23" s="172"/>
      <c r="KT23" s="172"/>
      <c r="KU23" s="172"/>
      <c r="KV23" s="172"/>
      <c r="KW23" s="172"/>
      <c r="KX23" s="172"/>
      <c r="KY23" s="172"/>
      <c r="KZ23" s="172"/>
      <c r="LA23" s="172"/>
      <c r="LB23" s="172"/>
      <c r="LC23" s="172"/>
      <c r="LD23" s="172"/>
      <c r="LE23" s="172"/>
      <c r="LF23" s="172"/>
      <c r="LG23" s="172"/>
      <c r="LH23" s="172"/>
      <c r="LI23" s="172"/>
      <c r="LJ23" s="172"/>
      <c r="LK23" s="172"/>
      <c r="LL23" s="172"/>
      <c r="LM23" s="172"/>
      <c r="LN23" s="172"/>
      <c r="LO23" s="172"/>
      <c r="LP23" s="172"/>
      <c r="LQ23" s="172"/>
      <c r="LR23" s="172"/>
      <c r="LS23" s="172"/>
      <c r="LT23" s="172"/>
      <c r="LU23" s="172"/>
      <c r="LV23" s="172"/>
      <c r="LW23" s="172"/>
      <c r="LX23" s="172"/>
      <c r="LY23" s="172"/>
      <c r="LZ23" s="172"/>
      <c r="MA23" s="172"/>
      <c r="MB23" s="172"/>
      <c r="MC23" s="172"/>
      <c r="MD23" s="172"/>
      <c r="ME23" s="172"/>
      <c r="MF23" s="172"/>
      <c r="MG23" s="172"/>
      <c r="MH23" s="172"/>
      <c r="MI23" s="172"/>
      <c r="MJ23" s="172"/>
      <c r="MK23" s="172"/>
      <c r="ML23" s="172"/>
      <c r="MM23" s="172"/>
      <c r="MN23" s="172"/>
      <c r="MO23" s="172"/>
      <c r="MP23" s="172"/>
      <c r="MQ23" s="172"/>
      <c r="MR23" s="172"/>
      <c r="MS23" s="172"/>
      <c r="MT23" s="172"/>
      <c r="MU23" s="172"/>
      <c r="MV23" s="172"/>
      <c r="MW23" s="172"/>
      <c r="MX23" s="172"/>
      <c r="MY23" s="172"/>
      <c r="MZ23" s="172"/>
      <c r="NA23" s="172"/>
      <c r="NB23" s="172"/>
      <c r="NC23" s="172"/>
      <c r="ND23" s="172"/>
      <c r="NE23" s="172"/>
      <c r="NF23" s="172"/>
      <c r="NG23" s="172"/>
      <c r="NH23" s="172"/>
      <c r="NI23" s="172"/>
      <c r="NJ23" s="172"/>
      <c r="NK23" s="172"/>
      <c r="NL23" s="172"/>
      <c r="NM23" s="172"/>
      <c r="NN23" s="172"/>
      <c r="NO23" s="172"/>
      <c r="NP23" s="172"/>
      <c r="NQ23" s="172"/>
      <c r="NR23" s="172"/>
      <c r="NS23" s="172"/>
      <c r="NT23" s="172"/>
      <c r="NU23" s="172"/>
      <c r="NV23" s="172"/>
      <c r="NW23" s="172"/>
      <c r="NX23" s="172"/>
      <c r="NY23" s="172"/>
      <c r="NZ23" s="172"/>
      <c r="OA23" s="172"/>
      <c r="OB23" s="172"/>
      <c r="OC23" s="172"/>
      <c r="OD23" s="172"/>
      <c r="OE23" s="172"/>
      <c r="OF23" s="172"/>
      <c r="OG23" s="172"/>
      <c r="OH23" s="172"/>
      <c r="OI23" s="172"/>
      <c r="OJ23" s="172"/>
      <c r="OK23" s="172"/>
      <c r="OL23" s="172"/>
      <c r="OM23" s="172"/>
      <c r="ON23" s="172"/>
      <c r="OO23" s="172"/>
      <c r="OP23" s="172"/>
      <c r="OQ23" s="172"/>
      <c r="OR23" s="172"/>
      <c r="OS23" s="172"/>
      <c r="OT23" s="172"/>
      <c r="OU23" s="172"/>
      <c r="OV23" s="172"/>
      <c r="OW23" s="172"/>
      <c r="OX23" s="172"/>
      <c r="OY23" s="172"/>
      <c r="OZ23" s="172"/>
      <c r="PA23" s="172"/>
      <c r="PB23" s="172"/>
      <c r="PC23" s="172"/>
      <c r="PD23" s="172"/>
      <c r="PE23" s="172"/>
      <c r="PF23" s="172"/>
      <c r="PG23" s="172"/>
      <c r="PH23" s="172"/>
      <c r="PI23" s="172"/>
      <c r="PJ23" s="172"/>
      <c r="PK23" s="172"/>
      <c r="PL23" s="172"/>
      <c r="PM23" s="172"/>
      <c r="PN23" s="172"/>
      <c r="PO23" s="172"/>
      <c r="PP23" s="172"/>
      <c r="PQ23" s="172"/>
      <c r="PR23" s="172"/>
      <c r="PS23" s="172"/>
      <c r="PT23" s="172"/>
      <c r="PU23" s="172"/>
      <c r="PV23" s="172"/>
      <c r="PW23" s="172"/>
      <c r="PX23" s="172"/>
      <c r="PY23" s="172"/>
      <c r="PZ23" s="172"/>
      <c r="QA23" s="172"/>
      <c r="QB23" s="172"/>
      <c r="QC23" s="172"/>
      <c r="QD23" s="172"/>
      <c r="QE23" s="172"/>
      <c r="QF23" s="172"/>
      <c r="QG23" s="172"/>
      <c r="QH23" s="172"/>
      <c r="QI23" s="172"/>
      <c r="QJ23" s="172"/>
      <c r="QK23" s="172"/>
      <c r="QL23" s="172"/>
      <c r="QM23" s="172"/>
      <c r="QN23" s="172"/>
      <c r="QO23" s="172"/>
      <c r="QP23" s="172"/>
      <c r="QQ23" s="172"/>
      <c r="QR23" s="172"/>
      <c r="QS23" s="172"/>
      <c r="QT23" s="172"/>
      <c r="QU23" s="172"/>
      <c r="QV23" s="172"/>
      <c r="QW23" s="172"/>
      <c r="QX23" s="172"/>
      <c r="QY23" s="172"/>
      <c r="QZ23" s="172"/>
      <c r="RA23" s="172"/>
      <c r="RB23" s="172"/>
      <c r="RC23" s="172"/>
      <c r="RD23" s="172"/>
      <c r="RE23" s="172"/>
      <c r="RF23" s="172"/>
      <c r="RG23" s="172"/>
      <c r="RH23" s="172"/>
      <c r="RI23" s="172"/>
      <c r="RJ23" s="172"/>
      <c r="RK23" s="172"/>
      <c r="RL23" s="172"/>
      <c r="RM23" s="172"/>
      <c r="RN23" s="172"/>
      <c r="RO23" s="172"/>
      <c r="RP23" s="172"/>
      <c r="RQ23" s="172"/>
      <c r="RR23" s="172"/>
      <c r="RS23" s="172"/>
      <c r="RT23" s="172"/>
      <c r="RU23" s="172"/>
      <c r="RV23" s="172"/>
      <c r="RW23" s="172"/>
      <c r="RX23" s="172"/>
      <c r="RY23" s="172"/>
      <c r="RZ23" s="172"/>
      <c r="SA23" s="172"/>
      <c r="SB23" s="172"/>
      <c r="SC23" s="172"/>
      <c r="SD23" s="172"/>
      <c r="SE23" s="172"/>
      <c r="SF23" s="172"/>
      <c r="SG23" s="172"/>
      <c r="SH23" s="172"/>
      <c r="SI23" s="172"/>
      <c r="SJ23" s="172"/>
      <c r="SK23" s="172"/>
      <c r="SL23" s="172"/>
      <c r="SM23" s="172"/>
      <c r="SN23" s="172"/>
      <c r="SO23" s="172"/>
      <c r="SP23" s="172"/>
      <c r="SQ23" s="172"/>
      <c r="SR23" s="172"/>
      <c r="SS23" s="172"/>
      <c r="ST23" s="172"/>
      <c r="SU23" s="172"/>
      <c r="SV23" s="172"/>
      <c r="SW23" s="172"/>
      <c r="SX23" s="172"/>
      <c r="SY23" s="172"/>
      <c r="SZ23" s="172"/>
      <c r="TA23" s="172"/>
      <c r="TB23" s="172"/>
      <c r="TC23" s="172"/>
      <c r="TD23" s="172"/>
      <c r="TE23" s="172"/>
      <c r="TF23" s="172"/>
      <c r="TG23" s="172"/>
      <c r="TH23" s="172"/>
      <c r="TI23" s="172"/>
      <c r="TJ23" s="172"/>
      <c r="TK23" s="172"/>
      <c r="TL23" s="172"/>
      <c r="TM23" s="172"/>
      <c r="TN23" s="172"/>
      <c r="TO23" s="172"/>
      <c r="TP23" s="172"/>
      <c r="TQ23" s="172"/>
      <c r="TR23" s="172"/>
      <c r="TS23" s="172"/>
      <c r="TT23" s="172"/>
      <c r="TU23" s="172"/>
      <c r="TV23" s="172"/>
      <c r="TW23" s="172"/>
      <c r="TX23" s="172"/>
      <c r="TY23" s="172"/>
      <c r="TZ23" s="172"/>
      <c r="UA23" s="172"/>
      <c r="UB23" s="172"/>
      <c r="UC23" s="172"/>
      <c r="UD23" s="172"/>
      <c r="UE23" s="172"/>
      <c r="UF23" s="172"/>
      <c r="UG23" s="172"/>
      <c r="UH23" s="172"/>
      <c r="UI23" s="172"/>
      <c r="UJ23" s="172"/>
      <c r="UK23" s="172"/>
      <c r="UL23" s="172"/>
      <c r="UM23" s="172"/>
      <c r="UN23" s="172"/>
      <c r="UO23" s="172"/>
      <c r="UP23" s="172"/>
      <c r="UQ23" s="172"/>
      <c r="UR23" s="172"/>
      <c r="US23" s="172"/>
      <c r="UT23" s="172"/>
      <c r="UU23" s="172"/>
      <c r="UV23" s="172"/>
      <c r="UW23" s="172"/>
      <c r="UX23" s="172"/>
      <c r="UY23" s="172"/>
      <c r="UZ23" s="172"/>
      <c r="VA23" s="172"/>
      <c r="VB23" s="172"/>
      <c r="VC23" s="172"/>
      <c r="VD23" s="172"/>
      <c r="VE23" s="172"/>
      <c r="VF23" s="172"/>
      <c r="VG23" s="172"/>
      <c r="VH23" s="172"/>
      <c r="VI23" s="172"/>
      <c r="VJ23" s="172"/>
      <c r="VK23" s="172"/>
      <c r="VL23" s="172"/>
      <c r="VM23" s="172"/>
      <c r="VN23" s="172"/>
      <c r="VO23" s="172"/>
      <c r="VP23" s="172"/>
      <c r="VQ23" s="172"/>
      <c r="VR23" s="172"/>
      <c r="VS23" s="172"/>
      <c r="VT23" s="172"/>
      <c r="VU23" s="172"/>
      <c r="VV23" s="172"/>
      <c r="VW23" s="172"/>
      <c r="VX23" s="172"/>
      <c r="VY23" s="172"/>
      <c r="VZ23" s="172"/>
      <c r="WA23" s="172"/>
      <c r="WB23" s="172"/>
      <c r="WC23" s="172"/>
      <c r="WD23" s="172"/>
      <c r="WE23" s="172"/>
      <c r="WF23" s="172"/>
      <c r="WG23" s="172"/>
      <c r="WH23" s="172"/>
      <c r="WI23" s="172"/>
      <c r="WJ23" s="172"/>
      <c r="WK23" s="172"/>
      <c r="WL23" s="172"/>
      <c r="WM23" s="172"/>
      <c r="WN23" s="172"/>
      <c r="WO23" s="172"/>
      <c r="WP23" s="172"/>
      <c r="WQ23" s="172"/>
      <c r="WR23" s="172"/>
      <c r="WS23" s="172"/>
      <c r="WT23" s="172"/>
      <c r="WU23" s="172"/>
      <c r="WV23" s="172"/>
      <c r="WW23" s="172"/>
      <c r="WX23" s="172"/>
      <c r="WY23" s="172"/>
      <c r="WZ23" s="172"/>
      <c r="XA23" s="172"/>
      <c r="XB23" s="172"/>
      <c r="XC23" s="172"/>
      <c r="XD23" s="172"/>
      <c r="XE23" s="172"/>
      <c r="XF23" s="172"/>
      <c r="XG23" s="172"/>
      <c r="XH23" s="172"/>
      <c r="XI23" s="172"/>
      <c r="XJ23" s="172"/>
      <c r="XK23" s="172"/>
      <c r="XL23" s="172"/>
      <c r="XM23" s="172"/>
      <c r="XN23" s="172"/>
      <c r="XO23" s="172"/>
      <c r="XP23" s="172"/>
      <c r="XQ23" s="172"/>
      <c r="XR23" s="172"/>
      <c r="XS23" s="172"/>
      <c r="XT23" s="172"/>
      <c r="XU23" s="172"/>
      <c r="XV23" s="172"/>
      <c r="XW23" s="172"/>
      <c r="XX23" s="172"/>
      <c r="XY23" s="172"/>
      <c r="XZ23" s="172"/>
      <c r="YA23" s="172"/>
      <c r="YB23" s="172"/>
      <c r="YC23" s="172"/>
      <c r="YD23" s="172"/>
      <c r="YE23" s="172"/>
      <c r="YF23" s="172"/>
      <c r="YG23" s="172"/>
      <c r="YH23" s="172"/>
      <c r="YI23" s="172"/>
      <c r="YJ23" s="172"/>
      <c r="YK23" s="172"/>
      <c r="YL23" s="172"/>
      <c r="YM23" s="172"/>
      <c r="YN23" s="172"/>
      <c r="YO23" s="172"/>
      <c r="YP23" s="172"/>
      <c r="YQ23" s="172"/>
      <c r="YR23" s="172"/>
      <c r="YS23" s="172"/>
      <c r="YT23" s="172"/>
      <c r="YU23" s="172"/>
      <c r="YV23" s="172"/>
      <c r="YW23" s="172"/>
      <c r="YX23" s="172"/>
      <c r="YY23" s="172"/>
      <c r="YZ23" s="172"/>
      <c r="ZA23" s="172"/>
      <c r="ZB23" s="172"/>
      <c r="ZC23" s="172"/>
      <c r="ZD23" s="172"/>
      <c r="ZE23" s="172"/>
      <c r="ZF23" s="172"/>
      <c r="ZG23" s="172"/>
      <c r="ZH23" s="172"/>
      <c r="ZI23" s="172"/>
      <c r="ZJ23" s="172"/>
      <c r="ZK23" s="172"/>
      <c r="ZL23" s="172"/>
      <c r="ZM23" s="172"/>
      <c r="ZN23" s="172"/>
      <c r="ZO23" s="172"/>
      <c r="ZP23" s="172"/>
      <c r="ZQ23" s="172"/>
      <c r="ZR23" s="172"/>
      <c r="ZS23" s="172"/>
      <c r="ZT23" s="172"/>
      <c r="ZU23" s="172"/>
      <c r="ZV23" s="172"/>
      <c r="ZW23" s="172"/>
      <c r="ZX23" s="172"/>
      <c r="ZY23" s="172"/>
      <c r="ZZ23" s="172"/>
      <c r="AAA23" s="172"/>
      <c r="AAB23" s="172"/>
      <c r="AAC23" s="172"/>
      <c r="AAD23" s="172"/>
      <c r="AAE23" s="172"/>
      <c r="AAF23" s="172"/>
      <c r="AAG23" s="172"/>
      <c r="AAH23" s="172"/>
      <c r="AAI23" s="172"/>
      <c r="AAJ23" s="172"/>
      <c r="AAK23" s="172"/>
      <c r="AAL23" s="172"/>
      <c r="AAM23" s="172"/>
      <c r="AAN23" s="172"/>
      <c r="AAO23" s="172"/>
      <c r="AAP23" s="172"/>
      <c r="AAQ23" s="172"/>
      <c r="AAR23" s="172"/>
      <c r="AAS23" s="172"/>
      <c r="AAT23" s="172"/>
      <c r="AAU23" s="172"/>
      <c r="AAV23" s="172"/>
      <c r="AAW23" s="172"/>
      <c r="AAX23" s="172"/>
      <c r="AAY23" s="172"/>
      <c r="AAZ23" s="172"/>
      <c r="ABA23" s="172"/>
      <c r="ABB23" s="172"/>
      <c r="ABC23" s="172"/>
      <c r="ABD23" s="172"/>
      <c r="ABE23" s="172"/>
      <c r="ABF23" s="172"/>
      <c r="ABG23" s="172"/>
      <c r="ABH23" s="172"/>
      <c r="ABI23" s="172"/>
      <c r="ABJ23" s="172"/>
      <c r="ABK23" s="172"/>
      <c r="ABL23" s="172"/>
      <c r="ABM23" s="172"/>
      <c r="ABN23" s="172"/>
      <c r="ABO23" s="172"/>
      <c r="ABP23" s="172"/>
      <c r="ABQ23" s="172"/>
      <c r="ABR23" s="172"/>
      <c r="ABS23" s="172"/>
      <c r="ABT23" s="172"/>
      <c r="ABU23" s="172"/>
      <c r="ABV23" s="172"/>
      <c r="ABW23" s="172"/>
      <c r="ABX23" s="172"/>
      <c r="ABY23" s="172"/>
      <c r="ABZ23" s="172"/>
      <c r="ACA23" s="172"/>
      <c r="ACB23" s="172"/>
      <c r="ACC23" s="172"/>
      <c r="ACD23" s="172"/>
      <c r="ACE23" s="172"/>
      <c r="ACF23" s="172"/>
      <c r="ACG23" s="172"/>
      <c r="ACH23" s="172"/>
      <c r="ACI23" s="172"/>
      <c r="ACJ23" s="172"/>
      <c r="ACK23" s="172"/>
      <c r="ACL23" s="172"/>
      <c r="ACM23" s="172"/>
      <c r="ACN23" s="172"/>
      <c r="ACO23" s="172"/>
      <c r="ACP23" s="172"/>
      <c r="ACQ23" s="172"/>
      <c r="ACR23" s="172"/>
      <c r="ACS23" s="172"/>
      <c r="ACT23" s="172"/>
      <c r="ACU23" s="172"/>
      <c r="ACV23" s="172"/>
      <c r="ACW23" s="172"/>
      <c r="ACX23" s="172"/>
      <c r="ACY23" s="172"/>
      <c r="ACZ23" s="172"/>
      <c r="ADA23" s="172"/>
      <c r="ADB23" s="172"/>
      <c r="ADC23" s="172"/>
      <c r="ADD23" s="172"/>
      <c r="ADE23" s="172"/>
      <c r="ADF23" s="172"/>
      <c r="ADG23" s="172"/>
      <c r="ADH23" s="172"/>
      <c r="ADI23" s="172"/>
      <c r="ADJ23" s="172"/>
      <c r="ADK23" s="172"/>
      <c r="ADL23" s="172"/>
      <c r="ADM23" s="172"/>
      <c r="ADN23" s="172"/>
      <c r="ADO23" s="172"/>
      <c r="ADP23" s="172"/>
      <c r="ADQ23" s="172"/>
      <c r="ADR23" s="172"/>
      <c r="ADS23" s="172"/>
      <c r="ADT23" s="172"/>
      <c r="ADU23" s="172"/>
      <c r="ADV23" s="172"/>
      <c r="ADW23" s="172"/>
      <c r="ADX23" s="172"/>
      <c r="ADY23" s="172"/>
      <c r="ADZ23" s="172"/>
      <c r="AEA23" s="172"/>
      <c r="AEB23" s="172"/>
      <c r="AEC23" s="172"/>
      <c r="AED23" s="172"/>
      <c r="AEE23" s="172"/>
      <c r="AEF23" s="172"/>
      <c r="AEG23" s="172"/>
      <c r="AEH23" s="172"/>
      <c r="AEI23" s="172"/>
      <c r="AEJ23" s="172"/>
      <c r="AEK23" s="172"/>
      <c r="AEL23" s="172"/>
      <c r="AEM23" s="172"/>
      <c r="AEN23" s="172"/>
      <c r="AEO23" s="172"/>
      <c r="AEP23" s="172"/>
      <c r="AEQ23" s="172"/>
      <c r="AER23" s="172"/>
      <c r="AES23" s="172"/>
      <c r="AET23" s="172"/>
      <c r="AEU23" s="172"/>
      <c r="AEV23" s="172"/>
      <c r="AEW23" s="172"/>
      <c r="AEX23" s="172"/>
      <c r="AEY23" s="172"/>
      <c r="AEZ23" s="172"/>
      <c r="AFA23" s="172"/>
      <c r="AFB23" s="172"/>
      <c r="AFC23" s="172"/>
      <c r="AFD23" s="172"/>
      <c r="AFE23" s="172"/>
      <c r="AFF23" s="172"/>
      <c r="AFG23" s="172"/>
      <c r="AFH23" s="172"/>
      <c r="AFI23" s="172"/>
      <c r="AFJ23" s="172"/>
      <c r="AFK23" s="172"/>
      <c r="AFL23" s="172"/>
      <c r="AFM23" s="172"/>
      <c r="AFN23" s="172"/>
      <c r="AFO23" s="172"/>
      <c r="AFP23" s="172"/>
      <c r="AFQ23" s="172"/>
      <c r="AFR23" s="172"/>
      <c r="AFS23" s="172"/>
      <c r="AFT23" s="172"/>
      <c r="AFU23" s="172"/>
      <c r="AFV23" s="172"/>
      <c r="AFW23" s="172"/>
      <c r="AFX23" s="172"/>
      <c r="AFY23" s="172"/>
      <c r="AFZ23" s="172"/>
      <c r="AGA23" s="172"/>
      <c r="AGB23" s="172"/>
      <c r="AGC23" s="172"/>
      <c r="AGD23" s="172"/>
      <c r="AGE23" s="172"/>
      <c r="AGF23" s="172"/>
      <c r="AGG23" s="172"/>
      <c r="AGH23" s="172"/>
      <c r="AGI23" s="172"/>
      <c r="AGJ23" s="172"/>
      <c r="AGK23" s="172"/>
      <c r="AGL23" s="172"/>
      <c r="AGM23" s="172"/>
      <c r="AGN23" s="172"/>
      <c r="AGO23" s="172"/>
      <c r="AGP23" s="172"/>
      <c r="AGQ23" s="172"/>
      <c r="AGR23" s="172"/>
      <c r="AGS23" s="172"/>
      <c r="AGT23" s="172"/>
      <c r="AGU23" s="172"/>
      <c r="AGV23" s="172"/>
      <c r="AGW23" s="172"/>
      <c r="AGX23" s="172"/>
      <c r="AGY23" s="172"/>
      <c r="AGZ23" s="172"/>
      <c r="AHA23" s="172"/>
      <c r="AHB23" s="172"/>
      <c r="AHC23" s="172"/>
      <c r="AHD23" s="172"/>
      <c r="AHE23" s="172"/>
      <c r="AHF23" s="172"/>
      <c r="AHG23" s="172"/>
      <c r="AHH23" s="172"/>
      <c r="AHI23" s="172"/>
      <c r="AHJ23" s="172"/>
      <c r="AHK23" s="172"/>
      <c r="AHL23" s="172"/>
      <c r="AHM23" s="172"/>
      <c r="AHN23" s="172"/>
      <c r="AHO23" s="172"/>
      <c r="AHP23" s="172"/>
      <c r="AHQ23" s="172"/>
      <c r="AHR23" s="172"/>
      <c r="AHS23" s="172"/>
      <c r="AHT23" s="172"/>
      <c r="AHU23" s="172"/>
      <c r="AHV23" s="172"/>
      <c r="AHW23" s="172"/>
      <c r="AHX23" s="172"/>
      <c r="AHY23" s="172"/>
      <c r="AHZ23" s="172"/>
      <c r="AIA23" s="172"/>
      <c r="AIB23" s="172"/>
      <c r="AIC23" s="172"/>
      <c r="AID23" s="172"/>
      <c r="AIE23" s="172"/>
      <c r="AIF23" s="172"/>
      <c r="AIG23" s="172"/>
      <c r="AIH23" s="172"/>
      <c r="AII23" s="172"/>
      <c r="AIJ23" s="172"/>
      <c r="AIK23" s="172"/>
      <c r="AIL23" s="172"/>
      <c r="AIM23" s="172"/>
      <c r="AIN23" s="172"/>
      <c r="AIO23" s="172"/>
      <c r="AIP23" s="172"/>
      <c r="AIQ23" s="172"/>
      <c r="AIR23" s="172"/>
      <c r="AIS23" s="172"/>
      <c r="AIT23" s="172"/>
      <c r="AIU23" s="172"/>
      <c r="AIV23" s="172"/>
      <c r="AIW23" s="172"/>
      <c r="AIX23" s="172"/>
      <c r="AIY23" s="172"/>
      <c r="AIZ23" s="172"/>
      <c r="AJA23" s="172"/>
      <c r="AJB23" s="172"/>
      <c r="AJC23" s="172"/>
      <c r="AJD23" s="172"/>
      <c r="AJE23" s="172"/>
      <c r="AJF23" s="172"/>
      <c r="AJG23" s="172"/>
      <c r="AJH23" s="172"/>
      <c r="AJI23" s="172"/>
      <c r="AJJ23" s="172"/>
      <c r="AJK23" s="172"/>
      <c r="AJL23" s="172"/>
      <c r="AJM23" s="172"/>
      <c r="AJN23" s="172"/>
      <c r="AJO23" s="172"/>
      <c r="AJP23" s="172"/>
      <c r="AJQ23" s="172"/>
      <c r="AJR23" s="172"/>
      <c r="AJS23" s="172"/>
      <c r="AJT23" s="172"/>
      <c r="AJU23" s="172"/>
      <c r="AJV23" s="172"/>
      <c r="AJW23" s="172"/>
      <c r="AJX23" s="172"/>
      <c r="AJY23" s="172"/>
      <c r="AJZ23" s="172"/>
      <c r="AKA23" s="172"/>
      <c r="AKB23" s="172"/>
      <c r="AKC23" s="172"/>
      <c r="AKD23" s="172"/>
      <c r="AKE23" s="172"/>
      <c r="AKF23" s="172"/>
      <c r="AKG23" s="172"/>
      <c r="AKH23" s="172"/>
      <c r="AKI23" s="172"/>
      <c r="AKJ23" s="172"/>
      <c r="AKK23" s="172"/>
      <c r="AKL23" s="172"/>
      <c r="AKM23" s="172"/>
      <c r="AKN23" s="172"/>
      <c r="AKO23" s="172"/>
      <c r="AKP23" s="172"/>
      <c r="AKQ23" s="172"/>
      <c r="AKR23" s="172"/>
      <c r="AKS23" s="172"/>
      <c r="AKT23" s="172"/>
      <c r="AKU23" s="172"/>
      <c r="AKV23" s="172"/>
      <c r="AKW23" s="172"/>
      <c r="AKX23" s="172"/>
      <c r="AKY23" s="172"/>
      <c r="AKZ23" s="172"/>
      <c r="ALA23" s="172"/>
      <c r="ALB23" s="172"/>
      <c r="ALC23" s="172"/>
      <c r="ALD23" s="172"/>
      <c r="ALE23" s="172"/>
      <c r="ALF23" s="172"/>
      <c r="ALG23" s="172"/>
      <c r="ALH23" s="172"/>
      <c r="ALI23" s="172"/>
      <c r="ALJ23" s="172"/>
      <c r="ALK23" s="172"/>
      <c r="ALL23" s="172"/>
      <c r="ALM23" s="172"/>
      <c r="ALN23" s="172"/>
      <c r="ALO23" s="172"/>
      <c r="ALP23" s="172"/>
      <c r="ALQ23" s="172"/>
      <c r="ALR23" s="172"/>
      <c r="ALS23" s="172"/>
      <c r="ALT23" s="172"/>
      <c r="ALU23" s="172"/>
      <c r="ALV23" s="172"/>
      <c r="ALW23" s="172"/>
      <c r="ALX23" s="172"/>
      <c r="ALY23" s="172"/>
      <c r="ALZ23" s="172"/>
      <c r="AMA23" s="172"/>
      <c r="AMB23" s="172"/>
      <c r="AMC23" s="172"/>
      <c r="AMD23" s="172"/>
      <c r="AME23" s="172"/>
      <c r="AMF23" s="172"/>
      <c r="AMG23" s="172"/>
      <c r="AMH23" s="172"/>
      <c r="AMI23" s="172"/>
      <c r="AMJ23" s="172"/>
      <c r="AMK23" s="172"/>
      <c r="AML23" s="172"/>
      <c r="AMM23" s="172"/>
      <c r="AMN23" s="172"/>
      <c r="AMO23" s="172"/>
      <c r="AMP23" s="172"/>
      <c r="AMQ23" s="172"/>
      <c r="AMR23" s="172"/>
      <c r="AMS23" s="172"/>
      <c r="AMT23" s="172"/>
      <c r="AMU23" s="172"/>
      <c r="AMV23" s="172"/>
      <c r="AMW23" s="172"/>
      <c r="AMX23" s="172"/>
      <c r="AMY23" s="172"/>
      <c r="AMZ23" s="172"/>
      <c r="ANA23" s="172"/>
      <c r="ANB23" s="172"/>
      <c r="ANC23" s="172"/>
      <c r="AND23" s="172"/>
      <c r="ANE23" s="172"/>
      <c r="ANF23" s="172"/>
      <c r="ANG23" s="172"/>
      <c r="ANH23" s="172"/>
      <c r="ANI23" s="172"/>
      <c r="ANJ23" s="172"/>
      <c r="ANK23" s="172"/>
      <c r="ANL23" s="172"/>
      <c r="ANM23" s="172"/>
      <c r="ANN23" s="172"/>
      <c r="ANO23" s="172"/>
      <c r="ANP23" s="172"/>
      <c r="ANQ23" s="172"/>
      <c r="ANR23" s="172"/>
      <c r="ANS23" s="172"/>
      <c r="ANT23" s="172"/>
      <c r="ANU23" s="172"/>
      <c r="ANV23" s="172"/>
      <c r="ANW23" s="172"/>
      <c r="ANX23" s="172"/>
      <c r="ANY23" s="172"/>
      <c r="ANZ23" s="172"/>
      <c r="AOA23" s="172"/>
      <c r="AOB23" s="172"/>
      <c r="AOC23" s="172"/>
      <c r="AOD23" s="172"/>
      <c r="AOE23" s="172"/>
      <c r="AOF23" s="172"/>
      <c r="AOG23" s="172"/>
      <c r="AOH23" s="172"/>
      <c r="AOI23" s="172"/>
      <c r="AOJ23" s="172"/>
      <c r="AOK23" s="172"/>
      <c r="AOL23" s="172"/>
      <c r="AOM23" s="172"/>
      <c r="AON23" s="172"/>
      <c r="AOO23" s="172"/>
      <c r="AOP23" s="172"/>
      <c r="AOQ23" s="172"/>
      <c r="AOR23" s="172"/>
      <c r="AOS23" s="172"/>
      <c r="AOT23" s="172"/>
      <c r="AOU23" s="172"/>
      <c r="AOV23" s="172"/>
      <c r="AOW23" s="172"/>
      <c r="AOX23" s="172"/>
      <c r="AOY23" s="172"/>
      <c r="AOZ23" s="172"/>
      <c r="APA23" s="172"/>
      <c r="APB23" s="172"/>
      <c r="APC23" s="172"/>
      <c r="APD23" s="172"/>
      <c r="APE23" s="172"/>
      <c r="APF23" s="172"/>
      <c r="APG23" s="172"/>
      <c r="APH23" s="172"/>
      <c r="API23" s="172"/>
      <c r="APJ23" s="172"/>
      <c r="APK23" s="172"/>
      <c r="APL23" s="172"/>
      <c r="APM23" s="172"/>
      <c r="APN23" s="172"/>
      <c r="APO23" s="172"/>
      <c r="APP23" s="172"/>
      <c r="APQ23" s="172"/>
      <c r="APR23" s="172"/>
      <c r="APS23" s="172"/>
      <c r="APT23" s="172"/>
      <c r="APU23" s="172"/>
      <c r="APV23" s="172"/>
      <c r="APW23" s="172"/>
      <c r="APX23" s="172"/>
      <c r="APY23" s="172"/>
      <c r="APZ23" s="172"/>
      <c r="AQA23" s="172"/>
      <c r="AQB23" s="172"/>
      <c r="AQC23" s="172"/>
      <c r="AQD23" s="172"/>
      <c r="AQE23" s="172"/>
      <c r="AQF23" s="172"/>
      <c r="AQG23" s="172"/>
      <c r="AQH23" s="172"/>
      <c r="AQI23" s="172"/>
      <c r="AQJ23" s="172"/>
      <c r="AQK23" s="172"/>
      <c r="AQL23" s="172"/>
      <c r="AQM23" s="172"/>
      <c r="AQN23" s="172"/>
      <c r="AQO23" s="172"/>
      <c r="AQP23" s="172"/>
      <c r="AQQ23" s="172"/>
      <c r="AQR23" s="172"/>
      <c r="AQS23" s="172"/>
      <c r="AQT23" s="172"/>
      <c r="AQU23" s="172"/>
      <c r="AQV23" s="172"/>
      <c r="AQW23" s="172"/>
      <c r="AQX23" s="172"/>
      <c r="AQY23" s="172"/>
      <c r="AQZ23" s="172"/>
      <c r="ARA23" s="172"/>
      <c r="ARB23" s="172"/>
      <c r="ARC23" s="172"/>
      <c r="ARD23" s="172"/>
      <c r="ARE23" s="172"/>
      <c r="ARF23" s="172"/>
      <c r="ARG23" s="172"/>
      <c r="ARH23" s="172"/>
      <c r="ARI23" s="172"/>
      <c r="ARJ23" s="172"/>
      <c r="ARK23" s="172"/>
      <c r="ARL23" s="172"/>
      <c r="ARM23" s="172"/>
      <c r="ARN23" s="172"/>
      <c r="ARO23" s="172"/>
      <c r="ARP23" s="172"/>
      <c r="ARQ23" s="172"/>
      <c r="ARR23" s="172"/>
      <c r="ARS23" s="172"/>
      <c r="ART23" s="172"/>
      <c r="ARU23" s="172"/>
    </row>
    <row r="24" spans="1:1165" s="257" customFormat="1">
      <c r="A24" s="222" t="s">
        <v>167</v>
      </c>
      <c r="B24" s="195" t="s">
        <v>87</v>
      </c>
      <c r="C24" s="258">
        <v>11420</v>
      </c>
      <c r="D24" s="258">
        <v>989397</v>
      </c>
      <c r="E24" s="258">
        <v>0</v>
      </c>
      <c r="F24" s="258">
        <v>0</v>
      </c>
      <c r="G24" s="258">
        <v>0</v>
      </c>
      <c r="H24" s="258">
        <v>0</v>
      </c>
      <c r="I24" s="258">
        <v>0</v>
      </c>
      <c r="J24" s="258">
        <v>0</v>
      </c>
      <c r="K24" s="258">
        <v>0</v>
      </c>
      <c r="L24" s="258">
        <v>0</v>
      </c>
      <c r="M24" s="258">
        <v>0</v>
      </c>
      <c r="N24" s="258">
        <v>0</v>
      </c>
      <c r="O24" s="258">
        <v>0</v>
      </c>
      <c r="P24" s="258">
        <v>0</v>
      </c>
      <c r="Q24" s="258">
        <v>0</v>
      </c>
      <c r="R24" s="258">
        <v>0</v>
      </c>
      <c r="S24" s="258">
        <v>0</v>
      </c>
      <c r="T24" s="258">
        <v>0</v>
      </c>
      <c r="U24" s="258">
        <v>0</v>
      </c>
      <c r="V24" s="258">
        <v>0</v>
      </c>
      <c r="W24" s="258">
        <v>0</v>
      </c>
      <c r="X24" s="258">
        <v>0</v>
      </c>
      <c r="Y24" s="258">
        <v>0</v>
      </c>
      <c r="Z24" s="258">
        <v>0</v>
      </c>
      <c r="AA24" s="258">
        <v>0</v>
      </c>
      <c r="AB24" s="258">
        <v>0</v>
      </c>
      <c r="AC24" s="258">
        <v>0</v>
      </c>
      <c r="AD24" s="258">
        <v>0</v>
      </c>
      <c r="AE24" s="258">
        <v>0</v>
      </c>
      <c r="AF24" s="258">
        <v>0</v>
      </c>
      <c r="AG24" s="258">
        <v>0</v>
      </c>
      <c r="AH24" s="258">
        <v>0</v>
      </c>
      <c r="AI24" s="258">
        <v>0</v>
      </c>
      <c r="AJ24" s="258">
        <v>0</v>
      </c>
      <c r="AK24" s="258">
        <v>0</v>
      </c>
      <c r="AL24" s="258">
        <v>0</v>
      </c>
      <c r="AM24" s="258">
        <v>0</v>
      </c>
      <c r="AN24" s="258">
        <v>0</v>
      </c>
      <c r="AO24" s="258">
        <v>0</v>
      </c>
      <c r="AP24" s="258">
        <v>0</v>
      </c>
      <c r="AQ24" s="258">
        <v>0</v>
      </c>
      <c r="AR24" s="258">
        <v>0</v>
      </c>
      <c r="AS24" s="258">
        <v>0</v>
      </c>
      <c r="AT24" s="258">
        <v>0</v>
      </c>
      <c r="AU24" s="258">
        <v>0</v>
      </c>
      <c r="AV24" s="258">
        <v>0</v>
      </c>
      <c r="AW24" s="258">
        <v>0</v>
      </c>
      <c r="AX24" s="258">
        <v>0</v>
      </c>
      <c r="AY24" s="224">
        <v>0</v>
      </c>
      <c r="AZ24" s="224">
        <v>0</v>
      </c>
      <c r="BA24" s="227"/>
      <c r="BB24" s="258"/>
      <c r="BC24" s="258"/>
      <c r="BD24" s="258"/>
      <c r="BE24" s="258"/>
      <c r="BF24" s="258"/>
      <c r="BG24" s="258"/>
      <c r="BH24" s="258"/>
      <c r="BI24" s="227"/>
      <c r="BJ24" s="258">
        <f t="shared" si="50"/>
        <v>11420</v>
      </c>
      <c r="BK24" s="258">
        <f>D24+H24+J24+L24+N24+P24+R24+T24+V24+X24+Z24+AB24+AD24+AF24+AH24+AJ24+AL24+AN24+AP24+AR24+AT24+AV24+AX24+AZ24+BD24+BH24</f>
        <v>989397</v>
      </c>
      <c r="BL24" s="172"/>
      <c r="BM24" s="231"/>
      <c r="BN24" s="231"/>
      <c r="BO24" s="231"/>
      <c r="BP24" s="231"/>
      <c r="BQ24" s="172"/>
      <c r="BR24" s="172"/>
      <c r="BS24" s="172"/>
      <c r="BT24" s="172"/>
      <c r="BU24" s="172"/>
      <c r="BV24" s="172"/>
      <c r="BW24" s="172"/>
      <c r="BX24" s="172"/>
      <c r="BY24" s="172"/>
      <c r="BZ24" s="172"/>
      <c r="CA24" s="172"/>
      <c r="CB24" s="172"/>
      <c r="CC24" s="172"/>
      <c r="CD24" s="172"/>
      <c r="CE24" s="172"/>
      <c r="CF24" s="172"/>
      <c r="CG24" s="172"/>
      <c r="CH24" s="172"/>
      <c r="CI24" s="172"/>
      <c r="CJ24" s="172"/>
      <c r="CK24" s="172"/>
      <c r="CL24" s="172"/>
      <c r="CM24" s="172"/>
      <c r="CN24" s="172"/>
      <c r="CO24" s="172"/>
      <c r="CP24" s="172"/>
      <c r="CQ24" s="172"/>
      <c r="CR24" s="172"/>
      <c r="CS24" s="172"/>
      <c r="CT24" s="172"/>
      <c r="CU24" s="172"/>
      <c r="CV24" s="172"/>
      <c r="CW24" s="172"/>
      <c r="CX24" s="172"/>
      <c r="CY24" s="172"/>
      <c r="CZ24" s="172"/>
      <c r="DA24" s="172"/>
      <c r="DB24" s="172"/>
      <c r="DC24" s="172"/>
      <c r="DD24" s="172"/>
      <c r="DE24" s="172"/>
      <c r="DF24" s="172"/>
      <c r="DG24" s="172"/>
      <c r="DH24" s="172"/>
      <c r="DI24" s="172"/>
      <c r="DJ24" s="172"/>
      <c r="DK24" s="172"/>
      <c r="DL24" s="172"/>
      <c r="DM24" s="172"/>
      <c r="DN24" s="172"/>
      <c r="DO24" s="172"/>
      <c r="DP24" s="172"/>
      <c r="DQ24" s="172"/>
      <c r="DR24" s="172"/>
      <c r="DS24" s="172"/>
      <c r="DT24" s="172"/>
      <c r="DU24" s="172"/>
      <c r="DV24" s="172"/>
      <c r="DW24" s="172"/>
      <c r="DX24" s="172"/>
      <c r="DY24" s="172"/>
      <c r="DZ24" s="172"/>
      <c r="EA24" s="172"/>
      <c r="EB24" s="172"/>
      <c r="EC24" s="172"/>
      <c r="ED24" s="172"/>
      <c r="EE24" s="172"/>
      <c r="EF24" s="172"/>
      <c r="EG24" s="172"/>
      <c r="EH24" s="172"/>
      <c r="EI24" s="172"/>
      <c r="EJ24" s="172"/>
      <c r="EK24" s="172"/>
      <c r="EL24" s="172"/>
      <c r="EM24" s="172"/>
      <c r="EN24" s="172"/>
      <c r="EO24" s="172"/>
      <c r="EP24" s="172"/>
      <c r="EQ24" s="172"/>
      <c r="ER24" s="172"/>
      <c r="ES24" s="172"/>
      <c r="ET24" s="172"/>
      <c r="EU24" s="172"/>
      <c r="EV24" s="172"/>
      <c r="EW24" s="172"/>
      <c r="EX24" s="172"/>
      <c r="EY24" s="172"/>
      <c r="EZ24" s="172"/>
      <c r="FA24" s="172"/>
      <c r="FB24" s="172"/>
      <c r="FC24" s="172"/>
      <c r="FD24" s="172"/>
      <c r="FE24" s="172"/>
      <c r="FF24" s="172"/>
      <c r="FG24" s="172"/>
      <c r="FH24" s="172"/>
      <c r="FI24" s="172"/>
      <c r="FJ24" s="172"/>
      <c r="FK24" s="172"/>
      <c r="FL24" s="172"/>
      <c r="FM24" s="172"/>
      <c r="FN24" s="172"/>
      <c r="FO24" s="172"/>
      <c r="FP24" s="172"/>
      <c r="FQ24" s="172"/>
      <c r="FR24" s="172"/>
      <c r="FS24" s="172"/>
      <c r="FT24" s="172"/>
      <c r="FU24" s="172"/>
      <c r="FV24" s="172"/>
      <c r="FW24" s="172"/>
      <c r="FX24" s="172"/>
      <c r="FY24" s="172"/>
      <c r="FZ24" s="172"/>
      <c r="GA24" s="172"/>
      <c r="GB24" s="172"/>
      <c r="GC24" s="172"/>
      <c r="GD24" s="172"/>
      <c r="GE24" s="172"/>
      <c r="GF24" s="172"/>
      <c r="GG24" s="172"/>
      <c r="GH24" s="172"/>
      <c r="GI24" s="172"/>
      <c r="GJ24" s="172"/>
      <c r="GK24" s="172"/>
      <c r="GL24" s="172"/>
      <c r="GM24" s="172"/>
      <c r="GN24" s="172"/>
      <c r="GO24" s="172"/>
      <c r="GP24" s="172"/>
      <c r="GQ24" s="172"/>
      <c r="GR24" s="172"/>
      <c r="GS24" s="172"/>
      <c r="GT24" s="172"/>
      <c r="GU24" s="172"/>
      <c r="GV24" s="172"/>
      <c r="GW24" s="172"/>
      <c r="GX24" s="172"/>
      <c r="GY24" s="172"/>
      <c r="GZ24" s="172"/>
      <c r="HA24" s="172"/>
      <c r="HB24" s="172"/>
      <c r="HC24" s="172"/>
      <c r="HD24" s="172"/>
      <c r="HE24" s="172"/>
      <c r="HF24" s="172"/>
      <c r="HG24" s="172"/>
      <c r="HH24" s="172"/>
      <c r="HI24" s="172"/>
      <c r="HJ24" s="172"/>
      <c r="HK24" s="172"/>
      <c r="HL24" s="172"/>
      <c r="HM24" s="172"/>
      <c r="HN24" s="172"/>
      <c r="HO24" s="172"/>
      <c r="HP24" s="172"/>
      <c r="HQ24" s="172"/>
      <c r="HR24" s="172"/>
      <c r="HS24" s="172"/>
      <c r="HT24" s="172"/>
      <c r="HU24" s="172"/>
      <c r="HV24" s="172"/>
      <c r="HW24" s="172"/>
      <c r="HX24" s="172"/>
      <c r="HY24" s="172"/>
      <c r="HZ24" s="172"/>
      <c r="IA24" s="172"/>
      <c r="IB24" s="172"/>
      <c r="IC24" s="172"/>
      <c r="ID24" s="172"/>
      <c r="IE24" s="172"/>
      <c r="IF24" s="172"/>
      <c r="IG24" s="172"/>
      <c r="IH24" s="172"/>
      <c r="II24" s="172"/>
      <c r="IJ24" s="172"/>
      <c r="IK24" s="172"/>
      <c r="IL24" s="172"/>
      <c r="IM24" s="172"/>
      <c r="IN24" s="172"/>
      <c r="IO24" s="172"/>
      <c r="IP24" s="172"/>
      <c r="IQ24" s="172"/>
      <c r="IR24" s="172"/>
      <c r="IS24" s="172"/>
      <c r="IT24" s="172"/>
      <c r="IU24" s="172"/>
      <c r="IV24" s="172"/>
      <c r="IW24" s="172"/>
      <c r="IX24" s="172"/>
      <c r="IY24" s="172"/>
      <c r="IZ24" s="172"/>
      <c r="JA24" s="172"/>
      <c r="JB24" s="172"/>
      <c r="JC24" s="172"/>
      <c r="JD24" s="172"/>
      <c r="JE24" s="172"/>
      <c r="JF24" s="172"/>
      <c r="JG24" s="172"/>
      <c r="JH24" s="172"/>
      <c r="JI24" s="172"/>
      <c r="JJ24" s="172"/>
      <c r="JK24" s="172"/>
      <c r="JL24" s="172"/>
      <c r="JM24" s="172"/>
      <c r="JN24" s="172"/>
      <c r="JO24" s="172"/>
      <c r="JP24" s="172"/>
      <c r="JQ24" s="172"/>
      <c r="JR24" s="172"/>
      <c r="JS24" s="172"/>
      <c r="JT24" s="172"/>
      <c r="JU24" s="172"/>
      <c r="JV24" s="172"/>
      <c r="JW24" s="172"/>
      <c r="JX24" s="172"/>
      <c r="JY24" s="172"/>
      <c r="JZ24" s="172"/>
      <c r="KA24" s="172"/>
      <c r="KB24" s="172"/>
      <c r="KC24" s="172"/>
      <c r="KD24" s="172"/>
      <c r="KE24" s="172"/>
      <c r="KF24" s="172"/>
      <c r="KG24" s="172"/>
      <c r="KH24" s="172"/>
      <c r="KI24" s="172"/>
      <c r="KJ24" s="172"/>
      <c r="KK24" s="172"/>
      <c r="KL24" s="172"/>
      <c r="KM24" s="172"/>
      <c r="KN24" s="172"/>
      <c r="KO24" s="172"/>
      <c r="KP24" s="172"/>
      <c r="KQ24" s="172"/>
      <c r="KR24" s="172"/>
      <c r="KS24" s="172"/>
      <c r="KT24" s="172"/>
      <c r="KU24" s="172"/>
      <c r="KV24" s="172"/>
      <c r="KW24" s="172"/>
      <c r="KX24" s="172"/>
      <c r="KY24" s="172"/>
      <c r="KZ24" s="172"/>
      <c r="LA24" s="172"/>
      <c r="LB24" s="172"/>
      <c r="LC24" s="172"/>
      <c r="LD24" s="172"/>
      <c r="LE24" s="172"/>
      <c r="LF24" s="172"/>
      <c r="LG24" s="172"/>
      <c r="LH24" s="172"/>
      <c r="LI24" s="172"/>
      <c r="LJ24" s="172"/>
      <c r="LK24" s="172"/>
      <c r="LL24" s="172"/>
      <c r="LM24" s="172"/>
      <c r="LN24" s="172"/>
      <c r="LO24" s="172"/>
      <c r="LP24" s="172"/>
      <c r="LQ24" s="172"/>
      <c r="LR24" s="172"/>
      <c r="LS24" s="172"/>
      <c r="LT24" s="172"/>
      <c r="LU24" s="172"/>
      <c r="LV24" s="172"/>
      <c r="LW24" s="172"/>
      <c r="LX24" s="172"/>
      <c r="LY24" s="172"/>
      <c r="LZ24" s="172"/>
      <c r="MA24" s="172"/>
      <c r="MB24" s="172"/>
      <c r="MC24" s="172"/>
      <c r="MD24" s="172"/>
      <c r="ME24" s="172"/>
      <c r="MF24" s="172"/>
      <c r="MG24" s="172"/>
      <c r="MH24" s="172"/>
      <c r="MI24" s="172"/>
      <c r="MJ24" s="172"/>
      <c r="MK24" s="172"/>
      <c r="ML24" s="172"/>
      <c r="MM24" s="172"/>
      <c r="MN24" s="172"/>
      <c r="MO24" s="172"/>
      <c r="MP24" s="172"/>
      <c r="MQ24" s="172"/>
      <c r="MR24" s="172"/>
      <c r="MS24" s="172"/>
      <c r="MT24" s="172"/>
      <c r="MU24" s="172"/>
      <c r="MV24" s="172"/>
      <c r="MW24" s="172"/>
      <c r="MX24" s="172"/>
      <c r="MY24" s="172"/>
      <c r="MZ24" s="172"/>
      <c r="NA24" s="172"/>
      <c r="NB24" s="172"/>
      <c r="NC24" s="172"/>
      <c r="ND24" s="172"/>
      <c r="NE24" s="172"/>
      <c r="NF24" s="172"/>
      <c r="NG24" s="172"/>
      <c r="NH24" s="172"/>
      <c r="NI24" s="172"/>
      <c r="NJ24" s="172"/>
      <c r="NK24" s="172"/>
      <c r="NL24" s="172"/>
      <c r="NM24" s="172"/>
      <c r="NN24" s="172"/>
      <c r="NO24" s="172"/>
      <c r="NP24" s="172"/>
      <c r="NQ24" s="172"/>
      <c r="NR24" s="172"/>
      <c r="NS24" s="172"/>
      <c r="NT24" s="172"/>
      <c r="NU24" s="172"/>
      <c r="NV24" s="172"/>
      <c r="NW24" s="172"/>
      <c r="NX24" s="172"/>
      <c r="NY24" s="172"/>
      <c r="NZ24" s="172"/>
      <c r="OA24" s="172"/>
      <c r="OB24" s="172"/>
      <c r="OC24" s="172"/>
      <c r="OD24" s="172"/>
      <c r="OE24" s="172"/>
      <c r="OF24" s="172"/>
      <c r="OG24" s="172"/>
      <c r="OH24" s="172"/>
      <c r="OI24" s="172"/>
      <c r="OJ24" s="172"/>
      <c r="OK24" s="172"/>
      <c r="OL24" s="172"/>
      <c r="OM24" s="172"/>
      <c r="ON24" s="172"/>
      <c r="OO24" s="172"/>
      <c r="OP24" s="172"/>
      <c r="OQ24" s="172"/>
      <c r="OR24" s="172"/>
      <c r="OS24" s="172"/>
      <c r="OT24" s="172"/>
      <c r="OU24" s="172"/>
      <c r="OV24" s="172"/>
      <c r="OW24" s="172"/>
      <c r="OX24" s="172"/>
      <c r="OY24" s="172"/>
      <c r="OZ24" s="172"/>
      <c r="PA24" s="172"/>
      <c r="PB24" s="172"/>
      <c r="PC24" s="172"/>
      <c r="PD24" s="172"/>
      <c r="PE24" s="172"/>
      <c r="PF24" s="172"/>
      <c r="PG24" s="172"/>
      <c r="PH24" s="172"/>
      <c r="PI24" s="172"/>
      <c r="PJ24" s="172"/>
      <c r="PK24" s="172"/>
      <c r="PL24" s="172"/>
      <c r="PM24" s="172"/>
      <c r="PN24" s="172"/>
      <c r="PO24" s="172"/>
      <c r="PP24" s="172"/>
      <c r="PQ24" s="172"/>
      <c r="PR24" s="172"/>
      <c r="PS24" s="172"/>
      <c r="PT24" s="172"/>
      <c r="PU24" s="172"/>
      <c r="PV24" s="172"/>
      <c r="PW24" s="172"/>
      <c r="PX24" s="172"/>
      <c r="PY24" s="172"/>
      <c r="PZ24" s="172"/>
      <c r="QA24" s="172"/>
      <c r="QB24" s="172"/>
      <c r="QC24" s="172"/>
      <c r="QD24" s="172"/>
      <c r="QE24" s="172"/>
      <c r="QF24" s="172"/>
      <c r="QG24" s="172"/>
      <c r="QH24" s="172"/>
      <c r="QI24" s="172"/>
      <c r="QJ24" s="172"/>
      <c r="QK24" s="172"/>
      <c r="QL24" s="172"/>
      <c r="QM24" s="172"/>
      <c r="QN24" s="172"/>
      <c r="QO24" s="172"/>
      <c r="QP24" s="172"/>
      <c r="QQ24" s="172"/>
      <c r="QR24" s="172"/>
      <c r="QS24" s="172"/>
      <c r="QT24" s="172"/>
      <c r="QU24" s="172"/>
      <c r="QV24" s="172"/>
      <c r="QW24" s="172"/>
      <c r="QX24" s="172"/>
      <c r="QY24" s="172"/>
      <c r="QZ24" s="172"/>
      <c r="RA24" s="172"/>
      <c r="RB24" s="172"/>
      <c r="RC24" s="172"/>
      <c r="RD24" s="172"/>
      <c r="RE24" s="172"/>
      <c r="RF24" s="172"/>
      <c r="RG24" s="172"/>
      <c r="RH24" s="172"/>
      <c r="RI24" s="172"/>
      <c r="RJ24" s="172"/>
      <c r="RK24" s="172"/>
      <c r="RL24" s="172"/>
      <c r="RM24" s="172"/>
      <c r="RN24" s="172"/>
      <c r="RO24" s="172"/>
      <c r="RP24" s="172"/>
      <c r="RQ24" s="172"/>
      <c r="RR24" s="172"/>
      <c r="RS24" s="172"/>
      <c r="RT24" s="172"/>
      <c r="RU24" s="172"/>
      <c r="RV24" s="172"/>
      <c r="RW24" s="172"/>
      <c r="RX24" s="172"/>
      <c r="RY24" s="172"/>
      <c r="RZ24" s="172"/>
      <c r="SA24" s="172"/>
      <c r="SB24" s="172"/>
      <c r="SC24" s="172"/>
      <c r="SD24" s="172"/>
      <c r="SE24" s="172"/>
      <c r="SF24" s="172"/>
      <c r="SG24" s="172"/>
      <c r="SH24" s="172"/>
      <c r="SI24" s="172"/>
      <c r="SJ24" s="172"/>
      <c r="SK24" s="172"/>
      <c r="SL24" s="172"/>
      <c r="SM24" s="172"/>
      <c r="SN24" s="172"/>
      <c r="SO24" s="172"/>
      <c r="SP24" s="172"/>
      <c r="SQ24" s="172"/>
      <c r="SR24" s="172"/>
      <c r="SS24" s="172"/>
      <c r="ST24" s="172"/>
      <c r="SU24" s="172"/>
      <c r="SV24" s="172"/>
      <c r="SW24" s="172"/>
      <c r="SX24" s="172"/>
      <c r="SY24" s="172"/>
      <c r="SZ24" s="172"/>
      <c r="TA24" s="172"/>
      <c r="TB24" s="172"/>
      <c r="TC24" s="172"/>
      <c r="TD24" s="172"/>
      <c r="TE24" s="172"/>
      <c r="TF24" s="172"/>
      <c r="TG24" s="172"/>
      <c r="TH24" s="172"/>
      <c r="TI24" s="172"/>
      <c r="TJ24" s="172"/>
      <c r="TK24" s="172"/>
      <c r="TL24" s="172"/>
      <c r="TM24" s="172"/>
      <c r="TN24" s="172"/>
      <c r="TO24" s="172"/>
      <c r="TP24" s="172"/>
      <c r="TQ24" s="172"/>
      <c r="TR24" s="172"/>
      <c r="TS24" s="172"/>
      <c r="TT24" s="172"/>
      <c r="TU24" s="172"/>
      <c r="TV24" s="172"/>
      <c r="TW24" s="172"/>
      <c r="TX24" s="172"/>
      <c r="TY24" s="172"/>
      <c r="TZ24" s="172"/>
      <c r="UA24" s="172"/>
      <c r="UB24" s="172"/>
      <c r="UC24" s="172"/>
      <c r="UD24" s="172"/>
      <c r="UE24" s="172"/>
      <c r="UF24" s="172"/>
      <c r="UG24" s="172"/>
      <c r="UH24" s="172"/>
      <c r="UI24" s="172"/>
      <c r="UJ24" s="172"/>
      <c r="UK24" s="172"/>
      <c r="UL24" s="172"/>
      <c r="UM24" s="172"/>
      <c r="UN24" s="172"/>
      <c r="UO24" s="172"/>
      <c r="UP24" s="172"/>
      <c r="UQ24" s="172"/>
      <c r="UR24" s="172"/>
      <c r="US24" s="172"/>
      <c r="UT24" s="172"/>
      <c r="UU24" s="172"/>
      <c r="UV24" s="172"/>
      <c r="UW24" s="172"/>
      <c r="UX24" s="172"/>
      <c r="UY24" s="172"/>
      <c r="UZ24" s="172"/>
      <c r="VA24" s="172"/>
      <c r="VB24" s="172"/>
      <c r="VC24" s="172"/>
      <c r="VD24" s="172"/>
      <c r="VE24" s="172"/>
      <c r="VF24" s="172"/>
      <c r="VG24" s="172"/>
      <c r="VH24" s="172"/>
      <c r="VI24" s="172"/>
      <c r="VJ24" s="172"/>
      <c r="VK24" s="172"/>
      <c r="VL24" s="172"/>
      <c r="VM24" s="172"/>
      <c r="VN24" s="172"/>
      <c r="VO24" s="172"/>
      <c r="VP24" s="172"/>
      <c r="VQ24" s="172"/>
      <c r="VR24" s="172"/>
      <c r="VS24" s="172"/>
      <c r="VT24" s="172"/>
      <c r="VU24" s="172"/>
      <c r="VV24" s="172"/>
      <c r="VW24" s="172"/>
      <c r="VX24" s="172"/>
      <c r="VY24" s="172"/>
      <c r="VZ24" s="172"/>
      <c r="WA24" s="172"/>
      <c r="WB24" s="172"/>
      <c r="WC24" s="172"/>
      <c r="WD24" s="172"/>
      <c r="WE24" s="172"/>
      <c r="WF24" s="172"/>
      <c r="WG24" s="172"/>
      <c r="WH24" s="172"/>
      <c r="WI24" s="172"/>
      <c r="WJ24" s="172"/>
      <c r="WK24" s="172"/>
      <c r="WL24" s="172"/>
      <c r="WM24" s="172"/>
      <c r="WN24" s="172"/>
      <c r="WO24" s="172"/>
      <c r="WP24" s="172"/>
      <c r="WQ24" s="172"/>
      <c r="WR24" s="172"/>
      <c r="WS24" s="172"/>
      <c r="WT24" s="172"/>
      <c r="WU24" s="172"/>
      <c r="WV24" s="172"/>
      <c r="WW24" s="172"/>
      <c r="WX24" s="172"/>
      <c r="WY24" s="172"/>
      <c r="WZ24" s="172"/>
      <c r="XA24" s="172"/>
      <c r="XB24" s="172"/>
      <c r="XC24" s="172"/>
      <c r="XD24" s="172"/>
      <c r="XE24" s="172"/>
      <c r="XF24" s="172"/>
      <c r="XG24" s="172"/>
      <c r="XH24" s="172"/>
      <c r="XI24" s="172"/>
      <c r="XJ24" s="172"/>
      <c r="XK24" s="172"/>
      <c r="XL24" s="172"/>
      <c r="XM24" s="172"/>
      <c r="XN24" s="172"/>
      <c r="XO24" s="172"/>
      <c r="XP24" s="172"/>
      <c r="XQ24" s="172"/>
      <c r="XR24" s="172"/>
      <c r="XS24" s="172"/>
      <c r="XT24" s="172"/>
      <c r="XU24" s="172"/>
      <c r="XV24" s="172"/>
      <c r="XW24" s="172"/>
      <c r="XX24" s="172"/>
      <c r="XY24" s="172"/>
      <c r="XZ24" s="172"/>
      <c r="YA24" s="172"/>
      <c r="YB24" s="172"/>
      <c r="YC24" s="172"/>
      <c r="YD24" s="172"/>
      <c r="YE24" s="172"/>
      <c r="YF24" s="172"/>
      <c r="YG24" s="172"/>
      <c r="YH24" s="172"/>
      <c r="YI24" s="172"/>
      <c r="YJ24" s="172"/>
      <c r="YK24" s="172"/>
      <c r="YL24" s="172"/>
      <c r="YM24" s="172"/>
      <c r="YN24" s="172"/>
      <c r="YO24" s="172"/>
      <c r="YP24" s="172"/>
      <c r="YQ24" s="172"/>
      <c r="YR24" s="172"/>
      <c r="YS24" s="172"/>
      <c r="YT24" s="172"/>
      <c r="YU24" s="172"/>
      <c r="YV24" s="172"/>
      <c r="YW24" s="172"/>
      <c r="YX24" s="172"/>
      <c r="YY24" s="172"/>
      <c r="YZ24" s="172"/>
      <c r="ZA24" s="172"/>
      <c r="ZB24" s="172"/>
      <c r="ZC24" s="172"/>
      <c r="ZD24" s="172"/>
      <c r="ZE24" s="172"/>
      <c r="ZF24" s="172"/>
      <c r="ZG24" s="172"/>
      <c r="ZH24" s="172"/>
      <c r="ZI24" s="172"/>
      <c r="ZJ24" s="172"/>
      <c r="ZK24" s="172"/>
      <c r="ZL24" s="172"/>
      <c r="ZM24" s="172"/>
      <c r="ZN24" s="172"/>
      <c r="ZO24" s="172"/>
      <c r="ZP24" s="172"/>
      <c r="ZQ24" s="172"/>
      <c r="ZR24" s="172"/>
      <c r="ZS24" s="172"/>
      <c r="ZT24" s="172"/>
      <c r="ZU24" s="172"/>
      <c r="ZV24" s="172"/>
      <c r="ZW24" s="172"/>
      <c r="ZX24" s="172"/>
      <c r="ZY24" s="172"/>
      <c r="ZZ24" s="172"/>
      <c r="AAA24" s="172"/>
      <c r="AAB24" s="172"/>
      <c r="AAC24" s="172"/>
      <c r="AAD24" s="172"/>
      <c r="AAE24" s="172"/>
      <c r="AAF24" s="172"/>
      <c r="AAG24" s="172"/>
      <c r="AAH24" s="172"/>
      <c r="AAI24" s="172"/>
      <c r="AAJ24" s="172"/>
      <c r="AAK24" s="172"/>
      <c r="AAL24" s="172"/>
      <c r="AAM24" s="172"/>
      <c r="AAN24" s="172"/>
      <c r="AAO24" s="172"/>
      <c r="AAP24" s="172"/>
      <c r="AAQ24" s="172"/>
      <c r="AAR24" s="172"/>
      <c r="AAS24" s="172"/>
      <c r="AAT24" s="172"/>
      <c r="AAU24" s="172"/>
      <c r="AAV24" s="172"/>
      <c r="AAW24" s="172"/>
      <c r="AAX24" s="172"/>
      <c r="AAY24" s="172"/>
      <c r="AAZ24" s="172"/>
      <c r="ABA24" s="172"/>
      <c r="ABB24" s="172"/>
      <c r="ABC24" s="172"/>
      <c r="ABD24" s="172"/>
      <c r="ABE24" s="172"/>
      <c r="ABF24" s="172"/>
      <c r="ABG24" s="172"/>
      <c r="ABH24" s="172"/>
      <c r="ABI24" s="172"/>
      <c r="ABJ24" s="172"/>
      <c r="ABK24" s="172"/>
      <c r="ABL24" s="172"/>
      <c r="ABM24" s="172"/>
      <c r="ABN24" s="172"/>
      <c r="ABO24" s="172"/>
      <c r="ABP24" s="172"/>
      <c r="ABQ24" s="172"/>
      <c r="ABR24" s="172"/>
      <c r="ABS24" s="172"/>
      <c r="ABT24" s="172"/>
      <c r="ABU24" s="172"/>
      <c r="ABV24" s="172"/>
      <c r="ABW24" s="172"/>
      <c r="ABX24" s="172"/>
      <c r="ABY24" s="172"/>
      <c r="ABZ24" s="172"/>
      <c r="ACA24" s="172"/>
      <c r="ACB24" s="172"/>
      <c r="ACC24" s="172"/>
      <c r="ACD24" s="172"/>
      <c r="ACE24" s="172"/>
      <c r="ACF24" s="172"/>
      <c r="ACG24" s="172"/>
      <c r="ACH24" s="172"/>
      <c r="ACI24" s="172"/>
      <c r="ACJ24" s="172"/>
      <c r="ACK24" s="172"/>
      <c r="ACL24" s="172"/>
      <c r="ACM24" s="172"/>
      <c r="ACN24" s="172"/>
      <c r="ACO24" s="172"/>
      <c r="ACP24" s="172"/>
      <c r="ACQ24" s="172"/>
      <c r="ACR24" s="172"/>
      <c r="ACS24" s="172"/>
      <c r="ACT24" s="172"/>
      <c r="ACU24" s="172"/>
      <c r="ACV24" s="172"/>
      <c r="ACW24" s="172"/>
      <c r="ACX24" s="172"/>
      <c r="ACY24" s="172"/>
      <c r="ACZ24" s="172"/>
      <c r="ADA24" s="172"/>
      <c r="ADB24" s="172"/>
      <c r="ADC24" s="172"/>
      <c r="ADD24" s="172"/>
      <c r="ADE24" s="172"/>
      <c r="ADF24" s="172"/>
      <c r="ADG24" s="172"/>
      <c r="ADH24" s="172"/>
      <c r="ADI24" s="172"/>
      <c r="ADJ24" s="172"/>
      <c r="ADK24" s="172"/>
      <c r="ADL24" s="172"/>
      <c r="ADM24" s="172"/>
      <c r="ADN24" s="172"/>
      <c r="ADO24" s="172"/>
      <c r="ADP24" s="172"/>
      <c r="ADQ24" s="172"/>
      <c r="ADR24" s="172"/>
      <c r="ADS24" s="172"/>
      <c r="ADT24" s="172"/>
      <c r="ADU24" s="172"/>
      <c r="ADV24" s="172"/>
      <c r="ADW24" s="172"/>
      <c r="ADX24" s="172"/>
      <c r="ADY24" s="172"/>
      <c r="ADZ24" s="172"/>
      <c r="AEA24" s="172"/>
      <c r="AEB24" s="172"/>
      <c r="AEC24" s="172"/>
      <c r="AED24" s="172"/>
      <c r="AEE24" s="172"/>
      <c r="AEF24" s="172"/>
      <c r="AEG24" s="172"/>
      <c r="AEH24" s="172"/>
      <c r="AEI24" s="172"/>
      <c r="AEJ24" s="172"/>
      <c r="AEK24" s="172"/>
      <c r="AEL24" s="172"/>
      <c r="AEM24" s="172"/>
      <c r="AEN24" s="172"/>
      <c r="AEO24" s="172"/>
      <c r="AEP24" s="172"/>
      <c r="AEQ24" s="172"/>
      <c r="AER24" s="172"/>
      <c r="AES24" s="172"/>
      <c r="AET24" s="172"/>
      <c r="AEU24" s="172"/>
      <c r="AEV24" s="172"/>
      <c r="AEW24" s="172"/>
      <c r="AEX24" s="172"/>
      <c r="AEY24" s="172"/>
      <c r="AEZ24" s="172"/>
      <c r="AFA24" s="172"/>
      <c r="AFB24" s="172"/>
      <c r="AFC24" s="172"/>
      <c r="AFD24" s="172"/>
      <c r="AFE24" s="172"/>
      <c r="AFF24" s="172"/>
      <c r="AFG24" s="172"/>
      <c r="AFH24" s="172"/>
      <c r="AFI24" s="172"/>
      <c r="AFJ24" s="172"/>
      <c r="AFK24" s="172"/>
      <c r="AFL24" s="172"/>
      <c r="AFM24" s="172"/>
      <c r="AFN24" s="172"/>
      <c r="AFO24" s="172"/>
      <c r="AFP24" s="172"/>
      <c r="AFQ24" s="172"/>
      <c r="AFR24" s="172"/>
      <c r="AFS24" s="172"/>
      <c r="AFT24" s="172"/>
      <c r="AFU24" s="172"/>
      <c r="AFV24" s="172"/>
      <c r="AFW24" s="172"/>
      <c r="AFX24" s="172"/>
      <c r="AFY24" s="172"/>
      <c r="AFZ24" s="172"/>
      <c r="AGA24" s="172"/>
      <c r="AGB24" s="172"/>
      <c r="AGC24" s="172"/>
      <c r="AGD24" s="172"/>
      <c r="AGE24" s="172"/>
      <c r="AGF24" s="172"/>
      <c r="AGG24" s="172"/>
      <c r="AGH24" s="172"/>
      <c r="AGI24" s="172"/>
      <c r="AGJ24" s="172"/>
      <c r="AGK24" s="172"/>
      <c r="AGL24" s="172"/>
      <c r="AGM24" s="172"/>
      <c r="AGN24" s="172"/>
      <c r="AGO24" s="172"/>
      <c r="AGP24" s="172"/>
      <c r="AGQ24" s="172"/>
      <c r="AGR24" s="172"/>
      <c r="AGS24" s="172"/>
      <c r="AGT24" s="172"/>
      <c r="AGU24" s="172"/>
      <c r="AGV24" s="172"/>
      <c r="AGW24" s="172"/>
      <c r="AGX24" s="172"/>
      <c r="AGY24" s="172"/>
      <c r="AGZ24" s="172"/>
      <c r="AHA24" s="172"/>
      <c r="AHB24" s="172"/>
      <c r="AHC24" s="172"/>
      <c r="AHD24" s="172"/>
      <c r="AHE24" s="172"/>
      <c r="AHF24" s="172"/>
      <c r="AHG24" s="172"/>
      <c r="AHH24" s="172"/>
      <c r="AHI24" s="172"/>
      <c r="AHJ24" s="172"/>
      <c r="AHK24" s="172"/>
      <c r="AHL24" s="172"/>
      <c r="AHM24" s="172"/>
      <c r="AHN24" s="172"/>
      <c r="AHO24" s="172"/>
      <c r="AHP24" s="172"/>
      <c r="AHQ24" s="172"/>
      <c r="AHR24" s="172"/>
      <c r="AHS24" s="172"/>
      <c r="AHT24" s="172"/>
      <c r="AHU24" s="172"/>
      <c r="AHV24" s="172"/>
      <c r="AHW24" s="172"/>
      <c r="AHX24" s="172"/>
      <c r="AHY24" s="172"/>
      <c r="AHZ24" s="172"/>
      <c r="AIA24" s="172"/>
      <c r="AIB24" s="172"/>
      <c r="AIC24" s="172"/>
      <c r="AID24" s="172"/>
      <c r="AIE24" s="172"/>
      <c r="AIF24" s="172"/>
      <c r="AIG24" s="172"/>
      <c r="AIH24" s="172"/>
      <c r="AII24" s="172"/>
      <c r="AIJ24" s="172"/>
      <c r="AIK24" s="172"/>
      <c r="AIL24" s="172"/>
      <c r="AIM24" s="172"/>
      <c r="AIN24" s="172"/>
      <c r="AIO24" s="172"/>
      <c r="AIP24" s="172"/>
      <c r="AIQ24" s="172"/>
      <c r="AIR24" s="172"/>
      <c r="AIS24" s="172"/>
      <c r="AIT24" s="172"/>
      <c r="AIU24" s="172"/>
      <c r="AIV24" s="172"/>
      <c r="AIW24" s="172"/>
      <c r="AIX24" s="172"/>
      <c r="AIY24" s="172"/>
      <c r="AIZ24" s="172"/>
      <c r="AJA24" s="172"/>
      <c r="AJB24" s="172"/>
      <c r="AJC24" s="172"/>
      <c r="AJD24" s="172"/>
      <c r="AJE24" s="172"/>
      <c r="AJF24" s="172"/>
      <c r="AJG24" s="172"/>
      <c r="AJH24" s="172"/>
      <c r="AJI24" s="172"/>
      <c r="AJJ24" s="172"/>
      <c r="AJK24" s="172"/>
      <c r="AJL24" s="172"/>
      <c r="AJM24" s="172"/>
      <c r="AJN24" s="172"/>
      <c r="AJO24" s="172"/>
      <c r="AJP24" s="172"/>
      <c r="AJQ24" s="172"/>
      <c r="AJR24" s="172"/>
      <c r="AJS24" s="172"/>
      <c r="AJT24" s="172"/>
      <c r="AJU24" s="172"/>
      <c r="AJV24" s="172"/>
      <c r="AJW24" s="172"/>
      <c r="AJX24" s="172"/>
      <c r="AJY24" s="172"/>
      <c r="AJZ24" s="172"/>
      <c r="AKA24" s="172"/>
      <c r="AKB24" s="172"/>
      <c r="AKC24" s="172"/>
      <c r="AKD24" s="172"/>
      <c r="AKE24" s="172"/>
      <c r="AKF24" s="172"/>
      <c r="AKG24" s="172"/>
      <c r="AKH24" s="172"/>
      <c r="AKI24" s="172"/>
      <c r="AKJ24" s="172"/>
      <c r="AKK24" s="172"/>
      <c r="AKL24" s="172"/>
      <c r="AKM24" s="172"/>
      <c r="AKN24" s="172"/>
      <c r="AKO24" s="172"/>
      <c r="AKP24" s="172"/>
      <c r="AKQ24" s="172"/>
      <c r="AKR24" s="172"/>
      <c r="AKS24" s="172"/>
      <c r="AKT24" s="172"/>
      <c r="AKU24" s="172"/>
      <c r="AKV24" s="172"/>
      <c r="AKW24" s="172"/>
      <c r="AKX24" s="172"/>
      <c r="AKY24" s="172"/>
      <c r="AKZ24" s="172"/>
      <c r="ALA24" s="172"/>
      <c r="ALB24" s="172"/>
      <c r="ALC24" s="172"/>
      <c r="ALD24" s="172"/>
      <c r="ALE24" s="172"/>
      <c r="ALF24" s="172"/>
      <c r="ALG24" s="172"/>
      <c r="ALH24" s="172"/>
      <c r="ALI24" s="172"/>
      <c r="ALJ24" s="172"/>
      <c r="ALK24" s="172"/>
      <c r="ALL24" s="172"/>
      <c r="ALM24" s="172"/>
      <c r="ALN24" s="172"/>
      <c r="ALO24" s="172"/>
      <c r="ALP24" s="172"/>
      <c r="ALQ24" s="172"/>
      <c r="ALR24" s="172"/>
      <c r="ALS24" s="172"/>
      <c r="ALT24" s="172"/>
      <c r="ALU24" s="172"/>
      <c r="ALV24" s="172"/>
      <c r="ALW24" s="172"/>
      <c r="ALX24" s="172"/>
      <c r="ALY24" s="172"/>
      <c r="ALZ24" s="172"/>
      <c r="AMA24" s="172"/>
      <c r="AMB24" s="172"/>
      <c r="AMC24" s="172"/>
      <c r="AMD24" s="172"/>
      <c r="AME24" s="172"/>
      <c r="AMF24" s="172"/>
      <c r="AMG24" s="172"/>
      <c r="AMH24" s="172"/>
      <c r="AMI24" s="172"/>
      <c r="AMJ24" s="172"/>
      <c r="AMK24" s="172"/>
      <c r="AML24" s="172"/>
      <c r="AMM24" s="172"/>
      <c r="AMN24" s="172"/>
      <c r="AMO24" s="172"/>
      <c r="AMP24" s="172"/>
      <c r="AMQ24" s="172"/>
      <c r="AMR24" s="172"/>
      <c r="AMS24" s="172"/>
      <c r="AMT24" s="172"/>
      <c r="AMU24" s="172"/>
      <c r="AMV24" s="172"/>
      <c r="AMW24" s="172"/>
      <c r="AMX24" s="172"/>
      <c r="AMY24" s="172"/>
      <c r="AMZ24" s="172"/>
      <c r="ANA24" s="172"/>
      <c r="ANB24" s="172"/>
      <c r="ANC24" s="172"/>
      <c r="AND24" s="172"/>
      <c r="ANE24" s="172"/>
      <c r="ANF24" s="172"/>
      <c r="ANG24" s="172"/>
      <c r="ANH24" s="172"/>
      <c r="ANI24" s="172"/>
      <c r="ANJ24" s="172"/>
      <c r="ANK24" s="172"/>
      <c r="ANL24" s="172"/>
      <c r="ANM24" s="172"/>
      <c r="ANN24" s="172"/>
      <c r="ANO24" s="172"/>
      <c r="ANP24" s="172"/>
      <c r="ANQ24" s="172"/>
      <c r="ANR24" s="172"/>
      <c r="ANS24" s="172"/>
      <c r="ANT24" s="172"/>
      <c r="ANU24" s="172"/>
      <c r="ANV24" s="172"/>
      <c r="ANW24" s="172"/>
      <c r="ANX24" s="172"/>
      <c r="ANY24" s="172"/>
      <c r="ANZ24" s="172"/>
      <c r="AOA24" s="172"/>
      <c r="AOB24" s="172"/>
      <c r="AOC24" s="172"/>
      <c r="AOD24" s="172"/>
      <c r="AOE24" s="172"/>
      <c r="AOF24" s="172"/>
      <c r="AOG24" s="172"/>
      <c r="AOH24" s="172"/>
      <c r="AOI24" s="172"/>
      <c r="AOJ24" s="172"/>
      <c r="AOK24" s="172"/>
      <c r="AOL24" s="172"/>
      <c r="AOM24" s="172"/>
      <c r="AON24" s="172"/>
      <c r="AOO24" s="172"/>
      <c r="AOP24" s="172"/>
      <c r="AOQ24" s="172"/>
      <c r="AOR24" s="172"/>
      <c r="AOS24" s="172"/>
      <c r="AOT24" s="172"/>
      <c r="AOU24" s="172"/>
      <c r="AOV24" s="172"/>
      <c r="AOW24" s="172"/>
      <c r="AOX24" s="172"/>
      <c r="AOY24" s="172"/>
      <c r="AOZ24" s="172"/>
      <c r="APA24" s="172"/>
      <c r="APB24" s="172"/>
      <c r="APC24" s="172"/>
      <c r="APD24" s="172"/>
      <c r="APE24" s="172"/>
      <c r="APF24" s="172"/>
      <c r="APG24" s="172"/>
      <c r="APH24" s="172"/>
      <c r="API24" s="172"/>
      <c r="APJ24" s="172"/>
      <c r="APK24" s="172"/>
      <c r="APL24" s="172"/>
      <c r="APM24" s="172"/>
      <c r="APN24" s="172"/>
      <c r="APO24" s="172"/>
      <c r="APP24" s="172"/>
      <c r="APQ24" s="172"/>
      <c r="APR24" s="172"/>
      <c r="APS24" s="172"/>
      <c r="APT24" s="172"/>
      <c r="APU24" s="172"/>
      <c r="APV24" s="172"/>
      <c r="APW24" s="172"/>
      <c r="APX24" s="172"/>
      <c r="APY24" s="172"/>
      <c r="APZ24" s="172"/>
      <c r="AQA24" s="172"/>
      <c r="AQB24" s="172"/>
      <c r="AQC24" s="172"/>
      <c r="AQD24" s="172"/>
      <c r="AQE24" s="172"/>
      <c r="AQF24" s="172"/>
      <c r="AQG24" s="172"/>
      <c r="AQH24" s="172"/>
      <c r="AQI24" s="172"/>
      <c r="AQJ24" s="172"/>
      <c r="AQK24" s="172"/>
      <c r="AQL24" s="172"/>
      <c r="AQM24" s="172"/>
      <c r="AQN24" s="172"/>
      <c r="AQO24" s="172"/>
      <c r="AQP24" s="172"/>
      <c r="AQQ24" s="172"/>
      <c r="AQR24" s="172"/>
      <c r="AQS24" s="172"/>
      <c r="AQT24" s="172"/>
      <c r="AQU24" s="172"/>
      <c r="AQV24" s="172"/>
      <c r="AQW24" s="172"/>
      <c r="AQX24" s="172"/>
      <c r="AQY24" s="172"/>
      <c r="AQZ24" s="172"/>
      <c r="ARA24" s="172"/>
      <c r="ARB24" s="172"/>
      <c r="ARC24" s="172"/>
      <c r="ARD24" s="172"/>
      <c r="ARE24" s="172"/>
      <c r="ARF24" s="172"/>
      <c r="ARG24" s="172"/>
      <c r="ARH24" s="172"/>
      <c r="ARI24" s="172"/>
      <c r="ARJ24" s="172"/>
      <c r="ARK24" s="172"/>
      <c r="ARL24" s="172"/>
      <c r="ARM24" s="172"/>
      <c r="ARN24" s="172"/>
      <c r="ARO24" s="172"/>
      <c r="ARP24" s="172"/>
      <c r="ARQ24" s="172"/>
      <c r="ARR24" s="172"/>
      <c r="ARS24" s="172"/>
      <c r="ART24" s="172"/>
      <c r="ARU24" s="172"/>
    </row>
    <row r="25" spans="1:1165" s="257" customFormat="1">
      <c r="A25" s="222" t="s">
        <v>168</v>
      </c>
      <c r="B25" s="195" t="s">
        <v>87</v>
      </c>
      <c r="C25" s="258">
        <v>154913</v>
      </c>
      <c r="D25" s="258">
        <v>33496645</v>
      </c>
      <c r="E25" s="258">
        <v>0</v>
      </c>
      <c r="F25" s="258">
        <v>0</v>
      </c>
      <c r="G25" s="258">
        <v>0</v>
      </c>
      <c r="H25" s="258">
        <v>0</v>
      </c>
      <c r="I25" s="258">
        <v>0</v>
      </c>
      <c r="J25" s="258">
        <v>0</v>
      </c>
      <c r="K25" s="258">
        <v>0</v>
      </c>
      <c r="L25" s="258">
        <v>0</v>
      </c>
      <c r="M25" s="258">
        <v>0</v>
      </c>
      <c r="N25" s="258">
        <v>0</v>
      </c>
      <c r="O25" s="258">
        <v>0</v>
      </c>
      <c r="P25" s="258">
        <v>0</v>
      </c>
      <c r="Q25" s="258">
        <v>0</v>
      </c>
      <c r="R25" s="258">
        <v>0</v>
      </c>
      <c r="S25" s="258">
        <v>0</v>
      </c>
      <c r="T25" s="258">
        <v>0</v>
      </c>
      <c r="U25" s="258">
        <v>0</v>
      </c>
      <c r="V25" s="258">
        <v>0</v>
      </c>
      <c r="W25" s="258">
        <v>0</v>
      </c>
      <c r="X25" s="258">
        <v>0</v>
      </c>
      <c r="Y25" s="258">
        <v>0</v>
      </c>
      <c r="Z25" s="258">
        <v>0</v>
      </c>
      <c r="AA25" s="258">
        <v>0</v>
      </c>
      <c r="AB25" s="258">
        <v>0</v>
      </c>
      <c r="AC25" s="258">
        <v>0</v>
      </c>
      <c r="AD25" s="258">
        <v>0</v>
      </c>
      <c r="AE25" s="258">
        <v>0</v>
      </c>
      <c r="AF25" s="258">
        <v>0</v>
      </c>
      <c r="AG25" s="258">
        <v>0</v>
      </c>
      <c r="AH25" s="258">
        <v>0</v>
      </c>
      <c r="AI25" s="258">
        <v>0</v>
      </c>
      <c r="AJ25" s="258">
        <v>0</v>
      </c>
      <c r="AK25" s="258">
        <v>0</v>
      </c>
      <c r="AL25" s="258">
        <v>0</v>
      </c>
      <c r="AM25" s="258">
        <v>0</v>
      </c>
      <c r="AN25" s="258">
        <v>0</v>
      </c>
      <c r="AO25" s="258">
        <v>0</v>
      </c>
      <c r="AP25" s="258">
        <v>0</v>
      </c>
      <c r="AQ25" s="258">
        <v>0</v>
      </c>
      <c r="AR25" s="258">
        <v>0</v>
      </c>
      <c r="AS25" s="258">
        <v>0</v>
      </c>
      <c r="AT25" s="258">
        <v>0</v>
      </c>
      <c r="AU25" s="258">
        <v>0</v>
      </c>
      <c r="AV25" s="258">
        <v>0</v>
      </c>
      <c r="AW25" s="258">
        <v>0</v>
      </c>
      <c r="AX25" s="258">
        <v>0</v>
      </c>
      <c r="AY25" s="224">
        <v>0</v>
      </c>
      <c r="AZ25" s="224">
        <v>0</v>
      </c>
      <c r="BA25" s="227"/>
      <c r="BB25" s="258"/>
      <c r="BC25" s="258"/>
      <c r="BD25" s="258"/>
      <c r="BE25" s="258"/>
      <c r="BF25" s="258"/>
      <c r="BG25" s="258"/>
      <c r="BH25" s="258"/>
      <c r="BI25" s="227"/>
      <c r="BJ25" s="258">
        <f t="shared" si="50"/>
        <v>154913</v>
      </c>
      <c r="BK25" s="258">
        <f>D25+H25+J25+L25+N25+P25+R25+T25+V25+X25+Z25+AB25+AD25+AF25+AH25+AJ25+AL25+AN25+AP25+AR25+AT25+AV25+AX25+AZ25+BD25+BH25</f>
        <v>33496645</v>
      </c>
      <c r="BL25" s="172"/>
      <c r="BM25" s="231"/>
      <c r="BN25" s="231"/>
      <c r="BO25" s="231"/>
      <c r="BP25" s="231"/>
      <c r="BQ25" s="172"/>
      <c r="BR25" s="172"/>
      <c r="BS25" s="172"/>
      <c r="BT25" s="172"/>
      <c r="BU25" s="172"/>
      <c r="BV25" s="172"/>
      <c r="BW25" s="172"/>
      <c r="BX25" s="172"/>
      <c r="BY25" s="172"/>
      <c r="BZ25" s="172"/>
      <c r="CA25" s="172"/>
      <c r="CB25" s="172"/>
      <c r="CC25" s="172"/>
      <c r="CD25" s="172"/>
      <c r="CE25" s="172"/>
      <c r="CF25" s="172"/>
      <c r="CG25" s="172"/>
      <c r="CH25" s="172"/>
      <c r="CI25" s="172"/>
      <c r="CJ25" s="172"/>
      <c r="CK25" s="172"/>
      <c r="CL25" s="172"/>
      <c r="CM25" s="172"/>
      <c r="CN25" s="172"/>
      <c r="CO25" s="172"/>
      <c r="CP25" s="172"/>
      <c r="CQ25" s="172"/>
      <c r="CR25" s="172"/>
      <c r="CS25" s="172"/>
      <c r="CT25" s="172"/>
      <c r="CU25" s="172"/>
      <c r="CV25" s="172"/>
      <c r="CW25" s="172"/>
      <c r="CX25" s="172"/>
      <c r="CY25" s="172"/>
      <c r="CZ25" s="172"/>
      <c r="DA25" s="172"/>
      <c r="DB25" s="172"/>
      <c r="DC25" s="172"/>
      <c r="DD25" s="172"/>
      <c r="DE25" s="172"/>
      <c r="DF25" s="172"/>
      <c r="DG25" s="172"/>
      <c r="DH25" s="172"/>
      <c r="DI25" s="172"/>
      <c r="DJ25" s="172"/>
      <c r="DK25" s="172"/>
      <c r="DL25" s="172"/>
      <c r="DM25" s="172"/>
      <c r="DN25" s="172"/>
      <c r="DO25" s="172"/>
      <c r="DP25" s="172"/>
      <c r="DQ25" s="172"/>
      <c r="DR25" s="172"/>
      <c r="DS25" s="172"/>
      <c r="DT25" s="172"/>
      <c r="DU25" s="172"/>
      <c r="DV25" s="172"/>
      <c r="DW25" s="172"/>
      <c r="DX25" s="172"/>
      <c r="DY25" s="172"/>
      <c r="DZ25" s="172"/>
      <c r="EA25" s="172"/>
      <c r="EB25" s="172"/>
      <c r="EC25" s="172"/>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2"/>
      <c r="FF25" s="172"/>
      <c r="FG25" s="172"/>
      <c r="FH25" s="172"/>
      <c r="FI25" s="172"/>
      <c r="FJ25" s="172"/>
      <c r="FK25" s="172"/>
      <c r="FL25" s="172"/>
      <c r="FM25" s="172"/>
      <c r="FN25" s="172"/>
      <c r="FO25" s="172"/>
      <c r="FP25" s="172"/>
      <c r="FQ25" s="172"/>
      <c r="FR25" s="172"/>
      <c r="FS25" s="172"/>
      <c r="FT25" s="172"/>
      <c r="FU25" s="172"/>
      <c r="FV25" s="172"/>
      <c r="FW25" s="172"/>
      <c r="FX25" s="172"/>
      <c r="FY25" s="172"/>
      <c r="FZ25" s="172"/>
      <c r="GA25" s="172"/>
      <c r="GB25" s="172"/>
      <c r="GC25" s="172"/>
      <c r="GD25" s="172"/>
      <c r="GE25" s="172"/>
      <c r="GF25" s="172"/>
      <c r="GG25" s="172"/>
      <c r="GH25" s="172"/>
      <c r="GI25" s="172"/>
      <c r="GJ25" s="172"/>
      <c r="GK25" s="172"/>
      <c r="GL25" s="172"/>
      <c r="GM25" s="172"/>
      <c r="GN25" s="172"/>
      <c r="GO25" s="172"/>
      <c r="GP25" s="172"/>
      <c r="GQ25" s="172"/>
      <c r="GR25" s="172"/>
      <c r="GS25" s="172"/>
      <c r="GT25" s="172"/>
      <c r="GU25" s="172"/>
      <c r="GV25" s="172"/>
      <c r="GW25" s="172"/>
      <c r="GX25" s="172"/>
      <c r="GY25" s="172"/>
      <c r="GZ25" s="172"/>
      <c r="HA25" s="172"/>
      <c r="HB25" s="172"/>
      <c r="HC25" s="172"/>
      <c r="HD25" s="172"/>
      <c r="HE25" s="172"/>
      <c r="HF25" s="172"/>
      <c r="HG25" s="172"/>
      <c r="HH25" s="172"/>
      <c r="HI25" s="172"/>
      <c r="HJ25" s="172"/>
      <c r="HK25" s="172"/>
      <c r="HL25" s="172"/>
      <c r="HM25" s="172"/>
      <c r="HN25" s="172"/>
      <c r="HO25" s="172"/>
      <c r="HP25" s="172"/>
      <c r="HQ25" s="172"/>
      <c r="HR25" s="172"/>
      <c r="HS25" s="172"/>
      <c r="HT25" s="172"/>
      <c r="HU25" s="172"/>
      <c r="HV25" s="172"/>
      <c r="HW25" s="172"/>
      <c r="HX25" s="172"/>
      <c r="HY25" s="172"/>
      <c r="HZ25" s="172"/>
      <c r="IA25" s="172"/>
      <c r="IB25" s="172"/>
      <c r="IC25" s="172"/>
      <c r="ID25" s="172"/>
      <c r="IE25" s="172"/>
      <c r="IF25" s="172"/>
      <c r="IG25" s="172"/>
      <c r="IH25" s="172"/>
      <c r="II25" s="172"/>
      <c r="IJ25" s="172"/>
      <c r="IK25" s="172"/>
      <c r="IL25" s="172"/>
      <c r="IM25" s="172"/>
      <c r="IN25" s="172"/>
      <c r="IO25" s="172"/>
      <c r="IP25" s="172"/>
      <c r="IQ25" s="172"/>
      <c r="IR25" s="172"/>
      <c r="IS25" s="172"/>
      <c r="IT25" s="172"/>
      <c r="IU25" s="172"/>
      <c r="IV25" s="172"/>
      <c r="IW25" s="172"/>
      <c r="IX25" s="172"/>
      <c r="IY25" s="172"/>
      <c r="IZ25" s="172"/>
      <c r="JA25" s="172"/>
      <c r="JB25" s="172"/>
      <c r="JC25" s="172"/>
      <c r="JD25" s="172"/>
      <c r="JE25" s="172"/>
      <c r="JF25" s="172"/>
      <c r="JG25" s="172"/>
      <c r="JH25" s="172"/>
      <c r="JI25" s="172"/>
      <c r="JJ25" s="172"/>
      <c r="JK25" s="172"/>
      <c r="JL25" s="172"/>
      <c r="JM25" s="172"/>
      <c r="JN25" s="172"/>
      <c r="JO25" s="172"/>
      <c r="JP25" s="172"/>
      <c r="JQ25" s="172"/>
      <c r="JR25" s="172"/>
      <c r="JS25" s="172"/>
      <c r="JT25" s="172"/>
      <c r="JU25" s="172"/>
      <c r="JV25" s="172"/>
      <c r="JW25" s="172"/>
      <c r="JX25" s="172"/>
      <c r="JY25" s="172"/>
      <c r="JZ25" s="172"/>
      <c r="KA25" s="172"/>
      <c r="KB25" s="172"/>
      <c r="KC25" s="172"/>
      <c r="KD25" s="172"/>
      <c r="KE25" s="172"/>
      <c r="KF25" s="172"/>
      <c r="KG25" s="172"/>
      <c r="KH25" s="172"/>
      <c r="KI25" s="172"/>
      <c r="KJ25" s="172"/>
      <c r="KK25" s="172"/>
      <c r="KL25" s="172"/>
      <c r="KM25" s="172"/>
      <c r="KN25" s="172"/>
      <c r="KO25" s="172"/>
      <c r="KP25" s="172"/>
      <c r="KQ25" s="172"/>
      <c r="KR25" s="172"/>
      <c r="KS25" s="172"/>
      <c r="KT25" s="172"/>
      <c r="KU25" s="172"/>
      <c r="KV25" s="172"/>
      <c r="KW25" s="172"/>
      <c r="KX25" s="172"/>
      <c r="KY25" s="172"/>
      <c r="KZ25" s="172"/>
      <c r="LA25" s="172"/>
      <c r="LB25" s="172"/>
      <c r="LC25" s="172"/>
      <c r="LD25" s="172"/>
      <c r="LE25" s="172"/>
      <c r="LF25" s="172"/>
      <c r="LG25" s="172"/>
      <c r="LH25" s="172"/>
      <c r="LI25" s="172"/>
      <c r="LJ25" s="172"/>
      <c r="LK25" s="172"/>
      <c r="LL25" s="172"/>
      <c r="LM25" s="172"/>
      <c r="LN25" s="172"/>
      <c r="LO25" s="172"/>
      <c r="LP25" s="172"/>
      <c r="LQ25" s="172"/>
      <c r="LR25" s="172"/>
      <c r="LS25" s="172"/>
      <c r="LT25" s="172"/>
      <c r="LU25" s="172"/>
      <c r="LV25" s="172"/>
      <c r="LW25" s="172"/>
      <c r="LX25" s="172"/>
      <c r="LY25" s="172"/>
      <c r="LZ25" s="172"/>
      <c r="MA25" s="172"/>
      <c r="MB25" s="172"/>
      <c r="MC25" s="172"/>
      <c r="MD25" s="172"/>
      <c r="ME25" s="172"/>
      <c r="MF25" s="172"/>
      <c r="MG25" s="172"/>
      <c r="MH25" s="172"/>
      <c r="MI25" s="172"/>
      <c r="MJ25" s="172"/>
      <c r="MK25" s="172"/>
      <c r="ML25" s="172"/>
      <c r="MM25" s="172"/>
      <c r="MN25" s="172"/>
      <c r="MO25" s="172"/>
      <c r="MP25" s="172"/>
      <c r="MQ25" s="172"/>
      <c r="MR25" s="172"/>
      <c r="MS25" s="172"/>
      <c r="MT25" s="172"/>
      <c r="MU25" s="172"/>
      <c r="MV25" s="172"/>
      <c r="MW25" s="172"/>
      <c r="MX25" s="172"/>
      <c r="MY25" s="172"/>
      <c r="MZ25" s="172"/>
      <c r="NA25" s="172"/>
      <c r="NB25" s="172"/>
      <c r="NC25" s="172"/>
      <c r="ND25" s="172"/>
      <c r="NE25" s="172"/>
      <c r="NF25" s="172"/>
      <c r="NG25" s="172"/>
      <c r="NH25" s="172"/>
      <c r="NI25" s="172"/>
      <c r="NJ25" s="172"/>
      <c r="NK25" s="172"/>
      <c r="NL25" s="172"/>
      <c r="NM25" s="172"/>
      <c r="NN25" s="172"/>
      <c r="NO25" s="172"/>
      <c r="NP25" s="172"/>
      <c r="NQ25" s="172"/>
      <c r="NR25" s="172"/>
      <c r="NS25" s="172"/>
      <c r="NT25" s="172"/>
      <c r="NU25" s="172"/>
      <c r="NV25" s="172"/>
      <c r="NW25" s="172"/>
      <c r="NX25" s="172"/>
      <c r="NY25" s="172"/>
      <c r="NZ25" s="172"/>
      <c r="OA25" s="172"/>
      <c r="OB25" s="172"/>
      <c r="OC25" s="172"/>
      <c r="OD25" s="172"/>
      <c r="OE25" s="172"/>
      <c r="OF25" s="172"/>
      <c r="OG25" s="172"/>
      <c r="OH25" s="172"/>
      <c r="OI25" s="172"/>
      <c r="OJ25" s="172"/>
      <c r="OK25" s="172"/>
      <c r="OL25" s="172"/>
      <c r="OM25" s="172"/>
      <c r="ON25" s="172"/>
      <c r="OO25" s="172"/>
      <c r="OP25" s="172"/>
      <c r="OQ25" s="172"/>
      <c r="OR25" s="172"/>
      <c r="OS25" s="172"/>
      <c r="OT25" s="172"/>
      <c r="OU25" s="172"/>
      <c r="OV25" s="172"/>
      <c r="OW25" s="172"/>
      <c r="OX25" s="172"/>
      <c r="OY25" s="172"/>
      <c r="OZ25" s="172"/>
      <c r="PA25" s="172"/>
      <c r="PB25" s="172"/>
      <c r="PC25" s="172"/>
      <c r="PD25" s="172"/>
      <c r="PE25" s="172"/>
      <c r="PF25" s="172"/>
      <c r="PG25" s="172"/>
      <c r="PH25" s="172"/>
      <c r="PI25" s="172"/>
      <c r="PJ25" s="172"/>
      <c r="PK25" s="172"/>
      <c r="PL25" s="172"/>
      <c r="PM25" s="172"/>
      <c r="PN25" s="172"/>
      <c r="PO25" s="172"/>
      <c r="PP25" s="172"/>
      <c r="PQ25" s="172"/>
      <c r="PR25" s="172"/>
      <c r="PS25" s="172"/>
      <c r="PT25" s="172"/>
      <c r="PU25" s="172"/>
      <c r="PV25" s="172"/>
      <c r="PW25" s="172"/>
      <c r="PX25" s="172"/>
      <c r="PY25" s="172"/>
      <c r="PZ25" s="172"/>
      <c r="QA25" s="172"/>
      <c r="QB25" s="172"/>
      <c r="QC25" s="172"/>
      <c r="QD25" s="172"/>
      <c r="QE25" s="172"/>
      <c r="QF25" s="172"/>
      <c r="QG25" s="172"/>
      <c r="QH25" s="172"/>
      <c r="QI25" s="172"/>
      <c r="QJ25" s="172"/>
      <c r="QK25" s="172"/>
      <c r="QL25" s="172"/>
      <c r="QM25" s="172"/>
      <c r="QN25" s="172"/>
      <c r="QO25" s="172"/>
      <c r="QP25" s="172"/>
      <c r="QQ25" s="172"/>
      <c r="QR25" s="172"/>
      <c r="QS25" s="172"/>
      <c r="QT25" s="172"/>
      <c r="QU25" s="172"/>
      <c r="QV25" s="172"/>
      <c r="QW25" s="172"/>
      <c r="QX25" s="172"/>
      <c r="QY25" s="172"/>
      <c r="QZ25" s="172"/>
      <c r="RA25" s="172"/>
      <c r="RB25" s="172"/>
      <c r="RC25" s="172"/>
      <c r="RD25" s="172"/>
      <c r="RE25" s="172"/>
      <c r="RF25" s="172"/>
      <c r="RG25" s="172"/>
      <c r="RH25" s="172"/>
      <c r="RI25" s="172"/>
      <c r="RJ25" s="172"/>
      <c r="RK25" s="172"/>
      <c r="RL25" s="172"/>
      <c r="RM25" s="172"/>
      <c r="RN25" s="172"/>
      <c r="RO25" s="172"/>
      <c r="RP25" s="172"/>
      <c r="RQ25" s="172"/>
      <c r="RR25" s="172"/>
      <c r="RS25" s="172"/>
      <c r="RT25" s="172"/>
      <c r="RU25" s="172"/>
      <c r="RV25" s="172"/>
      <c r="RW25" s="172"/>
      <c r="RX25" s="172"/>
      <c r="RY25" s="172"/>
      <c r="RZ25" s="172"/>
      <c r="SA25" s="172"/>
      <c r="SB25" s="172"/>
      <c r="SC25" s="172"/>
      <c r="SD25" s="172"/>
      <c r="SE25" s="172"/>
      <c r="SF25" s="172"/>
      <c r="SG25" s="172"/>
      <c r="SH25" s="172"/>
      <c r="SI25" s="172"/>
      <c r="SJ25" s="172"/>
      <c r="SK25" s="172"/>
      <c r="SL25" s="172"/>
      <c r="SM25" s="172"/>
      <c r="SN25" s="172"/>
      <c r="SO25" s="172"/>
      <c r="SP25" s="172"/>
      <c r="SQ25" s="172"/>
      <c r="SR25" s="172"/>
      <c r="SS25" s="172"/>
      <c r="ST25" s="172"/>
      <c r="SU25" s="172"/>
      <c r="SV25" s="172"/>
      <c r="SW25" s="172"/>
      <c r="SX25" s="172"/>
      <c r="SY25" s="172"/>
      <c r="SZ25" s="172"/>
      <c r="TA25" s="172"/>
      <c r="TB25" s="172"/>
      <c r="TC25" s="172"/>
      <c r="TD25" s="172"/>
      <c r="TE25" s="172"/>
      <c r="TF25" s="172"/>
      <c r="TG25" s="172"/>
      <c r="TH25" s="172"/>
      <c r="TI25" s="172"/>
      <c r="TJ25" s="172"/>
      <c r="TK25" s="172"/>
      <c r="TL25" s="172"/>
      <c r="TM25" s="172"/>
      <c r="TN25" s="172"/>
      <c r="TO25" s="172"/>
      <c r="TP25" s="172"/>
      <c r="TQ25" s="172"/>
      <c r="TR25" s="172"/>
      <c r="TS25" s="172"/>
      <c r="TT25" s="172"/>
      <c r="TU25" s="172"/>
      <c r="TV25" s="172"/>
      <c r="TW25" s="172"/>
      <c r="TX25" s="172"/>
      <c r="TY25" s="172"/>
      <c r="TZ25" s="172"/>
      <c r="UA25" s="172"/>
      <c r="UB25" s="172"/>
      <c r="UC25" s="172"/>
      <c r="UD25" s="172"/>
      <c r="UE25" s="172"/>
      <c r="UF25" s="172"/>
      <c r="UG25" s="172"/>
      <c r="UH25" s="172"/>
      <c r="UI25" s="172"/>
      <c r="UJ25" s="172"/>
      <c r="UK25" s="172"/>
      <c r="UL25" s="172"/>
      <c r="UM25" s="172"/>
      <c r="UN25" s="172"/>
      <c r="UO25" s="172"/>
      <c r="UP25" s="172"/>
      <c r="UQ25" s="172"/>
      <c r="UR25" s="172"/>
      <c r="US25" s="172"/>
      <c r="UT25" s="172"/>
      <c r="UU25" s="172"/>
      <c r="UV25" s="172"/>
      <c r="UW25" s="172"/>
      <c r="UX25" s="172"/>
      <c r="UY25" s="172"/>
      <c r="UZ25" s="172"/>
      <c r="VA25" s="172"/>
      <c r="VB25" s="172"/>
      <c r="VC25" s="172"/>
      <c r="VD25" s="172"/>
      <c r="VE25" s="172"/>
      <c r="VF25" s="172"/>
      <c r="VG25" s="172"/>
      <c r="VH25" s="172"/>
      <c r="VI25" s="172"/>
      <c r="VJ25" s="172"/>
      <c r="VK25" s="172"/>
      <c r="VL25" s="172"/>
      <c r="VM25" s="172"/>
      <c r="VN25" s="172"/>
      <c r="VO25" s="172"/>
      <c r="VP25" s="172"/>
      <c r="VQ25" s="172"/>
      <c r="VR25" s="172"/>
      <c r="VS25" s="172"/>
      <c r="VT25" s="172"/>
      <c r="VU25" s="172"/>
      <c r="VV25" s="172"/>
      <c r="VW25" s="172"/>
      <c r="VX25" s="172"/>
      <c r="VY25" s="172"/>
      <c r="VZ25" s="172"/>
      <c r="WA25" s="172"/>
      <c r="WB25" s="172"/>
      <c r="WC25" s="172"/>
      <c r="WD25" s="172"/>
      <c r="WE25" s="172"/>
      <c r="WF25" s="172"/>
      <c r="WG25" s="172"/>
      <c r="WH25" s="172"/>
      <c r="WI25" s="172"/>
      <c r="WJ25" s="172"/>
      <c r="WK25" s="172"/>
      <c r="WL25" s="172"/>
      <c r="WM25" s="172"/>
      <c r="WN25" s="172"/>
      <c r="WO25" s="172"/>
      <c r="WP25" s="172"/>
      <c r="WQ25" s="172"/>
      <c r="WR25" s="172"/>
      <c r="WS25" s="172"/>
      <c r="WT25" s="172"/>
      <c r="WU25" s="172"/>
      <c r="WV25" s="172"/>
      <c r="WW25" s="172"/>
      <c r="WX25" s="172"/>
      <c r="WY25" s="172"/>
      <c r="WZ25" s="172"/>
      <c r="XA25" s="172"/>
      <c r="XB25" s="172"/>
      <c r="XC25" s="172"/>
      <c r="XD25" s="172"/>
      <c r="XE25" s="172"/>
      <c r="XF25" s="172"/>
      <c r="XG25" s="172"/>
      <c r="XH25" s="172"/>
      <c r="XI25" s="172"/>
      <c r="XJ25" s="172"/>
      <c r="XK25" s="172"/>
      <c r="XL25" s="172"/>
      <c r="XM25" s="172"/>
      <c r="XN25" s="172"/>
      <c r="XO25" s="172"/>
      <c r="XP25" s="172"/>
      <c r="XQ25" s="172"/>
      <c r="XR25" s="172"/>
      <c r="XS25" s="172"/>
      <c r="XT25" s="172"/>
      <c r="XU25" s="172"/>
      <c r="XV25" s="172"/>
      <c r="XW25" s="172"/>
      <c r="XX25" s="172"/>
      <c r="XY25" s="172"/>
      <c r="XZ25" s="172"/>
      <c r="YA25" s="172"/>
      <c r="YB25" s="172"/>
      <c r="YC25" s="172"/>
      <c r="YD25" s="172"/>
      <c r="YE25" s="172"/>
      <c r="YF25" s="172"/>
      <c r="YG25" s="172"/>
      <c r="YH25" s="172"/>
      <c r="YI25" s="172"/>
      <c r="YJ25" s="172"/>
      <c r="YK25" s="172"/>
      <c r="YL25" s="172"/>
      <c r="YM25" s="172"/>
      <c r="YN25" s="172"/>
      <c r="YO25" s="172"/>
      <c r="YP25" s="172"/>
      <c r="YQ25" s="172"/>
      <c r="YR25" s="172"/>
      <c r="YS25" s="172"/>
      <c r="YT25" s="172"/>
      <c r="YU25" s="172"/>
      <c r="YV25" s="172"/>
      <c r="YW25" s="172"/>
      <c r="YX25" s="172"/>
      <c r="YY25" s="172"/>
      <c r="YZ25" s="172"/>
      <c r="ZA25" s="172"/>
      <c r="ZB25" s="172"/>
      <c r="ZC25" s="172"/>
      <c r="ZD25" s="172"/>
      <c r="ZE25" s="172"/>
      <c r="ZF25" s="172"/>
      <c r="ZG25" s="172"/>
      <c r="ZH25" s="172"/>
      <c r="ZI25" s="172"/>
      <c r="ZJ25" s="172"/>
      <c r="ZK25" s="172"/>
      <c r="ZL25" s="172"/>
      <c r="ZM25" s="172"/>
      <c r="ZN25" s="172"/>
      <c r="ZO25" s="172"/>
      <c r="ZP25" s="172"/>
      <c r="ZQ25" s="172"/>
      <c r="ZR25" s="172"/>
      <c r="ZS25" s="172"/>
      <c r="ZT25" s="172"/>
      <c r="ZU25" s="172"/>
      <c r="ZV25" s="172"/>
      <c r="ZW25" s="172"/>
      <c r="ZX25" s="172"/>
      <c r="ZY25" s="172"/>
      <c r="ZZ25" s="172"/>
      <c r="AAA25" s="172"/>
      <c r="AAB25" s="172"/>
      <c r="AAC25" s="172"/>
      <c r="AAD25" s="172"/>
      <c r="AAE25" s="172"/>
      <c r="AAF25" s="172"/>
      <c r="AAG25" s="172"/>
      <c r="AAH25" s="172"/>
      <c r="AAI25" s="172"/>
      <c r="AAJ25" s="172"/>
      <c r="AAK25" s="172"/>
      <c r="AAL25" s="172"/>
      <c r="AAM25" s="172"/>
      <c r="AAN25" s="172"/>
      <c r="AAO25" s="172"/>
      <c r="AAP25" s="172"/>
      <c r="AAQ25" s="172"/>
      <c r="AAR25" s="172"/>
      <c r="AAS25" s="172"/>
      <c r="AAT25" s="172"/>
      <c r="AAU25" s="172"/>
      <c r="AAV25" s="172"/>
      <c r="AAW25" s="172"/>
      <c r="AAX25" s="172"/>
      <c r="AAY25" s="172"/>
      <c r="AAZ25" s="172"/>
      <c r="ABA25" s="172"/>
      <c r="ABB25" s="172"/>
      <c r="ABC25" s="172"/>
      <c r="ABD25" s="172"/>
      <c r="ABE25" s="172"/>
      <c r="ABF25" s="172"/>
      <c r="ABG25" s="172"/>
      <c r="ABH25" s="172"/>
      <c r="ABI25" s="172"/>
      <c r="ABJ25" s="172"/>
      <c r="ABK25" s="172"/>
      <c r="ABL25" s="172"/>
      <c r="ABM25" s="172"/>
      <c r="ABN25" s="172"/>
      <c r="ABO25" s="172"/>
      <c r="ABP25" s="172"/>
      <c r="ABQ25" s="172"/>
      <c r="ABR25" s="172"/>
      <c r="ABS25" s="172"/>
      <c r="ABT25" s="172"/>
      <c r="ABU25" s="172"/>
      <c r="ABV25" s="172"/>
      <c r="ABW25" s="172"/>
      <c r="ABX25" s="172"/>
      <c r="ABY25" s="172"/>
      <c r="ABZ25" s="172"/>
      <c r="ACA25" s="172"/>
      <c r="ACB25" s="172"/>
      <c r="ACC25" s="172"/>
      <c r="ACD25" s="172"/>
      <c r="ACE25" s="172"/>
      <c r="ACF25" s="172"/>
      <c r="ACG25" s="172"/>
      <c r="ACH25" s="172"/>
      <c r="ACI25" s="172"/>
      <c r="ACJ25" s="172"/>
      <c r="ACK25" s="172"/>
      <c r="ACL25" s="172"/>
      <c r="ACM25" s="172"/>
      <c r="ACN25" s="172"/>
      <c r="ACO25" s="172"/>
      <c r="ACP25" s="172"/>
      <c r="ACQ25" s="172"/>
      <c r="ACR25" s="172"/>
      <c r="ACS25" s="172"/>
      <c r="ACT25" s="172"/>
      <c r="ACU25" s="172"/>
      <c r="ACV25" s="172"/>
      <c r="ACW25" s="172"/>
      <c r="ACX25" s="172"/>
      <c r="ACY25" s="172"/>
      <c r="ACZ25" s="172"/>
      <c r="ADA25" s="172"/>
      <c r="ADB25" s="172"/>
      <c r="ADC25" s="172"/>
      <c r="ADD25" s="172"/>
      <c r="ADE25" s="172"/>
      <c r="ADF25" s="172"/>
      <c r="ADG25" s="172"/>
      <c r="ADH25" s="172"/>
      <c r="ADI25" s="172"/>
      <c r="ADJ25" s="172"/>
      <c r="ADK25" s="172"/>
      <c r="ADL25" s="172"/>
      <c r="ADM25" s="172"/>
      <c r="ADN25" s="172"/>
      <c r="ADO25" s="172"/>
      <c r="ADP25" s="172"/>
      <c r="ADQ25" s="172"/>
      <c r="ADR25" s="172"/>
      <c r="ADS25" s="172"/>
      <c r="ADT25" s="172"/>
      <c r="ADU25" s="172"/>
      <c r="ADV25" s="172"/>
      <c r="ADW25" s="172"/>
      <c r="ADX25" s="172"/>
      <c r="ADY25" s="172"/>
      <c r="ADZ25" s="172"/>
      <c r="AEA25" s="172"/>
      <c r="AEB25" s="172"/>
      <c r="AEC25" s="172"/>
      <c r="AED25" s="172"/>
      <c r="AEE25" s="172"/>
      <c r="AEF25" s="172"/>
      <c r="AEG25" s="172"/>
      <c r="AEH25" s="172"/>
      <c r="AEI25" s="172"/>
      <c r="AEJ25" s="172"/>
      <c r="AEK25" s="172"/>
      <c r="AEL25" s="172"/>
      <c r="AEM25" s="172"/>
      <c r="AEN25" s="172"/>
      <c r="AEO25" s="172"/>
      <c r="AEP25" s="172"/>
      <c r="AEQ25" s="172"/>
      <c r="AER25" s="172"/>
      <c r="AES25" s="172"/>
      <c r="AET25" s="172"/>
      <c r="AEU25" s="172"/>
      <c r="AEV25" s="172"/>
      <c r="AEW25" s="172"/>
      <c r="AEX25" s="172"/>
      <c r="AEY25" s="172"/>
      <c r="AEZ25" s="172"/>
      <c r="AFA25" s="172"/>
      <c r="AFB25" s="172"/>
      <c r="AFC25" s="172"/>
      <c r="AFD25" s="172"/>
      <c r="AFE25" s="172"/>
      <c r="AFF25" s="172"/>
      <c r="AFG25" s="172"/>
      <c r="AFH25" s="172"/>
      <c r="AFI25" s="172"/>
      <c r="AFJ25" s="172"/>
      <c r="AFK25" s="172"/>
      <c r="AFL25" s="172"/>
      <c r="AFM25" s="172"/>
      <c r="AFN25" s="172"/>
      <c r="AFO25" s="172"/>
      <c r="AFP25" s="172"/>
      <c r="AFQ25" s="172"/>
      <c r="AFR25" s="172"/>
      <c r="AFS25" s="172"/>
      <c r="AFT25" s="172"/>
      <c r="AFU25" s="172"/>
      <c r="AFV25" s="172"/>
      <c r="AFW25" s="172"/>
      <c r="AFX25" s="172"/>
      <c r="AFY25" s="172"/>
      <c r="AFZ25" s="172"/>
      <c r="AGA25" s="172"/>
      <c r="AGB25" s="172"/>
      <c r="AGC25" s="172"/>
      <c r="AGD25" s="172"/>
      <c r="AGE25" s="172"/>
      <c r="AGF25" s="172"/>
      <c r="AGG25" s="172"/>
      <c r="AGH25" s="172"/>
      <c r="AGI25" s="172"/>
      <c r="AGJ25" s="172"/>
      <c r="AGK25" s="172"/>
      <c r="AGL25" s="172"/>
      <c r="AGM25" s="172"/>
      <c r="AGN25" s="172"/>
      <c r="AGO25" s="172"/>
      <c r="AGP25" s="172"/>
      <c r="AGQ25" s="172"/>
      <c r="AGR25" s="172"/>
      <c r="AGS25" s="172"/>
      <c r="AGT25" s="172"/>
      <c r="AGU25" s="172"/>
      <c r="AGV25" s="172"/>
      <c r="AGW25" s="172"/>
      <c r="AGX25" s="172"/>
      <c r="AGY25" s="172"/>
      <c r="AGZ25" s="172"/>
      <c r="AHA25" s="172"/>
      <c r="AHB25" s="172"/>
      <c r="AHC25" s="172"/>
      <c r="AHD25" s="172"/>
      <c r="AHE25" s="172"/>
      <c r="AHF25" s="172"/>
      <c r="AHG25" s="172"/>
      <c r="AHH25" s="172"/>
      <c r="AHI25" s="172"/>
      <c r="AHJ25" s="172"/>
      <c r="AHK25" s="172"/>
      <c r="AHL25" s="172"/>
      <c r="AHM25" s="172"/>
      <c r="AHN25" s="172"/>
      <c r="AHO25" s="172"/>
      <c r="AHP25" s="172"/>
      <c r="AHQ25" s="172"/>
      <c r="AHR25" s="172"/>
      <c r="AHS25" s="172"/>
      <c r="AHT25" s="172"/>
      <c r="AHU25" s="172"/>
      <c r="AHV25" s="172"/>
      <c r="AHW25" s="172"/>
      <c r="AHX25" s="172"/>
      <c r="AHY25" s="172"/>
      <c r="AHZ25" s="172"/>
      <c r="AIA25" s="172"/>
      <c r="AIB25" s="172"/>
      <c r="AIC25" s="172"/>
      <c r="AID25" s="172"/>
      <c r="AIE25" s="172"/>
      <c r="AIF25" s="172"/>
      <c r="AIG25" s="172"/>
      <c r="AIH25" s="172"/>
      <c r="AII25" s="172"/>
      <c r="AIJ25" s="172"/>
      <c r="AIK25" s="172"/>
      <c r="AIL25" s="172"/>
      <c r="AIM25" s="172"/>
      <c r="AIN25" s="172"/>
      <c r="AIO25" s="172"/>
      <c r="AIP25" s="172"/>
      <c r="AIQ25" s="172"/>
      <c r="AIR25" s="172"/>
      <c r="AIS25" s="172"/>
      <c r="AIT25" s="172"/>
      <c r="AIU25" s="172"/>
      <c r="AIV25" s="172"/>
      <c r="AIW25" s="172"/>
      <c r="AIX25" s="172"/>
      <c r="AIY25" s="172"/>
      <c r="AIZ25" s="172"/>
      <c r="AJA25" s="172"/>
      <c r="AJB25" s="172"/>
      <c r="AJC25" s="172"/>
      <c r="AJD25" s="172"/>
      <c r="AJE25" s="172"/>
      <c r="AJF25" s="172"/>
      <c r="AJG25" s="172"/>
      <c r="AJH25" s="172"/>
      <c r="AJI25" s="172"/>
      <c r="AJJ25" s="172"/>
      <c r="AJK25" s="172"/>
      <c r="AJL25" s="172"/>
      <c r="AJM25" s="172"/>
      <c r="AJN25" s="172"/>
      <c r="AJO25" s="172"/>
      <c r="AJP25" s="172"/>
      <c r="AJQ25" s="172"/>
      <c r="AJR25" s="172"/>
      <c r="AJS25" s="172"/>
      <c r="AJT25" s="172"/>
      <c r="AJU25" s="172"/>
      <c r="AJV25" s="172"/>
      <c r="AJW25" s="172"/>
      <c r="AJX25" s="172"/>
      <c r="AJY25" s="172"/>
      <c r="AJZ25" s="172"/>
      <c r="AKA25" s="172"/>
      <c r="AKB25" s="172"/>
      <c r="AKC25" s="172"/>
      <c r="AKD25" s="172"/>
      <c r="AKE25" s="172"/>
      <c r="AKF25" s="172"/>
      <c r="AKG25" s="172"/>
      <c r="AKH25" s="172"/>
      <c r="AKI25" s="172"/>
      <c r="AKJ25" s="172"/>
      <c r="AKK25" s="172"/>
      <c r="AKL25" s="172"/>
      <c r="AKM25" s="172"/>
      <c r="AKN25" s="172"/>
      <c r="AKO25" s="172"/>
      <c r="AKP25" s="172"/>
      <c r="AKQ25" s="172"/>
      <c r="AKR25" s="172"/>
      <c r="AKS25" s="172"/>
      <c r="AKT25" s="172"/>
      <c r="AKU25" s="172"/>
      <c r="AKV25" s="172"/>
      <c r="AKW25" s="172"/>
      <c r="AKX25" s="172"/>
      <c r="AKY25" s="172"/>
      <c r="AKZ25" s="172"/>
      <c r="ALA25" s="172"/>
      <c r="ALB25" s="172"/>
      <c r="ALC25" s="172"/>
      <c r="ALD25" s="172"/>
      <c r="ALE25" s="172"/>
      <c r="ALF25" s="172"/>
      <c r="ALG25" s="172"/>
      <c r="ALH25" s="172"/>
      <c r="ALI25" s="172"/>
      <c r="ALJ25" s="172"/>
      <c r="ALK25" s="172"/>
      <c r="ALL25" s="172"/>
      <c r="ALM25" s="172"/>
      <c r="ALN25" s="172"/>
      <c r="ALO25" s="172"/>
      <c r="ALP25" s="172"/>
      <c r="ALQ25" s="172"/>
      <c r="ALR25" s="172"/>
      <c r="ALS25" s="172"/>
      <c r="ALT25" s="172"/>
      <c r="ALU25" s="172"/>
      <c r="ALV25" s="172"/>
      <c r="ALW25" s="172"/>
      <c r="ALX25" s="172"/>
      <c r="ALY25" s="172"/>
      <c r="ALZ25" s="172"/>
      <c r="AMA25" s="172"/>
      <c r="AMB25" s="172"/>
      <c r="AMC25" s="172"/>
      <c r="AMD25" s="172"/>
      <c r="AME25" s="172"/>
      <c r="AMF25" s="172"/>
      <c r="AMG25" s="172"/>
      <c r="AMH25" s="172"/>
      <c r="AMI25" s="172"/>
      <c r="AMJ25" s="172"/>
      <c r="AMK25" s="172"/>
      <c r="AML25" s="172"/>
      <c r="AMM25" s="172"/>
      <c r="AMN25" s="172"/>
      <c r="AMO25" s="172"/>
      <c r="AMP25" s="172"/>
      <c r="AMQ25" s="172"/>
      <c r="AMR25" s="172"/>
      <c r="AMS25" s="172"/>
      <c r="AMT25" s="172"/>
      <c r="AMU25" s="172"/>
      <c r="AMV25" s="172"/>
      <c r="AMW25" s="172"/>
      <c r="AMX25" s="172"/>
      <c r="AMY25" s="172"/>
      <c r="AMZ25" s="172"/>
      <c r="ANA25" s="172"/>
      <c r="ANB25" s="172"/>
      <c r="ANC25" s="172"/>
      <c r="AND25" s="172"/>
      <c r="ANE25" s="172"/>
      <c r="ANF25" s="172"/>
      <c r="ANG25" s="172"/>
      <c r="ANH25" s="172"/>
      <c r="ANI25" s="172"/>
      <c r="ANJ25" s="172"/>
      <c r="ANK25" s="172"/>
      <c r="ANL25" s="172"/>
      <c r="ANM25" s="172"/>
      <c r="ANN25" s="172"/>
      <c r="ANO25" s="172"/>
      <c r="ANP25" s="172"/>
      <c r="ANQ25" s="172"/>
      <c r="ANR25" s="172"/>
      <c r="ANS25" s="172"/>
      <c r="ANT25" s="172"/>
      <c r="ANU25" s="172"/>
      <c r="ANV25" s="172"/>
      <c r="ANW25" s="172"/>
      <c r="ANX25" s="172"/>
      <c r="ANY25" s="172"/>
      <c r="ANZ25" s="172"/>
      <c r="AOA25" s="172"/>
      <c r="AOB25" s="172"/>
      <c r="AOC25" s="172"/>
      <c r="AOD25" s="172"/>
      <c r="AOE25" s="172"/>
      <c r="AOF25" s="172"/>
      <c r="AOG25" s="172"/>
      <c r="AOH25" s="172"/>
      <c r="AOI25" s="172"/>
      <c r="AOJ25" s="172"/>
      <c r="AOK25" s="172"/>
      <c r="AOL25" s="172"/>
      <c r="AOM25" s="172"/>
      <c r="AON25" s="172"/>
      <c r="AOO25" s="172"/>
      <c r="AOP25" s="172"/>
      <c r="AOQ25" s="172"/>
      <c r="AOR25" s="172"/>
      <c r="AOS25" s="172"/>
      <c r="AOT25" s="172"/>
      <c r="AOU25" s="172"/>
      <c r="AOV25" s="172"/>
      <c r="AOW25" s="172"/>
      <c r="AOX25" s="172"/>
      <c r="AOY25" s="172"/>
      <c r="AOZ25" s="172"/>
      <c r="APA25" s="172"/>
      <c r="APB25" s="172"/>
      <c r="APC25" s="172"/>
      <c r="APD25" s="172"/>
      <c r="APE25" s="172"/>
      <c r="APF25" s="172"/>
      <c r="APG25" s="172"/>
      <c r="APH25" s="172"/>
      <c r="API25" s="172"/>
      <c r="APJ25" s="172"/>
      <c r="APK25" s="172"/>
      <c r="APL25" s="172"/>
      <c r="APM25" s="172"/>
      <c r="APN25" s="172"/>
      <c r="APO25" s="172"/>
      <c r="APP25" s="172"/>
      <c r="APQ25" s="172"/>
      <c r="APR25" s="172"/>
      <c r="APS25" s="172"/>
      <c r="APT25" s="172"/>
      <c r="APU25" s="172"/>
      <c r="APV25" s="172"/>
      <c r="APW25" s="172"/>
      <c r="APX25" s="172"/>
      <c r="APY25" s="172"/>
      <c r="APZ25" s="172"/>
      <c r="AQA25" s="172"/>
      <c r="AQB25" s="172"/>
      <c r="AQC25" s="172"/>
      <c r="AQD25" s="172"/>
      <c r="AQE25" s="172"/>
      <c r="AQF25" s="172"/>
      <c r="AQG25" s="172"/>
      <c r="AQH25" s="172"/>
      <c r="AQI25" s="172"/>
      <c r="AQJ25" s="172"/>
      <c r="AQK25" s="172"/>
      <c r="AQL25" s="172"/>
      <c r="AQM25" s="172"/>
      <c r="AQN25" s="172"/>
      <c r="AQO25" s="172"/>
      <c r="AQP25" s="172"/>
      <c r="AQQ25" s="172"/>
      <c r="AQR25" s="172"/>
      <c r="AQS25" s="172"/>
      <c r="AQT25" s="172"/>
      <c r="AQU25" s="172"/>
      <c r="AQV25" s="172"/>
      <c r="AQW25" s="172"/>
      <c r="AQX25" s="172"/>
      <c r="AQY25" s="172"/>
      <c r="AQZ25" s="172"/>
      <c r="ARA25" s="172"/>
      <c r="ARB25" s="172"/>
      <c r="ARC25" s="172"/>
      <c r="ARD25" s="172"/>
      <c r="ARE25" s="172"/>
      <c r="ARF25" s="172"/>
      <c r="ARG25" s="172"/>
      <c r="ARH25" s="172"/>
      <c r="ARI25" s="172"/>
      <c r="ARJ25" s="172"/>
      <c r="ARK25" s="172"/>
      <c r="ARL25" s="172"/>
      <c r="ARM25" s="172"/>
      <c r="ARN25" s="172"/>
      <c r="ARO25" s="172"/>
      <c r="ARP25" s="172"/>
      <c r="ARQ25" s="172"/>
      <c r="ARR25" s="172"/>
      <c r="ARS25" s="172"/>
      <c r="ART25" s="172"/>
      <c r="ARU25" s="172"/>
    </row>
    <row r="26" spans="1:1165" s="257" customFormat="1">
      <c r="A26" s="222" t="s">
        <v>169</v>
      </c>
      <c r="B26" s="195" t="s">
        <v>87</v>
      </c>
      <c r="C26" s="258">
        <v>1</v>
      </c>
      <c r="D26" s="258">
        <v>50</v>
      </c>
      <c r="E26" s="258">
        <v>0</v>
      </c>
      <c r="F26" s="258">
        <v>0</v>
      </c>
      <c r="G26" s="258">
        <v>0</v>
      </c>
      <c r="H26" s="258">
        <v>0</v>
      </c>
      <c r="I26" s="258">
        <v>0</v>
      </c>
      <c r="J26" s="258">
        <v>0</v>
      </c>
      <c r="K26" s="258">
        <v>0</v>
      </c>
      <c r="L26" s="258">
        <v>0</v>
      </c>
      <c r="M26" s="258">
        <v>0</v>
      </c>
      <c r="N26" s="258">
        <v>0</v>
      </c>
      <c r="O26" s="258">
        <v>0</v>
      </c>
      <c r="P26" s="258">
        <v>0</v>
      </c>
      <c r="Q26" s="258">
        <v>0</v>
      </c>
      <c r="R26" s="258">
        <v>0</v>
      </c>
      <c r="S26" s="258">
        <v>0</v>
      </c>
      <c r="T26" s="258">
        <v>0</v>
      </c>
      <c r="U26" s="258">
        <v>0</v>
      </c>
      <c r="V26" s="258">
        <v>0</v>
      </c>
      <c r="W26" s="258">
        <v>0</v>
      </c>
      <c r="X26" s="258">
        <v>0</v>
      </c>
      <c r="Y26" s="258">
        <v>0</v>
      </c>
      <c r="Z26" s="258">
        <v>0</v>
      </c>
      <c r="AA26" s="258">
        <v>0</v>
      </c>
      <c r="AB26" s="258">
        <v>0</v>
      </c>
      <c r="AC26" s="258">
        <v>0</v>
      </c>
      <c r="AD26" s="258">
        <v>0</v>
      </c>
      <c r="AE26" s="258">
        <v>0</v>
      </c>
      <c r="AF26" s="258">
        <v>0</v>
      </c>
      <c r="AG26" s="258">
        <v>0</v>
      </c>
      <c r="AH26" s="258">
        <v>0</v>
      </c>
      <c r="AI26" s="258">
        <v>0</v>
      </c>
      <c r="AJ26" s="258">
        <v>0</v>
      </c>
      <c r="AK26" s="258">
        <v>0</v>
      </c>
      <c r="AL26" s="258">
        <v>0</v>
      </c>
      <c r="AM26" s="258">
        <v>0</v>
      </c>
      <c r="AN26" s="258">
        <v>0</v>
      </c>
      <c r="AO26" s="258">
        <v>0</v>
      </c>
      <c r="AP26" s="258">
        <v>0</v>
      </c>
      <c r="AQ26" s="258">
        <v>0</v>
      </c>
      <c r="AR26" s="258">
        <v>0</v>
      </c>
      <c r="AS26" s="258">
        <v>0</v>
      </c>
      <c r="AT26" s="258">
        <v>0</v>
      </c>
      <c r="AU26" s="258">
        <v>0</v>
      </c>
      <c r="AV26" s="258">
        <v>0</v>
      </c>
      <c r="AW26" s="258">
        <v>0</v>
      </c>
      <c r="AX26" s="258">
        <v>0</v>
      </c>
      <c r="AY26" s="224">
        <v>0</v>
      </c>
      <c r="AZ26" s="224">
        <v>0</v>
      </c>
      <c r="BA26" s="227"/>
      <c r="BB26" s="258"/>
      <c r="BC26" s="258"/>
      <c r="BD26" s="258"/>
      <c r="BE26" s="258"/>
      <c r="BF26" s="258"/>
      <c r="BG26" s="258"/>
      <c r="BH26" s="258"/>
      <c r="BI26" s="227"/>
      <c r="BJ26" s="258">
        <f t="shared" si="50"/>
        <v>1</v>
      </c>
      <c r="BK26" s="258">
        <f>D26+H26+J26+L26+N26+P26+R26+T26+V26+X26+Z26+AB26+AD26+AF26+AH26+AJ26+AL26+AN26+AP26+AR26+AT26+AV26+AX26+AZ26+BD26+BH26</f>
        <v>50</v>
      </c>
      <c r="BL26" s="172"/>
      <c r="BM26" s="231"/>
      <c r="BN26" s="231"/>
      <c r="BO26" s="231"/>
      <c r="BP26" s="231"/>
      <c r="BQ26" s="172"/>
      <c r="BR26" s="172"/>
      <c r="BS26" s="172"/>
      <c r="BT26" s="172"/>
      <c r="BU26" s="172"/>
      <c r="BV26" s="172"/>
      <c r="BW26" s="172"/>
      <c r="BX26" s="172"/>
      <c r="BY26" s="172"/>
      <c r="BZ26" s="172"/>
      <c r="CA26" s="172"/>
      <c r="CB26" s="172"/>
      <c r="CC26" s="172"/>
      <c r="CD26" s="172"/>
      <c r="CE26" s="172"/>
      <c r="CF26" s="172"/>
      <c r="CG26" s="172"/>
      <c r="CH26" s="172"/>
      <c r="CI26" s="172"/>
      <c r="CJ26" s="172"/>
      <c r="CK26" s="172"/>
      <c r="CL26" s="172"/>
      <c r="CM26" s="172"/>
      <c r="CN26" s="172"/>
      <c r="CO26" s="172"/>
      <c r="CP26" s="172"/>
      <c r="CQ26" s="172"/>
      <c r="CR26" s="172"/>
      <c r="CS26" s="172"/>
      <c r="CT26" s="172"/>
      <c r="CU26" s="172"/>
      <c r="CV26" s="172"/>
      <c r="CW26" s="172"/>
      <c r="CX26" s="172"/>
      <c r="CY26" s="172"/>
      <c r="CZ26" s="172"/>
      <c r="DA26" s="172"/>
      <c r="DB26" s="172"/>
      <c r="DC26" s="172"/>
      <c r="DD26" s="172"/>
      <c r="DE26" s="172"/>
      <c r="DF26" s="172"/>
      <c r="DG26" s="172"/>
      <c r="DH26" s="172"/>
      <c r="DI26" s="172"/>
      <c r="DJ26" s="172"/>
      <c r="DK26" s="172"/>
      <c r="DL26" s="172"/>
      <c r="DM26" s="172"/>
      <c r="DN26" s="172"/>
      <c r="DO26" s="172"/>
      <c r="DP26" s="172"/>
      <c r="DQ26" s="172"/>
      <c r="DR26" s="172"/>
      <c r="DS26" s="172"/>
      <c r="DT26" s="172"/>
      <c r="DU26" s="172"/>
      <c r="DV26" s="172"/>
      <c r="DW26" s="172"/>
      <c r="DX26" s="172"/>
      <c r="DY26" s="172"/>
      <c r="DZ26" s="172"/>
      <c r="EA26" s="172"/>
      <c r="EB26" s="172"/>
      <c r="EC26" s="172"/>
      <c r="ED26" s="172"/>
      <c r="EE26" s="172"/>
      <c r="EF26" s="172"/>
      <c r="EG26" s="172"/>
      <c r="EH26" s="172"/>
      <c r="EI26" s="172"/>
      <c r="EJ26" s="172"/>
      <c r="EK26" s="172"/>
      <c r="EL26" s="172"/>
      <c r="EM26" s="172"/>
      <c r="EN26" s="172"/>
      <c r="EO26" s="172"/>
      <c r="EP26" s="172"/>
      <c r="EQ26" s="172"/>
      <c r="ER26" s="172"/>
      <c r="ES26" s="172"/>
      <c r="ET26" s="172"/>
      <c r="EU26" s="172"/>
      <c r="EV26" s="172"/>
      <c r="EW26" s="172"/>
      <c r="EX26" s="172"/>
      <c r="EY26" s="172"/>
      <c r="EZ26" s="172"/>
      <c r="FA26" s="172"/>
      <c r="FB26" s="172"/>
      <c r="FC26" s="172"/>
      <c r="FD26" s="172"/>
      <c r="FE26" s="172"/>
      <c r="FF26" s="172"/>
      <c r="FG26" s="172"/>
      <c r="FH26" s="172"/>
      <c r="FI26" s="172"/>
      <c r="FJ26" s="172"/>
      <c r="FK26" s="172"/>
      <c r="FL26" s="172"/>
      <c r="FM26" s="172"/>
      <c r="FN26" s="172"/>
      <c r="FO26" s="172"/>
      <c r="FP26" s="172"/>
      <c r="FQ26" s="172"/>
      <c r="FR26" s="172"/>
      <c r="FS26" s="172"/>
      <c r="FT26" s="172"/>
      <c r="FU26" s="172"/>
      <c r="FV26" s="172"/>
      <c r="FW26" s="172"/>
      <c r="FX26" s="172"/>
      <c r="FY26" s="172"/>
      <c r="FZ26" s="172"/>
      <c r="GA26" s="172"/>
      <c r="GB26" s="172"/>
      <c r="GC26" s="172"/>
      <c r="GD26" s="172"/>
      <c r="GE26" s="172"/>
      <c r="GF26" s="172"/>
      <c r="GG26" s="172"/>
      <c r="GH26" s="172"/>
      <c r="GI26" s="172"/>
      <c r="GJ26" s="172"/>
      <c r="GK26" s="172"/>
      <c r="GL26" s="172"/>
      <c r="GM26" s="172"/>
      <c r="GN26" s="172"/>
      <c r="GO26" s="172"/>
      <c r="GP26" s="172"/>
      <c r="GQ26" s="172"/>
      <c r="GR26" s="172"/>
      <c r="GS26" s="172"/>
      <c r="GT26" s="172"/>
      <c r="GU26" s="172"/>
      <c r="GV26" s="172"/>
      <c r="GW26" s="172"/>
      <c r="GX26" s="172"/>
      <c r="GY26" s="172"/>
      <c r="GZ26" s="172"/>
      <c r="HA26" s="172"/>
      <c r="HB26" s="172"/>
      <c r="HC26" s="172"/>
      <c r="HD26" s="172"/>
      <c r="HE26" s="172"/>
      <c r="HF26" s="172"/>
      <c r="HG26" s="172"/>
      <c r="HH26" s="172"/>
      <c r="HI26" s="172"/>
      <c r="HJ26" s="172"/>
      <c r="HK26" s="172"/>
      <c r="HL26" s="172"/>
      <c r="HM26" s="172"/>
      <c r="HN26" s="172"/>
      <c r="HO26" s="172"/>
      <c r="HP26" s="172"/>
      <c r="HQ26" s="172"/>
      <c r="HR26" s="172"/>
      <c r="HS26" s="172"/>
      <c r="HT26" s="172"/>
      <c r="HU26" s="172"/>
      <c r="HV26" s="172"/>
      <c r="HW26" s="172"/>
      <c r="HX26" s="172"/>
      <c r="HY26" s="172"/>
      <c r="HZ26" s="172"/>
      <c r="IA26" s="172"/>
      <c r="IB26" s="172"/>
      <c r="IC26" s="172"/>
      <c r="ID26" s="172"/>
      <c r="IE26" s="172"/>
      <c r="IF26" s="172"/>
      <c r="IG26" s="172"/>
      <c r="IH26" s="172"/>
      <c r="II26" s="172"/>
      <c r="IJ26" s="172"/>
      <c r="IK26" s="172"/>
      <c r="IL26" s="172"/>
      <c r="IM26" s="172"/>
      <c r="IN26" s="172"/>
      <c r="IO26" s="172"/>
      <c r="IP26" s="172"/>
      <c r="IQ26" s="172"/>
      <c r="IR26" s="172"/>
      <c r="IS26" s="172"/>
      <c r="IT26" s="172"/>
      <c r="IU26" s="172"/>
      <c r="IV26" s="172"/>
      <c r="IW26" s="172"/>
      <c r="IX26" s="172"/>
      <c r="IY26" s="172"/>
      <c r="IZ26" s="172"/>
      <c r="JA26" s="172"/>
      <c r="JB26" s="172"/>
      <c r="JC26" s="172"/>
      <c r="JD26" s="172"/>
      <c r="JE26" s="172"/>
      <c r="JF26" s="172"/>
      <c r="JG26" s="172"/>
      <c r="JH26" s="172"/>
      <c r="JI26" s="172"/>
      <c r="JJ26" s="172"/>
      <c r="JK26" s="172"/>
      <c r="JL26" s="172"/>
      <c r="JM26" s="172"/>
      <c r="JN26" s="172"/>
      <c r="JO26" s="172"/>
      <c r="JP26" s="172"/>
      <c r="JQ26" s="172"/>
      <c r="JR26" s="172"/>
      <c r="JS26" s="172"/>
      <c r="JT26" s="172"/>
      <c r="JU26" s="172"/>
      <c r="JV26" s="172"/>
      <c r="JW26" s="172"/>
      <c r="JX26" s="172"/>
      <c r="JY26" s="172"/>
      <c r="JZ26" s="172"/>
      <c r="KA26" s="172"/>
      <c r="KB26" s="172"/>
      <c r="KC26" s="172"/>
      <c r="KD26" s="172"/>
      <c r="KE26" s="172"/>
      <c r="KF26" s="172"/>
      <c r="KG26" s="172"/>
      <c r="KH26" s="172"/>
      <c r="KI26" s="172"/>
      <c r="KJ26" s="172"/>
      <c r="KK26" s="172"/>
      <c r="KL26" s="172"/>
      <c r="KM26" s="172"/>
      <c r="KN26" s="172"/>
      <c r="KO26" s="172"/>
      <c r="KP26" s="172"/>
      <c r="KQ26" s="172"/>
      <c r="KR26" s="172"/>
      <c r="KS26" s="172"/>
      <c r="KT26" s="172"/>
      <c r="KU26" s="172"/>
      <c r="KV26" s="172"/>
      <c r="KW26" s="172"/>
      <c r="KX26" s="172"/>
      <c r="KY26" s="172"/>
      <c r="KZ26" s="172"/>
      <c r="LA26" s="172"/>
      <c r="LB26" s="172"/>
      <c r="LC26" s="172"/>
      <c r="LD26" s="172"/>
      <c r="LE26" s="172"/>
      <c r="LF26" s="172"/>
      <c r="LG26" s="172"/>
      <c r="LH26" s="172"/>
      <c r="LI26" s="172"/>
      <c r="LJ26" s="172"/>
      <c r="LK26" s="172"/>
      <c r="LL26" s="172"/>
      <c r="LM26" s="172"/>
      <c r="LN26" s="172"/>
      <c r="LO26" s="172"/>
      <c r="LP26" s="172"/>
      <c r="LQ26" s="172"/>
      <c r="LR26" s="172"/>
      <c r="LS26" s="172"/>
      <c r="LT26" s="172"/>
      <c r="LU26" s="172"/>
      <c r="LV26" s="172"/>
      <c r="LW26" s="172"/>
      <c r="LX26" s="172"/>
      <c r="LY26" s="172"/>
      <c r="LZ26" s="172"/>
      <c r="MA26" s="172"/>
      <c r="MB26" s="172"/>
      <c r="MC26" s="172"/>
      <c r="MD26" s="172"/>
      <c r="ME26" s="172"/>
      <c r="MF26" s="172"/>
      <c r="MG26" s="172"/>
      <c r="MH26" s="172"/>
      <c r="MI26" s="172"/>
      <c r="MJ26" s="172"/>
      <c r="MK26" s="172"/>
      <c r="ML26" s="172"/>
      <c r="MM26" s="172"/>
      <c r="MN26" s="172"/>
      <c r="MO26" s="172"/>
      <c r="MP26" s="172"/>
      <c r="MQ26" s="172"/>
      <c r="MR26" s="172"/>
      <c r="MS26" s="172"/>
      <c r="MT26" s="172"/>
      <c r="MU26" s="172"/>
      <c r="MV26" s="172"/>
      <c r="MW26" s="172"/>
      <c r="MX26" s="172"/>
      <c r="MY26" s="172"/>
      <c r="MZ26" s="172"/>
      <c r="NA26" s="172"/>
      <c r="NB26" s="172"/>
      <c r="NC26" s="172"/>
      <c r="ND26" s="172"/>
      <c r="NE26" s="172"/>
      <c r="NF26" s="172"/>
      <c r="NG26" s="172"/>
      <c r="NH26" s="172"/>
      <c r="NI26" s="172"/>
      <c r="NJ26" s="172"/>
      <c r="NK26" s="172"/>
      <c r="NL26" s="172"/>
      <c r="NM26" s="172"/>
      <c r="NN26" s="172"/>
      <c r="NO26" s="172"/>
      <c r="NP26" s="172"/>
      <c r="NQ26" s="172"/>
      <c r="NR26" s="172"/>
      <c r="NS26" s="172"/>
      <c r="NT26" s="172"/>
      <c r="NU26" s="172"/>
      <c r="NV26" s="172"/>
      <c r="NW26" s="172"/>
      <c r="NX26" s="172"/>
      <c r="NY26" s="172"/>
      <c r="NZ26" s="172"/>
      <c r="OA26" s="172"/>
      <c r="OB26" s="172"/>
      <c r="OC26" s="172"/>
      <c r="OD26" s="172"/>
      <c r="OE26" s="172"/>
      <c r="OF26" s="172"/>
      <c r="OG26" s="172"/>
      <c r="OH26" s="172"/>
      <c r="OI26" s="172"/>
      <c r="OJ26" s="172"/>
      <c r="OK26" s="172"/>
      <c r="OL26" s="172"/>
      <c r="OM26" s="172"/>
      <c r="ON26" s="172"/>
      <c r="OO26" s="172"/>
      <c r="OP26" s="172"/>
      <c r="OQ26" s="172"/>
      <c r="OR26" s="172"/>
      <c r="OS26" s="172"/>
      <c r="OT26" s="172"/>
      <c r="OU26" s="172"/>
      <c r="OV26" s="172"/>
      <c r="OW26" s="172"/>
      <c r="OX26" s="172"/>
      <c r="OY26" s="172"/>
      <c r="OZ26" s="172"/>
      <c r="PA26" s="172"/>
      <c r="PB26" s="172"/>
      <c r="PC26" s="172"/>
      <c r="PD26" s="172"/>
      <c r="PE26" s="172"/>
      <c r="PF26" s="172"/>
      <c r="PG26" s="172"/>
      <c r="PH26" s="172"/>
      <c r="PI26" s="172"/>
      <c r="PJ26" s="172"/>
      <c r="PK26" s="172"/>
      <c r="PL26" s="172"/>
      <c r="PM26" s="172"/>
      <c r="PN26" s="172"/>
      <c r="PO26" s="172"/>
      <c r="PP26" s="172"/>
      <c r="PQ26" s="172"/>
      <c r="PR26" s="172"/>
      <c r="PS26" s="172"/>
      <c r="PT26" s="172"/>
      <c r="PU26" s="172"/>
      <c r="PV26" s="172"/>
      <c r="PW26" s="172"/>
      <c r="PX26" s="172"/>
      <c r="PY26" s="172"/>
      <c r="PZ26" s="172"/>
      <c r="QA26" s="172"/>
      <c r="QB26" s="172"/>
      <c r="QC26" s="172"/>
      <c r="QD26" s="172"/>
      <c r="QE26" s="172"/>
      <c r="QF26" s="172"/>
      <c r="QG26" s="172"/>
      <c r="QH26" s="172"/>
      <c r="QI26" s="172"/>
      <c r="QJ26" s="172"/>
      <c r="QK26" s="172"/>
      <c r="QL26" s="172"/>
      <c r="QM26" s="172"/>
      <c r="QN26" s="172"/>
      <c r="QO26" s="172"/>
      <c r="QP26" s="172"/>
      <c r="QQ26" s="172"/>
      <c r="QR26" s="172"/>
      <c r="QS26" s="172"/>
      <c r="QT26" s="172"/>
      <c r="QU26" s="172"/>
      <c r="QV26" s="172"/>
      <c r="QW26" s="172"/>
      <c r="QX26" s="172"/>
      <c r="QY26" s="172"/>
      <c r="QZ26" s="172"/>
      <c r="RA26" s="172"/>
      <c r="RB26" s="172"/>
      <c r="RC26" s="172"/>
      <c r="RD26" s="172"/>
      <c r="RE26" s="172"/>
      <c r="RF26" s="172"/>
      <c r="RG26" s="172"/>
      <c r="RH26" s="172"/>
      <c r="RI26" s="172"/>
      <c r="RJ26" s="172"/>
      <c r="RK26" s="172"/>
      <c r="RL26" s="172"/>
      <c r="RM26" s="172"/>
      <c r="RN26" s="172"/>
      <c r="RO26" s="172"/>
      <c r="RP26" s="172"/>
      <c r="RQ26" s="172"/>
      <c r="RR26" s="172"/>
      <c r="RS26" s="172"/>
      <c r="RT26" s="172"/>
      <c r="RU26" s="172"/>
      <c r="RV26" s="172"/>
      <c r="RW26" s="172"/>
      <c r="RX26" s="172"/>
      <c r="RY26" s="172"/>
      <c r="RZ26" s="172"/>
      <c r="SA26" s="172"/>
      <c r="SB26" s="172"/>
      <c r="SC26" s="172"/>
      <c r="SD26" s="172"/>
      <c r="SE26" s="172"/>
      <c r="SF26" s="172"/>
      <c r="SG26" s="172"/>
      <c r="SH26" s="172"/>
      <c r="SI26" s="172"/>
      <c r="SJ26" s="172"/>
      <c r="SK26" s="172"/>
      <c r="SL26" s="172"/>
      <c r="SM26" s="172"/>
      <c r="SN26" s="172"/>
      <c r="SO26" s="172"/>
      <c r="SP26" s="172"/>
      <c r="SQ26" s="172"/>
      <c r="SR26" s="172"/>
      <c r="SS26" s="172"/>
      <c r="ST26" s="172"/>
      <c r="SU26" s="172"/>
      <c r="SV26" s="172"/>
      <c r="SW26" s="172"/>
      <c r="SX26" s="172"/>
      <c r="SY26" s="172"/>
      <c r="SZ26" s="172"/>
      <c r="TA26" s="172"/>
      <c r="TB26" s="172"/>
      <c r="TC26" s="172"/>
      <c r="TD26" s="172"/>
      <c r="TE26" s="172"/>
      <c r="TF26" s="172"/>
      <c r="TG26" s="172"/>
      <c r="TH26" s="172"/>
      <c r="TI26" s="172"/>
      <c r="TJ26" s="172"/>
      <c r="TK26" s="172"/>
      <c r="TL26" s="172"/>
      <c r="TM26" s="172"/>
      <c r="TN26" s="172"/>
      <c r="TO26" s="172"/>
      <c r="TP26" s="172"/>
      <c r="TQ26" s="172"/>
      <c r="TR26" s="172"/>
      <c r="TS26" s="172"/>
      <c r="TT26" s="172"/>
      <c r="TU26" s="172"/>
      <c r="TV26" s="172"/>
      <c r="TW26" s="172"/>
      <c r="TX26" s="172"/>
      <c r="TY26" s="172"/>
      <c r="TZ26" s="172"/>
      <c r="UA26" s="172"/>
      <c r="UB26" s="172"/>
      <c r="UC26" s="172"/>
      <c r="UD26" s="172"/>
      <c r="UE26" s="172"/>
      <c r="UF26" s="172"/>
      <c r="UG26" s="172"/>
      <c r="UH26" s="172"/>
      <c r="UI26" s="172"/>
      <c r="UJ26" s="172"/>
      <c r="UK26" s="172"/>
      <c r="UL26" s="172"/>
      <c r="UM26" s="172"/>
      <c r="UN26" s="172"/>
      <c r="UO26" s="172"/>
      <c r="UP26" s="172"/>
      <c r="UQ26" s="172"/>
      <c r="UR26" s="172"/>
      <c r="US26" s="172"/>
      <c r="UT26" s="172"/>
      <c r="UU26" s="172"/>
      <c r="UV26" s="172"/>
      <c r="UW26" s="172"/>
      <c r="UX26" s="172"/>
      <c r="UY26" s="172"/>
      <c r="UZ26" s="172"/>
      <c r="VA26" s="172"/>
      <c r="VB26" s="172"/>
      <c r="VC26" s="172"/>
      <c r="VD26" s="172"/>
      <c r="VE26" s="172"/>
      <c r="VF26" s="172"/>
      <c r="VG26" s="172"/>
      <c r="VH26" s="172"/>
      <c r="VI26" s="172"/>
      <c r="VJ26" s="172"/>
      <c r="VK26" s="172"/>
      <c r="VL26" s="172"/>
      <c r="VM26" s="172"/>
      <c r="VN26" s="172"/>
      <c r="VO26" s="172"/>
      <c r="VP26" s="172"/>
      <c r="VQ26" s="172"/>
      <c r="VR26" s="172"/>
      <c r="VS26" s="172"/>
      <c r="VT26" s="172"/>
      <c r="VU26" s="172"/>
      <c r="VV26" s="172"/>
      <c r="VW26" s="172"/>
      <c r="VX26" s="172"/>
      <c r="VY26" s="172"/>
      <c r="VZ26" s="172"/>
      <c r="WA26" s="172"/>
      <c r="WB26" s="172"/>
      <c r="WC26" s="172"/>
      <c r="WD26" s="172"/>
      <c r="WE26" s="172"/>
      <c r="WF26" s="172"/>
      <c r="WG26" s="172"/>
      <c r="WH26" s="172"/>
      <c r="WI26" s="172"/>
      <c r="WJ26" s="172"/>
      <c r="WK26" s="172"/>
      <c r="WL26" s="172"/>
      <c r="WM26" s="172"/>
      <c r="WN26" s="172"/>
      <c r="WO26" s="172"/>
      <c r="WP26" s="172"/>
      <c r="WQ26" s="172"/>
      <c r="WR26" s="172"/>
      <c r="WS26" s="172"/>
      <c r="WT26" s="172"/>
      <c r="WU26" s="172"/>
      <c r="WV26" s="172"/>
      <c r="WW26" s="172"/>
      <c r="WX26" s="172"/>
      <c r="WY26" s="172"/>
      <c r="WZ26" s="172"/>
      <c r="XA26" s="172"/>
      <c r="XB26" s="172"/>
      <c r="XC26" s="172"/>
      <c r="XD26" s="172"/>
      <c r="XE26" s="172"/>
      <c r="XF26" s="172"/>
      <c r="XG26" s="172"/>
      <c r="XH26" s="172"/>
      <c r="XI26" s="172"/>
      <c r="XJ26" s="172"/>
      <c r="XK26" s="172"/>
      <c r="XL26" s="172"/>
      <c r="XM26" s="172"/>
      <c r="XN26" s="172"/>
      <c r="XO26" s="172"/>
      <c r="XP26" s="172"/>
      <c r="XQ26" s="172"/>
      <c r="XR26" s="172"/>
      <c r="XS26" s="172"/>
      <c r="XT26" s="172"/>
      <c r="XU26" s="172"/>
      <c r="XV26" s="172"/>
      <c r="XW26" s="172"/>
      <c r="XX26" s="172"/>
      <c r="XY26" s="172"/>
      <c r="XZ26" s="172"/>
      <c r="YA26" s="172"/>
      <c r="YB26" s="172"/>
      <c r="YC26" s="172"/>
      <c r="YD26" s="172"/>
      <c r="YE26" s="172"/>
      <c r="YF26" s="172"/>
      <c r="YG26" s="172"/>
      <c r="YH26" s="172"/>
      <c r="YI26" s="172"/>
      <c r="YJ26" s="172"/>
      <c r="YK26" s="172"/>
      <c r="YL26" s="172"/>
      <c r="YM26" s="172"/>
      <c r="YN26" s="172"/>
      <c r="YO26" s="172"/>
      <c r="YP26" s="172"/>
      <c r="YQ26" s="172"/>
      <c r="YR26" s="172"/>
      <c r="YS26" s="172"/>
      <c r="YT26" s="172"/>
      <c r="YU26" s="172"/>
      <c r="YV26" s="172"/>
      <c r="YW26" s="172"/>
      <c r="YX26" s="172"/>
      <c r="YY26" s="172"/>
      <c r="YZ26" s="172"/>
      <c r="ZA26" s="172"/>
      <c r="ZB26" s="172"/>
      <c r="ZC26" s="172"/>
      <c r="ZD26" s="172"/>
      <c r="ZE26" s="172"/>
      <c r="ZF26" s="172"/>
      <c r="ZG26" s="172"/>
      <c r="ZH26" s="172"/>
      <c r="ZI26" s="172"/>
      <c r="ZJ26" s="172"/>
      <c r="ZK26" s="172"/>
      <c r="ZL26" s="172"/>
      <c r="ZM26" s="172"/>
      <c r="ZN26" s="172"/>
      <c r="ZO26" s="172"/>
      <c r="ZP26" s="172"/>
      <c r="ZQ26" s="172"/>
      <c r="ZR26" s="172"/>
      <c r="ZS26" s="172"/>
      <c r="ZT26" s="172"/>
      <c r="ZU26" s="172"/>
      <c r="ZV26" s="172"/>
      <c r="ZW26" s="172"/>
      <c r="ZX26" s="172"/>
      <c r="ZY26" s="172"/>
      <c r="ZZ26" s="172"/>
      <c r="AAA26" s="172"/>
      <c r="AAB26" s="172"/>
      <c r="AAC26" s="172"/>
      <c r="AAD26" s="172"/>
      <c r="AAE26" s="172"/>
      <c r="AAF26" s="172"/>
      <c r="AAG26" s="172"/>
      <c r="AAH26" s="172"/>
      <c r="AAI26" s="172"/>
      <c r="AAJ26" s="172"/>
      <c r="AAK26" s="172"/>
      <c r="AAL26" s="172"/>
      <c r="AAM26" s="172"/>
      <c r="AAN26" s="172"/>
      <c r="AAO26" s="172"/>
      <c r="AAP26" s="172"/>
      <c r="AAQ26" s="172"/>
      <c r="AAR26" s="172"/>
      <c r="AAS26" s="172"/>
      <c r="AAT26" s="172"/>
      <c r="AAU26" s="172"/>
      <c r="AAV26" s="172"/>
      <c r="AAW26" s="172"/>
      <c r="AAX26" s="172"/>
      <c r="AAY26" s="172"/>
      <c r="AAZ26" s="172"/>
      <c r="ABA26" s="172"/>
      <c r="ABB26" s="172"/>
      <c r="ABC26" s="172"/>
      <c r="ABD26" s="172"/>
      <c r="ABE26" s="172"/>
      <c r="ABF26" s="172"/>
      <c r="ABG26" s="172"/>
      <c r="ABH26" s="172"/>
      <c r="ABI26" s="172"/>
      <c r="ABJ26" s="172"/>
      <c r="ABK26" s="172"/>
      <c r="ABL26" s="172"/>
      <c r="ABM26" s="172"/>
      <c r="ABN26" s="172"/>
      <c r="ABO26" s="172"/>
      <c r="ABP26" s="172"/>
      <c r="ABQ26" s="172"/>
      <c r="ABR26" s="172"/>
      <c r="ABS26" s="172"/>
      <c r="ABT26" s="172"/>
      <c r="ABU26" s="172"/>
      <c r="ABV26" s="172"/>
      <c r="ABW26" s="172"/>
      <c r="ABX26" s="172"/>
      <c r="ABY26" s="172"/>
      <c r="ABZ26" s="172"/>
      <c r="ACA26" s="172"/>
      <c r="ACB26" s="172"/>
      <c r="ACC26" s="172"/>
      <c r="ACD26" s="172"/>
      <c r="ACE26" s="172"/>
      <c r="ACF26" s="172"/>
      <c r="ACG26" s="172"/>
      <c r="ACH26" s="172"/>
      <c r="ACI26" s="172"/>
      <c r="ACJ26" s="172"/>
      <c r="ACK26" s="172"/>
      <c r="ACL26" s="172"/>
      <c r="ACM26" s="172"/>
      <c r="ACN26" s="172"/>
      <c r="ACO26" s="172"/>
      <c r="ACP26" s="172"/>
      <c r="ACQ26" s="172"/>
      <c r="ACR26" s="172"/>
      <c r="ACS26" s="172"/>
      <c r="ACT26" s="172"/>
      <c r="ACU26" s="172"/>
      <c r="ACV26" s="172"/>
      <c r="ACW26" s="172"/>
      <c r="ACX26" s="172"/>
      <c r="ACY26" s="172"/>
      <c r="ACZ26" s="172"/>
      <c r="ADA26" s="172"/>
      <c r="ADB26" s="172"/>
      <c r="ADC26" s="172"/>
      <c r="ADD26" s="172"/>
      <c r="ADE26" s="172"/>
      <c r="ADF26" s="172"/>
      <c r="ADG26" s="172"/>
      <c r="ADH26" s="172"/>
      <c r="ADI26" s="172"/>
      <c r="ADJ26" s="172"/>
      <c r="ADK26" s="172"/>
      <c r="ADL26" s="172"/>
      <c r="ADM26" s="172"/>
      <c r="ADN26" s="172"/>
      <c r="ADO26" s="172"/>
      <c r="ADP26" s="172"/>
      <c r="ADQ26" s="172"/>
      <c r="ADR26" s="172"/>
      <c r="ADS26" s="172"/>
      <c r="ADT26" s="172"/>
      <c r="ADU26" s="172"/>
      <c r="ADV26" s="172"/>
      <c r="ADW26" s="172"/>
      <c r="ADX26" s="172"/>
      <c r="ADY26" s="172"/>
      <c r="ADZ26" s="172"/>
      <c r="AEA26" s="172"/>
      <c r="AEB26" s="172"/>
      <c r="AEC26" s="172"/>
      <c r="AED26" s="172"/>
      <c r="AEE26" s="172"/>
      <c r="AEF26" s="172"/>
      <c r="AEG26" s="172"/>
      <c r="AEH26" s="172"/>
      <c r="AEI26" s="172"/>
      <c r="AEJ26" s="172"/>
      <c r="AEK26" s="172"/>
      <c r="AEL26" s="172"/>
      <c r="AEM26" s="172"/>
      <c r="AEN26" s="172"/>
      <c r="AEO26" s="172"/>
      <c r="AEP26" s="172"/>
      <c r="AEQ26" s="172"/>
      <c r="AER26" s="172"/>
      <c r="AES26" s="172"/>
      <c r="AET26" s="172"/>
      <c r="AEU26" s="172"/>
      <c r="AEV26" s="172"/>
      <c r="AEW26" s="172"/>
      <c r="AEX26" s="172"/>
      <c r="AEY26" s="172"/>
      <c r="AEZ26" s="172"/>
      <c r="AFA26" s="172"/>
      <c r="AFB26" s="172"/>
      <c r="AFC26" s="172"/>
      <c r="AFD26" s="172"/>
      <c r="AFE26" s="172"/>
      <c r="AFF26" s="172"/>
      <c r="AFG26" s="172"/>
      <c r="AFH26" s="172"/>
      <c r="AFI26" s="172"/>
      <c r="AFJ26" s="172"/>
      <c r="AFK26" s="172"/>
      <c r="AFL26" s="172"/>
      <c r="AFM26" s="172"/>
      <c r="AFN26" s="172"/>
      <c r="AFO26" s="172"/>
      <c r="AFP26" s="172"/>
      <c r="AFQ26" s="172"/>
      <c r="AFR26" s="172"/>
      <c r="AFS26" s="172"/>
      <c r="AFT26" s="172"/>
      <c r="AFU26" s="172"/>
      <c r="AFV26" s="172"/>
      <c r="AFW26" s="172"/>
      <c r="AFX26" s="172"/>
      <c r="AFY26" s="172"/>
      <c r="AFZ26" s="172"/>
      <c r="AGA26" s="172"/>
      <c r="AGB26" s="172"/>
      <c r="AGC26" s="172"/>
      <c r="AGD26" s="172"/>
      <c r="AGE26" s="172"/>
      <c r="AGF26" s="172"/>
      <c r="AGG26" s="172"/>
      <c r="AGH26" s="172"/>
      <c r="AGI26" s="172"/>
      <c r="AGJ26" s="172"/>
      <c r="AGK26" s="172"/>
      <c r="AGL26" s="172"/>
      <c r="AGM26" s="172"/>
      <c r="AGN26" s="172"/>
      <c r="AGO26" s="172"/>
      <c r="AGP26" s="172"/>
      <c r="AGQ26" s="172"/>
      <c r="AGR26" s="172"/>
      <c r="AGS26" s="172"/>
      <c r="AGT26" s="172"/>
      <c r="AGU26" s="172"/>
      <c r="AGV26" s="172"/>
      <c r="AGW26" s="172"/>
      <c r="AGX26" s="172"/>
      <c r="AGY26" s="172"/>
      <c r="AGZ26" s="172"/>
      <c r="AHA26" s="172"/>
      <c r="AHB26" s="172"/>
      <c r="AHC26" s="172"/>
      <c r="AHD26" s="172"/>
      <c r="AHE26" s="172"/>
      <c r="AHF26" s="172"/>
      <c r="AHG26" s="172"/>
      <c r="AHH26" s="172"/>
      <c r="AHI26" s="172"/>
      <c r="AHJ26" s="172"/>
      <c r="AHK26" s="172"/>
      <c r="AHL26" s="172"/>
      <c r="AHM26" s="172"/>
      <c r="AHN26" s="172"/>
      <c r="AHO26" s="172"/>
      <c r="AHP26" s="172"/>
      <c r="AHQ26" s="172"/>
      <c r="AHR26" s="172"/>
      <c r="AHS26" s="172"/>
      <c r="AHT26" s="172"/>
      <c r="AHU26" s="172"/>
      <c r="AHV26" s="172"/>
      <c r="AHW26" s="172"/>
      <c r="AHX26" s="172"/>
      <c r="AHY26" s="172"/>
      <c r="AHZ26" s="172"/>
      <c r="AIA26" s="172"/>
      <c r="AIB26" s="172"/>
      <c r="AIC26" s="172"/>
      <c r="AID26" s="172"/>
      <c r="AIE26" s="172"/>
      <c r="AIF26" s="172"/>
      <c r="AIG26" s="172"/>
      <c r="AIH26" s="172"/>
      <c r="AII26" s="172"/>
      <c r="AIJ26" s="172"/>
      <c r="AIK26" s="172"/>
      <c r="AIL26" s="172"/>
      <c r="AIM26" s="172"/>
      <c r="AIN26" s="172"/>
      <c r="AIO26" s="172"/>
      <c r="AIP26" s="172"/>
      <c r="AIQ26" s="172"/>
      <c r="AIR26" s="172"/>
      <c r="AIS26" s="172"/>
      <c r="AIT26" s="172"/>
      <c r="AIU26" s="172"/>
      <c r="AIV26" s="172"/>
      <c r="AIW26" s="172"/>
      <c r="AIX26" s="172"/>
      <c r="AIY26" s="172"/>
      <c r="AIZ26" s="172"/>
      <c r="AJA26" s="172"/>
      <c r="AJB26" s="172"/>
      <c r="AJC26" s="172"/>
      <c r="AJD26" s="172"/>
      <c r="AJE26" s="172"/>
      <c r="AJF26" s="172"/>
      <c r="AJG26" s="172"/>
      <c r="AJH26" s="172"/>
      <c r="AJI26" s="172"/>
      <c r="AJJ26" s="172"/>
      <c r="AJK26" s="172"/>
      <c r="AJL26" s="172"/>
      <c r="AJM26" s="172"/>
      <c r="AJN26" s="172"/>
      <c r="AJO26" s="172"/>
      <c r="AJP26" s="172"/>
      <c r="AJQ26" s="172"/>
      <c r="AJR26" s="172"/>
      <c r="AJS26" s="172"/>
      <c r="AJT26" s="172"/>
      <c r="AJU26" s="172"/>
      <c r="AJV26" s="172"/>
      <c r="AJW26" s="172"/>
      <c r="AJX26" s="172"/>
      <c r="AJY26" s="172"/>
      <c r="AJZ26" s="172"/>
      <c r="AKA26" s="172"/>
      <c r="AKB26" s="172"/>
      <c r="AKC26" s="172"/>
      <c r="AKD26" s="172"/>
      <c r="AKE26" s="172"/>
      <c r="AKF26" s="172"/>
      <c r="AKG26" s="172"/>
      <c r="AKH26" s="172"/>
      <c r="AKI26" s="172"/>
      <c r="AKJ26" s="172"/>
      <c r="AKK26" s="172"/>
      <c r="AKL26" s="172"/>
      <c r="AKM26" s="172"/>
      <c r="AKN26" s="172"/>
      <c r="AKO26" s="172"/>
      <c r="AKP26" s="172"/>
      <c r="AKQ26" s="172"/>
      <c r="AKR26" s="172"/>
      <c r="AKS26" s="172"/>
      <c r="AKT26" s="172"/>
      <c r="AKU26" s="172"/>
      <c r="AKV26" s="172"/>
      <c r="AKW26" s="172"/>
      <c r="AKX26" s="172"/>
      <c r="AKY26" s="172"/>
      <c r="AKZ26" s="172"/>
      <c r="ALA26" s="172"/>
      <c r="ALB26" s="172"/>
      <c r="ALC26" s="172"/>
      <c r="ALD26" s="172"/>
      <c r="ALE26" s="172"/>
      <c r="ALF26" s="172"/>
      <c r="ALG26" s="172"/>
      <c r="ALH26" s="172"/>
      <c r="ALI26" s="172"/>
      <c r="ALJ26" s="172"/>
      <c r="ALK26" s="172"/>
      <c r="ALL26" s="172"/>
      <c r="ALM26" s="172"/>
      <c r="ALN26" s="172"/>
      <c r="ALO26" s="172"/>
      <c r="ALP26" s="172"/>
      <c r="ALQ26" s="172"/>
      <c r="ALR26" s="172"/>
      <c r="ALS26" s="172"/>
      <c r="ALT26" s="172"/>
      <c r="ALU26" s="172"/>
      <c r="ALV26" s="172"/>
      <c r="ALW26" s="172"/>
      <c r="ALX26" s="172"/>
      <c r="ALY26" s="172"/>
      <c r="ALZ26" s="172"/>
      <c r="AMA26" s="172"/>
      <c r="AMB26" s="172"/>
      <c r="AMC26" s="172"/>
      <c r="AMD26" s="172"/>
      <c r="AME26" s="172"/>
      <c r="AMF26" s="172"/>
      <c r="AMG26" s="172"/>
      <c r="AMH26" s="172"/>
      <c r="AMI26" s="172"/>
      <c r="AMJ26" s="172"/>
      <c r="AMK26" s="172"/>
      <c r="AML26" s="172"/>
      <c r="AMM26" s="172"/>
      <c r="AMN26" s="172"/>
      <c r="AMO26" s="172"/>
      <c r="AMP26" s="172"/>
      <c r="AMQ26" s="172"/>
      <c r="AMR26" s="172"/>
      <c r="AMS26" s="172"/>
      <c r="AMT26" s="172"/>
      <c r="AMU26" s="172"/>
      <c r="AMV26" s="172"/>
      <c r="AMW26" s="172"/>
      <c r="AMX26" s="172"/>
      <c r="AMY26" s="172"/>
      <c r="AMZ26" s="172"/>
      <c r="ANA26" s="172"/>
      <c r="ANB26" s="172"/>
      <c r="ANC26" s="172"/>
      <c r="AND26" s="172"/>
      <c r="ANE26" s="172"/>
      <c r="ANF26" s="172"/>
      <c r="ANG26" s="172"/>
      <c r="ANH26" s="172"/>
      <c r="ANI26" s="172"/>
      <c r="ANJ26" s="172"/>
      <c r="ANK26" s="172"/>
      <c r="ANL26" s="172"/>
      <c r="ANM26" s="172"/>
      <c r="ANN26" s="172"/>
      <c r="ANO26" s="172"/>
      <c r="ANP26" s="172"/>
      <c r="ANQ26" s="172"/>
      <c r="ANR26" s="172"/>
      <c r="ANS26" s="172"/>
      <c r="ANT26" s="172"/>
      <c r="ANU26" s="172"/>
      <c r="ANV26" s="172"/>
      <c r="ANW26" s="172"/>
      <c r="ANX26" s="172"/>
      <c r="ANY26" s="172"/>
      <c r="ANZ26" s="172"/>
      <c r="AOA26" s="172"/>
      <c r="AOB26" s="172"/>
      <c r="AOC26" s="172"/>
      <c r="AOD26" s="172"/>
      <c r="AOE26" s="172"/>
      <c r="AOF26" s="172"/>
      <c r="AOG26" s="172"/>
      <c r="AOH26" s="172"/>
      <c r="AOI26" s="172"/>
      <c r="AOJ26" s="172"/>
      <c r="AOK26" s="172"/>
      <c r="AOL26" s="172"/>
      <c r="AOM26" s="172"/>
      <c r="AON26" s="172"/>
      <c r="AOO26" s="172"/>
      <c r="AOP26" s="172"/>
      <c r="AOQ26" s="172"/>
      <c r="AOR26" s="172"/>
      <c r="AOS26" s="172"/>
      <c r="AOT26" s="172"/>
      <c r="AOU26" s="172"/>
      <c r="AOV26" s="172"/>
      <c r="AOW26" s="172"/>
      <c r="AOX26" s="172"/>
      <c r="AOY26" s="172"/>
      <c r="AOZ26" s="172"/>
      <c r="APA26" s="172"/>
      <c r="APB26" s="172"/>
      <c r="APC26" s="172"/>
      <c r="APD26" s="172"/>
      <c r="APE26" s="172"/>
      <c r="APF26" s="172"/>
      <c r="APG26" s="172"/>
      <c r="APH26" s="172"/>
      <c r="API26" s="172"/>
      <c r="APJ26" s="172"/>
      <c r="APK26" s="172"/>
      <c r="APL26" s="172"/>
      <c r="APM26" s="172"/>
      <c r="APN26" s="172"/>
      <c r="APO26" s="172"/>
      <c r="APP26" s="172"/>
      <c r="APQ26" s="172"/>
      <c r="APR26" s="172"/>
      <c r="APS26" s="172"/>
      <c r="APT26" s="172"/>
      <c r="APU26" s="172"/>
      <c r="APV26" s="172"/>
      <c r="APW26" s="172"/>
      <c r="APX26" s="172"/>
      <c r="APY26" s="172"/>
      <c r="APZ26" s="172"/>
      <c r="AQA26" s="172"/>
      <c r="AQB26" s="172"/>
      <c r="AQC26" s="172"/>
      <c r="AQD26" s="172"/>
      <c r="AQE26" s="172"/>
      <c r="AQF26" s="172"/>
      <c r="AQG26" s="172"/>
      <c r="AQH26" s="172"/>
      <c r="AQI26" s="172"/>
      <c r="AQJ26" s="172"/>
      <c r="AQK26" s="172"/>
      <c r="AQL26" s="172"/>
      <c r="AQM26" s="172"/>
      <c r="AQN26" s="172"/>
      <c r="AQO26" s="172"/>
      <c r="AQP26" s="172"/>
      <c r="AQQ26" s="172"/>
      <c r="AQR26" s="172"/>
      <c r="AQS26" s="172"/>
      <c r="AQT26" s="172"/>
      <c r="AQU26" s="172"/>
      <c r="AQV26" s="172"/>
      <c r="AQW26" s="172"/>
      <c r="AQX26" s="172"/>
      <c r="AQY26" s="172"/>
      <c r="AQZ26" s="172"/>
      <c r="ARA26" s="172"/>
      <c r="ARB26" s="172"/>
      <c r="ARC26" s="172"/>
      <c r="ARD26" s="172"/>
      <c r="ARE26" s="172"/>
      <c r="ARF26" s="172"/>
      <c r="ARG26" s="172"/>
      <c r="ARH26" s="172"/>
      <c r="ARI26" s="172"/>
      <c r="ARJ26" s="172"/>
      <c r="ARK26" s="172"/>
      <c r="ARL26" s="172"/>
      <c r="ARM26" s="172"/>
      <c r="ARN26" s="172"/>
      <c r="ARO26" s="172"/>
      <c r="ARP26" s="172"/>
      <c r="ARQ26" s="172"/>
      <c r="ARR26" s="172"/>
      <c r="ARS26" s="172"/>
      <c r="ART26" s="172"/>
      <c r="ARU26" s="172"/>
    </row>
    <row r="27" spans="1:1165" s="257" customFormat="1">
      <c r="A27" s="220" t="s">
        <v>170</v>
      </c>
      <c r="B27" s="195"/>
      <c r="C27" s="258">
        <f>SUM(C23:C26)</f>
        <v>166852</v>
      </c>
      <c r="D27" s="258">
        <f>SUM(D23:D26)</f>
        <v>34499639</v>
      </c>
      <c r="E27" s="258">
        <v>0</v>
      </c>
      <c r="F27" s="258">
        <v>0</v>
      </c>
      <c r="G27" s="258">
        <v>0</v>
      </c>
      <c r="H27" s="258">
        <v>0</v>
      </c>
      <c r="I27" s="258">
        <v>0</v>
      </c>
      <c r="J27" s="258">
        <v>0</v>
      </c>
      <c r="K27" s="258">
        <v>0</v>
      </c>
      <c r="L27" s="258">
        <v>0</v>
      </c>
      <c r="M27" s="258">
        <v>0</v>
      </c>
      <c r="N27" s="258">
        <v>0</v>
      </c>
      <c r="O27" s="258">
        <v>0</v>
      </c>
      <c r="P27" s="258">
        <v>0</v>
      </c>
      <c r="Q27" s="258">
        <v>0</v>
      </c>
      <c r="R27" s="258">
        <v>0</v>
      </c>
      <c r="S27" s="258">
        <v>0</v>
      </c>
      <c r="T27" s="258">
        <v>0</v>
      </c>
      <c r="U27" s="258">
        <v>0</v>
      </c>
      <c r="V27" s="258">
        <v>0</v>
      </c>
      <c r="W27" s="258">
        <v>0</v>
      </c>
      <c r="X27" s="258">
        <v>0</v>
      </c>
      <c r="Y27" s="258">
        <v>0</v>
      </c>
      <c r="Z27" s="258">
        <v>0</v>
      </c>
      <c r="AA27" s="258">
        <v>0</v>
      </c>
      <c r="AB27" s="258">
        <v>0</v>
      </c>
      <c r="AC27" s="258">
        <v>0</v>
      </c>
      <c r="AD27" s="258">
        <v>0</v>
      </c>
      <c r="AE27" s="258">
        <v>0</v>
      </c>
      <c r="AF27" s="258">
        <v>0</v>
      </c>
      <c r="AG27" s="258">
        <v>0</v>
      </c>
      <c r="AH27" s="258">
        <v>0</v>
      </c>
      <c r="AI27" s="258">
        <v>0</v>
      </c>
      <c r="AJ27" s="258">
        <v>0</v>
      </c>
      <c r="AK27" s="258">
        <v>0</v>
      </c>
      <c r="AL27" s="258">
        <v>0</v>
      </c>
      <c r="AM27" s="258">
        <v>0</v>
      </c>
      <c r="AN27" s="258">
        <v>0</v>
      </c>
      <c r="AO27" s="258">
        <v>0</v>
      </c>
      <c r="AP27" s="258">
        <v>0</v>
      </c>
      <c r="AQ27" s="258">
        <v>0</v>
      </c>
      <c r="AR27" s="258">
        <v>0</v>
      </c>
      <c r="AS27" s="258">
        <v>0</v>
      </c>
      <c r="AT27" s="258">
        <v>0</v>
      </c>
      <c r="AU27" s="258">
        <v>0</v>
      </c>
      <c r="AV27" s="258">
        <v>0</v>
      </c>
      <c r="AW27" s="258">
        <v>0</v>
      </c>
      <c r="AX27" s="258">
        <v>0</v>
      </c>
      <c r="AY27" s="224">
        <v>0</v>
      </c>
      <c r="AZ27" s="224">
        <v>0</v>
      </c>
      <c r="BA27" s="227"/>
      <c r="BB27" s="258"/>
      <c r="BC27" s="258"/>
      <c r="BD27" s="258"/>
      <c r="BE27" s="258"/>
      <c r="BF27" s="258"/>
      <c r="BG27" s="258"/>
      <c r="BH27" s="258"/>
      <c r="BI27" s="227"/>
      <c r="BJ27" s="258">
        <f t="shared" si="50"/>
        <v>166852</v>
      </c>
      <c r="BK27" s="258">
        <f>D27+H27+J27+L27+N27+P27+R27+T27+V27+X27+Z27+AB27+AD27+AF27+AH27+AJ27+AL27+AN27+AP27+AR27+AT27+AV27+AX27+AZ27+BD27+BH27</f>
        <v>34499639</v>
      </c>
      <c r="BL27" s="172"/>
      <c r="BM27" s="231"/>
      <c r="BN27" s="231"/>
      <c r="BO27" s="231"/>
      <c r="BP27" s="231"/>
      <c r="BQ27" s="172"/>
      <c r="BR27" s="172"/>
      <c r="BS27" s="172"/>
      <c r="BT27" s="172"/>
      <c r="BU27" s="172"/>
      <c r="BV27" s="172"/>
      <c r="BW27" s="172"/>
      <c r="BX27" s="172"/>
      <c r="BY27" s="172"/>
      <c r="BZ27" s="172"/>
      <c r="CA27" s="172"/>
      <c r="CB27" s="172"/>
      <c r="CC27" s="172"/>
      <c r="CD27" s="172"/>
      <c r="CE27" s="172"/>
      <c r="CF27" s="172"/>
      <c r="CG27" s="172"/>
      <c r="CH27" s="172"/>
      <c r="CI27" s="172"/>
      <c r="CJ27" s="172"/>
      <c r="CK27" s="172"/>
      <c r="CL27" s="172"/>
      <c r="CM27" s="172"/>
      <c r="CN27" s="172"/>
      <c r="CO27" s="172"/>
      <c r="CP27" s="172"/>
      <c r="CQ27" s="172"/>
      <c r="CR27" s="172"/>
      <c r="CS27" s="172"/>
      <c r="CT27" s="172"/>
      <c r="CU27" s="172"/>
      <c r="CV27" s="172"/>
      <c r="CW27" s="172"/>
      <c r="CX27" s="172"/>
      <c r="CY27" s="172"/>
      <c r="CZ27" s="172"/>
      <c r="DA27" s="172"/>
      <c r="DB27" s="172"/>
      <c r="DC27" s="172"/>
      <c r="DD27" s="172"/>
      <c r="DE27" s="172"/>
      <c r="DF27" s="172"/>
      <c r="DG27" s="172"/>
      <c r="DH27" s="172"/>
      <c r="DI27" s="172"/>
      <c r="DJ27" s="172"/>
      <c r="DK27" s="172"/>
      <c r="DL27" s="172"/>
      <c r="DM27" s="172"/>
      <c r="DN27" s="172"/>
      <c r="DO27" s="172"/>
      <c r="DP27" s="172"/>
      <c r="DQ27" s="172"/>
      <c r="DR27" s="172"/>
      <c r="DS27" s="172"/>
      <c r="DT27" s="172"/>
      <c r="DU27" s="172"/>
      <c r="DV27" s="172"/>
      <c r="DW27" s="172"/>
      <c r="DX27" s="172"/>
      <c r="DY27" s="172"/>
      <c r="DZ27" s="172"/>
      <c r="EA27" s="172"/>
      <c r="EB27" s="172"/>
      <c r="EC27" s="172"/>
      <c r="ED27" s="172"/>
      <c r="EE27" s="172"/>
      <c r="EF27" s="172"/>
      <c r="EG27" s="172"/>
      <c r="EH27" s="172"/>
      <c r="EI27" s="172"/>
      <c r="EJ27" s="172"/>
      <c r="EK27" s="172"/>
      <c r="EL27" s="172"/>
      <c r="EM27" s="172"/>
      <c r="EN27" s="172"/>
      <c r="EO27" s="172"/>
      <c r="EP27" s="172"/>
      <c r="EQ27" s="172"/>
      <c r="ER27" s="172"/>
      <c r="ES27" s="172"/>
      <c r="ET27" s="172"/>
      <c r="EU27" s="172"/>
      <c r="EV27" s="172"/>
      <c r="EW27" s="172"/>
      <c r="EX27" s="172"/>
      <c r="EY27" s="172"/>
      <c r="EZ27" s="172"/>
      <c r="FA27" s="172"/>
      <c r="FB27" s="172"/>
      <c r="FC27" s="172"/>
      <c r="FD27" s="172"/>
      <c r="FE27" s="172"/>
      <c r="FF27" s="172"/>
      <c r="FG27" s="172"/>
      <c r="FH27" s="172"/>
      <c r="FI27" s="172"/>
      <c r="FJ27" s="172"/>
      <c r="FK27" s="172"/>
      <c r="FL27" s="172"/>
      <c r="FM27" s="172"/>
      <c r="FN27" s="172"/>
      <c r="FO27" s="172"/>
      <c r="FP27" s="172"/>
      <c r="FQ27" s="172"/>
      <c r="FR27" s="172"/>
      <c r="FS27" s="172"/>
      <c r="FT27" s="172"/>
      <c r="FU27" s="172"/>
      <c r="FV27" s="172"/>
      <c r="FW27" s="172"/>
      <c r="FX27" s="172"/>
      <c r="FY27" s="172"/>
      <c r="FZ27" s="172"/>
      <c r="GA27" s="172"/>
      <c r="GB27" s="172"/>
      <c r="GC27" s="172"/>
      <c r="GD27" s="172"/>
      <c r="GE27" s="172"/>
      <c r="GF27" s="172"/>
      <c r="GG27" s="172"/>
      <c r="GH27" s="172"/>
      <c r="GI27" s="172"/>
      <c r="GJ27" s="172"/>
      <c r="GK27" s="172"/>
      <c r="GL27" s="172"/>
      <c r="GM27" s="172"/>
      <c r="GN27" s="172"/>
      <c r="GO27" s="172"/>
      <c r="GP27" s="172"/>
      <c r="GQ27" s="172"/>
      <c r="GR27" s="172"/>
      <c r="GS27" s="172"/>
      <c r="GT27" s="172"/>
      <c r="GU27" s="172"/>
      <c r="GV27" s="172"/>
      <c r="GW27" s="172"/>
      <c r="GX27" s="172"/>
      <c r="GY27" s="172"/>
      <c r="GZ27" s="172"/>
      <c r="HA27" s="172"/>
      <c r="HB27" s="172"/>
      <c r="HC27" s="172"/>
      <c r="HD27" s="172"/>
      <c r="HE27" s="172"/>
      <c r="HF27" s="172"/>
      <c r="HG27" s="172"/>
      <c r="HH27" s="172"/>
      <c r="HI27" s="172"/>
      <c r="HJ27" s="172"/>
      <c r="HK27" s="172"/>
      <c r="HL27" s="172"/>
      <c r="HM27" s="172"/>
      <c r="HN27" s="172"/>
      <c r="HO27" s="172"/>
      <c r="HP27" s="172"/>
      <c r="HQ27" s="172"/>
      <c r="HR27" s="172"/>
      <c r="HS27" s="172"/>
      <c r="HT27" s="172"/>
      <c r="HU27" s="172"/>
      <c r="HV27" s="172"/>
      <c r="HW27" s="172"/>
      <c r="HX27" s="172"/>
      <c r="HY27" s="172"/>
      <c r="HZ27" s="172"/>
      <c r="IA27" s="172"/>
      <c r="IB27" s="172"/>
      <c r="IC27" s="172"/>
      <c r="ID27" s="172"/>
      <c r="IE27" s="172"/>
      <c r="IF27" s="172"/>
      <c r="IG27" s="172"/>
      <c r="IH27" s="172"/>
      <c r="II27" s="172"/>
      <c r="IJ27" s="172"/>
      <c r="IK27" s="172"/>
      <c r="IL27" s="172"/>
      <c r="IM27" s="172"/>
      <c r="IN27" s="172"/>
      <c r="IO27" s="172"/>
      <c r="IP27" s="172"/>
      <c r="IQ27" s="172"/>
      <c r="IR27" s="172"/>
      <c r="IS27" s="172"/>
      <c r="IT27" s="172"/>
      <c r="IU27" s="172"/>
      <c r="IV27" s="172"/>
      <c r="IW27" s="172"/>
      <c r="IX27" s="172"/>
      <c r="IY27" s="172"/>
      <c r="IZ27" s="172"/>
      <c r="JA27" s="172"/>
      <c r="JB27" s="172"/>
      <c r="JC27" s="172"/>
      <c r="JD27" s="172"/>
      <c r="JE27" s="172"/>
      <c r="JF27" s="172"/>
      <c r="JG27" s="172"/>
      <c r="JH27" s="172"/>
      <c r="JI27" s="172"/>
      <c r="JJ27" s="172"/>
      <c r="JK27" s="172"/>
      <c r="JL27" s="172"/>
      <c r="JM27" s="172"/>
      <c r="JN27" s="172"/>
      <c r="JO27" s="172"/>
      <c r="JP27" s="172"/>
      <c r="JQ27" s="172"/>
      <c r="JR27" s="172"/>
      <c r="JS27" s="172"/>
      <c r="JT27" s="172"/>
      <c r="JU27" s="172"/>
      <c r="JV27" s="172"/>
      <c r="JW27" s="172"/>
      <c r="JX27" s="172"/>
      <c r="JY27" s="172"/>
      <c r="JZ27" s="172"/>
      <c r="KA27" s="172"/>
      <c r="KB27" s="172"/>
      <c r="KC27" s="172"/>
      <c r="KD27" s="172"/>
      <c r="KE27" s="172"/>
      <c r="KF27" s="172"/>
      <c r="KG27" s="172"/>
      <c r="KH27" s="172"/>
      <c r="KI27" s="172"/>
      <c r="KJ27" s="172"/>
      <c r="KK27" s="172"/>
      <c r="KL27" s="172"/>
      <c r="KM27" s="172"/>
      <c r="KN27" s="172"/>
      <c r="KO27" s="172"/>
      <c r="KP27" s="172"/>
      <c r="KQ27" s="172"/>
      <c r="KR27" s="172"/>
      <c r="KS27" s="172"/>
      <c r="KT27" s="172"/>
      <c r="KU27" s="172"/>
      <c r="KV27" s="172"/>
      <c r="KW27" s="172"/>
      <c r="KX27" s="172"/>
      <c r="KY27" s="172"/>
      <c r="KZ27" s="172"/>
      <c r="LA27" s="172"/>
      <c r="LB27" s="172"/>
      <c r="LC27" s="172"/>
      <c r="LD27" s="172"/>
      <c r="LE27" s="172"/>
      <c r="LF27" s="172"/>
      <c r="LG27" s="172"/>
      <c r="LH27" s="172"/>
      <c r="LI27" s="172"/>
      <c r="LJ27" s="172"/>
      <c r="LK27" s="172"/>
      <c r="LL27" s="172"/>
      <c r="LM27" s="172"/>
      <c r="LN27" s="172"/>
      <c r="LO27" s="172"/>
      <c r="LP27" s="172"/>
      <c r="LQ27" s="172"/>
      <c r="LR27" s="172"/>
      <c r="LS27" s="172"/>
      <c r="LT27" s="172"/>
      <c r="LU27" s="172"/>
      <c r="LV27" s="172"/>
      <c r="LW27" s="172"/>
      <c r="LX27" s="172"/>
      <c r="LY27" s="172"/>
      <c r="LZ27" s="172"/>
      <c r="MA27" s="172"/>
      <c r="MB27" s="172"/>
      <c r="MC27" s="172"/>
      <c r="MD27" s="172"/>
      <c r="ME27" s="172"/>
      <c r="MF27" s="172"/>
      <c r="MG27" s="172"/>
      <c r="MH27" s="172"/>
      <c r="MI27" s="172"/>
      <c r="MJ27" s="172"/>
      <c r="MK27" s="172"/>
      <c r="ML27" s="172"/>
      <c r="MM27" s="172"/>
      <c r="MN27" s="172"/>
      <c r="MO27" s="172"/>
      <c r="MP27" s="172"/>
      <c r="MQ27" s="172"/>
      <c r="MR27" s="172"/>
      <c r="MS27" s="172"/>
      <c r="MT27" s="172"/>
      <c r="MU27" s="172"/>
      <c r="MV27" s="172"/>
      <c r="MW27" s="172"/>
      <c r="MX27" s="172"/>
      <c r="MY27" s="172"/>
      <c r="MZ27" s="172"/>
      <c r="NA27" s="172"/>
      <c r="NB27" s="172"/>
      <c r="NC27" s="172"/>
      <c r="ND27" s="172"/>
      <c r="NE27" s="172"/>
      <c r="NF27" s="172"/>
      <c r="NG27" s="172"/>
      <c r="NH27" s="172"/>
      <c r="NI27" s="172"/>
      <c r="NJ27" s="172"/>
      <c r="NK27" s="172"/>
      <c r="NL27" s="172"/>
      <c r="NM27" s="172"/>
      <c r="NN27" s="172"/>
      <c r="NO27" s="172"/>
      <c r="NP27" s="172"/>
      <c r="NQ27" s="172"/>
      <c r="NR27" s="172"/>
      <c r="NS27" s="172"/>
      <c r="NT27" s="172"/>
      <c r="NU27" s="172"/>
      <c r="NV27" s="172"/>
      <c r="NW27" s="172"/>
      <c r="NX27" s="172"/>
      <c r="NY27" s="172"/>
      <c r="NZ27" s="172"/>
      <c r="OA27" s="172"/>
      <c r="OB27" s="172"/>
      <c r="OC27" s="172"/>
      <c r="OD27" s="172"/>
      <c r="OE27" s="172"/>
      <c r="OF27" s="172"/>
      <c r="OG27" s="172"/>
      <c r="OH27" s="172"/>
      <c r="OI27" s="172"/>
      <c r="OJ27" s="172"/>
      <c r="OK27" s="172"/>
      <c r="OL27" s="172"/>
      <c r="OM27" s="172"/>
      <c r="ON27" s="172"/>
      <c r="OO27" s="172"/>
      <c r="OP27" s="172"/>
      <c r="OQ27" s="172"/>
      <c r="OR27" s="172"/>
      <c r="OS27" s="172"/>
      <c r="OT27" s="172"/>
      <c r="OU27" s="172"/>
      <c r="OV27" s="172"/>
      <c r="OW27" s="172"/>
      <c r="OX27" s="172"/>
      <c r="OY27" s="172"/>
      <c r="OZ27" s="172"/>
      <c r="PA27" s="172"/>
      <c r="PB27" s="172"/>
      <c r="PC27" s="172"/>
      <c r="PD27" s="172"/>
      <c r="PE27" s="172"/>
      <c r="PF27" s="172"/>
      <c r="PG27" s="172"/>
      <c r="PH27" s="172"/>
      <c r="PI27" s="172"/>
      <c r="PJ27" s="172"/>
      <c r="PK27" s="172"/>
      <c r="PL27" s="172"/>
      <c r="PM27" s="172"/>
      <c r="PN27" s="172"/>
      <c r="PO27" s="172"/>
      <c r="PP27" s="172"/>
      <c r="PQ27" s="172"/>
      <c r="PR27" s="172"/>
      <c r="PS27" s="172"/>
      <c r="PT27" s="172"/>
      <c r="PU27" s="172"/>
      <c r="PV27" s="172"/>
      <c r="PW27" s="172"/>
      <c r="PX27" s="172"/>
      <c r="PY27" s="172"/>
      <c r="PZ27" s="172"/>
      <c r="QA27" s="172"/>
      <c r="QB27" s="172"/>
      <c r="QC27" s="172"/>
      <c r="QD27" s="172"/>
      <c r="QE27" s="172"/>
      <c r="QF27" s="172"/>
      <c r="QG27" s="172"/>
      <c r="QH27" s="172"/>
      <c r="QI27" s="172"/>
      <c r="QJ27" s="172"/>
      <c r="QK27" s="172"/>
      <c r="QL27" s="172"/>
      <c r="QM27" s="172"/>
      <c r="QN27" s="172"/>
      <c r="QO27" s="172"/>
      <c r="QP27" s="172"/>
      <c r="QQ27" s="172"/>
      <c r="QR27" s="172"/>
      <c r="QS27" s="172"/>
      <c r="QT27" s="172"/>
      <c r="QU27" s="172"/>
      <c r="QV27" s="172"/>
      <c r="QW27" s="172"/>
      <c r="QX27" s="172"/>
      <c r="QY27" s="172"/>
      <c r="QZ27" s="172"/>
      <c r="RA27" s="172"/>
      <c r="RB27" s="172"/>
      <c r="RC27" s="172"/>
      <c r="RD27" s="172"/>
      <c r="RE27" s="172"/>
      <c r="RF27" s="172"/>
      <c r="RG27" s="172"/>
      <c r="RH27" s="172"/>
      <c r="RI27" s="172"/>
      <c r="RJ27" s="172"/>
      <c r="RK27" s="172"/>
      <c r="RL27" s="172"/>
      <c r="RM27" s="172"/>
      <c r="RN27" s="172"/>
      <c r="RO27" s="172"/>
      <c r="RP27" s="172"/>
      <c r="RQ27" s="172"/>
      <c r="RR27" s="172"/>
      <c r="RS27" s="172"/>
      <c r="RT27" s="172"/>
      <c r="RU27" s="172"/>
      <c r="RV27" s="172"/>
      <c r="RW27" s="172"/>
      <c r="RX27" s="172"/>
      <c r="RY27" s="172"/>
      <c r="RZ27" s="172"/>
      <c r="SA27" s="172"/>
      <c r="SB27" s="172"/>
      <c r="SC27" s="172"/>
      <c r="SD27" s="172"/>
      <c r="SE27" s="172"/>
      <c r="SF27" s="172"/>
      <c r="SG27" s="172"/>
      <c r="SH27" s="172"/>
      <c r="SI27" s="172"/>
      <c r="SJ27" s="172"/>
      <c r="SK27" s="172"/>
      <c r="SL27" s="172"/>
      <c r="SM27" s="172"/>
      <c r="SN27" s="172"/>
      <c r="SO27" s="172"/>
      <c r="SP27" s="172"/>
      <c r="SQ27" s="172"/>
      <c r="SR27" s="172"/>
      <c r="SS27" s="172"/>
      <c r="ST27" s="172"/>
      <c r="SU27" s="172"/>
      <c r="SV27" s="172"/>
      <c r="SW27" s="172"/>
      <c r="SX27" s="172"/>
      <c r="SY27" s="172"/>
      <c r="SZ27" s="172"/>
      <c r="TA27" s="172"/>
      <c r="TB27" s="172"/>
      <c r="TC27" s="172"/>
      <c r="TD27" s="172"/>
      <c r="TE27" s="172"/>
      <c r="TF27" s="172"/>
      <c r="TG27" s="172"/>
      <c r="TH27" s="172"/>
      <c r="TI27" s="172"/>
      <c r="TJ27" s="172"/>
      <c r="TK27" s="172"/>
      <c r="TL27" s="172"/>
      <c r="TM27" s="172"/>
      <c r="TN27" s="172"/>
      <c r="TO27" s="172"/>
      <c r="TP27" s="172"/>
      <c r="TQ27" s="172"/>
      <c r="TR27" s="172"/>
      <c r="TS27" s="172"/>
      <c r="TT27" s="172"/>
      <c r="TU27" s="172"/>
      <c r="TV27" s="172"/>
      <c r="TW27" s="172"/>
      <c r="TX27" s="172"/>
      <c r="TY27" s="172"/>
      <c r="TZ27" s="172"/>
      <c r="UA27" s="172"/>
      <c r="UB27" s="172"/>
      <c r="UC27" s="172"/>
      <c r="UD27" s="172"/>
      <c r="UE27" s="172"/>
      <c r="UF27" s="172"/>
      <c r="UG27" s="172"/>
      <c r="UH27" s="172"/>
      <c r="UI27" s="172"/>
      <c r="UJ27" s="172"/>
      <c r="UK27" s="172"/>
      <c r="UL27" s="172"/>
      <c r="UM27" s="172"/>
      <c r="UN27" s="172"/>
      <c r="UO27" s="172"/>
      <c r="UP27" s="172"/>
      <c r="UQ27" s="172"/>
      <c r="UR27" s="172"/>
      <c r="US27" s="172"/>
      <c r="UT27" s="172"/>
      <c r="UU27" s="172"/>
      <c r="UV27" s="172"/>
      <c r="UW27" s="172"/>
      <c r="UX27" s="172"/>
      <c r="UY27" s="172"/>
      <c r="UZ27" s="172"/>
      <c r="VA27" s="172"/>
      <c r="VB27" s="172"/>
      <c r="VC27" s="172"/>
      <c r="VD27" s="172"/>
      <c r="VE27" s="172"/>
      <c r="VF27" s="172"/>
      <c r="VG27" s="172"/>
      <c r="VH27" s="172"/>
      <c r="VI27" s="172"/>
      <c r="VJ27" s="172"/>
      <c r="VK27" s="172"/>
      <c r="VL27" s="172"/>
      <c r="VM27" s="172"/>
      <c r="VN27" s="172"/>
      <c r="VO27" s="172"/>
      <c r="VP27" s="172"/>
      <c r="VQ27" s="172"/>
      <c r="VR27" s="172"/>
      <c r="VS27" s="172"/>
      <c r="VT27" s="172"/>
      <c r="VU27" s="172"/>
      <c r="VV27" s="172"/>
      <c r="VW27" s="172"/>
      <c r="VX27" s="172"/>
      <c r="VY27" s="172"/>
      <c r="VZ27" s="172"/>
      <c r="WA27" s="172"/>
      <c r="WB27" s="172"/>
      <c r="WC27" s="172"/>
      <c r="WD27" s="172"/>
      <c r="WE27" s="172"/>
      <c r="WF27" s="172"/>
      <c r="WG27" s="172"/>
      <c r="WH27" s="172"/>
      <c r="WI27" s="172"/>
      <c r="WJ27" s="172"/>
      <c r="WK27" s="172"/>
      <c r="WL27" s="172"/>
      <c r="WM27" s="172"/>
      <c r="WN27" s="172"/>
      <c r="WO27" s="172"/>
      <c r="WP27" s="172"/>
      <c r="WQ27" s="172"/>
      <c r="WR27" s="172"/>
      <c r="WS27" s="172"/>
      <c r="WT27" s="172"/>
      <c r="WU27" s="172"/>
      <c r="WV27" s="172"/>
      <c r="WW27" s="172"/>
      <c r="WX27" s="172"/>
      <c r="WY27" s="172"/>
      <c r="WZ27" s="172"/>
      <c r="XA27" s="172"/>
      <c r="XB27" s="172"/>
      <c r="XC27" s="172"/>
      <c r="XD27" s="172"/>
      <c r="XE27" s="172"/>
      <c r="XF27" s="172"/>
      <c r="XG27" s="172"/>
      <c r="XH27" s="172"/>
      <c r="XI27" s="172"/>
      <c r="XJ27" s="172"/>
      <c r="XK27" s="172"/>
      <c r="XL27" s="172"/>
      <c r="XM27" s="172"/>
      <c r="XN27" s="172"/>
      <c r="XO27" s="172"/>
      <c r="XP27" s="172"/>
      <c r="XQ27" s="172"/>
      <c r="XR27" s="172"/>
      <c r="XS27" s="172"/>
      <c r="XT27" s="172"/>
      <c r="XU27" s="172"/>
      <c r="XV27" s="172"/>
      <c r="XW27" s="172"/>
      <c r="XX27" s="172"/>
      <c r="XY27" s="172"/>
      <c r="XZ27" s="172"/>
      <c r="YA27" s="172"/>
      <c r="YB27" s="172"/>
      <c r="YC27" s="172"/>
      <c r="YD27" s="172"/>
      <c r="YE27" s="172"/>
      <c r="YF27" s="172"/>
      <c r="YG27" s="172"/>
      <c r="YH27" s="172"/>
      <c r="YI27" s="172"/>
      <c r="YJ27" s="172"/>
      <c r="YK27" s="172"/>
      <c r="YL27" s="172"/>
      <c r="YM27" s="172"/>
      <c r="YN27" s="172"/>
      <c r="YO27" s="172"/>
      <c r="YP27" s="172"/>
      <c r="YQ27" s="172"/>
      <c r="YR27" s="172"/>
      <c r="YS27" s="172"/>
      <c r="YT27" s="172"/>
      <c r="YU27" s="172"/>
      <c r="YV27" s="172"/>
      <c r="YW27" s="172"/>
      <c r="YX27" s="172"/>
      <c r="YY27" s="172"/>
      <c r="YZ27" s="172"/>
      <c r="ZA27" s="172"/>
      <c r="ZB27" s="172"/>
      <c r="ZC27" s="172"/>
      <c r="ZD27" s="172"/>
      <c r="ZE27" s="172"/>
      <c r="ZF27" s="172"/>
      <c r="ZG27" s="172"/>
      <c r="ZH27" s="172"/>
      <c r="ZI27" s="172"/>
      <c r="ZJ27" s="172"/>
      <c r="ZK27" s="172"/>
      <c r="ZL27" s="172"/>
      <c r="ZM27" s="172"/>
      <c r="ZN27" s="172"/>
      <c r="ZO27" s="172"/>
      <c r="ZP27" s="172"/>
      <c r="ZQ27" s="172"/>
      <c r="ZR27" s="172"/>
      <c r="ZS27" s="172"/>
      <c r="ZT27" s="172"/>
      <c r="ZU27" s="172"/>
      <c r="ZV27" s="172"/>
      <c r="ZW27" s="172"/>
      <c r="ZX27" s="172"/>
      <c r="ZY27" s="172"/>
      <c r="ZZ27" s="172"/>
      <c r="AAA27" s="172"/>
      <c r="AAB27" s="172"/>
      <c r="AAC27" s="172"/>
      <c r="AAD27" s="172"/>
      <c r="AAE27" s="172"/>
      <c r="AAF27" s="172"/>
      <c r="AAG27" s="172"/>
      <c r="AAH27" s="172"/>
      <c r="AAI27" s="172"/>
      <c r="AAJ27" s="172"/>
      <c r="AAK27" s="172"/>
      <c r="AAL27" s="172"/>
      <c r="AAM27" s="172"/>
      <c r="AAN27" s="172"/>
      <c r="AAO27" s="172"/>
      <c r="AAP27" s="172"/>
      <c r="AAQ27" s="172"/>
      <c r="AAR27" s="172"/>
      <c r="AAS27" s="172"/>
      <c r="AAT27" s="172"/>
      <c r="AAU27" s="172"/>
      <c r="AAV27" s="172"/>
      <c r="AAW27" s="172"/>
      <c r="AAX27" s="172"/>
      <c r="AAY27" s="172"/>
      <c r="AAZ27" s="172"/>
      <c r="ABA27" s="172"/>
      <c r="ABB27" s="172"/>
      <c r="ABC27" s="172"/>
      <c r="ABD27" s="172"/>
      <c r="ABE27" s="172"/>
      <c r="ABF27" s="172"/>
      <c r="ABG27" s="172"/>
      <c r="ABH27" s="172"/>
      <c r="ABI27" s="172"/>
      <c r="ABJ27" s="172"/>
      <c r="ABK27" s="172"/>
      <c r="ABL27" s="172"/>
      <c r="ABM27" s="172"/>
      <c r="ABN27" s="172"/>
      <c r="ABO27" s="172"/>
      <c r="ABP27" s="172"/>
      <c r="ABQ27" s="172"/>
      <c r="ABR27" s="172"/>
      <c r="ABS27" s="172"/>
      <c r="ABT27" s="172"/>
      <c r="ABU27" s="172"/>
      <c r="ABV27" s="172"/>
      <c r="ABW27" s="172"/>
      <c r="ABX27" s="172"/>
      <c r="ABY27" s="172"/>
      <c r="ABZ27" s="172"/>
      <c r="ACA27" s="172"/>
      <c r="ACB27" s="172"/>
      <c r="ACC27" s="172"/>
      <c r="ACD27" s="172"/>
      <c r="ACE27" s="172"/>
      <c r="ACF27" s="172"/>
      <c r="ACG27" s="172"/>
      <c r="ACH27" s="172"/>
      <c r="ACI27" s="172"/>
      <c r="ACJ27" s="172"/>
      <c r="ACK27" s="172"/>
      <c r="ACL27" s="172"/>
      <c r="ACM27" s="172"/>
      <c r="ACN27" s="172"/>
      <c r="ACO27" s="172"/>
      <c r="ACP27" s="172"/>
      <c r="ACQ27" s="172"/>
      <c r="ACR27" s="172"/>
      <c r="ACS27" s="172"/>
      <c r="ACT27" s="172"/>
      <c r="ACU27" s="172"/>
      <c r="ACV27" s="172"/>
      <c r="ACW27" s="172"/>
      <c r="ACX27" s="172"/>
      <c r="ACY27" s="172"/>
      <c r="ACZ27" s="172"/>
      <c r="ADA27" s="172"/>
      <c r="ADB27" s="172"/>
      <c r="ADC27" s="172"/>
      <c r="ADD27" s="172"/>
      <c r="ADE27" s="172"/>
      <c r="ADF27" s="172"/>
      <c r="ADG27" s="172"/>
      <c r="ADH27" s="172"/>
      <c r="ADI27" s="172"/>
      <c r="ADJ27" s="172"/>
      <c r="ADK27" s="172"/>
      <c r="ADL27" s="172"/>
      <c r="ADM27" s="172"/>
      <c r="ADN27" s="172"/>
      <c r="ADO27" s="172"/>
      <c r="ADP27" s="172"/>
      <c r="ADQ27" s="172"/>
      <c r="ADR27" s="172"/>
      <c r="ADS27" s="172"/>
      <c r="ADT27" s="172"/>
      <c r="ADU27" s="172"/>
      <c r="ADV27" s="172"/>
      <c r="ADW27" s="172"/>
      <c r="ADX27" s="172"/>
      <c r="ADY27" s="172"/>
      <c r="ADZ27" s="172"/>
      <c r="AEA27" s="172"/>
      <c r="AEB27" s="172"/>
      <c r="AEC27" s="172"/>
      <c r="AED27" s="172"/>
      <c r="AEE27" s="172"/>
      <c r="AEF27" s="172"/>
      <c r="AEG27" s="172"/>
      <c r="AEH27" s="172"/>
      <c r="AEI27" s="172"/>
      <c r="AEJ27" s="172"/>
      <c r="AEK27" s="172"/>
      <c r="AEL27" s="172"/>
      <c r="AEM27" s="172"/>
      <c r="AEN27" s="172"/>
      <c r="AEO27" s="172"/>
      <c r="AEP27" s="172"/>
      <c r="AEQ27" s="172"/>
      <c r="AER27" s="172"/>
      <c r="AES27" s="172"/>
      <c r="AET27" s="172"/>
      <c r="AEU27" s="172"/>
      <c r="AEV27" s="172"/>
      <c r="AEW27" s="172"/>
      <c r="AEX27" s="172"/>
      <c r="AEY27" s="172"/>
      <c r="AEZ27" s="172"/>
      <c r="AFA27" s="172"/>
      <c r="AFB27" s="172"/>
      <c r="AFC27" s="172"/>
      <c r="AFD27" s="172"/>
      <c r="AFE27" s="172"/>
      <c r="AFF27" s="172"/>
      <c r="AFG27" s="172"/>
      <c r="AFH27" s="172"/>
      <c r="AFI27" s="172"/>
      <c r="AFJ27" s="172"/>
      <c r="AFK27" s="172"/>
      <c r="AFL27" s="172"/>
      <c r="AFM27" s="172"/>
      <c r="AFN27" s="172"/>
      <c r="AFO27" s="172"/>
      <c r="AFP27" s="172"/>
      <c r="AFQ27" s="172"/>
      <c r="AFR27" s="172"/>
      <c r="AFS27" s="172"/>
      <c r="AFT27" s="172"/>
      <c r="AFU27" s="172"/>
      <c r="AFV27" s="172"/>
      <c r="AFW27" s="172"/>
      <c r="AFX27" s="172"/>
      <c r="AFY27" s="172"/>
      <c r="AFZ27" s="172"/>
      <c r="AGA27" s="172"/>
      <c r="AGB27" s="172"/>
      <c r="AGC27" s="172"/>
      <c r="AGD27" s="172"/>
      <c r="AGE27" s="172"/>
      <c r="AGF27" s="172"/>
      <c r="AGG27" s="172"/>
      <c r="AGH27" s="172"/>
      <c r="AGI27" s="172"/>
      <c r="AGJ27" s="172"/>
      <c r="AGK27" s="172"/>
      <c r="AGL27" s="172"/>
      <c r="AGM27" s="172"/>
      <c r="AGN27" s="172"/>
      <c r="AGO27" s="172"/>
      <c r="AGP27" s="172"/>
      <c r="AGQ27" s="172"/>
      <c r="AGR27" s="172"/>
      <c r="AGS27" s="172"/>
      <c r="AGT27" s="172"/>
      <c r="AGU27" s="172"/>
      <c r="AGV27" s="172"/>
      <c r="AGW27" s="172"/>
      <c r="AGX27" s="172"/>
      <c r="AGY27" s="172"/>
      <c r="AGZ27" s="172"/>
      <c r="AHA27" s="172"/>
      <c r="AHB27" s="172"/>
      <c r="AHC27" s="172"/>
      <c r="AHD27" s="172"/>
      <c r="AHE27" s="172"/>
      <c r="AHF27" s="172"/>
      <c r="AHG27" s="172"/>
      <c r="AHH27" s="172"/>
      <c r="AHI27" s="172"/>
      <c r="AHJ27" s="172"/>
      <c r="AHK27" s="172"/>
      <c r="AHL27" s="172"/>
      <c r="AHM27" s="172"/>
      <c r="AHN27" s="172"/>
      <c r="AHO27" s="172"/>
      <c r="AHP27" s="172"/>
      <c r="AHQ27" s="172"/>
      <c r="AHR27" s="172"/>
      <c r="AHS27" s="172"/>
      <c r="AHT27" s="172"/>
      <c r="AHU27" s="172"/>
      <c r="AHV27" s="172"/>
      <c r="AHW27" s="172"/>
      <c r="AHX27" s="172"/>
      <c r="AHY27" s="172"/>
      <c r="AHZ27" s="172"/>
      <c r="AIA27" s="172"/>
      <c r="AIB27" s="172"/>
      <c r="AIC27" s="172"/>
      <c r="AID27" s="172"/>
      <c r="AIE27" s="172"/>
      <c r="AIF27" s="172"/>
      <c r="AIG27" s="172"/>
      <c r="AIH27" s="172"/>
      <c r="AII27" s="172"/>
      <c r="AIJ27" s="172"/>
      <c r="AIK27" s="172"/>
      <c r="AIL27" s="172"/>
      <c r="AIM27" s="172"/>
      <c r="AIN27" s="172"/>
      <c r="AIO27" s="172"/>
      <c r="AIP27" s="172"/>
      <c r="AIQ27" s="172"/>
      <c r="AIR27" s="172"/>
      <c r="AIS27" s="172"/>
      <c r="AIT27" s="172"/>
      <c r="AIU27" s="172"/>
      <c r="AIV27" s="172"/>
      <c r="AIW27" s="172"/>
      <c r="AIX27" s="172"/>
      <c r="AIY27" s="172"/>
      <c r="AIZ27" s="172"/>
      <c r="AJA27" s="172"/>
      <c r="AJB27" s="172"/>
      <c r="AJC27" s="172"/>
      <c r="AJD27" s="172"/>
      <c r="AJE27" s="172"/>
      <c r="AJF27" s="172"/>
      <c r="AJG27" s="172"/>
      <c r="AJH27" s="172"/>
      <c r="AJI27" s="172"/>
      <c r="AJJ27" s="172"/>
      <c r="AJK27" s="172"/>
      <c r="AJL27" s="172"/>
      <c r="AJM27" s="172"/>
      <c r="AJN27" s="172"/>
      <c r="AJO27" s="172"/>
      <c r="AJP27" s="172"/>
      <c r="AJQ27" s="172"/>
      <c r="AJR27" s="172"/>
      <c r="AJS27" s="172"/>
      <c r="AJT27" s="172"/>
      <c r="AJU27" s="172"/>
      <c r="AJV27" s="172"/>
      <c r="AJW27" s="172"/>
      <c r="AJX27" s="172"/>
      <c r="AJY27" s="172"/>
      <c r="AJZ27" s="172"/>
      <c r="AKA27" s="172"/>
      <c r="AKB27" s="172"/>
      <c r="AKC27" s="172"/>
      <c r="AKD27" s="172"/>
      <c r="AKE27" s="172"/>
      <c r="AKF27" s="172"/>
      <c r="AKG27" s="172"/>
      <c r="AKH27" s="172"/>
      <c r="AKI27" s="172"/>
      <c r="AKJ27" s="172"/>
      <c r="AKK27" s="172"/>
      <c r="AKL27" s="172"/>
      <c r="AKM27" s="172"/>
      <c r="AKN27" s="172"/>
      <c r="AKO27" s="172"/>
      <c r="AKP27" s="172"/>
      <c r="AKQ27" s="172"/>
      <c r="AKR27" s="172"/>
      <c r="AKS27" s="172"/>
      <c r="AKT27" s="172"/>
      <c r="AKU27" s="172"/>
      <c r="AKV27" s="172"/>
      <c r="AKW27" s="172"/>
      <c r="AKX27" s="172"/>
      <c r="AKY27" s="172"/>
      <c r="AKZ27" s="172"/>
      <c r="ALA27" s="172"/>
      <c r="ALB27" s="172"/>
      <c r="ALC27" s="172"/>
      <c r="ALD27" s="172"/>
      <c r="ALE27" s="172"/>
      <c r="ALF27" s="172"/>
      <c r="ALG27" s="172"/>
      <c r="ALH27" s="172"/>
      <c r="ALI27" s="172"/>
      <c r="ALJ27" s="172"/>
      <c r="ALK27" s="172"/>
      <c r="ALL27" s="172"/>
      <c r="ALM27" s="172"/>
      <c r="ALN27" s="172"/>
      <c r="ALO27" s="172"/>
      <c r="ALP27" s="172"/>
      <c r="ALQ27" s="172"/>
      <c r="ALR27" s="172"/>
      <c r="ALS27" s="172"/>
      <c r="ALT27" s="172"/>
      <c r="ALU27" s="172"/>
      <c r="ALV27" s="172"/>
      <c r="ALW27" s="172"/>
      <c r="ALX27" s="172"/>
      <c r="ALY27" s="172"/>
      <c r="ALZ27" s="172"/>
      <c r="AMA27" s="172"/>
      <c r="AMB27" s="172"/>
      <c r="AMC27" s="172"/>
      <c r="AMD27" s="172"/>
      <c r="AME27" s="172"/>
      <c r="AMF27" s="172"/>
      <c r="AMG27" s="172"/>
      <c r="AMH27" s="172"/>
      <c r="AMI27" s="172"/>
      <c r="AMJ27" s="172"/>
      <c r="AMK27" s="172"/>
      <c r="AML27" s="172"/>
      <c r="AMM27" s="172"/>
      <c r="AMN27" s="172"/>
      <c r="AMO27" s="172"/>
      <c r="AMP27" s="172"/>
      <c r="AMQ27" s="172"/>
      <c r="AMR27" s="172"/>
      <c r="AMS27" s="172"/>
      <c r="AMT27" s="172"/>
      <c r="AMU27" s="172"/>
      <c r="AMV27" s="172"/>
      <c r="AMW27" s="172"/>
      <c r="AMX27" s="172"/>
      <c r="AMY27" s="172"/>
      <c r="AMZ27" s="172"/>
      <c r="ANA27" s="172"/>
      <c r="ANB27" s="172"/>
      <c r="ANC27" s="172"/>
      <c r="AND27" s="172"/>
      <c r="ANE27" s="172"/>
      <c r="ANF27" s="172"/>
      <c r="ANG27" s="172"/>
      <c r="ANH27" s="172"/>
      <c r="ANI27" s="172"/>
      <c r="ANJ27" s="172"/>
      <c r="ANK27" s="172"/>
      <c r="ANL27" s="172"/>
      <c r="ANM27" s="172"/>
      <c r="ANN27" s="172"/>
      <c r="ANO27" s="172"/>
      <c r="ANP27" s="172"/>
      <c r="ANQ27" s="172"/>
      <c r="ANR27" s="172"/>
      <c r="ANS27" s="172"/>
      <c r="ANT27" s="172"/>
      <c r="ANU27" s="172"/>
      <c r="ANV27" s="172"/>
      <c r="ANW27" s="172"/>
      <c r="ANX27" s="172"/>
      <c r="ANY27" s="172"/>
      <c r="ANZ27" s="172"/>
      <c r="AOA27" s="172"/>
      <c r="AOB27" s="172"/>
      <c r="AOC27" s="172"/>
      <c r="AOD27" s="172"/>
      <c r="AOE27" s="172"/>
      <c r="AOF27" s="172"/>
      <c r="AOG27" s="172"/>
      <c r="AOH27" s="172"/>
      <c r="AOI27" s="172"/>
      <c r="AOJ27" s="172"/>
      <c r="AOK27" s="172"/>
      <c r="AOL27" s="172"/>
      <c r="AOM27" s="172"/>
      <c r="AON27" s="172"/>
      <c r="AOO27" s="172"/>
      <c r="AOP27" s="172"/>
      <c r="AOQ27" s="172"/>
      <c r="AOR27" s="172"/>
      <c r="AOS27" s="172"/>
      <c r="AOT27" s="172"/>
      <c r="AOU27" s="172"/>
      <c r="AOV27" s="172"/>
      <c r="AOW27" s="172"/>
      <c r="AOX27" s="172"/>
      <c r="AOY27" s="172"/>
      <c r="AOZ27" s="172"/>
      <c r="APA27" s="172"/>
      <c r="APB27" s="172"/>
      <c r="APC27" s="172"/>
      <c r="APD27" s="172"/>
      <c r="APE27" s="172"/>
      <c r="APF27" s="172"/>
      <c r="APG27" s="172"/>
      <c r="APH27" s="172"/>
      <c r="API27" s="172"/>
      <c r="APJ27" s="172"/>
      <c r="APK27" s="172"/>
      <c r="APL27" s="172"/>
      <c r="APM27" s="172"/>
      <c r="APN27" s="172"/>
      <c r="APO27" s="172"/>
      <c r="APP27" s="172"/>
      <c r="APQ27" s="172"/>
      <c r="APR27" s="172"/>
      <c r="APS27" s="172"/>
      <c r="APT27" s="172"/>
      <c r="APU27" s="172"/>
      <c r="APV27" s="172"/>
      <c r="APW27" s="172"/>
      <c r="APX27" s="172"/>
      <c r="APY27" s="172"/>
      <c r="APZ27" s="172"/>
      <c r="AQA27" s="172"/>
      <c r="AQB27" s="172"/>
      <c r="AQC27" s="172"/>
      <c r="AQD27" s="172"/>
      <c r="AQE27" s="172"/>
      <c r="AQF27" s="172"/>
      <c r="AQG27" s="172"/>
      <c r="AQH27" s="172"/>
      <c r="AQI27" s="172"/>
      <c r="AQJ27" s="172"/>
      <c r="AQK27" s="172"/>
      <c r="AQL27" s="172"/>
      <c r="AQM27" s="172"/>
      <c r="AQN27" s="172"/>
      <c r="AQO27" s="172"/>
      <c r="AQP27" s="172"/>
      <c r="AQQ27" s="172"/>
      <c r="AQR27" s="172"/>
      <c r="AQS27" s="172"/>
      <c r="AQT27" s="172"/>
      <c r="AQU27" s="172"/>
      <c r="AQV27" s="172"/>
      <c r="AQW27" s="172"/>
      <c r="AQX27" s="172"/>
      <c r="AQY27" s="172"/>
      <c r="AQZ27" s="172"/>
      <c r="ARA27" s="172"/>
      <c r="ARB27" s="172"/>
      <c r="ARC27" s="172"/>
      <c r="ARD27" s="172"/>
      <c r="ARE27" s="172"/>
      <c r="ARF27" s="172"/>
      <c r="ARG27" s="172"/>
      <c r="ARH27" s="172"/>
      <c r="ARI27" s="172"/>
      <c r="ARJ27" s="172"/>
      <c r="ARK27" s="172"/>
      <c r="ARL27" s="172"/>
      <c r="ARM27" s="172"/>
      <c r="ARN27" s="172"/>
      <c r="ARO27" s="172"/>
      <c r="ARP27" s="172"/>
      <c r="ARQ27" s="172"/>
      <c r="ARR27" s="172"/>
      <c r="ARS27" s="172"/>
      <c r="ART27" s="172"/>
      <c r="ARU27" s="172"/>
    </row>
    <row r="28" spans="1:1165">
      <c r="A28" s="220"/>
      <c r="B28" s="195"/>
      <c r="C28" s="258"/>
      <c r="D28" s="258"/>
      <c r="E28" s="258"/>
      <c r="F28" s="258"/>
      <c r="G28" s="258"/>
      <c r="H28" s="258"/>
      <c r="I28" s="258"/>
      <c r="J28" s="258"/>
      <c r="K28" s="258"/>
      <c r="L28" s="258"/>
      <c r="M28" s="258"/>
      <c r="N28" s="258"/>
      <c r="O28" s="258"/>
      <c r="P28" s="258"/>
      <c r="Q28" s="258"/>
      <c r="R28" s="258"/>
      <c r="S28" s="258"/>
      <c r="T28" s="258"/>
      <c r="U28" s="227"/>
      <c r="V28" s="227"/>
      <c r="W28" s="227"/>
      <c r="X28" s="227"/>
      <c r="Y28" s="227"/>
      <c r="Z28" s="227"/>
      <c r="AA28" s="227"/>
      <c r="AB28" s="227"/>
      <c r="AC28" s="227"/>
      <c r="AD28" s="227"/>
      <c r="AE28" s="258"/>
      <c r="AF28" s="258"/>
      <c r="AG28" s="227"/>
      <c r="AH28" s="302"/>
      <c r="AI28" s="302"/>
      <c r="AJ28" s="302"/>
      <c r="AK28" s="288"/>
      <c r="AL28" s="302"/>
      <c r="AM28" s="288"/>
      <c r="AN28" s="288"/>
      <c r="AO28" s="288"/>
      <c r="AP28" s="288"/>
      <c r="AQ28" s="288"/>
      <c r="AR28" s="288"/>
      <c r="AS28" s="288"/>
      <c r="AT28" s="288"/>
      <c r="AU28" s="302"/>
      <c r="AV28" s="302"/>
      <c r="AW28" s="284"/>
      <c r="AX28" s="284"/>
      <c r="AY28" s="297"/>
      <c r="AZ28" s="297"/>
      <c r="BA28" s="288"/>
      <c r="BB28" s="284"/>
      <c r="BC28" s="284"/>
      <c r="BD28" s="284"/>
      <c r="BE28" s="284"/>
      <c r="BF28" s="284"/>
      <c r="BG28" s="284"/>
      <c r="BH28" s="284"/>
      <c r="BI28" s="288"/>
      <c r="BJ28" s="284"/>
      <c r="BK28" s="284"/>
      <c r="BL28" s="172"/>
      <c r="BM28" s="231"/>
      <c r="BN28" s="231"/>
      <c r="BO28" s="231"/>
      <c r="BP28" s="231"/>
    </row>
    <row r="29" spans="1:1165">
      <c r="A29" s="204" t="s">
        <v>171</v>
      </c>
      <c r="B29" s="207" t="s">
        <v>87</v>
      </c>
      <c r="C29" s="268">
        <v>90295</v>
      </c>
      <c r="D29" s="268">
        <v>2690857</v>
      </c>
      <c r="E29" s="208">
        <v>26602</v>
      </c>
      <c r="F29" s="208">
        <v>650042</v>
      </c>
      <c r="G29" s="208">
        <v>24668</v>
      </c>
      <c r="H29" s="208">
        <v>1109904</v>
      </c>
      <c r="I29" s="208">
        <v>6643</v>
      </c>
      <c r="J29" s="208">
        <v>281749</v>
      </c>
      <c r="K29" s="208">
        <v>0</v>
      </c>
      <c r="L29" s="208">
        <v>0</v>
      </c>
      <c r="M29" s="219">
        <v>0</v>
      </c>
      <c r="N29" s="219">
        <v>0</v>
      </c>
      <c r="O29" s="219">
        <v>0</v>
      </c>
      <c r="P29" s="219">
        <v>0</v>
      </c>
      <c r="Q29" s="219">
        <v>0</v>
      </c>
      <c r="R29" s="219">
        <v>0</v>
      </c>
      <c r="S29" s="219">
        <v>0</v>
      </c>
      <c r="T29" s="219">
        <v>0</v>
      </c>
      <c r="U29" s="219">
        <v>9669</v>
      </c>
      <c r="V29" s="219">
        <v>1160280</v>
      </c>
      <c r="W29" s="219">
        <v>0</v>
      </c>
      <c r="X29" s="219">
        <v>0</v>
      </c>
      <c r="Y29" s="278">
        <v>7521</v>
      </c>
      <c r="Z29" s="278">
        <v>1006603</v>
      </c>
      <c r="AA29" s="208">
        <v>0</v>
      </c>
      <c r="AB29" s="208">
        <v>0</v>
      </c>
      <c r="AC29" s="208">
        <v>0</v>
      </c>
      <c r="AD29" s="208">
        <v>0</v>
      </c>
      <c r="AE29" s="208">
        <v>0</v>
      </c>
      <c r="AF29" s="208">
        <v>0</v>
      </c>
      <c r="AG29" s="208">
        <v>0</v>
      </c>
      <c r="AH29" s="208">
        <v>0</v>
      </c>
      <c r="AI29" s="208">
        <v>0</v>
      </c>
      <c r="AJ29" s="208">
        <v>0</v>
      </c>
      <c r="AK29" s="208">
        <v>0</v>
      </c>
      <c r="AL29" s="208">
        <v>0</v>
      </c>
      <c r="AM29" s="208">
        <v>0</v>
      </c>
      <c r="AN29" s="208">
        <v>0</v>
      </c>
      <c r="AO29" s="208">
        <v>0</v>
      </c>
      <c r="AP29" s="208">
        <v>0</v>
      </c>
      <c r="AQ29" s="208">
        <v>0</v>
      </c>
      <c r="AR29" s="208">
        <v>0</v>
      </c>
      <c r="AS29" s="208">
        <v>0</v>
      </c>
      <c r="AT29" s="208">
        <v>0</v>
      </c>
      <c r="AU29" s="208">
        <v>0</v>
      </c>
      <c r="AV29" s="208">
        <v>0</v>
      </c>
      <c r="AW29" s="208">
        <v>0</v>
      </c>
      <c r="AX29" s="208">
        <v>0</v>
      </c>
      <c r="AY29" s="216">
        <v>0</v>
      </c>
      <c r="AZ29" s="216">
        <v>0</v>
      </c>
      <c r="BA29" s="216"/>
      <c r="BB29" s="279"/>
      <c r="BC29" s="279"/>
      <c r="BD29" s="279"/>
      <c r="BE29" s="279"/>
      <c r="BF29" s="279"/>
      <c r="BG29" s="279"/>
      <c r="BH29" s="279"/>
      <c r="BI29" s="279"/>
      <c r="BJ29" s="279">
        <f>C29+G29+I29+K29+M29+O29+Q29+S29+U29+W29+Y29+AA29+AC29+AE29+AG29+AI29+AK29+AM29+AO29+AQ29+AS29+AU29+AW29+AY29+BB29+BF29</f>
        <v>138796</v>
      </c>
      <c r="BK29" s="208">
        <f>D29+H29+J29+L29+N29+P29+R29+T29+V29+X29+Z29+AB29+AD29+AF29+AH29+AJ29+AL29+AN29+AP29+AR29+AT29+AV29+AX29+AZ29+BD29+BH29</f>
        <v>6249393</v>
      </c>
      <c r="BL29" s="172"/>
      <c r="BM29" s="231"/>
      <c r="BN29" s="231"/>
      <c r="BO29" s="231"/>
      <c r="BP29" s="231"/>
    </row>
    <row r="30" spans="1:1165">
      <c r="A30" s="280"/>
      <c r="B30" s="139"/>
      <c r="C30" s="281"/>
      <c r="D30" s="281"/>
      <c r="E30" s="219"/>
      <c r="F30" s="219"/>
      <c r="G30" s="219"/>
      <c r="H30" s="219"/>
      <c r="I30" s="219"/>
      <c r="J30" s="219"/>
      <c r="K30" s="219"/>
      <c r="L30" s="219"/>
      <c r="M30" s="219"/>
      <c r="N30" s="219"/>
      <c r="O30" s="219"/>
      <c r="P30" s="219"/>
      <c r="Q30" s="219"/>
      <c r="R30" s="219"/>
      <c r="S30" s="219"/>
      <c r="T30" s="219"/>
      <c r="U30" s="200"/>
      <c r="V30" s="200"/>
      <c r="W30" s="200"/>
      <c r="X30" s="200"/>
      <c r="Y30" s="200"/>
      <c r="Z30" s="200"/>
      <c r="AA30" s="200"/>
      <c r="AB30" s="200"/>
      <c r="AC30" s="200"/>
      <c r="AD30" s="200"/>
      <c r="AE30" s="219"/>
      <c r="AF30" s="219"/>
      <c r="AG30" s="200"/>
      <c r="AH30" s="200"/>
      <c r="AI30" s="200"/>
      <c r="AJ30" s="200"/>
      <c r="AK30" s="200"/>
      <c r="AL30" s="200"/>
      <c r="AM30" s="200"/>
      <c r="AN30" s="200"/>
      <c r="AO30" s="200"/>
      <c r="AP30" s="200"/>
      <c r="AQ30" s="200"/>
      <c r="AR30" s="200"/>
      <c r="AS30" s="283"/>
      <c r="AT30" s="247"/>
      <c r="AU30" s="283"/>
      <c r="AV30" s="247"/>
      <c r="AW30" s="249"/>
      <c r="AX30" s="249"/>
      <c r="AY30" s="216"/>
      <c r="AZ30" s="216"/>
      <c r="BA30" s="216"/>
      <c r="BB30" s="249"/>
      <c r="BC30" s="249"/>
      <c r="BD30" s="249"/>
      <c r="BE30" s="249"/>
      <c r="BF30" s="249"/>
      <c r="BG30" s="249"/>
      <c r="BH30" s="249"/>
      <c r="BI30" s="283"/>
      <c r="BJ30" s="249"/>
      <c r="BK30" s="249"/>
      <c r="BL30" s="172"/>
      <c r="BM30" s="13"/>
      <c r="BN30" s="231"/>
      <c r="BO30" s="231"/>
      <c r="BP30" s="231"/>
    </row>
    <row r="31" spans="1:1165" s="257" customFormat="1">
      <c r="A31" s="194" t="s">
        <v>172</v>
      </c>
      <c r="B31" s="215"/>
      <c r="C31" s="284"/>
      <c r="D31" s="284"/>
      <c r="E31" s="211"/>
      <c r="F31" s="211"/>
      <c r="G31" s="211"/>
      <c r="H31" s="211"/>
      <c r="I31" s="211"/>
      <c r="J31" s="211"/>
      <c r="K31" s="211"/>
      <c r="L31" s="211"/>
      <c r="M31" s="211"/>
      <c r="N31" s="211"/>
      <c r="O31" s="211"/>
      <c r="P31" s="211"/>
      <c r="Q31" s="211"/>
      <c r="R31" s="211"/>
      <c r="S31" s="211"/>
      <c r="T31" s="211"/>
      <c r="U31" s="196"/>
      <c r="V31" s="196"/>
      <c r="W31" s="196"/>
      <c r="X31" s="196"/>
      <c r="Y31" s="196"/>
      <c r="Z31" s="196"/>
      <c r="AA31" s="196"/>
      <c r="AB31" s="196"/>
      <c r="AC31" s="196"/>
      <c r="AD31" s="196"/>
      <c r="AE31" s="211"/>
      <c r="AF31" s="211"/>
      <c r="AG31" s="196"/>
      <c r="AH31" s="196"/>
      <c r="AI31" s="196"/>
      <c r="AJ31" s="196"/>
      <c r="AK31" s="196"/>
      <c r="AL31" s="196"/>
      <c r="AM31" s="196"/>
      <c r="AN31" s="196"/>
      <c r="AO31" s="196"/>
      <c r="AP31" s="196"/>
      <c r="AQ31" s="196"/>
      <c r="AR31" s="196"/>
      <c r="AS31" s="196"/>
      <c r="AT31" s="196"/>
      <c r="AU31" s="262"/>
      <c r="AV31" s="262"/>
      <c r="AW31" s="256"/>
      <c r="AX31" s="256"/>
      <c r="AY31" s="255"/>
      <c r="AZ31" s="255"/>
      <c r="BA31" s="262"/>
      <c r="BB31" s="256"/>
      <c r="BC31" s="256"/>
      <c r="BD31" s="256"/>
      <c r="BE31" s="256"/>
      <c r="BF31" s="256"/>
      <c r="BG31" s="256"/>
      <c r="BH31" s="256"/>
      <c r="BI31" s="262"/>
      <c r="BJ31" s="256"/>
      <c r="BK31" s="256"/>
      <c r="BL31" s="172"/>
      <c r="BM31" s="13"/>
      <c r="BN31" s="231"/>
      <c r="BO31" s="231"/>
      <c r="BP31" s="231"/>
      <c r="BQ31" s="172"/>
      <c r="BR31" s="172"/>
      <c r="BS31" s="172"/>
      <c r="BT31" s="172"/>
      <c r="BU31" s="172"/>
      <c r="BV31" s="172"/>
      <c r="BW31" s="172"/>
      <c r="BX31" s="172"/>
      <c r="BY31" s="172"/>
      <c r="BZ31" s="172"/>
      <c r="CA31" s="172"/>
      <c r="CB31" s="172"/>
      <c r="CC31" s="172"/>
      <c r="CD31" s="172"/>
      <c r="CE31" s="172"/>
      <c r="CF31" s="172"/>
      <c r="CG31" s="172"/>
      <c r="CH31" s="172"/>
      <c r="CI31" s="172"/>
      <c r="CJ31" s="172"/>
      <c r="CK31" s="172"/>
      <c r="CL31" s="172"/>
      <c r="CM31" s="172"/>
      <c r="CN31" s="172"/>
      <c r="CO31" s="172"/>
      <c r="CP31" s="172"/>
      <c r="CQ31" s="172"/>
      <c r="CR31" s="172"/>
      <c r="CS31" s="172"/>
      <c r="CT31" s="172"/>
      <c r="CU31" s="172"/>
      <c r="CV31" s="172"/>
      <c r="CW31" s="172"/>
      <c r="CX31" s="172"/>
      <c r="CY31" s="172"/>
      <c r="CZ31" s="172"/>
      <c r="DA31" s="172"/>
      <c r="DB31" s="172"/>
      <c r="DC31" s="172"/>
      <c r="DD31" s="172"/>
      <c r="DE31" s="172"/>
      <c r="DF31" s="172"/>
      <c r="DG31" s="172"/>
      <c r="DH31" s="172"/>
      <c r="DI31" s="172"/>
      <c r="DJ31" s="172"/>
      <c r="DK31" s="172"/>
      <c r="DL31" s="172"/>
      <c r="DM31" s="172"/>
      <c r="DN31" s="172"/>
      <c r="DO31" s="172"/>
      <c r="DP31" s="172"/>
      <c r="DQ31" s="172"/>
      <c r="DR31" s="172"/>
      <c r="DS31" s="172"/>
      <c r="DT31" s="172"/>
      <c r="DU31" s="172"/>
      <c r="DV31" s="172"/>
      <c r="DW31" s="172"/>
      <c r="DX31" s="172"/>
      <c r="DY31" s="172"/>
      <c r="DZ31" s="172"/>
      <c r="EA31" s="172"/>
      <c r="EB31" s="172"/>
      <c r="EC31" s="172"/>
      <c r="ED31" s="172"/>
      <c r="EE31" s="172"/>
      <c r="EF31" s="172"/>
      <c r="EG31" s="172"/>
      <c r="EH31" s="172"/>
      <c r="EI31" s="172"/>
      <c r="EJ31" s="172"/>
      <c r="EK31" s="172"/>
      <c r="EL31" s="172"/>
      <c r="EM31" s="172"/>
      <c r="EN31" s="172"/>
      <c r="EO31" s="172"/>
      <c r="EP31" s="172"/>
      <c r="EQ31" s="172"/>
      <c r="ER31" s="172"/>
      <c r="ES31" s="172"/>
      <c r="ET31" s="172"/>
      <c r="EU31" s="172"/>
      <c r="EV31" s="172"/>
      <c r="EW31" s="172"/>
      <c r="EX31" s="172"/>
      <c r="EY31" s="172"/>
      <c r="EZ31" s="172"/>
      <c r="FA31" s="172"/>
      <c r="FB31" s="172"/>
      <c r="FC31" s="172"/>
      <c r="FD31" s="172"/>
      <c r="FE31" s="172"/>
      <c r="FF31" s="172"/>
      <c r="FG31" s="172"/>
      <c r="FH31" s="172"/>
      <c r="FI31" s="172"/>
      <c r="FJ31" s="172"/>
      <c r="FK31" s="172"/>
      <c r="FL31" s="172"/>
      <c r="FM31" s="172"/>
      <c r="FN31" s="172"/>
      <c r="FO31" s="172"/>
      <c r="FP31" s="172"/>
      <c r="FQ31" s="172"/>
      <c r="FR31" s="172"/>
      <c r="FS31" s="172"/>
      <c r="FT31" s="172"/>
      <c r="FU31" s="172"/>
      <c r="FV31" s="172"/>
      <c r="FW31" s="172"/>
      <c r="FX31" s="172"/>
      <c r="FY31" s="172"/>
      <c r="FZ31" s="172"/>
      <c r="GA31" s="172"/>
      <c r="GB31" s="172"/>
      <c r="GC31" s="172"/>
      <c r="GD31" s="172"/>
      <c r="GE31" s="172"/>
      <c r="GF31" s="172"/>
      <c r="GG31" s="172"/>
      <c r="GH31" s="172"/>
      <c r="GI31" s="172"/>
      <c r="GJ31" s="172"/>
      <c r="GK31" s="172"/>
      <c r="GL31" s="172"/>
      <c r="GM31" s="172"/>
      <c r="GN31" s="172"/>
      <c r="GO31" s="172"/>
      <c r="GP31" s="172"/>
      <c r="GQ31" s="172"/>
      <c r="GR31" s="172"/>
      <c r="GS31" s="172"/>
      <c r="GT31" s="172"/>
      <c r="GU31" s="172"/>
      <c r="GV31" s="172"/>
      <c r="GW31" s="172"/>
      <c r="GX31" s="172"/>
      <c r="GY31" s="172"/>
      <c r="GZ31" s="172"/>
      <c r="HA31" s="172"/>
      <c r="HB31" s="172"/>
      <c r="HC31" s="172"/>
      <c r="HD31" s="172"/>
      <c r="HE31" s="172"/>
      <c r="HF31" s="172"/>
      <c r="HG31" s="172"/>
      <c r="HH31" s="172"/>
      <c r="HI31" s="172"/>
      <c r="HJ31" s="172"/>
      <c r="HK31" s="172"/>
      <c r="HL31" s="172"/>
      <c r="HM31" s="172"/>
      <c r="HN31" s="172"/>
      <c r="HO31" s="172"/>
      <c r="HP31" s="172"/>
      <c r="HQ31" s="172"/>
      <c r="HR31" s="172"/>
      <c r="HS31" s="172"/>
      <c r="HT31" s="172"/>
      <c r="HU31" s="172"/>
      <c r="HV31" s="172"/>
      <c r="HW31" s="172"/>
      <c r="HX31" s="172"/>
      <c r="HY31" s="172"/>
      <c r="HZ31" s="172"/>
      <c r="IA31" s="172"/>
      <c r="IB31" s="172"/>
      <c r="IC31" s="172"/>
      <c r="ID31" s="172"/>
      <c r="IE31" s="172"/>
      <c r="IF31" s="172"/>
      <c r="IG31" s="172"/>
      <c r="IH31" s="172"/>
      <c r="II31" s="172"/>
      <c r="IJ31" s="172"/>
      <c r="IK31" s="172"/>
      <c r="IL31" s="172"/>
      <c r="IM31" s="172"/>
      <c r="IN31" s="172"/>
      <c r="IO31" s="172"/>
      <c r="IP31" s="172"/>
      <c r="IQ31" s="172"/>
      <c r="IR31" s="172"/>
      <c r="IS31" s="172"/>
      <c r="IT31" s="172"/>
      <c r="IU31" s="172"/>
      <c r="IV31" s="172"/>
      <c r="IW31" s="172"/>
      <c r="IX31" s="172"/>
      <c r="IY31" s="172"/>
      <c r="IZ31" s="172"/>
      <c r="JA31" s="172"/>
      <c r="JB31" s="172"/>
      <c r="JC31" s="172"/>
      <c r="JD31" s="172"/>
      <c r="JE31" s="172"/>
      <c r="JF31" s="172"/>
      <c r="JG31" s="172"/>
      <c r="JH31" s="172"/>
      <c r="JI31" s="172"/>
      <c r="JJ31" s="172"/>
      <c r="JK31" s="172"/>
      <c r="JL31" s="172"/>
      <c r="JM31" s="172"/>
      <c r="JN31" s="172"/>
      <c r="JO31" s="172"/>
      <c r="JP31" s="172"/>
      <c r="JQ31" s="172"/>
      <c r="JR31" s="172"/>
      <c r="JS31" s="172"/>
      <c r="JT31" s="172"/>
      <c r="JU31" s="172"/>
      <c r="JV31" s="172"/>
      <c r="JW31" s="172"/>
      <c r="JX31" s="172"/>
      <c r="JY31" s="172"/>
      <c r="JZ31" s="172"/>
      <c r="KA31" s="172"/>
      <c r="KB31" s="172"/>
      <c r="KC31" s="172"/>
      <c r="KD31" s="172"/>
      <c r="KE31" s="172"/>
      <c r="KF31" s="172"/>
      <c r="KG31" s="172"/>
      <c r="KH31" s="172"/>
      <c r="KI31" s="172"/>
      <c r="KJ31" s="172"/>
      <c r="KK31" s="172"/>
      <c r="KL31" s="172"/>
      <c r="KM31" s="172"/>
      <c r="KN31" s="172"/>
      <c r="KO31" s="172"/>
      <c r="KP31" s="172"/>
      <c r="KQ31" s="172"/>
      <c r="KR31" s="172"/>
      <c r="KS31" s="172"/>
      <c r="KT31" s="172"/>
      <c r="KU31" s="172"/>
      <c r="KV31" s="172"/>
      <c r="KW31" s="172"/>
      <c r="KX31" s="172"/>
      <c r="KY31" s="172"/>
      <c r="KZ31" s="172"/>
      <c r="LA31" s="172"/>
      <c r="LB31" s="172"/>
      <c r="LC31" s="172"/>
      <c r="LD31" s="172"/>
      <c r="LE31" s="172"/>
      <c r="LF31" s="172"/>
      <c r="LG31" s="172"/>
      <c r="LH31" s="172"/>
      <c r="LI31" s="172"/>
      <c r="LJ31" s="172"/>
      <c r="LK31" s="172"/>
      <c r="LL31" s="172"/>
      <c r="LM31" s="172"/>
      <c r="LN31" s="172"/>
      <c r="LO31" s="172"/>
      <c r="LP31" s="172"/>
      <c r="LQ31" s="172"/>
      <c r="LR31" s="172"/>
      <c r="LS31" s="172"/>
      <c r="LT31" s="172"/>
      <c r="LU31" s="172"/>
      <c r="LV31" s="172"/>
      <c r="LW31" s="172"/>
      <c r="LX31" s="172"/>
      <c r="LY31" s="172"/>
      <c r="LZ31" s="172"/>
      <c r="MA31" s="172"/>
      <c r="MB31" s="172"/>
      <c r="MC31" s="172"/>
      <c r="MD31" s="172"/>
      <c r="ME31" s="172"/>
      <c r="MF31" s="172"/>
      <c r="MG31" s="172"/>
      <c r="MH31" s="172"/>
      <c r="MI31" s="172"/>
      <c r="MJ31" s="172"/>
      <c r="MK31" s="172"/>
      <c r="ML31" s="172"/>
      <c r="MM31" s="172"/>
      <c r="MN31" s="172"/>
      <c r="MO31" s="172"/>
      <c r="MP31" s="172"/>
      <c r="MQ31" s="172"/>
      <c r="MR31" s="172"/>
      <c r="MS31" s="172"/>
      <c r="MT31" s="172"/>
      <c r="MU31" s="172"/>
      <c r="MV31" s="172"/>
      <c r="MW31" s="172"/>
      <c r="MX31" s="172"/>
      <c r="MY31" s="172"/>
      <c r="MZ31" s="172"/>
      <c r="NA31" s="172"/>
      <c r="NB31" s="172"/>
      <c r="NC31" s="172"/>
      <c r="ND31" s="172"/>
      <c r="NE31" s="172"/>
      <c r="NF31" s="172"/>
      <c r="NG31" s="172"/>
      <c r="NH31" s="172"/>
      <c r="NI31" s="172"/>
      <c r="NJ31" s="172"/>
      <c r="NK31" s="172"/>
      <c r="NL31" s="172"/>
      <c r="NM31" s="172"/>
      <c r="NN31" s="172"/>
      <c r="NO31" s="172"/>
      <c r="NP31" s="172"/>
      <c r="NQ31" s="172"/>
      <c r="NR31" s="172"/>
      <c r="NS31" s="172"/>
      <c r="NT31" s="172"/>
      <c r="NU31" s="172"/>
      <c r="NV31" s="172"/>
      <c r="NW31" s="172"/>
      <c r="NX31" s="172"/>
      <c r="NY31" s="172"/>
      <c r="NZ31" s="172"/>
      <c r="OA31" s="172"/>
      <c r="OB31" s="172"/>
      <c r="OC31" s="172"/>
      <c r="OD31" s="172"/>
      <c r="OE31" s="172"/>
      <c r="OF31" s="172"/>
      <c r="OG31" s="172"/>
      <c r="OH31" s="172"/>
      <c r="OI31" s="172"/>
      <c r="OJ31" s="172"/>
      <c r="OK31" s="172"/>
      <c r="OL31" s="172"/>
      <c r="OM31" s="172"/>
      <c r="ON31" s="172"/>
      <c r="OO31" s="172"/>
      <c r="OP31" s="172"/>
      <c r="OQ31" s="172"/>
      <c r="OR31" s="172"/>
      <c r="OS31" s="172"/>
      <c r="OT31" s="172"/>
      <c r="OU31" s="172"/>
      <c r="OV31" s="172"/>
      <c r="OW31" s="172"/>
      <c r="OX31" s="172"/>
      <c r="OY31" s="172"/>
      <c r="OZ31" s="172"/>
      <c r="PA31" s="172"/>
      <c r="PB31" s="172"/>
      <c r="PC31" s="172"/>
      <c r="PD31" s="172"/>
      <c r="PE31" s="172"/>
      <c r="PF31" s="172"/>
      <c r="PG31" s="172"/>
      <c r="PH31" s="172"/>
      <c r="PI31" s="172"/>
      <c r="PJ31" s="172"/>
      <c r="PK31" s="172"/>
      <c r="PL31" s="172"/>
      <c r="PM31" s="172"/>
      <c r="PN31" s="172"/>
      <c r="PO31" s="172"/>
      <c r="PP31" s="172"/>
      <c r="PQ31" s="172"/>
      <c r="PR31" s="172"/>
      <c r="PS31" s="172"/>
      <c r="PT31" s="172"/>
      <c r="PU31" s="172"/>
      <c r="PV31" s="172"/>
      <c r="PW31" s="172"/>
      <c r="PX31" s="172"/>
      <c r="PY31" s="172"/>
      <c r="PZ31" s="172"/>
      <c r="QA31" s="172"/>
      <c r="QB31" s="172"/>
      <c r="QC31" s="172"/>
      <c r="QD31" s="172"/>
      <c r="QE31" s="172"/>
      <c r="QF31" s="172"/>
      <c r="QG31" s="172"/>
      <c r="QH31" s="172"/>
      <c r="QI31" s="172"/>
      <c r="QJ31" s="172"/>
      <c r="QK31" s="172"/>
      <c r="QL31" s="172"/>
      <c r="QM31" s="172"/>
      <c r="QN31" s="172"/>
      <c r="QO31" s="172"/>
      <c r="QP31" s="172"/>
      <c r="QQ31" s="172"/>
      <c r="QR31" s="172"/>
      <c r="QS31" s="172"/>
      <c r="QT31" s="172"/>
      <c r="QU31" s="172"/>
      <c r="QV31" s="172"/>
      <c r="QW31" s="172"/>
      <c r="QX31" s="172"/>
      <c r="QY31" s="172"/>
      <c r="QZ31" s="172"/>
      <c r="RA31" s="172"/>
      <c r="RB31" s="172"/>
      <c r="RC31" s="172"/>
      <c r="RD31" s="172"/>
      <c r="RE31" s="172"/>
      <c r="RF31" s="172"/>
      <c r="RG31" s="172"/>
      <c r="RH31" s="172"/>
      <c r="RI31" s="172"/>
      <c r="RJ31" s="172"/>
      <c r="RK31" s="172"/>
      <c r="RL31" s="172"/>
      <c r="RM31" s="172"/>
      <c r="RN31" s="172"/>
      <c r="RO31" s="172"/>
      <c r="RP31" s="172"/>
      <c r="RQ31" s="172"/>
      <c r="RR31" s="172"/>
      <c r="RS31" s="172"/>
      <c r="RT31" s="172"/>
      <c r="RU31" s="172"/>
      <c r="RV31" s="172"/>
      <c r="RW31" s="172"/>
      <c r="RX31" s="172"/>
      <c r="RY31" s="172"/>
      <c r="RZ31" s="172"/>
      <c r="SA31" s="172"/>
      <c r="SB31" s="172"/>
      <c r="SC31" s="172"/>
      <c r="SD31" s="172"/>
      <c r="SE31" s="172"/>
      <c r="SF31" s="172"/>
      <c r="SG31" s="172"/>
      <c r="SH31" s="172"/>
      <c r="SI31" s="172"/>
      <c r="SJ31" s="172"/>
      <c r="SK31" s="172"/>
      <c r="SL31" s="172"/>
      <c r="SM31" s="172"/>
      <c r="SN31" s="172"/>
      <c r="SO31" s="172"/>
      <c r="SP31" s="172"/>
      <c r="SQ31" s="172"/>
      <c r="SR31" s="172"/>
      <c r="SS31" s="172"/>
      <c r="ST31" s="172"/>
      <c r="SU31" s="172"/>
      <c r="SV31" s="172"/>
      <c r="SW31" s="172"/>
      <c r="SX31" s="172"/>
      <c r="SY31" s="172"/>
      <c r="SZ31" s="172"/>
      <c r="TA31" s="172"/>
      <c r="TB31" s="172"/>
      <c r="TC31" s="172"/>
      <c r="TD31" s="172"/>
      <c r="TE31" s="172"/>
      <c r="TF31" s="172"/>
      <c r="TG31" s="172"/>
      <c r="TH31" s="172"/>
      <c r="TI31" s="172"/>
      <c r="TJ31" s="172"/>
      <c r="TK31" s="172"/>
      <c r="TL31" s="172"/>
      <c r="TM31" s="172"/>
      <c r="TN31" s="172"/>
      <c r="TO31" s="172"/>
      <c r="TP31" s="172"/>
      <c r="TQ31" s="172"/>
      <c r="TR31" s="172"/>
      <c r="TS31" s="172"/>
      <c r="TT31" s="172"/>
      <c r="TU31" s="172"/>
      <c r="TV31" s="172"/>
      <c r="TW31" s="172"/>
      <c r="TX31" s="172"/>
      <c r="TY31" s="172"/>
      <c r="TZ31" s="172"/>
      <c r="UA31" s="172"/>
      <c r="UB31" s="172"/>
      <c r="UC31" s="172"/>
      <c r="UD31" s="172"/>
      <c r="UE31" s="172"/>
      <c r="UF31" s="172"/>
      <c r="UG31" s="172"/>
      <c r="UH31" s="172"/>
      <c r="UI31" s="172"/>
      <c r="UJ31" s="172"/>
      <c r="UK31" s="172"/>
      <c r="UL31" s="172"/>
      <c r="UM31" s="172"/>
      <c r="UN31" s="172"/>
      <c r="UO31" s="172"/>
      <c r="UP31" s="172"/>
      <c r="UQ31" s="172"/>
      <c r="UR31" s="172"/>
      <c r="US31" s="172"/>
      <c r="UT31" s="172"/>
      <c r="UU31" s="172"/>
      <c r="UV31" s="172"/>
      <c r="UW31" s="172"/>
      <c r="UX31" s="172"/>
      <c r="UY31" s="172"/>
      <c r="UZ31" s="172"/>
      <c r="VA31" s="172"/>
      <c r="VB31" s="172"/>
      <c r="VC31" s="172"/>
      <c r="VD31" s="172"/>
      <c r="VE31" s="172"/>
      <c r="VF31" s="172"/>
      <c r="VG31" s="172"/>
      <c r="VH31" s="172"/>
      <c r="VI31" s="172"/>
      <c r="VJ31" s="172"/>
      <c r="VK31" s="172"/>
      <c r="VL31" s="172"/>
      <c r="VM31" s="172"/>
      <c r="VN31" s="172"/>
      <c r="VO31" s="172"/>
      <c r="VP31" s="172"/>
      <c r="VQ31" s="172"/>
      <c r="VR31" s="172"/>
      <c r="VS31" s="172"/>
      <c r="VT31" s="172"/>
      <c r="VU31" s="172"/>
      <c r="VV31" s="172"/>
      <c r="VW31" s="172"/>
      <c r="VX31" s="172"/>
      <c r="VY31" s="172"/>
      <c r="VZ31" s="172"/>
      <c r="WA31" s="172"/>
      <c r="WB31" s="172"/>
      <c r="WC31" s="172"/>
      <c r="WD31" s="172"/>
      <c r="WE31" s="172"/>
      <c r="WF31" s="172"/>
      <c r="WG31" s="172"/>
      <c r="WH31" s="172"/>
      <c r="WI31" s="172"/>
      <c r="WJ31" s="172"/>
      <c r="WK31" s="172"/>
      <c r="WL31" s="172"/>
      <c r="WM31" s="172"/>
      <c r="WN31" s="172"/>
      <c r="WO31" s="172"/>
      <c r="WP31" s="172"/>
      <c r="WQ31" s="172"/>
      <c r="WR31" s="172"/>
      <c r="WS31" s="172"/>
      <c r="WT31" s="172"/>
      <c r="WU31" s="172"/>
      <c r="WV31" s="172"/>
      <c r="WW31" s="172"/>
      <c r="WX31" s="172"/>
      <c r="WY31" s="172"/>
      <c r="WZ31" s="172"/>
      <c r="XA31" s="172"/>
      <c r="XB31" s="172"/>
      <c r="XC31" s="172"/>
      <c r="XD31" s="172"/>
      <c r="XE31" s="172"/>
      <c r="XF31" s="172"/>
      <c r="XG31" s="172"/>
      <c r="XH31" s="172"/>
      <c r="XI31" s="172"/>
      <c r="XJ31" s="172"/>
      <c r="XK31" s="172"/>
      <c r="XL31" s="172"/>
      <c r="XM31" s="172"/>
      <c r="XN31" s="172"/>
      <c r="XO31" s="172"/>
      <c r="XP31" s="172"/>
      <c r="XQ31" s="172"/>
      <c r="XR31" s="172"/>
      <c r="XS31" s="172"/>
      <c r="XT31" s="172"/>
      <c r="XU31" s="172"/>
      <c r="XV31" s="172"/>
      <c r="XW31" s="172"/>
      <c r="XX31" s="172"/>
      <c r="XY31" s="172"/>
      <c r="XZ31" s="172"/>
      <c r="YA31" s="172"/>
      <c r="YB31" s="172"/>
      <c r="YC31" s="172"/>
      <c r="YD31" s="172"/>
      <c r="YE31" s="172"/>
      <c r="YF31" s="172"/>
      <c r="YG31" s="172"/>
      <c r="YH31" s="172"/>
      <c r="YI31" s="172"/>
      <c r="YJ31" s="172"/>
      <c r="YK31" s="172"/>
      <c r="YL31" s="172"/>
      <c r="YM31" s="172"/>
      <c r="YN31" s="172"/>
      <c r="YO31" s="172"/>
      <c r="YP31" s="172"/>
      <c r="YQ31" s="172"/>
      <c r="YR31" s="172"/>
      <c r="YS31" s="172"/>
      <c r="YT31" s="172"/>
      <c r="YU31" s="172"/>
      <c r="YV31" s="172"/>
      <c r="YW31" s="172"/>
      <c r="YX31" s="172"/>
      <c r="YY31" s="172"/>
      <c r="YZ31" s="172"/>
      <c r="ZA31" s="172"/>
      <c r="ZB31" s="172"/>
      <c r="ZC31" s="172"/>
      <c r="ZD31" s="172"/>
      <c r="ZE31" s="172"/>
      <c r="ZF31" s="172"/>
      <c r="ZG31" s="172"/>
      <c r="ZH31" s="172"/>
      <c r="ZI31" s="172"/>
      <c r="ZJ31" s="172"/>
      <c r="ZK31" s="172"/>
      <c r="ZL31" s="172"/>
      <c r="ZM31" s="172"/>
      <c r="ZN31" s="172"/>
      <c r="ZO31" s="172"/>
      <c r="ZP31" s="172"/>
      <c r="ZQ31" s="172"/>
      <c r="ZR31" s="172"/>
      <c r="ZS31" s="172"/>
      <c r="ZT31" s="172"/>
      <c r="ZU31" s="172"/>
      <c r="ZV31" s="172"/>
      <c r="ZW31" s="172"/>
      <c r="ZX31" s="172"/>
      <c r="ZY31" s="172"/>
      <c r="ZZ31" s="172"/>
      <c r="AAA31" s="172"/>
      <c r="AAB31" s="172"/>
      <c r="AAC31" s="172"/>
      <c r="AAD31" s="172"/>
      <c r="AAE31" s="172"/>
      <c r="AAF31" s="172"/>
      <c r="AAG31" s="172"/>
      <c r="AAH31" s="172"/>
      <c r="AAI31" s="172"/>
      <c r="AAJ31" s="172"/>
      <c r="AAK31" s="172"/>
      <c r="AAL31" s="172"/>
      <c r="AAM31" s="172"/>
      <c r="AAN31" s="172"/>
      <c r="AAO31" s="172"/>
      <c r="AAP31" s="172"/>
      <c r="AAQ31" s="172"/>
      <c r="AAR31" s="172"/>
      <c r="AAS31" s="172"/>
      <c r="AAT31" s="172"/>
      <c r="AAU31" s="172"/>
      <c r="AAV31" s="172"/>
      <c r="AAW31" s="172"/>
      <c r="AAX31" s="172"/>
      <c r="AAY31" s="172"/>
      <c r="AAZ31" s="172"/>
      <c r="ABA31" s="172"/>
      <c r="ABB31" s="172"/>
      <c r="ABC31" s="172"/>
      <c r="ABD31" s="172"/>
      <c r="ABE31" s="172"/>
      <c r="ABF31" s="172"/>
      <c r="ABG31" s="172"/>
      <c r="ABH31" s="172"/>
      <c r="ABI31" s="172"/>
      <c r="ABJ31" s="172"/>
      <c r="ABK31" s="172"/>
      <c r="ABL31" s="172"/>
      <c r="ABM31" s="172"/>
      <c r="ABN31" s="172"/>
      <c r="ABO31" s="172"/>
      <c r="ABP31" s="172"/>
      <c r="ABQ31" s="172"/>
      <c r="ABR31" s="172"/>
      <c r="ABS31" s="172"/>
      <c r="ABT31" s="172"/>
      <c r="ABU31" s="172"/>
      <c r="ABV31" s="172"/>
      <c r="ABW31" s="172"/>
      <c r="ABX31" s="172"/>
      <c r="ABY31" s="172"/>
      <c r="ABZ31" s="172"/>
      <c r="ACA31" s="172"/>
      <c r="ACB31" s="172"/>
      <c r="ACC31" s="172"/>
      <c r="ACD31" s="172"/>
      <c r="ACE31" s="172"/>
      <c r="ACF31" s="172"/>
      <c r="ACG31" s="172"/>
      <c r="ACH31" s="172"/>
      <c r="ACI31" s="172"/>
      <c r="ACJ31" s="172"/>
      <c r="ACK31" s="172"/>
      <c r="ACL31" s="172"/>
      <c r="ACM31" s="172"/>
      <c r="ACN31" s="172"/>
      <c r="ACO31" s="172"/>
      <c r="ACP31" s="172"/>
      <c r="ACQ31" s="172"/>
      <c r="ACR31" s="172"/>
      <c r="ACS31" s="172"/>
      <c r="ACT31" s="172"/>
      <c r="ACU31" s="172"/>
      <c r="ACV31" s="172"/>
      <c r="ACW31" s="172"/>
      <c r="ACX31" s="172"/>
      <c r="ACY31" s="172"/>
      <c r="ACZ31" s="172"/>
      <c r="ADA31" s="172"/>
      <c r="ADB31" s="172"/>
      <c r="ADC31" s="172"/>
      <c r="ADD31" s="172"/>
      <c r="ADE31" s="172"/>
      <c r="ADF31" s="172"/>
      <c r="ADG31" s="172"/>
      <c r="ADH31" s="172"/>
      <c r="ADI31" s="172"/>
      <c r="ADJ31" s="172"/>
      <c r="ADK31" s="172"/>
      <c r="ADL31" s="172"/>
      <c r="ADM31" s="172"/>
      <c r="ADN31" s="172"/>
      <c r="ADO31" s="172"/>
      <c r="ADP31" s="172"/>
      <c r="ADQ31" s="172"/>
      <c r="ADR31" s="172"/>
      <c r="ADS31" s="172"/>
      <c r="ADT31" s="172"/>
      <c r="ADU31" s="172"/>
      <c r="ADV31" s="172"/>
      <c r="ADW31" s="172"/>
      <c r="ADX31" s="172"/>
      <c r="ADY31" s="172"/>
      <c r="ADZ31" s="172"/>
      <c r="AEA31" s="172"/>
      <c r="AEB31" s="172"/>
      <c r="AEC31" s="172"/>
      <c r="AED31" s="172"/>
      <c r="AEE31" s="172"/>
      <c r="AEF31" s="172"/>
      <c r="AEG31" s="172"/>
      <c r="AEH31" s="172"/>
      <c r="AEI31" s="172"/>
      <c r="AEJ31" s="172"/>
      <c r="AEK31" s="172"/>
      <c r="AEL31" s="172"/>
      <c r="AEM31" s="172"/>
      <c r="AEN31" s="172"/>
      <c r="AEO31" s="172"/>
      <c r="AEP31" s="172"/>
      <c r="AEQ31" s="172"/>
      <c r="AER31" s="172"/>
      <c r="AES31" s="172"/>
      <c r="AET31" s="172"/>
      <c r="AEU31" s="172"/>
      <c r="AEV31" s="172"/>
      <c r="AEW31" s="172"/>
      <c r="AEX31" s="172"/>
      <c r="AEY31" s="172"/>
      <c r="AEZ31" s="172"/>
      <c r="AFA31" s="172"/>
      <c r="AFB31" s="172"/>
      <c r="AFC31" s="172"/>
      <c r="AFD31" s="172"/>
      <c r="AFE31" s="172"/>
      <c r="AFF31" s="172"/>
      <c r="AFG31" s="172"/>
      <c r="AFH31" s="172"/>
      <c r="AFI31" s="172"/>
      <c r="AFJ31" s="172"/>
      <c r="AFK31" s="172"/>
      <c r="AFL31" s="172"/>
      <c r="AFM31" s="172"/>
      <c r="AFN31" s="172"/>
      <c r="AFO31" s="172"/>
      <c r="AFP31" s="172"/>
      <c r="AFQ31" s="172"/>
      <c r="AFR31" s="172"/>
      <c r="AFS31" s="172"/>
      <c r="AFT31" s="172"/>
      <c r="AFU31" s="172"/>
      <c r="AFV31" s="172"/>
      <c r="AFW31" s="172"/>
      <c r="AFX31" s="172"/>
      <c r="AFY31" s="172"/>
      <c r="AFZ31" s="172"/>
      <c r="AGA31" s="172"/>
      <c r="AGB31" s="172"/>
      <c r="AGC31" s="172"/>
      <c r="AGD31" s="172"/>
      <c r="AGE31" s="172"/>
      <c r="AGF31" s="172"/>
      <c r="AGG31" s="172"/>
      <c r="AGH31" s="172"/>
      <c r="AGI31" s="172"/>
      <c r="AGJ31" s="172"/>
      <c r="AGK31" s="172"/>
      <c r="AGL31" s="172"/>
      <c r="AGM31" s="172"/>
      <c r="AGN31" s="172"/>
      <c r="AGO31" s="172"/>
      <c r="AGP31" s="172"/>
      <c r="AGQ31" s="172"/>
      <c r="AGR31" s="172"/>
      <c r="AGS31" s="172"/>
      <c r="AGT31" s="172"/>
      <c r="AGU31" s="172"/>
      <c r="AGV31" s="172"/>
      <c r="AGW31" s="172"/>
      <c r="AGX31" s="172"/>
      <c r="AGY31" s="172"/>
      <c r="AGZ31" s="172"/>
      <c r="AHA31" s="172"/>
      <c r="AHB31" s="172"/>
      <c r="AHC31" s="172"/>
      <c r="AHD31" s="172"/>
      <c r="AHE31" s="172"/>
      <c r="AHF31" s="172"/>
      <c r="AHG31" s="172"/>
      <c r="AHH31" s="172"/>
      <c r="AHI31" s="172"/>
      <c r="AHJ31" s="172"/>
      <c r="AHK31" s="172"/>
      <c r="AHL31" s="172"/>
      <c r="AHM31" s="172"/>
      <c r="AHN31" s="172"/>
      <c r="AHO31" s="172"/>
      <c r="AHP31" s="172"/>
      <c r="AHQ31" s="172"/>
      <c r="AHR31" s="172"/>
      <c r="AHS31" s="172"/>
      <c r="AHT31" s="172"/>
      <c r="AHU31" s="172"/>
      <c r="AHV31" s="172"/>
      <c r="AHW31" s="172"/>
      <c r="AHX31" s="172"/>
      <c r="AHY31" s="172"/>
      <c r="AHZ31" s="172"/>
      <c r="AIA31" s="172"/>
      <c r="AIB31" s="172"/>
      <c r="AIC31" s="172"/>
      <c r="AID31" s="172"/>
      <c r="AIE31" s="172"/>
      <c r="AIF31" s="172"/>
      <c r="AIG31" s="172"/>
      <c r="AIH31" s="172"/>
      <c r="AII31" s="172"/>
      <c r="AIJ31" s="172"/>
      <c r="AIK31" s="172"/>
      <c r="AIL31" s="172"/>
      <c r="AIM31" s="172"/>
      <c r="AIN31" s="172"/>
      <c r="AIO31" s="172"/>
      <c r="AIP31" s="172"/>
      <c r="AIQ31" s="172"/>
      <c r="AIR31" s="172"/>
      <c r="AIS31" s="172"/>
      <c r="AIT31" s="172"/>
      <c r="AIU31" s="172"/>
      <c r="AIV31" s="172"/>
      <c r="AIW31" s="172"/>
      <c r="AIX31" s="172"/>
      <c r="AIY31" s="172"/>
      <c r="AIZ31" s="172"/>
      <c r="AJA31" s="172"/>
      <c r="AJB31" s="172"/>
      <c r="AJC31" s="172"/>
      <c r="AJD31" s="172"/>
      <c r="AJE31" s="172"/>
      <c r="AJF31" s="172"/>
      <c r="AJG31" s="172"/>
      <c r="AJH31" s="172"/>
      <c r="AJI31" s="172"/>
      <c r="AJJ31" s="172"/>
      <c r="AJK31" s="172"/>
      <c r="AJL31" s="172"/>
      <c r="AJM31" s="172"/>
      <c r="AJN31" s="172"/>
      <c r="AJO31" s="172"/>
      <c r="AJP31" s="172"/>
      <c r="AJQ31" s="172"/>
      <c r="AJR31" s="172"/>
      <c r="AJS31" s="172"/>
      <c r="AJT31" s="172"/>
      <c r="AJU31" s="172"/>
      <c r="AJV31" s="172"/>
      <c r="AJW31" s="172"/>
      <c r="AJX31" s="172"/>
      <c r="AJY31" s="172"/>
      <c r="AJZ31" s="172"/>
      <c r="AKA31" s="172"/>
      <c r="AKB31" s="172"/>
      <c r="AKC31" s="172"/>
      <c r="AKD31" s="172"/>
      <c r="AKE31" s="172"/>
      <c r="AKF31" s="172"/>
      <c r="AKG31" s="172"/>
      <c r="AKH31" s="172"/>
      <c r="AKI31" s="172"/>
      <c r="AKJ31" s="172"/>
      <c r="AKK31" s="172"/>
      <c r="AKL31" s="172"/>
      <c r="AKM31" s="172"/>
      <c r="AKN31" s="172"/>
      <c r="AKO31" s="172"/>
      <c r="AKP31" s="172"/>
      <c r="AKQ31" s="172"/>
      <c r="AKR31" s="172"/>
      <c r="AKS31" s="172"/>
      <c r="AKT31" s="172"/>
      <c r="AKU31" s="172"/>
      <c r="AKV31" s="172"/>
      <c r="AKW31" s="172"/>
      <c r="AKX31" s="172"/>
      <c r="AKY31" s="172"/>
      <c r="AKZ31" s="172"/>
      <c r="ALA31" s="172"/>
      <c r="ALB31" s="172"/>
      <c r="ALC31" s="172"/>
      <c r="ALD31" s="172"/>
      <c r="ALE31" s="172"/>
      <c r="ALF31" s="172"/>
      <c r="ALG31" s="172"/>
      <c r="ALH31" s="172"/>
      <c r="ALI31" s="172"/>
      <c r="ALJ31" s="172"/>
      <c r="ALK31" s="172"/>
      <c r="ALL31" s="172"/>
      <c r="ALM31" s="172"/>
      <c r="ALN31" s="172"/>
      <c r="ALO31" s="172"/>
      <c r="ALP31" s="172"/>
      <c r="ALQ31" s="172"/>
      <c r="ALR31" s="172"/>
      <c r="ALS31" s="172"/>
      <c r="ALT31" s="172"/>
      <c r="ALU31" s="172"/>
      <c r="ALV31" s="172"/>
      <c r="ALW31" s="172"/>
      <c r="ALX31" s="172"/>
      <c r="ALY31" s="172"/>
      <c r="ALZ31" s="172"/>
      <c r="AMA31" s="172"/>
      <c r="AMB31" s="172"/>
      <c r="AMC31" s="172"/>
      <c r="AMD31" s="172"/>
      <c r="AME31" s="172"/>
      <c r="AMF31" s="172"/>
      <c r="AMG31" s="172"/>
      <c r="AMH31" s="172"/>
      <c r="AMI31" s="172"/>
      <c r="AMJ31" s="172"/>
      <c r="AMK31" s="172"/>
      <c r="AML31" s="172"/>
      <c r="AMM31" s="172"/>
      <c r="AMN31" s="172"/>
      <c r="AMO31" s="172"/>
      <c r="AMP31" s="172"/>
      <c r="AMQ31" s="172"/>
      <c r="AMR31" s="172"/>
      <c r="AMS31" s="172"/>
      <c r="AMT31" s="172"/>
      <c r="AMU31" s="172"/>
      <c r="AMV31" s="172"/>
      <c r="AMW31" s="172"/>
      <c r="AMX31" s="172"/>
      <c r="AMY31" s="172"/>
      <c r="AMZ31" s="172"/>
      <c r="ANA31" s="172"/>
      <c r="ANB31" s="172"/>
      <c r="ANC31" s="172"/>
      <c r="AND31" s="172"/>
      <c r="ANE31" s="172"/>
      <c r="ANF31" s="172"/>
      <c r="ANG31" s="172"/>
      <c r="ANH31" s="172"/>
      <c r="ANI31" s="172"/>
      <c r="ANJ31" s="172"/>
      <c r="ANK31" s="172"/>
      <c r="ANL31" s="172"/>
      <c r="ANM31" s="172"/>
      <c r="ANN31" s="172"/>
      <c r="ANO31" s="172"/>
      <c r="ANP31" s="172"/>
      <c r="ANQ31" s="172"/>
      <c r="ANR31" s="172"/>
      <c r="ANS31" s="172"/>
      <c r="ANT31" s="172"/>
      <c r="ANU31" s="172"/>
      <c r="ANV31" s="172"/>
      <c r="ANW31" s="172"/>
      <c r="ANX31" s="172"/>
      <c r="ANY31" s="172"/>
      <c r="ANZ31" s="172"/>
      <c r="AOA31" s="172"/>
      <c r="AOB31" s="172"/>
      <c r="AOC31" s="172"/>
      <c r="AOD31" s="172"/>
      <c r="AOE31" s="172"/>
      <c r="AOF31" s="172"/>
      <c r="AOG31" s="172"/>
      <c r="AOH31" s="172"/>
      <c r="AOI31" s="172"/>
      <c r="AOJ31" s="172"/>
      <c r="AOK31" s="172"/>
      <c r="AOL31" s="172"/>
      <c r="AOM31" s="172"/>
      <c r="AON31" s="172"/>
      <c r="AOO31" s="172"/>
      <c r="AOP31" s="172"/>
      <c r="AOQ31" s="172"/>
      <c r="AOR31" s="172"/>
      <c r="AOS31" s="172"/>
      <c r="AOT31" s="172"/>
      <c r="AOU31" s="172"/>
      <c r="AOV31" s="172"/>
      <c r="AOW31" s="172"/>
      <c r="AOX31" s="172"/>
      <c r="AOY31" s="172"/>
      <c r="AOZ31" s="172"/>
      <c r="APA31" s="172"/>
      <c r="APB31" s="172"/>
      <c r="APC31" s="172"/>
      <c r="APD31" s="172"/>
      <c r="APE31" s="172"/>
      <c r="APF31" s="172"/>
      <c r="APG31" s="172"/>
      <c r="APH31" s="172"/>
      <c r="API31" s="172"/>
      <c r="APJ31" s="172"/>
      <c r="APK31" s="172"/>
      <c r="APL31" s="172"/>
      <c r="APM31" s="172"/>
      <c r="APN31" s="172"/>
      <c r="APO31" s="172"/>
      <c r="APP31" s="172"/>
      <c r="APQ31" s="172"/>
      <c r="APR31" s="172"/>
      <c r="APS31" s="172"/>
      <c r="APT31" s="172"/>
      <c r="APU31" s="172"/>
      <c r="APV31" s="172"/>
      <c r="APW31" s="172"/>
      <c r="APX31" s="172"/>
      <c r="APY31" s="172"/>
      <c r="APZ31" s="172"/>
      <c r="AQA31" s="172"/>
      <c r="AQB31" s="172"/>
      <c r="AQC31" s="172"/>
      <c r="AQD31" s="172"/>
      <c r="AQE31" s="172"/>
      <c r="AQF31" s="172"/>
      <c r="AQG31" s="172"/>
      <c r="AQH31" s="172"/>
      <c r="AQI31" s="172"/>
      <c r="AQJ31" s="172"/>
      <c r="AQK31" s="172"/>
      <c r="AQL31" s="172"/>
      <c r="AQM31" s="172"/>
      <c r="AQN31" s="172"/>
      <c r="AQO31" s="172"/>
      <c r="AQP31" s="172"/>
      <c r="AQQ31" s="172"/>
      <c r="AQR31" s="172"/>
      <c r="AQS31" s="172"/>
      <c r="AQT31" s="172"/>
      <c r="AQU31" s="172"/>
      <c r="AQV31" s="172"/>
      <c r="AQW31" s="172"/>
      <c r="AQX31" s="172"/>
      <c r="AQY31" s="172"/>
      <c r="AQZ31" s="172"/>
      <c r="ARA31" s="172"/>
      <c r="ARB31" s="172"/>
      <c r="ARC31" s="172"/>
      <c r="ARD31" s="172"/>
      <c r="ARE31" s="172"/>
      <c r="ARF31" s="172"/>
      <c r="ARG31" s="172"/>
      <c r="ARH31" s="172"/>
      <c r="ARI31" s="172"/>
      <c r="ARJ31" s="172"/>
      <c r="ARK31" s="172"/>
      <c r="ARL31" s="172"/>
      <c r="ARM31" s="172"/>
      <c r="ARN31" s="172"/>
      <c r="ARO31" s="172"/>
      <c r="ARP31" s="172"/>
      <c r="ARQ31" s="172"/>
      <c r="ARR31" s="172"/>
      <c r="ARS31" s="172"/>
      <c r="ART31" s="172"/>
      <c r="ARU31" s="172"/>
    </row>
    <row r="32" spans="1:1165" s="257" customFormat="1">
      <c r="A32" s="222" t="s">
        <v>173</v>
      </c>
      <c r="B32" s="195" t="s">
        <v>87</v>
      </c>
      <c r="C32" s="258">
        <f>16415+195</f>
        <v>16610</v>
      </c>
      <c r="D32" s="258">
        <f>17364485+65375</f>
        <v>17429860</v>
      </c>
      <c r="E32" s="198">
        <v>3132</v>
      </c>
      <c r="F32" s="198">
        <v>4751650</v>
      </c>
      <c r="G32" s="198">
        <f>2858+783</f>
        <v>3641</v>
      </c>
      <c r="H32" s="198">
        <f>3240056</f>
        <v>3240056</v>
      </c>
      <c r="I32" s="198">
        <v>3390</v>
      </c>
      <c r="J32" s="198">
        <v>2899106</v>
      </c>
      <c r="K32" s="198">
        <f>3456</f>
        <v>3456</v>
      </c>
      <c r="L32" s="198">
        <f>4228393</f>
        <v>4228393</v>
      </c>
      <c r="M32" s="198">
        <f>3608</f>
        <v>3608</v>
      </c>
      <c r="N32" s="198">
        <f>3348810</f>
        <v>3348810</v>
      </c>
      <c r="O32" s="198">
        <f>3813</f>
        <v>3813</v>
      </c>
      <c r="P32" s="198">
        <f>4152769</f>
        <v>4152769</v>
      </c>
      <c r="Q32" s="198">
        <f>3592</f>
        <v>3592</v>
      </c>
      <c r="R32" s="198">
        <v>4054126</v>
      </c>
      <c r="S32" s="198">
        <v>2910</v>
      </c>
      <c r="T32" s="198">
        <v>4218249</v>
      </c>
      <c r="U32" s="211">
        <v>2679</v>
      </c>
      <c r="V32" s="211">
        <v>6961118</v>
      </c>
      <c r="W32" s="211">
        <v>2279</v>
      </c>
      <c r="X32" s="211">
        <v>5800205</v>
      </c>
      <c r="Y32" s="259">
        <v>5332</v>
      </c>
      <c r="Z32" s="259">
        <v>6165855</v>
      </c>
      <c r="AA32" s="226">
        <v>4540</v>
      </c>
      <c r="AB32" s="196">
        <v>5840246</v>
      </c>
      <c r="AC32" s="198">
        <v>4860</v>
      </c>
      <c r="AD32" s="198">
        <v>5750484</v>
      </c>
      <c r="AE32" s="198">
        <v>4953</v>
      </c>
      <c r="AF32" s="198">
        <v>5870240</v>
      </c>
      <c r="AG32" s="226">
        <v>4341</v>
      </c>
      <c r="AH32" s="226">
        <v>5869879</v>
      </c>
      <c r="AI32" s="226">
        <v>4994</v>
      </c>
      <c r="AJ32" s="226">
        <v>10456176</v>
      </c>
      <c r="AK32" s="260">
        <v>4721</v>
      </c>
      <c r="AL32" s="260">
        <v>7452720</v>
      </c>
      <c r="AM32" s="261">
        <v>4047</v>
      </c>
      <c r="AN32" s="261">
        <v>6874346</v>
      </c>
      <c r="AO32" s="196">
        <v>5805</v>
      </c>
      <c r="AP32" s="196">
        <v>9091853</v>
      </c>
      <c r="AQ32" s="196">
        <v>6451</v>
      </c>
      <c r="AR32" s="196">
        <v>8751183</v>
      </c>
      <c r="AS32" s="196">
        <v>10004</v>
      </c>
      <c r="AT32" s="196">
        <v>21425421</v>
      </c>
      <c r="AU32" s="226">
        <v>10492</v>
      </c>
      <c r="AV32" s="226">
        <v>22290522</v>
      </c>
      <c r="AW32" s="198">
        <v>9870</v>
      </c>
      <c r="AX32" s="198">
        <v>23674725</v>
      </c>
      <c r="AY32" s="198">
        <v>3341</v>
      </c>
      <c r="AZ32" s="198">
        <v>8508256</v>
      </c>
      <c r="BA32" s="263"/>
      <c r="BB32" s="198"/>
      <c r="BC32" s="263"/>
      <c r="BD32" s="198"/>
      <c r="BE32" s="263"/>
      <c r="BF32" s="198"/>
      <c r="BG32" s="198"/>
      <c r="BH32" s="198"/>
      <c r="BI32" s="263"/>
      <c r="BJ32" s="198">
        <f t="shared" ref="BJ32:BJ39" si="51">C32+G32+I32+K32+M32+O32+Q32+S32+U32+W32+Y32+AA32+AC32+AE32+AG32+AI32+AK32+AM32+AO32+AQ32+AS32+AU32+AW32+AY32+BB32+BF32</f>
        <v>129729</v>
      </c>
      <c r="BK32" s="198">
        <f t="shared" ref="BK32:BK40" si="52">D32+H32+J32+L32+N32+P32+R32+T32+V32+X32+Z32+AB32+AD32+AF32+AH32+AJ32+AL32+AN32+AP32+AR32+AT32+AV32+AX32+AZ32+BD32+BH32</f>
        <v>204354598</v>
      </c>
      <c r="BL32" s="172"/>
      <c r="BM32" s="13"/>
      <c r="BN32" s="231"/>
      <c r="BO32" s="231"/>
      <c r="BP32" s="231"/>
      <c r="BQ32" s="231"/>
      <c r="BR32" s="231"/>
      <c r="BS32" s="231"/>
      <c r="BT32" s="231"/>
      <c r="BU32" s="231"/>
      <c r="BV32" s="231"/>
      <c r="BW32" s="231"/>
      <c r="BX32" s="231"/>
      <c r="BY32" s="231"/>
      <c r="BZ32" s="231"/>
      <c r="CA32" s="231"/>
      <c r="CB32" s="231"/>
      <c r="CC32" s="231"/>
      <c r="CD32" s="231"/>
      <c r="CE32" s="231"/>
      <c r="CF32" s="231"/>
      <c r="CG32" s="231"/>
      <c r="CH32" s="231"/>
      <c r="CI32" s="231"/>
      <c r="CJ32" s="231"/>
      <c r="CK32" s="231"/>
      <c r="CL32" s="231"/>
      <c r="CM32" s="231"/>
      <c r="CN32" s="231"/>
      <c r="CO32" s="231"/>
      <c r="CP32" s="231"/>
      <c r="CQ32" s="231"/>
      <c r="CR32" s="231"/>
      <c r="CS32" s="231"/>
      <c r="CT32" s="231"/>
      <c r="CU32" s="231"/>
      <c r="CV32" s="231"/>
      <c r="CW32" s="231"/>
      <c r="CX32" s="231"/>
      <c r="CY32" s="231"/>
      <c r="CZ32" s="231"/>
      <c r="DA32" s="231"/>
      <c r="DB32" s="231"/>
      <c r="DC32" s="231"/>
      <c r="DD32" s="231"/>
      <c r="DE32" s="231"/>
      <c r="DF32" s="231"/>
      <c r="DG32" s="231"/>
      <c r="DH32" s="231"/>
      <c r="DI32" s="231"/>
      <c r="DJ32" s="231"/>
      <c r="DK32" s="231"/>
      <c r="DL32" s="231"/>
      <c r="DM32" s="231"/>
      <c r="DN32" s="231"/>
      <c r="DO32" s="231"/>
      <c r="DP32" s="231"/>
      <c r="DQ32" s="231"/>
      <c r="DR32" s="231"/>
      <c r="DS32" s="231"/>
      <c r="DT32" s="231"/>
      <c r="DU32" s="231"/>
      <c r="DV32" s="231"/>
      <c r="DW32" s="231"/>
      <c r="DX32" s="231"/>
      <c r="DY32" s="231"/>
      <c r="DZ32" s="231"/>
      <c r="EA32" s="231"/>
      <c r="EB32" s="231"/>
      <c r="EC32" s="231"/>
      <c r="ED32" s="231"/>
      <c r="EE32" s="231"/>
      <c r="EF32" s="231"/>
      <c r="EG32" s="231"/>
      <c r="EH32" s="231"/>
      <c r="EI32" s="231"/>
      <c r="EJ32" s="231"/>
      <c r="EK32" s="231"/>
      <c r="EL32" s="231"/>
      <c r="EM32" s="231"/>
      <c r="EN32" s="231"/>
      <c r="EO32" s="231"/>
      <c r="EP32" s="231"/>
      <c r="EQ32" s="231"/>
      <c r="ER32" s="231"/>
      <c r="ES32" s="231"/>
      <c r="ET32" s="231"/>
      <c r="EU32" s="231"/>
      <c r="EV32" s="231"/>
      <c r="EW32" s="231"/>
      <c r="EX32" s="231"/>
      <c r="EY32" s="231"/>
      <c r="EZ32" s="231"/>
      <c r="FA32" s="231"/>
      <c r="FB32" s="231"/>
      <c r="FC32" s="231"/>
      <c r="FD32" s="231"/>
      <c r="FE32" s="231"/>
      <c r="FF32" s="231"/>
      <c r="FG32" s="231"/>
      <c r="FH32" s="231"/>
      <c r="FI32" s="231"/>
      <c r="FJ32" s="231"/>
      <c r="FK32" s="231"/>
      <c r="FL32" s="231"/>
      <c r="FM32" s="231"/>
      <c r="FN32" s="231"/>
      <c r="FO32" s="231"/>
      <c r="FP32" s="231"/>
      <c r="FQ32" s="231"/>
      <c r="FR32" s="231"/>
      <c r="FS32" s="231"/>
      <c r="FT32" s="231"/>
      <c r="FU32" s="231"/>
      <c r="FV32" s="231"/>
      <c r="FW32" s="231"/>
      <c r="FX32" s="231"/>
      <c r="FY32" s="231"/>
      <c r="FZ32" s="231"/>
      <c r="GA32" s="231"/>
      <c r="GB32" s="231"/>
      <c r="GC32" s="231"/>
      <c r="GD32" s="231"/>
      <c r="GE32" s="231"/>
      <c r="GF32" s="231"/>
      <c r="GG32" s="231"/>
      <c r="GH32" s="231"/>
      <c r="GI32" s="231"/>
      <c r="GJ32" s="231"/>
      <c r="GK32" s="231"/>
      <c r="GL32" s="231"/>
      <c r="GM32" s="231"/>
      <c r="GN32" s="231"/>
      <c r="GO32" s="231"/>
      <c r="GP32" s="231"/>
      <c r="GQ32" s="231"/>
      <c r="GR32" s="231"/>
      <c r="GS32" s="231"/>
      <c r="GT32" s="231"/>
      <c r="GU32" s="231"/>
      <c r="GV32" s="231"/>
      <c r="GW32" s="231"/>
      <c r="GX32" s="231"/>
      <c r="GY32" s="231"/>
      <c r="GZ32" s="231"/>
      <c r="HA32" s="172"/>
      <c r="HB32" s="172"/>
      <c r="HC32" s="172"/>
      <c r="HD32" s="172"/>
      <c r="HE32" s="172"/>
      <c r="HF32" s="172"/>
      <c r="HG32" s="172"/>
      <c r="HH32" s="172"/>
      <c r="HI32" s="172"/>
      <c r="HJ32" s="172"/>
      <c r="HK32" s="172"/>
      <c r="HL32" s="172"/>
      <c r="HM32" s="172"/>
      <c r="HN32" s="172"/>
      <c r="HO32" s="172"/>
      <c r="HP32" s="172"/>
      <c r="HQ32" s="172"/>
      <c r="HR32" s="172"/>
      <c r="HS32" s="172"/>
      <c r="HT32" s="172"/>
      <c r="HU32" s="172"/>
      <c r="HV32" s="172"/>
      <c r="HW32" s="172"/>
      <c r="HX32" s="172"/>
      <c r="HY32" s="172"/>
      <c r="HZ32" s="172"/>
      <c r="IA32" s="172"/>
      <c r="IB32" s="172"/>
      <c r="IC32" s="172"/>
      <c r="ID32" s="172"/>
      <c r="IE32" s="172"/>
      <c r="IF32" s="172"/>
      <c r="IG32" s="172"/>
      <c r="IH32" s="172"/>
      <c r="II32" s="172"/>
      <c r="IJ32" s="172"/>
      <c r="IK32" s="172"/>
      <c r="IL32" s="172"/>
      <c r="IM32" s="172"/>
      <c r="IN32" s="172"/>
      <c r="IO32" s="172"/>
      <c r="IP32" s="172"/>
      <c r="IQ32" s="172"/>
      <c r="IR32" s="172"/>
      <c r="IS32" s="172"/>
      <c r="IT32" s="172"/>
      <c r="IU32" s="172"/>
      <c r="IV32" s="172"/>
      <c r="IW32" s="172"/>
      <c r="IX32" s="172"/>
      <c r="IY32" s="172"/>
      <c r="IZ32" s="172"/>
      <c r="JA32" s="172"/>
      <c r="JB32" s="172"/>
      <c r="JC32" s="172"/>
      <c r="JD32" s="172"/>
      <c r="JE32" s="172"/>
      <c r="JF32" s="172"/>
      <c r="JG32" s="172"/>
      <c r="JH32" s="172"/>
      <c r="JI32" s="172"/>
      <c r="JJ32" s="172"/>
      <c r="JK32" s="172"/>
      <c r="JL32" s="172"/>
      <c r="JM32" s="172"/>
      <c r="JN32" s="172"/>
      <c r="JO32" s="172"/>
      <c r="JP32" s="172"/>
      <c r="JQ32" s="172"/>
      <c r="JR32" s="172"/>
      <c r="JS32" s="172"/>
      <c r="JT32" s="172"/>
      <c r="JU32" s="172"/>
      <c r="JV32" s="172"/>
      <c r="JW32" s="172"/>
      <c r="JX32" s="172"/>
      <c r="JY32" s="172"/>
      <c r="JZ32" s="172"/>
      <c r="KA32" s="172"/>
      <c r="KB32" s="172"/>
      <c r="KC32" s="172"/>
      <c r="KD32" s="172"/>
      <c r="KE32" s="172"/>
      <c r="KF32" s="172"/>
      <c r="KG32" s="172"/>
      <c r="KH32" s="172"/>
      <c r="KI32" s="172"/>
      <c r="KJ32" s="172"/>
      <c r="KK32" s="172"/>
      <c r="KL32" s="172"/>
      <c r="KM32" s="172"/>
      <c r="KN32" s="172"/>
      <c r="KO32" s="172"/>
      <c r="KP32" s="172"/>
      <c r="KQ32" s="172"/>
      <c r="KR32" s="172"/>
      <c r="KS32" s="172"/>
      <c r="KT32" s="172"/>
      <c r="KU32" s="172"/>
      <c r="KV32" s="172"/>
      <c r="KW32" s="172"/>
      <c r="KX32" s="172"/>
      <c r="KY32" s="172"/>
      <c r="KZ32" s="172"/>
      <c r="LA32" s="172"/>
      <c r="LB32" s="172"/>
      <c r="LC32" s="172"/>
      <c r="LD32" s="172"/>
      <c r="LE32" s="172"/>
      <c r="LF32" s="172"/>
      <c r="LG32" s="172"/>
      <c r="LH32" s="172"/>
      <c r="LI32" s="172"/>
      <c r="LJ32" s="172"/>
      <c r="LK32" s="172"/>
      <c r="LL32" s="172"/>
      <c r="LM32" s="172"/>
      <c r="LN32" s="172"/>
      <c r="LO32" s="172"/>
      <c r="LP32" s="172"/>
      <c r="LQ32" s="172"/>
      <c r="LR32" s="172"/>
      <c r="LS32" s="172"/>
      <c r="LT32" s="172"/>
      <c r="LU32" s="172"/>
      <c r="LV32" s="172"/>
      <c r="LW32" s="172"/>
      <c r="LX32" s="172"/>
      <c r="LY32" s="172"/>
      <c r="LZ32" s="172"/>
      <c r="MA32" s="172"/>
      <c r="MB32" s="172"/>
      <c r="MC32" s="172"/>
      <c r="MD32" s="172"/>
      <c r="ME32" s="172"/>
      <c r="MF32" s="172"/>
      <c r="MG32" s="172"/>
      <c r="MH32" s="172"/>
      <c r="MI32" s="172"/>
      <c r="MJ32" s="172"/>
      <c r="MK32" s="172"/>
      <c r="ML32" s="172"/>
      <c r="MM32" s="172"/>
      <c r="MN32" s="172"/>
      <c r="MO32" s="172"/>
      <c r="MP32" s="172"/>
      <c r="MQ32" s="172"/>
      <c r="MR32" s="172"/>
      <c r="MS32" s="172"/>
      <c r="MT32" s="172"/>
      <c r="MU32" s="172"/>
      <c r="MV32" s="172"/>
      <c r="MW32" s="172"/>
      <c r="MX32" s="172"/>
      <c r="MY32" s="172"/>
      <c r="MZ32" s="172"/>
      <c r="NA32" s="172"/>
      <c r="NB32" s="172"/>
      <c r="NC32" s="172"/>
      <c r="ND32" s="172"/>
      <c r="NE32" s="172"/>
      <c r="NF32" s="172"/>
      <c r="NG32" s="172"/>
      <c r="NH32" s="172"/>
      <c r="NI32" s="172"/>
      <c r="NJ32" s="172"/>
      <c r="NK32" s="172"/>
      <c r="NL32" s="172"/>
      <c r="NM32" s="172"/>
      <c r="NN32" s="172"/>
      <c r="NO32" s="172"/>
      <c r="NP32" s="172"/>
      <c r="NQ32" s="172"/>
      <c r="NR32" s="172"/>
      <c r="NS32" s="172"/>
      <c r="NT32" s="172"/>
      <c r="NU32" s="172"/>
      <c r="NV32" s="172"/>
      <c r="NW32" s="172"/>
      <c r="NX32" s="172"/>
      <c r="NY32" s="172"/>
      <c r="NZ32" s="172"/>
      <c r="OA32" s="172"/>
      <c r="OB32" s="172"/>
      <c r="OC32" s="172"/>
      <c r="OD32" s="172"/>
      <c r="OE32" s="172"/>
      <c r="OF32" s="172"/>
      <c r="OG32" s="172"/>
      <c r="OH32" s="172"/>
      <c r="OI32" s="172"/>
      <c r="OJ32" s="172"/>
      <c r="OK32" s="172"/>
      <c r="OL32" s="172"/>
      <c r="OM32" s="172"/>
      <c r="ON32" s="172"/>
      <c r="OO32" s="172"/>
      <c r="OP32" s="172"/>
      <c r="OQ32" s="172"/>
      <c r="OR32" s="172"/>
      <c r="OS32" s="172"/>
      <c r="OT32" s="172"/>
      <c r="OU32" s="172"/>
      <c r="OV32" s="172"/>
      <c r="OW32" s="172"/>
      <c r="OX32" s="172"/>
      <c r="OY32" s="172"/>
      <c r="OZ32" s="172"/>
      <c r="PA32" s="172"/>
      <c r="PB32" s="172"/>
      <c r="PC32" s="172"/>
      <c r="PD32" s="172"/>
      <c r="PE32" s="172"/>
      <c r="PF32" s="172"/>
      <c r="PG32" s="172"/>
      <c r="PH32" s="172"/>
      <c r="PI32" s="172"/>
      <c r="PJ32" s="172"/>
      <c r="PK32" s="172"/>
      <c r="PL32" s="172"/>
      <c r="PM32" s="172"/>
      <c r="PN32" s="172"/>
      <c r="PO32" s="172"/>
      <c r="PP32" s="172"/>
      <c r="PQ32" s="172"/>
      <c r="PR32" s="172"/>
      <c r="PS32" s="172"/>
      <c r="PT32" s="172"/>
      <c r="PU32" s="172"/>
      <c r="PV32" s="172"/>
      <c r="PW32" s="172"/>
      <c r="PX32" s="172"/>
      <c r="PY32" s="172"/>
      <c r="PZ32" s="172"/>
      <c r="QA32" s="172"/>
      <c r="QB32" s="172"/>
      <c r="QC32" s="172"/>
      <c r="QD32" s="172"/>
      <c r="QE32" s="172"/>
      <c r="QF32" s="172"/>
      <c r="QG32" s="172"/>
      <c r="QH32" s="172"/>
      <c r="QI32" s="172"/>
      <c r="QJ32" s="172"/>
      <c r="QK32" s="172"/>
      <c r="QL32" s="172"/>
      <c r="QM32" s="172"/>
      <c r="QN32" s="172"/>
      <c r="QO32" s="172"/>
      <c r="QP32" s="172"/>
      <c r="QQ32" s="172"/>
      <c r="QR32" s="172"/>
      <c r="QS32" s="172"/>
      <c r="QT32" s="172"/>
      <c r="QU32" s="172"/>
      <c r="QV32" s="172"/>
      <c r="QW32" s="172"/>
      <c r="QX32" s="172"/>
      <c r="QY32" s="172"/>
      <c r="QZ32" s="172"/>
      <c r="RA32" s="172"/>
      <c r="RB32" s="172"/>
      <c r="RC32" s="172"/>
      <c r="RD32" s="172"/>
      <c r="RE32" s="172"/>
      <c r="RF32" s="172"/>
      <c r="RG32" s="172"/>
      <c r="RH32" s="172"/>
      <c r="RI32" s="172"/>
      <c r="RJ32" s="172"/>
      <c r="RK32" s="172"/>
      <c r="RL32" s="172"/>
      <c r="RM32" s="172"/>
      <c r="RN32" s="172"/>
      <c r="RO32" s="172"/>
      <c r="RP32" s="172"/>
      <c r="RQ32" s="172"/>
      <c r="RR32" s="172"/>
      <c r="RS32" s="172"/>
      <c r="RT32" s="172"/>
      <c r="RU32" s="172"/>
      <c r="RV32" s="172"/>
      <c r="RW32" s="172"/>
      <c r="RX32" s="172"/>
      <c r="RY32" s="172"/>
      <c r="RZ32" s="172"/>
      <c r="SA32" s="172"/>
      <c r="SB32" s="172"/>
      <c r="SC32" s="172"/>
      <c r="SD32" s="172"/>
      <c r="SE32" s="172"/>
      <c r="SF32" s="172"/>
      <c r="SG32" s="172"/>
      <c r="SH32" s="172"/>
      <c r="SI32" s="172"/>
      <c r="SJ32" s="172"/>
      <c r="SK32" s="172"/>
      <c r="SL32" s="172"/>
      <c r="SM32" s="172"/>
      <c r="SN32" s="172"/>
      <c r="SO32" s="172"/>
      <c r="SP32" s="172"/>
      <c r="SQ32" s="172"/>
      <c r="SR32" s="172"/>
      <c r="SS32" s="172"/>
      <c r="ST32" s="172"/>
      <c r="SU32" s="172"/>
      <c r="SV32" s="172"/>
      <c r="SW32" s="172"/>
      <c r="SX32" s="172"/>
      <c r="SY32" s="172"/>
      <c r="SZ32" s="172"/>
      <c r="TA32" s="172"/>
      <c r="TB32" s="172"/>
      <c r="TC32" s="172"/>
      <c r="TD32" s="172"/>
      <c r="TE32" s="172"/>
      <c r="TF32" s="172"/>
      <c r="TG32" s="172"/>
      <c r="TH32" s="172"/>
      <c r="TI32" s="172"/>
      <c r="TJ32" s="172"/>
      <c r="TK32" s="172"/>
      <c r="TL32" s="172"/>
      <c r="TM32" s="172"/>
      <c r="TN32" s="172"/>
      <c r="TO32" s="172"/>
      <c r="TP32" s="172"/>
      <c r="TQ32" s="172"/>
      <c r="TR32" s="172"/>
      <c r="TS32" s="172"/>
      <c r="TT32" s="172"/>
      <c r="TU32" s="172"/>
      <c r="TV32" s="172"/>
      <c r="TW32" s="172"/>
      <c r="TX32" s="172"/>
      <c r="TY32" s="172"/>
      <c r="TZ32" s="172"/>
      <c r="UA32" s="172"/>
      <c r="UB32" s="172"/>
      <c r="UC32" s="172"/>
      <c r="UD32" s="172"/>
      <c r="UE32" s="172"/>
      <c r="UF32" s="172"/>
      <c r="UG32" s="172"/>
      <c r="UH32" s="172"/>
      <c r="UI32" s="172"/>
      <c r="UJ32" s="172"/>
      <c r="UK32" s="172"/>
      <c r="UL32" s="172"/>
      <c r="UM32" s="172"/>
      <c r="UN32" s="172"/>
      <c r="UO32" s="172"/>
      <c r="UP32" s="172"/>
      <c r="UQ32" s="172"/>
      <c r="UR32" s="172"/>
      <c r="US32" s="172"/>
      <c r="UT32" s="172"/>
      <c r="UU32" s="172"/>
      <c r="UV32" s="172"/>
      <c r="UW32" s="172"/>
      <c r="UX32" s="172"/>
      <c r="UY32" s="172"/>
      <c r="UZ32" s="172"/>
      <c r="VA32" s="172"/>
      <c r="VB32" s="172"/>
      <c r="VC32" s="172"/>
      <c r="VD32" s="172"/>
      <c r="VE32" s="172"/>
      <c r="VF32" s="172"/>
      <c r="VG32" s="172"/>
      <c r="VH32" s="172"/>
      <c r="VI32" s="172"/>
      <c r="VJ32" s="172"/>
      <c r="VK32" s="172"/>
      <c r="VL32" s="172"/>
      <c r="VM32" s="172"/>
      <c r="VN32" s="172"/>
      <c r="VO32" s="172"/>
      <c r="VP32" s="172"/>
      <c r="VQ32" s="172"/>
      <c r="VR32" s="172"/>
      <c r="VS32" s="172"/>
      <c r="VT32" s="172"/>
      <c r="VU32" s="172"/>
      <c r="VV32" s="172"/>
      <c r="VW32" s="172"/>
      <c r="VX32" s="172"/>
      <c r="VY32" s="172"/>
      <c r="VZ32" s="172"/>
      <c r="WA32" s="172"/>
      <c r="WB32" s="172"/>
      <c r="WC32" s="172"/>
      <c r="WD32" s="172"/>
      <c r="WE32" s="172"/>
      <c r="WF32" s="172"/>
      <c r="WG32" s="172"/>
      <c r="WH32" s="172"/>
      <c r="WI32" s="172"/>
      <c r="WJ32" s="172"/>
      <c r="WK32" s="172"/>
      <c r="WL32" s="172"/>
      <c r="WM32" s="172"/>
      <c r="WN32" s="172"/>
      <c r="WO32" s="172"/>
      <c r="WP32" s="172"/>
      <c r="WQ32" s="172"/>
      <c r="WR32" s="172"/>
      <c r="WS32" s="172"/>
      <c r="WT32" s="172"/>
      <c r="WU32" s="172"/>
      <c r="WV32" s="172"/>
      <c r="WW32" s="172"/>
      <c r="WX32" s="172"/>
      <c r="WY32" s="172"/>
      <c r="WZ32" s="172"/>
      <c r="XA32" s="172"/>
      <c r="XB32" s="172"/>
      <c r="XC32" s="172"/>
      <c r="XD32" s="172"/>
      <c r="XE32" s="172"/>
      <c r="XF32" s="172"/>
      <c r="XG32" s="172"/>
      <c r="XH32" s="172"/>
      <c r="XI32" s="172"/>
      <c r="XJ32" s="172"/>
      <c r="XK32" s="172"/>
      <c r="XL32" s="172"/>
      <c r="XM32" s="172"/>
      <c r="XN32" s="172"/>
      <c r="XO32" s="172"/>
      <c r="XP32" s="172"/>
      <c r="XQ32" s="172"/>
      <c r="XR32" s="172"/>
      <c r="XS32" s="172"/>
      <c r="XT32" s="172"/>
      <c r="XU32" s="172"/>
      <c r="XV32" s="172"/>
      <c r="XW32" s="172"/>
      <c r="XX32" s="172"/>
      <c r="XY32" s="172"/>
      <c r="XZ32" s="172"/>
      <c r="YA32" s="172"/>
      <c r="YB32" s="172"/>
      <c r="YC32" s="172"/>
      <c r="YD32" s="172"/>
      <c r="YE32" s="172"/>
      <c r="YF32" s="172"/>
      <c r="YG32" s="172"/>
      <c r="YH32" s="172"/>
      <c r="YI32" s="172"/>
      <c r="YJ32" s="172"/>
      <c r="YK32" s="172"/>
      <c r="YL32" s="172"/>
      <c r="YM32" s="172"/>
      <c r="YN32" s="172"/>
      <c r="YO32" s="172"/>
      <c r="YP32" s="172"/>
      <c r="YQ32" s="172"/>
      <c r="YR32" s="172"/>
      <c r="YS32" s="172"/>
      <c r="YT32" s="172"/>
      <c r="YU32" s="172"/>
      <c r="YV32" s="172"/>
      <c r="YW32" s="172"/>
      <c r="YX32" s="172"/>
      <c r="YY32" s="172"/>
      <c r="YZ32" s="172"/>
      <c r="ZA32" s="172"/>
      <c r="ZB32" s="172"/>
      <c r="ZC32" s="172"/>
      <c r="ZD32" s="172"/>
      <c r="ZE32" s="172"/>
      <c r="ZF32" s="172"/>
      <c r="ZG32" s="172"/>
      <c r="ZH32" s="172"/>
      <c r="ZI32" s="172"/>
      <c r="ZJ32" s="172"/>
      <c r="ZK32" s="172"/>
      <c r="ZL32" s="172"/>
      <c r="ZM32" s="172"/>
      <c r="ZN32" s="172"/>
      <c r="ZO32" s="172"/>
      <c r="ZP32" s="172"/>
      <c r="ZQ32" s="172"/>
      <c r="ZR32" s="172"/>
      <c r="ZS32" s="172"/>
      <c r="ZT32" s="172"/>
      <c r="ZU32" s="172"/>
      <c r="ZV32" s="172"/>
      <c r="ZW32" s="172"/>
      <c r="ZX32" s="172"/>
      <c r="ZY32" s="172"/>
      <c r="ZZ32" s="172"/>
      <c r="AAA32" s="172"/>
      <c r="AAB32" s="172"/>
      <c r="AAC32" s="172"/>
      <c r="AAD32" s="172"/>
      <c r="AAE32" s="172"/>
      <c r="AAF32" s="172"/>
      <c r="AAG32" s="172"/>
      <c r="AAH32" s="172"/>
      <c r="AAI32" s="172"/>
      <c r="AAJ32" s="172"/>
      <c r="AAK32" s="172"/>
      <c r="AAL32" s="172"/>
      <c r="AAM32" s="172"/>
      <c r="AAN32" s="172"/>
      <c r="AAO32" s="172"/>
      <c r="AAP32" s="172"/>
      <c r="AAQ32" s="172"/>
      <c r="AAR32" s="172"/>
      <c r="AAS32" s="172"/>
      <c r="AAT32" s="172"/>
      <c r="AAU32" s="172"/>
      <c r="AAV32" s="172"/>
      <c r="AAW32" s="172"/>
      <c r="AAX32" s="172"/>
      <c r="AAY32" s="172"/>
      <c r="AAZ32" s="172"/>
      <c r="ABA32" s="172"/>
      <c r="ABB32" s="172"/>
      <c r="ABC32" s="172"/>
      <c r="ABD32" s="172"/>
      <c r="ABE32" s="172"/>
      <c r="ABF32" s="172"/>
      <c r="ABG32" s="172"/>
      <c r="ABH32" s="172"/>
      <c r="ABI32" s="172"/>
      <c r="ABJ32" s="172"/>
      <c r="ABK32" s="172"/>
      <c r="ABL32" s="172"/>
      <c r="ABM32" s="172"/>
      <c r="ABN32" s="172"/>
      <c r="ABO32" s="172"/>
      <c r="ABP32" s="172"/>
      <c r="ABQ32" s="172"/>
      <c r="ABR32" s="172"/>
      <c r="ABS32" s="172"/>
      <c r="ABT32" s="172"/>
      <c r="ABU32" s="172"/>
      <c r="ABV32" s="172"/>
      <c r="ABW32" s="172"/>
      <c r="ABX32" s="172"/>
      <c r="ABY32" s="172"/>
      <c r="ABZ32" s="172"/>
      <c r="ACA32" s="172"/>
      <c r="ACB32" s="172"/>
      <c r="ACC32" s="172"/>
      <c r="ACD32" s="172"/>
      <c r="ACE32" s="172"/>
      <c r="ACF32" s="172"/>
      <c r="ACG32" s="172"/>
      <c r="ACH32" s="172"/>
      <c r="ACI32" s="172"/>
      <c r="ACJ32" s="172"/>
      <c r="ACK32" s="172"/>
      <c r="ACL32" s="172"/>
      <c r="ACM32" s="172"/>
      <c r="ACN32" s="172"/>
      <c r="ACO32" s="172"/>
      <c r="ACP32" s="172"/>
      <c r="ACQ32" s="172"/>
      <c r="ACR32" s="172"/>
      <c r="ACS32" s="172"/>
      <c r="ACT32" s="172"/>
      <c r="ACU32" s="172"/>
      <c r="ACV32" s="172"/>
      <c r="ACW32" s="172"/>
      <c r="ACX32" s="172"/>
      <c r="ACY32" s="172"/>
      <c r="ACZ32" s="172"/>
      <c r="ADA32" s="172"/>
      <c r="ADB32" s="172"/>
      <c r="ADC32" s="172"/>
      <c r="ADD32" s="172"/>
      <c r="ADE32" s="172"/>
      <c r="ADF32" s="172"/>
      <c r="ADG32" s="172"/>
      <c r="ADH32" s="172"/>
      <c r="ADI32" s="172"/>
      <c r="ADJ32" s="172"/>
      <c r="ADK32" s="172"/>
      <c r="ADL32" s="172"/>
      <c r="ADM32" s="172"/>
      <c r="ADN32" s="172"/>
      <c r="ADO32" s="172"/>
      <c r="ADP32" s="172"/>
      <c r="ADQ32" s="172"/>
      <c r="ADR32" s="172"/>
      <c r="ADS32" s="172"/>
      <c r="ADT32" s="172"/>
      <c r="ADU32" s="172"/>
      <c r="ADV32" s="172"/>
      <c r="ADW32" s="172"/>
      <c r="ADX32" s="172"/>
      <c r="ADY32" s="172"/>
      <c r="ADZ32" s="172"/>
      <c r="AEA32" s="172"/>
      <c r="AEB32" s="172"/>
      <c r="AEC32" s="172"/>
      <c r="AED32" s="172"/>
      <c r="AEE32" s="172"/>
      <c r="AEF32" s="172"/>
      <c r="AEG32" s="172"/>
      <c r="AEH32" s="172"/>
      <c r="AEI32" s="172"/>
      <c r="AEJ32" s="172"/>
      <c r="AEK32" s="172"/>
      <c r="AEL32" s="172"/>
      <c r="AEM32" s="172"/>
      <c r="AEN32" s="172"/>
      <c r="AEO32" s="172"/>
      <c r="AEP32" s="172"/>
      <c r="AEQ32" s="172"/>
      <c r="AER32" s="172"/>
      <c r="AES32" s="172"/>
      <c r="AET32" s="172"/>
      <c r="AEU32" s="172"/>
      <c r="AEV32" s="172"/>
      <c r="AEW32" s="172"/>
      <c r="AEX32" s="172"/>
      <c r="AEY32" s="172"/>
      <c r="AEZ32" s="172"/>
      <c r="AFA32" s="172"/>
      <c r="AFB32" s="172"/>
      <c r="AFC32" s="172"/>
      <c r="AFD32" s="172"/>
      <c r="AFE32" s="172"/>
      <c r="AFF32" s="172"/>
      <c r="AFG32" s="172"/>
      <c r="AFH32" s="172"/>
      <c r="AFI32" s="172"/>
      <c r="AFJ32" s="172"/>
      <c r="AFK32" s="172"/>
      <c r="AFL32" s="172"/>
      <c r="AFM32" s="172"/>
      <c r="AFN32" s="172"/>
      <c r="AFO32" s="172"/>
      <c r="AFP32" s="172"/>
      <c r="AFQ32" s="172"/>
      <c r="AFR32" s="172"/>
      <c r="AFS32" s="172"/>
      <c r="AFT32" s="172"/>
      <c r="AFU32" s="172"/>
      <c r="AFV32" s="172"/>
      <c r="AFW32" s="172"/>
      <c r="AFX32" s="172"/>
      <c r="AFY32" s="172"/>
      <c r="AFZ32" s="172"/>
      <c r="AGA32" s="172"/>
      <c r="AGB32" s="172"/>
      <c r="AGC32" s="172"/>
      <c r="AGD32" s="172"/>
      <c r="AGE32" s="172"/>
      <c r="AGF32" s="172"/>
      <c r="AGG32" s="172"/>
      <c r="AGH32" s="172"/>
      <c r="AGI32" s="172"/>
      <c r="AGJ32" s="172"/>
      <c r="AGK32" s="172"/>
      <c r="AGL32" s="172"/>
      <c r="AGM32" s="172"/>
      <c r="AGN32" s="172"/>
      <c r="AGO32" s="172"/>
      <c r="AGP32" s="172"/>
      <c r="AGQ32" s="172"/>
      <c r="AGR32" s="172"/>
      <c r="AGS32" s="172"/>
      <c r="AGT32" s="172"/>
      <c r="AGU32" s="172"/>
      <c r="AGV32" s="172"/>
      <c r="AGW32" s="172"/>
      <c r="AGX32" s="172"/>
      <c r="AGY32" s="172"/>
      <c r="AGZ32" s="172"/>
      <c r="AHA32" s="172"/>
      <c r="AHB32" s="172"/>
      <c r="AHC32" s="172"/>
      <c r="AHD32" s="172"/>
      <c r="AHE32" s="172"/>
      <c r="AHF32" s="172"/>
      <c r="AHG32" s="172"/>
      <c r="AHH32" s="172"/>
      <c r="AHI32" s="172"/>
      <c r="AHJ32" s="172"/>
      <c r="AHK32" s="172"/>
      <c r="AHL32" s="172"/>
      <c r="AHM32" s="172"/>
      <c r="AHN32" s="172"/>
      <c r="AHO32" s="172"/>
      <c r="AHP32" s="172"/>
      <c r="AHQ32" s="172"/>
      <c r="AHR32" s="172"/>
      <c r="AHS32" s="172"/>
      <c r="AHT32" s="172"/>
      <c r="AHU32" s="172"/>
      <c r="AHV32" s="172"/>
      <c r="AHW32" s="172"/>
      <c r="AHX32" s="172"/>
      <c r="AHY32" s="172"/>
      <c r="AHZ32" s="172"/>
      <c r="AIA32" s="172"/>
      <c r="AIB32" s="172"/>
      <c r="AIC32" s="172"/>
      <c r="AID32" s="172"/>
      <c r="AIE32" s="172"/>
      <c r="AIF32" s="172"/>
      <c r="AIG32" s="172"/>
      <c r="AIH32" s="172"/>
      <c r="AII32" s="172"/>
      <c r="AIJ32" s="172"/>
      <c r="AIK32" s="172"/>
      <c r="AIL32" s="172"/>
      <c r="AIM32" s="172"/>
      <c r="AIN32" s="172"/>
      <c r="AIO32" s="172"/>
      <c r="AIP32" s="172"/>
      <c r="AIQ32" s="172"/>
      <c r="AIR32" s="172"/>
      <c r="AIS32" s="172"/>
      <c r="AIT32" s="172"/>
      <c r="AIU32" s="172"/>
      <c r="AIV32" s="172"/>
      <c r="AIW32" s="172"/>
      <c r="AIX32" s="172"/>
      <c r="AIY32" s="172"/>
      <c r="AIZ32" s="172"/>
      <c r="AJA32" s="172"/>
      <c r="AJB32" s="172"/>
      <c r="AJC32" s="172"/>
      <c r="AJD32" s="172"/>
      <c r="AJE32" s="172"/>
      <c r="AJF32" s="172"/>
      <c r="AJG32" s="172"/>
      <c r="AJH32" s="172"/>
      <c r="AJI32" s="172"/>
      <c r="AJJ32" s="172"/>
      <c r="AJK32" s="172"/>
      <c r="AJL32" s="172"/>
      <c r="AJM32" s="172"/>
      <c r="AJN32" s="172"/>
      <c r="AJO32" s="172"/>
      <c r="AJP32" s="172"/>
      <c r="AJQ32" s="172"/>
      <c r="AJR32" s="172"/>
      <c r="AJS32" s="172"/>
      <c r="AJT32" s="172"/>
      <c r="AJU32" s="172"/>
      <c r="AJV32" s="172"/>
      <c r="AJW32" s="172"/>
      <c r="AJX32" s="172"/>
      <c r="AJY32" s="172"/>
      <c r="AJZ32" s="172"/>
      <c r="AKA32" s="172"/>
      <c r="AKB32" s="172"/>
      <c r="AKC32" s="172"/>
      <c r="AKD32" s="172"/>
      <c r="AKE32" s="172"/>
      <c r="AKF32" s="172"/>
      <c r="AKG32" s="172"/>
      <c r="AKH32" s="172"/>
      <c r="AKI32" s="172"/>
      <c r="AKJ32" s="172"/>
      <c r="AKK32" s="172"/>
      <c r="AKL32" s="172"/>
      <c r="AKM32" s="172"/>
      <c r="AKN32" s="172"/>
      <c r="AKO32" s="172"/>
      <c r="AKP32" s="172"/>
      <c r="AKQ32" s="172"/>
      <c r="AKR32" s="172"/>
      <c r="AKS32" s="172"/>
      <c r="AKT32" s="172"/>
      <c r="AKU32" s="172"/>
      <c r="AKV32" s="172"/>
      <c r="AKW32" s="172"/>
      <c r="AKX32" s="172"/>
      <c r="AKY32" s="172"/>
      <c r="AKZ32" s="172"/>
      <c r="ALA32" s="172"/>
      <c r="ALB32" s="172"/>
      <c r="ALC32" s="172"/>
      <c r="ALD32" s="172"/>
      <c r="ALE32" s="172"/>
      <c r="ALF32" s="172"/>
      <c r="ALG32" s="172"/>
      <c r="ALH32" s="172"/>
      <c r="ALI32" s="172"/>
      <c r="ALJ32" s="172"/>
      <c r="ALK32" s="172"/>
      <c r="ALL32" s="172"/>
      <c r="ALM32" s="172"/>
      <c r="ALN32" s="172"/>
      <c r="ALO32" s="172"/>
      <c r="ALP32" s="172"/>
      <c r="ALQ32" s="172"/>
      <c r="ALR32" s="172"/>
      <c r="ALS32" s="172"/>
      <c r="ALT32" s="172"/>
      <c r="ALU32" s="172"/>
      <c r="ALV32" s="172"/>
      <c r="ALW32" s="172"/>
      <c r="ALX32" s="172"/>
      <c r="ALY32" s="172"/>
      <c r="ALZ32" s="172"/>
      <c r="AMA32" s="172"/>
      <c r="AMB32" s="172"/>
      <c r="AMC32" s="172"/>
      <c r="AMD32" s="172"/>
      <c r="AME32" s="172"/>
      <c r="AMF32" s="172"/>
      <c r="AMG32" s="172"/>
      <c r="AMH32" s="172"/>
      <c r="AMI32" s="172"/>
      <c r="AMJ32" s="172"/>
      <c r="AMK32" s="172"/>
      <c r="AML32" s="172"/>
      <c r="AMM32" s="172"/>
      <c r="AMN32" s="172"/>
      <c r="AMO32" s="172"/>
      <c r="AMP32" s="172"/>
      <c r="AMQ32" s="172"/>
      <c r="AMR32" s="172"/>
      <c r="AMS32" s="172"/>
      <c r="AMT32" s="172"/>
      <c r="AMU32" s="172"/>
      <c r="AMV32" s="172"/>
      <c r="AMW32" s="172"/>
      <c r="AMX32" s="172"/>
      <c r="AMY32" s="172"/>
      <c r="AMZ32" s="172"/>
      <c r="ANA32" s="172"/>
      <c r="ANB32" s="172"/>
      <c r="ANC32" s="172"/>
      <c r="AND32" s="172"/>
      <c r="ANE32" s="172"/>
      <c r="ANF32" s="172"/>
      <c r="ANG32" s="172"/>
      <c r="ANH32" s="172"/>
      <c r="ANI32" s="172"/>
      <c r="ANJ32" s="172"/>
      <c r="ANK32" s="172"/>
      <c r="ANL32" s="172"/>
      <c r="ANM32" s="172"/>
      <c r="ANN32" s="172"/>
      <c r="ANO32" s="172"/>
      <c r="ANP32" s="172"/>
      <c r="ANQ32" s="172"/>
      <c r="ANR32" s="172"/>
      <c r="ANS32" s="172"/>
      <c r="ANT32" s="172"/>
      <c r="ANU32" s="172"/>
      <c r="ANV32" s="172"/>
      <c r="ANW32" s="172"/>
      <c r="ANX32" s="172"/>
      <c r="ANY32" s="172"/>
      <c r="ANZ32" s="172"/>
      <c r="AOA32" s="172"/>
      <c r="AOB32" s="172"/>
      <c r="AOC32" s="172"/>
      <c r="AOD32" s="172"/>
      <c r="AOE32" s="172"/>
      <c r="AOF32" s="172"/>
      <c r="AOG32" s="172"/>
      <c r="AOH32" s="172"/>
      <c r="AOI32" s="172"/>
      <c r="AOJ32" s="172"/>
      <c r="AOK32" s="172"/>
      <c r="AOL32" s="172"/>
      <c r="AOM32" s="172"/>
      <c r="AON32" s="172"/>
      <c r="AOO32" s="172"/>
      <c r="AOP32" s="172"/>
      <c r="AOQ32" s="172"/>
      <c r="AOR32" s="172"/>
      <c r="AOS32" s="172"/>
      <c r="AOT32" s="172"/>
      <c r="AOU32" s="172"/>
      <c r="AOV32" s="172"/>
      <c r="AOW32" s="172"/>
      <c r="AOX32" s="172"/>
      <c r="AOY32" s="172"/>
      <c r="AOZ32" s="172"/>
      <c r="APA32" s="172"/>
      <c r="APB32" s="172"/>
      <c r="APC32" s="172"/>
      <c r="APD32" s="172"/>
      <c r="APE32" s="172"/>
      <c r="APF32" s="172"/>
      <c r="APG32" s="172"/>
      <c r="APH32" s="172"/>
      <c r="API32" s="172"/>
      <c r="APJ32" s="172"/>
      <c r="APK32" s="172"/>
      <c r="APL32" s="172"/>
      <c r="APM32" s="172"/>
      <c r="APN32" s="172"/>
      <c r="APO32" s="172"/>
      <c r="APP32" s="172"/>
      <c r="APQ32" s="172"/>
      <c r="APR32" s="172"/>
      <c r="APS32" s="172"/>
      <c r="APT32" s="172"/>
      <c r="APU32" s="172"/>
      <c r="APV32" s="172"/>
      <c r="APW32" s="172"/>
      <c r="APX32" s="172"/>
      <c r="APY32" s="172"/>
      <c r="APZ32" s="172"/>
      <c r="AQA32" s="172"/>
      <c r="AQB32" s="172"/>
      <c r="AQC32" s="172"/>
      <c r="AQD32" s="172"/>
      <c r="AQE32" s="172"/>
      <c r="AQF32" s="172"/>
      <c r="AQG32" s="172"/>
      <c r="AQH32" s="172"/>
      <c r="AQI32" s="172"/>
      <c r="AQJ32" s="172"/>
      <c r="AQK32" s="172"/>
      <c r="AQL32" s="172"/>
      <c r="AQM32" s="172"/>
      <c r="AQN32" s="172"/>
      <c r="AQO32" s="172"/>
      <c r="AQP32" s="172"/>
      <c r="AQQ32" s="172"/>
      <c r="AQR32" s="172"/>
      <c r="AQS32" s="172"/>
      <c r="AQT32" s="172"/>
      <c r="AQU32" s="172"/>
      <c r="AQV32" s="172"/>
      <c r="AQW32" s="172"/>
      <c r="AQX32" s="172"/>
      <c r="AQY32" s="172"/>
      <c r="AQZ32" s="172"/>
      <c r="ARA32" s="172"/>
      <c r="ARB32" s="172"/>
      <c r="ARC32" s="172"/>
      <c r="ARD32" s="172"/>
      <c r="ARE32" s="172"/>
      <c r="ARF32" s="172"/>
      <c r="ARG32" s="172"/>
      <c r="ARH32" s="172"/>
      <c r="ARI32" s="172"/>
      <c r="ARJ32" s="172"/>
      <c r="ARK32" s="172"/>
      <c r="ARL32" s="172"/>
      <c r="ARM32" s="172"/>
      <c r="ARN32" s="172"/>
      <c r="ARO32" s="172"/>
      <c r="ARP32" s="172"/>
      <c r="ARQ32" s="172"/>
      <c r="ARR32" s="172"/>
      <c r="ARS32" s="172"/>
      <c r="ART32" s="172"/>
      <c r="ARU32" s="172"/>
    </row>
    <row r="33" spans="1:1164" s="257" customFormat="1">
      <c r="A33" s="222" t="s">
        <v>174</v>
      </c>
      <c r="B33" s="195" t="s">
        <v>87</v>
      </c>
      <c r="C33" s="198">
        <v>0</v>
      </c>
      <c r="D33" s="198">
        <v>0</v>
      </c>
      <c r="E33" s="198">
        <v>0</v>
      </c>
      <c r="F33" s="198">
        <v>0</v>
      </c>
      <c r="G33" s="198">
        <v>0</v>
      </c>
      <c r="H33" s="198">
        <v>0</v>
      </c>
      <c r="I33" s="198">
        <v>0</v>
      </c>
      <c r="J33" s="198">
        <v>0</v>
      </c>
      <c r="K33" s="198">
        <v>0</v>
      </c>
      <c r="L33" s="198">
        <v>0</v>
      </c>
      <c r="M33" s="198">
        <v>0</v>
      </c>
      <c r="N33" s="198">
        <v>0</v>
      </c>
      <c r="O33" s="198">
        <v>0</v>
      </c>
      <c r="P33" s="198">
        <v>0</v>
      </c>
      <c r="Q33" s="198">
        <v>0</v>
      </c>
      <c r="R33" s="198">
        <v>0</v>
      </c>
      <c r="S33" s="198">
        <v>0</v>
      </c>
      <c r="T33" s="198">
        <v>0</v>
      </c>
      <c r="U33" s="198">
        <v>0</v>
      </c>
      <c r="V33" s="198">
        <v>0</v>
      </c>
      <c r="W33" s="198">
        <v>0</v>
      </c>
      <c r="X33" s="198">
        <v>0</v>
      </c>
      <c r="Y33" s="198">
        <v>0</v>
      </c>
      <c r="Z33" s="198">
        <v>0</v>
      </c>
      <c r="AA33" s="198">
        <v>0</v>
      </c>
      <c r="AB33" s="198">
        <v>0</v>
      </c>
      <c r="AC33" s="198">
        <v>0</v>
      </c>
      <c r="AD33" s="198">
        <v>0</v>
      </c>
      <c r="AE33" s="198">
        <v>0</v>
      </c>
      <c r="AF33" s="198">
        <v>0</v>
      </c>
      <c r="AG33" s="226">
        <v>7141</v>
      </c>
      <c r="AH33" s="226">
        <v>21959501</v>
      </c>
      <c r="AI33" s="226">
        <v>9256</v>
      </c>
      <c r="AJ33" s="226">
        <v>36278940</v>
      </c>
      <c r="AK33" s="260">
        <v>10471</v>
      </c>
      <c r="AL33" s="260">
        <v>30099601</v>
      </c>
      <c r="AM33" s="261">
        <v>8662</v>
      </c>
      <c r="AN33" s="261">
        <v>29743489</v>
      </c>
      <c r="AO33" s="196">
        <v>15060</v>
      </c>
      <c r="AP33" s="196">
        <v>38846037</v>
      </c>
      <c r="AQ33" s="196">
        <v>14369</v>
      </c>
      <c r="AR33" s="196">
        <v>33449342</v>
      </c>
      <c r="AS33" s="196">
        <v>18296</v>
      </c>
      <c r="AT33" s="196">
        <v>52591394</v>
      </c>
      <c r="AU33" s="226">
        <v>22461</v>
      </c>
      <c r="AV33" s="226">
        <v>65585497</v>
      </c>
      <c r="AW33" s="198">
        <v>22436</v>
      </c>
      <c r="AX33" s="198">
        <v>59262305</v>
      </c>
      <c r="AY33" s="198">
        <v>25130</v>
      </c>
      <c r="AZ33" s="198">
        <v>62908995</v>
      </c>
      <c r="BA33" s="263"/>
      <c r="BB33" s="198"/>
      <c r="BC33" s="263"/>
      <c r="BD33" s="198"/>
      <c r="BE33" s="263"/>
      <c r="BF33" s="198"/>
      <c r="BG33" s="198"/>
      <c r="BH33" s="198"/>
      <c r="BI33" s="263"/>
      <c r="BJ33" s="198">
        <f t="shared" si="51"/>
        <v>153282</v>
      </c>
      <c r="BK33" s="198">
        <f t="shared" si="52"/>
        <v>430725101</v>
      </c>
      <c r="BL33" s="172"/>
      <c r="BM33" s="13"/>
      <c r="BN33" s="231"/>
      <c r="BO33" s="231"/>
      <c r="BP33" s="172"/>
      <c r="BQ33" s="172"/>
      <c r="BR33" s="172"/>
      <c r="BS33" s="172"/>
      <c r="BT33" s="172"/>
      <c r="BU33" s="172"/>
      <c r="BV33" s="172"/>
      <c r="BW33" s="172"/>
      <c r="BX33" s="172"/>
      <c r="BY33" s="172"/>
      <c r="BZ33" s="172"/>
      <c r="CA33" s="172"/>
      <c r="CB33" s="172"/>
      <c r="CC33" s="172"/>
      <c r="CD33" s="172"/>
      <c r="CE33" s="172"/>
      <c r="CF33" s="172"/>
      <c r="CG33" s="172"/>
      <c r="CH33" s="172"/>
      <c r="CI33" s="172"/>
      <c r="CJ33" s="172"/>
      <c r="CK33" s="172"/>
      <c r="CL33" s="172"/>
      <c r="CM33" s="172"/>
      <c r="CN33" s="172"/>
      <c r="CO33" s="172"/>
      <c r="CP33" s="172"/>
      <c r="CQ33" s="172"/>
      <c r="CR33" s="172"/>
      <c r="CS33" s="172"/>
      <c r="CT33" s="172"/>
      <c r="CU33" s="172"/>
      <c r="CV33" s="172"/>
      <c r="CW33" s="172"/>
      <c r="CX33" s="172"/>
      <c r="CY33" s="172"/>
      <c r="CZ33" s="172"/>
      <c r="DA33" s="172"/>
      <c r="DB33" s="172"/>
      <c r="DC33" s="172"/>
      <c r="DD33" s="172"/>
      <c r="DE33" s="172"/>
      <c r="DF33" s="172"/>
      <c r="DG33" s="172"/>
      <c r="DH33" s="172"/>
      <c r="DI33" s="172"/>
      <c r="DJ33" s="172"/>
      <c r="DK33" s="172"/>
      <c r="DL33" s="172"/>
      <c r="DM33" s="172"/>
      <c r="DN33" s="172"/>
      <c r="DO33" s="172"/>
      <c r="DP33" s="172"/>
      <c r="DQ33" s="172"/>
      <c r="DR33" s="172"/>
      <c r="DS33" s="172"/>
      <c r="DT33" s="172"/>
      <c r="DU33" s="172"/>
      <c r="DV33" s="172"/>
      <c r="DW33" s="172"/>
      <c r="DX33" s="172"/>
      <c r="DY33" s="172"/>
      <c r="DZ33" s="172"/>
      <c r="EA33" s="172"/>
      <c r="EB33" s="172"/>
      <c r="EC33" s="172"/>
      <c r="ED33" s="172"/>
      <c r="EE33" s="172"/>
      <c r="EF33" s="172"/>
      <c r="EG33" s="172"/>
      <c r="EH33" s="172"/>
      <c r="EI33" s="172"/>
      <c r="EJ33" s="172"/>
      <c r="EK33" s="172"/>
      <c r="EL33" s="172"/>
      <c r="EM33" s="172"/>
      <c r="EN33" s="172"/>
      <c r="EO33" s="172"/>
      <c r="EP33" s="172"/>
      <c r="EQ33" s="172"/>
      <c r="ER33" s="172"/>
      <c r="ES33" s="172"/>
      <c r="ET33" s="172"/>
      <c r="EU33" s="172"/>
      <c r="EV33" s="172"/>
      <c r="EW33" s="172"/>
      <c r="EX33" s="172"/>
      <c r="EY33" s="172"/>
      <c r="EZ33" s="172"/>
      <c r="FA33" s="172"/>
      <c r="FB33" s="172"/>
      <c r="FC33" s="172"/>
      <c r="FD33" s="172"/>
      <c r="FE33" s="172"/>
      <c r="FF33" s="172"/>
      <c r="FG33" s="172"/>
      <c r="FH33" s="172"/>
      <c r="FI33" s="172"/>
      <c r="FJ33" s="172"/>
      <c r="FK33" s="172"/>
      <c r="FL33" s="172"/>
      <c r="FM33" s="172"/>
      <c r="FN33" s="172"/>
      <c r="FO33" s="172"/>
      <c r="FP33" s="172"/>
      <c r="FQ33" s="172"/>
      <c r="FR33" s="172"/>
      <c r="FS33" s="172"/>
      <c r="FT33" s="172"/>
      <c r="FU33" s="172"/>
      <c r="FV33" s="172"/>
      <c r="FW33" s="172"/>
      <c r="FX33" s="172"/>
      <c r="FY33" s="172"/>
      <c r="FZ33" s="172"/>
      <c r="GA33" s="172"/>
      <c r="GB33" s="172"/>
      <c r="GC33" s="172"/>
      <c r="GD33" s="172"/>
      <c r="GE33" s="172"/>
      <c r="GF33" s="172"/>
      <c r="GG33" s="172"/>
      <c r="GH33" s="172"/>
      <c r="GI33" s="172"/>
      <c r="GJ33" s="172"/>
      <c r="GK33" s="172"/>
      <c r="GL33" s="172"/>
      <c r="GM33" s="172"/>
      <c r="GN33" s="172"/>
      <c r="GO33" s="172"/>
      <c r="GP33" s="172"/>
      <c r="GQ33" s="172"/>
      <c r="GR33" s="172"/>
      <c r="GS33" s="172"/>
      <c r="GT33" s="172"/>
      <c r="GU33" s="172"/>
      <c r="GV33" s="172"/>
      <c r="GW33" s="172"/>
      <c r="GX33" s="172"/>
      <c r="GY33" s="172"/>
      <c r="GZ33" s="172"/>
      <c r="HA33" s="172"/>
      <c r="HB33" s="172"/>
      <c r="HC33" s="172"/>
      <c r="HD33" s="172"/>
      <c r="HE33" s="172"/>
      <c r="HF33" s="172"/>
      <c r="HG33" s="172"/>
      <c r="HH33" s="172"/>
      <c r="HI33" s="172"/>
      <c r="HJ33" s="172"/>
      <c r="HK33" s="172"/>
      <c r="HL33" s="172"/>
      <c r="HM33" s="172"/>
      <c r="HN33" s="172"/>
      <c r="HO33" s="172"/>
      <c r="HP33" s="172"/>
      <c r="HQ33" s="172"/>
      <c r="HR33" s="172"/>
      <c r="HS33" s="172"/>
      <c r="HT33" s="172"/>
      <c r="HU33" s="172"/>
      <c r="HV33" s="172"/>
      <c r="HW33" s="172"/>
      <c r="HX33" s="172"/>
      <c r="HY33" s="172"/>
      <c r="HZ33" s="172"/>
      <c r="IA33" s="172"/>
      <c r="IB33" s="172"/>
      <c r="IC33" s="172"/>
      <c r="ID33" s="172"/>
      <c r="IE33" s="172"/>
      <c r="IF33" s="172"/>
      <c r="IG33" s="172"/>
      <c r="IH33" s="172"/>
      <c r="II33" s="172"/>
      <c r="IJ33" s="172"/>
      <c r="IK33" s="172"/>
      <c r="IL33" s="172"/>
      <c r="IM33" s="172"/>
      <c r="IN33" s="172"/>
      <c r="IO33" s="172"/>
      <c r="IP33" s="172"/>
      <c r="IQ33" s="172"/>
      <c r="IR33" s="172"/>
      <c r="IS33" s="172"/>
      <c r="IT33" s="172"/>
      <c r="IU33" s="172"/>
      <c r="IV33" s="172"/>
      <c r="IW33" s="172"/>
      <c r="IX33" s="172"/>
      <c r="IY33" s="172"/>
      <c r="IZ33" s="172"/>
      <c r="JA33" s="172"/>
      <c r="JB33" s="172"/>
      <c r="JC33" s="172"/>
      <c r="JD33" s="172"/>
      <c r="JE33" s="172"/>
      <c r="JF33" s="172"/>
      <c r="JG33" s="172"/>
      <c r="JH33" s="172"/>
      <c r="JI33" s="172"/>
      <c r="JJ33" s="172"/>
      <c r="JK33" s="172"/>
      <c r="JL33" s="172"/>
      <c r="JM33" s="172"/>
      <c r="JN33" s="172"/>
      <c r="JO33" s="172"/>
      <c r="JP33" s="172"/>
      <c r="JQ33" s="172"/>
      <c r="JR33" s="172"/>
      <c r="JS33" s="172"/>
      <c r="JT33" s="172"/>
      <c r="JU33" s="172"/>
      <c r="JV33" s="172"/>
      <c r="JW33" s="172"/>
      <c r="JX33" s="172"/>
      <c r="JY33" s="172"/>
      <c r="JZ33" s="172"/>
      <c r="KA33" s="172"/>
      <c r="KB33" s="172"/>
      <c r="KC33" s="172"/>
      <c r="KD33" s="172"/>
      <c r="KE33" s="172"/>
      <c r="KF33" s="172"/>
      <c r="KG33" s="172"/>
      <c r="KH33" s="172"/>
      <c r="KI33" s="172"/>
      <c r="KJ33" s="172"/>
      <c r="KK33" s="172"/>
      <c r="KL33" s="172"/>
      <c r="KM33" s="172"/>
      <c r="KN33" s="172"/>
      <c r="KO33" s="172"/>
      <c r="KP33" s="172"/>
      <c r="KQ33" s="172"/>
      <c r="KR33" s="172"/>
      <c r="KS33" s="172"/>
      <c r="KT33" s="172"/>
      <c r="KU33" s="172"/>
      <c r="KV33" s="172"/>
      <c r="KW33" s="172"/>
      <c r="KX33" s="172"/>
      <c r="KY33" s="172"/>
      <c r="KZ33" s="172"/>
      <c r="LA33" s="172"/>
      <c r="LB33" s="172"/>
      <c r="LC33" s="172"/>
      <c r="LD33" s="172"/>
      <c r="LE33" s="172"/>
      <c r="LF33" s="172"/>
      <c r="LG33" s="172"/>
      <c r="LH33" s="172"/>
      <c r="LI33" s="172"/>
      <c r="LJ33" s="172"/>
      <c r="LK33" s="172"/>
      <c r="LL33" s="172"/>
      <c r="LM33" s="172"/>
      <c r="LN33" s="172"/>
      <c r="LO33" s="172"/>
      <c r="LP33" s="172"/>
      <c r="LQ33" s="172"/>
      <c r="LR33" s="172"/>
      <c r="LS33" s="172"/>
      <c r="LT33" s="172"/>
      <c r="LU33" s="172"/>
      <c r="LV33" s="172"/>
      <c r="LW33" s="172"/>
      <c r="LX33" s="172"/>
      <c r="LY33" s="172"/>
      <c r="LZ33" s="172"/>
      <c r="MA33" s="172"/>
      <c r="MB33" s="172"/>
      <c r="MC33" s="172"/>
      <c r="MD33" s="172"/>
      <c r="ME33" s="172"/>
      <c r="MF33" s="172"/>
      <c r="MG33" s="172"/>
      <c r="MH33" s="172"/>
      <c r="MI33" s="172"/>
      <c r="MJ33" s="172"/>
      <c r="MK33" s="172"/>
      <c r="ML33" s="172"/>
      <c r="MM33" s="172"/>
      <c r="MN33" s="172"/>
      <c r="MO33" s="172"/>
      <c r="MP33" s="172"/>
      <c r="MQ33" s="172"/>
      <c r="MR33" s="172"/>
      <c r="MS33" s="172"/>
      <c r="MT33" s="172"/>
      <c r="MU33" s="172"/>
      <c r="MV33" s="172"/>
      <c r="MW33" s="172"/>
      <c r="MX33" s="172"/>
      <c r="MY33" s="172"/>
      <c r="MZ33" s="172"/>
      <c r="NA33" s="172"/>
      <c r="NB33" s="172"/>
      <c r="NC33" s="172"/>
      <c r="ND33" s="172"/>
      <c r="NE33" s="172"/>
      <c r="NF33" s="172"/>
      <c r="NG33" s="172"/>
      <c r="NH33" s="172"/>
      <c r="NI33" s="172"/>
      <c r="NJ33" s="172"/>
      <c r="NK33" s="172"/>
      <c r="NL33" s="172"/>
      <c r="NM33" s="172"/>
      <c r="NN33" s="172"/>
      <c r="NO33" s="172"/>
      <c r="NP33" s="172"/>
      <c r="NQ33" s="172"/>
      <c r="NR33" s="172"/>
      <c r="NS33" s="172"/>
      <c r="NT33" s="172"/>
      <c r="NU33" s="172"/>
      <c r="NV33" s="172"/>
      <c r="NW33" s="172"/>
      <c r="NX33" s="172"/>
      <c r="NY33" s="172"/>
      <c r="NZ33" s="172"/>
      <c r="OA33" s="172"/>
      <c r="OB33" s="172"/>
      <c r="OC33" s="172"/>
      <c r="OD33" s="172"/>
      <c r="OE33" s="172"/>
      <c r="OF33" s="172"/>
      <c r="OG33" s="172"/>
      <c r="OH33" s="172"/>
      <c r="OI33" s="172"/>
      <c r="OJ33" s="172"/>
      <c r="OK33" s="172"/>
      <c r="OL33" s="172"/>
      <c r="OM33" s="172"/>
      <c r="ON33" s="172"/>
      <c r="OO33" s="172"/>
      <c r="OP33" s="172"/>
      <c r="OQ33" s="172"/>
      <c r="OR33" s="172"/>
      <c r="OS33" s="172"/>
      <c r="OT33" s="172"/>
      <c r="OU33" s="172"/>
      <c r="OV33" s="172"/>
      <c r="OW33" s="172"/>
      <c r="OX33" s="172"/>
      <c r="OY33" s="172"/>
      <c r="OZ33" s="172"/>
      <c r="PA33" s="172"/>
      <c r="PB33" s="172"/>
      <c r="PC33" s="172"/>
      <c r="PD33" s="172"/>
      <c r="PE33" s="172"/>
      <c r="PF33" s="172"/>
      <c r="PG33" s="172"/>
      <c r="PH33" s="172"/>
      <c r="PI33" s="172"/>
      <c r="PJ33" s="172"/>
      <c r="PK33" s="172"/>
      <c r="PL33" s="172"/>
      <c r="PM33" s="172"/>
      <c r="PN33" s="172"/>
      <c r="PO33" s="172"/>
      <c r="PP33" s="172"/>
      <c r="PQ33" s="172"/>
      <c r="PR33" s="172"/>
      <c r="PS33" s="172"/>
      <c r="PT33" s="172"/>
      <c r="PU33" s="172"/>
      <c r="PV33" s="172"/>
      <c r="PW33" s="172"/>
      <c r="PX33" s="172"/>
      <c r="PY33" s="172"/>
      <c r="PZ33" s="172"/>
      <c r="QA33" s="172"/>
      <c r="QB33" s="172"/>
      <c r="QC33" s="172"/>
      <c r="QD33" s="172"/>
      <c r="QE33" s="172"/>
      <c r="QF33" s="172"/>
      <c r="QG33" s="172"/>
      <c r="QH33" s="172"/>
      <c r="QI33" s="172"/>
      <c r="QJ33" s="172"/>
      <c r="QK33" s="172"/>
      <c r="QL33" s="172"/>
      <c r="QM33" s="172"/>
      <c r="QN33" s="172"/>
      <c r="QO33" s="172"/>
      <c r="QP33" s="172"/>
      <c r="QQ33" s="172"/>
      <c r="QR33" s="172"/>
      <c r="QS33" s="172"/>
      <c r="QT33" s="172"/>
      <c r="QU33" s="172"/>
      <c r="QV33" s="172"/>
      <c r="QW33" s="172"/>
      <c r="QX33" s="172"/>
      <c r="QY33" s="172"/>
      <c r="QZ33" s="172"/>
      <c r="RA33" s="172"/>
      <c r="RB33" s="172"/>
      <c r="RC33" s="172"/>
      <c r="RD33" s="172"/>
      <c r="RE33" s="172"/>
      <c r="RF33" s="172"/>
      <c r="RG33" s="172"/>
      <c r="RH33" s="172"/>
      <c r="RI33" s="172"/>
      <c r="RJ33" s="172"/>
      <c r="RK33" s="172"/>
      <c r="RL33" s="172"/>
      <c r="RM33" s="172"/>
      <c r="RN33" s="172"/>
      <c r="RO33" s="172"/>
      <c r="RP33" s="172"/>
      <c r="RQ33" s="172"/>
      <c r="RR33" s="172"/>
      <c r="RS33" s="172"/>
      <c r="RT33" s="172"/>
      <c r="RU33" s="172"/>
      <c r="RV33" s="172"/>
      <c r="RW33" s="172"/>
      <c r="RX33" s="172"/>
      <c r="RY33" s="172"/>
      <c r="RZ33" s="172"/>
      <c r="SA33" s="172"/>
      <c r="SB33" s="172"/>
      <c r="SC33" s="172"/>
      <c r="SD33" s="172"/>
      <c r="SE33" s="172"/>
      <c r="SF33" s="172"/>
      <c r="SG33" s="172"/>
      <c r="SH33" s="172"/>
      <c r="SI33" s="172"/>
      <c r="SJ33" s="172"/>
      <c r="SK33" s="172"/>
      <c r="SL33" s="172"/>
      <c r="SM33" s="172"/>
      <c r="SN33" s="172"/>
      <c r="SO33" s="172"/>
      <c r="SP33" s="172"/>
      <c r="SQ33" s="172"/>
      <c r="SR33" s="172"/>
      <c r="SS33" s="172"/>
      <c r="ST33" s="172"/>
      <c r="SU33" s="172"/>
      <c r="SV33" s="172"/>
      <c r="SW33" s="172"/>
      <c r="SX33" s="172"/>
      <c r="SY33" s="172"/>
      <c r="SZ33" s="172"/>
      <c r="TA33" s="172"/>
      <c r="TB33" s="172"/>
      <c r="TC33" s="172"/>
      <c r="TD33" s="172"/>
      <c r="TE33" s="172"/>
      <c r="TF33" s="172"/>
      <c r="TG33" s="172"/>
      <c r="TH33" s="172"/>
      <c r="TI33" s="172"/>
      <c r="TJ33" s="172"/>
      <c r="TK33" s="172"/>
      <c r="TL33" s="172"/>
      <c r="TM33" s="172"/>
      <c r="TN33" s="172"/>
      <c r="TO33" s="172"/>
      <c r="TP33" s="172"/>
      <c r="TQ33" s="172"/>
      <c r="TR33" s="172"/>
      <c r="TS33" s="172"/>
      <c r="TT33" s="172"/>
      <c r="TU33" s="172"/>
      <c r="TV33" s="172"/>
      <c r="TW33" s="172"/>
      <c r="TX33" s="172"/>
      <c r="TY33" s="172"/>
      <c r="TZ33" s="172"/>
      <c r="UA33" s="172"/>
      <c r="UB33" s="172"/>
      <c r="UC33" s="172"/>
      <c r="UD33" s="172"/>
      <c r="UE33" s="172"/>
      <c r="UF33" s="172"/>
      <c r="UG33" s="172"/>
      <c r="UH33" s="172"/>
      <c r="UI33" s="172"/>
      <c r="UJ33" s="172"/>
      <c r="UK33" s="172"/>
      <c r="UL33" s="172"/>
      <c r="UM33" s="172"/>
      <c r="UN33" s="172"/>
      <c r="UO33" s="172"/>
      <c r="UP33" s="172"/>
      <c r="UQ33" s="172"/>
      <c r="UR33" s="172"/>
      <c r="US33" s="172"/>
      <c r="UT33" s="172"/>
      <c r="UU33" s="172"/>
      <c r="UV33" s="172"/>
      <c r="UW33" s="172"/>
      <c r="UX33" s="172"/>
      <c r="UY33" s="172"/>
      <c r="UZ33" s="172"/>
      <c r="VA33" s="172"/>
      <c r="VB33" s="172"/>
      <c r="VC33" s="172"/>
      <c r="VD33" s="172"/>
      <c r="VE33" s="172"/>
      <c r="VF33" s="172"/>
      <c r="VG33" s="172"/>
      <c r="VH33" s="172"/>
      <c r="VI33" s="172"/>
      <c r="VJ33" s="172"/>
      <c r="VK33" s="172"/>
      <c r="VL33" s="172"/>
      <c r="VM33" s="172"/>
      <c r="VN33" s="172"/>
      <c r="VO33" s="172"/>
      <c r="VP33" s="172"/>
      <c r="VQ33" s="172"/>
      <c r="VR33" s="172"/>
      <c r="VS33" s="172"/>
      <c r="VT33" s="172"/>
      <c r="VU33" s="172"/>
      <c r="VV33" s="172"/>
      <c r="VW33" s="172"/>
      <c r="VX33" s="172"/>
      <c r="VY33" s="172"/>
      <c r="VZ33" s="172"/>
      <c r="WA33" s="172"/>
      <c r="WB33" s="172"/>
      <c r="WC33" s="172"/>
      <c r="WD33" s="172"/>
      <c r="WE33" s="172"/>
      <c r="WF33" s="172"/>
      <c r="WG33" s="172"/>
      <c r="WH33" s="172"/>
      <c r="WI33" s="172"/>
      <c r="WJ33" s="172"/>
      <c r="WK33" s="172"/>
      <c r="WL33" s="172"/>
      <c r="WM33" s="172"/>
      <c r="WN33" s="172"/>
      <c r="WO33" s="172"/>
      <c r="WP33" s="172"/>
      <c r="WQ33" s="172"/>
      <c r="WR33" s="172"/>
      <c r="WS33" s="172"/>
      <c r="WT33" s="172"/>
      <c r="WU33" s="172"/>
      <c r="WV33" s="172"/>
      <c r="WW33" s="172"/>
      <c r="WX33" s="172"/>
      <c r="WY33" s="172"/>
      <c r="WZ33" s="172"/>
      <c r="XA33" s="172"/>
      <c r="XB33" s="172"/>
      <c r="XC33" s="172"/>
      <c r="XD33" s="172"/>
      <c r="XE33" s="172"/>
      <c r="XF33" s="172"/>
      <c r="XG33" s="172"/>
      <c r="XH33" s="172"/>
      <c r="XI33" s="172"/>
      <c r="XJ33" s="172"/>
      <c r="XK33" s="172"/>
      <c r="XL33" s="172"/>
      <c r="XM33" s="172"/>
      <c r="XN33" s="172"/>
      <c r="XO33" s="172"/>
      <c r="XP33" s="172"/>
      <c r="XQ33" s="172"/>
      <c r="XR33" s="172"/>
      <c r="XS33" s="172"/>
      <c r="XT33" s="172"/>
      <c r="XU33" s="172"/>
      <c r="XV33" s="172"/>
      <c r="XW33" s="172"/>
      <c r="XX33" s="172"/>
      <c r="XY33" s="172"/>
      <c r="XZ33" s="172"/>
      <c r="YA33" s="172"/>
      <c r="YB33" s="172"/>
      <c r="YC33" s="172"/>
      <c r="YD33" s="172"/>
      <c r="YE33" s="172"/>
      <c r="YF33" s="172"/>
      <c r="YG33" s="172"/>
      <c r="YH33" s="172"/>
      <c r="YI33" s="172"/>
      <c r="YJ33" s="172"/>
      <c r="YK33" s="172"/>
      <c r="YL33" s="172"/>
      <c r="YM33" s="172"/>
      <c r="YN33" s="172"/>
      <c r="YO33" s="172"/>
      <c r="YP33" s="172"/>
      <c r="YQ33" s="172"/>
      <c r="YR33" s="172"/>
      <c r="YS33" s="172"/>
      <c r="YT33" s="172"/>
      <c r="YU33" s="172"/>
      <c r="YV33" s="172"/>
      <c r="YW33" s="172"/>
      <c r="YX33" s="172"/>
      <c r="YY33" s="172"/>
      <c r="YZ33" s="172"/>
      <c r="ZA33" s="172"/>
      <c r="ZB33" s="172"/>
      <c r="ZC33" s="172"/>
      <c r="ZD33" s="172"/>
      <c r="ZE33" s="172"/>
      <c r="ZF33" s="172"/>
      <c r="ZG33" s="172"/>
      <c r="ZH33" s="172"/>
      <c r="ZI33" s="172"/>
      <c r="ZJ33" s="172"/>
      <c r="ZK33" s="172"/>
      <c r="ZL33" s="172"/>
      <c r="ZM33" s="172"/>
      <c r="ZN33" s="172"/>
      <c r="ZO33" s="172"/>
      <c r="ZP33" s="172"/>
      <c r="ZQ33" s="172"/>
      <c r="ZR33" s="172"/>
      <c r="ZS33" s="172"/>
      <c r="ZT33" s="172"/>
      <c r="ZU33" s="172"/>
      <c r="ZV33" s="172"/>
      <c r="ZW33" s="172"/>
      <c r="ZX33" s="172"/>
      <c r="ZY33" s="172"/>
      <c r="ZZ33" s="172"/>
      <c r="AAA33" s="172"/>
      <c r="AAB33" s="172"/>
      <c r="AAC33" s="172"/>
      <c r="AAD33" s="172"/>
      <c r="AAE33" s="172"/>
      <c r="AAF33" s="172"/>
      <c r="AAG33" s="172"/>
      <c r="AAH33" s="172"/>
      <c r="AAI33" s="172"/>
      <c r="AAJ33" s="172"/>
      <c r="AAK33" s="172"/>
      <c r="AAL33" s="172"/>
      <c r="AAM33" s="172"/>
      <c r="AAN33" s="172"/>
      <c r="AAO33" s="172"/>
      <c r="AAP33" s="172"/>
      <c r="AAQ33" s="172"/>
      <c r="AAR33" s="172"/>
      <c r="AAS33" s="172"/>
      <c r="AAT33" s="172"/>
      <c r="AAU33" s="172"/>
      <c r="AAV33" s="172"/>
      <c r="AAW33" s="172"/>
      <c r="AAX33" s="172"/>
      <c r="AAY33" s="172"/>
      <c r="AAZ33" s="172"/>
      <c r="ABA33" s="172"/>
      <c r="ABB33" s="172"/>
      <c r="ABC33" s="172"/>
      <c r="ABD33" s="172"/>
      <c r="ABE33" s="172"/>
      <c r="ABF33" s="172"/>
      <c r="ABG33" s="172"/>
      <c r="ABH33" s="172"/>
      <c r="ABI33" s="172"/>
      <c r="ABJ33" s="172"/>
      <c r="ABK33" s="172"/>
      <c r="ABL33" s="172"/>
      <c r="ABM33" s="172"/>
      <c r="ABN33" s="172"/>
      <c r="ABO33" s="172"/>
      <c r="ABP33" s="172"/>
      <c r="ABQ33" s="172"/>
      <c r="ABR33" s="172"/>
      <c r="ABS33" s="172"/>
      <c r="ABT33" s="172"/>
      <c r="ABU33" s="172"/>
      <c r="ABV33" s="172"/>
      <c r="ABW33" s="172"/>
      <c r="ABX33" s="172"/>
      <c r="ABY33" s="172"/>
      <c r="ABZ33" s="172"/>
      <c r="ACA33" s="172"/>
      <c r="ACB33" s="172"/>
      <c r="ACC33" s="172"/>
      <c r="ACD33" s="172"/>
      <c r="ACE33" s="172"/>
      <c r="ACF33" s="172"/>
      <c r="ACG33" s="172"/>
      <c r="ACH33" s="172"/>
      <c r="ACI33" s="172"/>
      <c r="ACJ33" s="172"/>
      <c r="ACK33" s="172"/>
      <c r="ACL33" s="172"/>
      <c r="ACM33" s="172"/>
      <c r="ACN33" s="172"/>
      <c r="ACO33" s="172"/>
      <c r="ACP33" s="172"/>
      <c r="ACQ33" s="172"/>
      <c r="ACR33" s="172"/>
      <c r="ACS33" s="172"/>
      <c r="ACT33" s="172"/>
      <c r="ACU33" s="172"/>
      <c r="ACV33" s="172"/>
      <c r="ACW33" s="172"/>
      <c r="ACX33" s="172"/>
      <c r="ACY33" s="172"/>
      <c r="ACZ33" s="172"/>
      <c r="ADA33" s="172"/>
      <c r="ADB33" s="172"/>
      <c r="ADC33" s="172"/>
      <c r="ADD33" s="172"/>
      <c r="ADE33" s="172"/>
      <c r="ADF33" s="172"/>
      <c r="ADG33" s="172"/>
      <c r="ADH33" s="172"/>
      <c r="ADI33" s="172"/>
      <c r="ADJ33" s="172"/>
      <c r="ADK33" s="172"/>
      <c r="ADL33" s="172"/>
      <c r="ADM33" s="172"/>
      <c r="ADN33" s="172"/>
      <c r="ADO33" s="172"/>
      <c r="ADP33" s="172"/>
      <c r="ADQ33" s="172"/>
      <c r="ADR33" s="172"/>
      <c r="ADS33" s="172"/>
      <c r="ADT33" s="172"/>
      <c r="ADU33" s="172"/>
      <c r="ADV33" s="172"/>
      <c r="ADW33" s="172"/>
      <c r="ADX33" s="172"/>
      <c r="ADY33" s="172"/>
      <c r="ADZ33" s="172"/>
      <c r="AEA33" s="172"/>
      <c r="AEB33" s="172"/>
      <c r="AEC33" s="172"/>
      <c r="AED33" s="172"/>
      <c r="AEE33" s="172"/>
      <c r="AEF33" s="172"/>
      <c r="AEG33" s="172"/>
      <c r="AEH33" s="172"/>
      <c r="AEI33" s="172"/>
      <c r="AEJ33" s="172"/>
      <c r="AEK33" s="172"/>
      <c r="AEL33" s="172"/>
      <c r="AEM33" s="172"/>
      <c r="AEN33" s="172"/>
      <c r="AEO33" s="172"/>
      <c r="AEP33" s="172"/>
      <c r="AEQ33" s="172"/>
      <c r="AER33" s="172"/>
      <c r="AES33" s="172"/>
      <c r="AET33" s="172"/>
      <c r="AEU33" s="172"/>
      <c r="AEV33" s="172"/>
      <c r="AEW33" s="172"/>
      <c r="AEX33" s="172"/>
      <c r="AEY33" s="172"/>
      <c r="AEZ33" s="172"/>
      <c r="AFA33" s="172"/>
      <c r="AFB33" s="172"/>
      <c r="AFC33" s="172"/>
      <c r="AFD33" s="172"/>
      <c r="AFE33" s="172"/>
      <c r="AFF33" s="172"/>
      <c r="AFG33" s="172"/>
      <c r="AFH33" s="172"/>
      <c r="AFI33" s="172"/>
      <c r="AFJ33" s="172"/>
      <c r="AFK33" s="172"/>
      <c r="AFL33" s="172"/>
      <c r="AFM33" s="172"/>
      <c r="AFN33" s="172"/>
      <c r="AFO33" s="172"/>
      <c r="AFP33" s="172"/>
      <c r="AFQ33" s="172"/>
      <c r="AFR33" s="172"/>
      <c r="AFS33" s="172"/>
      <c r="AFT33" s="172"/>
      <c r="AFU33" s="172"/>
      <c r="AFV33" s="172"/>
      <c r="AFW33" s="172"/>
      <c r="AFX33" s="172"/>
      <c r="AFY33" s="172"/>
      <c r="AFZ33" s="172"/>
      <c r="AGA33" s="172"/>
      <c r="AGB33" s="172"/>
      <c r="AGC33" s="172"/>
      <c r="AGD33" s="172"/>
      <c r="AGE33" s="172"/>
      <c r="AGF33" s="172"/>
      <c r="AGG33" s="172"/>
      <c r="AGH33" s="172"/>
      <c r="AGI33" s="172"/>
      <c r="AGJ33" s="172"/>
      <c r="AGK33" s="172"/>
      <c r="AGL33" s="172"/>
      <c r="AGM33" s="172"/>
      <c r="AGN33" s="172"/>
      <c r="AGO33" s="172"/>
      <c r="AGP33" s="172"/>
      <c r="AGQ33" s="172"/>
      <c r="AGR33" s="172"/>
      <c r="AGS33" s="172"/>
      <c r="AGT33" s="172"/>
      <c r="AGU33" s="172"/>
      <c r="AGV33" s="172"/>
      <c r="AGW33" s="172"/>
      <c r="AGX33" s="172"/>
      <c r="AGY33" s="172"/>
      <c r="AGZ33" s="172"/>
      <c r="AHA33" s="172"/>
      <c r="AHB33" s="172"/>
      <c r="AHC33" s="172"/>
      <c r="AHD33" s="172"/>
      <c r="AHE33" s="172"/>
      <c r="AHF33" s="172"/>
      <c r="AHG33" s="172"/>
      <c r="AHH33" s="172"/>
      <c r="AHI33" s="172"/>
      <c r="AHJ33" s="172"/>
      <c r="AHK33" s="172"/>
      <c r="AHL33" s="172"/>
      <c r="AHM33" s="172"/>
      <c r="AHN33" s="172"/>
      <c r="AHO33" s="172"/>
      <c r="AHP33" s="172"/>
      <c r="AHQ33" s="172"/>
      <c r="AHR33" s="172"/>
      <c r="AHS33" s="172"/>
      <c r="AHT33" s="172"/>
      <c r="AHU33" s="172"/>
      <c r="AHV33" s="172"/>
      <c r="AHW33" s="172"/>
      <c r="AHX33" s="172"/>
      <c r="AHY33" s="172"/>
      <c r="AHZ33" s="172"/>
      <c r="AIA33" s="172"/>
      <c r="AIB33" s="172"/>
      <c r="AIC33" s="172"/>
      <c r="AID33" s="172"/>
      <c r="AIE33" s="172"/>
      <c r="AIF33" s="172"/>
      <c r="AIG33" s="172"/>
      <c r="AIH33" s="172"/>
      <c r="AII33" s="172"/>
      <c r="AIJ33" s="172"/>
      <c r="AIK33" s="172"/>
      <c r="AIL33" s="172"/>
      <c r="AIM33" s="172"/>
      <c r="AIN33" s="172"/>
      <c r="AIO33" s="172"/>
      <c r="AIP33" s="172"/>
      <c r="AIQ33" s="172"/>
      <c r="AIR33" s="172"/>
      <c r="AIS33" s="172"/>
      <c r="AIT33" s="172"/>
      <c r="AIU33" s="172"/>
      <c r="AIV33" s="172"/>
      <c r="AIW33" s="172"/>
      <c r="AIX33" s="172"/>
      <c r="AIY33" s="172"/>
      <c r="AIZ33" s="172"/>
      <c r="AJA33" s="172"/>
      <c r="AJB33" s="172"/>
      <c r="AJC33" s="172"/>
      <c r="AJD33" s="172"/>
      <c r="AJE33" s="172"/>
      <c r="AJF33" s="172"/>
      <c r="AJG33" s="172"/>
      <c r="AJH33" s="172"/>
      <c r="AJI33" s="172"/>
      <c r="AJJ33" s="172"/>
      <c r="AJK33" s="172"/>
      <c r="AJL33" s="172"/>
      <c r="AJM33" s="172"/>
      <c r="AJN33" s="172"/>
      <c r="AJO33" s="172"/>
      <c r="AJP33" s="172"/>
      <c r="AJQ33" s="172"/>
      <c r="AJR33" s="172"/>
      <c r="AJS33" s="172"/>
      <c r="AJT33" s="172"/>
      <c r="AJU33" s="172"/>
      <c r="AJV33" s="172"/>
      <c r="AJW33" s="172"/>
      <c r="AJX33" s="172"/>
      <c r="AJY33" s="172"/>
      <c r="AJZ33" s="172"/>
      <c r="AKA33" s="172"/>
      <c r="AKB33" s="172"/>
      <c r="AKC33" s="172"/>
      <c r="AKD33" s="172"/>
      <c r="AKE33" s="172"/>
      <c r="AKF33" s="172"/>
      <c r="AKG33" s="172"/>
      <c r="AKH33" s="172"/>
      <c r="AKI33" s="172"/>
      <c r="AKJ33" s="172"/>
      <c r="AKK33" s="172"/>
      <c r="AKL33" s="172"/>
      <c r="AKM33" s="172"/>
      <c r="AKN33" s="172"/>
      <c r="AKO33" s="172"/>
      <c r="AKP33" s="172"/>
      <c r="AKQ33" s="172"/>
      <c r="AKR33" s="172"/>
      <c r="AKS33" s="172"/>
      <c r="AKT33" s="172"/>
      <c r="AKU33" s="172"/>
      <c r="AKV33" s="172"/>
      <c r="AKW33" s="172"/>
      <c r="AKX33" s="172"/>
      <c r="AKY33" s="172"/>
      <c r="AKZ33" s="172"/>
      <c r="ALA33" s="172"/>
      <c r="ALB33" s="172"/>
      <c r="ALC33" s="172"/>
      <c r="ALD33" s="172"/>
      <c r="ALE33" s="172"/>
      <c r="ALF33" s="172"/>
      <c r="ALG33" s="172"/>
      <c r="ALH33" s="172"/>
      <c r="ALI33" s="172"/>
      <c r="ALJ33" s="172"/>
      <c r="ALK33" s="172"/>
      <c r="ALL33" s="172"/>
      <c r="ALM33" s="172"/>
      <c r="ALN33" s="172"/>
      <c r="ALO33" s="172"/>
      <c r="ALP33" s="172"/>
      <c r="ALQ33" s="172"/>
      <c r="ALR33" s="172"/>
      <c r="ALS33" s="172"/>
      <c r="ALT33" s="172"/>
      <c r="ALU33" s="172"/>
      <c r="ALV33" s="172"/>
      <c r="ALW33" s="172"/>
      <c r="ALX33" s="172"/>
      <c r="ALY33" s="172"/>
      <c r="ALZ33" s="172"/>
      <c r="AMA33" s="172"/>
      <c r="AMB33" s="172"/>
      <c r="AMC33" s="172"/>
      <c r="AMD33" s="172"/>
      <c r="AME33" s="172"/>
      <c r="AMF33" s="172"/>
      <c r="AMG33" s="172"/>
      <c r="AMH33" s="172"/>
      <c r="AMI33" s="172"/>
      <c r="AMJ33" s="172"/>
      <c r="AMK33" s="172"/>
      <c r="AML33" s="172"/>
      <c r="AMM33" s="172"/>
      <c r="AMN33" s="172"/>
      <c r="AMO33" s="172"/>
      <c r="AMP33" s="172"/>
      <c r="AMQ33" s="172"/>
      <c r="AMR33" s="172"/>
      <c r="AMS33" s="172"/>
      <c r="AMT33" s="172"/>
      <c r="AMU33" s="172"/>
      <c r="AMV33" s="172"/>
      <c r="AMW33" s="172"/>
      <c r="AMX33" s="172"/>
      <c r="AMY33" s="172"/>
      <c r="AMZ33" s="172"/>
      <c r="ANA33" s="172"/>
      <c r="ANB33" s="172"/>
      <c r="ANC33" s="172"/>
      <c r="AND33" s="172"/>
      <c r="ANE33" s="172"/>
      <c r="ANF33" s="172"/>
      <c r="ANG33" s="172"/>
      <c r="ANH33" s="172"/>
      <c r="ANI33" s="172"/>
      <c r="ANJ33" s="172"/>
      <c r="ANK33" s="172"/>
      <c r="ANL33" s="172"/>
      <c r="ANM33" s="172"/>
      <c r="ANN33" s="172"/>
      <c r="ANO33" s="172"/>
      <c r="ANP33" s="172"/>
      <c r="ANQ33" s="172"/>
      <c r="ANR33" s="172"/>
      <c r="ANS33" s="172"/>
      <c r="ANT33" s="172"/>
      <c r="ANU33" s="172"/>
      <c r="ANV33" s="172"/>
      <c r="ANW33" s="172"/>
      <c r="ANX33" s="172"/>
      <c r="ANY33" s="172"/>
      <c r="ANZ33" s="172"/>
      <c r="AOA33" s="172"/>
      <c r="AOB33" s="172"/>
      <c r="AOC33" s="172"/>
      <c r="AOD33" s="172"/>
      <c r="AOE33" s="172"/>
      <c r="AOF33" s="172"/>
      <c r="AOG33" s="172"/>
      <c r="AOH33" s="172"/>
      <c r="AOI33" s="172"/>
      <c r="AOJ33" s="172"/>
      <c r="AOK33" s="172"/>
      <c r="AOL33" s="172"/>
      <c r="AOM33" s="172"/>
      <c r="AON33" s="172"/>
      <c r="AOO33" s="172"/>
      <c r="AOP33" s="172"/>
      <c r="AOQ33" s="172"/>
      <c r="AOR33" s="172"/>
      <c r="AOS33" s="172"/>
      <c r="AOT33" s="172"/>
      <c r="AOU33" s="172"/>
      <c r="AOV33" s="172"/>
      <c r="AOW33" s="172"/>
      <c r="AOX33" s="172"/>
      <c r="AOY33" s="172"/>
      <c r="AOZ33" s="172"/>
      <c r="APA33" s="172"/>
      <c r="APB33" s="172"/>
      <c r="APC33" s="172"/>
      <c r="APD33" s="172"/>
      <c r="APE33" s="172"/>
      <c r="APF33" s="172"/>
      <c r="APG33" s="172"/>
      <c r="APH33" s="172"/>
      <c r="API33" s="172"/>
      <c r="APJ33" s="172"/>
      <c r="APK33" s="172"/>
      <c r="APL33" s="172"/>
      <c r="APM33" s="172"/>
      <c r="APN33" s="172"/>
      <c r="APO33" s="172"/>
      <c r="APP33" s="172"/>
      <c r="APQ33" s="172"/>
      <c r="APR33" s="172"/>
      <c r="APS33" s="172"/>
      <c r="APT33" s="172"/>
      <c r="APU33" s="172"/>
      <c r="APV33" s="172"/>
      <c r="APW33" s="172"/>
      <c r="APX33" s="172"/>
      <c r="APY33" s="172"/>
      <c r="APZ33" s="172"/>
      <c r="AQA33" s="172"/>
      <c r="AQB33" s="172"/>
      <c r="AQC33" s="172"/>
      <c r="AQD33" s="172"/>
      <c r="AQE33" s="172"/>
      <c r="AQF33" s="172"/>
      <c r="AQG33" s="172"/>
      <c r="AQH33" s="172"/>
      <c r="AQI33" s="172"/>
      <c r="AQJ33" s="172"/>
      <c r="AQK33" s="172"/>
      <c r="AQL33" s="172"/>
      <c r="AQM33" s="172"/>
      <c r="AQN33" s="172"/>
      <c r="AQO33" s="172"/>
      <c r="AQP33" s="172"/>
      <c r="AQQ33" s="172"/>
      <c r="AQR33" s="172"/>
      <c r="AQS33" s="172"/>
      <c r="AQT33" s="172"/>
      <c r="AQU33" s="172"/>
      <c r="AQV33" s="172"/>
      <c r="AQW33" s="172"/>
      <c r="AQX33" s="172"/>
      <c r="AQY33" s="172"/>
      <c r="AQZ33" s="172"/>
      <c r="ARA33" s="172"/>
      <c r="ARB33" s="172"/>
      <c r="ARC33" s="172"/>
      <c r="ARD33" s="172"/>
      <c r="ARE33" s="172"/>
      <c r="ARF33" s="172"/>
      <c r="ARG33" s="172"/>
      <c r="ARH33" s="172"/>
      <c r="ARI33" s="172"/>
      <c r="ARJ33" s="172"/>
      <c r="ARK33" s="172"/>
      <c r="ARL33" s="172"/>
      <c r="ARM33" s="172"/>
      <c r="ARN33" s="172"/>
      <c r="ARO33" s="172"/>
      <c r="ARP33" s="172"/>
      <c r="ARQ33" s="172"/>
      <c r="ARR33" s="172"/>
      <c r="ARS33" s="172"/>
      <c r="ART33" s="172"/>
    </row>
    <row r="34" spans="1:1164" s="257" customFormat="1">
      <c r="A34" s="222" t="s">
        <v>175</v>
      </c>
      <c r="B34" s="195" t="s">
        <v>87</v>
      </c>
      <c r="C34" s="258">
        <v>41740</v>
      </c>
      <c r="D34" s="258">
        <v>11701660</v>
      </c>
      <c r="E34" s="198"/>
      <c r="F34" s="198"/>
      <c r="G34" s="198">
        <v>783</v>
      </c>
      <c r="H34" s="198">
        <v>1154174</v>
      </c>
      <c r="I34" s="198">
        <v>14214</v>
      </c>
      <c r="J34" s="198">
        <v>12491102</v>
      </c>
      <c r="K34" s="198">
        <v>7993</v>
      </c>
      <c r="L34" s="198">
        <v>7284445</v>
      </c>
      <c r="M34" s="198">
        <v>8397</v>
      </c>
      <c r="N34" s="198">
        <v>11145646</v>
      </c>
      <c r="O34" s="198">
        <v>6590</v>
      </c>
      <c r="P34" s="198">
        <v>6971035</v>
      </c>
      <c r="Q34" s="198">
        <v>4182</v>
      </c>
      <c r="R34" s="198">
        <v>4387234</v>
      </c>
      <c r="S34" s="198">
        <v>0</v>
      </c>
      <c r="T34" s="198">
        <v>0</v>
      </c>
      <c r="U34" s="211">
        <f>1504+3243</f>
        <v>4747</v>
      </c>
      <c r="V34" s="211">
        <f>2751837+8042745</f>
        <v>10794582</v>
      </c>
      <c r="W34" s="211">
        <v>16759</v>
      </c>
      <c r="X34" s="211">
        <v>34895268</v>
      </c>
      <c r="Y34" s="259">
        <f>8699+928</f>
        <v>9627</v>
      </c>
      <c r="Z34" s="259">
        <f>14883855+1498160</f>
        <v>16382015</v>
      </c>
      <c r="AA34" s="226">
        <v>7253</v>
      </c>
      <c r="AB34" s="226">
        <v>12078374</v>
      </c>
      <c r="AC34" s="198">
        <f>2865.95+1621.07+2746.6</f>
        <v>7233.619999999999</v>
      </c>
      <c r="AD34" s="198">
        <v>12926731</v>
      </c>
      <c r="AE34" s="198">
        <v>24027</v>
      </c>
      <c r="AF34" s="198">
        <v>24340005</v>
      </c>
      <c r="AG34" s="226">
        <v>23627</v>
      </c>
      <c r="AH34" s="226">
        <v>40304405</v>
      </c>
      <c r="AI34" s="226">
        <v>10062</v>
      </c>
      <c r="AJ34" s="226">
        <v>26559116</v>
      </c>
      <c r="AK34" s="260">
        <v>7880</v>
      </c>
      <c r="AL34" s="260">
        <v>13728391</v>
      </c>
      <c r="AM34" s="261">
        <v>15609</v>
      </c>
      <c r="AN34" s="261">
        <v>25839453</v>
      </c>
      <c r="AO34" s="196">
        <v>7375</v>
      </c>
      <c r="AP34" s="196">
        <v>9193387</v>
      </c>
      <c r="AQ34" s="196">
        <v>5408</v>
      </c>
      <c r="AR34" s="196">
        <v>4054018</v>
      </c>
      <c r="AS34" s="196">
        <v>5739</v>
      </c>
      <c r="AT34" s="196">
        <v>852046</v>
      </c>
      <c r="AU34" s="226">
        <v>17324</v>
      </c>
      <c r="AV34" s="226">
        <v>32834522</v>
      </c>
      <c r="AW34" s="198">
        <v>31981</v>
      </c>
      <c r="AX34" s="198">
        <v>62552810</v>
      </c>
      <c r="AY34" s="198">
        <v>30306</v>
      </c>
      <c r="AZ34" s="198">
        <v>73677668</v>
      </c>
      <c r="BA34" s="263"/>
      <c r="BB34" s="198"/>
      <c r="BC34" s="263"/>
      <c r="BD34" s="198"/>
      <c r="BE34" s="263"/>
      <c r="BF34" s="198"/>
      <c r="BG34" s="198"/>
      <c r="BH34" s="198"/>
      <c r="BI34" s="263"/>
      <c r="BJ34" s="198">
        <f t="shared" si="51"/>
        <v>308856.62</v>
      </c>
      <c r="BK34" s="198">
        <f t="shared" si="52"/>
        <v>456148087</v>
      </c>
      <c r="BL34" s="172"/>
      <c r="BM34" s="13"/>
      <c r="BN34" s="231"/>
      <c r="BO34" s="231"/>
      <c r="BP34" s="172"/>
      <c r="BQ34" s="172"/>
      <c r="BR34" s="172"/>
      <c r="BS34" s="172"/>
      <c r="BT34" s="172"/>
      <c r="BU34" s="172"/>
      <c r="BV34" s="172"/>
      <c r="BW34" s="172"/>
      <c r="BX34" s="172"/>
      <c r="BY34" s="172"/>
      <c r="BZ34" s="172"/>
      <c r="CA34" s="172"/>
      <c r="CB34" s="172"/>
      <c r="CC34" s="172"/>
      <c r="CD34" s="172"/>
      <c r="CE34" s="172"/>
      <c r="CF34" s="172"/>
      <c r="CG34" s="172"/>
      <c r="CH34" s="172"/>
      <c r="CI34" s="172"/>
      <c r="CJ34" s="172"/>
      <c r="CK34" s="172"/>
      <c r="CL34" s="172"/>
      <c r="CM34" s="172"/>
      <c r="CN34" s="172"/>
      <c r="CO34" s="172"/>
      <c r="CP34" s="172"/>
      <c r="CQ34" s="172"/>
      <c r="CR34" s="172"/>
      <c r="CS34" s="172"/>
      <c r="CT34" s="172"/>
      <c r="CU34" s="172"/>
      <c r="CV34" s="172"/>
      <c r="CW34" s="172"/>
      <c r="CX34" s="172"/>
      <c r="CY34" s="172"/>
      <c r="CZ34" s="172"/>
      <c r="DA34" s="172"/>
      <c r="DB34" s="172"/>
      <c r="DC34" s="172"/>
      <c r="DD34" s="172"/>
      <c r="DE34" s="172"/>
      <c r="DF34" s="172"/>
      <c r="DG34" s="172"/>
      <c r="DH34" s="172"/>
      <c r="DI34" s="172"/>
      <c r="DJ34" s="172"/>
      <c r="DK34" s="172"/>
      <c r="DL34" s="172"/>
      <c r="DM34" s="172"/>
      <c r="DN34" s="172"/>
      <c r="DO34" s="172"/>
      <c r="DP34" s="172"/>
      <c r="DQ34" s="172"/>
      <c r="DR34" s="172"/>
      <c r="DS34" s="172"/>
      <c r="DT34" s="172"/>
      <c r="DU34" s="172"/>
      <c r="DV34" s="172"/>
      <c r="DW34" s="172"/>
      <c r="DX34" s="172"/>
      <c r="DY34" s="172"/>
      <c r="DZ34" s="172"/>
      <c r="EA34" s="172"/>
      <c r="EB34" s="172"/>
      <c r="EC34" s="172"/>
      <c r="ED34" s="172"/>
      <c r="EE34" s="172"/>
      <c r="EF34" s="172"/>
      <c r="EG34" s="172"/>
      <c r="EH34" s="172"/>
      <c r="EI34" s="172"/>
      <c r="EJ34" s="172"/>
      <c r="EK34" s="172"/>
      <c r="EL34" s="172"/>
      <c r="EM34" s="172"/>
      <c r="EN34" s="172"/>
      <c r="EO34" s="172"/>
      <c r="EP34" s="172"/>
      <c r="EQ34" s="172"/>
      <c r="ER34" s="172"/>
      <c r="ES34" s="172"/>
      <c r="ET34" s="172"/>
      <c r="EU34" s="172"/>
      <c r="EV34" s="172"/>
      <c r="EW34" s="172"/>
      <c r="EX34" s="172"/>
      <c r="EY34" s="172"/>
      <c r="EZ34" s="172"/>
      <c r="FA34" s="172"/>
      <c r="FB34" s="172"/>
      <c r="FC34" s="172"/>
      <c r="FD34" s="172"/>
      <c r="FE34" s="172"/>
      <c r="FF34" s="172"/>
      <c r="FG34" s="172"/>
      <c r="FH34" s="172"/>
      <c r="FI34" s="172"/>
      <c r="FJ34" s="172"/>
      <c r="FK34" s="172"/>
      <c r="FL34" s="172"/>
      <c r="FM34" s="172"/>
      <c r="FN34" s="172"/>
      <c r="FO34" s="172"/>
      <c r="FP34" s="172"/>
      <c r="FQ34" s="172"/>
      <c r="FR34" s="172"/>
      <c r="FS34" s="172"/>
      <c r="FT34" s="172"/>
      <c r="FU34" s="172"/>
      <c r="FV34" s="172"/>
      <c r="FW34" s="172"/>
      <c r="FX34" s="172"/>
      <c r="FY34" s="172"/>
      <c r="FZ34" s="172"/>
      <c r="GA34" s="172"/>
      <c r="GB34" s="172"/>
      <c r="GC34" s="172"/>
      <c r="GD34" s="172"/>
      <c r="GE34" s="172"/>
      <c r="GF34" s="172"/>
      <c r="GG34" s="172"/>
      <c r="GH34" s="172"/>
      <c r="GI34" s="172"/>
      <c r="GJ34" s="172"/>
      <c r="GK34" s="172"/>
      <c r="GL34" s="172"/>
      <c r="GM34" s="172"/>
      <c r="GN34" s="172"/>
      <c r="GO34" s="172"/>
      <c r="GP34" s="172"/>
      <c r="GQ34" s="172"/>
      <c r="GR34" s="172"/>
      <c r="GS34" s="172"/>
      <c r="GT34" s="172"/>
      <c r="GU34" s="172"/>
      <c r="GV34" s="172"/>
      <c r="GW34" s="172"/>
      <c r="GX34" s="172"/>
      <c r="GY34" s="172"/>
      <c r="GZ34" s="172"/>
      <c r="HA34" s="172"/>
      <c r="HB34" s="172"/>
      <c r="HC34" s="172"/>
      <c r="HD34" s="172"/>
      <c r="HE34" s="172"/>
      <c r="HF34" s="172"/>
      <c r="HG34" s="172"/>
      <c r="HH34" s="172"/>
      <c r="HI34" s="172"/>
      <c r="HJ34" s="172"/>
      <c r="HK34" s="172"/>
      <c r="HL34" s="172"/>
      <c r="HM34" s="172"/>
      <c r="HN34" s="172"/>
      <c r="HO34" s="172"/>
      <c r="HP34" s="172"/>
      <c r="HQ34" s="172"/>
      <c r="HR34" s="172"/>
      <c r="HS34" s="172"/>
      <c r="HT34" s="172"/>
      <c r="HU34" s="172"/>
      <c r="HV34" s="172"/>
      <c r="HW34" s="172"/>
      <c r="HX34" s="172"/>
      <c r="HY34" s="172"/>
      <c r="HZ34" s="172"/>
      <c r="IA34" s="172"/>
      <c r="IB34" s="172"/>
      <c r="IC34" s="172"/>
      <c r="ID34" s="172"/>
      <c r="IE34" s="172"/>
      <c r="IF34" s="172"/>
      <c r="IG34" s="172"/>
      <c r="IH34" s="172"/>
      <c r="II34" s="172"/>
      <c r="IJ34" s="172"/>
      <c r="IK34" s="172"/>
      <c r="IL34" s="172"/>
      <c r="IM34" s="172"/>
      <c r="IN34" s="172"/>
      <c r="IO34" s="172"/>
      <c r="IP34" s="172"/>
      <c r="IQ34" s="172"/>
      <c r="IR34" s="172"/>
      <c r="IS34" s="172"/>
      <c r="IT34" s="172"/>
      <c r="IU34" s="172"/>
      <c r="IV34" s="172"/>
      <c r="IW34" s="172"/>
      <c r="IX34" s="172"/>
      <c r="IY34" s="172"/>
      <c r="IZ34" s="172"/>
      <c r="JA34" s="172"/>
      <c r="JB34" s="172"/>
      <c r="JC34" s="172"/>
      <c r="JD34" s="172"/>
      <c r="JE34" s="172"/>
      <c r="JF34" s="172"/>
      <c r="JG34" s="172"/>
      <c r="JH34" s="172"/>
      <c r="JI34" s="172"/>
      <c r="JJ34" s="172"/>
      <c r="JK34" s="172"/>
      <c r="JL34" s="172"/>
      <c r="JM34" s="172"/>
      <c r="JN34" s="172"/>
      <c r="JO34" s="172"/>
      <c r="JP34" s="172"/>
      <c r="JQ34" s="172"/>
      <c r="JR34" s="172"/>
      <c r="JS34" s="172"/>
      <c r="JT34" s="172"/>
      <c r="JU34" s="172"/>
      <c r="JV34" s="172"/>
      <c r="JW34" s="172"/>
      <c r="JX34" s="172"/>
      <c r="JY34" s="172"/>
      <c r="JZ34" s="172"/>
      <c r="KA34" s="172"/>
      <c r="KB34" s="172"/>
      <c r="KC34" s="172"/>
      <c r="KD34" s="172"/>
      <c r="KE34" s="172"/>
      <c r="KF34" s="172"/>
      <c r="KG34" s="172"/>
      <c r="KH34" s="172"/>
      <c r="KI34" s="172"/>
      <c r="KJ34" s="172"/>
      <c r="KK34" s="172"/>
      <c r="KL34" s="172"/>
      <c r="KM34" s="172"/>
      <c r="KN34" s="172"/>
      <c r="KO34" s="172"/>
      <c r="KP34" s="172"/>
      <c r="KQ34" s="172"/>
      <c r="KR34" s="172"/>
      <c r="KS34" s="172"/>
      <c r="KT34" s="172"/>
      <c r="KU34" s="172"/>
      <c r="KV34" s="172"/>
      <c r="KW34" s="172"/>
      <c r="KX34" s="172"/>
      <c r="KY34" s="172"/>
      <c r="KZ34" s="172"/>
      <c r="LA34" s="172"/>
      <c r="LB34" s="172"/>
      <c r="LC34" s="172"/>
      <c r="LD34" s="172"/>
      <c r="LE34" s="172"/>
      <c r="LF34" s="172"/>
      <c r="LG34" s="172"/>
      <c r="LH34" s="172"/>
      <c r="LI34" s="172"/>
      <c r="LJ34" s="172"/>
      <c r="LK34" s="172"/>
      <c r="LL34" s="172"/>
      <c r="LM34" s="172"/>
      <c r="LN34" s="172"/>
      <c r="LO34" s="172"/>
      <c r="LP34" s="172"/>
      <c r="LQ34" s="172"/>
      <c r="LR34" s="172"/>
      <c r="LS34" s="172"/>
      <c r="LT34" s="172"/>
      <c r="LU34" s="172"/>
      <c r="LV34" s="172"/>
      <c r="LW34" s="172"/>
      <c r="LX34" s="172"/>
      <c r="LY34" s="172"/>
      <c r="LZ34" s="172"/>
      <c r="MA34" s="172"/>
      <c r="MB34" s="172"/>
      <c r="MC34" s="172"/>
      <c r="MD34" s="172"/>
      <c r="ME34" s="172"/>
      <c r="MF34" s="172"/>
      <c r="MG34" s="172"/>
      <c r="MH34" s="172"/>
      <c r="MI34" s="172"/>
      <c r="MJ34" s="172"/>
      <c r="MK34" s="172"/>
      <c r="ML34" s="172"/>
      <c r="MM34" s="172"/>
      <c r="MN34" s="172"/>
      <c r="MO34" s="172"/>
      <c r="MP34" s="172"/>
      <c r="MQ34" s="172"/>
      <c r="MR34" s="172"/>
      <c r="MS34" s="172"/>
      <c r="MT34" s="172"/>
      <c r="MU34" s="172"/>
      <c r="MV34" s="172"/>
      <c r="MW34" s="172"/>
      <c r="MX34" s="172"/>
      <c r="MY34" s="172"/>
      <c r="MZ34" s="172"/>
      <c r="NA34" s="172"/>
      <c r="NB34" s="172"/>
      <c r="NC34" s="172"/>
      <c r="ND34" s="172"/>
      <c r="NE34" s="172"/>
      <c r="NF34" s="172"/>
      <c r="NG34" s="172"/>
      <c r="NH34" s="172"/>
      <c r="NI34" s="172"/>
      <c r="NJ34" s="172"/>
      <c r="NK34" s="172"/>
      <c r="NL34" s="172"/>
      <c r="NM34" s="172"/>
      <c r="NN34" s="172"/>
      <c r="NO34" s="172"/>
      <c r="NP34" s="172"/>
      <c r="NQ34" s="172"/>
      <c r="NR34" s="172"/>
      <c r="NS34" s="172"/>
      <c r="NT34" s="172"/>
      <c r="NU34" s="172"/>
      <c r="NV34" s="172"/>
      <c r="NW34" s="172"/>
      <c r="NX34" s="172"/>
      <c r="NY34" s="172"/>
      <c r="NZ34" s="172"/>
      <c r="OA34" s="172"/>
      <c r="OB34" s="172"/>
      <c r="OC34" s="172"/>
      <c r="OD34" s="172"/>
      <c r="OE34" s="172"/>
      <c r="OF34" s="172"/>
      <c r="OG34" s="172"/>
      <c r="OH34" s="172"/>
      <c r="OI34" s="172"/>
      <c r="OJ34" s="172"/>
      <c r="OK34" s="172"/>
      <c r="OL34" s="172"/>
      <c r="OM34" s="172"/>
      <c r="ON34" s="172"/>
      <c r="OO34" s="172"/>
      <c r="OP34" s="172"/>
      <c r="OQ34" s="172"/>
      <c r="OR34" s="172"/>
      <c r="OS34" s="172"/>
      <c r="OT34" s="172"/>
      <c r="OU34" s="172"/>
      <c r="OV34" s="172"/>
      <c r="OW34" s="172"/>
      <c r="OX34" s="172"/>
      <c r="OY34" s="172"/>
      <c r="OZ34" s="172"/>
      <c r="PA34" s="172"/>
      <c r="PB34" s="172"/>
      <c r="PC34" s="172"/>
      <c r="PD34" s="172"/>
      <c r="PE34" s="172"/>
      <c r="PF34" s="172"/>
      <c r="PG34" s="172"/>
      <c r="PH34" s="172"/>
      <c r="PI34" s="172"/>
      <c r="PJ34" s="172"/>
      <c r="PK34" s="172"/>
      <c r="PL34" s="172"/>
      <c r="PM34" s="172"/>
      <c r="PN34" s="172"/>
      <c r="PO34" s="172"/>
      <c r="PP34" s="172"/>
      <c r="PQ34" s="172"/>
      <c r="PR34" s="172"/>
      <c r="PS34" s="172"/>
      <c r="PT34" s="172"/>
      <c r="PU34" s="172"/>
      <c r="PV34" s="172"/>
      <c r="PW34" s="172"/>
      <c r="PX34" s="172"/>
      <c r="PY34" s="172"/>
      <c r="PZ34" s="172"/>
      <c r="QA34" s="172"/>
      <c r="QB34" s="172"/>
      <c r="QC34" s="172"/>
      <c r="QD34" s="172"/>
      <c r="QE34" s="172"/>
      <c r="QF34" s="172"/>
      <c r="QG34" s="172"/>
      <c r="QH34" s="172"/>
      <c r="QI34" s="172"/>
      <c r="QJ34" s="172"/>
      <c r="QK34" s="172"/>
      <c r="QL34" s="172"/>
      <c r="QM34" s="172"/>
      <c r="QN34" s="172"/>
      <c r="QO34" s="172"/>
      <c r="QP34" s="172"/>
      <c r="QQ34" s="172"/>
      <c r="QR34" s="172"/>
      <c r="QS34" s="172"/>
      <c r="QT34" s="172"/>
      <c r="QU34" s="172"/>
      <c r="QV34" s="172"/>
      <c r="QW34" s="172"/>
      <c r="QX34" s="172"/>
      <c r="QY34" s="172"/>
      <c r="QZ34" s="172"/>
      <c r="RA34" s="172"/>
      <c r="RB34" s="172"/>
      <c r="RC34" s="172"/>
      <c r="RD34" s="172"/>
      <c r="RE34" s="172"/>
      <c r="RF34" s="172"/>
      <c r="RG34" s="172"/>
      <c r="RH34" s="172"/>
      <c r="RI34" s="172"/>
      <c r="RJ34" s="172"/>
      <c r="RK34" s="172"/>
      <c r="RL34" s="172"/>
      <c r="RM34" s="172"/>
      <c r="RN34" s="172"/>
      <c r="RO34" s="172"/>
      <c r="RP34" s="172"/>
      <c r="RQ34" s="172"/>
      <c r="RR34" s="172"/>
      <c r="RS34" s="172"/>
      <c r="RT34" s="172"/>
      <c r="RU34" s="172"/>
      <c r="RV34" s="172"/>
      <c r="RW34" s="172"/>
      <c r="RX34" s="172"/>
      <c r="RY34" s="172"/>
      <c r="RZ34" s="172"/>
      <c r="SA34" s="172"/>
      <c r="SB34" s="172"/>
      <c r="SC34" s="172"/>
      <c r="SD34" s="172"/>
      <c r="SE34" s="172"/>
      <c r="SF34" s="172"/>
      <c r="SG34" s="172"/>
      <c r="SH34" s="172"/>
      <c r="SI34" s="172"/>
      <c r="SJ34" s="172"/>
      <c r="SK34" s="172"/>
      <c r="SL34" s="172"/>
      <c r="SM34" s="172"/>
      <c r="SN34" s="172"/>
      <c r="SO34" s="172"/>
      <c r="SP34" s="172"/>
      <c r="SQ34" s="172"/>
      <c r="SR34" s="172"/>
      <c r="SS34" s="172"/>
      <c r="ST34" s="172"/>
      <c r="SU34" s="172"/>
      <c r="SV34" s="172"/>
      <c r="SW34" s="172"/>
      <c r="SX34" s="172"/>
      <c r="SY34" s="172"/>
      <c r="SZ34" s="172"/>
      <c r="TA34" s="172"/>
      <c r="TB34" s="172"/>
      <c r="TC34" s="172"/>
      <c r="TD34" s="172"/>
      <c r="TE34" s="172"/>
      <c r="TF34" s="172"/>
      <c r="TG34" s="172"/>
      <c r="TH34" s="172"/>
      <c r="TI34" s="172"/>
      <c r="TJ34" s="172"/>
      <c r="TK34" s="172"/>
      <c r="TL34" s="172"/>
      <c r="TM34" s="172"/>
      <c r="TN34" s="172"/>
      <c r="TO34" s="172"/>
      <c r="TP34" s="172"/>
      <c r="TQ34" s="172"/>
      <c r="TR34" s="172"/>
      <c r="TS34" s="172"/>
      <c r="TT34" s="172"/>
      <c r="TU34" s="172"/>
      <c r="TV34" s="172"/>
      <c r="TW34" s="172"/>
      <c r="TX34" s="172"/>
      <c r="TY34" s="172"/>
      <c r="TZ34" s="172"/>
      <c r="UA34" s="172"/>
      <c r="UB34" s="172"/>
      <c r="UC34" s="172"/>
      <c r="UD34" s="172"/>
      <c r="UE34" s="172"/>
      <c r="UF34" s="172"/>
      <c r="UG34" s="172"/>
      <c r="UH34" s="172"/>
      <c r="UI34" s="172"/>
      <c r="UJ34" s="172"/>
      <c r="UK34" s="172"/>
      <c r="UL34" s="172"/>
      <c r="UM34" s="172"/>
      <c r="UN34" s="172"/>
      <c r="UO34" s="172"/>
      <c r="UP34" s="172"/>
      <c r="UQ34" s="172"/>
      <c r="UR34" s="172"/>
      <c r="US34" s="172"/>
      <c r="UT34" s="172"/>
      <c r="UU34" s="172"/>
      <c r="UV34" s="172"/>
      <c r="UW34" s="172"/>
      <c r="UX34" s="172"/>
      <c r="UY34" s="172"/>
      <c r="UZ34" s="172"/>
      <c r="VA34" s="172"/>
      <c r="VB34" s="172"/>
      <c r="VC34" s="172"/>
      <c r="VD34" s="172"/>
      <c r="VE34" s="172"/>
      <c r="VF34" s="172"/>
      <c r="VG34" s="172"/>
      <c r="VH34" s="172"/>
      <c r="VI34" s="172"/>
      <c r="VJ34" s="172"/>
      <c r="VK34" s="172"/>
      <c r="VL34" s="172"/>
      <c r="VM34" s="172"/>
      <c r="VN34" s="172"/>
      <c r="VO34" s="172"/>
      <c r="VP34" s="172"/>
      <c r="VQ34" s="172"/>
      <c r="VR34" s="172"/>
      <c r="VS34" s="172"/>
      <c r="VT34" s="172"/>
      <c r="VU34" s="172"/>
      <c r="VV34" s="172"/>
      <c r="VW34" s="172"/>
      <c r="VX34" s="172"/>
      <c r="VY34" s="172"/>
      <c r="VZ34" s="172"/>
      <c r="WA34" s="172"/>
      <c r="WB34" s="172"/>
      <c r="WC34" s="172"/>
      <c r="WD34" s="172"/>
      <c r="WE34" s="172"/>
      <c r="WF34" s="172"/>
      <c r="WG34" s="172"/>
      <c r="WH34" s="172"/>
      <c r="WI34" s="172"/>
      <c r="WJ34" s="172"/>
      <c r="WK34" s="172"/>
      <c r="WL34" s="172"/>
      <c r="WM34" s="172"/>
      <c r="WN34" s="172"/>
      <c r="WO34" s="172"/>
      <c r="WP34" s="172"/>
      <c r="WQ34" s="172"/>
      <c r="WR34" s="172"/>
      <c r="WS34" s="172"/>
      <c r="WT34" s="172"/>
      <c r="WU34" s="172"/>
      <c r="WV34" s="172"/>
      <c r="WW34" s="172"/>
      <c r="WX34" s="172"/>
      <c r="WY34" s="172"/>
      <c r="WZ34" s="172"/>
      <c r="XA34" s="172"/>
      <c r="XB34" s="172"/>
      <c r="XC34" s="172"/>
      <c r="XD34" s="172"/>
      <c r="XE34" s="172"/>
      <c r="XF34" s="172"/>
      <c r="XG34" s="172"/>
      <c r="XH34" s="172"/>
      <c r="XI34" s="172"/>
      <c r="XJ34" s="172"/>
      <c r="XK34" s="172"/>
      <c r="XL34" s="172"/>
      <c r="XM34" s="172"/>
      <c r="XN34" s="172"/>
      <c r="XO34" s="172"/>
      <c r="XP34" s="172"/>
      <c r="XQ34" s="172"/>
      <c r="XR34" s="172"/>
      <c r="XS34" s="172"/>
      <c r="XT34" s="172"/>
      <c r="XU34" s="172"/>
      <c r="XV34" s="172"/>
      <c r="XW34" s="172"/>
      <c r="XX34" s="172"/>
      <c r="XY34" s="172"/>
      <c r="XZ34" s="172"/>
      <c r="YA34" s="172"/>
      <c r="YB34" s="172"/>
      <c r="YC34" s="172"/>
      <c r="YD34" s="172"/>
      <c r="YE34" s="172"/>
      <c r="YF34" s="172"/>
      <c r="YG34" s="172"/>
      <c r="YH34" s="172"/>
      <c r="YI34" s="172"/>
      <c r="YJ34" s="172"/>
      <c r="YK34" s="172"/>
      <c r="YL34" s="172"/>
      <c r="YM34" s="172"/>
      <c r="YN34" s="172"/>
      <c r="YO34" s="172"/>
      <c r="YP34" s="172"/>
      <c r="YQ34" s="172"/>
      <c r="YR34" s="172"/>
      <c r="YS34" s="172"/>
      <c r="YT34" s="172"/>
      <c r="YU34" s="172"/>
      <c r="YV34" s="172"/>
      <c r="YW34" s="172"/>
      <c r="YX34" s="172"/>
      <c r="YY34" s="172"/>
      <c r="YZ34" s="172"/>
      <c r="ZA34" s="172"/>
      <c r="ZB34" s="172"/>
      <c r="ZC34" s="172"/>
      <c r="ZD34" s="172"/>
      <c r="ZE34" s="172"/>
      <c r="ZF34" s="172"/>
      <c r="ZG34" s="172"/>
      <c r="ZH34" s="172"/>
      <c r="ZI34" s="172"/>
      <c r="ZJ34" s="172"/>
      <c r="ZK34" s="172"/>
      <c r="ZL34" s="172"/>
      <c r="ZM34" s="172"/>
      <c r="ZN34" s="172"/>
      <c r="ZO34" s="172"/>
      <c r="ZP34" s="172"/>
      <c r="ZQ34" s="172"/>
      <c r="ZR34" s="172"/>
      <c r="ZS34" s="172"/>
      <c r="ZT34" s="172"/>
      <c r="ZU34" s="172"/>
      <c r="ZV34" s="172"/>
      <c r="ZW34" s="172"/>
      <c r="ZX34" s="172"/>
      <c r="ZY34" s="172"/>
      <c r="ZZ34" s="172"/>
      <c r="AAA34" s="172"/>
      <c r="AAB34" s="172"/>
      <c r="AAC34" s="172"/>
      <c r="AAD34" s="172"/>
      <c r="AAE34" s="172"/>
      <c r="AAF34" s="172"/>
      <c r="AAG34" s="172"/>
      <c r="AAH34" s="172"/>
      <c r="AAI34" s="172"/>
      <c r="AAJ34" s="172"/>
      <c r="AAK34" s="172"/>
      <c r="AAL34" s="172"/>
      <c r="AAM34" s="172"/>
      <c r="AAN34" s="172"/>
      <c r="AAO34" s="172"/>
      <c r="AAP34" s="172"/>
      <c r="AAQ34" s="172"/>
      <c r="AAR34" s="172"/>
      <c r="AAS34" s="172"/>
      <c r="AAT34" s="172"/>
      <c r="AAU34" s="172"/>
      <c r="AAV34" s="172"/>
      <c r="AAW34" s="172"/>
      <c r="AAX34" s="172"/>
      <c r="AAY34" s="172"/>
      <c r="AAZ34" s="172"/>
      <c r="ABA34" s="172"/>
      <c r="ABB34" s="172"/>
      <c r="ABC34" s="172"/>
      <c r="ABD34" s="172"/>
      <c r="ABE34" s="172"/>
      <c r="ABF34" s="172"/>
      <c r="ABG34" s="172"/>
      <c r="ABH34" s="172"/>
      <c r="ABI34" s="172"/>
      <c r="ABJ34" s="172"/>
      <c r="ABK34" s="172"/>
      <c r="ABL34" s="172"/>
      <c r="ABM34" s="172"/>
      <c r="ABN34" s="172"/>
      <c r="ABO34" s="172"/>
      <c r="ABP34" s="172"/>
      <c r="ABQ34" s="172"/>
      <c r="ABR34" s="172"/>
      <c r="ABS34" s="172"/>
      <c r="ABT34" s="172"/>
      <c r="ABU34" s="172"/>
      <c r="ABV34" s="172"/>
      <c r="ABW34" s="172"/>
      <c r="ABX34" s="172"/>
      <c r="ABY34" s="172"/>
      <c r="ABZ34" s="172"/>
      <c r="ACA34" s="172"/>
      <c r="ACB34" s="172"/>
      <c r="ACC34" s="172"/>
      <c r="ACD34" s="172"/>
      <c r="ACE34" s="172"/>
      <c r="ACF34" s="172"/>
      <c r="ACG34" s="172"/>
      <c r="ACH34" s="172"/>
      <c r="ACI34" s="172"/>
      <c r="ACJ34" s="172"/>
      <c r="ACK34" s="172"/>
      <c r="ACL34" s="172"/>
      <c r="ACM34" s="172"/>
      <c r="ACN34" s="172"/>
      <c r="ACO34" s="172"/>
      <c r="ACP34" s="172"/>
      <c r="ACQ34" s="172"/>
      <c r="ACR34" s="172"/>
      <c r="ACS34" s="172"/>
      <c r="ACT34" s="172"/>
      <c r="ACU34" s="172"/>
      <c r="ACV34" s="172"/>
      <c r="ACW34" s="172"/>
      <c r="ACX34" s="172"/>
      <c r="ACY34" s="172"/>
      <c r="ACZ34" s="172"/>
      <c r="ADA34" s="172"/>
      <c r="ADB34" s="172"/>
      <c r="ADC34" s="172"/>
      <c r="ADD34" s="172"/>
      <c r="ADE34" s="172"/>
      <c r="ADF34" s="172"/>
      <c r="ADG34" s="172"/>
      <c r="ADH34" s="172"/>
      <c r="ADI34" s="172"/>
      <c r="ADJ34" s="172"/>
      <c r="ADK34" s="172"/>
      <c r="ADL34" s="172"/>
      <c r="ADM34" s="172"/>
      <c r="ADN34" s="172"/>
      <c r="ADO34" s="172"/>
      <c r="ADP34" s="172"/>
      <c r="ADQ34" s="172"/>
      <c r="ADR34" s="172"/>
      <c r="ADS34" s="172"/>
      <c r="ADT34" s="172"/>
      <c r="ADU34" s="172"/>
      <c r="ADV34" s="172"/>
      <c r="ADW34" s="172"/>
      <c r="ADX34" s="172"/>
      <c r="ADY34" s="172"/>
      <c r="ADZ34" s="172"/>
      <c r="AEA34" s="172"/>
      <c r="AEB34" s="172"/>
      <c r="AEC34" s="172"/>
      <c r="AED34" s="172"/>
      <c r="AEE34" s="172"/>
      <c r="AEF34" s="172"/>
      <c r="AEG34" s="172"/>
      <c r="AEH34" s="172"/>
      <c r="AEI34" s="172"/>
      <c r="AEJ34" s="172"/>
      <c r="AEK34" s="172"/>
      <c r="AEL34" s="172"/>
      <c r="AEM34" s="172"/>
      <c r="AEN34" s="172"/>
      <c r="AEO34" s="172"/>
      <c r="AEP34" s="172"/>
      <c r="AEQ34" s="172"/>
      <c r="AER34" s="172"/>
      <c r="AES34" s="172"/>
      <c r="AET34" s="172"/>
      <c r="AEU34" s="172"/>
      <c r="AEV34" s="172"/>
      <c r="AEW34" s="172"/>
      <c r="AEX34" s="172"/>
      <c r="AEY34" s="172"/>
      <c r="AEZ34" s="172"/>
      <c r="AFA34" s="172"/>
      <c r="AFB34" s="172"/>
      <c r="AFC34" s="172"/>
      <c r="AFD34" s="172"/>
      <c r="AFE34" s="172"/>
      <c r="AFF34" s="172"/>
      <c r="AFG34" s="172"/>
      <c r="AFH34" s="172"/>
      <c r="AFI34" s="172"/>
      <c r="AFJ34" s="172"/>
      <c r="AFK34" s="172"/>
      <c r="AFL34" s="172"/>
      <c r="AFM34" s="172"/>
      <c r="AFN34" s="172"/>
      <c r="AFO34" s="172"/>
      <c r="AFP34" s="172"/>
      <c r="AFQ34" s="172"/>
      <c r="AFR34" s="172"/>
      <c r="AFS34" s="172"/>
      <c r="AFT34" s="172"/>
      <c r="AFU34" s="172"/>
      <c r="AFV34" s="172"/>
      <c r="AFW34" s="172"/>
      <c r="AFX34" s="172"/>
      <c r="AFY34" s="172"/>
      <c r="AFZ34" s="172"/>
      <c r="AGA34" s="172"/>
      <c r="AGB34" s="172"/>
      <c r="AGC34" s="172"/>
      <c r="AGD34" s="172"/>
      <c r="AGE34" s="172"/>
      <c r="AGF34" s="172"/>
      <c r="AGG34" s="172"/>
      <c r="AGH34" s="172"/>
      <c r="AGI34" s="172"/>
      <c r="AGJ34" s="172"/>
      <c r="AGK34" s="172"/>
      <c r="AGL34" s="172"/>
      <c r="AGM34" s="172"/>
      <c r="AGN34" s="172"/>
      <c r="AGO34" s="172"/>
      <c r="AGP34" s="172"/>
      <c r="AGQ34" s="172"/>
      <c r="AGR34" s="172"/>
      <c r="AGS34" s="172"/>
      <c r="AGT34" s="172"/>
      <c r="AGU34" s="172"/>
      <c r="AGV34" s="172"/>
      <c r="AGW34" s="172"/>
      <c r="AGX34" s="172"/>
      <c r="AGY34" s="172"/>
      <c r="AGZ34" s="172"/>
      <c r="AHA34" s="172"/>
      <c r="AHB34" s="172"/>
      <c r="AHC34" s="172"/>
      <c r="AHD34" s="172"/>
      <c r="AHE34" s="172"/>
      <c r="AHF34" s="172"/>
      <c r="AHG34" s="172"/>
      <c r="AHH34" s="172"/>
      <c r="AHI34" s="172"/>
      <c r="AHJ34" s="172"/>
      <c r="AHK34" s="172"/>
      <c r="AHL34" s="172"/>
      <c r="AHM34" s="172"/>
      <c r="AHN34" s="172"/>
      <c r="AHO34" s="172"/>
      <c r="AHP34" s="172"/>
      <c r="AHQ34" s="172"/>
      <c r="AHR34" s="172"/>
      <c r="AHS34" s="172"/>
      <c r="AHT34" s="172"/>
      <c r="AHU34" s="172"/>
      <c r="AHV34" s="172"/>
      <c r="AHW34" s="172"/>
      <c r="AHX34" s="172"/>
      <c r="AHY34" s="172"/>
      <c r="AHZ34" s="172"/>
      <c r="AIA34" s="172"/>
      <c r="AIB34" s="172"/>
      <c r="AIC34" s="172"/>
      <c r="AID34" s="172"/>
      <c r="AIE34" s="172"/>
      <c r="AIF34" s="172"/>
      <c r="AIG34" s="172"/>
      <c r="AIH34" s="172"/>
      <c r="AII34" s="172"/>
      <c r="AIJ34" s="172"/>
      <c r="AIK34" s="172"/>
      <c r="AIL34" s="172"/>
      <c r="AIM34" s="172"/>
      <c r="AIN34" s="172"/>
      <c r="AIO34" s="172"/>
      <c r="AIP34" s="172"/>
      <c r="AIQ34" s="172"/>
      <c r="AIR34" s="172"/>
      <c r="AIS34" s="172"/>
      <c r="AIT34" s="172"/>
      <c r="AIU34" s="172"/>
      <c r="AIV34" s="172"/>
      <c r="AIW34" s="172"/>
      <c r="AIX34" s="172"/>
      <c r="AIY34" s="172"/>
      <c r="AIZ34" s="172"/>
      <c r="AJA34" s="172"/>
      <c r="AJB34" s="172"/>
      <c r="AJC34" s="172"/>
      <c r="AJD34" s="172"/>
      <c r="AJE34" s="172"/>
      <c r="AJF34" s="172"/>
      <c r="AJG34" s="172"/>
      <c r="AJH34" s="172"/>
      <c r="AJI34" s="172"/>
      <c r="AJJ34" s="172"/>
      <c r="AJK34" s="172"/>
      <c r="AJL34" s="172"/>
      <c r="AJM34" s="172"/>
      <c r="AJN34" s="172"/>
      <c r="AJO34" s="172"/>
      <c r="AJP34" s="172"/>
      <c r="AJQ34" s="172"/>
      <c r="AJR34" s="172"/>
      <c r="AJS34" s="172"/>
      <c r="AJT34" s="172"/>
      <c r="AJU34" s="172"/>
      <c r="AJV34" s="172"/>
      <c r="AJW34" s="172"/>
      <c r="AJX34" s="172"/>
      <c r="AJY34" s="172"/>
      <c r="AJZ34" s="172"/>
      <c r="AKA34" s="172"/>
      <c r="AKB34" s="172"/>
      <c r="AKC34" s="172"/>
      <c r="AKD34" s="172"/>
      <c r="AKE34" s="172"/>
      <c r="AKF34" s="172"/>
      <c r="AKG34" s="172"/>
      <c r="AKH34" s="172"/>
      <c r="AKI34" s="172"/>
      <c r="AKJ34" s="172"/>
      <c r="AKK34" s="172"/>
      <c r="AKL34" s="172"/>
      <c r="AKM34" s="172"/>
      <c r="AKN34" s="172"/>
      <c r="AKO34" s="172"/>
      <c r="AKP34" s="172"/>
      <c r="AKQ34" s="172"/>
      <c r="AKR34" s="172"/>
      <c r="AKS34" s="172"/>
      <c r="AKT34" s="172"/>
      <c r="AKU34" s="172"/>
      <c r="AKV34" s="172"/>
      <c r="AKW34" s="172"/>
      <c r="AKX34" s="172"/>
      <c r="AKY34" s="172"/>
      <c r="AKZ34" s="172"/>
      <c r="ALA34" s="172"/>
      <c r="ALB34" s="172"/>
      <c r="ALC34" s="172"/>
      <c r="ALD34" s="172"/>
      <c r="ALE34" s="172"/>
      <c r="ALF34" s="172"/>
      <c r="ALG34" s="172"/>
      <c r="ALH34" s="172"/>
      <c r="ALI34" s="172"/>
      <c r="ALJ34" s="172"/>
      <c r="ALK34" s="172"/>
      <c r="ALL34" s="172"/>
      <c r="ALM34" s="172"/>
      <c r="ALN34" s="172"/>
      <c r="ALO34" s="172"/>
      <c r="ALP34" s="172"/>
      <c r="ALQ34" s="172"/>
      <c r="ALR34" s="172"/>
      <c r="ALS34" s="172"/>
      <c r="ALT34" s="172"/>
      <c r="ALU34" s="172"/>
      <c r="ALV34" s="172"/>
      <c r="ALW34" s="172"/>
      <c r="ALX34" s="172"/>
      <c r="ALY34" s="172"/>
      <c r="ALZ34" s="172"/>
      <c r="AMA34" s="172"/>
      <c r="AMB34" s="172"/>
      <c r="AMC34" s="172"/>
      <c r="AMD34" s="172"/>
      <c r="AME34" s="172"/>
      <c r="AMF34" s="172"/>
      <c r="AMG34" s="172"/>
      <c r="AMH34" s="172"/>
      <c r="AMI34" s="172"/>
      <c r="AMJ34" s="172"/>
      <c r="AMK34" s="172"/>
      <c r="AML34" s="172"/>
      <c r="AMM34" s="172"/>
      <c r="AMN34" s="172"/>
      <c r="AMO34" s="172"/>
      <c r="AMP34" s="172"/>
      <c r="AMQ34" s="172"/>
      <c r="AMR34" s="172"/>
      <c r="AMS34" s="172"/>
      <c r="AMT34" s="172"/>
      <c r="AMU34" s="172"/>
      <c r="AMV34" s="172"/>
      <c r="AMW34" s="172"/>
      <c r="AMX34" s="172"/>
      <c r="AMY34" s="172"/>
      <c r="AMZ34" s="172"/>
      <c r="ANA34" s="172"/>
      <c r="ANB34" s="172"/>
      <c r="ANC34" s="172"/>
      <c r="AND34" s="172"/>
      <c r="ANE34" s="172"/>
      <c r="ANF34" s="172"/>
      <c r="ANG34" s="172"/>
      <c r="ANH34" s="172"/>
      <c r="ANI34" s="172"/>
      <c r="ANJ34" s="172"/>
      <c r="ANK34" s="172"/>
      <c r="ANL34" s="172"/>
      <c r="ANM34" s="172"/>
      <c r="ANN34" s="172"/>
      <c r="ANO34" s="172"/>
      <c r="ANP34" s="172"/>
      <c r="ANQ34" s="172"/>
      <c r="ANR34" s="172"/>
      <c r="ANS34" s="172"/>
      <c r="ANT34" s="172"/>
      <c r="ANU34" s="172"/>
      <c r="ANV34" s="172"/>
      <c r="ANW34" s="172"/>
      <c r="ANX34" s="172"/>
      <c r="ANY34" s="172"/>
      <c r="ANZ34" s="172"/>
      <c r="AOA34" s="172"/>
      <c r="AOB34" s="172"/>
      <c r="AOC34" s="172"/>
      <c r="AOD34" s="172"/>
      <c r="AOE34" s="172"/>
      <c r="AOF34" s="172"/>
      <c r="AOG34" s="172"/>
      <c r="AOH34" s="172"/>
      <c r="AOI34" s="172"/>
      <c r="AOJ34" s="172"/>
      <c r="AOK34" s="172"/>
      <c r="AOL34" s="172"/>
      <c r="AOM34" s="172"/>
      <c r="AON34" s="172"/>
      <c r="AOO34" s="172"/>
      <c r="AOP34" s="172"/>
      <c r="AOQ34" s="172"/>
      <c r="AOR34" s="172"/>
      <c r="AOS34" s="172"/>
      <c r="AOT34" s="172"/>
      <c r="AOU34" s="172"/>
      <c r="AOV34" s="172"/>
      <c r="AOW34" s="172"/>
      <c r="AOX34" s="172"/>
      <c r="AOY34" s="172"/>
      <c r="AOZ34" s="172"/>
      <c r="APA34" s="172"/>
      <c r="APB34" s="172"/>
      <c r="APC34" s="172"/>
      <c r="APD34" s="172"/>
      <c r="APE34" s="172"/>
      <c r="APF34" s="172"/>
      <c r="APG34" s="172"/>
      <c r="APH34" s="172"/>
      <c r="API34" s="172"/>
      <c r="APJ34" s="172"/>
      <c r="APK34" s="172"/>
      <c r="APL34" s="172"/>
      <c r="APM34" s="172"/>
      <c r="APN34" s="172"/>
      <c r="APO34" s="172"/>
      <c r="APP34" s="172"/>
      <c r="APQ34" s="172"/>
      <c r="APR34" s="172"/>
      <c r="APS34" s="172"/>
      <c r="APT34" s="172"/>
      <c r="APU34" s="172"/>
      <c r="APV34" s="172"/>
      <c r="APW34" s="172"/>
      <c r="APX34" s="172"/>
      <c r="APY34" s="172"/>
      <c r="APZ34" s="172"/>
      <c r="AQA34" s="172"/>
      <c r="AQB34" s="172"/>
      <c r="AQC34" s="172"/>
      <c r="AQD34" s="172"/>
      <c r="AQE34" s="172"/>
      <c r="AQF34" s="172"/>
      <c r="AQG34" s="172"/>
      <c r="AQH34" s="172"/>
      <c r="AQI34" s="172"/>
      <c r="AQJ34" s="172"/>
      <c r="AQK34" s="172"/>
      <c r="AQL34" s="172"/>
      <c r="AQM34" s="172"/>
      <c r="AQN34" s="172"/>
      <c r="AQO34" s="172"/>
      <c r="AQP34" s="172"/>
      <c r="AQQ34" s="172"/>
      <c r="AQR34" s="172"/>
      <c r="AQS34" s="172"/>
      <c r="AQT34" s="172"/>
      <c r="AQU34" s="172"/>
      <c r="AQV34" s="172"/>
      <c r="AQW34" s="172"/>
      <c r="AQX34" s="172"/>
      <c r="AQY34" s="172"/>
      <c r="AQZ34" s="172"/>
      <c r="ARA34" s="172"/>
      <c r="ARB34" s="172"/>
      <c r="ARC34" s="172"/>
      <c r="ARD34" s="172"/>
      <c r="ARE34" s="172"/>
      <c r="ARF34" s="172"/>
      <c r="ARG34" s="172"/>
      <c r="ARH34" s="172"/>
      <c r="ARI34" s="172"/>
      <c r="ARJ34" s="172"/>
      <c r="ARK34" s="172"/>
      <c r="ARL34" s="172"/>
      <c r="ARM34" s="172"/>
      <c r="ARN34" s="172"/>
      <c r="ARO34" s="172"/>
      <c r="ARP34" s="172"/>
      <c r="ARQ34" s="172"/>
      <c r="ARR34" s="172"/>
      <c r="ARS34" s="172"/>
      <c r="ART34" s="172"/>
    </row>
    <row r="35" spans="1:1164" s="257" customFormat="1">
      <c r="A35" s="222" t="s">
        <v>176</v>
      </c>
      <c r="B35" s="195" t="s">
        <v>87</v>
      </c>
      <c r="C35" s="258"/>
      <c r="D35" s="258"/>
      <c r="E35" s="198"/>
      <c r="F35" s="198"/>
      <c r="G35" s="198"/>
      <c r="H35" s="198"/>
      <c r="I35" s="198"/>
      <c r="J35" s="198"/>
      <c r="K35" s="198"/>
      <c r="L35" s="198"/>
      <c r="M35" s="198"/>
      <c r="N35" s="198"/>
      <c r="O35" s="198"/>
      <c r="P35" s="198"/>
      <c r="Q35" s="198"/>
      <c r="R35" s="198"/>
      <c r="S35" s="198"/>
      <c r="T35" s="198"/>
      <c r="U35" s="211"/>
      <c r="V35" s="211"/>
      <c r="W35" s="211"/>
      <c r="X35" s="211"/>
      <c r="Y35" s="259"/>
      <c r="Z35" s="259"/>
      <c r="AA35" s="226"/>
      <c r="AB35" s="226"/>
      <c r="AC35" s="198"/>
      <c r="AD35" s="198"/>
      <c r="AE35" s="198"/>
      <c r="AF35" s="198"/>
      <c r="AG35" s="226"/>
      <c r="AH35" s="226"/>
      <c r="AI35" s="226"/>
      <c r="AJ35" s="226"/>
      <c r="AK35" s="260"/>
      <c r="AL35" s="260"/>
      <c r="AM35" s="261"/>
      <c r="AN35" s="261"/>
      <c r="AO35" s="196"/>
      <c r="AP35" s="196"/>
      <c r="AQ35" s="196"/>
      <c r="AR35" s="196"/>
      <c r="AS35" s="196"/>
      <c r="AT35" s="196"/>
      <c r="AU35" s="226"/>
      <c r="AV35" s="226"/>
      <c r="AW35" s="198"/>
      <c r="AX35" s="198"/>
      <c r="AY35" s="198"/>
      <c r="AZ35" s="198"/>
      <c r="BA35" s="263"/>
      <c r="BB35" s="198"/>
      <c r="BC35" s="263"/>
      <c r="BD35" s="198"/>
      <c r="BE35" s="263"/>
      <c r="BF35" s="198"/>
      <c r="BG35" s="263"/>
      <c r="BH35" s="198"/>
      <c r="BI35" s="263"/>
      <c r="BJ35" s="198">
        <f t="shared" si="51"/>
        <v>0</v>
      </c>
      <c r="BK35" s="198">
        <f t="shared" si="52"/>
        <v>0</v>
      </c>
      <c r="BL35" s="172"/>
      <c r="BM35" s="13"/>
      <c r="BN35" s="231"/>
      <c r="BO35" s="231"/>
      <c r="BP35" s="172"/>
      <c r="BQ35" s="172"/>
      <c r="BR35" s="172"/>
      <c r="BS35" s="172"/>
      <c r="BT35" s="172"/>
      <c r="BU35" s="172"/>
      <c r="BV35" s="172"/>
      <c r="BW35" s="172"/>
      <c r="BX35" s="172"/>
      <c r="BY35" s="172"/>
      <c r="BZ35" s="172"/>
      <c r="CA35" s="172"/>
      <c r="CB35" s="172"/>
      <c r="CC35" s="172"/>
      <c r="CD35" s="172"/>
      <c r="CE35" s="172"/>
      <c r="CF35" s="172"/>
      <c r="CG35" s="172"/>
      <c r="CH35" s="172"/>
      <c r="CI35" s="172"/>
      <c r="CJ35" s="172"/>
      <c r="CK35" s="172"/>
      <c r="CL35" s="172"/>
      <c r="CM35" s="172"/>
      <c r="CN35" s="172"/>
      <c r="CO35" s="172"/>
      <c r="CP35" s="172"/>
      <c r="CQ35" s="172"/>
      <c r="CR35" s="172"/>
      <c r="CS35" s="172"/>
      <c r="CT35" s="172"/>
      <c r="CU35" s="172"/>
      <c r="CV35" s="172"/>
      <c r="CW35" s="172"/>
      <c r="CX35" s="172"/>
      <c r="CY35" s="172"/>
      <c r="CZ35" s="172"/>
      <c r="DA35" s="172"/>
      <c r="DB35" s="172"/>
      <c r="DC35" s="172"/>
      <c r="DD35" s="172"/>
      <c r="DE35" s="172"/>
      <c r="DF35" s="172"/>
      <c r="DG35" s="172"/>
      <c r="DH35" s="172"/>
      <c r="DI35" s="172"/>
      <c r="DJ35" s="172"/>
      <c r="DK35" s="172"/>
      <c r="DL35" s="172"/>
      <c r="DM35" s="172"/>
      <c r="DN35" s="172"/>
      <c r="DO35" s="172"/>
      <c r="DP35" s="172"/>
      <c r="DQ35" s="172"/>
      <c r="DR35" s="172"/>
      <c r="DS35" s="172"/>
      <c r="DT35" s="172"/>
      <c r="DU35" s="172"/>
      <c r="DV35" s="172"/>
      <c r="DW35" s="172"/>
      <c r="DX35" s="172"/>
      <c r="DY35" s="172"/>
      <c r="DZ35" s="172"/>
      <c r="EA35" s="172"/>
      <c r="EB35" s="172"/>
      <c r="EC35" s="172"/>
      <c r="ED35" s="172"/>
      <c r="EE35" s="172"/>
      <c r="EF35" s="172"/>
      <c r="EG35" s="172"/>
      <c r="EH35" s="172"/>
      <c r="EI35" s="172"/>
      <c r="EJ35" s="172"/>
      <c r="EK35" s="172"/>
      <c r="EL35" s="172"/>
      <c r="EM35" s="172"/>
      <c r="EN35" s="172"/>
      <c r="EO35" s="172"/>
      <c r="EP35" s="172"/>
      <c r="EQ35" s="172"/>
      <c r="ER35" s="172"/>
      <c r="ES35" s="172"/>
      <c r="ET35" s="172"/>
      <c r="EU35" s="172"/>
      <c r="EV35" s="172"/>
      <c r="EW35" s="172"/>
      <c r="EX35" s="172"/>
      <c r="EY35" s="172"/>
      <c r="EZ35" s="172"/>
      <c r="FA35" s="172"/>
      <c r="FB35" s="172"/>
      <c r="FC35" s="172"/>
      <c r="FD35" s="172"/>
      <c r="FE35" s="172"/>
      <c r="FF35" s="172"/>
      <c r="FG35" s="172"/>
      <c r="FH35" s="172"/>
      <c r="FI35" s="172"/>
      <c r="FJ35" s="172"/>
      <c r="FK35" s="172"/>
      <c r="FL35" s="172"/>
      <c r="FM35" s="172"/>
      <c r="FN35" s="172"/>
      <c r="FO35" s="172"/>
      <c r="FP35" s="172"/>
      <c r="FQ35" s="172"/>
      <c r="FR35" s="172"/>
      <c r="FS35" s="172"/>
      <c r="FT35" s="172"/>
      <c r="FU35" s="172"/>
      <c r="FV35" s="172"/>
      <c r="FW35" s="172"/>
      <c r="FX35" s="172"/>
      <c r="FY35" s="172"/>
      <c r="FZ35" s="172"/>
      <c r="GA35" s="172"/>
      <c r="GB35" s="172"/>
      <c r="GC35" s="172"/>
      <c r="GD35" s="172"/>
      <c r="GE35" s="172"/>
      <c r="GF35" s="172"/>
      <c r="GG35" s="172"/>
      <c r="GH35" s="172"/>
      <c r="GI35" s="172"/>
      <c r="GJ35" s="172"/>
      <c r="GK35" s="172"/>
      <c r="GL35" s="172"/>
      <c r="GM35" s="172"/>
      <c r="GN35" s="172"/>
      <c r="GO35" s="172"/>
      <c r="GP35" s="172"/>
      <c r="GQ35" s="172"/>
      <c r="GR35" s="172"/>
      <c r="GS35" s="172"/>
      <c r="GT35" s="172"/>
      <c r="GU35" s="172"/>
      <c r="GV35" s="172"/>
      <c r="GW35" s="172"/>
      <c r="GX35" s="172"/>
      <c r="GY35" s="172"/>
      <c r="GZ35" s="172"/>
      <c r="HA35" s="172"/>
      <c r="HB35" s="172"/>
      <c r="HC35" s="172"/>
      <c r="HD35" s="172"/>
      <c r="HE35" s="172"/>
      <c r="HF35" s="172"/>
      <c r="HG35" s="172"/>
      <c r="HH35" s="172"/>
      <c r="HI35" s="172"/>
      <c r="HJ35" s="172"/>
      <c r="HK35" s="172"/>
      <c r="HL35" s="172"/>
      <c r="HM35" s="172"/>
      <c r="HN35" s="172"/>
      <c r="HO35" s="172"/>
      <c r="HP35" s="172"/>
      <c r="HQ35" s="172"/>
      <c r="HR35" s="172"/>
      <c r="HS35" s="172"/>
      <c r="HT35" s="172"/>
      <c r="HU35" s="172"/>
      <c r="HV35" s="172"/>
      <c r="HW35" s="172"/>
      <c r="HX35" s="172"/>
      <c r="HY35" s="172"/>
      <c r="HZ35" s="172"/>
      <c r="IA35" s="172"/>
      <c r="IB35" s="172"/>
      <c r="IC35" s="172"/>
      <c r="ID35" s="172"/>
      <c r="IE35" s="172"/>
      <c r="IF35" s="172"/>
      <c r="IG35" s="172"/>
      <c r="IH35" s="172"/>
      <c r="II35" s="172"/>
      <c r="IJ35" s="172"/>
      <c r="IK35" s="172"/>
      <c r="IL35" s="172"/>
      <c r="IM35" s="172"/>
      <c r="IN35" s="172"/>
      <c r="IO35" s="172"/>
      <c r="IP35" s="172"/>
      <c r="IQ35" s="172"/>
      <c r="IR35" s="172"/>
      <c r="IS35" s="172"/>
      <c r="IT35" s="172"/>
      <c r="IU35" s="172"/>
      <c r="IV35" s="172"/>
      <c r="IW35" s="172"/>
      <c r="IX35" s="172"/>
      <c r="IY35" s="172"/>
      <c r="IZ35" s="172"/>
      <c r="JA35" s="172"/>
      <c r="JB35" s="172"/>
      <c r="JC35" s="172"/>
      <c r="JD35" s="172"/>
      <c r="JE35" s="172"/>
      <c r="JF35" s="172"/>
      <c r="JG35" s="172"/>
      <c r="JH35" s="172"/>
      <c r="JI35" s="172"/>
      <c r="JJ35" s="172"/>
      <c r="JK35" s="172"/>
      <c r="JL35" s="172"/>
      <c r="JM35" s="172"/>
      <c r="JN35" s="172"/>
      <c r="JO35" s="172"/>
      <c r="JP35" s="172"/>
      <c r="JQ35" s="172"/>
      <c r="JR35" s="172"/>
      <c r="JS35" s="172"/>
      <c r="JT35" s="172"/>
      <c r="JU35" s="172"/>
      <c r="JV35" s="172"/>
      <c r="JW35" s="172"/>
      <c r="JX35" s="172"/>
      <c r="JY35" s="172"/>
      <c r="JZ35" s="172"/>
      <c r="KA35" s="172"/>
      <c r="KB35" s="172"/>
      <c r="KC35" s="172"/>
      <c r="KD35" s="172"/>
      <c r="KE35" s="172"/>
      <c r="KF35" s="172"/>
      <c r="KG35" s="172"/>
      <c r="KH35" s="172"/>
      <c r="KI35" s="172"/>
      <c r="KJ35" s="172"/>
      <c r="KK35" s="172"/>
      <c r="KL35" s="172"/>
      <c r="KM35" s="172"/>
      <c r="KN35" s="172"/>
      <c r="KO35" s="172"/>
      <c r="KP35" s="172"/>
      <c r="KQ35" s="172"/>
      <c r="KR35" s="172"/>
      <c r="KS35" s="172"/>
      <c r="KT35" s="172"/>
      <c r="KU35" s="172"/>
      <c r="KV35" s="172"/>
      <c r="KW35" s="172"/>
      <c r="KX35" s="172"/>
      <c r="KY35" s="172"/>
      <c r="KZ35" s="172"/>
      <c r="LA35" s="172"/>
      <c r="LB35" s="172"/>
      <c r="LC35" s="172"/>
      <c r="LD35" s="172"/>
      <c r="LE35" s="172"/>
      <c r="LF35" s="172"/>
      <c r="LG35" s="172"/>
      <c r="LH35" s="172"/>
      <c r="LI35" s="172"/>
      <c r="LJ35" s="172"/>
      <c r="LK35" s="172"/>
      <c r="LL35" s="172"/>
      <c r="LM35" s="172"/>
      <c r="LN35" s="172"/>
      <c r="LO35" s="172"/>
      <c r="LP35" s="172"/>
      <c r="LQ35" s="172"/>
      <c r="LR35" s="172"/>
      <c r="LS35" s="172"/>
      <c r="LT35" s="172"/>
      <c r="LU35" s="172"/>
      <c r="LV35" s="172"/>
      <c r="LW35" s="172"/>
      <c r="LX35" s="172"/>
      <c r="LY35" s="172"/>
      <c r="LZ35" s="172"/>
      <c r="MA35" s="172"/>
      <c r="MB35" s="172"/>
      <c r="MC35" s="172"/>
      <c r="MD35" s="172"/>
      <c r="ME35" s="172"/>
      <c r="MF35" s="172"/>
      <c r="MG35" s="172"/>
      <c r="MH35" s="172"/>
      <c r="MI35" s="172"/>
      <c r="MJ35" s="172"/>
      <c r="MK35" s="172"/>
      <c r="ML35" s="172"/>
      <c r="MM35" s="172"/>
      <c r="MN35" s="172"/>
      <c r="MO35" s="172"/>
      <c r="MP35" s="172"/>
      <c r="MQ35" s="172"/>
      <c r="MR35" s="172"/>
      <c r="MS35" s="172"/>
      <c r="MT35" s="172"/>
      <c r="MU35" s="172"/>
      <c r="MV35" s="172"/>
      <c r="MW35" s="172"/>
      <c r="MX35" s="172"/>
      <c r="MY35" s="172"/>
      <c r="MZ35" s="172"/>
      <c r="NA35" s="172"/>
      <c r="NB35" s="172"/>
      <c r="NC35" s="172"/>
      <c r="ND35" s="172"/>
      <c r="NE35" s="172"/>
      <c r="NF35" s="172"/>
      <c r="NG35" s="172"/>
      <c r="NH35" s="172"/>
      <c r="NI35" s="172"/>
      <c r="NJ35" s="172"/>
      <c r="NK35" s="172"/>
      <c r="NL35" s="172"/>
      <c r="NM35" s="172"/>
      <c r="NN35" s="172"/>
      <c r="NO35" s="172"/>
      <c r="NP35" s="172"/>
      <c r="NQ35" s="172"/>
      <c r="NR35" s="172"/>
      <c r="NS35" s="172"/>
      <c r="NT35" s="172"/>
      <c r="NU35" s="172"/>
      <c r="NV35" s="172"/>
      <c r="NW35" s="172"/>
      <c r="NX35" s="172"/>
      <c r="NY35" s="172"/>
      <c r="NZ35" s="172"/>
      <c r="OA35" s="172"/>
      <c r="OB35" s="172"/>
      <c r="OC35" s="172"/>
      <c r="OD35" s="172"/>
      <c r="OE35" s="172"/>
      <c r="OF35" s="172"/>
      <c r="OG35" s="172"/>
      <c r="OH35" s="172"/>
      <c r="OI35" s="172"/>
      <c r="OJ35" s="172"/>
      <c r="OK35" s="172"/>
      <c r="OL35" s="172"/>
      <c r="OM35" s="172"/>
      <c r="ON35" s="172"/>
      <c r="OO35" s="172"/>
      <c r="OP35" s="172"/>
      <c r="OQ35" s="172"/>
      <c r="OR35" s="172"/>
      <c r="OS35" s="172"/>
      <c r="OT35" s="172"/>
      <c r="OU35" s="172"/>
      <c r="OV35" s="172"/>
      <c r="OW35" s="172"/>
      <c r="OX35" s="172"/>
      <c r="OY35" s="172"/>
      <c r="OZ35" s="172"/>
      <c r="PA35" s="172"/>
      <c r="PB35" s="172"/>
      <c r="PC35" s="172"/>
      <c r="PD35" s="172"/>
      <c r="PE35" s="172"/>
      <c r="PF35" s="172"/>
      <c r="PG35" s="172"/>
      <c r="PH35" s="172"/>
      <c r="PI35" s="172"/>
      <c r="PJ35" s="172"/>
      <c r="PK35" s="172"/>
      <c r="PL35" s="172"/>
      <c r="PM35" s="172"/>
      <c r="PN35" s="172"/>
      <c r="PO35" s="172"/>
      <c r="PP35" s="172"/>
      <c r="PQ35" s="172"/>
      <c r="PR35" s="172"/>
      <c r="PS35" s="172"/>
      <c r="PT35" s="172"/>
      <c r="PU35" s="172"/>
      <c r="PV35" s="172"/>
      <c r="PW35" s="172"/>
      <c r="PX35" s="172"/>
      <c r="PY35" s="172"/>
      <c r="PZ35" s="172"/>
      <c r="QA35" s="172"/>
      <c r="QB35" s="172"/>
      <c r="QC35" s="172"/>
      <c r="QD35" s="172"/>
      <c r="QE35" s="172"/>
      <c r="QF35" s="172"/>
      <c r="QG35" s="172"/>
      <c r="QH35" s="172"/>
      <c r="QI35" s="172"/>
      <c r="QJ35" s="172"/>
      <c r="QK35" s="172"/>
      <c r="QL35" s="172"/>
      <c r="QM35" s="172"/>
      <c r="QN35" s="172"/>
      <c r="QO35" s="172"/>
      <c r="QP35" s="172"/>
      <c r="QQ35" s="172"/>
      <c r="QR35" s="172"/>
      <c r="QS35" s="172"/>
      <c r="QT35" s="172"/>
      <c r="QU35" s="172"/>
      <c r="QV35" s="172"/>
      <c r="QW35" s="172"/>
      <c r="QX35" s="172"/>
      <c r="QY35" s="172"/>
      <c r="QZ35" s="172"/>
      <c r="RA35" s="172"/>
      <c r="RB35" s="172"/>
      <c r="RC35" s="172"/>
      <c r="RD35" s="172"/>
      <c r="RE35" s="172"/>
      <c r="RF35" s="172"/>
      <c r="RG35" s="172"/>
      <c r="RH35" s="172"/>
      <c r="RI35" s="172"/>
      <c r="RJ35" s="172"/>
      <c r="RK35" s="172"/>
      <c r="RL35" s="172"/>
      <c r="RM35" s="172"/>
      <c r="RN35" s="172"/>
      <c r="RO35" s="172"/>
      <c r="RP35" s="172"/>
      <c r="RQ35" s="172"/>
      <c r="RR35" s="172"/>
      <c r="RS35" s="172"/>
      <c r="RT35" s="172"/>
      <c r="RU35" s="172"/>
      <c r="RV35" s="172"/>
      <c r="RW35" s="172"/>
      <c r="RX35" s="172"/>
      <c r="RY35" s="172"/>
      <c r="RZ35" s="172"/>
      <c r="SA35" s="172"/>
      <c r="SB35" s="172"/>
      <c r="SC35" s="172"/>
      <c r="SD35" s="172"/>
      <c r="SE35" s="172"/>
      <c r="SF35" s="172"/>
      <c r="SG35" s="172"/>
      <c r="SH35" s="172"/>
      <c r="SI35" s="172"/>
      <c r="SJ35" s="172"/>
      <c r="SK35" s="172"/>
      <c r="SL35" s="172"/>
      <c r="SM35" s="172"/>
      <c r="SN35" s="172"/>
      <c r="SO35" s="172"/>
      <c r="SP35" s="172"/>
      <c r="SQ35" s="172"/>
      <c r="SR35" s="172"/>
      <c r="SS35" s="172"/>
      <c r="ST35" s="172"/>
      <c r="SU35" s="172"/>
      <c r="SV35" s="172"/>
      <c r="SW35" s="172"/>
      <c r="SX35" s="172"/>
      <c r="SY35" s="172"/>
      <c r="SZ35" s="172"/>
      <c r="TA35" s="172"/>
      <c r="TB35" s="172"/>
      <c r="TC35" s="172"/>
      <c r="TD35" s="172"/>
      <c r="TE35" s="172"/>
      <c r="TF35" s="172"/>
      <c r="TG35" s="172"/>
      <c r="TH35" s="172"/>
      <c r="TI35" s="172"/>
      <c r="TJ35" s="172"/>
      <c r="TK35" s="172"/>
      <c r="TL35" s="172"/>
      <c r="TM35" s="172"/>
      <c r="TN35" s="172"/>
      <c r="TO35" s="172"/>
      <c r="TP35" s="172"/>
      <c r="TQ35" s="172"/>
      <c r="TR35" s="172"/>
      <c r="TS35" s="172"/>
      <c r="TT35" s="172"/>
      <c r="TU35" s="172"/>
      <c r="TV35" s="172"/>
      <c r="TW35" s="172"/>
      <c r="TX35" s="172"/>
      <c r="TY35" s="172"/>
      <c r="TZ35" s="172"/>
      <c r="UA35" s="172"/>
      <c r="UB35" s="172"/>
      <c r="UC35" s="172"/>
      <c r="UD35" s="172"/>
      <c r="UE35" s="172"/>
      <c r="UF35" s="172"/>
      <c r="UG35" s="172"/>
      <c r="UH35" s="172"/>
      <c r="UI35" s="172"/>
      <c r="UJ35" s="172"/>
      <c r="UK35" s="172"/>
      <c r="UL35" s="172"/>
      <c r="UM35" s="172"/>
      <c r="UN35" s="172"/>
      <c r="UO35" s="172"/>
      <c r="UP35" s="172"/>
      <c r="UQ35" s="172"/>
      <c r="UR35" s="172"/>
      <c r="US35" s="172"/>
      <c r="UT35" s="172"/>
      <c r="UU35" s="172"/>
      <c r="UV35" s="172"/>
      <c r="UW35" s="172"/>
      <c r="UX35" s="172"/>
      <c r="UY35" s="172"/>
      <c r="UZ35" s="172"/>
      <c r="VA35" s="172"/>
      <c r="VB35" s="172"/>
      <c r="VC35" s="172"/>
      <c r="VD35" s="172"/>
      <c r="VE35" s="172"/>
      <c r="VF35" s="172"/>
      <c r="VG35" s="172"/>
      <c r="VH35" s="172"/>
      <c r="VI35" s="172"/>
      <c r="VJ35" s="172"/>
      <c r="VK35" s="172"/>
      <c r="VL35" s="172"/>
      <c r="VM35" s="172"/>
      <c r="VN35" s="172"/>
      <c r="VO35" s="172"/>
      <c r="VP35" s="172"/>
      <c r="VQ35" s="172"/>
      <c r="VR35" s="172"/>
      <c r="VS35" s="172"/>
      <c r="VT35" s="172"/>
      <c r="VU35" s="172"/>
      <c r="VV35" s="172"/>
      <c r="VW35" s="172"/>
      <c r="VX35" s="172"/>
      <c r="VY35" s="172"/>
      <c r="VZ35" s="172"/>
      <c r="WA35" s="172"/>
      <c r="WB35" s="172"/>
      <c r="WC35" s="172"/>
      <c r="WD35" s="172"/>
      <c r="WE35" s="172"/>
      <c r="WF35" s="172"/>
      <c r="WG35" s="172"/>
      <c r="WH35" s="172"/>
      <c r="WI35" s="172"/>
      <c r="WJ35" s="172"/>
      <c r="WK35" s="172"/>
      <c r="WL35" s="172"/>
      <c r="WM35" s="172"/>
      <c r="WN35" s="172"/>
      <c r="WO35" s="172"/>
      <c r="WP35" s="172"/>
      <c r="WQ35" s="172"/>
      <c r="WR35" s="172"/>
      <c r="WS35" s="172"/>
      <c r="WT35" s="172"/>
      <c r="WU35" s="172"/>
      <c r="WV35" s="172"/>
      <c r="WW35" s="172"/>
      <c r="WX35" s="172"/>
      <c r="WY35" s="172"/>
      <c r="WZ35" s="172"/>
      <c r="XA35" s="172"/>
      <c r="XB35" s="172"/>
      <c r="XC35" s="172"/>
      <c r="XD35" s="172"/>
      <c r="XE35" s="172"/>
      <c r="XF35" s="172"/>
      <c r="XG35" s="172"/>
      <c r="XH35" s="172"/>
      <c r="XI35" s="172"/>
      <c r="XJ35" s="172"/>
      <c r="XK35" s="172"/>
      <c r="XL35" s="172"/>
      <c r="XM35" s="172"/>
      <c r="XN35" s="172"/>
      <c r="XO35" s="172"/>
      <c r="XP35" s="172"/>
      <c r="XQ35" s="172"/>
      <c r="XR35" s="172"/>
      <c r="XS35" s="172"/>
      <c r="XT35" s="172"/>
      <c r="XU35" s="172"/>
      <c r="XV35" s="172"/>
      <c r="XW35" s="172"/>
      <c r="XX35" s="172"/>
      <c r="XY35" s="172"/>
      <c r="XZ35" s="172"/>
      <c r="YA35" s="172"/>
      <c r="YB35" s="172"/>
      <c r="YC35" s="172"/>
      <c r="YD35" s="172"/>
      <c r="YE35" s="172"/>
      <c r="YF35" s="172"/>
      <c r="YG35" s="172"/>
      <c r="YH35" s="172"/>
      <c r="YI35" s="172"/>
      <c r="YJ35" s="172"/>
      <c r="YK35" s="172"/>
      <c r="YL35" s="172"/>
      <c r="YM35" s="172"/>
      <c r="YN35" s="172"/>
      <c r="YO35" s="172"/>
      <c r="YP35" s="172"/>
      <c r="YQ35" s="172"/>
      <c r="YR35" s="172"/>
      <c r="YS35" s="172"/>
      <c r="YT35" s="172"/>
      <c r="YU35" s="172"/>
      <c r="YV35" s="172"/>
      <c r="YW35" s="172"/>
      <c r="YX35" s="172"/>
      <c r="YY35" s="172"/>
      <c r="YZ35" s="172"/>
      <c r="ZA35" s="172"/>
      <c r="ZB35" s="172"/>
      <c r="ZC35" s="172"/>
      <c r="ZD35" s="172"/>
      <c r="ZE35" s="172"/>
      <c r="ZF35" s="172"/>
      <c r="ZG35" s="172"/>
      <c r="ZH35" s="172"/>
      <c r="ZI35" s="172"/>
      <c r="ZJ35" s="172"/>
      <c r="ZK35" s="172"/>
      <c r="ZL35" s="172"/>
      <c r="ZM35" s="172"/>
      <c r="ZN35" s="172"/>
      <c r="ZO35" s="172"/>
      <c r="ZP35" s="172"/>
      <c r="ZQ35" s="172"/>
      <c r="ZR35" s="172"/>
      <c r="ZS35" s="172"/>
      <c r="ZT35" s="172"/>
      <c r="ZU35" s="172"/>
      <c r="ZV35" s="172"/>
      <c r="ZW35" s="172"/>
      <c r="ZX35" s="172"/>
      <c r="ZY35" s="172"/>
      <c r="ZZ35" s="172"/>
      <c r="AAA35" s="172"/>
      <c r="AAB35" s="172"/>
      <c r="AAC35" s="172"/>
      <c r="AAD35" s="172"/>
      <c r="AAE35" s="172"/>
      <c r="AAF35" s="172"/>
      <c r="AAG35" s="172"/>
      <c r="AAH35" s="172"/>
      <c r="AAI35" s="172"/>
      <c r="AAJ35" s="172"/>
      <c r="AAK35" s="172"/>
      <c r="AAL35" s="172"/>
      <c r="AAM35" s="172"/>
      <c r="AAN35" s="172"/>
      <c r="AAO35" s="172"/>
      <c r="AAP35" s="172"/>
      <c r="AAQ35" s="172"/>
      <c r="AAR35" s="172"/>
      <c r="AAS35" s="172"/>
      <c r="AAT35" s="172"/>
      <c r="AAU35" s="172"/>
      <c r="AAV35" s="172"/>
      <c r="AAW35" s="172"/>
      <c r="AAX35" s="172"/>
      <c r="AAY35" s="172"/>
      <c r="AAZ35" s="172"/>
      <c r="ABA35" s="172"/>
      <c r="ABB35" s="172"/>
      <c r="ABC35" s="172"/>
      <c r="ABD35" s="172"/>
      <c r="ABE35" s="172"/>
      <c r="ABF35" s="172"/>
      <c r="ABG35" s="172"/>
      <c r="ABH35" s="172"/>
      <c r="ABI35" s="172"/>
      <c r="ABJ35" s="172"/>
      <c r="ABK35" s="172"/>
      <c r="ABL35" s="172"/>
      <c r="ABM35" s="172"/>
      <c r="ABN35" s="172"/>
      <c r="ABO35" s="172"/>
      <c r="ABP35" s="172"/>
      <c r="ABQ35" s="172"/>
      <c r="ABR35" s="172"/>
      <c r="ABS35" s="172"/>
      <c r="ABT35" s="172"/>
      <c r="ABU35" s="172"/>
      <c r="ABV35" s="172"/>
      <c r="ABW35" s="172"/>
      <c r="ABX35" s="172"/>
      <c r="ABY35" s="172"/>
      <c r="ABZ35" s="172"/>
      <c r="ACA35" s="172"/>
      <c r="ACB35" s="172"/>
      <c r="ACC35" s="172"/>
      <c r="ACD35" s="172"/>
      <c r="ACE35" s="172"/>
      <c r="ACF35" s="172"/>
      <c r="ACG35" s="172"/>
      <c r="ACH35" s="172"/>
      <c r="ACI35" s="172"/>
      <c r="ACJ35" s="172"/>
      <c r="ACK35" s="172"/>
      <c r="ACL35" s="172"/>
      <c r="ACM35" s="172"/>
      <c r="ACN35" s="172"/>
      <c r="ACO35" s="172"/>
      <c r="ACP35" s="172"/>
      <c r="ACQ35" s="172"/>
      <c r="ACR35" s="172"/>
      <c r="ACS35" s="172"/>
      <c r="ACT35" s="172"/>
      <c r="ACU35" s="172"/>
      <c r="ACV35" s="172"/>
      <c r="ACW35" s="172"/>
      <c r="ACX35" s="172"/>
      <c r="ACY35" s="172"/>
      <c r="ACZ35" s="172"/>
      <c r="ADA35" s="172"/>
      <c r="ADB35" s="172"/>
      <c r="ADC35" s="172"/>
      <c r="ADD35" s="172"/>
      <c r="ADE35" s="172"/>
      <c r="ADF35" s="172"/>
      <c r="ADG35" s="172"/>
      <c r="ADH35" s="172"/>
      <c r="ADI35" s="172"/>
      <c r="ADJ35" s="172"/>
      <c r="ADK35" s="172"/>
      <c r="ADL35" s="172"/>
      <c r="ADM35" s="172"/>
      <c r="ADN35" s="172"/>
      <c r="ADO35" s="172"/>
      <c r="ADP35" s="172"/>
      <c r="ADQ35" s="172"/>
      <c r="ADR35" s="172"/>
      <c r="ADS35" s="172"/>
      <c r="ADT35" s="172"/>
      <c r="ADU35" s="172"/>
      <c r="ADV35" s="172"/>
      <c r="ADW35" s="172"/>
      <c r="ADX35" s="172"/>
      <c r="ADY35" s="172"/>
      <c r="ADZ35" s="172"/>
      <c r="AEA35" s="172"/>
      <c r="AEB35" s="172"/>
      <c r="AEC35" s="172"/>
      <c r="AED35" s="172"/>
      <c r="AEE35" s="172"/>
      <c r="AEF35" s="172"/>
      <c r="AEG35" s="172"/>
      <c r="AEH35" s="172"/>
      <c r="AEI35" s="172"/>
      <c r="AEJ35" s="172"/>
      <c r="AEK35" s="172"/>
      <c r="AEL35" s="172"/>
      <c r="AEM35" s="172"/>
      <c r="AEN35" s="172"/>
      <c r="AEO35" s="172"/>
      <c r="AEP35" s="172"/>
      <c r="AEQ35" s="172"/>
      <c r="AER35" s="172"/>
      <c r="AES35" s="172"/>
      <c r="AET35" s="172"/>
      <c r="AEU35" s="172"/>
      <c r="AEV35" s="172"/>
      <c r="AEW35" s="172"/>
      <c r="AEX35" s="172"/>
      <c r="AEY35" s="172"/>
      <c r="AEZ35" s="172"/>
      <c r="AFA35" s="172"/>
      <c r="AFB35" s="172"/>
      <c r="AFC35" s="172"/>
      <c r="AFD35" s="172"/>
      <c r="AFE35" s="172"/>
      <c r="AFF35" s="172"/>
      <c r="AFG35" s="172"/>
      <c r="AFH35" s="172"/>
      <c r="AFI35" s="172"/>
      <c r="AFJ35" s="172"/>
      <c r="AFK35" s="172"/>
      <c r="AFL35" s="172"/>
      <c r="AFM35" s="172"/>
      <c r="AFN35" s="172"/>
      <c r="AFO35" s="172"/>
      <c r="AFP35" s="172"/>
      <c r="AFQ35" s="172"/>
      <c r="AFR35" s="172"/>
      <c r="AFS35" s="172"/>
      <c r="AFT35" s="172"/>
      <c r="AFU35" s="172"/>
      <c r="AFV35" s="172"/>
      <c r="AFW35" s="172"/>
      <c r="AFX35" s="172"/>
      <c r="AFY35" s="172"/>
      <c r="AFZ35" s="172"/>
      <c r="AGA35" s="172"/>
      <c r="AGB35" s="172"/>
      <c r="AGC35" s="172"/>
      <c r="AGD35" s="172"/>
      <c r="AGE35" s="172"/>
      <c r="AGF35" s="172"/>
      <c r="AGG35" s="172"/>
      <c r="AGH35" s="172"/>
      <c r="AGI35" s="172"/>
      <c r="AGJ35" s="172"/>
      <c r="AGK35" s="172"/>
      <c r="AGL35" s="172"/>
      <c r="AGM35" s="172"/>
      <c r="AGN35" s="172"/>
      <c r="AGO35" s="172"/>
      <c r="AGP35" s="172"/>
      <c r="AGQ35" s="172"/>
      <c r="AGR35" s="172"/>
      <c r="AGS35" s="172"/>
      <c r="AGT35" s="172"/>
      <c r="AGU35" s="172"/>
      <c r="AGV35" s="172"/>
      <c r="AGW35" s="172"/>
      <c r="AGX35" s="172"/>
      <c r="AGY35" s="172"/>
      <c r="AGZ35" s="172"/>
      <c r="AHA35" s="172"/>
      <c r="AHB35" s="172"/>
      <c r="AHC35" s="172"/>
      <c r="AHD35" s="172"/>
      <c r="AHE35" s="172"/>
      <c r="AHF35" s="172"/>
      <c r="AHG35" s="172"/>
      <c r="AHH35" s="172"/>
      <c r="AHI35" s="172"/>
      <c r="AHJ35" s="172"/>
      <c r="AHK35" s="172"/>
      <c r="AHL35" s="172"/>
      <c r="AHM35" s="172"/>
      <c r="AHN35" s="172"/>
      <c r="AHO35" s="172"/>
      <c r="AHP35" s="172"/>
      <c r="AHQ35" s="172"/>
      <c r="AHR35" s="172"/>
      <c r="AHS35" s="172"/>
      <c r="AHT35" s="172"/>
      <c r="AHU35" s="172"/>
      <c r="AHV35" s="172"/>
      <c r="AHW35" s="172"/>
      <c r="AHX35" s="172"/>
      <c r="AHY35" s="172"/>
      <c r="AHZ35" s="172"/>
      <c r="AIA35" s="172"/>
      <c r="AIB35" s="172"/>
      <c r="AIC35" s="172"/>
      <c r="AID35" s="172"/>
      <c r="AIE35" s="172"/>
      <c r="AIF35" s="172"/>
      <c r="AIG35" s="172"/>
      <c r="AIH35" s="172"/>
      <c r="AII35" s="172"/>
      <c r="AIJ35" s="172"/>
      <c r="AIK35" s="172"/>
      <c r="AIL35" s="172"/>
      <c r="AIM35" s="172"/>
      <c r="AIN35" s="172"/>
      <c r="AIO35" s="172"/>
      <c r="AIP35" s="172"/>
      <c r="AIQ35" s="172"/>
      <c r="AIR35" s="172"/>
      <c r="AIS35" s="172"/>
      <c r="AIT35" s="172"/>
      <c r="AIU35" s="172"/>
      <c r="AIV35" s="172"/>
      <c r="AIW35" s="172"/>
      <c r="AIX35" s="172"/>
      <c r="AIY35" s="172"/>
      <c r="AIZ35" s="172"/>
      <c r="AJA35" s="172"/>
      <c r="AJB35" s="172"/>
      <c r="AJC35" s="172"/>
      <c r="AJD35" s="172"/>
      <c r="AJE35" s="172"/>
      <c r="AJF35" s="172"/>
      <c r="AJG35" s="172"/>
      <c r="AJH35" s="172"/>
      <c r="AJI35" s="172"/>
      <c r="AJJ35" s="172"/>
      <c r="AJK35" s="172"/>
      <c r="AJL35" s="172"/>
      <c r="AJM35" s="172"/>
      <c r="AJN35" s="172"/>
      <c r="AJO35" s="172"/>
      <c r="AJP35" s="172"/>
      <c r="AJQ35" s="172"/>
      <c r="AJR35" s="172"/>
      <c r="AJS35" s="172"/>
      <c r="AJT35" s="172"/>
      <c r="AJU35" s="172"/>
      <c r="AJV35" s="172"/>
      <c r="AJW35" s="172"/>
      <c r="AJX35" s="172"/>
      <c r="AJY35" s="172"/>
      <c r="AJZ35" s="172"/>
      <c r="AKA35" s="172"/>
      <c r="AKB35" s="172"/>
      <c r="AKC35" s="172"/>
      <c r="AKD35" s="172"/>
      <c r="AKE35" s="172"/>
      <c r="AKF35" s="172"/>
      <c r="AKG35" s="172"/>
      <c r="AKH35" s="172"/>
      <c r="AKI35" s="172"/>
      <c r="AKJ35" s="172"/>
      <c r="AKK35" s="172"/>
      <c r="AKL35" s="172"/>
      <c r="AKM35" s="172"/>
      <c r="AKN35" s="172"/>
      <c r="AKO35" s="172"/>
      <c r="AKP35" s="172"/>
      <c r="AKQ35" s="172"/>
      <c r="AKR35" s="172"/>
      <c r="AKS35" s="172"/>
      <c r="AKT35" s="172"/>
      <c r="AKU35" s="172"/>
      <c r="AKV35" s="172"/>
      <c r="AKW35" s="172"/>
      <c r="AKX35" s="172"/>
      <c r="AKY35" s="172"/>
      <c r="AKZ35" s="172"/>
      <c r="ALA35" s="172"/>
      <c r="ALB35" s="172"/>
      <c r="ALC35" s="172"/>
      <c r="ALD35" s="172"/>
      <c r="ALE35" s="172"/>
      <c r="ALF35" s="172"/>
      <c r="ALG35" s="172"/>
      <c r="ALH35" s="172"/>
      <c r="ALI35" s="172"/>
      <c r="ALJ35" s="172"/>
      <c r="ALK35" s="172"/>
      <c r="ALL35" s="172"/>
      <c r="ALM35" s="172"/>
      <c r="ALN35" s="172"/>
      <c r="ALO35" s="172"/>
      <c r="ALP35" s="172"/>
      <c r="ALQ35" s="172"/>
      <c r="ALR35" s="172"/>
      <c r="ALS35" s="172"/>
      <c r="ALT35" s="172"/>
      <c r="ALU35" s="172"/>
      <c r="ALV35" s="172"/>
      <c r="ALW35" s="172"/>
      <c r="ALX35" s="172"/>
      <c r="ALY35" s="172"/>
      <c r="ALZ35" s="172"/>
      <c r="AMA35" s="172"/>
      <c r="AMB35" s="172"/>
      <c r="AMC35" s="172"/>
      <c r="AMD35" s="172"/>
      <c r="AME35" s="172"/>
      <c r="AMF35" s="172"/>
      <c r="AMG35" s="172"/>
      <c r="AMH35" s="172"/>
      <c r="AMI35" s="172"/>
      <c r="AMJ35" s="172"/>
      <c r="AMK35" s="172"/>
      <c r="AML35" s="172"/>
      <c r="AMM35" s="172"/>
      <c r="AMN35" s="172"/>
      <c r="AMO35" s="172"/>
      <c r="AMP35" s="172"/>
      <c r="AMQ35" s="172"/>
      <c r="AMR35" s="172"/>
      <c r="AMS35" s="172"/>
      <c r="AMT35" s="172"/>
      <c r="AMU35" s="172"/>
      <c r="AMV35" s="172"/>
      <c r="AMW35" s="172"/>
      <c r="AMX35" s="172"/>
      <c r="AMY35" s="172"/>
      <c r="AMZ35" s="172"/>
      <c r="ANA35" s="172"/>
      <c r="ANB35" s="172"/>
      <c r="ANC35" s="172"/>
      <c r="AND35" s="172"/>
      <c r="ANE35" s="172"/>
      <c r="ANF35" s="172"/>
      <c r="ANG35" s="172"/>
      <c r="ANH35" s="172"/>
      <c r="ANI35" s="172"/>
      <c r="ANJ35" s="172"/>
      <c r="ANK35" s="172"/>
      <c r="ANL35" s="172"/>
      <c r="ANM35" s="172"/>
      <c r="ANN35" s="172"/>
      <c r="ANO35" s="172"/>
      <c r="ANP35" s="172"/>
      <c r="ANQ35" s="172"/>
      <c r="ANR35" s="172"/>
      <c r="ANS35" s="172"/>
      <c r="ANT35" s="172"/>
      <c r="ANU35" s="172"/>
      <c r="ANV35" s="172"/>
      <c r="ANW35" s="172"/>
      <c r="ANX35" s="172"/>
      <c r="ANY35" s="172"/>
      <c r="ANZ35" s="172"/>
      <c r="AOA35" s="172"/>
      <c r="AOB35" s="172"/>
      <c r="AOC35" s="172"/>
      <c r="AOD35" s="172"/>
      <c r="AOE35" s="172"/>
      <c r="AOF35" s="172"/>
      <c r="AOG35" s="172"/>
      <c r="AOH35" s="172"/>
      <c r="AOI35" s="172"/>
      <c r="AOJ35" s="172"/>
      <c r="AOK35" s="172"/>
      <c r="AOL35" s="172"/>
      <c r="AOM35" s="172"/>
      <c r="AON35" s="172"/>
      <c r="AOO35" s="172"/>
      <c r="AOP35" s="172"/>
      <c r="AOQ35" s="172"/>
      <c r="AOR35" s="172"/>
      <c r="AOS35" s="172"/>
      <c r="AOT35" s="172"/>
      <c r="AOU35" s="172"/>
      <c r="AOV35" s="172"/>
      <c r="AOW35" s="172"/>
      <c r="AOX35" s="172"/>
      <c r="AOY35" s="172"/>
      <c r="AOZ35" s="172"/>
      <c r="APA35" s="172"/>
      <c r="APB35" s="172"/>
      <c r="APC35" s="172"/>
      <c r="APD35" s="172"/>
      <c r="APE35" s="172"/>
      <c r="APF35" s="172"/>
      <c r="APG35" s="172"/>
      <c r="APH35" s="172"/>
      <c r="API35" s="172"/>
      <c r="APJ35" s="172"/>
      <c r="APK35" s="172"/>
      <c r="APL35" s="172"/>
      <c r="APM35" s="172"/>
      <c r="APN35" s="172"/>
      <c r="APO35" s="172"/>
      <c r="APP35" s="172"/>
      <c r="APQ35" s="172"/>
      <c r="APR35" s="172"/>
      <c r="APS35" s="172"/>
      <c r="APT35" s="172"/>
      <c r="APU35" s="172"/>
      <c r="APV35" s="172"/>
      <c r="APW35" s="172"/>
      <c r="APX35" s="172"/>
      <c r="APY35" s="172"/>
      <c r="APZ35" s="172"/>
      <c r="AQA35" s="172"/>
      <c r="AQB35" s="172"/>
      <c r="AQC35" s="172"/>
      <c r="AQD35" s="172"/>
      <c r="AQE35" s="172"/>
      <c r="AQF35" s="172"/>
      <c r="AQG35" s="172"/>
      <c r="AQH35" s="172"/>
      <c r="AQI35" s="172"/>
      <c r="AQJ35" s="172"/>
      <c r="AQK35" s="172"/>
      <c r="AQL35" s="172"/>
      <c r="AQM35" s="172"/>
      <c r="AQN35" s="172"/>
      <c r="AQO35" s="172"/>
      <c r="AQP35" s="172"/>
      <c r="AQQ35" s="172"/>
      <c r="AQR35" s="172"/>
      <c r="AQS35" s="172"/>
      <c r="AQT35" s="172"/>
      <c r="AQU35" s="172"/>
      <c r="AQV35" s="172"/>
      <c r="AQW35" s="172"/>
      <c r="AQX35" s="172"/>
      <c r="AQY35" s="172"/>
      <c r="AQZ35" s="172"/>
      <c r="ARA35" s="172"/>
      <c r="ARB35" s="172"/>
      <c r="ARC35" s="172"/>
      <c r="ARD35" s="172"/>
      <c r="ARE35" s="172"/>
      <c r="ARF35" s="172"/>
      <c r="ARG35" s="172"/>
      <c r="ARH35" s="172"/>
      <c r="ARI35" s="172"/>
      <c r="ARJ35" s="172"/>
      <c r="ARK35" s="172"/>
      <c r="ARL35" s="172"/>
      <c r="ARM35" s="172"/>
      <c r="ARN35" s="172"/>
      <c r="ARO35" s="172"/>
      <c r="ARP35" s="172"/>
      <c r="ARQ35" s="172"/>
      <c r="ARR35" s="172"/>
      <c r="ARS35" s="172"/>
      <c r="ART35" s="172"/>
    </row>
    <row r="36" spans="1:1164" s="257" customFormat="1">
      <c r="A36" s="222" t="s">
        <v>177</v>
      </c>
      <c r="B36" s="195" t="s">
        <v>87</v>
      </c>
      <c r="C36" s="258">
        <v>88519</v>
      </c>
      <c r="D36" s="258">
        <v>3311561</v>
      </c>
      <c r="E36" s="198"/>
      <c r="F36" s="198"/>
      <c r="G36" s="198">
        <v>0</v>
      </c>
      <c r="H36" s="198">
        <v>0</v>
      </c>
      <c r="I36" s="198">
        <v>0</v>
      </c>
      <c r="J36" s="198">
        <v>0</v>
      </c>
      <c r="K36" s="198">
        <v>0</v>
      </c>
      <c r="L36" s="198">
        <v>0</v>
      </c>
      <c r="M36" s="198">
        <v>0</v>
      </c>
      <c r="N36" s="198">
        <v>0</v>
      </c>
      <c r="O36" s="198">
        <v>42</v>
      </c>
      <c r="P36" s="198">
        <v>6748</v>
      </c>
      <c r="Q36" s="198">
        <v>0</v>
      </c>
      <c r="R36" s="198">
        <v>0</v>
      </c>
      <c r="S36" s="198">
        <v>0</v>
      </c>
      <c r="T36" s="198">
        <v>0</v>
      </c>
      <c r="U36" s="198">
        <v>0</v>
      </c>
      <c r="V36" s="198">
        <v>0</v>
      </c>
      <c r="W36" s="198">
        <v>0</v>
      </c>
      <c r="X36" s="198">
        <v>0</v>
      </c>
      <c r="Y36" s="198">
        <v>0</v>
      </c>
      <c r="Z36" s="198">
        <v>0</v>
      </c>
      <c r="AA36" s="198">
        <v>0</v>
      </c>
      <c r="AB36" s="198">
        <v>0</v>
      </c>
      <c r="AC36" s="198">
        <v>0</v>
      </c>
      <c r="AD36" s="198">
        <v>0</v>
      </c>
      <c r="AE36" s="198">
        <v>0</v>
      </c>
      <c r="AF36" s="198">
        <v>0</v>
      </c>
      <c r="AG36" s="198">
        <v>0</v>
      </c>
      <c r="AH36" s="198">
        <v>0</v>
      </c>
      <c r="AI36" s="198">
        <v>0</v>
      </c>
      <c r="AJ36" s="198">
        <v>0</v>
      </c>
      <c r="AK36" s="198">
        <v>0</v>
      </c>
      <c r="AL36" s="198">
        <v>0</v>
      </c>
      <c r="AM36" s="198">
        <v>0</v>
      </c>
      <c r="AN36" s="198">
        <v>0</v>
      </c>
      <c r="AO36" s="198">
        <v>0</v>
      </c>
      <c r="AP36" s="198">
        <v>0</v>
      </c>
      <c r="AQ36" s="198">
        <v>0</v>
      </c>
      <c r="AR36" s="198">
        <v>0</v>
      </c>
      <c r="AS36" s="198">
        <v>0</v>
      </c>
      <c r="AT36" s="198">
        <v>0</v>
      </c>
      <c r="AU36" s="198">
        <v>0</v>
      </c>
      <c r="AV36" s="198">
        <v>0</v>
      </c>
      <c r="AW36" s="198">
        <v>0</v>
      </c>
      <c r="AX36" s="198">
        <v>0</v>
      </c>
      <c r="AY36" s="198">
        <v>0</v>
      </c>
      <c r="AZ36" s="198">
        <v>0</v>
      </c>
      <c r="BA36" s="285"/>
      <c r="BB36" s="198"/>
      <c r="BC36" s="198"/>
      <c r="BD36" s="198"/>
      <c r="BE36" s="286"/>
      <c r="BF36" s="198"/>
      <c r="BG36" s="198"/>
      <c r="BH36" s="198"/>
      <c r="BI36" s="286"/>
      <c r="BJ36" s="198">
        <f t="shared" si="51"/>
        <v>88561</v>
      </c>
      <c r="BK36" s="198">
        <f t="shared" si="52"/>
        <v>3318309</v>
      </c>
      <c r="BL36" s="172"/>
      <c r="BM36" s="13"/>
      <c r="BN36" s="231"/>
      <c r="BO36" s="231"/>
      <c r="BP36" s="172"/>
      <c r="BQ36" s="172"/>
      <c r="BR36" s="172"/>
      <c r="BS36" s="172"/>
      <c r="BT36" s="172"/>
      <c r="BU36" s="172"/>
      <c r="BV36" s="172"/>
      <c r="BW36" s="172"/>
      <c r="BX36" s="172"/>
      <c r="BY36" s="172"/>
      <c r="BZ36" s="172"/>
      <c r="CA36" s="172"/>
      <c r="CB36" s="172"/>
      <c r="CC36" s="172"/>
      <c r="CD36" s="172"/>
      <c r="CE36" s="172"/>
      <c r="CF36" s="172"/>
      <c r="CG36" s="172"/>
      <c r="CH36" s="172"/>
      <c r="CI36" s="172"/>
      <c r="CJ36" s="172"/>
      <c r="CK36" s="172"/>
      <c r="CL36" s="172"/>
      <c r="CM36" s="172"/>
      <c r="CN36" s="172"/>
      <c r="CO36" s="172"/>
      <c r="CP36" s="172"/>
      <c r="CQ36" s="172"/>
      <c r="CR36" s="172"/>
      <c r="CS36" s="172"/>
      <c r="CT36" s="172"/>
      <c r="CU36" s="172"/>
      <c r="CV36" s="172"/>
      <c r="CW36" s="172"/>
      <c r="CX36" s="172"/>
      <c r="CY36" s="172"/>
      <c r="CZ36" s="172"/>
      <c r="DA36" s="172"/>
      <c r="DB36" s="172"/>
      <c r="DC36" s="172"/>
      <c r="DD36" s="172"/>
      <c r="DE36" s="172"/>
      <c r="DF36" s="172"/>
      <c r="DG36" s="172"/>
      <c r="DH36" s="172"/>
      <c r="DI36" s="172"/>
      <c r="DJ36" s="172"/>
      <c r="DK36" s="172"/>
      <c r="DL36" s="172"/>
      <c r="DM36" s="172"/>
      <c r="DN36" s="172"/>
      <c r="DO36" s="172"/>
      <c r="DP36" s="172"/>
      <c r="DQ36" s="172"/>
      <c r="DR36" s="172"/>
      <c r="DS36" s="172"/>
      <c r="DT36" s="172"/>
      <c r="DU36" s="172"/>
      <c r="DV36" s="172"/>
      <c r="DW36" s="172"/>
      <c r="DX36" s="172"/>
      <c r="DY36" s="172"/>
      <c r="DZ36" s="172"/>
      <c r="EA36" s="172"/>
      <c r="EB36" s="172"/>
      <c r="EC36" s="172"/>
      <c r="ED36" s="172"/>
      <c r="EE36" s="172"/>
      <c r="EF36" s="172"/>
      <c r="EG36" s="172"/>
      <c r="EH36" s="172"/>
      <c r="EI36" s="172"/>
      <c r="EJ36" s="172"/>
      <c r="EK36" s="172"/>
      <c r="EL36" s="172"/>
      <c r="EM36" s="172"/>
      <c r="EN36" s="172"/>
      <c r="EO36" s="172"/>
      <c r="EP36" s="172"/>
      <c r="EQ36" s="172"/>
      <c r="ER36" s="172"/>
      <c r="ES36" s="172"/>
      <c r="ET36" s="172"/>
      <c r="EU36" s="172"/>
      <c r="EV36" s="172"/>
      <c r="EW36" s="172"/>
      <c r="EX36" s="172"/>
      <c r="EY36" s="172"/>
      <c r="EZ36" s="172"/>
      <c r="FA36" s="172"/>
      <c r="FB36" s="172"/>
      <c r="FC36" s="172"/>
      <c r="FD36" s="172"/>
      <c r="FE36" s="172"/>
      <c r="FF36" s="172"/>
      <c r="FG36" s="172"/>
      <c r="FH36" s="172"/>
      <c r="FI36" s="172"/>
      <c r="FJ36" s="172"/>
      <c r="FK36" s="172"/>
      <c r="FL36" s="172"/>
      <c r="FM36" s="172"/>
      <c r="FN36" s="172"/>
      <c r="FO36" s="172"/>
      <c r="FP36" s="172"/>
      <c r="FQ36" s="172"/>
      <c r="FR36" s="172"/>
      <c r="FS36" s="172"/>
      <c r="FT36" s="172"/>
      <c r="FU36" s="172"/>
      <c r="FV36" s="172"/>
      <c r="FW36" s="172"/>
      <c r="FX36" s="172"/>
      <c r="FY36" s="172"/>
      <c r="FZ36" s="172"/>
      <c r="GA36" s="172"/>
      <c r="GB36" s="172"/>
      <c r="GC36" s="172"/>
      <c r="GD36" s="172"/>
      <c r="GE36" s="172"/>
      <c r="GF36" s="172"/>
      <c r="GG36" s="172"/>
      <c r="GH36" s="172"/>
      <c r="GI36" s="172"/>
      <c r="GJ36" s="172"/>
      <c r="GK36" s="172"/>
      <c r="GL36" s="172"/>
      <c r="GM36" s="172"/>
      <c r="GN36" s="172"/>
      <c r="GO36" s="172"/>
      <c r="GP36" s="172"/>
      <c r="GQ36" s="172"/>
      <c r="GR36" s="172"/>
      <c r="GS36" s="172"/>
      <c r="GT36" s="172"/>
      <c r="GU36" s="172"/>
      <c r="GV36" s="172"/>
      <c r="GW36" s="172"/>
      <c r="GX36" s="172"/>
      <c r="GY36" s="172"/>
      <c r="GZ36" s="172"/>
      <c r="HA36" s="172"/>
      <c r="HB36" s="172"/>
      <c r="HC36" s="172"/>
      <c r="HD36" s="172"/>
      <c r="HE36" s="172"/>
      <c r="HF36" s="172"/>
      <c r="HG36" s="172"/>
      <c r="HH36" s="172"/>
      <c r="HI36" s="172"/>
      <c r="HJ36" s="172"/>
      <c r="HK36" s="172"/>
      <c r="HL36" s="172"/>
      <c r="HM36" s="172"/>
      <c r="HN36" s="172"/>
      <c r="HO36" s="172"/>
      <c r="HP36" s="172"/>
      <c r="HQ36" s="172"/>
      <c r="HR36" s="172"/>
      <c r="HS36" s="172"/>
      <c r="HT36" s="172"/>
      <c r="HU36" s="172"/>
      <c r="HV36" s="172"/>
      <c r="HW36" s="172"/>
      <c r="HX36" s="172"/>
      <c r="HY36" s="172"/>
      <c r="HZ36" s="172"/>
      <c r="IA36" s="172"/>
      <c r="IB36" s="172"/>
      <c r="IC36" s="172"/>
      <c r="ID36" s="172"/>
      <c r="IE36" s="172"/>
      <c r="IF36" s="172"/>
      <c r="IG36" s="172"/>
      <c r="IH36" s="172"/>
      <c r="II36" s="172"/>
      <c r="IJ36" s="172"/>
      <c r="IK36" s="172"/>
      <c r="IL36" s="172"/>
      <c r="IM36" s="172"/>
      <c r="IN36" s="172"/>
      <c r="IO36" s="172"/>
      <c r="IP36" s="172"/>
      <c r="IQ36" s="172"/>
      <c r="IR36" s="172"/>
      <c r="IS36" s="172"/>
      <c r="IT36" s="172"/>
      <c r="IU36" s="172"/>
      <c r="IV36" s="172"/>
      <c r="IW36" s="172"/>
      <c r="IX36" s="172"/>
      <c r="IY36" s="172"/>
      <c r="IZ36" s="172"/>
      <c r="JA36" s="172"/>
      <c r="JB36" s="172"/>
      <c r="JC36" s="172"/>
      <c r="JD36" s="172"/>
      <c r="JE36" s="172"/>
      <c r="JF36" s="172"/>
      <c r="JG36" s="172"/>
      <c r="JH36" s="172"/>
      <c r="JI36" s="172"/>
      <c r="JJ36" s="172"/>
      <c r="JK36" s="172"/>
      <c r="JL36" s="172"/>
      <c r="JM36" s="172"/>
      <c r="JN36" s="172"/>
      <c r="JO36" s="172"/>
      <c r="JP36" s="172"/>
      <c r="JQ36" s="172"/>
      <c r="JR36" s="172"/>
      <c r="JS36" s="172"/>
      <c r="JT36" s="172"/>
      <c r="JU36" s="172"/>
      <c r="JV36" s="172"/>
      <c r="JW36" s="172"/>
      <c r="JX36" s="172"/>
      <c r="JY36" s="172"/>
      <c r="JZ36" s="172"/>
      <c r="KA36" s="172"/>
      <c r="KB36" s="172"/>
      <c r="KC36" s="172"/>
      <c r="KD36" s="172"/>
      <c r="KE36" s="172"/>
      <c r="KF36" s="172"/>
      <c r="KG36" s="172"/>
      <c r="KH36" s="172"/>
      <c r="KI36" s="172"/>
      <c r="KJ36" s="172"/>
      <c r="KK36" s="172"/>
      <c r="KL36" s="172"/>
      <c r="KM36" s="172"/>
      <c r="KN36" s="172"/>
      <c r="KO36" s="172"/>
      <c r="KP36" s="172"/>
      <c r="KQ36" s="172"/>
      <c r="KR36" s="172"/>
      <c r="KS36" s="172"/>
      <c r="KT36" s="172"/>
      <c r="KU36" s="172"/>
      <c r="KV36" s="172"/>
      <c r="KW36" s="172"/>
      <c r="KX36" s="172"/>
      <c r="KY36" s="172"/>
      <c r="KZ36" s="172"/>
      <c r="LA36" s="172"/>
      <c r="LB36" s="172"/>
      <c r="LC36" s="172"/>
      <c r="LD36" s="172"/>
      <c r="LE36" s="172"/>
      <c r="LF36" s="172"/>
      <c r="LG36" s="172"/>
      <c r="LH36" s="172"/>
      <c r="LI36" s="172"/>
      <c r="LJ36" s="172"/>
      <c r="LK36" s="172"/>
      <c r="LL36" s="172"/>
      <c r="LM36" s="172"/>
      <c r="LN36" s="172"/>
      <c r="LO36" s="172"/>
      <c r="LP36" s="172"/>
      <c r="LQ36" s="172"/>
      <c r="LR36" s="172"/>
      <c r="LS36" s="172"/>
      <c r="LT36" s="172"/>
      <c r="LU36" s="172"/>
      <c r="LV36" s="172"/>
      <c r="LW36" s="172"/>
      <c r="LX36" s="172"/>
      <c r="LY36" s="172"/>
      <c r="LZ36" s="172"/>
      <c r="MA36" s="172"/>
      <c r="MB36" s="172"/>
      <c r="MC36" s="172"/>
      <c r="MD36" s="172"/>
      <c r="ME36" s="172"/>
      <c r="MF36" s="172"/>
      <c r="MG36" s="172"/>
      <c r="MH36" s="172"/>
      <c r="MI36" s="172"/>
      <c r="MJ36" s="172"/>
      <c r="MK36" s="172"/>
      <c r="ML36" s="172"/>
      <c r="MM36" s="172"/>
      <c r="MN36" s="172"/>
      <c r="MO36" s="172"/>
      <c r="MP36" s="172"/>
      <c r="MQ36" s="172"/>
      <c r="MR36" s="172"/>
      <c r="MS36" s="172"/>
      <c r="MT36" s="172"/>
      <c r="MU36" s="172"/>
      <c r="MV36" s="172"/>
      <c r="MW36" s="172"/>
      <c r="MX36" s="172"/>
      <c r="MY36" s="172"/>
      <c r="MZ36" s="172"/>
      <c r="NA36" s="172"/>
      <c r="NB36" s="172"/>
      <c r="NC36" s="172"/>
      <c r="ND36" s="172"/>
      <c r="NE36" s="172"/>
      <c r="NF36" s="172"/>
      <c r="NG36" s="172"/>
      <c r="NH36" s="172"/>
      <c r="NI36" s="172"/>
      <c r="NJ36" s="172"/>
      <c r="NK36" s="172"/>
      <c r="NL36" s="172"/>
      <c r="NM36" s="172"/>
      <c r="NN36" s="172"/>
      <c r="NO36" s="172"/>
      <c r="NP36" s="172"/>
      <c r="NQ36" s="172"/>
      <c r="NR36" s="172"/>
      <c r="NS36" s="172"/>
      <c r="NT36" s="172"/>
      <c r="NU36" s="172"/>
      <c r="NV36" s="172"/>
      <c r="NW36" s="172"/>
      <c r="NX36" s="172"/>
      <c r="NY36" s="172"/>
      <c r="NZ36" s="172"/>
      <c r="OA36" s="172"/>
      <c r="OB36" s="172"/>
      <c r="OC36" s="172"/>
      <c r="OD36" s="172"/>
      <c r="OE36" s="172"/>
      <c r="OF36" s="172"/>
      <c r="OG36" s="172"/>
      <c r="OH36" s="172"/>
      <c r="OI36" s="172"/>
      <c r="OJ36" s="172"/>
      <c r="OK36" s="172"/>
      <c r="OL36" s="172"/>
      <c r="OM36" s="172"/>
      <c r="ON36" s="172"/>
      <c r="OO36" s="172"/>
      <c r="OP36" s="172"/>
      <c r="OQ36" s="172"/>
      <c r="OR36" s="172"/>
      <c r="OS36" s="172"/>
      <c r="OT36" s="172"/>
      <c r="OU36" s="172"/>
      <c r="OV36" s="172"/>
      <c r="OW36" s="172"/>
      <c r="OX36" s="172"/>
      <c r="OY36" s="172"/>
      <c r="OZ36" s="172"/>
      <c r="PA36" s="172"/>
      <c r="PB36" s="172"/>
      <c r="PC36" s="172"/>
      <c r="PD36" s="172"/>
      <c r="PE36" s="172"/>
      <c r="PF36" s="172"/>
      <c r="PG36" s="172"/>
      <c r="PH36" s="172"/>
      <c r="PI36" s="172"/>
      <c r="PJ36" s="172"/>
      <c r="PK36" s="172"/>
      <c r="PL36" s="172"/>
      <c r="PM36" s="172"/>
      <c r="PN36" s="172"/>
      <c r="PO36" s="172"/>
      <c r="PP36" s="172"/>
      <c r="PQ36" s="172"/>
      <c r="PR36" s="172"/>
      <c r="PS36" s="172"/>
      <c r="PT36" s="172"/>
      <c r="PU36" s="172"/>
      <c r="PV36" s="172"/>
      <c r="PW36" s="172"/>
      <c r="PX36" s="172"/>
      <c r="PY36" s="172"/>
      <c r="PZ36" s="172"/>
      <c r="QA36" s="172"/>
      <c r="QB36" s="172"/>
      <c r="QC36" s="172"/>
      <c r="QD36" s="172"/>
      <c r="QE36" s="172"/>
      <c r="QF36" s="172"/>
      <c r="QG36" s="172"/>
      <c r="QH36" s="172"/>
      <c r="QI36" s="172"/>
      <c r="QJ36" s="172"/>
      <c r="QK36" s="172"/>
      <c r="QL36" s="172"/>
      <c r="QM36" s="172"/>
      <c r="QN36" s="172"/>
      <c r="QO36" s="172"/>
      <c r="QP36" s="172"/>
      <c r="QQ36" s="172"/>
      <c r="QR36" s="172"/>
      <c r="QS36" s="172"/>
      <c r="QT36" s="172"/>
      <c r="QU36" s="172"/>
      <c r="QV36" s="172"/>
      <c r="QW36" s="172"/>
      <c r="QX36" s="172"/>
      <c r="QY36" s="172"/>
      <c r="QZ36" s="172"/>
      <c r="RA36" s="172"/>
      <c r="RB36" s="172"/>
      <c r="RC36" s="172"/>
      <c r="RD36" s="172"/>
      <c r="RE36" s="172"/>
      <c r="RF36" s="172"/>
      <c r="RG36" s="172"/>
      <c r="RH36" s="172"/>
      <c r="RI36" s="172"/>
      <c r="RJ36" s="172"/>
      <c r="RK36" s="172"/>
      <c r="RL36" s="172"/>
      <c r="RM36" s="172"/>
      <c r="RN36" s="172"/>
      <c r="RO36" s="172"/>
      <c r="RP36" s="172"/>
      <c r="RQ36" s="172"/>
      <c r="RR36" s="172"/>
      <c r="RS36" s="172"/>
      <c r="RT36" s="172"/>
      <c r="RU36" s="172"/>
      <c r="RV36" s="172"/>
      <c r="RW36" s="172"/>
      <c r="RX36" s="172"/>
      <c r="RY36" s="172"/>
      <c r="RZ36" s="172"/>
      <c r="SA36" s="172"/>
      <c r="SB36" s="172"/>
      <c r="SC36" s="172"/>
      <c r="SD36" s="172"/>
      <c r="SE36" s="172"/>
      <c r="SF36" s="172"/>
      <c r="SG36" s="172"/>
      <c r="SH36" s="172"/>
      <c r="SI36" s="172"/>
      <c r="SJ36" s="172"/>
      <c r="SK36" s="172"/>
      <c r="SL36" s="172"/>
      <c r="SM36" s="172"/>
      <c r="SN36" s="172"/>
      <c r="SO36" s="172"/>
      <c r="SP36" s="172"/>
      <c r="SQ36" s="172"/>
      <c r="SR36" s="172"/>
      <c r="SS36" s="172"/>
      <c r="ST36" s="172"/>
      <c r="SU36" s="172"/>
      <c r="SV36" s="172"/>
      <c r="SW36" s="172"/>
      <c r="SX36" s="172"/>
      <c r="SY36" s="172"/>
      <c r="SZ36" s="172"/>
      <c r="TA36" s="172"/>
      <c r="TB36" s="172"/>
      <c r="TC36" s="172"/>
      <c r="TD36" s="172"/>
      <c r="TE36" s="172"/>
      <c r="TF36" s="172"/>
      <c r="TG36" s="172"/>
      <c r="TH36" s="172"/>
      <c r="TI36" s="172"/>
      <c r="TJ36" s="172"/>
      <c r="TK36" s="172"/>
      <c r="TL36" s="172"/>
      <c r="TM36" s="172"/>
      <c r="TN36" s="172"/>
      <c r="TO36" s="172"/>
      <c r="TP36" s="172"/>
      <c r="TQ36" s="172"/>
      <c r="TR36" s="172"/>
      <c r="TS36" s="172"/>
      <c r="TT36" s="172"/>
      <c r="TU36" s="172"/>
      <c r="TV36" s="172"/>
      <c r="TW36" s="172"/>
      <c r="TX36" s="172"/>
      <c r="TY36" s="172"/>
      <c r="TZ36" s="172"/>
      <c r="UA36" s="172"/>
      <c r="UB36" s="172"/>
      <c r="UC36" s="172"/>
      <c r="UD36" s="172"/>
      <c r="UE36" s="172"/>
      <c r="UF36" s="172"/>
      <c r="UG36" s="172"/>
      <c r="UH36" s="172"/>
      <c r="UI36" s="172"/>
      <c r="UJ36" s="172"/>
      <c r="UK36" s="172"/>
      <c r="UL36" s="172"/>
      <c r="UM36" s="172"/>
      <c r="UN36" s="172"/>
      <c r="UO36" s="172"/>
      <c r="UP36" s="172"/>
      <c r="UQ36" s="172"/>
      <c r="UR36" s="172"/>
      <c r="US36" s="172"/>
      <c r="UT36" s="172"/>
      <c r="UU36" s="172"/>
      <c r="UV36" s="172"/>
      <c r="UW36" s="172"/>
      <c r="UX36" s="172"/>
      <c r="UY36" s="172"/>
      <c r="UZ36" s="172"/>
      <c r="VA36" s="172"/>
      <c r="VB36" s="172"/>
      <c r="VC36" s="172"/>
      <c r="VD36" s="172"/>
      <c r="VE36" s="172"/>
      <c r="VF36" s="172"/>
      <c r="VG36" s="172"/>
      <c r="VH36" s="172"/>
      <c r="VI36" s="172"/>
      <c r="VJ36" s="172"/>
      <c r="VK36" s="172"/>
      <c r="VL36" s="172"/>
      <c r="VM36" s="172"/>
      <c r="VN36" s="172"/>
      <c r="VO36" s="172"/>
      <c r="VP36" s="172"/>
      <c r="VQ36" s="172"/>
      <c r="VR36" s="172"/>
      <c r="VS36" s="172"/>
      <c r="VT36" s="172"/>
      <c r="VU36" s="172"/>
      <c r="VV36" s="172"/>
      <c r="VW36" s="172"/>
      <c r="VX36" s="172"/>
      <c r="VY36" s="172"/>
      <c r="VZ36" s="172"/>
      <c r="WA36" s="172"/>
      <c r="WB36" s="172"/>
      <c r="WC36" s="172"/>
      <c r="WD36" s="172"/>
      <c r="WE36" s="172"/>
      <c r="WF36" s="172"/>
      <c r="WG36" s="172"/>
      <c r="WH36" s="172"/>
      <c r="WI36" s="172"/>
      <c r="WJ36" s="172"/>
      <c r="WK36" s="172"/>
      <c r="WL36" s="172"/>
      <c r="WM36" s="172"/>
      <c r="WN36" s="172"/>
      <c r="WO36" s="172"/>
      <c r="WP36" s="172"/>
      <c r="WQ36" s="172"/>
      <c r="WR36" s="172"/>
      <c r="WS36" s="172"/>
      <c r="WT36" s="172"/>
      <c r="WU36" s="172"/>
      <c r="WV36" s="172"/>
      <c r="WW36" s="172"/>
      <c r="WX36" s="172"/>
      <c r="WY36" s="172"/>
      <c r="WZ36" s="172"/>
      <c r="XA36" s="172"/>
      <c r="XB36" s="172"/>
      <c r="XC36" s="172"/>
      <c r="XD36" s="172"/>
      <c r="XE36" s="172"/>
      <c r="XF36" s="172"/>
      <c r="XG36" s="172"/>
      <c r="XH36" s="172"/>
      <c r="XI36" s="172"/>
      <c r="XJ36" s="172"/>
      <c r="XK36" s="172"/>
      <c r="XL36" s="172"/>
      <c r="XM36" s="172"/>
      <c r="XN36" s="172"/>
      <c r="XO36" s="172"/>
      <c r="XP36" s="172"/>
      <c r="XQ36" s="172"/>
      <c r="XR36" s="172"/>
      <c r="XS36" s="172"/>
      <c r="XT36" s="172"/>
      <c r="XU36" s="172"/>
      <c r="XV36" s="172"/>
      <c r="XW36" s="172"/>
      <c r="XX36" s="172"/>
      <c r="XY36" s="172"/>
      <c r="XZ36" s="172"/>
      <c r="YA36" s="172"/>
      <c r="YB36" s="172"/>
      <c r="YC36" s="172"/>
      <c r="YD36" s="172"/>
      <c r="YE36" s="172"/>
      <c r="YF36" s="172"/>
      <c r="YG36" s="172"/>
      <c r="YH36" s="172"/>
      <c r="YI36" s="172"/>
      <c r="YJ36" s="172"/>
      <c r="YK36" s="172"/>
      <c r="YL36" s="172"/>
      <c r="YM36" s="172"/>
      <c r="YN36" s="172"/>
      <c r="YO36" s="172"/>
      <c r="YP36" s="172"/>
      <c r="YQ36" s="172"/>
      <c r="YR36" s="172"/>
      <c r="YS36" s="172"/>
      <c r="YT36" s="172"/>
      <c r="YU36" s="172"/>
      <c r="YV36" s="172"/>
      <c r="YW36" s="172"/>
      <c r="YX36" s="172"/>
      <c r="YY36" s="172"/>
      <c r="YZ36" s="172"/>
      <c r="ZA36" s="172"/>
      <c r="ZB36" s="172"/>
      <c r="ZC36" s="172"/>
      <c r="ZD36" s="172"/>
      <c r="ZE36" s="172"/>
      <c r="ZF36" s="172"/>
      <c r="ZG36" s="172"/>
      <c r="ZH36" s="172"/>
      <c r="ZI36" s="172"/>
      <c r="ZJ36" s="172"/>
      <c r="ZK36" s="172"/>
      <c r="ZL36" s="172"/>
      <c r="ZM36" s="172"/>
      <c r="ZN36" s="172"/>
      <c r="ZO36" s="172"/>
      <c r="ZP36" s="172"/>
      <c r="ZQ36" s="172"/>
      <c r="ZR36" s="172"/>
      <c r="ZS36" s="172"/>
      <c r="ZT36" s="172"/>
      <c r="ZU36" s="172"/>
      <c r="ZV36" s="172"/>
      <c r="ZW36" s="172"/>
      <c r="ZX36" s="172"/>
      <c r="ZY36" s="172"/>
      <c r="ZZ36" s="172"/>
      <c r="AAA36" s="172"/>
      <c r="AAB36" s="172"/>
      <c r="AAC36" s="172"/>
      <c r="AAD36" s="172"/>
      <c r="AAE36" s="172"/>
      <c r="AAF36" s="172"/>
      <c r="AAG36" s="172"/>
      <c r="AAH36" s="172"/>
      <c r="AAI36" s="172"/>
      <c r="AAJ36" s="172"/>
      <c r="AAK36" s="172"/>
      <c r="AAL36" s="172"/>
      <c r="AAM36" s="172"/>
      <c r="AAN36" s="172"/>
      <c r="AAO36" s="172"/>
      <c r="AAP36" s="172"/>
      <c r="AAQ36" s="172"/>
      <c r="AAR36" s="172"/>
      <c r="AAS36" s="172"/>
      <c r="AAT36" s="172"/>
      <c r="AAU36" s="172"/>
      <c r="AAV36" s="172"/>
      <c r="AAW36" s="172"/>
      <c r="AAX36" s="172"/>
      <c r="AAY36" s="172"/>
      <c r="AAZ36" s="172"/>
      <c r="ABA36" s="172"/>
      <c r="ABB36" s="172"/>
      <c r="ABC36" s="172"/>
      <c r="ABD36" s="172"/>
      <c r="ABE36" s="172"/>
      <c r="ABF36" s="172"/>
      <c r="ABG36" s="172"/>
      <c r="ABH36" s="172"/>
      <c r="ABI36" s="172"/>
      <c r="ABJ36" s="172"/>
      <c r="ABK36" s="172"/>
      <c r="ABL36" s="172"/>
      <c r="ABM36" s="172"/>
      <c r="ABN36" s="172"/>
      <c r="ABO36" s="172"/>
      <c r="ABP36" s="172"/>
      <c r="ABQ36" s="172"/>
      <c r="ABR36" s="172"/>
      <c r="ABS36" s="172"/>
      <c r="ABT36" s="172"/>
      <c r="ABU36" s="172"/>
      <c r="ABV36" s="172"/>
      <c r="ABW36" s="172"/>
      <c r="ABX36" s="172"/>
      <c r="ABY36" s="172"/>
      <c r="ABZ36" s="172"/>
      <c r="ACA36" s="172"/>
      <c r="ACB36" s="172"/>
      <c r="ACC36" s="172"/>
      <c r="ACD36" s="172"/>
      <c r="ACE36" s="172"/>
      <c r="ACF36" s="172"/>
      <c r="ACG36" s="172"/>
      <c r="ACH36" s="172"/>
      <c r="ACI36" s="172"/>
      <c r="ACJ36" s="172"/>
      <c r="ACK36" s="172"/>
      <c r="ACL36" s="172"/>
      <c r="ACM36" s="172"/>
      <c r="ACN36" s="172"/>
      <c r="ACO36" s="172"/>
      <c r="ACP36" s="172"/>
      <c r="ACQ36" s="172"/>
      <c r="ACR36" s="172"/>
      <c r="ACS36" s="172"/>
      <c r="ACT36" s="172"/>
      <c r="ACU36" s="172"/>
      <c r="ACV36" s="172"/>
      <c r="ACW36" s="172"/>
      <c r="ACX36" s="172"/>
      <c r="ACY36" s="172"/>
      <c r="ACZ36" s="172"/>
      <c r="ADA36" s="172"/>
      <c r="ADB36" s="172"/>
      <c r="ADC36" s="172"/>
      <c r="ADD36" s="172"/>
      <c r="ADE36" s="172"/>
      <c r="ADF36" s="172"/>
      <c r="ADG36" s="172"/>
      <c r="ADH36" s="172"/>
      <c r="ADI36" s="172"/>
      <c r="ADJ36" s="172"/>
      <c r="ADK36" s="172"/>
      <c r="ADL36" s="172"/>
      <c r="ADM36" s="172"/>
      <c r="ADN36" s="172"/>
      <c r="ADO36" s="172"/>
      <c r="ADP36" s="172"/>
      <c r="ADQ36" s="172"/>
      <c r="ADR36" s="172"/>
      <c r="ADS36" s="172"/>
      <c r="ADT36" s="172"/>
      <c r="ADU36" s="172"/>
      <c r="ADV36" s="172"/>
      <c r="ADW36" s="172"/>
      <c r="ADX36" s="172"/>
      <c r="ADY36" s="172"/>
      <c r="ADZ36" s="172"/>
      <c r="AEA36" s="172"/>
      <c r="AEB36" s="172"/>
      <c r="AEC36" s="172"/>
      <c r="AED36" s="172"/>
      <c r="AEE36" s="172"/>
      <c r="AEF36" s="172"/>
      <c r="AEG36" s="172"/>
      <c r="AEH36" s="172"/>
      <c r="AEI36" s="172"/>
      <c r="AEJ36" s="172"/>
      <c r="AEK36" s="172"/>
      <c r="AEL36" s="172"/>
      <c r="AEM36" s="172"/>
      <c r="AEN36" s="172"/>
      <c r="AEO36" s="172"/>
      <c r="AEP36" s="172"/>
      <c r="AEQ36" s="172"/>
      <c r="AER36" s="172"/>
      <c r="AES36" s="172"/>
      <c r="AET36" s="172"/>
      <c r="AEU36" s="172"/>
      <c r="AEV36" s="172"/>
      <c r="AEW36" s="172"/>
      <c r="AEX36" s="172"/>
      <c r="AEY36" s="172"/>
      <c r="AEZ36" s="172"/>
      <c r="AFA36" s="172"/>
      <c r="AFB36" s="172"/>
      <c r="AFC36" s="172"/>
      <c r="AFD36" s="172"/>
      <c r="AFE36" s="172"/>
      <c r="AFF36" s="172"/>
      <c r="AFG36" s="172"/>
      <c r="AFH36" s="172"/>
      <c r="AFI36" s="172"/>
      <c r="AFJ36" s="172"/>
      <c r="AFK36" s="172"/>
      <c r="AFL36" s="172"/>
      <c r="AFM36" s="172"/>
      <c r="AFN36" s="172"/>
      <c r="AFO36" s="172"/>
      <c r="AFP36" s="172"/>
      <c r="AFQ36" s="172"/>
      <c r="AFR36" s="172"/>
      <c r="AFS36" s="172"/>
      <c r="AFT36" s="172"/>
      <c r="AFU36" s="172"/>
      <c r="AFV36" s="172"/>
      <c r="AFW36" s="172"/>
      <c r="AFX36" s="172"/>
      <c r="AFY36" s="172"/>
      <c r="AFZ36" s="172"/>
      <c r="AGA36" s="172"/>
      <c r="AGB36" s="172"/>
      <c r="AGC36" s="172"/>
      <c r="AGD36" s="172"/>
      <c r="AGE36" s="172"/>
      <c r="AGF36" s="172"/>
      <c r="AGG36" s="172"/>
      <c r="AGH36" s="172"/>
      <c r="AGI36" s="172"/>
      <c r="AGJ36" s="172"/>
      <c r="AGK36" s="172"/>
      <c r="AGL36" s="172"/>
      <c r="AGM36" s="172"/>
      <c r="AGN36" s="172"/>
      <c r="AGO36" s="172"/>
      <c r="AGP36" s="172"/>
      <c r="AGQ36" s="172"/>
      <c r="AGR36" s="172"/>
      <c r="AGS36" s="172"/>
      <c r="AGT36" s="172"/>
      <c r="AGU36" s="172"/>
      <c r="AGV36" s="172"/>
      <c r="AGW36" s="172"/>
      <c r="AGX36" s="172"/>
      <c r="AGY36" s="172"/>
      <c r="AGZ36" s="172"/>
      <c r="AHA36" s="172"/>
      <c r="AHB36" s="172"/>
      <c r="AHC36" s="172"/>
      <c r="AHD36" s="172"/>
      <c r="AHE36" s="172"/>
      <c r="AHF36" s="172"/>
      <c r="AHG36" s="172"/>
      <c r="AHH36" s="172"/>
      <c r="AHI36" s="172"/>
      <c r="AHJ36" s="172"/>
      <c r="AHK36" s="172"/>
      <c r="AHL36" s="172"/>
      <c r="AHM36" s="172"/>
      <c r="AHN36" s="172"/>
      <c r="AHO36" s="172"/>
      <c r="AHP36" s="172"/>
      <c r="AHQ36" s="172"/>
      <c r="AHR36" s="172"/>
      <c r="AHS36" s="172"/>
      <c r="AHT36" s="172"/>
      <c r="AHU36" s="172"/>
      <c r="AHV36" s="172"/>
      <c r="AHW36" s="172"/>
      <c r="AHX36" s="172"/>
      <c r="AHY36" s="172"/>
      <c r="AHZ36" s="172"/>
      <c r="AIA36" s="172"/>
      <c r="AIB36" s="172"/>
      <c r="AIC36" s="172"/>
      <c r="AID36" s="172"/>
      <c r="AIE36" s="172"/>
      <c r="AIF36" s="172"/>
      <c r="AIG36" s="172"/>
      <c r="AIH36" s="172"/>
      <c r="AII36" s="172"/>
      <c r="AIJ36" s="172"/>
      <c r="AIK36" s="172"/>
      <c r="AIL36" s="172"/>
      <c r="AIM36" s="172"/>
      <c r="AIN36" s="172"/>
      <c r="AIO36" s="172"/>
      <c r="AIP36" s="172"/>
      <c r="AIQ36" s="172"/>
      <c r="AIR36" s="172"/>
      <c r="AIS36" s="172"/>
      <c r="AIT36" s="172"/>
      <c r="AIU36" s="172"/>
      <c r="AIV36" s="172"/>
      <c r="AIW36" s="172"/>
      <c r="AIX36" s="172"/>
      <c r="AIY36" s="172"/>
      <c r="AIZ36" s="172"/>
      <c r="AJA36" s="172"/>
      <c r="AJB36" s="172"/>
      <c r="AJC36" s="172"/>
      <c r="AJD36" s="172"/>
      <c r="AJE36" s="172"/>
      <c r="AJF36" s="172"/>
      <c r="AJG36" s="172"/>
      <c r="AJH36" s="172"/>
      <c r="AJI36" s="172"/>
      <c r="AJJ36" s="172"/>
      <c r="AJK36" s="172"/>
      <c r="AJL36" s="172"/>
      <c r="AJM36" s="172"/>
      <c r="AJN36" s="172"/>
      <c r="AJO36" s="172"/>
      <c r="AJP36" s="172"/>
      <c r="AJQ36" s="172"/>
      <c r="AJR36" s="172"/>
      <c r="AJS36" s="172"/>
      <c r="AJT36" s="172"/>
      <c r="AJU36" s="172"/>
      <c r="AJV36" s="172"/>
      <c r="AJW36" s="172"/>
      <c r="AJX36" s="172"/>
      <c r="AJY36" s="172"/>
      <c r="AJZ36" s="172"/>
      <c r="AKA36" s="172"/>
      <c r="AKB36" s="172"/>
      <c r="AKC36" s="172"/>
      <c r="AKD36" s="172"/>
      <c r="AKE36" s="172"/>
      <c r="AKF36" s="172"/>
      <c r="AKG36" s="172"/>
      <c r="AKH36" s="172"/>
      <c r="AKI36" s="172"/>
      <c r="AKJ36" s="172"/>
      <c r="AKK36" s="172"/>
      <c r="AKL36" s="172"/>
      <c r="AKM36" s="172"/>
      <c r="AKN36" s="172"/>
      <c r="AKO36" s="172"/>
      <c r="AKP36" s="172"/>
      <c r="AKQ36" s="172"/>
      <c r="AKR36" s="172"/>
      <c r="AKS36" s="172"/>
      <c r="AKT36" s="172"/>
      <c r="AKU36" s="172"/>
      <c r="AKV36" s="172"/>
      <c r="AKW36" s="172"/>
      <c r="AKX36" s="172"/>
      <c r="AKY36" s="172"/>
      <c r="AKZ36" s="172"/>
      <c r="ALA36" s="172"/>
      <c r="ALB36" s="172"/>
      <c r="ALC36" s="172"/>
      <c r="ALD36" s="172"/>
      <c r="ALE36" s="172"/>
      <c r="ALF36" s="172"/>
      <c r="ALG36" s="172"/>
      <c r="ALH36" s="172"/>
      <c r="ALI36" s="172"/>
      <c r="ALJ36" s="172"/>
      <c r="ALK36" s="172"/>
      <c r="ALL36" s="172"/>
      <c r="ALM36" s="172"/>
      <c r="ALN36" s="172"/>
      <c r="ALO36" s="172"/>
      <c r="ALP36" s="172"/>
      <c r="ALQ36" s="172"/>
      <c r="ALR36" s="172"/>
      <c r="ALS36" s="172"/>
      <c r="ALT36" s="172"/>
      <c r="ALU36" s="172"/>
      <c r="ALV36" s="172"/>
      <c r="ALW36" s="172"/>
      <c r="ALX36" s="172"/>
      <c r="ALY36" s="172"/>
      <c r="ALZ36" s="172"/>
      <c r="AMA36" s="172"/>
      <c r="AMB36" s="172"/>
      <c r="AMC36" s="172"/>
      <c r="AMD36" s="172"/>
      <c r="AME36" s="172"/>
      <c r="AMF36" s="172"/>
      <c r="AMG36" s="172"/>
      <c r="AMH36" s="172"/>
      <c r="AMI36" s="172"/>
      <c r="AMJ36" s="172"/>
      <c r="AMK36" s="172"/>
      <c r="AML36" s="172"/>
      <c r="AMM36" s="172"/>
      <c r="AMN36" s="172"/>
      <c r="AMO36" s="172"/>
      <c r="AMP36" s="172"/>
      <c r="AMQ36" s="172"/>
      <c r="AMR36" s="172"/>
      <c r="AMS36" s="172"/>
      <c r="AMT36" s="172"/>
      <c r="AMU36" s="172"/>
      <c r="AMV36" s="172"/>
      <c r="AMW36" s="172"/>
      <c r="AMX36" s="172"/>
      <c r="AMY36" s="172"/>
      <c r="AMZ36" s="172"/>
      <c r="ANA36" s="172"/>
      <c r="ANB36" s="172"/>
      <c r="ANC36" s="172"/>
      <c r="AND36" s="172"/>
      <c r="ANE36" s="172"/>
      <c r="ANF36" s="172"/>
      <c r="ANG36" s="172"/>
      <c r="ANH36" s="172"/>
      <c r="ANI36" s="172"/>
      <c r="ANJ36" s="172"/>
      <c r="ANK36" s="172"/>
      <c r="ANL36" s="172"/>
      <c r="ANM36" s="172"/>
      <c r="ANN36" s="172"/>
      <c r="ANO36" s="172"/>
      <c r="ANP36" s="172"/>
      <c r="ANQ36" s="172"/>
      <c r="ANR36" s="172"/>
      <c r="ANS36" s="172"/>
      <c r="ANT36" s="172"/>
      <c r="ANU36" s="172"/>
      <c r="ANV36" s="172"/>
      <c r="ANW36" s="172"/>
      <c r="ANX36" s="172"/>
      <c r="ANY36" s="172"/>
      <c r="ANZ36" s="172"/>
      <c r="AOA36" s="172"/>
      <c r="AOB36" s="172"/>
      <c r="AOC36" s="172"/>
      <c r="AOD36" s="172"/>
      <c r="AOE36" s="172"/>
      <c r="AOF36" s="172"/>
      <c r="AOG36" s="172"/>
      <c r="AOH36" s="172"/>
      <c r="AOI36" s="172"/>
      <c r="AOJ36" s="172"/>
      <c r="AOK36" s="172"/>
      <c r="AOL36" s="172"/>
      <c r="AOM36" s="172"/>
      <c r="AON36" s="172"/>
      <c r="AOO36" s="172"/>
      <c r="AOP36" s="172"/>
      <c r="AOQ36" s="172"/>
      <c r="AOR36" s="172"/>
      <c r="AOS36" s="172"/>
      <c r="AOT36" s="172"/>
      <c r="AOU36" s="172"/>
      <c r="AOV36" s="172"/>
      <c r="AOW36" s="172"/>
      <c r="AOX36" s="172"/>
      <c r="AOY36" s="172"/>
      <c r="AOZ36" s="172"/>
      <c r="APA36" s="172"/>
      <c r="APB36" s="172"/>
      <c r="APC36" s="172"/>
      <c r="APD36" s="172"/>
      <c r="APE36" s="172"/>
      <c r="APF36" s="172"/>
      <c r="APG36" s="172"/>
      <c r="APH36" s="172"/>
      <c r="API36" s="172"/>
      <c r="APJ36" s="172"/>
      <c r="APK36" s="172"/>
      <c r="APL36" s="172"/>
      <c r="APM36" s="172"/>
      <c r="APN36" s="172"/>
      <c r="APO36" s="172"/>
      <c r="APP36" s="172"/>
      <c r="APQ36" s="172"/>
      <c r="APR36" s="172"/>
      <c r="APS36" s="172"/>
      <c r="APT36" s="172"/>
      <c r="APU36" s="172"/>
      <c r="APV36" s="172"/>
      <c r="APW36" s="172"/>
      <c r="APX36" s="172"/>
      <c r="APY36" s="172"/>
      <c r="APZ36" s="172"/>
      <c r="AQA36" s="172"/>
      <c r="AQB36" s="172"/>
      <c r="AQC36" s="172"/>
      <c r="AQD36" s="172"/>
      <c r="AQE36" s="172"/>
      <c r="AQF36" s="172"/>
      <c r="AQG36" s="172"/>
      <c r="AQH36" s="172"/>
      <c r="AQI36" s="172"/>
      <c r="AQJ36" s="172"/>
      <c r="AQK36" s="172"/>
      <c r="AQL36" s="172"/>
      <c r="AQM36" s="172"/>
      <c r="AQN36" s="172"/>
      <c r="AQO36" s="172"/>
      <c r="AQP36" s="172"/>
      <c r="AQQ36" s="172"/>
      <c r="AQR36" s="172"/>
      <c r="AQS36" s="172"/>
      <c r="AQT36" s="172"/>
      <c r="AQU36" s="172"/>
      <c r="AQV36" s="172"/>
      <c r="AQW36" s="172"/>
      <c r="AQX36" s="172"/>
      <c r="AQY36" s="172"/>
      <c r="AQZ36" s="172"/>
      <c r="ARA36" s="172"/>
      <c r="ARB36" s="172"/>
      <c r="ARC36" s="172"/>
      <c r="ARD36" s="172"/>
      <c r="ARE36" s="172"/>
      <c r="ARF36" s="172"/>
      <c r="ARG36" s="172"/>
      <c r="ARH36" s="172"/>
      <c r="ARI36" s="172"/>
      <c r="ARJ36" s="172"/>
      <c r="ARK36" s="172"/>
      <c r="ARL36" s="172"/>
      <c r="ARM36" s="172"/>
      <c r="ARN36" s="172"/>
      <c r="ARO36" s="172"/>
      <c r="ARP36" s="172"/>
      <c r="ARQ36" s="172"/>
      <c r="ARR36" s="172"/>
      <c r="ARS36" s="172"/>
      <c r="ART36" s="172"/>
    </row>
    <row r="37" spans="1:1164" s="257" customFormat="1">
      <c r="A37" s="222" t="s">
        <v>422</v>
      </c>
      <c r="B37" s="195" t="s">
        <v>87</v>
      </c>
      <c r="C37" s="258">
        <v>489720</v>
      </c>
      <c r="D37" s="258">
        <v>10636394</v>
      </c>
      <c r="E37" s="198">
        <v>0</v>
      </c>
      <c r="F37" s="198">
        <v>0</v>
      </c>
      <c r="G37" s="198">
        <v>0</v>
      </c>
      <c r="H37" s="198">
        <v>0</v>
      </c>
      <c r="I37" s="198">
        <v>0</v>
      </c>
      <c r="J37" s="198">
        <v>0</v>
      </c>
      <c r="K37" s="198">
        <v>0</v>
      </c>
      <c r="L37" s="198">
        <v>0</v>
      </c>
      <c r="M37" s="198">
        <v>0</v>
      </c>
      <c r="N37" s="198">
        <v>0</v>
      </c>
      <c r="O37" s="198">
        <v>0</v>
      </c>
      <c r="P37" s="198">
        <v>0</v>
      </c>
      <c r="Q37" s="198">
        <v>0</v>
      </c>
      <c r="R37" s="198">
        <v>0</v>
      </c>
      <c r="S37" s="198">
        <v>0</v>
      </c>
      <c r="T37" s="198">
        <v>0</v>
      </c>
      <c r="U37" s="198">
        <v>0</v>
      </c>
      <c r="V37" s="198">
        <v>0</v>
      </c>
      <c r="W37" s="211">
        <v>7846</v>
      </c>
      <c r="X37" s="211">
        <v>4422848</v>
      </c>
      <c r="Y37" s="259">
        <v>13606</v>
      </c>
      <c r="Z37" s="259">
        <v>7176456</v>
      </c>
      <c r="AA37" s="226">
        <v>10698</v>
      </c>
      <c r="AB37" s="226">
        <v>4348109</v>
      </c>
      <c r="AC37" s="198">
        <v>20964</v>
      </c>
      <c r="AD37" s="198">
        <v>7429363</v>
      </c>
      <c r="AE37" s="198">
        <v>32276</v>
      </c>
      <c r="AF37" s="198">
        <v>7835561</v>
      </c>
      <c r="AG37" s="226">
        <v>20287</v>
      </c>
      <c r="AH37" s="226">
        <v>7320564</v>
      </c>
      <c r="AI37" s="226">
        <v>15642</v>
      </c>
      <c r="AJ37" s="226">
        <v>8253256</v>
      </c>
      <c r="AK37" s="260">
        <v>17080.275999999998</v>
      </c>
      <c r="AL37" s="260">
        <v>9901951</v>
      </c>
      <c r="AM37" s="261">
        <v>23201.462</v>
      </c>
      <c r="AN37" s="261">
        <v>9914174</v>
      </c>
      <c r="AO37" s="196">
        <v>39518</v>
      </c>
      <c r="AP37" s="196">
        <v>15085665</v>
      </c>
      <c r="AQ37" s="196">
        <v>55280.813999999998</v>
      </c>
      <c r="AR37" s="196">
        <v>17225445.539999999</v>
      </c>
      <c r="AS37" s="196">
        <v>73081</v>
      </c>
      <c r="AT37" s="196">
        <v>25761448</v>
      </c>
      <c r="AU37" s="226">
        <v>91383</v>
      </c>
      <c r="AV37" s="226">
        <v>44902919</v>
      </c>
      <c r="AW37" s="198">
        <v>70397</v>
      </c>
      <c r="AX37" s="198">
        <v>32690023</v>
      </c>
      <c r="AY37" s="198">
        <v>56492</v>
      </c>
      <c r="AZ37" s="198">
        <v>24317218</v>
      </c>
      <c r="BA37" s="263"/>
      <c r="BB37" s="198"/>
      <c r="BC37" s="263"/>
      <c r="BD37" s="198"/>
      <c r="BE37" s="263"/>
      <c r="BF37" s="198"/>
      <c r="BG37" s="263"/>
      <c r="BH37" s="287"/>
      <c r="BI37" s="263"/>
      <c r="BJ37" s="198">
        <f t="shared" si="51"/>
        <v>1037472.5519999999</v>
      </c>
      <c r="BK37" s="198">
        <f t="shared" si="52"/>
        <v>237221394.53999999</v>
      </c>
      <c r="BL37" s="172"/>
      <c r="BM37" s="13"/>
      <c r="BN37" s="231"/>
      <c r="BO37" s="231"/>
      <c r="BP37" s="172"/>
      <c r="BQ37" s="172"/>
      <c r="BR37" s="172"/>
      <c r="BS37" s="172"/>
      <c r="BT37" s="172"/>
      <c r="BU37" s="172"/>
      <c r="BV37" s="172"/>
      <c r="BW37" s="172"/>
      <c r="BX37" s="172"/>
      <c r="BY37" s="172"/>
      <c r="BZ37" s="172"/>
      <c r="CA37" s="172"/>
      <c r="CB37" s="172"/>
      <c r="CC37" s="172"/>
      <c r="CD37" s="172"/>
      <c r="CE37" s="172"/>
      <c r="CF37" s="172"/>
      <c r="CG37" s="172"/>
      <c r="CH37" s="172"/>
      <c r="CI37" s="172"/>
      <c r="CJ37" s="172"/>
      <c r="CK37" s="172"/>
      <c r="CL37" s="172"/>
      <c r="CM37" s="172"/>
      <c r="CN37" s="172"/>
      <c r="CO37" s="172"/>
      <c r="CP37" s="172"/>
      <c r="CQ37" s="172"/>
      <c r="CR37" s="172"/>
      <c r="CS37" s="172"/>
      <c r="CT37" s="172"/>
      <c r="CU37" s="172"/>
      <c r="CV37" s="172"/>
      <c r="CW37" s="172"/>
      <c r="CX37" s="172"/>
      <c r="CY37" s="172"/>
      <c r="CZ37" s="172"/>
      <c r="DA37" s="172"/>
      <c r="DB37" s="172"/>
      <c r="DC37" s="172"/>
      <c r="DD37" s="172"/>
      <c r="DE37" s="172"/>
      <c r="DF37" s="172"/>
      <c r="DG37" s="172"/>
      <c r="DH37" s="172"/>
      <c r="DI37" s="172"/>
      <c r="DJ37" s="172"/>
      <c r="DK37" s="172"/>
      <c r="DL37" s="172"/>
      <c r="DM37" s="172"/>
      <c r="DN37" s="172"/>
      <c r="DO37" s="172"/>
      <c r="DP37" s="172"/>
      <c r="DQ37" s="172"/>
      <c r="DR37" s="172"/>
      <c r="DS37" s="172"/>
      <c r="DT37" s="172"/>
      <c r="DU37" s="172"/>
      <c r="DV37" s="172"/>
      <c r="DW37" s="172"/>
      <c r="DX37" s="172"/>
      <c r="DY37" s="172"/>
      <c r="DZ37" s="172"/>
      <c r="EA37" s="172"/>
      <c r="EB37" s="172"/>
      <c r="EC37" s="172"/>
      <c r="ED37" s="172"/>
      <c r="EE37" s="172"/>
      <c r="EF37" s="172"/>
      <c r="EG37" s="172"/>
      <c r="EH37" s="172"/>
      <c r="EI37" s="172"/>
      <c r="EJ37" s="172"/>
      <c r="EK37" s="172"/>
      <c r="EL37" s="172"/>
      <c r="EM37" s="172"/>
      <c r="EN37" s="172"/>
      <c r="EO37" s="172"/>
      <c r="EP37" s="172"/>
      <c r="EQ37" s="172"/>
      <c r="ER37" s="172"/>
      <c r="ES37" s="172"/>
      <c r="ET37" s="172"/>
      <c r="EU37" s="172"/>
      <c r="EV37" s="172"/>
      <c r="EW37" s="172"/>
      <c r="EX37" s="172"/>
      <c r="EY37" s="172"/>
      <c r="EZ37" s="172"/>
      <c r="FA37" s="172"/>
      <c r="FB37" s="172"/>
      <c r="FC37" s="172"/>
      <c r="FD37" s="172"/>
      <c r="FE37" s="172"/>
      <c r="FF37" s="172"/>
      <c r="FG37" s="172"/>
      <c r="FH37" s="172"/>
      <c r="FI37" s="172"/>
      <c r="FJ37" s="172"/>
      <c r="FK37" s="172"/>
      <c r="FL37" s="172"/>
      <c r="FM37" s="172"/>
      <c r="FN37" s="172"/>
      <c r="FO37" s="172"/>
      <c r="FP37" s="172"/>
      <c r="FQ37" s="172"/>
      <c r="FR37" s="172"/>
      <c r="FS37" s="172"/>
      <c r="FT37" s="172"/>
      <c r="FU37" s="172"/>
      <c r="FV37" s="172"/>
      <c r="FW37" s="172"/>
      <c r="FX37" s="172"/>
      <c r="FY37" s="172"/>
      <c r="FZ37" s="172"/>
      <c r="GA37" s="172"/>
      <c r="GB37" s="172"/>
      <c r="GC37" s="172"/>
      <c r="GD37" s="172"/>
      <c r="GE37" s="172"/>
      <c r="GF37" s="172"/>
      <c r="GG37" s="172"/>
      <c r="GH37" s="172"/>
      <c r="GI37" s="172"/>
      <c r="GJ37" s="172"/>
      <c r="GK37" s="172"/>
      <c r="GL37" s="172"/>
      <c r="GM37" s="172"/>
      <c r="GN37" s="172"/>
      <c r="GO37" s="172"/>
      <c r="GP37" s="172"/>
      <c r="GQ37" s="172"/>
      <c r="GR37" s="172"/>
      <c r="GS37" s="172"/>
      <c r="GT37" s="172"/>
      <c r="GU37" s="172"/>
      <c r="GV37" s="172"/>
      <c r="GW37" s="172"/>
      <c r="GX37" s="172"/>
      <c r="GY37" s="172"/>
      <c r="GZ37" s="172"/>
      <c r="HA37" s="172"/>
      <c r="HB37" s="172"/>
      <c r="HC37" s="172"/>
      <c r="HD37" s="172"/>
      <c r="HE37" s="172"/>
      <c r="HF37" s="172"/>
      <c r="HG37" s="172"/>
      <c r="HH37" s="172"/>
      <c r="HI37" s="172"/>
      <c r="HJ37" s="172"/>
      <c r="HK37" s="172"/>
      <c r="HL37" s="172"/>
      <c r="HM37" s="172"/>
      <c r="HN37" s="172"/>
      <c r="HO37" s="172"/>
      <c r="HP37" s="172"/>
      <c r="HQ37" s="172"/>
      <c r="HR37" s="172"/>
      <c r="HS37" s="172"/>
      <c r="HT37" s="172"/>
      <c r="HU37" s="172"/>
      <c r="HV37" s="172"/>
      <c r="HW37" s="172"/>
      <c r="HX37" s="172"/>
      <c r="HY37" s="172"/>
      <c r="HZ37" s="172"/>
      <c r="IA37" s="172"/>
      <c r="IB37" s="172"/>
      <c r="IC37" s="172"/>
      <c r="ID37" s="172"/>
      <c r="IE37" s="172"/>
      <c r="IF37" s="172"/>
      <c r="IG37" s="172"/>
      <c r="IH37" s="172"/>
      <c r="II37" s="172"/>
      <c r="IJ37" s="172"/>
      <c r="IK37" s="172"/>
      <c r="IL37" s="172"/>
      <c r="IM37" s="172"/>
      <c r="IN37" s="172"/>
      <c r="IO37" s="172"/>
      <c r="IP37" s="172"/>
      <c r="IQ37" s="172"/>
      <c r="IR37" s="172"/>
      <c r="IS37" s="172"/>
      <c r="IT37" s="172"/>
      <c r="IU37" s="172"/>
      <c r="IV37" s="172"/>
      <c r="IW37" s="172"/>
      <c r="IX37" s="172"/>
      <c r="IY37" s="172"/>
      <c r="IZ37" s="172"/>
      <c r="JA37" s="172"/>
      <c r="JB37" s="172"/>
      <c r="JC37" s="172"/>
      <c r="JD37" s="172"/>
      <c r="JE37" s="172"/>
      <c r="JF37" s="172"/>
      <c r="JG37" s="172"/>
      <c r="JH37" s="172"/>
      <c r="JI37" s="172"/>
      <c r="JJ37" s="172"/>
      <c r="JK37" s="172"/>
      <c r="JL37" s="172"/>
      <c r="JM37" s="172"/>
      <c r="JN37" s="172"/>
      <c r="JO37" s="172"/>
      <c r="JP37" s="172"/>
      <c r="JQ37" s="172"/>
      <c r="JR37" s="172"/>
      <c r="JS37" s="172"/>
      <c r="JT37" s="172"/>
      <c r="JU37" s="172"/>
      <c r="JV37" s="172"/>
      <c r="JW37" s="172"/>
      <c r="JX37" s="172"/>
      <c r="JY37" s="172"/>
      <c r="JZ37" s="172"/>
      <c r="KA37" s="172"/>
      <c r="KB37" s="172"/>
      <c r="KC37" s="172"/>
      <c r="KD37" s="172"/>
      <c r="KE37" s="172"/>
      <c r="KF37" s="172"/>
      <c r="KG37" s="172"/>
      <c r="KH37" s="172"/>
      <c r="KI37" s="172"/>
      <c r="KJ37" s="172"/>
      <c r="KK37" s="172"/>
      <c r="KL37" s="172"/>
      <c r="KM37" s="172"/>
      <c r="KN37" s="172"/>
      <c r="KO37" s="172"/>
      <c r="KP37" s="172"/>
      <c r="KQ37" s="172"/>
      <c r="KR37" s="172"/>
      <c r="KS37" s="172"/>
      <c r="KT37" s="172"/>
      <c r="KU37" s="172"/>
      <c r="KV37" s="172"/>
      <c r="KW37" s="172"/>
      <c r="KX37" s="172"/>
      <c r="KY37" s="172"/>
      <c r="KZ37" s="172"/>
      <c r="LA37" s="172"/>
      <c r="LB37" s="172"/>
      <c r="LC37" s="172"/>
      <c r="LD37" s="172"/>
      <c r="LE37" s="172"/>
      <c r="LF37" s="172"/>
      <c r="LG37" s="172"/>
      <c r="LH37" s="172"/>
      <c r="LI37" s="172"/>
      <c r="LJ37" s="172"/>
      <c r="LK37" s="172"/>
      <c r="LL37" s="172"/>
      <c r="LM37" s="172"/>
      <c r="LN37" s="172"/>
      <c r="LO37" s="172"/>
      <c r="LP37" s="172"/>
      <c r="LQ37" s="172"/>
      <c r="LR37" s="172"/>
      <c r="LS37" s="172"/>
      <c r="LT37" s="172"/>
      <c r="LU37" s="172"/>
      <c r="LV37" s="172"/>
      <c r="LW37" s="172"/>
      <c r="LX37" s="172"/>
      <c r="LY37" s="172"/>
      <c r="LZ37" s="172"/>
      <c r="MA37" s="172"/>
      <c r="MB37" s="172"/>
      <c r="MC37" s="172"/>
      <c r="MD37" s="172"/>
      <c r="ME37" s="172"/>
      <c r="MF37" s="172"/>
      <c r="MG37" s="172"/>
      <c r="MH37" s="172"/>
      <c r="MI37" s="172"/>
      <c r="MJ37" s="172"/>
      <c r="MK37" s="172"/>
      <c r="ML37" s="172"/>
      <c r="MM37" s="172"/>
      <c r="MN37" s="172"/>
      <c r="MO37" s="172"/>
      <c r="MP37" s="172"/>
      <c r="MQ37" s="172"/>
      <c r="MR37" s="172"/>
      <c r="MS37" s="172"/>
      <c r="MT37" s="172"/>
      <c r="MU37" s="172"/>
      <c r="MV37" s="172"/>
      <c r="MW37" s="172"/>
      <c r="MX37" s="172"/>
      <c r="MY37" s="172"/>
      <c r="MZ37" s="172"/>
      <c r="NA37" s="172"/>
      <c r="NB37" s="172"/>
      <c r="NC37" s="172"/>
      <c r="ND37" s="172"/>
      <c r="NE37" s="172"/>
      <c r="NF37" s="172"/>
      <c r="NG37" s="172"/>
      <c r="NH37" s="172"/>
      <c r="NI37" s="172"/>
      <c r="NJ37" s="172"/>
      <c r="NK37" s="172"/>
      <c r="NL37" s="172"/>
      <c r="NM37" s="172"/>
      <c r="NN37" s="172"/>
      <c r="NO37" s="172"/>
      <c r="NP37" s="172"/>
      <c r="NQ37" s="172"/>
      <c r="NR37" s="172"/>
      <c r="NS37" s="172"/>
      <c r="NT37" s="172"/>
      <c r="NU37" s="172"/>
      <c r="NV37" s="172"/>
      <c r="NW37" s="172"/>
      <c r="NX37" s="172"/>
      <c r="NY37" s="172"/>
      <c r="NZ37" s="172"/>
      <c r="OA37" s="172"/>
      <c r="OB37" s="172"/>
      <c r="OC37" s="172"/>
      <c r="OD37" s="172"/>
      <c r="OE37" s="172"/>
      <c r="OF37" s="172"/>
      <c r="OG37" s="172"/>
      <c r="OH37" s="172"/>
      <c r="OI37" s="172"/>
      <c r="OJ37" s="172"/>
      <c r="OK37" s="172"/>
      <c r="OL37" s="172"/>
      <c r="OM37" s="172"/>
      <c r="ON37" s="172"/>
      <c r="OO37" s="172"/>
      <c r="OP37" s="172"/>
      <c r="OQ37" s="172"/>
      <c r="OR37" s="172"/>
      <c r="OS37" s="172"/>
      <c r="OT37" s="172"/>
      <c r="OU37" s="172"/>
      <c r="OV37" s="172"/>
      <c r="OW37" s="172"/>
      <c r="OX37" s="172"/>
      <c r="OY37" s="172"/>
      <c r="OZ37" s="172"/>
      <c r="PA37" s="172"/>
      <c r="PB37" s="172"/>
      <c r="PC37" s="172"/>
      <c r="PD37" s="172"/>
      <c r="PE37" s="172"/>
      <c r="PF37" s="172"/>
      <c r="PG37" s="172"/>
      <c r="PH37" s="172"/>
      <c r="PI37" s="172"/>
      <c r="PJ37" s="172"/>
      <c r="PK37" s="172"/>
      <c r="PL37" s="172"/>
      <c r="PM37" s="172"/>
      <c r="PN37" s="172"/>
      <c r="PO37" s="172"/>
      <c r="PP37" s="172"/>
      <c r="PQ37" s="172"/>
      <c r="PR37" s="172"/>
      <c r="PS37" s="172"/>
      <c r="PT37" s="172"/>
      <c r="PU37" s="172"/>
      <c r="PV37" s="172"/>
      <c r="PW37" s="172"/>
      <c r="PX37" s="172"/>
      <c r="PY37" s="172"/>
      <c r="PZ37" s="172"/>
      <c r="QA37" s="172"/>
      <c r="QB37" s="172"/>
      <c r="QC37" s="172"/>
      <c r="QD37" s="172"/>
      <c r="QE37" s="172"/>
      <c r="QF37" s="172"/>
      <c r="QG37" s="172"/>
      <c r="QH37" s="172"/>
      <c r="QI37" s="172"/>
      <c r="QJ37" s="172"/>
      <c r="QK37" s="172"/>
      <c r="QL37" s="172"/>
      <c r="QM37" s="172"/>
      <c r="QN37" s="172"/>
      <c r="QO37" s="172"/>
      <c r="QP37" s="172"/>
      <c r="QQ37" s="172"/>
      <c r="QR37" s="172"/>
      <c r="QS37" s="172"/>
      <c r="QT37" s="172"/>
      <c r="QU37" s="172"/>
      <c r="QV37" s="172"/>
      <c r="QW37" s="172"/>
      <c r="QX37" s="172"/>
      <c r="QY37" s="172"/>
      <c r="QZ37" s="172"/>
      <c r="RA37" s="172"/>
      <c r="RB37" s="172"/>
      <c r="RC37" s="172"/>
      <c r="RD37" s="172"/>
      <c r="RE37" s="172"/>
      <c r="RF37" s="172"/>
      <c r="RG37" s="172"/>
      <c r="RH37" s="172"/>
      <c r="RI37" s="172"/>
      <c r="RJ37" s="172"/>
      <c r="RK37" s="172"/>
      <c r="RL37" s="172"/>
      <c r="RM37" s="172"/>
      <c r="RN37" s="172"/>
      <c r="RO37" s="172"/>
      <c r="RP37" s="172"/>
      <c r="RQ37" s="172"/>
      <c r="RR37" s="172"/>
      <c r="RS37" s="172"/>
      <c r="RT37" s="172"/>
      <c r="RU37" s="172"/>
      <c r="RV37" s="172"/>
      <c r="RW37" s="172"/>
      <c r="RX37" s="172"/>
      <c r="RY37" s="172"/>
      <c r="RZ37" s="172"/>
      <c r="SA37" s="172"/>
      <c r="SB37" s="172"/>
      <c r="SC37" s="172"/>
      <c r="SD37" s="172"/>
      <c r="SE37" s="172"/>
      <c r="SF37" s="172"/>
      <c r="SG37" s="172"/>
      <c r="SH37" s="172"/>
      <c r="SI37" s="172"/>
      <c r="SJ37" s="172"/>
      <c r="SK37" s="172"/>
      <c r="SL37" s="172"/>
      <c r="SM37" s="172"/>
      <c r="SN37" s="172"/>
      <c r="SO37" s="172"/>
      <c r="SP37" s="172"/>
      <c r="SQ37" s="172"/>
      <c r="SR37" s="172"/>
      <c r="SS37" s="172"/>
      <c r="ST37" s="172"/>
      <c r="SU37" s="172"/>
      <c r="SV37" s="172"/>
      <c r="SW37" s="172"/>
      <c r="SX37" s="172"/>
      <c r="SY37" s="172"/>
      <c r="SZ37" s="172"/>
      <c r="TA37" s="172"/>
      <c r="TB37" s="172"/>
      <c r="TC37" s="172"/>
      <c r="TD37" s="172"/>
      <c r="TE37" s="172"/>
      <c r="TF37" s="172"/>
      <c r="TG37" s="172"/>
      <c r="TH37" s="172"/>
      <c r="TI37" s="172"/>
      <c r="TJ37" s="172"/>
      <c r="TK37" s="172"/>
      <c r="TL37" s="172"/>
      <c r="TM37" s="172"/>
      <c r="TN37" s="172"/>
      <c r="TO37" s="172"/>
      <c r="TP37" s="172"/>
      <c r="TQ37" s="172"/>
      <c r="TR37" s="172"/>
      <c r="TS37" s="172"/>
      <c r="TT37" s="172"/>
      <c r="TU37" s="172"/>
      <c r="TV37" s="172"/>
      <c r="TW37" s="172"/>
      <c r="TX37" s="172"/>
      <c r="TY37" s="172"/>
      <c r="TZ37" s="172"/>
      <c r="UA37" s="172"/>
      <c r="UB37" s="172"/>
      <c r="UC37" s="172"/>
      <c r="UD37" s="172"/>
      <c r="UE37" s="172"/>
      <c r="UF37" s="172"/>
      <c r="UG37" s="172"/>
      <c r="UH37" s="172"/>
      <c r="UI37" s="172"/>
      <c r="UJ37" s="172"/>
      <c r="UK37" s="172"/>
      <c r="UL37" s="172"/>
      <c r="UM37" s="172"/>
      <c r="UN37" s="172"/>
      <c r="UO37" s="172"/>
      <c r="UP37" s="172"/>
      <c r="UQ37" s="172"/>
      <c r="UR37" s="172"/>
      <c r="US37" s="172"/>
      <c r="UT37" s="172"/>
      <c r="UU37" s="172"/>
      <c r="UV37" s="172"/>
      <c r="UW37" s="172"/>
      <c r="UX37" s="172"/>
      <c r="UY37" s="172"/>
      <c r="UZ37" s="172"/>
      <c r="VA37" s="172"/>
      <c r="VB37" s="172"/>
      <c r="VC37" s="172"/>
      <c r="VD37" s="172"/>
      <c r="VE37" s="172"/>
      <c r="VF37" s="172"/>
      <c r="VG37" s="172"/>
      <c r="VH37" s="172"/>
      <c r="VI37" s="172"/>
      <c r="VJ37" s="172"/>
      <c r="VK37" s="172"/>
      <c r="VL37" s="172"/>
      <c r="VM37" s="172"/>
      <c r="VN37" s="172"/>
      <c r="VO37" s="172"/>
      <c r="VP37" s="172"/>
      <c r="VQ37" s="172"/>
      <c r="VR37" s="172"/>
      <c r="VS37" s="172"/>
      <c r="VT37" s="172"/>
      <c r="VU37" s="172"/>
      <c r="VV37" s="172"/>
      <c r="VW37" s="172"/>
      <c r="VX37" s="172"/>
      <c r="VY37" s="172"/>
      <c r="VZ37" s="172"/>
      <c r="WA37" s="172"/>
      <c r="WB37" s="172"/>
      <c r="WC37" s="172"/>
      <c r="WD37" s="172"/>
      <c r="WE37" s="172"/>
      <c r="WF37" s="172"/>
      <c r="WG37" s="172"/>
      <c r="WH37" s="172"/>
      <c r="WI37" s="172"/>
      <c r="WJ37" s="172"/>
      <c r="WK37" s="172"/>
      <c r="WL37" s="172"/>
      <c r="WM37" s="172"/>
      <c r="WN37" s="172"/>
      <c r="WO37" s="172"/>
      <c r="WP37" s="172"/>
      <c r="WQ37" s="172"/>
      <c r="WR37" s="172"/>
      <c r="WS37" s="172"/>
      <c r="WT37" s="172"/>
      <c r="WU37" s="172"/>
      <c r="WV37" s="172"/>
      <c r="WW37" s="172"/>
      <c r="WX37" s="172"/>
      <c r="WY37" s="172"/>
      <c r="WZ37" s="172"/>
      <c r="XA37" s="172"/>
      <c r="XB37" s="172"/>
      <c r="XC37" s="172"/>
      <c r="XD37" s="172"/>
      <c r="XE37" s="172"/>
      <c r="XF37" s="172"/>
      <c r="XG37" s="172"/>
      <c r="XH37" s="172"/>
      <c r="XI37" s="172"/>
      <c r="XJ37" s="172"/>
      <c r="XK37" s="172"/>
      <c r="XL37" s="172"/>
      <c r="XM37" s="172"/>
      <c r="XN37" s="172"/>
      <c r="XO37" s="172"/>
      <c r="XP37" s="172"/>
      <c r="XQ37" s="172"/>
      <c r="XR37" s="172"/>
      <c r="XS37" s="172"/>
      <c r="XT37" s="172"/>
      <c r="XU37" s="172"/>
      <c r="XV37" s="172"/>
      <c r="XW37" s="172"/>
      <c r="XX37" s="172"/>
      <c r="XY37" s="172"/>
      <c r="XZ37" s="172"/>
      <c r="YA37" s="172"/>
      <c r="YB37" s="172"/>
      <c r="YC37" s="172"/>
      <c r="YD37" s="172"/>
      <c r="YE37" s="172"/>
      <c r="YF37" s="172"/>
      <c r="YG37" s="172"/>
      <c r="YH37" s="172"/>
      <c r="YI37" s="172"/>
      <c r="YJ37" s="172"/>
      <c r="YK37" s="172"/>
      <c r="YL37" s="172"/>
      <c r="YM37" s="172"/>
      <c r="YN37" s="172"/>
      <c r="YO37" s="172"/>
      <c r="YP37" s="172"/>
      <c r="YQ37" s="172"/>
      <c r="YR37" s="172"/>
      <c r="YS37" s="172"/>
      <c r="YT37" s="172"/>
      <c r="YU37" s="172"/>
      <c r="YV37" s="172"/>
      <c r="YW37" s="172"/>
      <c r="YX37" s="172"/>
      <c r="YY37" s="172"/>
      <c r="YZ37" s="172"/>
      <c r="ZA37" s="172"/>
      <c r="ZB37" s="172"/>
      <c r="ZC37" s="172"/>
      <c r="ZD37" s="172"/>
      <c r="ZE37" s="172"/>
      <c r="ZF37" s="172"/>
      <c r="ZG37" s="172"/>
      <c r="ZH37" s="172"/>
      <c r="ZI37" s="172"/>
      <c r="ZJ37" s="172"/>
      <c r="ZK37" s="172"/>
      <c r="ZL37" s="172"/>
      <c r="ZM37" s="172"/>
      <c r="ZN37" s="172"/>
      <c r="ZO37" s="172"/>
      <c r="ZP37" s="172"/>
      <c r="ZQ37" s="172"/>
      <c r="ZR37" s="172"/>
      <c r="ZS37" s="172"/>
      <c r="ZT37" s="172"/>
      <c r="ZU37" s="172"/>
      <c r="ZV37" s="172"/>
      <c r="ZW37" s="172"/>
      <c r="ZX37" s="172"/>
      <c r="ZY37" s="172"/>
      <c r="ZZ37" s="172"/>
      <c r="AAA37" s="172"/>
      <c r="AAB37" s="172"/>
      <c r="AAC37" s="172"/>
      <c r="AAD37" s="172"/>
      <c r="AAE37" s="172"/>
      <c r="AAF37" s="172"/>
      <c r="AAG37" s="172"/>
      <c r="AAH37" s="172"/>
      <c r="AAI37" s="172"/>
      <c r="AAJ37" s="172"/>
      <c r="AAK37" s="172"/>
      <c r="AAL37" s="172"/>
      <c r="AAM37" s="172"/>
      <c r="AAN37" s="172"/>
      <c r="AAO37" s="172"/>
      <c r="AAP37" s="172"/>
      <c r="AAQ37" s="172"/>
      <c r="AAR37" s="172"/>
      <c r="AAS37" s="172"/>
      <c r="AAT37" s="172"/>
      <c r="AAU37" s="172"/>
      <c r="AAV37" s="172"/>
      <c r="AAW37" s="172"/>
      <c r="AAX37" s="172"/>
      <c r="AAY37" s="172"/>
      <c r="AAZ37" s="172"/>
      <c r="ABA37" s="172"/>
      <c r="ABB37" s="172"/>
      <c r="ABC37" s="172"/>
      <c r="ABD37" s="172"/>
      <c r="ABE37" s="172"/>
      <c r="ABF37" s="172"/>
      <c r="ABG37" s="172"/>
      <c r="ABH37" s="172"/>
      <c r="ABI37" s="172"/>
      <c r="ABJ37" s="172"/>
      <c r="ABK37" s="172"/>
      <c r="ABL37" s="172"/>
      <c r="ABM37" s="172"/>
      <c r="ABN37" s="172"/>
      <c r="ABO37" s="172"/>
      <c r="ABP37" s="172"/>
      <c r="ABQ37" s="172"/>
      <c r="ABR37" s="172"/>
      <c r="ABS37" s="172"/>
      <c r="ABT37" s="172"/>
      <c r="ABU37" s="172"/>
      <c r="ABV37" s="172"/>
      <c r="ABW37" s="172"/>
      <c r="ABX37" s="172"/>
      <c r="ABY37" s="172"/>
      <c r="ABZ37" s="172"/>
      <c r="ACA37" s="172"/>
      <c r="ACB37" s="172"/>
      <c r="ACC37" s="172"/>
      <c r="ACD37" s="172"/>
      <c r="ACE37" s="172"/>
      <c r="ACF37" s="172"/>
      <c r="ACG37" s="172"/>
      <c r="ACH37" s="172"/>
      <c r="ACI37" s="172"/>
      <c r="ACJ37" s="172"/>
      <c r="ACK37" s="172"/>
      <c r="ACL37" s="172"/>
      <c r="ACM37" s="172"/>
      <c r="ACN37" s="172"/>
      <c r="ACO37" s="172"/>
      <c r="ACP37" s="172"/>
      <c r="ACQ37" s="172"/>
      <c r="ACR37" s="172"/>
      <c r="ACS37" s="172"/>
      <c r="ACT37" s="172"/>
      <c r="ACU37" s="172"/>
      <c r="ACV37" s="172"/>
      <c r="ACW37" s="172"/>
      <c r="ACX37" s="172"/>
      <c r="ACY37" s="172"/>
      <c r="ACZ37" s="172"/>
      <c r="ADA37" s="172"/>
      <c r="ADB37" s="172"/>
      <c r="ADC37" s="172"/>
      <c r="ADD37" s="172"/>
      <c r="ADE37" s="172"/>
      <c r="ADF37" s="172"/>
      <c r="ADG37" s="172"/>
      <c r="ADH37" s="172"/>
      <c r="ADI37" s="172"/>
      <c r="ADJ37" s="172"/>
      <c r="ADK37" s="172"/>
      <c r="ADL37" s="172"/>
      <c r="ADM37" s="172"/>
      <c r="ADN37" s="172"/>
      <c r="ADO37" s="172"/>
      <c r="ADP37" s="172"/>
      <c r="ADQ37" s="172"/>
      <c r="ADR37" s="172"/>
      <c r="ADS37" s="172"/>
      <c r="ADT37" s="172"/>
      <c r="ADU37" s="172"/>
      <c r="ADV37" s="172"/>
      <c r="ADW37" s="172"/>
      <c r="ADX37" s="172"/>
      <c r="ADY37" s="172"/>
      <c r="ADZ37" s="172"/>
      <c r="AEA37" s="172"/>
      <c r="AEB37" s="172"/>
      <c r="AEC37" s="172"/>
      <c r="AED37" s="172"/>
      <c r="AEE37" s="172"/>
      <c r="AEF37" s="172"/>
      <c r="AEG37" s="172"/>
      <c r="AEH37" s="172"/>
      <c r="AEI37" s="172"/>
      <c r="AEJ37" s="172"/>
      <c r="AEK37" s="172"/>
      <c r="AEL37" s="172"/>
      <c r="AEM37" s="172"/>
      <c r="AEN37" s="172"/>
      <c r="AEO37" s="172"/>
      <c r="AEP37" s="172"/>
      <c r="AEQ37" s="172"/>
      <c r="AER37" s="172"/>
      <c r="AES37" s="172"/>
      <c r="AET37" s="172"/>
      <c r="AEU37" s="172"/>
      <c r="AEV37" s="172"/>
      <c r="AEW37" s="172"/>
      <c r="AEX37" s="172"/>
      <c r="AEY37" s="172"/>
      <c r="AEZ37" s="172"/>
      <c r="AFA37" s="172"/>
      <c r="AFB37" s="172"/>
      <c r="AFC37" s="172"/>
      <c r="AFD37" s="172"/>
      <c r="AFE37" s="172"/>
      <c r="AFF37" s="172"/>
      <c r="AFG37" s="172"/>
      <c r="AFH37" s="172"/>
      <c r="AFI37" s="172"/>
      <c r="AFJ37" s="172"/>
      <c r="AFK37" s="172"/>
      <c r="AFL37" s="172"/>
      <c r="AFM37" s="172"/>
      <c r="AFN37" s="172"/>
      <c r="AFO37" s="172"/>
      <c r="AFP37" s="172"/>
      <c r="AFQ37" s="172"/>
      <c r="AFR37" s="172"/>
      <c r="AFS37" s="172"/>
      <c r="AFT37" s="172"/>
      <c r="AFU37" s="172"/>
      <c r="AFV37" s="172"/>
      <c r="AFW37" s="172"/>
      <c r="AFX37" s="172"/>
      <c r="AFY37" s="172"/>
      <c r="AFZ37" s="172"/>
      <c r="AGA37" s="172"/>
      <c r="AGB37" s="172"/>
      <c r="AGC37" s="172"/>
      <c r="AGD37" s="172"/>
      <c r="AGE37" s="172"/>
      <c r="AGF37" s="172"/>
      <c r="AGG37" s="172"/>
      <c r="AGH37" s="172"/>
      <c r="AGI37" s="172"/>
      <c r="AGJ37" s="172"/>
      <c r="AGK37" s="172"/>
      <c r="AGL37" s="172"/>
      <c r="AGM37" s="172"/>
      <c r="AGN37" s="172"/>
      <c r="AGO37" s="172"/>
      <c r="AGP37" s="172"/>
      <c r="AGQ37" s="172"/>
      <c r="AGR37" s="172"/>
      <c r="AGS37" s="172"/>
      <c r="AGT37" s="172"/>
      <c r="AGU37" s="172"/>
      <c r="AGV37" s="172"/>
      <c r="AGW37" s="172"/>
      <c r="AGX37" s="172"/>
      <c r="AGY37" s="172"/>
      <c r="AGZ37" s="172"/>
      <c r="AHA37" s="172"/>
      <c r="AHB37" s="172"/>
      <c r="AHC37" s="172"/>
      <c r="AHD37" s="172"/>
      <c r="AHE37" s="172"/>
      <c r="AHF37" s="172"/>
      <c r="AHG37" s="172"/>
      <c r="AHH37" s="172"/>
      <c r="AHI37" s="172"/>
      <c r="AHJ37" s="172"/>
      <c r="AHK37" s="172"/>
      <c r="AHL37" s="172"/>
      <c r="AHM37" s="172"/>
      <c r="AHN37" s="172"/>
      <c r="AHO37" s="172"/>
      <c r="AHP37" s="172"/>
      <c r="AHQ37" s="172"/>
      <c r="AHR37" s="172"/>
      <c r="AHS37" s="172"/>
      <c r="AHT37" s="172"/>
      <c r="AHU37" s="172"/>
      <c r="AHV37" s="172"/>
      <c r="AHW37" s="172"/>
      <c r="AHX37" s="172"/>
      <c r="AHY37" s="172"/>
      <c r="AHZ37" s="172"/>
      <c r="AIA37" s="172"/>
      <c r="AIB37" s="172"/>
      <c r="AIC37" s="172"/>
      <c r="AID37" s="172"/>
      <c r="AIE37" s="172"/>
      <c r="AIF37" s="172"/>
      <c r="AIG37" s="172"/>
      <c r="AIH37" s="172"/>
      <c r="AII37" s="172"/>
      <c r="AIJ37" s="172"/>
      <c r="AIK37" s="172"/>
      <c r="AIL37" s="172"/>
      <c r="AIM37" s="172"/>
      <c r="AIN37" s="172"/>
      <c r="AIO37" s="172"/>
      <c r="AIP37" s="172"/>
      <c r="AIQ37" s="172"/>
      <c r="AIR37" s="172"/>
      <c r="AIS37" s="172"/>
      <c r="AIT37" s="172"/>
      <c r="AIU37" s="172"/>
      <c r="AIV37" s="172"/>
      <c r="AIW37" s="172"/>
      <c r="AIX37" s="172"/>
      <c r="AIY37" s="172"/>
      <c r="AIZ37" s="172"/>
      <c r="AJA37" s="172"/>
      <c r="AJB37" s="172"/>
      <c r="AJC37" s="172"/>
      <c r="AJD37" s="172"/>
      <c r="AJE37" s="172"/>
      <c r="AJF37" s="172"/>
      <c r="AJG37" s="172"/>
      <c r="AJH37" s="172"/>
      <c r="AJI37" s="172"/>
      <c r="AJJ37" s="172"/>
      <c r="AJK37" s="172"/>
      <c r="AJL37" s="172"/>
      <c r="AJM37" s="172"/>
      <c r="AJN37" s="172"/>
      <c r="AJO37" s="172"/>
      <c r="AJP37" s="172"/>
      <c r="AJQ37" s="172"/>
      <c r="AJR37" s="172"/>
      <c r="AJS37" s="172"/>
      <c r="AJT37" s="172"/>
      <c r="AJU37" s="172"/>
      <c r="AJV37" s="172"/>
      <c r="AJW37" s="172"/>
      <c r="AJX37" s="172"/>
      <c r="AJY37" s="172"/>
      <c r="AJZ37" s="172"/>
      <c r="AKA37" s="172"/>
      <c r="AKB37" s="172"/>
      <c r="AKC37" s="172"/>
      <c r="AKD37" s="172"/>
      <c r="AKE37" s="172"/>
      <c r="AKF37" s="172"/>
      <c r="AKG37" s="172"/>
      <c r="AKH37" s="172"/>
      <c r="AKI37" s="172"/>
      <c r="AKJ37" s="172"/>
      <c r="AKK37" s="172"/>
      <c r="AKL37" s="172"/>
      <c r="AKM37" s="172"/>
      <c r="AKN37" s="172"/>
      <c r="AKO37" s="172"/>
      <c r="AKP37" s="172"/>
      <c r="AKQ37" s="172"/>
      <c r="AKR37" s="172"/>
      <c r="AKS37" s="172"/>
      <c r="AKT37" s="172"/>
      <c r="AKU37" s="172"/>
      <c r="AKV37" s="172"/>
      <c r="AKW37" s="172"/>
      <c r="AKX37" s="172"/>
      <c r="AKY37" s="172"/>
      <c r="AKZ37" s="172"/>
      <c r="ALA37" s="172"/>
      <c r="ALB37" s="172"/>
      <c r="ALC37" s="172"/>
      <c r="ALD37" s="172"/>
      <c r="ALE37" s="172"/>
      <c r="ALF37" s="172"/>
      <c r="ALG37" s="172"/>
      <c r="ALH37" s="172"/>
      <c r="ALI37" s="172"/>
      <c r="ALJ37" s="172"/>
      <c r="ALK37" s="172"/>
      <c r="ALL37" s="172"/>
      <c r="ALM37" s="172"/>
      <c r="ALN37" s="172"/>
      <c r="ALO37" s="172"/>
      <c r="ALP37" s="172"/>
      <c r="ALQ37" s="172"/>
      <c r="ALR37" s="172"/>
      <c r="ALS37" s="172"/>
      <c r="ALT37" s="172"/>
      <c r="ALU37" s="172"/>
      <c r="ALV37" s="172"/>
      <c r="ALW37" s="172"/>
      <c r="ALX37" s="172"/>
      <c r="ALY37" s="172"/>
      <c r="ALZ37" s="172"/>
      <c r="AMA37" s="172"/>
      <c r="AMB37" s="172"/>
      <c r="AMC37" s="172"/>
      <c r="AMD37" s="172"/>
      <c r="AME37" s="172"/>
      <c r="AMF37" s="172"/>
      <c r="AMG37" s="172"/>
      <c r="AMH37" s="172"/>
      <c r="AMI37" s="172"/>
      <c r="AMJ37" s="172"/>
      <c r="AMK37" s="172"/>
      <c r="AML37" s="172"/>
      <c r="AMM37" s="172"/>
      <c r="AMN37" s="172"/>
      <c r="AMO37" s="172"/>
      <c r="AMP37" s="172"/>
      <c r="AMQ37" s="172"/>
      <c r="AMR37" s="172"/>
      <c r="AMS37" s="172"/>
      <c r="AMT37" s="172"/>
      <c r="AMU37" s="172"/>
      <c r="AMV37" s="172"/>
      <c r="AMW37" s="172"/>
      <c r="AMX37" s="172"/>
      <c r="AMY37" s="172"/>
      <c r="AMZ37" s="172"/>
      <c r="ANA37" s="172"/>
      <c r="ANB37" s="172"/>
      <c r="ANC37" s="172"/>
      <c r="AND37" s="172"/>
      <c r="ANE37" s="172"/>
      <c r="ANF37" s="172"/>
      <c r="ANG37" s="172"/>
      <c r="ANH37" s="172"/>
      <c r="ANI37" s="172"/>
      <c r="ANJ37" s="172"/>
      <c r="ANK37" s="172"/>
      <c r="ANL37" s="172"/>
      <c r="ANM37" s="172"/>
      <c r="ANN37" s="172"/>
      <c r="ANO37" s="172"/>
      <c r="ANP37" s="172"/>
      <c r="ANQ37" s="172"/>
      <c r="ANR37" s="172"/>
      <c r="ANS37" s="172"/>
      <c r="ANT37" s="172"/>
      <c r="ANU37" s="172"/>
      <c r="ANV37" s="172"/>
      <c r="ANW37" s="172"/>
      <c r="ANX37" s="172"/>
      <c r="ANY37" s="172"/>
      <c r="ANZ37" s="172"/>
      <c r="AOA37" s="172"/>
      <c r="AOB37" s="172"/>
      <c r="AOC37" s="172"/>
      <c r="AOD37" s="172"/>
      <c r="AOE37" s="172"/>
      <c r="AOF37" s="172"/>
      <c r="AOG37" s="172"/>
      <c r="AOH37" s="172"/>
      <c r="AOI37" s="172"/>
      <c r="AOJ37" s="172"/>
      <c r="AOK37" s="172"/>
      <c r="AOL37" s="172"/>
      <c r="AOM37" s="172"/>
      <c r="AON37" s="172"/>
      <c r="AOO37" s="172"/>
      <c r="AOP37" s="172"/>
      <c r="AOQ37" s="172"/>
      <c r="AOR37" s="172"/>
      <c r="AOS37" s="172"/>
      <c r="AOT37" s="172"/>
      <c r="AOU37" s="172"/>
      <c r="AOV37" s="172"/>
      <c r="AOW37" s="172"/>
      <c r="AOX37" s="172"/>
      <c r="AOY37" s="172"/>
      <c r="AOZ37" s="172"/>
      <c r="APA37" s="172"/>
      <c r="APB37" s="172"/>
      <c r="APC37" s="172"/>
      <c r="APD37" s="172"/>
      <c r="APE37" s="172"/>
      <c r="APF37" s="172"/>
      <c r="APG37" s="172"/>
      <c r="APH37" s="172"/>
      <c r="API37" s="172"/>
      <c r="APJ37" s="172"/>
      <c r="APK37" s="172"/>
      <c r="APL37" s="172"/>
      <c r="APM37" s="172"/>
      <c r="APN37" s="172"/>
      <c r="APO37" s="172"/>
      <c r="APP37" s="172"/>
      <c r="APQ37" s="172"/>
      <c r="APR37" s="172"/>
      <c r="APS37" s="172"/>
      <c r="APT37" s="172"/>
      <c r="APU37" s="172"/>
      <c r="APV37" s="172"/>
      <c r="APW37" s="172"/>
      <c r="APX37" s="172"/>
      <c r="APY37" s="172"/>
      <c r="APZ37" s="172"/>
      <c r="AQA37" s="172"/>
      <c r="AQB37" s="172"/>
      <c r="AQC37" s="172"/>
      <c r="AQD37" s="172"/>
      <c r="AQE37" s="172"/>
      <c r="AQF37" s="172"/>
      <c r="AQG37" s="172"/>
      <c r="AQH37" s="172"/>
      <c r="AQI37" s="172"/>
      <c r="AQJ37" s="172"/>
      <c r="AQK37" s="172"/>
      <c r="AQL37" s="172"/>
      <c r="AQM37" s="172"/>
      <c r="AQN37" s="172"/>
      <c r="AQO37" s="172"/>
      <c r="AQP37" s="172"/>
      <c r="AQQ37" s="172"/>
      <c r="AQR37" s="172"/>
      <c r="AQS37" s="172"/>
      <c r="AQT37" s="172"/>
      <c r="AQU37" s="172"/>
      <c r="AQV37" s="172"/>
      <c r="AQW37" s="172"/>
      <c r="AQX37" s="172"/>
      <c r="AQY37" s="172"/>
      <c r="AQZ37" s="172"/>
      <c r="ARA37" s="172"/>
      <c r="ARB37" s="172"/>
      <c r="ARC37" s="172"/>
      <c r="ARD37" s="172"/>
      <c r="ARE37" s="172"/>
      <c r="ARF37" s="172"/>
      <c r="ARG37" s="172"/>
      <c r="ARH37" s="172"/>
      <c r="ARI37" s="172"/>
      <c r="ARJ37" s="172"/>
      <c r="ARK37" s="172"/>
      <c r="ARL37" s="172"/>
      <c r="ARM37" s="172"/>
      <c r="ARN37" s="172"/>
      <c r="ARO37" s="172"/>
      <c r="ARP37" s="172"/>
      <c r="ARQ37" s="172"/>
      <c r="ARR37" s="172"/>
      <c r="ARS37" s="172"/>
      <c r="ART37" s="172"/>
    </row>
    <row r="38" spans="1:1164" s="257" customFormat="1">
      <c r="A38" s="222" t="s">
        <v>376</v>
      </c>
      <c r="B38" s="195" t="s">
        <v>87</v>
      </c>
      <c r="C38" s="258">
        <v>2934</v>
      </c>
      <c r="D38" s="258"/>
      <c r="E38" s="198">
        <v>0</v>
      </c>
      <c r="F38" s="198">
        <v>0</v>
      </c>
      <c r="G38" s="198">
        <v>3613</v>
      </c>
      <c r="H38" s="198">
        <v>2899744</v>
      </c>
      <c r="I38" s="198">
        <v>48018</v>
      </c>
      <c r="J38" s="198">
        <v>18709900</v>
      </c>
      <c r="K38" s="198">
        <v>13158</v>
      </c>
      <c r="L38" s="198">
        <v>5373969</v>
      </c>
      <c r="M38" s="198">
        <v>35640</v>
      </c>
      <c r="N38" s="198">
        <v>17318707</v>
      </c>
      <c r="O38" s="198">
        <v>51977</v>
      </c>
      <c r="P38" s="198">
        <v>14815986</v>
      </c>
      <c r="Q38" s="198">
        <v>23969</v>
      </c>
      <c r="R38" s="198">
        <v>5228455</v>
      </c>
      <c r="S38" s="198">
        <v>0</v>
      </c>
      <c r="T38" s="198">
        <v>0</v>
      </c>
      <c r="U38" s="211">
        <v>20250</v>
      </c>
      <c r="V38" s="211">
        <v>14698390</v>
      </c>
      <c r="W38" s="211">
        <v>38064</v>
      </c>
      <c r="X38" s="211">
        <v>48153946</v>
      </c>
      <c r="Y38" s="259">
        <v>51704</v>
      </c>
      <c r="Z38" s="259">
        <v>61546194</v>
      </c>
      <c r="AA38" s="226">
        <v>112015</v>
      </c>
      <c r="AB38" s="226">
        <v>94691818</v>
      </c>
      <c r="AC38" s="198">
        <v>141385</v>
      </c>
      <c r="AD38" s="198">
        <v>132984006</v>
      </c>
      <c r="AE38" s="198">
        <v>141096</v>
      </c>
      <c r="AF38" s="198">
        <v>87020276</v>
      </c>
      <c r="AG38" s="226">
        <v>123621</v>
      </c>
      <c r="AH38" s="226">
        <v>85143904</v>
      </c>
      <c r="AI38" s="226">
        <v>126336</v>
      </c>
      <c r="AJ38" s="226">
        <v>87733173</v>
      </c>
      <c r="AK38" s="260">
        <v>106855.298521</v>
      </c>
      <c r="AL38" s="260">
        <v>71282609</v>
      </c>
      <c r="AM38" s="261">
        <v>117198.171</v>
      </c>
      <c r="AN38" s="261">
        <v>118102298</v>
      </c>
      <c r="AO38" s="196">
        <v>149330</v>
      </c>
      <c r="AP38" s="196">
        <v>127850728</v>
      </c>
      <c r="AQ38" s="196">
        <v>222539.85500000001</v>
      </c>
      <c r="AR38" s="196">
        <v>219593277.06999999</v>
      </c>
      <c r="AS38" s="196">
        <v>257712.46</v>
      </c>
      <c r="AT38" s="196">
        <v>290114283</v>
      </c>
      <c r="AU38" s="226">
        <v>210837</v>
      </c>
      <c r="AV38" s="226">
        <v>208717514</v>
      </c>
      <c r="AW38" s="198">
        <v>218803</v>
      </c>
      <c r="AX38" s="198">
        <v>173064117</v>
      </c>
      <c r="AY38" s="198">
        <v>174550</v>
      </c>
      <c r="AZ38" s="198">
        <v>139734516</v>
      </c>
      <c r="BA38" s="263"/>
      <c r="BB38" s="198"/>
      <c r="BC38" s="263"/>
      <c r="BD38" s="198"/>
      <c r="BE38" s="263"/>
      <c r="BF38" s="198"/>
      <c r="BG38" s="263"/>
      <c r="BH38" s="198"/>
      <c r="BI38" s="263"/>
      <c r="BJ38" s="198">
        <f t="shared" si="51"/>
        <v>2391605.784521</v>
      </c>
      <c r="BK38" s="198">
        <f t="shared" si="52"/>
        <v>2024777810.0699999</v>
      </c>
      <c r="BL38" s="172"/>
      <c r="BM38" s="13"/>
      <c r="BN38" s="231"/>
      <c r="BO38" s="231"/>
      <c r="BP38" s="172"/>
      <c r="BQ38" s="172"/>
      <c r="BR38" s="172"/>
      <c r="BS38" s="172"/>
      <c r="BT38" s="172"/>
      <c r="BU38" s="172"/>
      <c r="BV38" s="172"/>
      <c r="BW38" s="172"/>
      <c r="BX38" s="172"/>
      <c r="BY38" s="172"/>
      <c r="BZ38" s="172"/>
      <c r="CA38" s="172"/>
      <c r="CB38" s="172"/>
      <c r="CC38" s="172"/>
      <c r="CD38" s="172"/>
      <c r="CE38" s="172"/>
      <c r="CF38" s="172"/>
      <c r="CG38" s="172"/>
      <c r="CH38" s="172"/>
      <c r="CI38" s="172"/>
      <c r="CJ38" s="172"/>
      <c r="CK38" s="172"/>
      <c r="CL38" s="172"/>
      <c r="CM38" s="172"/>
      <c r="CN38" s="172"/>
      <c r="CO38" s="172"/>
      <c r="CP38" s="172"/>
      <c r="CQ38" s="172"/>
      <c r="CR38" s="172"/>
      <c r="CS38" s="172"/>
      <c r="CT38" s="172"/>
      <c r="CU38" s="172"/>
      <c r="CV38" s="172"/>
      <c r="CW38" s="172"/>
      <c r="CX38" s="172"/>
      <c r="CY38" s="172"/>
      <c r="CZ38" s="172"/>
      <c r="DA38" s="172"/>
      <c r="DB38" s="172"/>
      <c r="DC38" s="172"/>
      <c r="DD38" s="172"/>
      <c r="DE38" s="172"/>
      <c r="DF38" s="172"/>
      <c r="DG38" s="172"/>
      <c r="DH38" s="172"/>
      <c r="DI38" s="172"/>
      <c r="DJ38" s="172"/>
      <c r="DK38" s="172"/>
      <c r="DL38" s="172"/>
      <c r="DM38" s="172"/>
      <c r="DN38" s="172"/>
      <c r="DO38" s="172"/>
      <c r="DP38" s="172"/>
      <c r="DQ38" s="172"/>
      <c r="DR38" s="172"/>
      <c r="DS38" s="172"/>
      <c r="DT38" s="172"/>
      <c r="DU38" s="172"/>
      <c r="DV38" s="172"/>
      <c r="DW38" s="172"/>
      <c r="DX38" s="172"/>
      <c r="DY38" s="172"/>
      <c r="DZ38" s="172"/>
      <c r="EA38" s="172"/>
      <c r="EB38" s="172"/>
      <c r="EC38" s="172"/>
      <c r="ED38" s="172"/>
      <c r="EE38" s="172"/>
      <c r="EF38" s="172"/>
      <c r="EG38" s="172"/>
      <c r="EH38" s="172"/>
      <c r="EI38" s="172"/>
      <c r="EJ38" s="172"/>
      <c r="EK38" s="172"/>
      <c r="EL38" s="172"/>
      <c r="EM38" s="172"/>
      <c r="EN38" s="172"/>
      <c r="EO38" s="172"/>
      <c r="EP38" s="172"/>
      <c r="EQ38" s="172"/>
      <c r="ER38" s="172"/>
      <c r="ES38" s="172"/>
      <c r="ET38" s="172"/>
      <c r="EU38" s="172"/>
      <c r="EV38" s="172"/>
      <c r="EW38" s="172"/>
      <c r="EX38" s="172"/>
      <c r="EY38" s="172"/>
      <c r="EZ38" s="172"/>
      <c r="FA38" s="172"/>
      <c r="FB38" s="172"/>
      <c r="FC38" s="172"/>
      <c r="FD38" s="172"/>
      <c r="FE38" s="172"/>
      <c r="FF38" s="172"/>
      <c r="FG38" s="172"/>
      <c r="FH38" s="172"/>
      <c r="FI38" s="172"/>
      <c r="FJ38" s="172"/>
      <c r="FK38" s="172"/>
      <c r="FL38" s="172"/>
      <c r="FM38" s="172"/>
      <c r="FN38" s="172"/>
      <c r="FO38" s="172"/>
      <c r="FP38" s="172"/>
      <c r="FQ38" s="172"/>
      <c r="FR38" s="172"/>
      <c r="FS38" s="172"/>
      <c r="FT38" s="172"/>
      <c r="FU38" s="172"/>
      <c r="FV38" s="172"/>
      <c r="FW38" s="172"/>
      <c r="FX38" s="172"/>
      <c r="FY38" s="172"/>
      <c r="FZ38" s="172"/>
      <c r="GA38" s="172"/>
      <c r="GB38" s="172"/>
      <c r="GC38" s="172"/>
      <c r="GD38" s="172"/>
      <c r="GE38" s="172"/>
      <c r="GF38" s="172"/>
      <c r="GG38" s="172"/>
      <c r="GH38" s="172"/>
      <c r="GI38" s="172"/>
      <c r="GJ38" s="172"/>
      <c r="GK38" s="172"/>
      <c r="GL38" s="172"/>
      <c r="GM38" s="172"/>
      <c r="GN38" s="172"/>
      <c r="GO38" s="172"/>
      <c r="GP38" s="172"/>
      <c r="GQ38" s="172"/>
      <c r="GR38" s="172"/>
      <c r="GS38" s="172"/>
      <c r="GT38" s="172"/>
      <c r="GU38" s="172"/>
      <c r="GV38" s="172"/>
      <c r="GW38" s="172"/>
      <c r="GX38" s="172"/>
      <c r="GY38" s="172"/>
      <c r="GZ38" s="172"/>
      <c r="HA38" s="172"/>
      <c r="HB38" s="172"/>
      <c r="HC38" s="172"/>
      <c r="HD38" s="172"/>
      <c r="HE38" s="172"/>
      <c r="HF38" s="172"/>
      <c r="HG38" s="172"/>
      <c r="HH38" s="172"/>
      <c r="HI38" s="172"/>
      <c r="HJ38" s="172"/>
      <c r="HK38" s="172"/>
      <c r="HL38" s="172"/>
      <c r="HM38" s="172"/>
      <c r="HN38" s="172"/>
      <c r="HO38" s="172"/>
      <c r="HP38" s="172"/>
      <c r="HQ38" s="172"/>
      <c r="HR38" s="172"/>
      <c r="HS38" s="172"/>
      <c r="HT38" s="172"/>
      <c r="HU38" s="172"/>
      <c r="HV38" s="172"/>
      <c r="HW38" s="172"/>
      <c r="HX38" s="172"/>
      <c r="HY38" s="172"/>
      <c r="HZ38" s="172"/>
      <c r="IA38" s="172"/>
      <c r="IB38" s="172"/>
      <c r="IC38" s="172"/>
      <c r="ID38" s="172"/>
      <c r="IE38" s="172"/>
      <c r="IF38" s="172"/>
      <c r="IG38" s="172"/>
      <c r="IH38" s="172"/>
      <c r="II38" s="172"/>
      <c r="IJ38" s="172"/>
      <c r="IK38" s="172"/>
      <c r="IL38" s="172"/>
      <c r="IM38" s="172"/>
      <c r="IN38" s="172"/>
      <c r="IO38" s="172"/>
      <c r="IP38" s="172"/>
      <c r="IQ38" s="172"/>
      <c r="IR38" s="172"/>
      <c r="IS38" s="172"/>
      <c r="IT38" s="172"/>
      <c r="IU38" s="172"/>
      <c r="IV38" s="172"/>
      <c r="IW38" s="172"/>
      <c r="IX38" s="172"/>
      <c r="IY38" s="172"/>
      <c r="IZ38" s="172"/>
      <c r="JA38" s="172"/>
      <c r="JB38" s="172"/>
      <c r="JC38" s="172"/>
      <c r="JD38" s="172"/>
      <c r="JE38" s="172"/>
      <c r="JF38" s="172"/>
      <c r="JG38" s="172"/>
      <c r="JH38" s="172"/>
      <c r="JI38" s="172"/>
      <c r="JJ38" s="172"/>
      <c r="JK38" s="172"/>
      <c r="JL38" s="172"/>
      <c r="JM38" s="172"/>
      <c r="JN38" s="172"/>
      <c r="JO38" s="172"/>
      <c r="JP38" s="172"/>
      <c r="JQ38" s="172"/>
      <c r="JR38" s="172"/>
      <c r="JS38" s="172"/>
      <c r="JT38" s="172"/>
      <c r="JU38" s="172"/>
      <c r="JV38" s="172"/>
      <c r="JW38" s="172"/>
      <c r="JX38" s="172"/>
      <c r="JY38" s="172"/>
      <c r="JZ38" s="172"/>
      <c r="KA38" s="172"/>
      <c r="KB38" s="172"/>
      <c r="KC38" s="172"/>
      <c r="KD38" s="172"/>
      <c r="KE38" s="172"/>
      <c r="KF38" s="172"/>
      <c r="KG38" s="172"/>
      <c r="KH38" s="172"/>
      <c r="KI38" s="172"/>
      <c r="KJ38" s="172"/>
      <c r="KK38" s="172"/>
      <c r="KL38" s="172"/>
      <c r="KM38" s="172"/>
      <c r="KN38" s="172"/>
      <c r="KO38" s="172"/>
      <c r="KP38" s="172"/>
      <c r="KQ38" s="172"/>
      <c r="KR38" s="172"/>
      <c r="KS38" s="172"/>
      <c r="KT38" s="172"/>
      <c r="KU38" s="172"/>
      <c r="KV38" s="172"/>
      <c r="KW38" s="172"/>
      <c r="KX38" s="172"/>
      <c r="KY38" s="172"/>
      <c r="KZ38" s="172"/>
      <c r="LA38" s="172"/>
      <c r="LB38" s="172"/>
      <c r="LC38" s="172"/>
      <c r="LD38" s="172"/>
      <c r="LE38" s="172"/>
      <c r="LF38" s="172"/>
      <c r="LG38" s="172"/>
      <c r="LH38" s="172"/>
      <c r="LI38" s="172"/>
      <c r="LJ38" s="172"/>
      <c r="LK38" s="172"/>
      <c r="LL38" s="172"/>
      <c r="LM38" s="172"/>
      <c r="LN38" s="172"/>
      <c r="LO38" s="172"/>
      <c r="LP38" s="172"/>
      <c r="LQ38" s="172"/>
      <c r="LR38" s="172"/>
      <c r="LS38" s="172"/>
      <c r="LT38" s="172"/>
      <c r="LU38" s="172"/>
      <c r="LV38" s="172"/>
      <c r="LW38" s="172"/>
      <c r="LX38" s="172"/>
      <c r="LY38" s="172"/>
      <c r="LZ38" s="172"/>
      <c r="MA38" s="172"/>
      <c r="MB38" s="172"/>
      <c r="MC38" s="172"/>
      <c r="MD38" s="172"/>
      <c r="ME38" s="172"/>
      <c r="MF38" s="172"/>
      <c r="MG38" s="172"/>
      <c r="MH38" s="172"/>
      <c r="MI38" s="172"/>
      <c r="MJ38" s="172"/>
      <c r="MK38" s="172"/>
      <c r="ML38" s="172"/>
      <c r="MM38" s="172"/>
      <c r="MN38" s="172"/>
      <c r="MO38" s="172"/>
      <c r="MP38" s="172"/>
      <c r="MQ38" s="172"/>
      <c r="MR38" s="172"/>
      <c r="MS38" s="172"/>
      <c r="MT38" s="172"/>
      <c r="MU38" s="172"/>
      <c r="MV38" s="172"/>
      <c r="MW38" s="172"/>
      <c r="MX38" s="172"/>
      <c r="MY38" s="172"/>
      <c r="MZ38" s="172"/>
      <c r="NA38" s="172"/>
      <c r="NB38" s="172"/>
      <c r="NC38" s="172"/>
      <c r="ND38" s="172"/>
      <c r="NE38" s="172"/>
      <c r="NF38" s="172"/>
      <c r="NG38" s="172"/>
      <c r="NH38" s="172"/>
      <c r="NI38" s="172"/>
      <c r="NJ38" s="172"/>
      <c r="NK38" s="172"/>
      <c r="NL38" s="172"/>
      <c r="NM38" s="172"/>
      <c r="NN38" s="172"/>
      <c r="NO38" s="172"/>
      <c r="NP38" s="172"/>
      <c r="NQ38" s="172"/>
      <c r="NR38" s="172"/>
      <c r="NS38" s="172"/>
      <c r="NT38" s="172"/>
      <c r="NU38" s="172"/>
      <c r="NV38" s="172"/>
      <c r="NW38" s="172"/>
      <c r="NX38" s="172"/>
      <c r="NY38" s="172"/>
      <c r="NZ38" s="172"/>
      <c r="OA38" s="172"/>
      <c r="OB38" s="172"/>
      <c r="OC38" s="172"/>
      <c r="OD38" s="172"/>
      <c r="OE38" s="172"/>
      <c r="OF38" s="172"/>
      <c r="OG38" s="172"/>
      <c r="OH38" s="172"/>
      <c r="OI38" s="172"/>
      <c r="OJ38" s="172"/>
      <c r="OK38" s="172"/>
      <c r="OL38" s="172"/>
      <c r="OM38" s="172"/>
      <c r="ON38" s="172"/>
      <c r="OO38" s="172"/>
      <c r="OP38" s="172"/>
      <c r="OQ38" s="172"/>
      <c r="OR38" s="172"/>
      <c r="OS38" s="172"/>
      <c r="OT38" s="172"/>
      <c r="OU38" s="172"/>
      <c r="OV38" s="172"/>
      <c r="OW38" s="172"/>
      <c r="OX38" s="172"/>
      <c r="OY38" s="172"/>
      <c r="OZ38" s="172"/>
      <c r="PA38" s="172"/>
      <c r="PB38" s="172"/>
      <c r="PC38" s="172"/>
      <c r="PD38" s="172"/>
      <c r="PE38" s="172"/>
      <c r="PF38" s="172"/>
      <c r="PG38" s="172"/>
      <c r="PH38" s="172"/>
      <c r="PI38" s="172"/>
      <c r="PJ38" s="172"/>
      <c r="PK38" s="172"/>
      <c r="PL38" s="172"/>
      <c r="PM38" s="172"/>
      <c r="PN38" s="172"/>
      <c r="PO38" s="172"/>
      <c r="PP38" s="172"/>
      <c r="PQ38" s="172"/>
      <c r="PR38" s="172"/>
      <c r="PS38" s="172"/>
      <c r="PT38" s="172"/>
      <c r="PU38" s="172"/>
      <c r="PV38" s="172"/>
      <c r="PW38" s="172"/>
      <c r="PX38" s="172"/>
      <c r="PY38" s="172"/>
      <c r="PZ38" s="172"/>
      <c r="QA38" s="172"/>
      <c r="QB38" s="172"/>
      <c r="QC38" s="172"/>
      <c r="QD38" s="172"/>
      <c r="QE38" s="172"/>
      <c r="QF38" s="172"/>
      <c r="QG38" s="172"/>
      <c r="QH38" s="172"/>
      <c r="QI38" s="172"/>
      <c r="QJ38" s="172"/>
      <c r="QK38" s="172"/>
      <c r="QL38" s="172"/>
      <c r="QM38" s="172"/>
      <c r="QN38" s="172"/>
      <c r="QO38" s="172"/>
      <c r="QP38" s="172"/>
      <c r="QQ38" s="172"/>
      <c r="QR38" s="172"/>
      <c r="QS38" s="172"/>
      <c r="QT38" s="172"/>
      <c r="QU38" s="172"/>
      <c r="QV38" s="172"/>
      <c r="QW38" s="172"/>
      <c r="QX38" s="172"/>
      <c r="QY38" s="172"/>
      <c r="QZ38" s="172"/>
      <c r="RA38" s="172"/>
      <c r="RB38" s="172"/>
      <c r="RC38" s="172"/>
      <c r="RD38" s="172"/>
      <c r="RE38" s="172"/>
      <c r="RF38" s="172"/>
      <c r="RG38" s="172"/>
      <c r="RH38" s="172"/>
      <c r="RI38" s="172"/>
      <c r="RJ38" s="172"/>
      <c r="RK38" s="172"/>
      <c r="RL38" s="172"/>
      <c r="RM38" s="172"/>
      <c r="RN38" s="172"/>
      <c r="RO38" s="172"/>
      <c r="RP38" s="172"/>
      <c r="RQ38" s="172"/>
      <c r="RR38" s="172"/>
      <c r="RS38" s="172"/>
      <c r="RT38" s="172"/>
      <c r="RU38" s="172"/>
      <c r="RV38" s="172"/>
      <c r="RW38" s="172"/>
      <c r="RX38" s="172"/>
      <c r="RY38" s="172"/>
      <c r="RZ38" s="172"/>
      <c r="SA38" s="172"/>
      <c r="SB38" s="172"/>
      <c r="SC38" s="172"/>
      <c r="SD38" s="172"/>
      <c r="SE38" s="172"/>
      <c r="SF38" s="172"/>
      <c r="SG38" s="172"/>
      <c r="SH38" s="172"/>
      <c r="SI38" s="172"/>
      <c r="SJ38" s="172"/>
      <c r="SK38" s="172"/>
      <c r="SL38" s="172"/>
      <c r="SM38" s="172"/>
      <c r="SN38" s="172"/>
      <c r="SO38" s="172"/>
      <c r="SP38" s="172"/>
      <c r="SQ38" s="172"/>
      <c r="SR38" s="172"/>
      <c r="SS38" s="172"/>
      <c r="ST38" s="172"/>
      <c r="SU38" s="172"/>
      <c r="SV38" s="172"/>
      <c r="SW38" s="172"/>
      <c r="SX38" s="172"/>
      <c r="SY38" s="172"/>
      <c r="SZ38" s="172"/>
      <c r="TA38" s="172"/>
      <c r="TB38" s="172"/>
      <c r="TC38" s="172"/>
      <c r="TD38" s="172"/>
      <c r="TE38" s="172"/>
      <c r="TF38" s="172"/>
      <c r="TG38" s="172"/>
      <c r="TH38" s="172"/>
      <c r="TI38" s="172"/>
      <c r="TJ38" s="172"/>
      <c r="TK38" s="172"/>
      <c r="TL38" s="172"/>
      <c r="TM38" s="172"/>
      <c r="TN38" s="172"/>
      <c r="TO38" s="172"/>
      <c r="TP38" s="172"/>
      <c r="TQ38" s="172"/>
      <c r="TR38" s="172"/>
      <c r="TS38" s="172"/>
      <c r="TT38" s="172"/>
      <c r="TU38" s="172"/>
      <c r="TV38" s="172"/>
      <c r="TW38" s="172"/>
      <c r="TX38" s="172"/>
      <c r="TY38" s="172"/>
      <c r="TZ38" s="172"/>
      <c r="UA38" s="172"/>
      <c r="UB38" s="172"/>
      <c r="UC38" s="172"/>
      <c r="UD38" s="172"/>
      <c r="UE38" s="172"/>
      <c r="UF38" s="172"/>
      <c r="UG38" s="172"/>
      <c r="UH38" s="172"/>
      <c r="UI38" s="172"/>
      <c r="UJ38" s="172"/>
      <c r="UK38" s="172"/>
      <c r="UL38" s="172"/>
      <c r="UM38" s="172"/>
      <c r="UN38" s="172"/>
      <c r="UO38" s="172"/>
      <c r="UP38" s="172"/>
      <c r="UQ38" s="172"/>
      <c r="UR38" s="172"/>
      <c r="US38" s="172"/>
      <c r="UT38" s="172"/>
      <c r="UU38" s="172"/>
      <c r="UV38" s="172"/>
      <c r="UW38" s="172"/>
      <c r="UX38" s="172"/>
      <c r="UY38" s="172"/>
      <c r="UZ38" s="172"/>
      <c r="VA38" s="172"/>
      <c r="VB38" s="172"/>
      <c r="VC38" s="172"/>
      <c r="VD38" s="172"/>
      <c r="VE38" s="172"/>
      <c r="VF38" s="172"/>
      <c r="VG38" s="172"/>
      <c r="VH38" s="172"/>
      <c r="VI38" s="172"/>
      <c r="VJ38" s="172"/>
      <c r="VK38" s="172"/>
      <c r="VL38" s="172"/>
      <c r="VM38" s="172"/>
      <c r="VN38" s="172"/>
      <c r="VO38" s="172"/>
      <c r="VP38" s="172"/>
      <c r="VQ38" s="172"/>
      <c r="VR38" s="172"/>
      <c r="VS38" s="172"/>
      <c r="VT38" s="172"/>
      <c r="VU38" s="172"/>
      <c r="VV38" s="172"/>
      <c r="VW38" s="172"/>
      <c r="VX38" s="172"/>
      <c r="VY38" s="172"/>
      <c r="VZ38" s="172"/>
      <c r="WA38" s="172"/>
      <c r="WB38" s="172"/>
      <c r="WC38" s="172"/>
      <c r="WD38" s="172"/>
      <c r="WE38" s="172"/>
      <c r="WF38" s="172"/>
      <c r="WG38" s="172"/>
      <c r="WH38" s="172"/>
      <c r="WI38" s="172"/>
      <c r="WJ38" s="172"/>
      <c r="WK38" s="172"/>
      <c r="WL38" s="172"/>
      <c r="WM38" s="172"/>
      <c r="WN38" s="172"/>
      <c r="WO38" s="172"/>
      <c r="WP38" s="172"/>
      <c r="WQ38" s="172"/>
      <c r="WR38" s="172"/>
      <c r="WS38" s="172"/>
      <c r="WT38" s="172"/>
      <c r="WU38" s="172"/>
      <c r="WV38" s="172"/>
      <c r="WW38" s="172"/>
      <c r="WX38" s="172"/>
      <c r="WY38" s="172"/>
      <c r="WZ38" s="172"/>
      <c r="XA38" s="172"/>
      <c r="XB38" s="172"/>
      <c r="XC38" s="172"/>
      <c r="XD38" s="172"/>
      <c r="XE38" s="172"/>
      <c r="XF38" s="172"/>
      <c r="XG38" s="172"/>
      <c r="XH38" s="172"/>
      <c r="XI38" s="172"/>
      <c r="XJ38" s="172"/>
      <c r="XK38" s="172"/>
      <c r="XL38" s="172"/>
      <c r="XM38" s="172"/>
      <c r="XN38" s="172"/>
      <c r="XO38" s="172"/>
      <c r="XP38" s="172"/>
      <c r="XQ38" s="172"/>
      <c r="XR38" s="172"/>
      <c r="XS38" s="172"/>
      <c r="XT38" s="172"/>
      <c r="XU38" s="172"/>
      <c r="XV38" s="172"/>
      <c r="XW38" s="172"/>
      <c r="XX38" s="172"/>
      <c r="XY38" s="172"/>
      <c r="XZ38" s="172"/>
      <c r="YA38" s="172"/>
      <c r="YB38" s="172"/>
      <c r="YC38" s="172"/>
      <c r="YD38" s="172"/>
      <c r="YE38" s="172"/>
      <c r="YF38" s="172"/>
      <c r="YG38" s="172"/>
      <c r="YH38" s="172"/>
      <c r="YI38" s="172"/>
      <c r="YJ38" s="172"/>
      <c r="YK38" s="172"/>
      <c r="YL38" s="172"/>
      <c r="YM38" s="172"/>
      <c r="YN38" s="172"/>
      <c r="YO38" s="172"/>
      <c r="YP38" s="172"/>
      <c r="YQ38" s="172"/>
      <c r="YR38" s="172"/>
      <c r="YS38" s="172"/>
      <c r="YT38" s="172"/>
      <c r="YU38" s="172"/>
      <c r="YV38" s="172"/>
      <c r="YW38" s="172"/>
      <c r="YX38" s="172"/>
      <c r="YY38" s="172"/>
      <c r="YZ38" s="172"/>
      <c r="ZA38" s="172"/>
      <c r="ZB38" s="172"/>
      <c r="ZC38" s="172"/>
      <c r="ZD38" s="172"/>
      <c r="ZE38" s="172"/>
      <c r="ZF38" s="172"/>
      <c r="ZG38" s="172"/>
      <c r="ZH38" s="172"/>
      <c r="ZI38" s="172"/>
      <c r="ZJ38" s="172"/>
      <c r="ZK38" s="172"/>
      <c r="ZL38" s="172"/>
      <c r="ZM38" s="172"/>
      <c r="ZN38" s="172"/>
      <c r="ZO38" s="172"/>
      <c r="ZP38" s="172"/>
      <c r="ZQ38" s="172"/>
      <c r="ZR38" s="172"/>
      <c r="ZS38" s="172"/>
      <c r="ZT38" s="172"/>
      <c r="ZU38" s="172"/>
      <c r="ZV38" s="172"/>
      <c r="ZW38" s="172"/>
      <c r="ZX38" s="172"/>
      <c r="ZY38" s="172"/>
      <c r="ZZ38" s="172"/>
      <c r="AAA38" s="172"/>
      <c r="AAB38" s="172"/>
      <c r="AAC38" s="172"/>
      <c r="AAD38" s="172"/>
      <c r="AAE38" s="172"/>
      <c r="AAF38" s="172"/>
      <c r="AAG38" s="172"/>
      <c r="AAH38" s="172"/>
      <c r="AAI38" s="172"/>
      <c r="AAJ38" s="172"/>
      <c r="AAK38" s="172"/>
      <c r="AAL38" s="172"/>
      <c r="AAM38" s="172"/>
      <c r="AAN38" s="172"/>
      <c r="AAO38" s="172"/>
      <c r="AAP38" s="172"/>
      <c r="AAQ38" s="172"/>
      <c r="AAR38" s="172"/>
      <c r="AAS38" s="172"/>
      <c r="AAT38" s="172"/>
      <c r="AAU38" s="172"/>
      <c r="AAV38" s="172"/>
      <c r="AAW38" s="172"/>
      <c r="AAX38" s="172"/>
      <c r="AAY38" s="172"/>
      <c r="AAZ38" s="172"/>
      <c r="ABA38" s="172"/>
      <c r="ABB38" s="172"/>
      <c r="ABC38" s="172"/>
      <c r="ABD38" s="172"/>
      <c r="ABE38" s="172"/>
      <c r="ABF38" s="172"/>
      <c r="ABG38" s="172"/>
      <c r="ABH38" s="172"/>
      <c r="ABI38" s="172"/>
      <c r="ABJ38" s="172"/>
      <c r="ABK38" s="172"/>
      <c r="ABL38" s="172"/>
      <c r="ABM38" s="172"/>
      <c r="ABN38" s="172"/>
      <c r="ABO38" s="172"/>
      <c r="ABP38" s="172"/>
      <c r="ABQ38" s="172"/>
      <c r="ABR38" s="172"/>
      <c r="ABS38" s="172"/>
      <c r="ABT38" s="172"/>
      <c r="ABU38" s="172"/>
      <c r="ABV38" s="172"/>
      <c r="ABW38" s="172"/>
      <c r="ABX38" s="172"/>
      <c r="ABY38" s="172"/>
      <c r="ABZ38" s="172"/>
      <c r="ACA38" s="172"/>
      <c r="ACB38" s="172"/>
      <c r="ACC38" s="172"/>
      <c r="ACD38" s="172"/>
      <c r="ACE38" s="172"/>
      <c r="ACF38" s="172"/>
      <c r="ACG38" s="172"/>
      <c r="ACH38" s="172"/>
      <c r="ACI38" s="172"/>
      <c r="ACJ38" s="172"/>
      <c r="ACK38" s="172"/>
      <c r="ACL38" s="172"/>
      <c r="ACM38" s="172"/>
      <c r="ACN38" s="172"/>
      <c r="ACO38" s="172"/>
      <c r="ACP38" s="172"/>
      <c r="ACQ38" s="172"/>
      <c r="ACR38" s="172"/>
      <c r="ACS38" s="172"/>
      <c r="ACT38" s="172"/>
      <c r="ACU38" s="172"/>
      <c r="ACV38" s="172"/>
      <c r="ACW38" s="172"/>
      <c r="ACX38" s="172"/>
      <c r="ACY38" s="172"/>
      <c r="ACZ38" s="172"/>
      <c r="ADA38" s="172"/>
      <c r="ADB38" s="172"/>
      <c r="ADC38" s="172"/>
      <c r="ADD38" s="172"/>
      <c r="ADE38" s="172"/>
      <c r="ADF38" s="172"/>
      <c r="ADG38" s="172"/>
      <c r="ADH38" s="172"/>
      <c r="ADI38" s="172"/>
      <c r="ADJ38" s="172"/>
      <c r="ADK38" s="172"/>
      <c r="ADL38" s="172"/>
      <c r="ADM38" s="172"/>
      <c r="ADN38" s="172"/>
      <c r="ADO38" s="172"/>
      <c r="ADP38" s="172"/>
      <c r="ADQ38" s="172"/>
      <c r="ADR38" s="172"/>
      <c r="ADS38" s="172"/>
      <c r="ADT38" s="172"/>
      <c r="ADU38" s="172"/>
      <c r="ADV38" s="172"/>
      <c r="ADW38" s="172"/>
      <c r="ADX38" s="172"/>
      <c r="ADY38" s="172"/>
      <c r="ADZ38" s="172"/>
      <c r="AEA38" s="172"/>
      <c r="AEB38" s="172"/>
      <c r="AEC38" s="172"/>
      <c r="AED38" s="172"/>
      <c r="AEE38" s="172"/>
      <c r="AEF38" s="172"/>
      <c r="AEG38" s="172"/>
      <c r="AEH38" s="172"/>
      <c r="AEI38" s="172"/>
      <c r="AEJ38" s="172"/>
      <c r="AEK38" s="172"/>
      <c r="AEL38" s="172"/>
      <c r="AEM38" s="172"/>
      <c r="AEN38" s="172"/>
      <c r="AEO38" s="172"/>
      <c r="AEP38" s="172"/>
      <c r="AEQ38" s="172"/>
      <c r="AER38" s="172"/>
      <c r="AES38" s="172"/>
      <c r="AET38" s="172"/>
      <c r="AEU38" s="172"/>
      <c r="AEV38" s="172"/>
      <c r="AEW38" s="172"/>
      <c r="AEX38" s="172"/>
      <c r="AEY38" s="172"/>
      <c r="AEZ38" s="172"/>
      <c r="AFA38" s="172"/>
      <c r="AFB38" s="172"/>
      <c r="AFC38" s="172"/>
      <c r="AFD38" s="172"/>
      <c r="AFE38" s="172"/>
      <c r="AFF38" s="172"/>
      <c r="AFG38" s="172"/>
      <c r="AFH38" s="172"/>
      <c r="AFI38" s="172"/>
      <c r="AFJ38" s="172"/>
      <c r="AFK38" s="172"/>
      <c r="AFL38" s="172"/>
      <c r="AFM38" s="172"/>
      <c r="AFN38" s="172"/>
      <c r="AFO38" s="172"/>
      <c r="AFP38" s="172"/>
      <c r="AFQ38" s="172"/>
      <c r="AFR38" s="172"/>
      <c r="AFS38" s="172"/>
      <c r="AFT38" s="172"/>
      <c r="AFU38" s="172"/>
      <c r="AFV38" s="172"/>
      <c r="AFW38" s="172"/>
      <c r="AFX38" s="172"/>
      <c r="AFY38" s="172"/>
      <c r="AFZ38" s="172"/>
      <c r="AGA38" s="172"/>
      <c r="AGB38" s="172"/>
      <c r="AGC38" s="172"/>
      <c r="AGD38" s="172"/>
      <c r="AGE38" s="172"/>
      <c r="AGF38" s="172"/>
      <c r="AGG38" s="172"/>
      <c r="AGH38" s="172"/>
      <c r="AGI38" s="172"/>
      <c r="AGJ38" s="172"/>
      <c r="AGK38" s="172"/>
      <c r="AGL38" s="172"/>
      <c r="AGM38" s="172"/>
      <c r="AGN38" s="172"/>
      <c r="AGO38" s="172"/>
      <c r="AGP38" s="172"/>
      <c r="AGQ38" s="172"/>
      <c r="AGR38" s="172"/>
      <c r="AGS38" s="172"/>
      <c r="AGT38" s="172"/>
      <c r="AGU38" s="172"/>
      <c r="AGV38" s="172"/>
      <c r="AGW38" s="172"/>
      <c r="AGX38" s="172"/>
      <c r="AGY38" s="172"/>
      <c r="AGZ38" s="172"/>
      <c r="AHA38" s="172"/>
      <c r="AHB38" s="172"/>
      <c r="AHC38" s="172"/>
      <c r="AHD38" s="172"/>
      <c r="AHE38" s="172"/>
      <c r="AHF38" s="172"/>
      <c r="AHG38" s="172"/>
      <c r="AHH38" s="172"/>
      <c r="AHI38" s="172"/>
      <c r="AHJ38" s="172"/>
      <c r="AHK38" s="172"/>
      <c r="AHL38" s="172"/>
      <c r="AHM38" s="172"/>
      <c r="AHN38" s="172"/>
      <c r="AHO38" s="172"/>
      <c r="AHP38" s="172"/>
      <c r="AHQ38" s="172"/>
      <c r="AHR38" s="172"/>
      <c r="AHS38" s="172"/>
      <c r="AHT38" s="172"/>
      <c r="AHU38" s="172"/>
      <c r="AHV38" s="172"/>
      <c r="AHW38" s="172"/>
      <c r="AHX38" s="172"/>
      <c r="AHY38" s="172"/>
      <c r="AHZ38" s="172"/>
      <c r="AIA38" s="172"/>
      <c r="AIB38" s="172"/>
      <c r="AIC38" s="172"/>
      <c r="AID38" s="172"/>
      <c r="AIE38" s="172"/>
      <c r="AIF38" s="172"/>
      <c r="AIG38" s="172"/>
      <c r="AIH38" s="172"/>
      <c r="AII38" s="172"/>
      <c r="AIJ38" s="172"/>
      <c r="AIK38" s="172"/>
      <c r="AIL38" s="172"/>
      <c r="AIM38" s="172"/>
      <c r="AIN38" s="172"/>
      <c r="AIO38" s="172"/>
      <c r="AIP38" s="172"/>
      <c r="AIQ38" s="172"/>
      <c r="AIR38" s="172"/>
      <c r="AIS38" s="172"/>
      <c r="AIT38" s="172"/>
      <c r="AIU38" s="172"/>
      <c r="AIV38" s="172"/>
      <c r="AIW38" s="172"/>
      <c r="AIX38" s="172"/>
      <c r="AIY38" s="172"/>
      <c r="AIZ38" s="172"/>
      <c r="AJA38" s="172"/>
      <c r="AJB38" s="172"/>
      <c r="AJC38" s="172"/>
      <c r="AJD38" s="172"/>
      <c r="AJE38" s="172"/>
      <c r="AJF38" s="172"/>
      <c r="AJG38" s="172"/>
      <c r="AJH38" s="172"/>
      <c r="AJI38" s="172"/>
      <c r="AJJ38" s="172"/>
      <c r="AJK38" s="172"/>
      <c r="AJL38" s="172"/>
      <c r="AJM38" s="172"/>
      <c r="AJN38" s="172"/>
      <c r="AJO38" s="172"/>
      <c r="AJP38" s="172"/>
      <c r="AJQ38" s="172"/>
      <c r="AJR38" s="172"/>
      <c r="AJS38" s="172"/>
      <c r="AJT38" s="172"/>
      <c r="AJU38" s="172"/>
      <c r="AJV38" s="172"/>
      <c r="AJW38" s="172"/>
      <c r="AJX38" s="172"/>
      <c r="AJY38" s="172"/>
      <c r="AJZ38" s="172"/>
      <c r="AKA38" s="172"/>
      <c r="AKB38" s="172"/>
      <c r="AKC38" s="172"/>
      <c r="AKD38" s="172"/>
      <c r="AKE38" s="172"/>
      <c r="AKF38" s="172"/>
      <c r="AKG38" s="172"/>
      <c r="AKH38" s="172"/>
      <c r="AKI38" s="172"/>
      <c r="AKJ38" s="172"/>
      <c r="AKK38" s="172"/>
      <c r="AKL38" s="172"/>
      <c r="AKM38" s="172"/>
      <c r="AKN38" s="172"/>
      <c r="AKO38" s="172"/>
      <c r="AKP38" s="172"/>
      <c r="AKQ38" s="172"/>
      <c r="AKR38" s="172"/>
      <c r="AKS38" s="172"/>
      <c r="AKT38" s="172"/>
      <c r="AKU38" s="172"/>
      <c r="AKV38" s="172"/>
      <c r="AKW38" s="172"/>
      <c r="AKX38" s="172"/>
      <c r="AKY38" s="172"/>
      <c r="AKZ38" s="172"/>
      <c r="ALA38" s="172"/>
      <c r="ALB38" s="172"/>
      <c r="ALC38" s="172"/>
      <c r="ALD38" s="172"/>
      <c r="ALE38" s="172"/>
      <c r="ALF38" s="172"/>
      <c r="ALG38" s="172"/>
      <c r="ALH38" s="172"/>
      <c r="ALI38" s="172"/>
      <c r="ALJ38" s="172"/>
      <c r="ALK38" s="172"/>
      <c r="ALL38" s="172"/>
      <c r="ALM38" s="172"/>
      <c r="ALN38" s="172"/>
      <c r="ALO38" s="172"/>
      <c r="ALP38" s="172"/>
      <c r="ALQ38" s="172"/>
      <c r="ALR38" s="172"/>
      <c r="ALS38" s="172"/>
      <c r="ALT38" s="172"/>
      <c r="ALU38" s="172"/>
      <c r="ALV38" s="172"/>
      <c r="ALW38" s="172"/>
      <c r="ALX38" s="172"/>
      <c r="ALY38" s="172"/>
      <c r="ALZ38" s="172"/>
      <c r="AMA38" s="172"/>
      <c r="AMB38" s="172"/>
      <c r="AMC38" s="172"/>
      <c r="AMD38" s="172"/>
      <c r="AME38" s="172"/>
      <c r="AMF38" s="172"/>
      <c r="AMG38" s="172"/>
      <c r="AMH38" s="172"/>
      <c r="AMI38" s="172"/>
      <c r="AMJ38" s="172"/>
      <c r="AMK38" s="172"/>
      <c r="AML38" s="172"/>
      <c r="AMM38" s="172"/>
      <c r="AMN38" s="172"/>
      <c r="AMO38" s="172"/>
      <c r="AMP38" s="172"/>
      <c r="AMQ38" s="172"/>
      <c r="AMR38" s="172"/>
      <c r="AMS38" s="172"/>
      <c r="AMT38" s="172"/>
      <c r="AMU38" s="172"/>
      <c r="AMV38" s="172"/>
      <c r="AMW38" s="172"/>
      <c r="AMX38" s="172"/>
      <c r="AMY38" s="172"/>
      <c r="AMZ38" s="172"/>
      <c r="ANA38" s="172"/>
      <c r="ANB38" s="172"/>
      <c r="ANC38" s="172"/>
      <c r="AND38" s="172"/>
      <c r="ANE38" s="172"/>
      <c r="ANF38" s="172"/>
      <c r="ANG38" s="172"/>
      <c r="ANH38" s="172"/>
      <c r="ANI38" s="172"/>
      <c r="ANJ38" s="172"/>
      <c r="ANK38" s="172"/>
      <c r="ANL38" s="172"/>
      <c r="ANM38" s="172"/>
      <c r="ANN38" s="172"/>
      <c r="ANO38" s="172"/>
      <c r="ANP38" s="172"/>
      <c r="ANQ38" s="172"/>
      <c r="ANR38" s="172"/>
      <c r="ANS38" s="172"/>
      <c r="ANT38" s="172"/>
      <c r="ANU38" s="172"/>
      <c r="ANV38" s="172"/>
      <c r="ANW38" s="172"/>
      <c r="ANX38" s="172"/>
      <c r="ANY38" s="172"/>
      <c r="ANZ38" s="172"/>
      <c r="AOA38" s="172"/>
      <c r="AOB38" s="172"/>
      <c r="AOC38" s="172"/>
      <c r="AOD38" s="172"/>
      <c r="AOE38" s="172"/>
      <c r="AOF38" s="172"/>
      <c r="AOG38" s="172"/>
      <c r="AOH38" s="172"/>
      <c r="AOI38" s="172"/>
      <c r="AOJ38" s="172"/>
      <c r="AOK38" s="172"/>
      <c r="AOL38" s="172"/>
      <c r="AOM38" s="172"/>
      <c r="AON38" s="172"/>
      <c r="AOO38" s="172"/>
      <c r="AOP38" s="172"/>
      <c r="AOQ38" s="172"/>
      <c r="AOR38" s="172"/>
      <c r="AOS38" s="172"/>
      <c r="AOT38" s="172"/>
      <c r="AOU38" s="172"/>
      <c r="AOV38" s="172"/>
      <c r="AOW38" s="172"/>
      <c r="AOX38" s="172"/>
      <c r="AOY38" s="172"/>
      <c r="AOZ38" s="172"/>
      <c r="APA38" s="172"/>
      <c r="APB38" s="172"/>
      <c r="APC38" s="172"/>
      <c r="APD38" s="172"/>
      <c r="APE38" s="172"/>
      <c r="APF38" s="172"/>
      <c r="APG38" s="172"/>
      <c r="APH38" s="172"/>
      <c r="API38" s="172"/>
      <c r="APJ38" s="172"/>
      <c r="APK38" s="172"/>
      <c r="APL38" s="172"/>
      <c r="APM38" s="172"/>
      <c r="APN38" s="172"/>
      <c r="APO38" s="172"/>
      <c r="APP38" s="172"/>
      <c r="APQ38" s="172"/>
      <c r="APR38" s="172"/>
      <c r="APS38" s="172"/>
      <c r="APT38" s="172"/>
      <c r="APU38" s="172"/>
      <c r="APV38" s="172"/>
      <c r="APW38" s="172"/>
      <c r="APX38" s="172"/>
      <c r="APY38" s="172"/>
      <c r="APZ38" s="172"/>
      <c r="AQA38" s="172"/>
      <c r="AQB38" s="172"/>
      <c r="AQC38" s="172"/>
      <c r="AQD38" s="172"/>
      <c r="AQE38" s="172"/>
      <c r="AQF38" s="172"/>
      <c r="AQG38" s="172"/>
      <c r="AQH38" s="172"/>
      <c r="AQI38" s="172"/>
      <c r="AQJ38" s="172"/>
      <c r="AQK38" s="172"/>
      <c r="AQL38" s="172"/>
      <c r="AQM38" s="172"/>
      <c r="AQN38" s="172"/>
      <c r="AQO38" s="172"/>
      <c r="AQP38" s="172"/>
      <c r="AQQ38" s="172"/>
      <c r="AQR38" s="172"/>
      <c r="AQS38" s="172"/>
      <c r="AQT38" s="172"/>
      <c r="AQU38" s="172"/>
      <c r="AQV38" s="172"/>
      <c r="AQW38" s="172"/>
      <c r="AQX38" s="172"/>
      <c r="AQY38" s="172"/>
      <c r="AQZ38" s="172"/>
      <c r="ARA38" s="172"/>
      <c r="ARB38" s="172"/>
      <c r="ARC38" s="172"/>
      <c r="ARD38" s="172"/>
      <c r="ARE38" s="172"/>
      <c r="ARF38" s="172"/>
      <c r="ARG38" s="172"/>
      <c r="ARH38" s="172"/>
      <c r="ARI38" s="172"/>
      <c r="ARJ38" s="172"/>
      <c r="ARK38" s="172"/>
      <c r="ARL38" s="172"/>
      <c r="ARM38" s="172"/>
      <c r="ARN38" s="172"/>
      <c r="ARO38" s="172"/>
      <c r="ARP38" s="172"/>
      <c r="ARQ38" s="172"/>
      <c r="ARR38" s="172"/>
      <c r="ARS38" s="172"/>
      <c r="ART38" s="172"/>
    </row>
    <row r="39" spans="1:1164" s="257" customFormat="1">
      <c r="A39" s="222" t="s">
        <v>178</v>
      </c>
      <c r="B39" s="195" t="s">
        <v>87</v>
      </c>
      <c r="C39" s="258">
        <v>20</v>
      </c>
      <c r="D39" s="258">
        <v>200</v>
      </c>
      <c r="E39" s="198">
        <v>0</v>
      </c>
      <c r="F39" s="198">
        <v>0</v>
      </c>
      <c r="G39" s="198">
        <v>0</v>
      </c>
      <c r="H39" s="198">
        <v>0</v>
      </c>
      <c r="I39" s="198">
        <v>0</v>
      </c>
      <c r="J39" s="198">
        <v>0</v>
      </c>
      <c r="K39" s="198">
        <v>0</v>
      </c>
      <c r="L39" s="198">
        <v>0</v>
      </c>
      <c r="M39" s="198">
        <v>0</v>
      </c>
      <c r="N39" s="198">
        <v>0</v>
      </c>
      <c r="O39" s="198">
        <v>0</v>
      </c>
      <c r="P39" s="198">
        <v>0</v>
      </c>
      <c r="Q39" s="198">
        <v>0</v>
      </c>
      <c r="R39" s="198">
        <v>0</v>
      </c>
      <c r="S39" s="198">
        <v>0</v>
      </c>
      <c r="T39" s="198">
        <v>0</v>
      </c>
      <c r="U39" s="198">
        <v>0</v>
      </c>
      <c r="V39" s="198">
        <v>0</v>
      </c>
      <c r="W39" s="198">
        <v>0</v>
      </c>
      <c r="X39" s="198">
        <v>0</v>
      </c>
      <c r="Y39" s="198">
        <v>0</v>
      </c>
      <c r="Z39" s="198">
        <v>0</v>
      </c>
      <c r="AA39" s="198">
        <v>0</v>
      </c>
      <c r="AB39" s="198">
        <v>0</v>
      </c>
      <c r="AC39" s="198">
        <v>0</v>
      </c>
      <c r="AD39" s="198">
        <v>0</v>
      </c>
      <c r="AE39" s="198">
        <v>0</v>
      </c>
      <c r="AF39" s="198">
        <v>0</v>
      </c>
      <c r="AG39" s="198">
        <v>0</v>
      </c>
      <c r="AH39" s="198">
        <v>0</v>
      </c>
      <c r="AI39" s="198">
        <v>0</v>
      </c>
      <c r="AJ39" s="198">
        <v>0</v>
      </c>
      <c r="AK39" s="198">
        <v>0</v>
      </c>
      <c r="AL39" s="198">
        <v>0</v>
      </c>
      <c r="AM39" s="198">
        <v>0</v>
      </c>
      <c r="AN39" s="198">
        <v>0</v>
      </c>
      <c r="AO39" s="198">
        <v>0</v>
      </c>
      <c r="AP39" s="198">
        <v>0</v>
      </c>
      <c r="AQ39" s="198">
        <v>0</v>
      </c>
      <c r="AR39" s="198">
        <v>0</v>
      </c>
      <c r="AS39" s="198">
        <v>0</v>
      </c>
      <c r="AT39" s="198">
        <v>0</v>
      </c>
      <c r="AU39" s="198">
        <v>0</v>
      </c>
      <c r="AV39" s="198">
        <v>0</v>
      </c>
      <c r="AW39" s="198">
        <v>0</v>
      </c>
      <c r="AX39" s="198">
        <v>0</v>
      </c>
      <c r="AY39" s="198">
        <v>0</v>
      </c>
      <c r="AZ39" s="198">
        <v>0</v>
      </c>
      <c r="BA39" s="285"/>
      <c r="BB39" s="198"/>
      <c r="BC39" s="198"/>
      <c r="BD39" s="198"/>
      <c r="BE39" s="286"/>
      <c r="BF39" s="198"/>
      <c r="BG39" s="198"/>
      <c r="BH39" s="198"/>
      <c r="BI39" s="285"/>
      <c r="BJ39" s="198">
        <f t="shared" si="51"/>
        <v>20</v>
      </c>
      <c r="BK39" s="198">
        <f t="shared" si="52"/>
        <v>200</v>
      </c>
      <c r="BL39" s="172"/>
      <c r="BM39" s="13"/>
      <c r="BN39" s="231"/>
      <c r="BO39" s="231"/>
      <c r="BP39" s="172"/>
      <c r="BQ39" s="172"/>
      <c r="BR39" s="172"/>
      <c r="BS39" s="172"/>
      <c r="BT39" s="172"/>
      <c r="BU39" s="172"/>
      <c r="BV39" s="172"/>
      <c r="BW39" s="172"/>
      <c r="BX39" s="172"/>
      <c r="BY39" s="172"/>
      <c r="BZ39" s="172"/>
      <c r="CA39" s="172"/>
      <c r="CB39" s="172"/>
      <c r="CC39" s="172"/>
      <c r="CD39" s="172"/>
      <c r="CE39" s="172"/>
      <c r="CF39" s="172"/>
      <c r="CG39" s="172"/>
      <c r="CH39" s="172"/>
      <c r="CI39" s="172"/>
      <c r="CJ39" s="172"/>
      <c r="CK39" s="172"/>
      <c r="CL39" s="172"/>
      <c r="CM39" s="172"/>
      <c r="CN39" s="172"/>
      <c r="CO39" s="172"/>
      <c r="CP39" s="172"/>
      <c r="CQ39" s="172"/>
      <c r="CR39" s="172"/>
      <c r="CS39" s="172"/>
      <c r="CT39" s="172"/>
      <c r="CU39" s="172"/>
      <c r="CV39" s="172"/>
      <c r="CW39" s="172"/>
      <c r="CX39" s="172"/>
      <c r="CY39" s="172"/>
      <c r="CZ39" s="172"/>
      <c r="DA39" s="172"/>
      <c r="DB39" s="172"/>
      <c r="DC39" s="172"/>
      <c r="DD39" s="172"/>
      <c r="DE39" s="172"/>
      <c r="DF39" s="172"/>
      <c r="DG39" s="172"/>
      <c r="DH39" s="172"/>
      <c r="DI39" s="172"/>
      <c r="DJ39" s="172"/>
      <c r="DK39" s="172"/>
      <c r="DL39" s="172"/>
      <c r="DM39" s="172"/>
      <c r="DN39" s="172"/>
      <c r="DO39" s="172"/>
      <c r="DP39" s="172"/>
      <c r="DQ39" s="172"/>
      <c r="DR39" s="172"/>
      <c r="DS39" s="172"/>
      <c r="DT39" s="172"/>
      <c r="DU39" s="172"/>
      <c r="DV39" s="172"/>
      <c r="DW39" s="172"/>
      <c r="DX39" s="172"/>
      <c r="DY39" s="172"/>
      <c r="DZ39" s="172"/>
      <c r="EA39" s="172"/>
      <c r="EB39" s="172"/>
      <c r="EC39" s="172"/>
      <c r="ED39" s="172"/>
      <c r="EE39" s="172"/>
      <c r="EF39" s="172"/>
      <c r="EG39" s="172"/>
      <c r="EH39" s="172"/>
      <c r="EI39" s="172"/>
      <c r="EJ39" s="172"/>
      <c r="EK39" s="172"/>
      <c r="EL39" s="172"/>
      <c r="EM39" s="172"/>
      <c r="EN39" s="172"/>
      <c r="EO39" s="172"/>
      <c r="EP39" s="172"/>
      <c r="EQ39" s="172"/>
      <c r="ER39" s="172"/>
      <c r="ES39" s="172"/>
      <c r="ET39" s="172"/>
      <c r="EU39" s="172"/>
      <c r="EV39" s="172"/>
      <c r="EW39" s="172"/>
      <c r="EX39" s="172"/>
      <c r="EY39" s="172"/>
      <c r="EZ39" s="172"/>
      <c r="FA39" s="172"/>
      <c r="FB39" s="172"/>
      <c r="FC39" s="172"/>
      <c r="FD39" s="172"/>
      <c r="FE39" s="172"/>
      <c r="FF39" s="172"/>
      <c r="FG39" s="172"/>
      <c r="FH39" s="172"/>
      <c r="FI39" s="172"/>
      <c r="FJ39" s="172"/>
      <c r="FK39" s="172"/>
      <c r="FL39" s="172"/>
      <c r="FM39" s="172"/>
      <c r="FN39" s="172"/>
      <c r="FO39" s="172"/>
      <c r="FP39" s="172"/>
      <c r="FQ39" s="172"/>
      <c r="FR39" s="172"/>
      <c r="FS39" s="172"/>
      <c r="FT39" s="172"/>
      <c r="FU39" s="172"/>
      <c r="FV39" s="172"/>
      <c r="FW39" s="172"/>
      <c r="FX39" s="172"/>
      <c r="FY39" s="172"/>
      <c r="FZ39" s="172"/>
      <c r="GA39" s="172"/>
      <c r="GB39" s="172"/>
      <c r="GC39" s="172"/>
      <c r="GD39" s="172"/>
      <c r="GE39" s="172"/>
      <c r="GF39" s="172"/>
      <c r="GG39" s="172"/>
      <c r="GH39" s="172"/>
      <c r="GI39" s="172"/>
      <c r="GJ39" s="172"/>
      <c r="GK39" s="172"/>
      <c r="GL39" s="172"/>
      <c r="GM39" s="172"/>
      <c r="GN39" s="172"/>
      <c r="GO39" s="172"/>
      <c r="GP39" s="172"/>
      <c r="GQ39" s="172"/>
      <c r="GR39" s="172"/>
      <c r="GS39" s="172"/>
      <c r="GT39" s="172"/>
      <c r="GU39" s="172"/>
      <c r="GV39" s="172"/>
      <c r="GW39" s="172"/>
      <c r="GX39" s="172"/>
      <c r="GY39" s="172"/>
      <c r="GZ39" s="172"/>
      <c r="HA39" s="172"/>
      <c r="HB39" s="172"/>
      <c r="HC39" s="172"/>
      <c r="HD39" s="172"/>
      <c r="HE39" s="172"/>
      <c r="HF39" s="172"/>
      <c r="HG39" s="172"/>
      <c r="HH39" s="172"/>
      <c r="HI39" s="172"/>
      <c r="HJ39" s="172"/>
      <c r="HK39" s="172"/>
      <c r="HL39" s="172"/>
      <c r="HM39" s="172"/>
      <c r="HN39" s="172"/>
      <c r="HO39" s="172"/>
      <c r="HP39" s="172"/>
      <c r="HQ39" s="172"/>
      <c r="HR39" s="172"/>
      <c r="HS39" s="172"/>
      <c r="HT39" s="172"/>
      <c r="HU39" s="172"/>
      <c r="HV39" s="172"/>
      <c r="HW39" s="172"/>
      <c r="HX39" s="172"/>
      <c r="HY39" s="172"/>
      <c r="HZ39" s="172"/>
      <c r="IA39" s="172"/>
      <c r="IB39" s="172"/>
      <c r="IC39" s="172"/>
      <c r="ID39" s="172"/>
      <c r="IE39" s="172"/>
      <c r="IF39" s="172"/>
      <c r="IG39" s="172"/>
      <c r="IH39" s="172"/>
      <c r="II39" s="172"/>
      <c r="IJ39" s="172"/>
      <c r="IK39" s="172"/>
      <c r="IL39" s="172"/>
      <c r="IM39" s="172"/>
      <c r="IN39" s="172"/>
      <c r="IO39" s="172"/>
      <c r="IP39" s="172"/>
      <c r="IQ39" s="172"/>
      <c r="IR39" s="172"/>
      <c r="IS39" s="172"/>
      <c r="IT39" s="172"/>
      <c r="IU39" s="172"/>
      <c r="IV39" s="172"/>
      <c r="IW39" s="172"/>
      <c r="IX39" s="172"/>
      <c r="IY39" s="172"/>
      <c r="IZ39" s="172"/>
      <c r="JA39" s="172"/>
      <c r="JB39" s="172"/>
      <c r="JC39" s="172"/>
      <c r="JD39" s="172"/>
      <c r="JE39" s="172"/>
      <c r="JF39" s="172"/>
      <c r="JG39" s="172"/>
      <c r="JH39" s="172"/>
      <c r="JI39" s="172"/>
      <c r="JJ39" s="172"/>
      <c r="JK39" s="172"/>
      <c r="JL39" s="172"/>
      <c r="JM39" s="172"/>
      <c r="JN39" s="172"/>
      <c r="JO39" s="172"/>
      <c r="JP39" s="172"/>
      <c r="JQ39" s="172"/>
      <c r="JR39" s="172"/>
      <c r="JS39" s="172"/>
      <c r="JT39" s="172"/>
      <c r="JU39" s="172"/>
      <c r="JV39" s="172"/>
      <c r="JW39" s="172"/>
      <c r="JX39" s="172"/>
      <c r="JY39" s="172"/>
      <c r="JZ39" s="172"/>
      <c r="KA39" s="172"/>
      <c r="KB39" s="172"/>
      <c r="KC39" s="172"/>
      <c r="KD39" s="172"/>
      <c r="KE39" s="172"/>
      <c r="KF39" s="172"/>
      <c r="KG39" s="172"/>
      <c r="KH39" s="172"/>
      <c r="KI39" s="172"/>
      <c r="KJ39" s="172"/>
      <c r="KK39" s="172"/>
      <c r="KL39" s="172"/>
      <c r="KM39" s="172"/>
      <c r="KN39" s="172"/>
      <c r="KO39" s="172"/>
      <c r="KP39" s="172"/>
      <c r="KQ39" s="172"/>
      <c r="KR39" s="172"/>
      <c r="KS39" s="172"/>
      <c r="KT39" s="172"/>
      <c r="KU39" s="172"/>
      <c r="KV39" s="172"/>
      <c r="KW39" s="172"/>
      <c r="KX39" s="172"/>
      <c r="KY39" s="172"/>
      <c r="KZ39" s="172"/>
      <c r="LA39" s="172"/>
      <c r="LB39" s="172"/>
      <c r="LC39" s="172"/>
      <c r="LD39" s="172"/>
      <c r="LE39" s="172"/>
      <c r="LF39" s="172"/>
      <c r="LG39" s="172"/>
      <c r="LH39" s="172"/>
      <c r="LI39" s="172"/>
      <c r="LJ39" s="172"/>
      <c r="LK39" s="172"/>
      <c r="LL39" s="172"/>
      <c r="LM39" s="172"/>
      <c r="LN39" s="172"/>
      <c r="LO39" s="172"/>
      <c r="LP39" s="172"/>
      <c r="LQ39" s="172"/>
      <c r="LR39" s="172"/>
      <c r="LS39" s="172"/>
      <c r="LT39" s="172"/>
      <c r="LU39" s="172"/>
      <c r="LV39" s="172"/>
      <c r="LW39" s="172"/>
      <c r="LX39" s="172"/>
      <c r="LY39" s="172"/>
      <c r="LZ39" s="172"/>
      <c r="MA39" s="172"/>
      <c r="MB39" s="172"/>
      <c r="MC39" s="172"/>
      <c r="MD39" s="172"/>
      <c r="ME39" s="172"/>
      <c r="MF39" s="172"/>
      <c r="MG39" s="172"/>
      <c r="MH39" s="172"/>
      <c r="MI39" s="172"/>
      <c r="MJ39" s="172"/>
      <c r="MK39" s="172"/>
      <c r="ML39" s="172"/>
      <c r="MM39" s="172"/>
      <c r="MN39" s="172"/>
      <c r="MO39" s="172"/>
      <c r="MP39" s="172"/>
      <c r="MQ39" s="172"/>
      <c r="MR39" s="172"/>
      <c r="MS39" s="172"/>
      <c r="MT39" s="172"/>
      <c r="MU39" s="172"/>
      <c r="MV39" s="172"/>
      <c r="MW39" s="172"/>
      <c r="MX39" s="172"/>
      <c r="MY39" s="172"/>
      <c r="MZ39" s="172"/>
      <c r="NA39" s="172"/>
      <c r="NB39" s="172"/>
      <c r="NC39" s="172"/>
      <c r="ND39" s="172"/>
      <c r="NE39" s="172"/>
      <c r="NF39" s="172"/>
      <c r="NG39" s="172"/>
      <c r="NH39" s="172"/>
      <c r="NI39" s="172"/>
      <c r="NJ39" s="172"/>
      <c r="NK39" s="172"/>
      <c r="NL39" s="172"/>
      <c r="NM39" s="172"/>
      <c r="NN39" s="172"/>
      <c r="NO39" s="172"/>
      <c r="NP39" s="172"/>
      <c r="NQ39" s="172"/>
      <c r="NR39" s="172"/>
      <c r="NS39" s="172"/>
      <c r="NT39" s="172"/>
      <c r="NU39" s="172"/>
      <c r="NV39" s="172"/>
      <c r="NW39" s="172"/>
      <c r="NX39" s="172"/>
      <c r="NY39" s="172"/>
      <c r="NZ39" s="172"/>
      <c r="OA39" s="172"/>
      <c r="OB39" s="172"/>
      <c r="OC39" s="172"/>
      <c r="OD39" s="172"/>
      <c r="OE39" s="172"/>
      <c r="OF39" s="172"/>
      <c r="OG39" s="172"/>
      <c r="OH39" s="172"/>
      <c r="OI39" s="172"/>
      <c r="OJ39" s="172"/>
      <c r="OK39" s="172"/>
      <c r="OL39" s="172"/>
      <c r="OM39" s="172"/>
      <c r="ON39" s="172"/>
      <c r="OO39" s="172"/>
      <c r="OP39" s="172"/>
      <c r="OQ39" s="172"/>
      <c r="OR39" s="172"/>
      <c r="OS39" s="172"/>
      <c r="OT39" s="172"/>
      <c r="OU39" s="172"/>
      <c r="OV39" s="172"/>
      <c r="OW39" s="172"/>
      <c r="OX39" s="172"/>
      <c r="OY39" s="172"/>
      <c r="OZ39" s="172"/>
      <c r="PA39" s="172"/>
      <c r="PB39" s="172"/>
      <c r="PC39" s="172"/>
      <c r="PD39" s="172"/>
      <c r="PE39" s="172"/>
      <c r="PF39" s="172"/>
      <c r="PG39" s="172"/>
      <c r="PH39" s="172"/>
      <c r="PI39" s="172"/>
      <c r="PJ39" s="172"/>
      <c r="PK39" s="172"/>
      <c r="PL39" s="172"/>
      <c r="PM39" s="172"/>
      <c r="PN39" s="172"/>
      <c r="PO39" s="172"/>
      <c r="PP39" s="172"/>
      <c r="PQ39" s="172"/>
      <c r="PR39" s="172"/>
      <c r="PS39" s="172"/>
      <c r="PT39" s="172"/>
      <c r="PU39" s="172"/>
      <c r="PV39" s="172"/>
      <c r="PW39" s="172"/>
      <c r="PX39" s="172"/>
      <c r="PY39" s="172"/>
      <c r="PZ39" s="172"/>
      <c r="QA39" s="172"/>
      <c r="QB39" s="172"/>
      <c r="QC39" s="172"/>
      <c r="QD39" s="172"/>
      <c r="QE39" s="172"/>
      <c r="QF39" s="172"/>
      <c r="QG39" s="172"/>
      <c r="QH39" s="172"/>
      <c r="QI39" s="172"/>
      <c r="QJ39" s="172"/>
      <c r="QK39" s="172"/>
      <c r="QL39" s="172"/>
      <c r="QM39" s="172"/>
      <c r="QN39" s="172"/>
      <c r="QO39" s="172"/>
      <c r="QP39" s="172"/>
      <c r="QQ39" s="172"/>
      <c r="QR39" s="172"/>
      <c r="QS39" s="172"/>
      <c r="QT39" s="172"/>
      <c r="QU39" s="172"/>
      <c r="QV39" s="172"/>
      <c r="QW39" s="172"/>
      <c r="QX39" s="172"/>
      <c r="QY39" s="172"/>
      <c r="QZ39" s="172"/>
      <c r="RA39" s="172"/>
      <c r="RB39" s="172"/>
      <c r="RC39" s="172"/>
      <c r="RD39" s="172"/>
      <c r="RE39" s="172"/>
      <c r="RF39" s="172"/>
      <c r="RG39" s="172"/>
      <c r="RH39" s="172"/>
      <c r="RI39" s="172"/>
      <c r="RJ39" s="172"/>
      <c r="RK39" s="172"/>
      <c r="RL39" s="172"/>
      <c r="RM39" s="172"/>
      <c r="RN39" s="172"/>
      <c r="RO39" s="172"/>
      <c r="RP39" s="172"/>
      <c r="RQ39" s="172"/>
      <c r="RR39" s="172"/>
      <c r="RS39" s="172"/>
      <c r="RT39" s="172"/>
      <c r="RU39" s="172"/>
      <c r="RV39" s="172"/>
      <c r="RW39" s="172"/>
      <c r="RX39" s="172"/>
      <c r="RY39" s="172"/>
      <c r="RZ39" s="172"/>
      <c r="SA39" s="172"/>
      <c r="SB39" s="172"/>
      <c r="SC39" s="172"/>
      <c r="SD39" s="172"/>
      <c r="SE39" s="172"/>
      <c r="SF39" s="172"/>
      <c r="SG39" s="172"/>
      <c r="SH39" s="172"/>
      <c r="SI39" s="172"/>
      <c r="SJ39" s="172"/>
      <c r="SK39" s="172"/>
      <c r="SL39" s="172"/>
      <c r="SM39" s="172"/>
      <c r="SN39" s="172"/>
      <c r="SO39" s="172"/>
      <c r="SP39" s="172"/>
      <c r="SQ39" s="172"/>
      <c r="SR39" s="172"/>
      <c r="SS39" s="172"/>
      <c r="ST39" s="172"/>
      <c r="SU39" s="172"/>
      <c r="SV39" s="172"/>
      <c r="SW39" s="172"/>
      <c r="SX39" s="172"/>
      <c r="SY39" s="172"/>
      <c r="SZ39" s="172"/>
      <c r="TA39" s="172"/>
      <c r="TB39" s="172"/>
      <c r="TC39" s="172"/>
      <c r="TD39" s="172"/>
      <c r="TE39" s="172"/>
      <c r="TF39" s="172"/>
      <c r="TG39" s="172"/>
      <c r="TH39" s="172"/>
      <c r="TI39" s="172"/>
      <c r="TJ39" s="172"/>
      <c r="TK39" s="172"/>
      <c r="TL39" s="172"/>
      <c r="TM39" s="172"/>
      <c r="TN39" s="172"/>
      <c r="TO39" s="172"/>
      <c r="TP39" s="172"/>
      <c r="TQ39" s="172"/>
      <c r="TR39" s="172"/>
      <c r="TS39" s="172"/>
      <c r="TT39" s="172"/>
      <c r="TU39" s="172"/>
      <c r="TV39" s="172"/>
      <c r="TW39" s="172"/>
      <c r="TX39" s="172"/>
      <c r="TY39" s="172"/>
      <c r="TZ39" s="172"/>
      <c r="UA39" s="172"/>
      <c r="UB39" s="172"/>
      <c r="UC39" s="172"/>
      <c r="UD39" s="172"/>
      <c r="UE39" s="172"/>
      <c r="UF39" s="172"/>
      <c r="UG39" s="172"/>
      <c r="UH39" s="172"/>
      <c r="UI39" s="172"/>
      <c r="UJ39" s="172"/>
      <c r="UK39" s="172"/>
      <c r="UL39" s="172"/>
      <c r="UM39" s="172"/>
      <c r="UN39" s="172"/>
      <c r="UO39" s="172"/>
      <c r="UP39" s="172"/>
      <c r="UQ39" s="172"/>
      <c r="UR39" s="172"/>
      <c r="US39" s="172"/>
      <c r="UT39" s="172"/>
      <c r="UU39" s="172"/>
      <c r="UV39" s="172"/>
      <c r="UW39" s="172"/>
      <c r="UX39" s="172"/>
      <c r="UY39" s="172"/>
      <c r="UZ39" s="172"/>
      <c r="VA39" s="172"/>
      <c r="VB39" s="172"/>
      <c r="VC39" s="172"/>
      <c r="VD39" s="172"/>
      <c r="VE39" s="172"/>
      <c r="VF39" s="172"/>
      <c r="VG39" s="172"/>
      <c r="VH39" s="172"/>
      <c r="VI39" s="172"/>
      <c r="VJ39" s="172"/>
      <c r="VK39" s="172"/>
      <c r="VL39" s="172"/>
      <c r="VM39" s="172"/>
      <c r="VN39" s="172"/>
      <c r="VO39" s="172"/>
      <c r="VP39" s="172"/>
      <c r="VQ39" s="172"/>
      <c r="VR39" s="172"/>
      <c r="VS39" s="172"/>
      <c r="VT39" s="172"/>
      <c r="VU39" s="172"/>
      <c r="VV39" s="172"/>
      <c r="VW39" s="172"/>
      <c r="VX39" s="172"/>
      <c r="VY39" s="172"/>
      <c r="VZ39" s="172"/>
      <c r="WA39" s="172"/>
      <c r="WB39" s="172"/>
      <c r="WC39" s="172"/>
      <c r="WD39" s="172"/>
      <c r="WE39" s="172"/>
      <c r="WF39" s="172"/>
      <c r="WG39" s="172"/>
      <c r="WH39" s="172"/>
      <c r="WI39" s="172"/>
      <c r="WJ39" s="172"/>
      <c r="WK39" s="172"/>
      <c r="WL39" s="172"/>
      <c r="WM39" s="172"/>
      <c r="WN39" s="172"/>
      <c r="WO39" s="172"/>
      <c r="WP39" s="172"/>
      <c r="WQ39" s="172"/>
      <c r="WR39" s="172"/>
      <c r="WS39" s="172"/>
      <c r="WT39" s="172"/>
      <c r="WU39" s="172"/>
      <c r="WV39" s="172"/>
      <c r="WW39" s="172"/>
      <c r="WX39" s="172"/>
      <c r="WY39" s="172"/>
      <c r="WZ39" s="172"/>
      <c r="XA39" s="172"/>
      <c r="XB39" s="172"/>
      <c r="XC39" s="172"/>
      <c r="XD39" s="172"/>
      <c r="XE39" s="172"/>
      <c r="XF39" s="172"/>
      <c r="XG39" s="172"/>
      <c r="XH39" s="172"/>
      <c r="XI39" s="172"/>
      <c r="XJ39" s="172"/>
      <c r="XK39" s="172"/>
      <c r="XL39" s="172"/>
      <c r="XM39" s="172"/>
      <c r="XN39" s="172"/>
      <c r="XO39" s="172"/>
      <c r="XP39" s="172"/>
      <c r="XQ39" s="172"/>
      <c r="XR39" s="172"/>
      <c r="XS39" s="172"/>
      <c r="XT39" s="172"/>
      <c r="XU39" s="172"/>
      <c r="XV39" s="172"/>
      <c r="XW39" s="172"/>
      <c r="XX39" s="172"/>
      <c r="XY39" s="172"/>
      <c r="XZ39" s="172"/>
      <c r="YA39" s="172"/>
      <c r="YB39" s="172"/>
      <c r="YC39" s="172"/>
      <c r="YD39" s="172"/>
      <c r="YE39" s="172"/>
      <c r="YF39" s="172"/>
      <c r="YG39" s="172"/>
      <c r="YH39" s="172"/>
      <c r="YI39" s="172"/>
      <c r="YJ39" s="172"/>
      <c r="YK39" s="172"/>
      <c r="YL39" s="172"/>
      <c r="YM39" s="172"/>
      <c r="YN39" s="172"/>
      <c r="YO39" s="172"/>
      <c r="YP39" s="172"/>
      <c r="YQ39" s="172"/>
      <c r="YR39" s="172"/>
      <c r="YS39" s="172"/>
      <c r="YT39" s="172"/>
      <c r="YU39" s="172"/>
      <c r="YV39" s="172"/>
      <c r="YW39" s="172"/>
      <c r="YX39" s="172"/>
      <c r="YY39" s="172"/>
      <c r="YZ39" s="172"/>
      <c r="ZA39" s="172"/>
      <c r="ZB39" s="172"/>
      <c r="ZC39" s="172"/>
      <c r="ZD39" s="172"/>
      <c r="ZE39" s="172"/>
      <c r="ZF39" s="172"/>
      <c r="ZG39" s="172"/>
      <c r="ZH39" s="172"/>
      <c r="ZI39" s="172"/>
      <c r="ZJ39" s="172"/>
      <c r="ZK39" s="172"/>
      <c r="ZL39" s="172"/>
      <c r="ZM39" s="172"/>
      <c r="ZN39" s="172"/>
      <c r="ZO39" s="172"/>
      <c r="ZP39" s="172"/>
      <c r="ZQ39" s="172"/>
      <c r="ZR39" s="172"/>
      <c r="ZS39" s="172"/>
      <c r="ZT39" s="172"/>
      <c r="ZU39" s="172"/>
      <c r="ZV39" s="172"/>
      <c r="ZW39" s="172"/>
      <c r="ZX39" s="172"/>
      <c r="ZY39" s="172"/>
      <c r="ZZ39" s="172"/>
      <c r="AAA39" s="172"/>
      <c r="AAB39" s="172"/>
      <c r="AAC39" s="172"/>
      <c r="AAD39" s="172"/>
      <c r="AAE39" s="172"/>
      <c r="AAF39" s="172"/>
      <c r="AAG39" s="172"/>
      <c r="AAH39" s="172"/>
      <c r="AAI39" s="172"/>
      <c r="AAJ39" s="172"/>
      <c r="AAK39" s="172"/>
      <c r="AAL39" s="172"/>
      <c r="AAM39" s="172"/>
      <c r="AAN39" s="172"/>
      <c r="AAO39" s="172"/>
      <c r="AAP39" s="172"/>
      <c r="AAQ39" s="172"/>
      <c r="AAR39" s="172"/>
      <c r="AAS39" s="172"/>
      <c r="AAT39" s="172"/>
      <c r="AAU39" s="172"/>
      <c r="AAV39" s="172"/>
      <c r="AAW39" s="172"/>
      <c r="AAX39" s="172"/>
      <c r="AAY39" s="172"/>
      <c r="AAZ39" s="172"/>
      <c r="ABA39" s="172"/>
      <c r="ABB39" s="172"/>
      <c r="ABC39" s="172"/>
      <c r="ABD39" s="172"/>
      <c r="ABE39" s="172"/>
      <c r="ABF39" s="172"/>
      <c r="ABG39" s="172"/>
      <c r="ABH39" s="172"/>
      <c r="ABI39" s="172"/>
      <c r="ABJ39" s="172"/>
      <c r="ABK39" s="172"/>
      <c r="ABL39" s="172"/>
      <c r="ABM39" s="172"/>
      <c r="ABN39" s="172"/>
      <c r="ABO39" s="172"/>
      <c r="ABP39" s="172"/>
      <c r="ABQ39" s="172"/>
      <c r="ABR39" s="172"/>
      <c r="ABS39" s="172"/>
      <c r="ABT39" s="172"/>
      <c r="ABU39" s="172"/>
      <c r="ABV39" s="172"/>
      <c r="ABW39" s="172"/>
      <c r="ABX39" s="172"/>
      <c r="ABY39" s="172"/>
      <c r="ABZ39" s="172"/>
      <c r="ACA39" s="172"/>
      <c r="ACB39" s="172"/>
      <c r="ACC39" s="172"/>
      <c r="ACD39" s="172"/>
      <c r="ACE39" s="172"/>
      <c r="ACF39" s="172"/>
      <c r="ACG39" s="172"/>
      <c r="ACH39" s="172"/>
      <c r="ACI39" s="172"/>
      <c r="ACJ39" s="172"/>
      <c r="ACK39" s="172"/>
      <c r="ACL39" s="172"/>
      <c r="ACM39" s="172"/>
      <c r="ACN39" s="172"/>
      <c r="ACO39" s="172"/>
      <c r="ACP39" s="172"/>
      <c r="ACQ39" s="172"/>
      <c r="ACR39" s="172"/>
      <c r="ACS39" s="172"/>
      <c r="ACT39" s="172"/>
      <c r="ACU39" s="172"/>
      <c r="ACV39" s="172"/>
      <c r="ACW39" s="172"/>
      <c r="ACX39" s="172"/>
      <c r="ACY39" s="172"/>
      <c r="ACZ39" s="172"/>
      <c r="ADA39" s="172"/>
      <c r="ADB39" s="172"/>
      <c r="ADC39" s="172"/>
      <c r="ADD39" s="172"/>
      <c r="ADE39" s="172"/>
      <c r="ADF39" s="172"/>
      <c r="ADG39" s="172"/>
      <c r="ADH39" s="172"/>
      <c r="ADI39" s="172"/>
      <c r="ADJ39" s="172"/>
      <c r="ADK39" s="172"/>
      <c r="ADL39" s="172"/>
      <c r="ADM39" s="172"/>
      <c r="ADN39" s="172"/>
      <c r="ADO39" s="172"/>
      <c r="ADP39" s="172"/>
      <c r="ADQ39" s="172"/>
      <c r="ADR39" s="172"/>
      <c r="ADS39" s="172"/>
      <c r="ADT39" s="172"/>
      <c r="ADU39" s="172"/>
      <c r="ADV39" s="172"/>
      <c r="ADW39" s="172"/>
      <c r="ADX39" s="172"/>
      <c r="ADY39" s="172"/>
      <c r="ADZ39" s="172"/>
      <c r="AEA39" s="172"/>
      <c r="AEB39" s="172"/>
      <c r="AEC39" s="172"/>
      <c r="AED39" s="172"/>
      <c r="AEE39" s="172"/>
      <c r="AEF39" s="172"/>
      <c r="AEG39" s="172"/>
      <c r="AEH39" s="172"/>
      <c r="AEI39" s="172"/>
      <c r="AEJ39" s="172"/>
      <c r="AEK39" s="172"/>
      <c r="AEL39" s="172"/>
      <c r="AEM39" s="172"/>
      <c r="AEN39" s="172"/>
      <c r="AEO39" s="172"/>
      <c r="AEP39" s="172"/>
      <c r="AEQ39" s="172"/>
      <c r="AER39" s="172"/>
      <c r="AES39" s="172"/>
      <c r="AET39" s="172"/>
      <c r="AEU39" s="172"/>
      <c r="AEV39" s="172"/>
      <c r="AEW39" s="172"/>
      <c r="AEX39" s="172"/>
      <c r="AEY39" s="172"/>
      <c r="AEZ39" s="172"/>
      <c r="AFA39" s="172"/>
      <c r="AFB39" s="172"/>
      <c r="AFC39" s="172"/>
      <c r="AFD39" s="172"/>
      <c r="AFE39" s="172"/>
      <c r="AFF39" s="172"/>
      <c r="AFG39" s="172"/>
      <c r="AFH39" s="172"/>
      <c r="AFI39" s="172"/>
      <c r="AFJ39" s="172"/>
      <c r="AFK39" s="172"/>
      <c r="AFL39" s="172"/>
      <c r="AFM39" s="172"/>
      <c r="AFN39" s="172"/>
      <c r="AFO39" s="172"/>
      <c r="AFP39" s="172"/>
      <c r="AFQ39" s="172"/>
      <c r="AFR39" s="172"/>
      <c r="AFS39" s="172"/>
      <c r="AFT39" s="172"/>
      <c r="AFU39" s="172"/>
      <c r="AFV39" s="172"/>
      <c r="AFW39" s="172"/>
      <c r="AFX39" s="172"/>
      <c r="AFY39" s="172"/>
      <c r="AFZ39" s="172"/>
      <c r="AGA39" s="172"/>
      <c r="AGB39" s="172"/>
      <c r="AGC39" s="172"/>
      <c r="AGD39" s="172"/>
      <c r="AGE39" s="172"/>
      <c r="AGF39" s="172"/>
      <c r="AGG39" s="172"/>
      <c r="AGH39" s="172"/>
      <c r="AGI39" s="172"/>
      <c r="AGJ39" s="172"/>
      <c r="AGK39" s="172"/>
      <c r="AGL39" s="172"/>
      <c r="AGM39" s="172"/>
      <c r="AGN39" s="172"/>
      <c r="AGO39" s="172"/>
      <c r="AGP39" s="172"/>
      <c r="AGQ39" s="172"/>
      <c r="AGR39" s="172"/>
      <c r="AGS39" s="172"/>
      <c r="AGT39" s="172"/>
      <c r="AGU39" s="172"/>
      <c r="AGV39" s="172"/>
      <c r="AGW39" s="172"/>
      <c r="AGX39" s="172"/>
      <c r="AGY39" s="172"/>
      <c r="AGZ39" s="172"/>
      <c r="AHA39" s="172"/>
      <c r="AHB39" s="172"/>
      <c r="AHC39" s="172"/>
      <c r="AHD39" s="172"/>
      <c r="AHE39" s="172"/>
      <c r="AHF39" s="172"/>
      <c r="AHG39" s="172"/>
      <c r="AHH39" s="172"/>
      <c r="AHI39" s="172"/>
      <c r="AHJ39" s="172"/>
      <c r="AHK39" s="172"/>
      <c r="AHL39" s="172"/>
      <c r="AHM39" s="172"/>
      <c r="AHN39" s="172"/>
      <c r="AHO39" s="172"/>
      <c r="AHP39" s="172"/>
      <c r="AHQ39" s="172"/>
      <c r="AHR39" s="172"/>
      <c r="AHS39" s="172"/>
      <c r="AHT39" s="172"/>
      <c r="AHU39" s="172"/>
      <c r="AHV39" s="172"/>
      <c r="AHW39" s="172"/>
      <c r="AHX39" s="172"/>
      <c r="AHY39" s="172"/>
      <c r="AHZ39" s="172"/>
      <c r="AIA39" s="172"/>
      <c r="AIB39" s="172"/>
      <c r="AIC39" s="172"/>
      <c r="AID39" s="172"/>
      <c r="AIE39" s="172"/>
      <c r="AIF39" s="172"/>
      <c r="AIG39" s="172"/>
      <c r="AIH39" s="172"/>
      <c r="AII39" s="172"/>
      <c r="AIJ39" s="172"/>
      <c r="AIK39" s="172"/>
      <c r="AIL39" s="172"/>
      <c r="AIM39" s="172"/>
      <c r="AIN39" s="172"/>
      <c r="AIO39" s="172"/>
      <c r="AIP39" s="172"/>
      <c r="AIQ39" s="172"/>
      <c r="AIR39" s="172"/>
      <c r="AIS39" s="172"/>
      <c r="AIT39" s="172"/>
      <c r="AIU39" s="172"/>
      <c r="AIV39" s="172"/>
      <c r="AIW39" s="172"/>
      <c r="AIX39" s="172"/>
      <c r="AIY39" s="172"/>
      <c r="AIZ39" s="172"/>
      <c r="AJA39" s="172"/>
      <c r="AJB39" s="172"/>
      <c r="AJC39" s="172"/>
      <c r="AJD39" s="172"/>
      <c r="AJE39" s="172"/>
      <c r="AJF39" s="172"/>
      <c r="AJG39" s="172"/>
      <c r="AJH39" s="172"/>
      <c r="AJI39" s="172"/>
      <c r="AJJ39" s="172"/>
      <c r="AJK39" s="172"/>
      <c r="AJL39" s="172"/>
      <c r="AJM39" s="172"/>
      <c r="AJN39" s="172"/>
      <c r="AJO39" s="172"/>
      <c r="AJP39" s="172"/>
      <c r="AJQ39" s="172"/>
      <c r="AJR39" s="172"/>
      <c r="AJS39" s="172"/>
      <c r="AJT39" s="172"/>
      <c r="AJU39" s="172"/>
      <c r="AJV39" s="172"/>
      <c r="AJW39" s="172"/>
      <c r="AJX39" s="172"/>
      <c r="AJY39" s="172"/>
      <c r="AJZ39" s="172"/>
      <c r="AKA39" s="172"/>
      <c r="AKB39" s="172"/>
      <c r="AKC39" s="172"/>
      <c r="AKD39" s="172"/>
      <c r="AKE39" s="172"/>
      <c r="AKF39" s="172"/>
      <c r="AKG39" s="172"/>
      <c r="AKH39" s="172"/>
      <c r="AKI39" s="172"/>
      <c r="AKJ39" s="172"/>
      <c r="AKK39" s="172"/>
      <c r="AKL39" s="172"/>
      <c r="AKM39" s="172"/>
      <c r="AKN39" s="172"/>
      <c r="AKO39" s="172"/>
      <c r="AKP39" s="172"/>
      <c r="AKQ39" s="172"/>
      <c r="AKR39" s="172"/>
      <c r="AKS39" s="172"/>
      <c r="AKT39" s="172"/>
      <c r="AKU39" s="172"/>
      <c r="AKV39" s="172"/>
      <c r="AKW39" s="172"/>
      <c r="AKX39" s="172"/>
      <c r="AKY39" s="172"/>
      <c r="AKZ39" s="172"/>
      <c r="ALA39" s="172"/>
      <c r="ALB39" s="172"/>
      <c r="ALC39" s="172"/>
      <c r="ALD39" s="172"/>
      <c r="ALE39" s="172"/>
      <c r="ALF39" s="172"/>
      <c r="ALG39" s="172"/>
      <c r="ALH39" s="172"/>
      <c r="ALI39" s="172"/>
      <c r="ALJ39" s="172"/>
      <c r="ALK39" s="172"/>
      <c r="ALL39" s="172"/>
      <c r="ALM39" s="172"/>
      <c r="ALN39" s="172"/>
      <c r="ALO39" s="172"/>
      <c r="ALP39" s="172"/>
      <c r="ALQ39" s="172"/>
      <c r="ALR39" s="172"/>
      <c r="ALS39" s="172"/>
      <c r="ALT39" s="172"/>
      <c r="ALU39" s="172"/>
      <c r="ALV39" s="172"/>
      <c r="ALW39" s="172"/>
      <c r="ALX39" s="172"/>
      <c r="ALY39" s="172"/>
      <c r="ALZ39" s="172"/>
      <c r="AMA39" s="172"/>
      <c r="AMB39" s="172"/>
      <c r="AMC39" s="172"/>
      <c r="AMD39" s="172"/>
      <c r="AME39" s="172"/>
      <c r="AMF39" s="172"/>
      <c r="AMG39" s="172"/>
      <c r="AMH39" s="172"/>
      <c r="AMI39" s="172"/>
      <c r="AMJ39" s="172"/>
      <c r="AMK39" s="172"/>
      <c r="AML39" s="172"/>
      <c r="AMM39" s="172"/>
      <c r="AMN39" s="172"/>
      <c r="AMO39" s="172"/>
      <c r="AMP39" s="172"/>
      <c r="AMQ39" s="172"/>
      <c r="AMR39" s="172"/>
      <c r="AMS39" s="172"/>
      <c r="AMT39" s="172"/>
      <c r="AMU39" s="172"/>
      <c r="AMV39" s="172"/>
      <c r="AMW39" s="172"/>
      <c r="AMX39" s="172"/>
      <c r="AMY39" s="172"/>
      <c r="AMZ39" s="172"/>
      <c r="ANA39" s="172"/>
      <c r="ANB39" s="172"/>
      <c r="ANC39" s="172"/>
      <c r="AND39" s="172"/>
      <c r="ANE39" s="172"/>
      <c r="ANF39" s="172"/>
      <c r="ANG39" s="172"/>
      <c r="ANH39" s="172"/>
      <c r="ANI39" s="172"/>
      <c r="ANJ39" s="172"/>
      <c r="ANK39" s="172"/>
      <c r="ANL39" s="172"/>
      <c r="ANM39" s="172"/>
      <c r="ANN39" s="172"/>
      <c r="ANO39" s="172"/>
      <c r="ANP39" s="172"/>
      <c r="ANQ39" s="172"/>
      <c r="ANR39" s="172"/>
      <c r="ANS39" s="172"/>
      <c r="ANT39" s="172"/>
      <c r="ANU39" s="172"/>
      <c r="ANV39" s="172"/>
      <c r="ANW39" s="172"/>
      <c r="ANX39" s="172"/>
      <c r="ANY39" s="172"/>
      <c r="ANZ39" s="172"/>
      <c r="AOA39" s="172"/>
      <c r="AOB39" s="172"/>
      <c r="AOC39" s="172"/>
      <c r="AOD39" s="172"/>
      <c r="AOE39" s="172"/>
      <c r="AOF39" s="172"/>
      <c r="AOG39" s="172"/>
      <c r="AOH39" s="172"/>
      <c r="AOI39" s="172"/>
      <c r="AOJ39" s="172"/>
      <c r="AOK39" s="172"/>
      <c r="AOL39" s="172"/>
      <c r="AOM39" s="172"/>
      <c r="AON39" s="172"/>
      <c r="AOO39" s="172"/>
      <c r="AOP39" s="172"/>
      <c r="AOQ39" s="172"/>
      <c r="AOR39" s="172"/>
      <c r="AOS39" s="172"/>
      <c r="AOT39" s="172"/>
      <c r="AOU39" s="172"/>
      <c r="AOV39" s="172"/>
      <c r="AOW39" s="172"/>
      <c r="AOX39" s="172"/>
      <c r="AOY39" s="172"/>
      <c r="AOZ39" s="172"/>
      <c r="APA39" s="172"/>
      <c r="APB39" s="172"/>
      <c r="APC39" s="172"/>
      <c r="APD39" s="172"/>
      <c r="APE39" s="172"/>
      <c r="APF39" s="172"/>
      <c r="APG39" s="172"/>
      <c r="APH39" s="172"/>
      <c r="API39" s="172"/>
      <c r="APJ39" s="172"/>
      <c r="APK39" s="172"/>
      <c r="APL39" s="172"/>
      <c r="APM39" s="172"/>
      <c r="APN39" s="172"/>
      <c r="APO39" s="172"/>
      <c r="APP39" s="172"/>
      <c r="APQ39" s="172"/>
      <c r="APR39" s="172"/>
      <c r="APS39" s="172"/>
      <c r="APT39" s="172"/>
      <c r="APU39" s="172"/>
      <c r="APV39" s="172"/>
      <c r="APW39" s="172"/>
      <c r="APX39" s="172"/>
      <c r="APY39" s="172"/>
      <c r="APZ39" s="172"/>
      <c r="AQA39" s="172"/>
      <c r="AQB39" s="172"/>
      <c r="AQC39" s="172"/>
      <c r="AQD39" s="172"/>
      <c r="AQE39" s="172"/>
      <c r="AQF39" s="172"/>
      <c r="AQG39" s="172"/>
      <c r="AQH39" s="172"/>
      <c r="AQI39" s="172"/>
      <c r="AQJ39" s="172"/>
      <c r="AQK39" s="172"/>
      <c r="AQL39" s="172"/>
      <c r="AQM39" s="172"/>
      <c r="AQN39" s="172"/>
      <c r="AQO39" s="172"/>
      <c r="AQP39" s="172"/>
      <c r="AQQ39" s="172"/>
      <c r="AQR39" s="172"/>
      <c r="AQS39" s="172"/>
      <c r="AQT39" s="172"/>
      <c r="AQU39" s="172"/>
      <c r="AQV39" s="172"/>
      <c r="AQW39" s="172"/>
      <c r="AQX39" s="172"/>
      <c r="AQY39" s="172"/>
      <c r="AQZ39" s="172"/>
      <c r="ARA39" s="172"/>
      <c r="ARB39" s="172"/>
      <c r="ARC39" s="172"/>
      <c r="ARD39" s="172"/>
      <c r="ARE39" s="172"/>
      <c r="ARF39" s="172"/>
      <c r="ARG39" s="172"/>
      <c r="ARH39" s="172"/>
      <c r="ARI39" s="172"/>
      <c r="ARJ39" s="172"/>
      <c r="ARK39" s="172"/>
      <c r="ARL39" s="172"/>
      <c r="ARM39" s="172"/>
      <c r="ARN39" s="172"/>
      <c r="ARO39" s="172"/>
      <c r="ARP39" s="172"/>
      <c r="ARQ39" s="172"/>
      <c r="ARR39" s="172"/>
      <c r="ARS39" s="172"/>
      <c r="ART39" s="172"/>
    </row>
    <row r="40" spans="1:1164" s="257" customFormat="1">
      <c r="A40" s="220" t="s">
        <v>179</v>
      </c>
      <c r="B40" s="215"/>
      <c r="C40" s="284"/>
      <c r="D40" s="258">
        <f>SUM(D32:D39)</f>
        <v>43079675</v>
      </c>
      <c r="E40" s="284"/>
      <c r="F40" s="258">
        <f>SUM(F32:F39)</f>
        <v>4751650</v>
      </c>
      <c r="G40" s="284"/>
      <c r="H40" s="258">
        <f>SUM(H32:H39)</f>
        <v>7293974</v>
      </c>
      <c r="I40" s="284"/>
      <c r="J40" s="258">
        <f>SUM(J32:J39)</f>
        <v>34100108</v>
      </c>
      <c r="K40" s="284"/>
      <c r="L40" s="258">
        <f>SUM(L32:L39)</f>
        <v>16886807</v>
      </c>
      <c r="M40" s="284"/>
      <c r="N40" s="258">
        <f>SUM(N32:N39)</f>
        <v>31813163</v>
      </c>
      <c r="O40" s="284"/>
      <c r="P40" s="258">
        <f>SUM(P32:P39)</f>
        <v>25946538</v>
      </c>
      <c r="Q40" s="284"/>
      <c r="R40" s="258">
        <f>SUM(R32:R39)</f>
        <v>13669815</v>
      </c>
      <c r="S40" s="284"/>
      <c r="T40" s="258">
        <f>SUM(T32:T39)</f>
        <v>4218249</v>
      </c>
      <c r="U40" s="288"/>
      <c r="V40" s="258">
        <f>SUM(V32:V39)</f>
        <v>32454090</v>
      </c>
      <c r="W40" s="288"/>
      <c r="X40" s="258">
        <f>SUM(X32:X39)</f>
        <v>93272267</v>
      </c>
      <c r="Y40" s="288"/>
      <c r="Z40" s="258">
        <f>SUM(Z32:Z39)</f>
        <v>91270520</v>
      </c>
      <c r="AA40" s="288"/>
      <c r="AB40" s="258">
        <f>SUM(AB32:AB39)</f>
        <v>116958547</v>
      </c>
      <c r="AC40" s="284"/>
      <c r="AD40" s="258">
        <f>SUM(AD32:AD39)</f>
        <v>159090584</v>
      </c>
      <c r="AE40" s="284"/>
      <c r="AF40" s="258">
        <f>SUM(AF32:AF39)</f>
        <v>125066082</v>
      </c>
      <c r="AG40" s="288"/>
      <c r="AH40" s="258">
        <f>SUM(AH32:AH39)</f>
        <v>160598253</v>
      </c>
      <c r="AI40" s="288"/>
      <c r="AJ40" s="258">
        <f>SUM(AJ32:AJ39)</f>
        <v>169280661</v>
      </c>
      <c r="AK40" s="288"/>
      <c r="AL40" s="258">
        <f>SUM(AL32:AL39)</f>
        <v>132465272</v>
      </c>
      <c r="AM40" s="267"/>
      <c r="AN40" s="258">
        <f>SUM(AN32:AN39)</f>
        <v>190473760</v>
      </c>
      <c r="AO40" s="288"/>
      <c r="AP40" s="258">
        <f>SUM(AP32:AP39)</f>
        <v>200067670</v>
      </c>
      <c r="AQ40" s="288"/>
      <c r="AR40" s="258">
        <f>SUM(AR32:AR39)</f>
        <v>283073265.61000001</v>
      </c>
      <c r="AS40" s="288"/>
      <c r="AT40" s="258">
        <f>SUM(AT32:AT39)</f>
        <v>390744592</v>
      </c>
      <c r="AU40" s="288"/>
      <c r="AV40" s="258">
        <f>SUM(AV32:AV39)</f>
        <v>374330974</v>
      </c>
      <c r="AW40" s="258"/>
      <c r="AX40" s="258">
        <f>SUM(AX32:AX39)</f>
        <v>351243980</v>
      </c>
      <c r="AY40" s="258"/>
      <c r="AZ40" s="258">
        <f>SUM(AZ32:AZ39)</f>
        <v>309146653</v>
      </c>
      <c r="BA40" s="263"/>
      <c r="BB40" s="258"/>
      <c r="BC40" s="258"/>
      <c r="BD40" s="258"/>
      <c r="BE40" s="263"/>
      <c r="BF40" s="258"/>
      <c r="BG40" s="258"/>
      <c r="BH40" s="258"/>
      <c r="BI40" s="263"/>
      <c r="BJ40" s="258"/>
      <c r="BK40" s="258">
        <f t="shared" si="52"/>
        <v>3356545499.6100001</v>
      </c>
      <c r="BL40" s="172"/>
      <c r="BM40" s="13"/>
      <c r="BN40" s="231"/>
      <c r="BO40" s="231"/>
      <c r="BP40" s="172"/>
      <c r="BQ40" s="172"/>
      <c r="BR40" s="172"/>
      <c r="BS40" s="172"/>
      <c r="BT40" s="172"/>
      <c r="BU40" s="172"/>
      <c r="BV40" s="172"/>
      <c r="BW40" s="172"/>
      <c r="BX40" s="172"/>
      <c r="BY40" s="172"/>
      <c r="BZ40" s="172"/>
      <c r="CA40" s="172"/>
      <c r="CB40" s="172"/>
      <c r="CC40" s="172"/>
      <c r="CD40" s="172"/>
      <c r="CE40" s="172"/>
      <c r="CF40" s="172"/>
      <c r="CG40" s="172"/>
      <c r="CH40" s="172"/>
      <c r="CI40" s="172"/>
      <c r="CJ40" s="172"/>
      <c r="CK40" s="172"/>
      <c r="CL40" s="172"/>
      <c r="CM40" s="172"/>
      <c r="CN40" s="172"/>
      <c r="CO40" s="172"/>
      <c r="CP40" s="172"/>
      <c r="CQ40" s="172"/>
      <c r="CR40" s="172"/>
      <c r="CS40" s="172"/>
      <c r="CT40" s="172"/>
      <c r="CU40" s="172"/>
      <c r="CV40" s="172"/>
      <c r="CW40" s="172"/>
      <c r="CX40" s="172"/>
      <c r="CY40" s="172"/>
      <c r="CZ40" s="172"/>
      <c r="DA40" s="172"/>
      <c r="DB40" s="172"/>
      <c r="DC40" s="172"/>
      <c r="DD40" s="172"/>
      <c r="DE40" s="172"/>
      <c r="DF40" s="172"/>
      <c r="DG40" s="172"/>
      <c r="DH40" s="172"/>
      <c r="DI40" s="172"/>
      <c r="DJ40" s="172"/>
      <c r="DK40" s="172"/>
      <c r="DL40" s="172"/>
      <c r="DM40" s="172"/>
      <c r="DN40" s="172"/>
      <c r="DO40" s="172"/>
      <c r="DP40" s="172"/>
      <c r="DQ40" s="172"/>
      <c r="DR40" s="172"/>
      <c r="DS40" s="172"/>
      <c r="DT40" s="172"/>
      <c r="DU40" s="172"/>
      <c r="DV40" s="172"/>
      <c r="DW40" s="172"/>
      <c r="DX40" s="172"/>
      <c r="DY40" s="172"/>
      <c r="DZ40" s="172"/>
      <c r="EA40" s="172"/>
      <c r="EB40" s="172"/>
      <c r="EC40" s="172"/>
      <c r="ED40" s="172"/>
      <c r="EE40" s="172"/>
      <c r="EF40" s="172"/>
      <c r="EG40" s="172"/>
      <c r="EH40" s="172"/>
      <c r="EI40" s="172"/>
      <c r="EJ40" s="172"/>
      <c r="EK40" s="172"/>
      <c r="EL40" s="172"/>
      <c r="EM40" s="172"/>
      <c r="EN40" s="172"/>
      <c r="EO40" s="172"/>
      <c r="EP40" s="172"/>
      <c r="EQ40" s="172"/>
      <c r="ER40" s="172"/>
      <c r="ES40" s="172"/>
      <c r="ET40" s="172"/>
      <c r="EU40" s="172"/>
      <c r="EV40" s="172"/>
      <c r="EW40" s="172"/>
      <c r="EX40" s="172"/>
      <c r="EY40" s="172"/>
      <c r="EZ40" s="172"/>
      <c r="FA40" s="172"/>
      <c r="FB40" s="172"/>
      <c r="FC40" s="172"/>
      <c r="FD40" s="172"/>
      <c r="FE40" s="172"/>
      <c r="FF40" s="172"/>
      <c r="FG40" s="172"/>
      <c r="FH40" s="172"/>
      <c r="FI40" s="172"/>
      <c r="FJ40" s="172"/>
      <c r="FK40" s="172"/>
      <c r="FL40" s="172"/>
      <c r="FM40" s="172"/>
      <c r="FN40" s="172"/>
      <c r="FO40" s="172"/>
      <c r="FP40" s="172"/>
      <c r="FQ40" s="172"/>
      <c r="FR40" s="172"/>
      <c r="FS40" s="172"/>
      <c r="FT40" s="172"/>
      <c r="FU40" s="172"/>
      <c r="FV40" s="172"/>
      <c r="FW40" s="172"/>
      <c r="FX40" s="172"/>
      <c r="FY40" s="172"/>
      <c r="FZ40" s="172"/>
      <c r="GA40" s="172"/>
      <c r="GB40" s="172"/>
      <c r="GC40" s="172"/>
      <c r="GD40" s="172"/>
      <c r="GE40" s="172"/>
      <c r="GF40" s="172"/>
      <c r="GG40" s="172"/>
      <c r="GH40" s="172"/>
      <c r="GI40" s="172"/>
      <c r="GJ40" s="172"/>
      <c r="GK40" s="172"/>
      <c r="GL40" s="172"/>
      <c r="GM40" s="172"/>
      <c r="GN40" s="172"/>
      <c r="GO40" s="172"/>
      <c r="GP40" s="172"/>
      <c r="GQ40" s="172"/>
      <c r="GR40" s="172"/>
      <c r="GS40" s="172"/>
      <c r="GT40" s="172"/>
      <c r="GU40" s="172"/>
      <c r="GV40" s="172"/>
      <c r="GW40" s="172"/>
      <c r="GX40" s="172"/>
      <c r="GY40" s="172"/>
      <c r="GZ40" s="172"/>
      <c r="HA40" s="172"/>
      <c r="HB40" s="172"/>
      <c r="HC40" s="172"/>
      <c r="HD40" s="172"/>
      <c r="HE40" s="172"/>
      <c r="HF40" s="172"/>
      <c r="HG40" s="172"/>
      <c r="HH40" s="172"/>
      <c r="HI40" s="172"/>
      <c r="HJ40" s="172"/>
      <c r="HK40" s="172"/>
      <c r="HL40" s="172"/>
      <c r="HM40" s="172"/>
      <c r="HN40" s="172"/>
      <c r="HO40" s="172"/>
      <c r="HP40" s="172"/>
      <c r="HQ40" s="172"/>
      <c r="HR40" s="172"/>
      <c r="HS40" s="172"/>
      <c r="HT40" s="172"/>
      <c r="HU40" s="172"/>
      <c r="HV40" s="172"/>
      <c r="HW40" s="172"/>
      <c r="HX40" s="172"/>
      <c r="HY40" s="172"/>
      <c r="HZ40" s="172"/>
      <c r="IA40" s="172"/>
      <c r="IB40" s="172"/>
      <c r="IC40" s="172"/>
      <c r="ID40" s="172"/>
      <c r="IE40" s="172"/>
      <c r="IF40" s="172"/>
      <c r="IG40" s="172"/>
      <c r="IH40" s="172"/>
      <c r="II40" s="172"/>
      <c r="IJ40" s="172"/>
      <c r="IK40" s="172"/>
      <c r="IL40" s="172"/>
      <c r="IM40" s="172"/>
      <c r="IN40" s="172"/>
      <c r="IO40" s="172"/>
      <c r="IP40" s="172"/>
      <c r="IQ40" s="172"/>
      <c r="IR40" s="172"/>
      <c r="IS40" s="172"/>
      <c r="IT40" s="172"/>
      <c r="IU40" s="172"/>
      <c r="IV40" s="172"/>
      <c r="IW40" s="172"/>
      <c r="IX40" s="172"/>
      <c r="IY40" s="172"/>
      <c r="IZ40" s="172"/>
      <c r="JA40" s="172"/>
      <c r="JB40" s="172"/>
      <c r="JC40" s="172"/>
      <c r="JD40" s="172"/>
      <c r="JE40" s="172"/>
      <c r="JF40" s="172"/>
      <c r="JG40" s="172"/>
      <c r="JH40" s="172"/>
      <c r="JI40" s="172"/>
      <c r="JJ40" s="172"/>
      <c r="JK40" s="172"/>
      <c r="JL40" s="172"/>
      <c r="JM40" s="172"/>
      <c r="JN40" s="172"/>
      <c r="JO40" s="172"/>
      <c r="JP40" s="172"/>
      <c r="JQ40" s="172"/>
      <c r="JR40" s="172"/>
      <c r="JS40" s="172"/>
      <c r="JT40" s="172"/>
      <c r="JU40" s="172"/>
      <c r="JV40" s="172"/>
      <c r="JW40" s="172"/>
      <c r="JX40" s="172"/>
      <c r="JY40" s="172"/>
      <c r="JZ40" s="172"/>
      <c r="KA40" s="172"/>
      <c r="KB40" s="172"/>
      <c r="KC40" s="172"/>
      <c r="KD40" s="172"/>
      <c r="KE40" s="172"/>
      <c r="KF40" s="172"/>
      <c r="KG40" s="172"/>
      <c r="KH40" s="172"/>
      <c r="KI40" s="172"/>
      <c r="KJ40" s="172"/>
      <c r="KK40" s="172"/>
      <c r="KL40" s="172"/>
      <c r="KM40" s="172"/>
      <c r="KN40" s="172"/>
      <c r="KO40" s="172"/>
      <c r="KP40" s="172"/>
      <c r="KQ40" s="172"/>
      <c r="KR40" s="172"/>
      <c r="KS40" s="172"/>
      <c r="KT40" s="172"/>
      <c r="KU40" s="172"/>
      <c r="KV40" s="172"/>
      <c r="KW40" s="172"/>
      <c r="KX40" s="172"/>
      <c r="KY40" s="172"/>
      <c r="KZ40" s="172"/>
      <c r="LA40" s="172"/>
      <c r="LB40" s="172"/>
      <c r="LC40" s="172"/>
      <c r="LD40" s="172"/>
      <c r="LE40" s="172"/>
      <c r="LF40" s="172"/>
      <c r="LG40" s="172"/>
      <c r="LH40" s="172"/>
      <c r="LI40" s="172"/>
      <c r="LJ40" s="172"/>
      <c r="LK40" s="172"/>
      <c r="LL40" s="172"/>
      <c r="LM40" s="172"/>
      <c r="LN40" s="172"/>
      <c r="LO40" s="172"/>
      <c r="LP40" s="172"/>
      <c r="LQ40" s="172"/>
      <c r="LR40" s="172"/>
      <c r="LS40" s="172"/>
      <c r="LT40" s="172"/>
      <c r="LU40" s="172"/>
      <c r="LV40" s="172"/>
      <c r="LW40" s="172"/>
      <c r="LX40" s="172"/>
      <c r="LY40" s="172"/>
      <c r="LZ40" s="172"/>
      <c r="MA40" s="172"/>
      <c r="MB40" s="172"/>
      <c r="MC40" s="172"/>
      <c r="MD40" s="172"/>
      <c r="ME40" s="172"/>
      <c r="MF40" s="172"/>
      <c r="MG40" s="172"/>
      <c r="MH40" s="172"/>
      <c r="MI40" s="172"/>
      <c r="MJ40" s="172"/>
      <c r="MK40" s="172"/>
      <c r="ML40" s="172"/>
      <c r="MM40" s="172"/>
      <c r="MN40" s="172"/>
      <c r="MO40" s="172"/>
      <c r="MP40" s="172"/>
      <c r="MQ40" s="172"/>
      <c r="MR40" s="172"/>
      <c r="MS40" s="172"/>
      <c r="MT40" s="172"/>
      <c r="MU40" s="172"/>
      <c r="MV40" s="172"/>
      <c r="MW40" s="172"/>
      <c r="MX40" s="172"/>
      <c r="MY40" s="172"/>
      <c r="MZ40" s="172"/>
      <c r="NA40" s="172"/>
      <c r="NB40" s="172"/>
      <c r="NC40" s="172"/>
      <c r="ND40" s="172"/>
      <c r="NE40" s="172"/>
      <c r="NF40" s="172"/>
      <c r="NG40" s="172"/>
      <c r="NH40" s="172"/>
      <c r="NI40" s="172"/>
      <c r="NJ40" s="172"/>
      <c r="NK40" s="172"/>
      <c r="NL40" s="172"/>
      <c r="NM40" s="172"/>
      <c r="NN40" s="172"/>
      <c r="NO40" s="172"/>
      <c r="NP40" s="172"/>
      <c r="NQ40" s="172"/>
      <c r="NR40" s="172"/>
      <c r="NS40" s="172"/>
      <c r="NT40" s="172"/>
      <c r="NU40" s="172"/>
      <c r="NV40" s="172"/>
      <c r="NW40" s="172"/>
      <c r="NX40" s="172"/>
      <c r="NY40" s="172"/>
      <c r="NZ40" s="172"/>
      <c r="OA40" s="172"/>
      <c r="OB40" s="172"/>
      <c r="OC40" s="172"/>
      <c r="OD40" s="172"/>
      <c r="OE40" s="172"/>
      <c r="OF40" s="172"/>
      <c r="OG40" s="172"/>
      <c r="OH40" s="172"/>
      <c r="OI40" s="172"/>
      <c r="OJ40" s="172"/>
      <c r="OK40" s="172"/>
      <c r="OL40" s="172"/>
      <c r="OM40" s="172"/>
      <c r="ON40" s="172"/>
      <c r="OO40" s="172"/>
      <c r="OP40" s="172"/>
      <c r="OQ40" s="172"/>
      <c r="OR40" s="172"/>
      <c r="OS40" s="172"/>
      <c r="OT40" s="172"/>
      <c r="OU40" s="172"/>
      <c r="OV40" s="172"/>
      <c r="OW40" s="172"/>
      <c r="OX40" s="172"/>
      <c r="OY40" s="172"/>
      <c r="OZ40" s="172"/>
      <c r="PA40" s="172"/>
      <c r="PB40" s="172"/>
      <c r="PC40" s="172"/>
      <c r="PD40" s="172"/>
      <c r="PE40" s="172"/>
      <c r="PF40" s="172"/>
      <c r="PG40" s="172"/>
      <c r="PH40" s="172"/>
      <c r="PI40" s="172"/>
      <c r="PJ40" s="172"/>
      <c r="PK40" s="172"/>
      <c r="PL40" s="172"/>
      <c r="PM40" s="172"/>
      <c r="PN40" s="172"/>
      <c r="PO40" s="172"/>
      <c r="PP40" s="172"/>
      <c r="PQ40" s="172"/>
      <c r="PR40" s="172"/>
      <c r="PS40" s="172"/>
      <c r="PT40" s="172"/>
      <c r="PU40" s="172"/>
      <c r="PV40" s="172"/>
      <c r="PW40" s="172"/>
      <c r="PX40" s="172"/>
      <c r="PY40" s="172"/>
      <c r="PZ40" s="172"/>
      <c r="QA40" s="172"/>
      <c r="QB40" s="172"/>
      <c r="QC40" s="172"/>
      <c r="QD40" s="172"/>
      <c r="QE40" s="172"/>
      <c r="QF40" s="172"/>
      <c r="QG40" s="172"/>
      <c r="QH40" s="172"/>
      <c r="QI40" s="172"/>
      <c r="QJ40" s="172"/>
      <c r="QK40" s="172"/>
      <c r="QL40" s="172"/>
      <c r="QM40" s="172"/>
      <c r="QN40" s="172"/>
      <c r="QO40" s="172"/>
      <c r="QP40" s="172"/>
      <c r="QQ40" s="172"/>
      <c r="QR40" s="172"/>
      <c r="QS40" s="172"/>
      <c r="QT40" s="172"/>
      <c r="QU40" s="172"/>
      <c r="QV40" s="172"/>
      <c r="QW40" s="172"/>
      <c r="QX40" s="172"/>
      <c r="QY40" s="172"/>
      <c r="QZ40" s="172"/>
      <c r="RA40" s="172"/>
      <c r="RB40" s="172"/>
      <c r="RC40" s="172"/>
      <c r="RD40" s="172"/>
      <c r="RE40" s="172"/>
      <c r="RF40" s="172"/>
      <c r="RG40" s="172"/>
      <c r="RH40" s="172"/>
      <c r="RI40" s="172"/>
      <c r="RJ40" s="172"/>
      <c r="RK40" s="172"/>
      <c r="RL40" s="172"/>
      <c r="RM40" s="172"/>
      <c r="RN40" s="172"/>
      <c r="RO40" s="172"/>
      <c r="RP40" s="172"/>
      <c r="RQ40" s="172"/>
      <c r="RR40" s="172"/>
      <c r="RS40" s="172"/>
      <c r="RT40" s="172"/>
      <c r="RU40" s="172"/>
      <c r="RV40" s="172"/>
      <c r="RW40" s="172"/>
      <c r="RX40" s="172"/>
      <c r="RY40" s="172"/>
      <c r="RZ40" s="172"/>
      <c r="SA40" s="172"/>
      <c r="SB40" s="172"/>
      <c r="SC40" s="172"/>
      <c r="SD40" s="172"/>
      <c r="SE40" s="172"/>
      <c r="SF40" s="172"/>
      <c r="SG40" s="172"/>
      <c r="SH40" s="172"/>
      <c r="SI40" s="172"/>
      <c r="SJ40" s="172"/>
      <c r="SK40" s="172"/>
      <c r="SL40" s="172"/>
      <c r="SM40" s="172"/>
      <c r="SN40" s="172"/>
      <c r="SO40" s="172"/>
      <c r="SP40" s="172"/>
      <c r="SQ40" s="172"/>
      <c r="SR40" s="172"/>
      <c r="SS40" s="172"/>
      <c r="ST40" s="172"/>
      <c r="SU40" s="172"/>
      <c r="SV40" s="172"/>
      <c r="SW40" s="172"/>
      <c r="SX40" s="172"/>
      <c r="SY40" s="172"/>
      <c r="SZ40" s="172"/>
      <c r="TA40" s="172"/>
      <c r="TB40" s="172"/>
      <c r="TC40" s="172"/>
      <c r="TD40" s="172"/>
      <c r="TE40" s="172"/>
      <c r="TF40" s="172"/>
      <c r="TG40" s="172"/>
      <c r="TH40" s="172"/>
      <c r="TI40" s="172"/>
      <c r="TJ40" s="172"/>
      <c r="TK40" s="172"/>
      <c r="TL40" s="172"/>
      <c r="TM40" s="172"/>
      <c r="TN40" s="172"/>
      <c r="TO40" s="172"/>
      <c r="TP40" s="172"/>
      <c r="TQ40" s="172"/>
      <c r="TR40" s="172"/>
      <c r="TS40" s="172"/>
      <c r="TT40" s="172"/>
      <c r="TU40" s="172"/>
      <c r="TV40" s="172"/>
      <c r="TW40" s="172"/>
      <c r="TX40" s="172"/>
      <c r="TY40" s="172"/>
      <c r="TZ40" s="172"/>
      <c r="UA40" s="172"/>
      <c r="UB40" s="172"/>
      <c r="UC40" s="172"/>
      <c r="UD40" s="172"/>
      <c r="UE40" s="172"/>
      <c r="UF40" s="172"/>
      <c r="UG40" s="172"/>
      <c r="UH40" s="172"/>
      <c r="UI40" s="172"/>
      <c r="UJ40" s="172"/>
      <c r="UK40" s="172"/>
      <c r="UL40" s="172"/>
      <c r="UM40" s="172"/>
      <c r="UN40" s="172"/>
      <c r="UO40" s="172"/>
      <c r="UP40" s="172"/>
      <c r="UQ40" s="172"/>
      <c r="UR40" s="172"/>
      <c r="US40" s="172"/>
      <c r="UT40" s="172"/>
      <c r="UU40" s="172"/>
      <c r="UV40" s="172"/>
      <c r="UW40" s="172"/>
      <c r="UX40" s="172"/>
      <c r="UY40" s="172"/>
      <c r="UZ40" s="172"/>
      <c r="VA40" s="172"/>
      <c r="VB40" s="172"/>
      <c r="VC40" s="172"/>
      <c r="VD40" s="172"/>
      <c r="VE40" s="172"/>
      <c r="VF40" s="172"/>
      <c r="VG40" s="172"/>
      <c r="VH40" s="172"/>
      <c r="VI40" s="172"/>
      <c r="VJ40" s="172"/>
      <c r="VK40" s="172"/>
      <c r="VL40" s="172"/>
      <c r="VM40" s="172"/>
      <c r="VN40" s="172"/>
      <c r="VO40" s="172"/>
      <c r="VP40" s="172"/>
      <c r="VQ40" s="172"/>
      <c r="VR40" s="172"/>
      <c r="VS40" s="172"/>
      <c r="VT40" s="172"/>
      <c r="VU40" s="172"/>
      <c r="VV40" s="172"/>
      <c r="VW40" s="172"/>
      <c r="VX40" s="172"/>
      <c r="VY40" s="172"/>
      <c r="VZ40" s="172"/>
      <c r="WA40" s="172"/>
      <c r="WB40" s="172"/>
      <c r="WC40" s="172"/>
      <c r="WD40" s="172"/>
      <c r="WE40" s="172"/>
      <c r="WF40" s="172"/>
      <c r="WG40" s="172"/>
      <c r="WH40" s="172"/>
      <c r="WI40" s="172"/>
      <c r="WJ40" s="172"/>
      <c r="WK40" s="172"/>
      <c r="WL40" s="172"/>
      <c r="WM40" s="172"/>
      <c r="WN40" s="172"/>
      <c r="WO40" s="172"/>
      <c r="WP40" s="172"/>
      <c r="WQ40" s="172"/>
      <c r="WR40" s="172"/>
      <c r="WS40" s="172"/>
      <c r="WT40" s="172"/>
      <c r="WU40" s="172"/>
      <c r="WV40" s="172"/>
      <c r="WW40" s="172"/>
      <c r="WX40" s="172"/>
      <c r="WY40" s="172"/>
      <c r="WZ40" s="172"/>
      <c r="XA40" s="172"/>
      <c r="XB40" s="172"/>
      <c r="XC40" s="172"/>
      <c r="XD40" s="172"/>
      <c r="XE40" s="172"/>
      <c r="XF40" s="172"/>
      <c r="XG40" s="172"/>
      <c r="XH40" s="172"/>
      <c r="XI40" s="172"/>
      <c r="XJ40" s="172"/>
      <c r="XK40" s="172"/>
      <c r="XL40" s="172"/>
      <c r="XM40" s="172"/>
      <c r="XN40" s="172"/>
      <c r="XO40" s="172"/>
      <c r="XP40" s="172"/>
      <c r="XQ40" s="172"/>
      <c r="XR40" s="172"/>
      <c r="XS40" s="172"/>
      <c r="XT40" s="172"/>
      <c r="XU40" s="172"/>
      <c r="XV40" s="172"/>
      <c r="XW40" s="172"/>
      <c r="XX40" s="172"/>
      <c r="XY40" s="172"/>
      <c r="XZ40" s="172"/>
      <c r="YA40" s="172"/>
      <c r="YB40" s="172"/>
      <c r="YC40" s="172"/>
      <c r="YD40" s="172"/>
      <c r="YE40" s="172"/>
      <c r="YF40" s="172"/>
      <c r="YG40" s="172"/>
      <c r="YH40" s="172"/>
      <c r="YI40" s="172"/>
      <c r="YJ40" s="172"/>
      <c r="YK40" s="172"/>
      <c r="YL40" s="172"/>
      <c r="YM40" s="172"/>
      <c r="YN40" s="172"/>
      <c r="YO40" s="172"/>
      <c r="YP40" s="172"/>
      <c r="YQ40" s="172"/>
      <c r="YR40" s="172"/>
      <c r="YS40" s="172"/>
      <c r="YT40" s="172"/>
      <c r="YU40" s="172"/>
      <c r="YV40" s="172"/>
      <c r="YW40" s="172"/>
      <c r="YX40" s="172"/>
      <c r="YY40" s="172"/>
      <c r="YZ40" s="172"/>
      <c r="ZA40" s="172"/>
      <c r="ZB40" s="172"/>
      <c r="ZC40" s="172"/>
      <c r="ZD40" s="172"/>
      <c r="ZE40" s="172"/>
      <c r="ZF40" s="172"/>
      <c r="ZG40" s="172"/>
      <c r="ZH40" s="172"/>
      <c r="ZI40" s="172"/>
      <c r="ZJ40" s="172"/>
      <c r="ZK40" s="172"/>
      <c r="ZL40" s="172"/>
      <c r="ZM40" s="172"/>
      <c r="ZN40" s="172"/>
      <c r="ZO40" s="172"/>
      <c r="ZP40" s="172"/>
      <c r="ZQ40" s="172"/>
      <c r="ZR40" s="172"/>
      <c r="ZS40" s="172"/>
      <c r="ZT40" s="172"/>
      <c r="ZU40" s="172"/>
      <c r="ZV40" s="172"/>
      <c r="ZW40" s="172"/>
      <c r="ZX40" s="172"/>
      <c r="ZY40" s="172"/>
      <c r="ZZ40" s="172"/>
      <c r="AAA40" s="172"/>
      <c r="AAB40" s="172"/>
      <c r="AAC40" s="172"/>
      <c r="AAD40" s="172"/>
      <c r="AAE40" s="172"/>
      <c r="AAF40" s="172"/>
      <c r="AAG40" s="172"/>
      <c r="AAH40" s="172"/>
      <c r="AAI40" s="172"/>
      <c r="AAJ40" s="172"/>
      <c r="AAK40" s="172"/>
      <c r="AAL40" s="172"/>
      <c r="AAM40" s="172"/>
      <c r="AAN40" s="172"/>
      <c r="AAO40" s="172"/>
      <c r="AAP40" s="172"/>
      <c r="AAQ40" s="172"/>
      <c r="AAR40" s="172"/>
      <c r="AAS40" s="172"/>
      <c r="AAT40" s="172"/>
      <c r="AAU40" s="172"/>
      <c r="AAV40" s="172"/>
      <c r="AAW40" s="172"/>
      <c r="AAX40" s="172"/>
      <c r="AAY40" s="172"/>
      <c r="AAZ40" s="172"/>
      <c r="ABA40" s="172"/>
      <c r="ABB40" s="172"/>
      <c r="ABC40" s="172"/>
      <c r="ABD40" s="172"/>
      <c r="ABE40" s="172"/>
      <c r="ABF40" s="172"/>
      <c r="ABG40" s="172"/>
      <c r="ABH40" s="172"/>
      <c r="ABI40" s="172"/>
      <c r="ABJ40" s="172"/>
      <c r="ABK40" s="172"/>
      <c r="ABL40" s="172"/>
      <c r="ABM40" s="172"/>
      <c r="ABN40" s="172"/>
      <c r="ABO40" s="172"/>
      <c r="ABP40" s="172"/>
      <c r="ABQ40" s="172"/>
      <c r="ABR40" s="172"/>
      <c r="ABS40" s="172"/>
      <c r="ABT40" s="172"/>
      <c r="ABU40" s="172"/>
      <c r="ABV40" s="172"/>
      <c r="ABW40" s="172"/>
      <c r="ABX40" s="172"/>
      <c r="ABY40" s="172"/>
      <c r="ABZ40" s="172"/>
      <c r="ACA40" s="172"/>
      <c r="ACB40" s="172"/>
      <c r="ACC40" s="172"/>
      <c r="ACD40" s="172"/>
      <c r="ACE40" s="172"/>
      <c r="ACF40" s="172"/>
      <c r="ACG40" s="172"/>
      <c r="ACH40" s="172"/>
      <c r="ACI40" s="172"/>
      <c r="ACJ40" s="172"/>
      <c r="ACK40" s="172"/>
      <c r="ACL40" s="172"/>
      <c r="ACM40" s="172"/>
      <c r="ACN40" s="172"/>
      <c r="ACO40" s="172"/>
      <c r="ACP40" s="172"/>
      <c r="ACQ40" s="172"/>
      <c r="ACR40" s="172"/>
      <c r="ACS40" s="172"/>
      <c r="ACT40" s="172"/>
      <c r="ACU40" s="172"/>
      <c r="ACV40" s="172"/>
      <c r="ACW40" s="172"/>
      <c r="ACX40" s="172"/>
      <c r="ACY40" s="172"/>
      <c r="ACZ40" s="172"/>
      <c r="ADA40" s="172"/>
      <c r="ADB40" s="172"/>
      <c r="ADC40" s="172"/>
      <c r="ADD40" s="172"/>
      <c r="ADE40" s="172"/>
      <c r="ADF40" s="172"/>
      <c r="ADG40" s="172"/>
      <c r="ADH40" s="172"/>
      <c r="ADI40" s="172"/>
      <c r="ADJ40" s="172"/>
      <c r="ADK40" s="172"/>
      <c r="ADL40" s="172"/>
      <c r="ADM40" s="172"/>
      <c r="ADN40" s="172"/>
      <c r="ADO40" s="172"/>
      <c r="ADP40" s="172"/>
      <c r="ADQ40" s="172"/>
      <c r="ADR40" s="172"/>
      <c r="ADS40" s="172"/>
      <c r="ADT40" s="172"/>
      <c r="ADU40" s="172"/>
      <c r="ADV40" s="172"/>
      <c r="ADW40" s="172"/>
      <c r="ADX40" s="172"/>
      <c r="ADY40" s="172"/>
      <c r="ADZ40" s="172"/>
      <c r="AEA40" s="172"/>
      <c r="AEB40" s="172"/>
      <c r="AEC40" s="172"/>
      <c r="AED40" s="172"/>
      <c r="AEE40" s="172"/>
      <c r="AEF40" s="172"/>
      <c r="AEG40" s="172"/>
      <c r="AEH40" s="172"/>
      <c r="AEI40" s="172"/>
      <c r="AEJ40" s="172"/>
      <c r="AEK40" s="172"/>
      <c r="AEL40" s="172"/>
      <c r="AEM40" s="172"/>
      <c r="AEN40" s="172"/>
      <c r="AEO40" s="172"/>
      <c r="AEP40" s="172"/>
      <c r="AEQ40" s="172"/>
      <c r="AER40" s="172"/>
      <c r="AES40" s="172"/>
      <c r="AET40" s="172"/>
      <c r="AEU40" s="172"/>
      <c r="AEV40" s="172"/>
      <c r="AEW40" s="172"/>
      <c r="AEX40" s="172"/>
      <c r="AEY40" s="172"/>
      <c r="AEZ40" s="172"/>
      <c r="AFA40" s="172"/>
      <c r="AFB40" s="172"/>
      <c r="AFC40" s="172"/>
      <c r="AFD40" s="172"/>
      <c r="AFE40" s="172"/>
      <c r="AFF40" s="172"/>
      <c r="AFG40" s="172"/>
      <c r="AFH40" s="172"/>
      <c r="AFI40" s="172"/>
      <c r="AFJ40" s="172"/>
      <c r="AFK40" s="172"/>
      <c r="AFL40" s="172"/>
      <c r="AFM40" s="172"/>
      <c r="AFN40" s="172"/>
      <c r="AFO40" s="172"/>
      <c r="AFP40" s="172"/>
      <c r="AFQ40" s="172"/>
      <c r="AFR40" s="172"/>
      <c r="AFS40" s="172"/>
      <c r="AFT40" s="172"/>
      <c r="AFU40" s="172"/>
      <c r="AFV40" s="172"/>
      <c r="AFW40" s="172"/>
      <c r="AFX40" s="172"/>
      <c r="AFY40" s="172"/>
      <c r="AFZ40" s="172"/>
      <c r="AGA40" s="172"/>
      <c r="AGB40" s="172"/>
      <c r="AGC40" s="172"/>
      <c r="AGD40" s="172"/>
      <c r="AGE40" s="172"/>
      <c r="AGF40" s="172"/>
      <c r="AGG40" s="172"/>
      <c r="AGH40" s="172"/>
      <c r="AGI40" s="172"/>
      <c r="AGJ40" s="172"/>
      <c r="AGK40" s="172"/>
      <c r="AGL40" s="172"/>
      <c r="AGM40" s="172"/>
      <c r="AGN40" s="172"/>
      <c r="AGO40" s="172"/>
      <c r="AGP40" s="172"/>
      <c r="AGQ40" s="172"/>
      <c r="AGR40" s="172"/>
      <c r="AGS40" s="172"/>
      <c r="AGT40" s="172"/>
      <c r="AGU40" s="172"/>
      <c r="AGV40" s="172"/>
      <c r="AGW40" s="172"/>
      <c r="AGX40" s="172"/>
      <c r="AGY40" s="172"/>
      <c r="AGZ40" s="172"/>
      <c r="AHA40" s="172"/>
      <c r="AHB40" s="172"/>
      <c r="AHC40" s="172"/>
      <c r="AHD40" s="172"/>
      <c r="AHE40" s="172"/>
      <c r="AHF40" s="172"/>
      <c r="AHG40" s="172"/>
      <c r="AHH40" s="172"/>
      <c r="AHI40" s="172"/>
      <c r="AHJ40" s="172"/>
      <c r="AHK40" s="172"/>
      <c r="AHL40" s="172"/>
      <c r="AHM40" s="172"/>
      <c r="AHN40" s="172"/>
      <c r="AHO40" s="172"/>
      <c r="AHP40" s="172"/>
      <c r="AHQ40" s="172"/>
      <c r="AHR40" s="172"/>
      <c r="AHS40" s="172"/>
      <c r="AHT40" s="172"/>
      <c r="AHU40" s="172"/>
      <c r="AHV40" s="172"/>
      <c r="AHW40" s="172"/>
      <c r="AHX40" s="172"/>
      <c r="AHY40" s="172"/>
      <c r="AHZ40" s="172"/>
      <c r="AIA40" s="172"/>
      <c r="AIB40" s="172"/>
      <c r="AIC40" s="172"/>
      <c r="AID40" s="172"/>
      <c r="AIE40" s="172"/>
      <c r="AIF40" s="172"/>
      <c r="AIG40" s="172"/>
      <c r="AIH40" s="172"/>
      <c r="AII40" s="172"/>
      <c r="AIJ40" s="172"/>
      <c r="AIK40" s="172"/>
      <c r="AIL40" s="172"/>
      <c r="AIM40" s="172"/>
      <c r="AIN40" s="172"/>
      <c r="AIO40" s="172"/>
      <c r="AIP40" s="172"/>
      <c r="AIQ40" s="172"/>
      <c r="AIR40" s="172"/>
      <c r="AIS40" s="172"/>
      <c r="AIT40" s="172"/>
      <c r="AIU40" s="172"/>
      <c r="AIV40" s="172"/>
      <c r="AIW40" s="172"/>
      <c r="AIX40" s="172"/>
      <c r="AIY40" s="172"/>
      <c r="AIZ40" s="172"/>
      <c r="AJA40" s="172"/>
      <c r="AJB40" s="172"/>
      <c r="AJC40" s="172"/>
      <c r="AJD40" s="172"/>
      <c r="AJE40" s="172"/>
      <c r="AJF40" s="172"/>
      <c r="AJG40" s="172"/>
      <c r="AJH40" s="172"/>
      <c r="AJI40" s="172"/>
      <c r="AJJ40" s="172"/>
      <c r="AJK40" s="172"/>
      <c r="AJL40" s="172"/>
      <c r="AJM40" s="172"/>
      <c r="AJN40" s="172"/>
      <c r="AJO40" s="172"/>
      <c r="AJP40" s="172"/>
      <c r="AJQ40" s="172"/>
      <c r="AJR40" s="172"/>
      <c r="AJS40" s="172"/>
      <c r="AJT40" s="172"/>
      <c r="AJU40" s="172"/>
      <c r="AJV40" s="172"/>
      <c r="AJW40" s="172"/>
      <c r="AJX40" s="172"/>
      <c r="AJY40" s="172"/>
      <c r="AJZ40" s="172"/>
      <c r="AKA40" s="172"/>
      <c r="AKB40" s="172"/>
      <c r="AKC40" s="172"/>
      <c r="AKD40" s="172"/>
      <c r="AKE40" s="172"/>
      <c r="AKF40" s="172"/>
      <c r="AKG40" s="172"/>
      <c r="AKH40" s="172"/>
      <c r="AKI40" s="172"/>
      <c r="AKJ40" s="172"/>
      <c r="AKK40" s="172"/>
      <c r="AKL40" s="172"/>
      <c r="AKM40" s="172"/>
      <c r="AKN40" s="172"/>
      <c r="AKO40" s="172"/>
      <c r="AKP40" s="172"/>
      <c r="AKQ40" s="172"/>
      <c r="AKR40" s="172"/>
      <c r="AKS40" s="172"/>
      <c r="AKT40" s="172"/>
      <c r="AKU40" s="172"/>
      <c r="AKV40" s="172"/>
      <c r="AKW40" s="172"/>
      <c r="AKX40" s="172"/>
      <c r="AKY40" s="172"/>
      <c r="AKZ40" s="172"/>
      <c r="ALA40" s="172"/>
      <c r="ALB40" s="172"/>
      <c r="ALC40" s="172"/>
      <c r="ALD40" s="172"/>
      <c r="ALE40" s="172"/>
      <c r="ALF40" s="172"/>
      <c r="ALG40" s="172"/>
      <c r="ALH40" s="172"/>
      <c r="ALI40" s="172"/>
      <c r="ALJ40" s="172"/>
      <c r="ALK40" s="172"/>
      <c r="ALL40" s="172"/>
      <c r="ALM40" s="172"/>
      <c r="ALN40" s="172"/>
      <c r="ALO40" s="172"/>
      <c r="ALP40" s="172"/>
      <c r="ALQ40" s="172"/>
      <c r="ALR40" s="172"/>
      <c r="ALS40" s="172"/>
      <c r="ALT40" s="172"/>
      <c r="ALU40" s="172"/>
      <c r="ALV40" s="172"/>
      <c r="ALW40" s="172"/>
      <c r="ALX40" s="172"/>
      <c r="ALY40" s="172"/>
      <c r="ALZ40" s="172"/>
      <c r="AMA40" s="172"/>
      <c r="AMB40" s="172"/>
      <c r="AMC40" s="172"/>
      <c r="AMD40" s="172"/>
      <c r="AME40" s="172"/>
      <c r="AMF40" s="172"/>
      <c r="AMG40" s="172"/>
      <c r="AMH40" s="172"/>
      <c r="AMI40" s="172"/>
      <c r="AMJ40" s="172"/>
      <c r="AMK40" s="172"/>
      <c r="AML40" s="172"/>
      <c r="AMM40" s="172"/>
      <c r="AMN40" s="172"/>
      <c r="AMO40" s="172"/>
      <c r="AMP40" s="172"/>
      <c r="AMQ40" s="172"/>
      <c r="AMR40" s="172"/>
      <c r="AMS40" s="172"/>
      <c r="AMT40" s="172"/>
      <c r="AMU40" s="172"/>
      <c r="AMV40" s="172"/>
      <c r="AMW40" s="172"/>
      <c r="AMX40" s="172"/>
      <c r="AMY40" s="172"/>
      <c r="AMZ40" s="172"/>
      <c r="ANA40" s="172"/>
      <c r="ANB40" s="172"/>
      <c r="ANC40" s="172"/>
      <c r="AND40" s="172"/>
      <c r="ANE40" s="172"/>
      <c r="ANF40" s="172"/>
      <c r="ANG40" s="172"/>
      <c r="ANH40" s="172"/>
      <c r="ANI40" s="172"/>
      <c r="ANJ40" s="172"/>
      <c r="ANK40" s="172"/>
      <c r="ANL40" s="172"/>
      <c r="ANM40" s="172"/>
      <c r="ANN40" s="172"/>
      <c r="ANO40" s="172"/>
      <c r="ANP40" s="172"/>
      <c r="ANQ40" s="172"/>
      <c r="ANR40" s="172"/>
      <c r="ANS40" s="172"/>
      <c r="ANT40" s="172"/>
      <c r="ANU40" s="172"/>
      <c r="ANV40" s="172"/>
      <c r="ANW40" s="172"/>
      <c r="ANX40" s="172"/>
      <c r="ANY40" s="172"/>
      <c r="ANZ40" s="172"/>
      <c r="AOA40" s="172"/>
      <c r="AOB40" s="172"/>
      <c r="AOC40" s="172"/>
      <c r="AOD40" s="172"/>
      <c r="AOE40" s="172"/>
      <c r="AOF40" s="172"/>
      <c r="AOG40" s="172"/>
      <c r="AOH40" s="172"/>
      <c r="AOI40" s="172"/>
      <c r="AOJ40" s="172"/>
      <c r="AOK40" s="172"/>
      <c r="AOL40" s="172"/>
      <c r="AOM40" s="172"/>
      <c r="AON40" s="172"/>
      <c r="AOO40" s="172"/>
      <c r="AOP40" s="172"/>
      <c r="AOQ40" s="172"/>
      <c r="AOR40" s="172"/>
      <c r="AOS40" s="172"/>
      <c r="AOT40" s="172"/>
      <c r="AOU40" s="172"/>
      <c r="AOV40" s="172"/>
      <c r="AOW40" s="172"/>
      <c r="AOX40" s="172"/>
      <c r="AOY40" s="172"/>
      <c r="AOZ40" s="172"/>
      <c r="APA40" s="172"/>
      <c r="APB40" s="172"/>
      <c r="APC40" s="172"/>
      <c r="APD40" s="172"/>
      <c r="APE40" s="172"/>
      <c r="APF40" s="172"/>
      <c r="APG40" s="172"/>
      <c r="APH40" s="172"/>
      <c r="API40" s="172"/>
      <c r="APJ40" s="172"/>
      <c r="APK40" s="172"/>
      <c r="APL40" s="172"/>
      <c r="APM40" s="172"/>
      <c r="APN40" s="172"/>
      <c r="APO40" s="172"/>
      <c r="APP40" s="172"/>
      <c r="APQ40" s="172"/>
      <c r="APR40" s="172"/>
      <c r="APS40" s="172"/>
      <c r="APT40" s="172"/>
      <c r="APU40" s="172"/>
      <c r="APV40" s="172"/>
      <c r="APW40" s="172"/>
      <c r="APX40" s="172"/>
      <c r="APY40" s="172"/>
      <c r="APZ40" s="172"/>
      <c r="AQA40" s="172"/>
      <c r="AQB40" s="172"/>
      <c r="AQC40" s="172"/>
      <c r="AQD40" s="172"/>
      <c r="AQE40" s="172"/>
      <c r="AQF40" s="172"/>
      <c r="AQG40" s="172"/>
      <c r="AQH40" s="172"/>
      <c r="AQI40" s="172"/>
      <c r="AQJ40" s="172"/>
      <c r="AQK40" s="172"/>
      <c r="AQL40" s="172"/>
      <c r="AQM40" s="172"/>
      <c r="AQN40" s="172"/>
      <c r="AQO40" s="172"/>
      <c r="AQP40" s="172"/>
      <c r="AQQ40" s="172"/>
      <c r="AQR40" s="172"/>
      <c r="AQS40" s="172"/>
      <c r="AQT40" s="172"/>
      <c r="AQU40" s="172"/>
      <c r="AQV40" s="172"/>
      <c r="AQW40" s="172"/>
      <c r="AQX40" s="172"/>
      <c r="AQY40" s="172"/>
      <c r="AQZ40" s="172"/>
      <c r="ARA40" s="172"/>
      <c r="ARB40" s="172"/>
      <c r="ARC40" s="172"/>
      <c r="ARD40" s="172"/>
      <c r="ARE40" s="172"/>
      <c r="ARF40" s="172"/>
      <c r="ARG40" s="172"/>
      <c r="ARH40" s="172"/>
      <c r="ARI40" s="172"/>
      <c r="ARJ40" s="172"/>
      <c r="ARK40" s="172"/>
      <c r="ARL40" s="172"/>
      <c r="ARM40" s="172"/>
      <c r="ARN40" s="172"/>
      <c r="ARO40" s="172"/>
      <c r="ARP40" s="172"/>
      <c r="ARQ40" s="172"/>
      <c r="ARR40" s="172"/>
      <c r="ARS40" s="172"/>
      <c r="ART40" s="172"/>
    </row>
    <row r="41" spans="1:1164">
      <c r="A41" s="220"/>
      <c r="B41" s="215"/>
      <c r="C41" s="284"/>
      <c r="D41" s="284"/>
      <c r="E41" s="284"/>
      <c r="F41" s="284"/>
      <c r="G41" s="284"/>
      <c r="H41" s="284"/>
      <c r="I41" s="284"/>
      <c r="J41" s="284"/>
      <c r="K41" s="284"/>
      <c r="L41" s="284"/>
      <c r="M41" s="284"/>
      <c r="N41" s="284"/>
      <c r="O41" s="284"/>
      <c r="P41" s="284"/>
      <c r="Q41" s="284"/>
      <c r="R41" s="284"/>
      <c r="S41" s="284"/>
      <c r="T41" s="284"/>
      <c r="U41" s="288"/>
      <c r="V41" s="288"/>
      <c r="W41" s="288"/>
      <c r="X41" s="284"/>
      <c r="Y41" s="288"/>
      <c r="Z41" s="284"/>
      <c r="AA41" s="288"/>
      <c r="AB41" s="302"/>
      <c r="AC41" s="284"/>
      <c r="AD41" s="284"/>
      <c r="AE41" s="284"/>
      <c r="AF41" s="284"/>
      <c r="AG41" s="288"/>
      <c r="AH41" s="302"/>
      <c r="AI41" s="288"/>
      <c r="AJ41" s="302"/>
      <c r="AK41" s="288"/>
      <c r="AL41" s="288"/>
      <c r="AM41" s="267"/>
      <c r="AN41" s="261"/>
      <c r="AO41" s="288"/>
      <c r="AP41" s="288"/>
      <c r="AQ41" s="288"/>
      <c r="AR41" s="288"/>
      <c r="AS41" s="288"/>
      <c r="AT41" s="288"/>
      <c r="AU41" s="288"/>
      <c r="AV41" s="302"/>
      <c r="AW41" s="286"/>
      <c r="AX41" s="286"/>
      <c r="AY41" s="1186"/>
      <c r="AZ41" s="1186"/>
      <c r="BA41" s="285"/>
      <c r="BB41" s="286"/>
      <c r="BC41" s="286"/>
      <c r="BD41" s="286"/>
      <c r="BE41" s="286"/>
      <c r="BF41" s="286"/>
      <c r="BG41" s="286"/>
      <c r="BH41" s="286"/>
      <c r="BI41" s="285"/>
      <c r="BJ41" s="286"/>
      <c r="BK41" s="286"/>
      <c r="BL41" s="172"/>
      <c r="BM41" s="13"/>
      <c r="BO41" s="231"/>
    </row>
    <row r="42" spans="1:1164">
      <c r="A42" s="204" t="s">
        <v>180</v>
      </c>
      <c r="B42" s="207" t="s">
        <v>160</v>
      </c>
      <c r="C42" s="268">
        <v>7375</v>
      </c>
      <c r="D42" s="268">
        <v>14496</v>
      </c>
      <c r="E42" s="208">
        <v>0</v>
      </c>
      <c r="F42" s="208">
        <v>0</v>
      </c>
      <c r="G42" s="208">
        <v>0</v>
      </c>
      <c r="H42" s="208">
        <v>0</v>
      </c>
      <c r="I42" s="208">
        <v>0</v>
      </c>
      <c r="J42" s="208">
        <v>0</v>
      </c>
      <c r="K42" s="208">
        <v>0</v>
      </c>
      <c r="L42" s="208">
        <v>0</v>
      </c>
      <c r="M42" s="208">
        <v>0</v>
      </c>
      <c r="N42" s="208">
        <v>0</v>
      </c>
      <c r="O42" s="208">
        <v>0</v>
      </c>
      <c r="P42" s="208">
        <v>0</v>
      </c>
      <c r="Q42" s="208">
        <v>0</v>
      </c>
      <c r="R42" s="208">
        <v>0</v>
      </c>
      <c r="S42" s="208">
        <v>0</v>
      </c>
      <c r="T42" s="208">
        <v>0</v>
      </c>
      <c r="U42" s="208">
        <v>0</v>
      </c>
      <c r="V42" s="208">
        <v>0</v>
      </c>
      <c r="W42" s="208">
        <v>0</v>
      </c>
      <c r="X42" s="208">
        <v>0</v>
      </c>
      <c r="Y42" s="208">
        <v>0</v>
      </c>
      <c r="Z42" s="208">
        <v>0</v>
      </c>
      <c r="AA42" s="208">
        <v>0</v>
      </c>
      <c r="AB42" s="208">
        <v>0</v>
      </c>
      <c r="AC42" s="208">
        <v>0</v>
      </c>
      <c r="AD42" s="208">
        <v>0</v>
      </c>
      <c r="AE42" s="208">
        <v>0</v>
      </c>
      <c r="AF42" s="208">
        <v>0</v>
      </c>
      <c r="AG42" s="208">
        <v>0</v>
      </c>
      <c r="AH42" s="208">
        <v>0</v>
      </c>
      <c r="AI42" s="208">
        <v>0</v>
      </c>
      <c r="AJ42" s="208">
        <v>0</v>
      </c>
      <c r="AK42" s="208">
        <v>0</v>
      </c>
      <c r="AL42" s="208">
        <v>0</v>
      </c>
      <c r="AM42" s="208">
        <v>0</v>
      </c>
      <c r="AN42" s="208">
        <v>0</v>
      </c>
      <c r="AO42" s="208">
        <v>0</v>
      </c>
      <c r="AP42" s="208">
        <v>0</v>
      </c>
      <c r="AQ42" s="208">
        <v>0</v>
      </c>
      <c r="AR42" s="208">
        <v>0</v>
      </c>
      <c r="AS42" s="208">
        <v>0</v>
      </c>
      <c r="AT42" s="208">
        <v>0</v>
      </c>
      <c r="AU42" s="208">
        <v>0</v>
      </c>
      <c r="AV42" s="208">
        <v>0</v>
      </c>
      <c r="AW42" s="208">
        <v>0</v>
      </c>
      <c r="AX42" s="208">
        <v>0</v>
      </c>
      <c r="AY42" s="208">
        <v>0</v>
      </c>
      <c r="AZ42" s="208">
        <v>0</v>
      </c>
      <c r="BA42" s="207"/>
      <c r="BB42" s="208"/>
      <c r="BC42" s="208"/>
      <c r="BD42" s="208"/>
      <c r="BE42" s="207"/>
      <c r="BF42" s="208"/>
      <c r="BG42" s="208"/>
      <c r="BH42" s="208"/>
      <c r="BI42" s="207"/>
      <c r="BJ42" s="216">
        <f>C42+G42+I42+K42+M42+O42+Q42+S42+U42+W42+Y42+AA42+AC42+AE42+AG42+AI42+AK42+AM42+AO42+AQ42+AS42+AU42+AW42+AY42+BB42+BF42</f>
        <v>7375</v>
      </c>
      <c r="BK42" s="208">
        <f>D42+H42+J42+L42+N42+P42+R42+T42+V42+X42+Z42+AB42+AD42+AF42+AH42+AJ42+AL42+AN42+AP42+AR42+AT42+AV42+AX42+AZ42+BD42+BH42</f>
        <v>14496</v>
      </c>
      <c r="BL42" s="172"/>
      <c r="BM42" s="13"/>
      <c r="BO42" s="231"/>
    </row>
    <row r="43" spans="1:1164">
      <c r="A43" s="209"/>
      <c r="B43" s="139"/>
      <c r="C43" s="281"/>
      <c r="D43" s="281"/>
      <c r="E43" s="219"/>
      <c r="F43" s="219"/>
      <c r="G43" s="219"/>
      <c r="H43" s="219"/>
      <c r="I43" s="219"/>
      <c r="J43" s="219"/>
      <c r="K43" s="219"/>
      <c r="L43" s="219"/>
      <c r="M43" s="219"/>
      <c r="N43" s="219"/>
      <c r="O43" s="219"/>
      <c r="P43" s="219"/>
      <c r="Q43" s="219"/>
      <c r="R43" s="219"/>
      <c r="S43" s="219"/>
      <c r="T43" s="219"/>
      <c r="U43" s="200"/>
      <c r="V43" s="200"/>
      <c r="W43" s="200"/>
      <c r="X43" s="200"/>
      <c r="Y43" s="200"/>
      <c r="Z43" s="200"/>
      <c r="AA43" s="200"/>
      <c r="AB43" s="200"/>
      <c r="AC43" s="200"/>
      <c r="AD43" s="200"/>
      <c r="AE43" s="219"/>
      <c r="AF43" s="219"/>
      <c r="AG43" s="200"/>
      <c r="AH43" s="200"/>
      <c r="AI43" s="200"/>
      <c r="AJ43" s="200"/>
      <c r="AK43" s="200"/>
      <c r="AL43" s="200"/>
      <c r="AM43" s="200"/>
      <c r="AN43" s="200"/>
      <c r="AO43" s="200"/>
      <c r="AP43" s="200"/>
      <c r="AQ43" s="283"/>
      <c r="AR43" s="283"/>
      <c r="AS43" s="200"/>
      <c r="AT43" s="200"/>
      <c r="AU43" s="200"/>
      <c r="AV43" s="230"/>
      <c r="AW43" s="246"/>
      <c r="AX43" s="246"/>
      <c r="AY43" s="290"/>
      <c r="AZ43" s="290"/>
      <c r="BA43" s="282"/>
      <c r="BB43" s="246"/>
      <c r="BC43" s="246"/>
      <c r="BD43" s="246"/>
      <c r="BE43" s="246"/>
      <c r="BF43" s="246"/>
      <c r="BG43" s="246"/>
      <c r="BH43" s="246"/>
      <c r="BI43" s="282"/>
      <c r="BJ43" s="246"/>
      <c r="BK43" s="246"/>
      <c r="BL43" s="172"/>
      <c r="BM43" s="13"/>
      <c r="BO43" s="231"/>
    </row>
    <row r="44" spans="1:1164" s="257" customFormat="1">
      <c r="A44" s="194" t="s">
        <v>181</v>
      </c>
      <c r="B44" s="195" t="s">
        <v>87</v>
      </c>
      <c r="C44" s="258">
        <v>14650</v>
      </c>
      <c r="D44" s="258">
        <v>416593</v>
      </c>
      <c r="E44" s="258">
        <v>0</v>
      </c>
      <c r="F44" s="258">
        <v>0</v>
      </c>
      <c r="G44" s="258">
        <v>0</v>
      </c>
      <c r="H44" s="258">
        <v>0</v>
      </c>
      <c r="I44" s="258">
        <v>0</v>
      </c>
      <c r="J44" s="258">
        <v>0</v>
      </c>
      <c r="K44" s="258">
        <v>0</v>
      </c>
      <c r="L44" s="258">
        <v>0</v>
      </c>
      <c r="M44" s="258">
        <v>0</v>
      </c>
      <c r="N44" s="258">
        <v>0</v>
      </c>
      <c r="O44" s="258">
        <v>0</v>
      </c>
      <c r="P44" s="258">
        <v>0</v>
      </c>
      <c r="Q44" s="258">
        <v>0</v>
      </c>
      <c r="R44" s="258">
        <v>0</v>
      </c>
      <c r="S44" s="258">
        <v>0</v>
      </c>
      <c r="T44" s="258">
        <v>0</v>
      </c>
      <c r="U44" s="258">
        <v>0</v>
      </c>
      <c r="V44" s="258">
        <v>0</v>
      </c>
      <c r="W44" s="258">
        <v>0</v>
      </c>
      <c r="X44" s="258">
        <v>0</v>
      </c>
      <c r="Y44" s="258">
        <v>0</v>
      </c>
      <c r="Z44" s="258">
        <v>0</v>
      </c>
      <c r="AA44" s="258">
        <v>0</v>
      </c>
      <c r="AB44" s="258">
        <v>0</v>
      </c>
      <c r="AC44" s="258">
        <v>0</v>
      </c>
      <c r="AD44" s="258">
        <v>0</v>
      </c>
      <c r="AE44" s="258">
        <v>0</v>
      </c>
      <c r="AF44" s="258">
        <v>0</v>
      </c>
      <c r="AG44" s="258">
        <v>0</v>
      </c>
      <c r="AH44" s="258">
        <v>0</v>
      </c>
      <c r="AI44" s="258">
        <v>0</v>
      </c>
      <c r="AJ44" s="258">
        <v>0</v>
      </c>
      <c r="AK44" s="288">
        <v>2277</v>
      </c>
      <c r="AL44" s="288">
        <v>676222</v>
      </c>
      <c r="AM44" s="261">
        <v>7299.1380000000008</v>
      </c>
      <c r="AN44" s="261">
        <v>1774751.7110904008</v>
      </c>
      <c r="AO44" s="288">
        <v>29645</v>
      </c>
      <c r="AP44" s="288">
        <v>7006547</v>
      </c>
      <c r="AQ44" s="288">
        <v>27478.491000000002</v>
      </c>
      <c r="AR44" s="288">
        <v>4967521.97</v>
      </c>
      <c r="AS44" s="288">
        <v>26927</v>
      </c>
      <c r="AT44" s="288">
        <v>5902204</v>
      </c>
      <c r="AU44" s="302">
        <v>6087</v>
      </c>
      <c r="AV44" s="302">
        <v>996294</v>
      </c>
      <c r="AW44" s="302">
        <v>22668</v>
      </c>
      <c r="AX44" s="302">
        <v>3952594</v>
      </c>
      <c r="AY44" s="258">
        <v>67271</v>
      </c>
      <c r="AZ44" s="258">
        <v>16050607</v>
      </c>
      <c r="BA44" s="263"/>
      <c r="BB44" s="258"/>
      <c r="BC44" s="263"/>
      <c r="BD44" s="258"/>
      <c r="BE44" s="263"/>
      <c r="BF44" s="258"/>
      <c r="BG44" s="263"/>
      <c r="BH44" s="258"/>
      <c r="BI44" s="263"/>
      <c r="BJ44" s="258">
        <f>C44+G44+I44+K44+M44+O44+Q44+S44+U44+W44+Y44+AA44+AC44+AE44+AG44+AI44+AK44+AM44+AO44+AQ44+AS44+AU44+AW44+AY44+BB44+BF44</f>
        <v>204302.62900000002</v>
      </c>
      <c r="BK44" s="258">
        <f>D44+H44+J44+L44+N44+P44+R44+T44+V44+X44+Z44+AB44+AD44+AF44+AH44+AJ44+AL44+AN44+AP44+AR44+AT44+AV44+AX44+AZ44+BD44+BH44</f>
        <v>41743334.6810904</v>
      </c>
      <c r="BL44" s="172"/>
      <c r="BM44" s="13"/>
      <c r="BN44" s="172"/>
      <c r="BO44" s="231"/>
      <c r="BP44" s="172"/>
      <c r="BQ44" s="172"/>
      <c r="BR44" s="172"/>
      <c r="BS44" s="172"/>
      <c r="BT44" s="172"/>
      <c r="BU44" s="172"/>
      <c r="BV44" s="172"/>
      <c r="BW44" s="172"/>
      <c r="BX44" s="172"/>
      <c r="BY44" s="172"/>
      <c r="BZ44" s="172"/>
      <c r="CA44" s="172"/>
      <c r="CB44" s="172"/>
      <c r="CC44" s="172"/>
      <c r="CD44" s="172"/>
      <c r="CE44" s="172"/>
      <c r="CF44" s="172"/>
      <c r="CG44" s="172"/>
      <c r="CH44" s="172"/>
      <c r="CI44" s="172"/>
      <c r="CJ44" s="172"/>
      <c r="CK44" s="172"/>
      <c r="CL44" s="172"/>
      <c r="CM44" s="172"/>
      <c r="CN44" s="172"/>
      <c r="CO44" s="172"/>
      <c r="CP44" s="172"/>
      <c r="CQ44" s="172"/>
      <c r="CR44" s="172"/>
      <c r="CS44" s="172"/>
      <c r="CT44" s="172"/>
      <c r="CU44" s="172"/>
      <c r="CV44" s="172"/>
      <c r="CW44" s="172"/>
      <c r="CX44" s="172"/>
      <c r="CY44" s="172"/>
      <c r="CZ44" s="172"/>
      <c r="DA44" s="172"/>
      <c r="DB44" s="172"/>
      <c r="DC44" s="172"/>
      <c r="DD44" s="172"/>
      <c r="DE44" s="172"/>
      <c r="DF44" s="172"/>
      <c r="DG44" s="172"/>
      <c r="DH44" s="172"/>
      <c r="DI44" s="172"/>
      <c r="DJ44" s="172"/>
      <c r="DK44" s="172"/>
      <c r="DL44" s="172"/>
      <c r="DM44" s="172"/>
      <c r="DN44" s="172"/>
      <c r="DO44" s="172"/>
      <c r="DP44" s="172"/>
      <c r="DQ44" s="172"/>
      <c r="DR44" s="172"/>
      <c r="DS44" s="172"/>
      <c r="DT44" s="172"/>
      <c r="DU44" s="172"/>
      <c r="DV44" s="172"/>
      <c r="DW44" s="172"/>
      <c r="DX44" s="172"/>
      <c r="DY44" s="172"/>
      <c r="DZ44" s="172"/>
      <c r="EA44" s="172"/>
      <c r="EB44" s="172"/>
      <c r="EC44" s="172"/>
      <c r="ED44" s="172"/>
      <c r="EE44" s="172"/>
      <c r="EF44" s="172"/>
      <c r="EG44" s="172"/>
      <c r="EH44" s="172"/>
      <c r="EI44" s="172"/>
      <c r="EJ44" s="172"/>
      <c r="EK44" s="172"/>
      <c r="EL44" s="172"/>
      <c r="EM44" s="172"/>
      <c r="EN44" s="172"/>
      <c r="EO44" s="172"/>
      <c r="EP44" s="172"/>
      <c r="EQ44" s="172"/>
      <c r="ER44" s="172"/>
      <c r="ES44" s="172"/>
      <c r="ET44" s="172"/>
      <c r="EU44" s="172"/>
      <c r="EV44" s="172"/>
      <c r="EW44" s="172"/>
      <c r="EX44" s="172"/>
      <c r="EY44" s="172"/>
      <c r="EZ44" s="172"/>
      <c r="FA44" s="172"/>
      <c r="FB44" s="172"/>
      <c r="FC44" s="172"/>
      <c r="FD44" s="172"/>
      <c r="FE44" s="172"/>
      <c r="FF44" s="172"/>
      <c r="FG44" s="172"/>
      <c r="FH44" s="172"/>
      <c r="FI44" s="172"/>
      <c r="FJ44" s="172"/>
      <c r="FK44" s="172"/>
      <c r="FL44" s="172"/>
      <c r="FM44" s="172"/>
      <c r="FN44" s="172"/>
      <c r="FO44" s="172"/>
      <c r="FP44" s="172"/>
      <c r="FQ44" s="172"/>
      <c r="FR44" s="172"/>
      <c r="FS44" s="172"/>
      <c r="FT44" s="172"/>
      <c r="FU44" s="172"/>
      <c r="FV44" s="172"/>
      <c r="FW44" s="172"/>
      <c r="FX44" s="172"/>
      <c r="FY44" s="172"/>
      <c r="FZ44" s="172"/>
      <c r="GA44" s="172"/>
      <c r="GB44" s="172"/>
      <c r="GC44" s="172"/>
      <c r="GD44" s="172"/>
      <c r="GE44" s="172"/>
      <c r="GF44" s="172"/>
      <c r="GG44" s="172"/>
      <c r="GH44" s="172"/>
      <c r="GI44" s="172"/>
      <c r="GJ44" s="172"/>
      <c r="GK44" s="172"/>
      <c r="GL44" s="172"/>
      <c r="GM44" s="172"/>
      <c r="GN44" s="172"/>
      <c r="GO44" s="172"/>
      <c r="GP44" s="172"/>
      <c r="GQ44" s="172"/>
      <c r="GR44" s="172"/>
      <c r="GS44" s="172"/>
      <c r="GT44" s="172"/>
      <c r="GU44" s="172"/>
      <c r="GV44" s="172"/>
      <c r="GW44" s="172"/>
      <c r="GX44" s="172"/>
      <c r="GY44" s="172"/>
      <c r="GZ44" s="172"/>
      <c r="HA44" s="172"/>
      <c r="HB44" s="172"/>
      <c r="HC44" s="172"/>
      <c r="HD44" s="172"/>
      <c r="HE44" s="172"/>
      <c r="HF44" s="172"/>
      <c r="HG44" s="172"/>
      <c r="HH44" s="172"/>
      <c r="HI44" s="172"/>
      <c r="HJ44" s="172"/>
      <c r="HK44" s="172"/>
      <c r="HL44" s="172"/>
      <c r="HM44" s="172"/>
      <c r="HN44" s="172"/>
      <c r="HO44" s="172"/>
      <c r="HP44" s="172"/>
      <c r="HQ44" s="172"/>
      <c r="HR44" s="172"/>
      <c r="HS44" s="172"/>
      <c r="HT44" s="172"/>
      <c r="HU44" s="172"/>
      <c r="HV44" s="172"/>
      <c r="HW44" s="172"/>
      <c r="HX44" s="172"/>
      <c r="HY44" s="172"/>
      <c r="HZ44" s="172"/>
      <c r="IA44" s="172"/>
      <c r="IB44" s="172"/>
      <c r="IC44" s="172"/>
      <c r="ID44" s="172"/>
      <c r="IE44" s="172"/>
      <c r="IF44" s="172"/>
      <c r="IG44" s="172"/>
      <c r="IH44" s="172"/>
      <c r="II44" s="172"/>
      <c r="IJ44" s="172"/>
      <c r="IK44" s="172"/>
      <c r="IL44" s="172"/>
      <c r="IM44" s="172"/>
      <c r="IN44" s="172"/>
      <c r="IO44" s="172"/>
      <c r="IP44" s="172"/>
      <c r="IQ44" s="172"/>
      <c r="IR44" s="172"/>
      <c r="IS44" s="172"/>
      <c r="IT44" s="172"/>
      <c r="IU44" s="172"/>
      <c r="IV44" s="172"/>
      <c r="IW44" s="172"/>
      <c r="IX44" s="172"/>
      <c r="IY44" s="172"/>
      <c r="IZ44" s="172"/>
      <c r="JA44" s="172"/>
      <c r="JB44" s="172"/>
      <c r="JC44" s="172"/>
      <c r="JD44" s="172"/>
      <c r="JE44" s="172"/>
      <c r="JF44" s="172"/>
      <c r="JG44" s="172"/>
      <c r="JH44" s="172"/>
      <c r="JI44" s="172"/>
      <c r="JJ44" s="172"/>
      <c r="JK44" s="172"/>
      <c r="JL44" s="172"/>
      <c r="JM44" s="172"/>
      <c r="JN44" s="172"/>
      <c r="JO44" s="172"/>
      <c r="JP44" s="172"/>
      <c r="JQ44" s="172"/>
      <c r="JR44" s="172"/>
      <c r="JS44" s="172"/>
      <c r="JT44" s="172"/>
      <c r="JU44" s="172"/>
      <c r="JV44" s="172"/>
      <c r="JW44" s="172"/>
      <c r="JX44" s="172"/>
      <c r="JY44" s="172"/>
      <c r="JZ44" s="172"/>
      <c r="KA44" s="172"/>
      <c r="KB44" s="172"/>
      <c r="KC44" s="172"/>
      <c r="KD44" s="172"/>
      <c r="KE44" s="172"/>
      <c r="KF44" s="172"/>
      <c r="KG44" s="172"/>
      <c r="KH44" s="172"/>
      <c r="KI44" s="172"/>
      <c r="KJ44" s="172"/>
      <c r="KK44" s="172"/>
      <c r="KL44" s="172"/>
      <c r="KM44" s="172"/>
      <c r="KN44" s="172"/>
      <c r="KO44" s="172"/>
      <c r="KP44" s="172"/>
      <c r="KQ44" s="172"/>
      <c r="KR44" s="172"/>
      <c r="KS44" s="172"/>
      <c r="KT44" s="172"/>
      <c r="KU44" s="172"/>
      <c r="KV44" s="172"/>
      <c r="KW44" s="172"/>
      <c r="KX44" s="172"/>
      <c r="KY44" s="172"/>
      <c r="KZ44" s="172"/>
      <c r="LA44" s="172"/>
      <c r="LB44" s="172"/>
      <c r="LC44" s="172"/>
      <c r="LD44" s="172"/>
      <c r="LE44" s="172"/>
      <c r="LF44" s="172"/>
      <c r="LG44" s="172"/>
      <c r="LH44" s="172"/>
      <c r="LI44" s="172"/>
      <c r="LJ44" s="172"/>
      <c r="LK44" s="172"/>
      <c r="LL44" s="172"/>
      <c r="LM44" s="172"/>
      <c r="LN44" s="172"/>
      <c r="LO44" s="172"/>
      <c r="LP44" s="172"/>
      <c r="LQ44" s="172"/>
      <c r="LR44" s="172"/>
      <c r="LS44" s="172"/>
      <c r="LT44" s="172"/>
      <c r="LU44" s="172"/>
      <c r="LV44" s="172"/>
      <c r="LW44" s="172"/>
      <c r="LX44" s="172"/>
      <c r="LY44" s="172"/>
      <c r="LZ44" s="172"/>
      <c r="MA44" s="172"/>
      <c r="MB44" s="172"/>
      <c r="MC44" s="172"/>
      <c r="MD44" s="172"/>
      <c r="ME44" s="172"/>
      <c r="MF44" s="172"/>
      <c r="MG44" s="172"/>
      <c r="MH44" s="172"/>
      <c r="MI44" s="172"/>
      <c r="MJ44" s="172"/>
      <c r="MK44" s="172"/>
      <c r="ML44" s="172"/>
      <c r="MM44" s="172"/>
      <c r="MN44" s="172"/>
      <c r="MO44" s="172"/>
      <c r="MP44" s="172"/>
      <c r="MQ44" s="172"/>
      <c r="MR44" s="172"/>
      <c r="MS44" s="172"/>
      <c r="MT44" s="172"/>
      <c r="MU44" s="172"/>
      <c r="MV44" s="172"/>
      <c r="MW44" s="172"/>
      <c r="MX44" s="172"/>
      <c r="MY44" s="172"/>
      <c r="MZ44" s="172"/>
      <c r="NA44" s="172"/>
      <c r="NB44" s="172"/>
      <c r="NC44" s="172"/>
      <c r="ND44" s="172"/>
      <c r="NE44" s="172"/>
      <c r="NF44" s="172"/>
      <c r="NG44" s="172"/>
      <c r="NH44" s="172"/>
      <c r="NI44" s="172"/>
      <c r="NJ44" s="172"/>
      <c r="NK44" s="172"/>
      <c r="NL44" s="172"/>
      <c r="NM44" s="172"/>
      <c r="NN44" s="172"/>
      <c r="NO44" s="172"/>
      <c r="NP44" s="172"/>
      <c r="NQ44" s="172"/>
      <c r="NR44" s="172"/>
      <c r="NS44" s="172"/>
      <c r="NT44" s="172"/>
      <c r="NU44" s="172"/>
      <c r="NV44" s="172"/>
      <c r="NW44" s="172"/>
      <c r="NX44" s="172"/>
      <c r="NY44" s="172"/>
      <c r="NZ44" s="172"/>
      <c r="OA44" s="172"/>
      <c r="OB44" s="172"/>
      <c r="OC44" s="172"/>
      <c r="OD44" s="172"/>
      <c r="OE44" s="172"/>
      <c r="OF44" s="172"/>
      <c r="OG44" s="172"/>
      <c r="OH44" s="172"/>
      <c r="OI44" s="172"/>
      <c r="OJ44" s="172"/>
      <c r="OK44" s="172"/>
      <c r="OL44" s="172"/>
      <c r="OM44" s="172"/>
      <c r="ON44" s="172"/>
      <c r="OO44" s="172"/>
      <c r="OP44" s="172"/>
      <c r="OQ44" s="172"/>
      <c r="OR44" s="172"/>
      <c r="OS44" s="172"/>
      <c r="OT44" s="172"/>
      <c r="OU44" s="172"/>
      <c r="OV44" s="172"/>
      <c r="OW44" s="172"/>
      <c r="OX44" s="172"/>
      <c r="OY44" s="172"/>
      <c r="OZ44" s="172"/>
      <c r="PA44" s="172"/>
      <c r="PB44" s="172"/>
      <c r="PC44" s="172"/>
      <c r="PD44" s="172"/>
      <c r="PE44" s="172"/>
      <c r="PF44" s="172"/>
      <c r="PG44" s="172"/>
      <c r="PH44" s="172"/>
      <c r="PI44" s="172"/>
      <c r="PJ44" s="172"/>
      <c r="PK44" s="172"/>
      <c r="PL44" s="172"/>
      <c r="PM44" s="172"/>
      <c r="PN44" s="172"/>
      <c r="PO44" s="172"/>
      <c r="PP44" s="172"/>
      <c r="PQ44" s="172"/>
      <c r="PR44" s="172"/>
      <c r="PS44" s="172"/>
      <c r="PT44" s="172"/>
      <c r="PU44" s="172"/>
      <c r="PV44" s="172"/>
      <c r="PW44" s="172"/>
      <c r="PX44" s="172"/>
      <c r="PY44" s="172"/>
      <c r="PZ44" s="172"/>
      <c r="QA44" s="172"/>
      <c r="QB44" s="172"/>
      <c r="QC44" s="172"/>
      <c r="QD44" s="172"/>
      <c r="QE44" s="172"/>
      <c r="QF44" s="172"/>
      <c r="QG44" s="172"/>
      <c r="QH44" s="172"/>
      <c r="QI44" s="172"/>
      <c r="QJ44" s="172"/>
      <c r="QK44" s="172"/>
      <c r="QL44" s="172"/>
      <c r="QM44" s="172"/>
      <c r="QN44" s="172"/>
      <c r="QO44" s="172"/>
      <c r="QP44" s="172"/>
      <c r="QQ44" s="172"/>
      <c r="QR44" s="172"/>
      <c r="QS44" s="172"/>
      <c r="QT44" s="172"/>
      <c r="QU44" s="172"/>
      <c r="QV44" s="172"/>
      <c r="QW44" s="172"/>
      <c r="QX44" s="172"/>
      <c r="QY44" s="172"/>
      <c r="QZ44" s="172"/>
      <c r="RA44" s="172"/>
      <c r="RB44" s="172"/>
      <c r="RC44" s="172"/>
      <c r="RD44" s="172"/>
      <c r="RE44" s="172"/>
      <c r="RF44" s="172"/>
      <c r="RG44" s="172"/>
      <c r="RH44" s="172"/>
      <c r="RI44" s="172"/>
      <c r="RJ44" s="172"/>
      <c r="RK44" s="172"/>
      <c r="RL44" s="172"/>
      <c r="RM44" s="172"/>
      <c r="RN44" s="172"/>
      <c r="RO44" s="172"/>
      <c r="RP44" s="172"/>
      <c r="RQ44" s="172"/>
      <c r="RR44" s="172"/>
      <c r="RS44" s="172"/>
      <c r="RT44" s="172"/>
      <c r="RU44" s="172"/>
      <c r="RV44" s="172"/>
      <c r="RW44" s="172"/>
      <c r="RX44" s="172"/>
      <c r="RY44" s="172"/>
      <c r="RZ44" s="172"/>
      <c r="SA44" s="172"/>
      <c r="SB44" s="172"/>
      <c r="SC44" s="172"/>
      <c r="SD44" s="172"/>
      <c r="SE44" s="172"/>
      <c r="SF44" s="172"/>
      <c r="SG44" s="172"/>
      <c r="SH44" s="172"/>
      <c r="SI44" s="172"/>
      <c r="SJ44" s="172"/>
      <c r="SK44" s="172"/>
      <c r="SL44" s="172"/>
      <c r="SM44" s="172"/>
      <c r="SN44" s="172"/>
      <c r="SO44" s="172"/>
      <c r="SP44" s="172"/>
      <c r="SQ44" s="172"/>
      <c r="SR44" s="172"/>
      <c r="SS44" s="172"/>
      <c r="ST44" s="172"/>
      <c r="SU44" s="172"/>
      <c r="SV44" s="172"/>
      <c r="SW44" s="172"/>
      <c r="SX44" s="172"/>
      <c r="SY44" s="172"/>
      <c r="SZ44" s="172"/>
      <c r="TA44" s="172"/>
      <c r="TB44" s="172"/>
      <c r="TC44" s="172"/>
      <c r="TD44" s="172"/>
      <c r="TE44" s="172"/>
      <c r="TF44" s="172"/>
      <c r="TG44" s="172"/>
      <c r="TH44" s="172"/>
      <c r="TI44" s="172"/>
      <c r="TJ44" s="172"/>
      <c r="TK44" s="172"/>
      <c r="TL44" s="172"/>
      <c r="TM44" s="172"/>
      <c r="TN44" s="172"/>
      <c r="TO44" s="172"/>
      <c r="TP44" s="172"/>
      <c r="TQ44" s="172"/>
      <c r="TR44" s="172"/>
      <c r="TS44" s="172"/>
      <c r="TT44" s="172"/>
      <c r="TU44" s="172"/>
      <c r="TV44" s="172"/>
      <c r="TW44" s="172"/>
      <c r="TX44" s="172"/>
      <c r="TY44" s="172"/>
      <c r="TZ44" s="172"/>
      <c r="UA44" s="172"/>
      <c r="UB44" s="172"/>
      <c r="UC44" s="172"/>
      <c r="UD44" s="172"/>
      <c r="UE44" s="172"/>
      <c r="UF44" s="172"/>
      <c r="UG44" s="172"/>
      <c r="UH44" s="172"/>
      <c r="UI44" s="172"/>
      <c r="UJ44" s="172"/>
      <c r="UK44" s="172"/>
      <c r="UL44" s="172"/>
      <c r="UM44" s="172"/>
      <c r="UN44" s="172"/>
      <c r="UO44" s="172"/>
      <c r="UP44" s="172"/>
      <c r="UQ44" s="172"/>
      <c r="UR44" s="172"/>
      <c r="US44" s="172"/>
      <c r="UT44" s="172"/>
      <c r="UU44" s="172"/>
      <c r="UV44" s="172"/>
      <c r="UW44" s="172"/>
      <c r="UX44" s="172"/>
      <c r="UY44" s="172"/>
      <c r="UZ44" s="172"/>
      <c r="VA44" s="172"/>
      <c r="VB44" s="172"/>
      <c r="VC44" s="172"/>
      <c r="VD44" s="172"/>
      <c r="VE44" s="172"/>
      <c r="VF44" s="172"/>
      <c r="VG44" s="172"/>
      <c r="VH44" s="172"/>
      <c r="VI44" s="172"/>
      <c r="VJ44" s="172"/>
      <c r="VK44" s="172"/>
      <c r="VL44" s="172"/>
      <c r="VM44" s="172"/>
      <c r="VN44" s="172"/>
      <c r="VO44" s="172"/>
      <c r="VP44" s="172"/>
      <c r="VQ44" s="172"/>
      <c r="VR44" s="172"/>
      <c r="VS44" s="172"/>
      <c r="VT44" s="172"/>
      <c r="VU44" s="172"/>
      <c r="VV44" s="172"/>
      <c r="VW44" s="172"/>
      <c r="VX44" s="172"/>
      <c r="VY44" s="172"/>
      <c r="VZ44" s="172"/>
      <c r="WA44" s="172"/>
      <c r="WB44" s="172"/>
      <c r="WC44" s="172"/>
      <c r="WD44" s="172"/>
      <c r="WE44" s="172"/>
      <c r="WF44" s="172"/>
      <c r="WG44" s="172"/>
      <c r="WH44" s="172"/>
      <c r="WI44" s="172"/>
      <c r="WJ44" s="172"/>
      <c r="WK44" s="172"/>
      <c r="WL44" s="172"/>
      <c r="WM44" s="172"/>
      <c r="WN44" s="172"/>
      <c r="WO44" s="172"/>
      <c r="WP44" s="172"/>
      <c r="WQ44" s="172"/>
      <c r="WR44" s="172"/>
      <c r="WS44" s="172"/>
      <c r="WT44" s="172"/>
      <c r="WU44" s="172"/>
      <c r="WV44" s="172"/>
      <c r="WW44" s="172"/>
      <c r="WX44" s="172"/>
      <c r="WY44" s="172"/>
      <c r="WZ44" s="172"/>
      <c r="XA44" s="172"/>
      <c r="XB44" s="172"/>
      <c r="XC44" s="172"/>
      <c r="XD44" s="172"/>
      <c r="XE44" s="172"/>
      <c r="XF44" s="172"/>
      <c r="XG44" s="172"/>
      <c r="XH44" s="172"/>
      <c r="XI44" s="172"/>
      <c r="XJ44" s="172"/>
      <c r="XK44" s="172"/>
      <c r="XL44" s="172"/>
      <c r="XM44" s="172"/>
      <c r="XN44" s="172"/>
      <c r="XO44" s="172"/>
      <c r="XP44" s="172"/>
      <c r="XQ44" s="172"/>
      <c r="XR44" s="172"/>
      <c r="XS44" s="172"/>
      <c r="XT44" s="172"/>
      <c r="XU44" s="172"/>
      <c r="XV44" s="172"/>
      <c r="XW44" s="172"/>
      <c r="XX44" s="172"/>
      <c r="XY44" s="172"/>
      <c r="XZ44" s="172"/>
      <c r="YA44" s="172"/>
      <c r="YB44" s="172"/>
      <c r="YC44" s="172"/>
      <c r="YD44" s="172"/>
      <c r="YE44" s="172"/>
      <c r="YF44" s="172"/>
      <c r="YG44" s="172"/>
      <c r="YH44" s="172"/>
      <c r="YI44" s="172"/>
      <c r="YJ44" s="172"/>
      <c r="YK44" s="172"/>
      <c r="YL44" s="172"/>
      <c r="YM44" s="172"/>
      <c r="YN44" s="172"/>
      <c r="YO44" s="172"/>
      <c r="YP44" s="172"/>
      <c r="YQ44" s="172"/>
      <c r="YR44" s="172"/>
      <c r="YS44" s="172"/>
      <c r="YT44" s="172"/>
      <c r="YU44" s="172"/>
      <c r="YV44" s="172"/>
      <c r="YW44" s="172"/>
      <c r="YX44" s="172"/>
      <c r="YY44" s="172"/>
      <c r="YZ44" s="172"/>
      <c r="ZA44" s="172"/>
      <c r="ZB44" s="172"/>
      <c r="ZC44" s="172"/>
      <c r="ZD44" s="172"/>
      <c r="ZE44" s="172"/>
      <c r="ZF44" s="172"/>
      <c r="ZG44" s="172"/>
      <c r="ZH44" s="172"/>
      <c r="ZI44" s="172"/>
      <c r="ZJ44" s="172"/>
      <c r="ZK44" s="172"/>
      <c r="ZL44" s="172"/>
      <c r="ZM44" s="172"/>
      <c r="ZN44" s="172"/>
      <c r="ZO44" s="172"/>
      <c r="ZP44" s="172"/>
      <c r="ZQ44" s="172"/>
      <c r="ZR44" s="172"/>
      <c r="ZS44" s="172"/>
      <c r="ZT44" s="172"/>
      <c r="ZU44" s="172"/>
      <c r="ZV44" s="172"/>
      <c r="ZW44" s="172"/>
      <c r="ZX44" s="172"/>
      <c r="ZY44" s="172"/>
      <c r="ZZ44" s="172"/>
      <c r="AAA44" s="172"/>
      <c r="AAB44" s="172"/>
      <c r="AAC44" s="172"/>
      <c r="AAD44" s="172"/>
      <c r="AAE44" s="172"/>
      <c r="AAF44" s="172"/>
      <c r="AAG44" s="172"/>
      <c r="AAH44" s="172"/>
      <c r="AAI44" s="172"/>
      <c r="AAJ44" s="172"/>
      <c r="AAK44" s="172"/>
      <c r="AAL44" s="172"/>
      <c r="AAM44" s="172"/>
      <c r="AAN44" s="172"/>
      <c r="AAO44" s="172"/>
      <c r="AAP44" s="172"/>
      <c r="AAQ44" s="172"/>
      <c r="AAR44" s="172"/>
      <c r="AAS44" s="172"/>
      <c r="AAT44" s="172"/>
      <c r="AAU44" s="172"/>
      <c r="AAV44" s="172"/>
      <c r="AAW44" s="172"/>
      <c r="AAX44" s="172"/>
      <c r="AAY44" s="172"/>
      <c r="AAZ44" s="172"/>
      <c r="ABA44" s="172"/>
      <c r="ABB44" s="172"/>
      <c r="ABC44" s="172"/>
      <c r="ABD44" s="172"/>
      <c r="ABE44" s="172"/>
      <c r="ABF44" s="172"/>
      <c r="ABG44" s="172"/>
      <c r="ABH44" s="172"/>
      <c r="ABI44" s="172"/>
      <c r="ABJ44" s="172"/>
      <c r="ABK44" s="172"/>
      <c r="ABL44" s="172"/>
      <c r="ABM44" s="172"/>
      <c r="ABN44" s="172"/>
      <c r="ABO44" s="172"/>
      <c r="ABP44" s="172"/>
      <c r="ABQ44" s="172"/>
      <c r="ABR44" s="172"/>
      <c r="ABS44" s="172"/>
      <c r="ABT44" s="172"/>
      <c r="ABU44" s="172"/>
      <c r="ABV44" s="172"/>
      <c r="ABW44" s="172"/>
      <c r="ABX44" s="172"/>
      <c r="ABY44" s="172"/>
      <c r="ABZ44" s="172"/>
      <c r="ACA44" s="172"/>
      <c r="ACB44" s="172"/>
      <c r="ACC44" s="172"/>
      <c r="ACD44" s="172"/>
      <c r="ACE44" s="172"/>
      <c r="ACF44" s="172"/>
      <c r="ACG44" s="172"/>
      <c r="ACH44" s="172"/>
      <c r="ACI44" s="172"/>
      <c r="ACJ44" s="172"/>
      <c r="ACK44" s="172"/>
      <c r="ACL44" s="172"/>
      <c r="ACM44" s="172"/>
      <c r="ACN44" s="172"/>
      <c r="ACO44" s="172"/>
      <c r="ACP44" s="172"/>
      <c r="ACQ44" s="172"/>
      <c r="ACR44" s="172"/>
      <c r="ACS44" s="172"/>
      <c r="ACT44" s="172"/>
      <c r="ACU44" s="172"/>
      <c r="ACV44" s="172"/>
      <c r="ACW44" s="172"/>
      <c r="ACX44" s="172"/>
      <c r="ACY44" s="172"/>
      <c r="ACZ44" s="172"/>
      <c r="ADA44" s="172"/>
      <c r="ADB44" s="172"/>
      <c r="ADC44" s="172"/>
      <c r="ADD44" s="172"/>
      <c r="ADE44" s="172"/>
      <c r="ADF44" s="172"/>
      <c r="ADG44" s="172"/>
      <c r="ADH44" s="172"/>
      <c r="ADI44" s="172"/>
      <c r="ADJ44" s="172"/>
      <c r="ADK44" s="172"/>
      <c r="ADL44" s="172"/>
      <c r="ADM44" s="172"/>
      <c r="ADN44" s="172"/>
      <c r="ADO44" s="172"/>
      <c r="ADP44" s="172"/>
      <c r="ADQ44" s="172"/>
      <c r="ADR44" s="172"/>
      <c r="ADS44" s="172"/>
      <c r="ADT44" s="172"/>
      <c r="ADU44" s="172"/>
      <c r="ADV44" s="172"/>
      <c r="ADW44" s="172"/>
      <c r="ADX44" s="172"/>
      <c r="ADY44" s="172"/>
      <c r="ADZ44" s="172"/>
      <c r="AEA44" s="172"/>
      <c r="AEB44" s="172"/>
      <c r="AEC44" s="172"/>
      <c r="AED44" s="172"/>
      <c r="AEE44" s="172"/>
      <c r="AEF44" s="172"/>
      <c r="AEG44" s="172"/>
      <c r="AEH44" s="172"/>
      <c r="AEI44" s="172"/>
      <c r="AEJ44" s="172"/>
      <c r="AEK44" s="172"/>
      <c r="AEL44" s="172"/>
      <c r="AEM44" s="172"/>
      <c r="AEN44" s="172"/>
      <c r="AEO44" s="172"/>
      <c r="AEP44" s="172"/>
      <c r="AEQ44" s="172"/>
      <c r="AER44" s="172"/>
      <c r="AES44" s="172"/>
      <c r="AET44" s="172"/>
      <c r="AEU44" s="172"/>
      <c r="AEV44" s="172"/>
      <c r="AEW44" s="172"/>
      <c r="AEX44" s="172"/>
      <c r="AEY44" s="172"/>
      <c r="AEZ44" s="172"/>
      <c r="AFA44" s="172"/>
      <c r="AFB44" s="172"/>
      <c r="AFC44" s="172"/>
      <c r="AFD44" s="172"/>
      <c r="AFE44" s="172"/>
      <c r="AFF44" s="172"/>
      <c r="AFG44" s="172"/>
      <c r="AFH44" s="172"/>
      <c r="AFI44" s="172"/>
      <c r="AFJ44" s="172"/>
      <c r="AFK44" s="172"/>
      <c r="AFL44" s="172"/>
      <c r="AFM44" s="172"/>
      <c r="AFN44" s="172"/>
      <c r="AFO44" s="172"/>
      <c r="AFP44" s="172"/>
      <c r="AFQ44" s="172"/>
      <c r="AFR44" s="172"/>
      <c r="AFS44" s="172"/>
      <c r="AFT44" s="172"/>
      <c r="AFU44" s="172"/>
      <c r="AFV44" s="172"/>
      <c r="AFW44" s="172"/>
      <c r="AFX44" s="172"/>
      <c r="AFY44" s="172"/>
      <c r="AFZ44" s="172"/>
      <c r="AGA44" s="172"/>
      <c r="AGB44" s="172"/>
      <c r="AGC44" s="172"/>
      <c r="AGD44" s="172"/>
      <c r="AGE44" s="172"/>
      <c r="AGF44" s="172"/>
      <c r="AGG44" s="172"/>
      <c r="AGH44" s="172"/>
      <c r="AGI44" s="172"/>
      <c r="AGJ44" s="172"/>
      <c r="AGK44" s="172"/>
      <c r="AGL44" s="172"/>
      <c r="AGM44" s="172"/>
      <c r="AGN44" s="172"/>
      <c r="AGO44" s="172"/>
      <c r="AGP44" s="172"/>
      <c r="AGQ44" s="172"/>
      <c r="AGR44" s="172"/>
      <c r="AGS44" s="172"/>
      <c r="AGT44" s="172"/>
      <c r="AGU44" s="172"/>
      <c r="AGV44" s="172"/>
      <c r="AGW44" s="172"/>
      <c r="AGX44" s="172"/>
      <c r="AGY44" s="172"/>
      <c r="AGZ44" s="172"/>
      <c r="AHA44" s="172"/>
      <c r="AHB44" s="172"/>
      <c r="AHC44" s="172"/>
      <c r="AHD44" s="172"/>
      <c r="AHE44" s="172"/>
      <c r="AHF44" s="172"/>
      <c r="AHG44" s="172"/>
      <c r="AHH44" s="172"/>
      <c r="AHI44" s="172"/>
      <c r="AHJ44" s="172"/>
      <c r="AHK44" s="172"/>
      <c r="AHL44" s="172"/>
      <c r="AHM44" s="172"/>
      <c r="AHN44" s="172"/>
      <c r="AHO44" s="172"/>
      <c r="AHP44" s="172"/>
      <c r="AHQ44" s="172"/>
      <c r="AHR44" s="172"/>
      <c r="AHS44" s="172"/>
      <c r="AHT44" s="172"/>
      <c r="AHU44" s="172"/>
      <c r="AHV44" s="172"/>
      <c r="AHW44" s="172"/>
      <c r="AHX44" s="172"/>
      <c r="AHY44" s="172"/>
      <c r="AHZ44" s="172"/>
      <c r="AIA44" s="172"/>
      <c r="AIB44" s="172"/>
      <c r="AIC44" s="172"/>
      <c r="AID44" s="172"/>
      <c r="AIE44" s="172"/>
      <c r="AIF44" s="172"/>
      <c r="AIG44" s="172"/>
      <c r="AIH44" s="172"/>
      <c r="AII44" s="172"/>
      <c r="AIJ44" s="172"/>
      <c r="AIK44" s="172"/>
      <c r="AIL44" s="172"/>
      <c r="AIM44" s="172"/>
      <c r="AIN44" s="172"/>
      <c r="AIO44" s="172"/>
      <c r="AIP44" s="172"/>
      <c r="AIQ44" s="172"/>
      <c r="AIR44" s="172"/>
      <c r="AIS44" s="172"/>
      <c r="AIT44" s="172"/>
      <c r="AIU44" s="172"/>
      <c r="AIV44" s="172"/>
      <c r="AIW44" s="172"/>
      <c r="AIX44" s="172"/>
      <c r="AIY44" s="172"/>
      <c r="AIZ44" s="172"/>
      <c r="AJA44" s="172"/>
      <c r="AJB44" s="172"/>
      <c r="AJC44" s="172"/>
      <c r="AJD44" s="172"/>
      <c r="AJE44" s="172"/>
      <c r="AJF44" s="172"/>
      <c r="AJG44" s="172"/>
      <c r="AJH44" s="172"/>
      <c r="AJI44" s="172"/>
      <c r="AJJ44" s="172"/>
      <c r="AJK44" s="172"/>
      <c r="AJL44" s="172"/>
      <c r="AJM44" s="172"/>
      <c r="AJN44" s="172"/>
      <c r="AJO44" s="172"/>
      <c r="AJP44" s="172"/>
      <c r="AJQ44" s="172"/>
      <c r="AJR44" s="172"/>
      <c r="AJS44" s="172"/>
      <c r="AJT44" s="172"/>
      <c r="AJU44" s="172"/>
      <c r="AJV44" s="172"/>
      <c r="AJW44" s="172"/>
      <c r="AJX44" s="172"/>
      <c r="AJY44" s="172"/>
      <c r="AJZ44" s="172"/>
      <c r="AKA44" s="172"/>
      <c r="AKB44" s="172"/>
      <c r="AKC44" s="172"/>
      <c r="AKD44" s="172"/>
      <c r="AKE44" s="172"/>
      <c r="AKF44" s="172"/>
      <c r="AKG44" s="172"/>
      <c r="AKH44" s="172"/>
      <c r="AKI44" s="172"/>
      <c r="AKJ44" s="172"/>
      <c r="AKK44" s="172"/>
      <c r="AKL44" s="172"/>
      <c r="AKM44" s="172"/>
      <c r="AKN44" s="172"/>
      <c r="AKO44" s="172"/>
      <c r="AKP44" s="172"/>
      <c r="AKQ44" s="172"/>
      <c r="AKR44" s="172"/>
      <c r="AKS44" s="172"/>
      <c r="AKT44" s="172"/>
      <c r="AKU44" s="172"/>
      <c r="AKV44" s="172"/>
      <c r="AKW44" s="172"/>
      <c r="AKX44" s="172"/>
      <c r="AKY44" s="172"/>
      <c r="AKZ44" s="172"/>
      <c r="ALA44" s="172"/>
      <c r="ALB44" s="172"/>
      <c r="ALC44" s="172"/>
      <c r="ALD44" s="172"/>
      <c r="ALE44" s="172"/>
      <c r="ALF44" s="172"/>
      <c r="ALG44" s="172"/>
      <c r="ALH44" s="172"/>
      <c r="ALI44" s="172"/>
      <c r="ALJ44" s="172"/>
      <c r="ALK44" s="172"/>
      <c r="ALL44" s="172"/>
      <c r="ALM44" s="172"/>
      <c r="ALN44" s="172"/>
      <c r="ALO44" s="172"/>
      <c r="ALP44" s="172"/>
      <c r="ALQ44" s="172"/>
      <c r="ALR44" s="172"/>
      <c r="ALS44" s="172"/>
      <c r="ALT44" s="172"/>
      <c r="ALU44" s="172"/>
      <c r="ALV44" s="172"/>
      <c r="ALW44" s="172"/>
      <c r="ALX44" s="172"/>
      <c r="ALY44" s="172"/>
      <c r="ALZ44" s="172"/>
      <c r="AMA44" s="172"/>
      <c r="AMB44" s="172"/>
      <c r="AMC44" s="172"/>
      <c r="AMD44" s="172"/>
      <c r="AME44" s="172"/>
      <c r="AMF44" s="172"/>
      <c r="AMG44" s="172"/>
      <c r="AMH44" s="172"/>
      <c r="AMI44" s="172"/>
      <c r="AMJ44" s="172"/>
      <c r="AMK44" s="172"/>
      <c r="AML44" s="172"/>
      <c r="AMM44" s="172"/>
      <c r="AMN44" s="172"/>
      <c r="AMO44" s="172"/>
      <c r="AMP44" s="172"/>
      <c r="AMQ44" s="172"/>
      <c r="AMR44" s="172"/>
      <c r="AMS44" s="172"/>
      <c r="AMT44" s="172"/>
      <c r="AMU44" s="172"/>
      <c r="AMV44" s="172"/>
      <c r="AMW44" s="172"/>
      <c r="AMX44" s="172"/>
      <c r="AMY44" s="172"/>
      <c r="AMZ44" s="172"/>
      <c r="ANA44" s="172"/>
      <c r="ANB44" s="172"/>
      <c r="ANC44" s="172"/>
      <c r="AND44" s="172"/>
      <c r="ANE44" s="172"/>
      <c r="ANF44" s="172"/>
      <c r="ANG44" s="172"/>
      <c r="ANH44" s="172"/>
      <c r="ANI44" s="172"/>
      <c r="ANJ44" s="172"/>
      <c r="ANK44" s="172"/>
      <c r="ANL44" s="172"/>
      <c r="ANM44" s="172"/>
      <c r="ANN44" s="172"/>
      <c r="ANO44" s="172"/>
      <c r="ANP44" s="172"/>
      <c r="ANQ44" s="172"/>
      <c r="ANR44" s="172"/>
      <c r="ANS44" s="172"/>
      <c r="ANT44" s="172"/>
      <c r="ANU44" s="172"/>
      <c r="ANV44" s="172"/>
      <c r="ANW44" s="172"/>
      <c r="ANX44" s="172"/>
      <c r="ANY44" s="172"/>
      <c r="ANZ44" s="172"/>
      <c r="AOA44" s="172"/>
      <c r="AOB44" s="172"/>
      <c r="AOC44" s="172"/>
      <c r="AOD44" s="172"/>
      <c r="AOE44" s="172"/>
      <c r="AOF44" s="172"/>
      <c r="AOG44" s="172"/>
      <c r="AOH44" s="172"/>
      <c r="AOI44" s="172"/>
      <c r="AOJ44" s="172"/>
      <c r="AOK44" s="172"/>
      <c r="AOL44" s="172"/>
      <c r="AOM44" s="172"/>
      <c r="AON44" s="172"/>
      <c r="AOO44" s="172"/>
      <c r="AOP44" s="172"/>
      <c r="AOQ44" s="172"/>
      <c r="AOR44" s="172"/>
      <c r="AOS44" s="172"/>
      <c r="AOT44" s="172"/>
      <c r="AOU44" s="172"/>
      <c r="AOV44" s="172"/>
      <c r="AOW44" s="172"/>
      <c r="AOX44" s="172"/>
      <c r="AOY44" s="172"/>
      <c r="AOZ44" s="172"/>
      <c r="APA44" s="172"/>
      <c r="APB44" s="172"/>
      <c r="APC44" s="172"/>
      <c r="APD44" s="172"/>
      <c r="APE44" s="172"/>
      <c r="APF44" s="172"/>
      <c r="APG44" s="172"/>
      <c r="APH44" s="172"/>
      <c r="API44" s="172"/>
      <c r="APJ44" s="172"/>
      <c r="APK44" s="172"/>
      <c r="APL44" s="172"/>
      <c r="APM44" s="172"/>
      <c r="APN44" s="172"/>
      <c r="APO44" s="172"/>
      <c r="APP44" s="172"/>
      <c r="APQ44" s="172"/>
      <c r="APR44" s="172"/>
      <c r="APS44" s="172"/>
      <c r="APT44" s="172"/>
      <c r="APU44" s="172"/>
      <c r="APV44" s="172"/>
      <c r="APW44" s="172"/>
      <c r="APX44" s="172"/>
      <c r="APY44" s="172"/>
      <c r="APZ44" s="172"/>
      <c r="AQA44" s="172"/>
      <c r="AQB44" s="172"/>
      <c r="AQC44" s="172"/>
      <c r="AQD44" s="172"/>
      <c r="AQE44" s="172"/>
      <c r="AQF44" s="172"/>
      <c r="AQG44" s="172"/>
      <c r="AQH44" s="172"/>
      <c r="AQI44" s="172"/>
      <c r="AQJ44" s="172"/>
      <c r="AQK44" s="172"/>
      <c r="AQL44" s="172"/>
      <c r="AQM44" s="172"/>
      <c r="AQN44" s="172"/>
      <c r="AQO44" s="172"/>
      <c r="AQP44" s="172"/>
      <c r="AQQ44" s="172"/>
      <c r="AQR44" s="172"/>
      <c r="AQS44" s="172"/>
      <c r="AQT44" s="172"/>
      <c r="AQU44" s="172"/>
      <c r="AQV44" s="172"/>
      <c r="AQW44" s="172"/>
      <c r="AQX44" s="172"/>
      <c r="AQY44" s="172"/>
      <c r="AQZ44" s="172"/>
      <c r="ARA44" s="172"/>
      <c r="ARB44" s="172"/>
      <c r="ARC44" s="172"/>
      <c r="ARD44" s="172"/>
      <c r="ARE44" s="172"/>
      <c r="ARF44" s="172"/>
      <c r="ARG44" s="172"/>
      <c r="ARH44" s="172"/>
      <c r="ARI44" s="172"/>
      <c r="ARJ44" s="172"/>
      <c r="ARK44" s="172"/>
      <c r="ARL44" s="172"/>
      <c r="ARM44" s="172"/>
      <c r="ARN44" s="172"/>
      <c r="ARO44" s="172"/>
      <c r="ARP44" s="172"/>
      <c r="ARQ44" s="172"/>
      <c r="ARR44" s="172"/>
      <c r="ARS44" s="172"/>
      <c r="ART44" s="172"/>
    </row>
    <row r="45" spans="1:1164">
      <c r="A45" s="222"/>
      <c r="B45" s="257"/>
      <c r="C45" s="1187"/>
      <c r="D45" s="1187"/>
      <c r="E45" s="1187"/>
      <c r="F45" s="1187"/>
      <c r="G45" s="284"/>
      <c r="H45" s="284"/>
      <c r="I45" s="284"/>
      <c r="J45" s="284"/>
      <c r="K45" s="284"/>
      <c r="L45" s="284"/>
      <c r="M45" s="284"/>
      <c r="N45" s="284"/>
      <c r="O45" s="284"/>
      <c r="P45" s="284"/>
      <c r="Q45" s="284"/>
      <c r="R45" s="284"/>
      <c r="S45" s="284"/>
      <c r="T45" s="284"/>
      <c r="U45" s="288"/>
      <c r="V45" s="288"/>
      <c r="W45" s="288"/>
      <c r="X45" s="288"/>
      <c r="Y45" s="288"/>
      <c r="Z45" s="288"/>
      <c r="AA45" s="288"/>
      <c r="AB45" s="288"/>
      <c r="AC45" s="288"/>
      <c r="AD45" s="288"/>
      <c r="AE45" s="284"/>
      <c r="AF45" s="284"/>
      <c r="AG45" s="288"/>
      <c r="AH45" s="288"/>
      <c r="AI45" s="288"/>
      <c r="AJ45" s="288"/>
      <c r="AK45" s="288"/>
      <c r="AL45" s="288"/>
      <c r="AM45" s="288"/>
      <c r="AN45" s="288"/>
      <c r="AO45" s="288"/>
      <c r="AP45" s="288"/>
      <c r="AQ45" s="288"/>
      <c r="AR45" s="288"/>
      <c r="AS45" s="288"/>
      <c r="AT45" s="288"/>
      <c r="AU45" s="288"/>
      <c r="AV45" s="288"/>
      <c r="AW45" s="284"/>
      <c r="AX45" s="284"/>
      <c r="AY45" s="297"/>
      <c r="AZ45" s="297"/>
      <c r="BA45" s="288"/>
      <c r="BB45" s="284"/>
      <c r="BC45" s="284"/>
      <c r="BD45" s="284"/>
      <c r="BE45" s="284"/>
      <c r="BF45" s="284"/>
      <c r="BG45" s="284"/>
      <c r="BH45" s="284"/>
      <c r="BI45" s="288"/>
      <c r="BJ45" s="284"/>
      <c r="BK45" s="284"/>
      <c r="BL45" s="172"/>
      <c r="BM45" s="13"/>
      <c r="BO45" s="231"/>
    </row>
    <row r="46" spans="1:1164">
      <c r="A46" s="204" t="s">
        <v>182</v>
      </c>
      <c r="B46" s="139"/>
      <c r="C46" s="281"/>
      <c r="D46" s="281"/>
      <c r="E46" s="219"/>
      <c r="F46" s="219"/>
      <c r="G46" s="219"/>
      <c r="H46" s="219"/>
      <c r="I46" s="219"/>
      <c r="J46" s="219"/>
      <c r="K46" s="219"/>
      <c r="L46" s="219"/>
      <c r="M46" s="219"/>
      <c r="N46" s="219"/>
      <c r="O46" s="219"/>
      <c r="P46" s="219"/>
      <c r="Q46" s="219"/>
      <c r="R46" s="219"/>
      <c r="S46" s="219"/>
      <c r="T46" s="219"/>
      <c r="U46" s="200"/>
      <c r="V46" s="200"/>
      <c r="W46" s="200"/>
      <c r="X46" s="200"/>
      <c r="Y46" s="200"/>
      <c r="Z46" s="200"/>
      <c r="AA46" s="200"/>
      <c r="AB46" s="200"/>
      <c r="AC46" s="200"/>
      <c r="AD46" s="200"/>
      <c r="AE46" s="219"/>
      <c r="AF46" s="219"/>
      <c r="AG46" s="200"/>
      <c r="AH46" s="200"/>
      <c r="AI46" s="200"/>
      <c r="AJ46" s="200"/>
      <c r="AK46" s="200"/>
      <c r="AL46" s="200"/>
      <c r="AM46" s="200"/>
      <c r="AN46" s="200"/>
      <c r="AO46" s="200"/>
      <c r="AP46" s="200"/>
      <c r="AQ46" s="200"/>
      <c r="AR46" s="200"/>
      <c r="AS46" s="200"/>
      <c r="AT46" s="200"/>
      <c r="AU46" s="200"/>
      <c r="AV46" s="200"/>
      <c r="AW46" s="249"/>
      <c r="AX46" s="249"/>
      <c r="AY46" s="219"/>
      <c r="AZ46" s="248"/>
      <c r="BA46" s="283"/>
      <c r="BB46" s="249"/>
      <c r="BC46" s="249"/>
      <c r="BD46" s="249"/>
      <c r="BE46" s="249"/>
      <c r="BF46" s="249"/>
      <c r="BG46" s="249"/>
      <c r="BH46" s="249"/>
      <c r="BI46" s="283"/>
      <c r="BJ46" s="249"/>
      <c r="BK46" s="249"/>
      <c r="BL46" s="172"/>
      <c r="BM46" s="13"/>
      <c r="BN46" s="231"/>
      <c r="BO46" s="231"/>
    </row>
    <row r="47" spans="1:1164">
      <c r="A47" s="206" t="s">
        <v>183</v>
      </c>
      <c r="B47" s="207" t="s">
        <v>87</v>
      </c>
      <c r="C47" s="208">
        <v>0</v>
      </c>
      <c r="D47" s="208">
        <v>0</v>
      </c>
      <c r="E47" s="208">
        <v>0</v>
      </c>
      <c r="F47" s="208">
        <v>0</v>
      </c>
      <c r="G47" s="208">
        <v>0</v>
      </c>
      <c r="H47" s="208">
        <v>0</v>
      </c>
      <c r="I47" s="208">
        <v>0</v>
      </c>
      <c r="J47" s="208">
        <v>0</v>
      </c>
      <c r="K47" s="219">
        <v>1147</v>
      </c>
      <c r="L47" s="219">
        <v>7003</v>
      </c>
      <c r="M47" s="219">
        <v>0</v>
      </c>
      <c r="N47" s="219">
        <v>0</v>
      </c>
      <c r="O47" s="219">
        <v>0</v>
      </c>
      <c r="P47" s="219">
        <v>0</v>
      </c>
      <c r="Q47" s="219">
        <v>0</v>
      </c>
      <c r="R47" s="219">
        <v>0</v>
      </c>
      <c r="S47" s="219">
        <v>0</v>
      </c>
      <c r="T47" s="219">
        <v>0</v>
      </c>
      <c r="U47" s="219">
        <v>0</v>
      </c>
      <c r="V47" s="219">
        <v>0</v>
      </c>
      <c r="W47" s="219">
        <v>0</v>
      </c>
      <c r="X47" s="219">
        <v>0</v>
      </c>
      <c r="Y47" s="219">
        <v>0</v>
      </c>
      <c r="Z47" s="219">
        <v>0</v>
      </c>
      <c r="AA47" s="219">
        <v>0</v>
      </c>
      <c r="AB47" s="219">
        <v>0</v>
      </c>
      <c r="AC47" s="219">
        <v>0</v>
      </c>
      <c r="AD47" s="219">
        <v>0</v>
      </c>
      <c r="AE47" s="219">
        <v>0</v>
      </c>
      <c r="AF47" s="219">
        <v>0</v>
      </c>
      <c r="AG47" s="219">
        <v>0</v>
      </c>
      <c r="AH47" s="219">
        <v>0</v>
      </c>
      <c r="AI47" s="219">
        <v>0</v>
      </c>
      <c r="AJ47" s="219">
        <v>0</v>
      </c>
      <c r="AK47" s="219">
        <v>0</v>
      </c>
      <c r="AL47" s="219">
        <v>0</v>
      </c>
      <c r="AM47" s="219">
        <v>0</v>
      </c>
      <c r="AN47" s="219">
        <v>0</v>
      </c>
      <c r="AO47" s="219">
        <v>0</v>
      </c>
      <c r="AP47" s="219">
        <v>0</v>
      </c>
      <c r="AQ47" s="219">
        <v>0</v>
      </c>
      <c r="AR47" s="219">
        <v>0</v>
      </c>
      <c r="AS47" s="219">
        <v>0</v>
      </c>
      <c r="AT47" s="219">
        <v>0</v>
      </c>
      <c r="AU47" s="219">
        <v>0</v>
      </c>
      <c r="AV47" s="219">
        <v>0</v>
      </c>
      <c r="AW47" s="219">
        <v>0</v>
      </c>
      <c r="AX47" s="219">
        <v>0</v>
      </c>
      <c r="AY47" s="219">
        <v>0</v>
      </c>
      <c r="AZ47" s="219">
        <v>0</v>
      </c>
      <c r="BA47" s="219"/>
      <c r="BB47" s="219"/>
      <c r="BC47" s="219"/>
      <c r="BD47" s="219"/>
      <c r="BE47" s="219"/>
      <c r="BF47" s="219"/>
      <c r="BG47" s="219"/>
      <c r="BH47" s="219"/>
      <c r="BI47" s="219"/>
      <c r="BJ47" s="219">
        <f t="shared" ref="BJ47:BJ56" si="53">C47+G47+I47+K47+M47+O47+Q47+S47+U47+W47+Y47+AA47+AC47+AE47+AG47+AI47+AK47+AM47+AO47+AQ47+AS47+AU47+AW47+AY47+BB47+BF47</f>
        <v>1147</v>
      </c>
      <c r="BK47" s="208">
        <f t="shared" ref="BK47:BK57" si="54">D47+H47+J47+L47+N47+P47+R47+T47+V47+X47+Z47+AB47+AD47+AF47+AH47+AJ47+AL47+AN47+AP47+AR47+AT47+AV47+AX47+AZ47+BD47+BH47</f>
        <v>7003</v>
      </c>
      <c r="BL47" s="172"/>
      <c r="BM47" s="13"/>
      <c r="BN47" s="231"/>
      <c r="BO47" s="231"/>
    </row>
    <row r="48" spans="1:1164">
      <c r="A48" s="206" t="s">
        <v>184</v>
      </c>
      <c r="B48" s="207" t="s">
        <v>87</v>
      </c>
      <c r="C48" s="208">
        <v>0</v>
      </c>
      <c r="D48" s="208">
        <v>0</v>
      </c>
      <c r="E48" s="208">
        <v>4251</v>
      </c>
      <c r="F48" s="208">
        <f>E48*152.52</f>
        <v>648362.52</v>
      </c>
      <c r="G48" s="208">
        <v>6372</v>
      </c>
      <c r="H48" s="208">
        <f>G48*171.41</f>
        <v>1092224.52</v>
      </c>
      <c r="I48" s="208">
        <v>6602</v>
      </c>
      <c r="J48" s="208">
        <v>1034863</v>
      </c>
      <c r="K48" s="208">
        <v>6202</v>
      </c>
      <c r="L48" s="208">
        <f>K48*137.45</f>
        <v>852464.89999999991</v>
      </c>
      <c r="M48" s="208">
        <v>8424</v>
      </c>
      <c r="N48" s="208">
        <f>M48*151.73</f>
        <v>1278173.52</v>
      </c>
      <c r="O48" s="208">
        <v>7097</v>
      </c>
      <c r="P48" s="208">
        <f>O48*168.02</f>
        <v>1192437.9400000002</v>
      </c>
      <c r="Q48" s="208">
        <v>7098</v>
      </c>
      <c r="R48" s="208">
        <f>Q48*176</f>
        <v>1249248</v>
      </c>
      <c r="S48" s="208">
        <v>10960</v>
      </c>
      <c r="T48" s="208">
        <v>2013960</v>
      </c>
      <c r="U48" s="219">
        <v>27221</v>
      </c>
      <c r="V48" s="219">
        <v>2779727</v>
      </c>
      <c r="W48" s="219">
        <v>35985</v>
      </c>
      <c r="X48" s="219">
        <v>3885665</v>
      </c>
      <c r="Y48" s="219">
        <v>27985</v>
      </c>
      <c r="Z48" s="219">
        <v>5062003</v>
      </c>
      <c r="AA48" s="230">
        <v>17245</v>
      </c>
      <c r="AB48" s="230">
        <v>4617226</v>
      </c>
      <c r="AC48" s="208">
        <v>20697</v>
      </c>
      <c r="AD48" s="208">
        <v>6315851</v>
      </c>
      <c r="AE48" s="208">
        <v>20632</v>
      </c>
      <c r="AF48" s="208">
        <v>6099237</v>
      </c>
      <c r="AG48" s="230">
        <v>19412</v>
      </c>
      <c r="AH48" s="200">
        <v>5642890</v>
      </c>
      <c r="AI48" s="230">
        <v>18159</v>
      </c>
      <c r="AJ48" s="200">
        <v>3804561</v>
      </c>
      <c r="AK48" s="270">
        <v>17173</v>
      </c>
      <c r="AL48" s="270">
        <v>4180355</v>
      </c>
      <c r="AM48" s="273">
        <v>28262</v>
      </c>
      <c r="AN48" s="273">
        <v>4203131</v>
      </c>
      <c r="AO48" s="200">
        <v>15670</v>
      </c>
      <c r="AP48" s="200">
        <v>2882617</v>
      </c>
      <c r="AQ48" s="200">
        <v>10240</v>
      </c>
      <c r="AR48" s="200">
        <v>1069318</v>
      </c>
      <c r="AS48" s="200">
        <v>11860.36</v>
      </c>
      <c r="AT48" s="200">
        <v>1238563</v>
      </c>
      <c r="AU48" s="230">
        <v>13194</v>
      </c>
      <c r="AV48" s="230">
        <v>1377850</v>
      </c>
      <c r="AW48" s="230">
        <v>11926</v>
      </c>
      <c r="AX48" s="230">
        <v>1245433</v>
      </c>
      <c r="AY48" s="219">
        <v>11187</v>
      </c>
      <c r="AZ48" s="219">
        <v>1168258</v>
      </c>
      <c r="BA48" s="283"/>
      <c r="BB48" s="219"/>
      <c r="BC48" s="249"/>
      <c r="BD48" s="219"/>
      <c r="BE48" s="219"/>
      <c r="BF48" s="231"/>
      <c r="BG48" s="231"/>
      <c r="BH48" s="231"/>
      <c r="BI48" s="283"/>
      <c r="BJ48" s="219">
        <f t="shared" si="53"/>
        <v>359603.36</v>
      </c>
      <c r="BK48" s="208">
        <f t="shared" si="54"/>
        <v>64286056.879999995</v>
      </c>
      <c r="BL48" s="172"/>
      <c r="BM48" s="13"/>
      <c r="BN48" s="231"/>
      <c r="BO48" s="231"/>
    </row>
    <row r="49" spans="1:1165">
      <c r="A49" s="206" t="s">
        <v>185</v>
      </c>
      <c r="B49" s="207" t="s">
        <v>87</v>
      </c>
      <c r="C49" s="268">
        <v>15484</v>
      </c>
      <c r="D49" s="268">
        <v>117282</v>
      </c>
      <c r="E49" s="208">
        <v>0</v>
      </c>
      <c r="F49" s="208">
        <v>0</v>
      </c>
      <c r="G49" s="208">
        <v>0</v>
      </c>
      <c r="H49" s="208">
        <v>0</v>
      </c>
      <c r="I49" s="208">
        <v>0</v>
      </c>
      <c r="J49" s="208">
        <v>0</v>
      </c>
      <c r="K49" s="208">
        <v>0</v>
      </c>
      <c r="L49" s="208">
        <v>0</v>
      </c>
      <c r="M49" s="208">
        <v>0</v>
      </c>
      <c r="N49" s="207"/>
      <c r="O49" s="208"/>
      <c r="P49" s="207"/>
      <c r="Q49" s="208">
        <v>0</v>
      </c>
      <c r="R49" s="208">
        <v>0</v>
      </c>
      <c r="S49" s="208">
        <v>0</v>
      </c>
      <c r="T49" s="208">
        <v>0</v>
      </c>
      <c r="U49" s="208">
        <v>0</v>
      </c>
      <c r="V49" s="208">
        <v>0</v>
      </c>
      <c r="W49" s="208">
        <v>0</v>
      </c>
      <c r="X49" s="208">
        <v>0</v>
      </c>
      <c r="Y49" s="208">
        <v>0</v>
      </c>
      <c r="Z49" s="208">
        <v>0</v>
      </c>
      <c r="AA49" s="208">
        <v>0</v>
      </c>
      <c r="AB49" s="208">
        <v>0</v>
      </c>
      <c r="AC49" s="208">
        <v>0</v>
      </c>
      <c r="AD49" s="208">
        <v>0</v>
      </c>
      <c r="AE49" s="208">
        <v>0</v>
      </c>
      <c r="AF49" s="208">
        <v>0</v>
      </c>
      <c r="AG49" s="208">
        <v>0</v>
      </c>
      <c r="AH49" s="208">
        <v>0</v>
      </c>
      <c r="AI49" s="208">
        <v>0</v>
      </c>
      <c r="AJ49" s="208">
        <v>0</v>
      </c>
      <c r="AK49" s="208">
        <v>0</v>
      </c>
      <c r="AL49" s="208">
        <v>0</v>
      </c>
      <c r="AM49" s="208">
        <v>0</v>
      </c>
      <c r="AN49" s="208">
        <v>0</v>
      </c>
      <c r="AO49" s="208">
        <v>0</v>
      </c>
      <c r="AP49" s="208">
        <v>0</v>
      </c>
      <c r="AQ49" s="208">
        <v>0</v>
      </c>
      <c r="AR49" s="208">
        <v>0</v>
      </c>
      <c r="AS49" s="208">
        <v>0</v>
      </c>
      <c r="AT49" s="208">
        <v>0</v>
      </c>
      <c r="AU49" s="219">
        <v>0</v>
      </c>
      <c r="AV49" s="219">
        <v>0</v>
      </c>
      <c r="AW49" s="219">
        <v>0</v>
      </c>
      <c r="AX49" s="219">
        <v>0</v>
      </c>
      <c r="AY49" s="219">
        <v>0</v>
      </c>
      <c r="AZ49" s="219">
        <v>0</v>
      </c>
      <c r="BA49" s="219"/>
      <c r="BB49" s="219"/>
      <c r="BC49" s="219"/>
      <c r="BD49" s="219"/>
      <c r="BE49" s="219"/>
      <c r="BF49" s="219"/>
      <c r="BG49" s="219"/>
      <c r="BH49" s="219"/>
      <c r="BI49" s="219"/>
      <c r="BJ49" s="219">
        <f t="shared" si="53"/>
        <v>15484</v>
      </c>
      <c r="BK49" s="208">
        <f t="shared" si="54"/>
        <v>117282</v>
      </c>
      <c r="BL49" s="172"/>
      <c r="BM49" s="13"/>
      <c r="BO49" s="231"/>
    </row>
    <row r="50" spans="1:1165">
      <c r="A50" s="206" t="s">
        <v>186</v>
      </c>
      <c r="B50" s="207" t="s">
        <v>87</v>
      </c>
      <c r="C50" s="268">
        <v>726030</v>
      </c>
      <c r="D50" s="268">
        <v>1479044</v>
      </c>
      <c r="E50" s="208">
        <v>25328</v>
      </c>
      <c r="F50" s="208">
        <v>63319</v>
      </c>
      <c r="G50" s="208">
        <v>26919</v>
      </c>
      <c r="H50" s="208">
        <v>68046</v>
      </c>
      <c r="I50" s="208">
        <v>25118</v>
      </c>
      <c r="J50" s="208">
        <v>62795</v>
      </c>
      <c r="K50" s="208">
        <v>20082</v>
      </c>
      <c r="L50" s="208">
        <v>50205</v>
      </c>
      <c r="M50" s="208">
        <v>28693</v>
      </c>
      <c r="N50" s="208">
        <v>71734</v>
      </c>
      <c r="O50" s="208">
        <v>22513</v>
      </c>
      <c r="P50" s="208">
        <v>56283</v>
      </c>
      <c r="Q50" s="208">
        <v>23495</v>
      </c>
      <c r="R50" s="208">
        <v>58729</v>
      </c>
      <c r="S50" s="208">
        <v>23217</v>
      </c>
      <c r="T50" s="208">
        <v>58043</v>
      </c>
      <c r="U50" s="219">
        <v>22999</v>
      </c>
      <c r="V50" s="219">
        <v>57499</v>
      </c>
      <c r="W50" s="219">
        <v>23025</v>
      </c>
      <c r="X50" s="219">
        <v>57564</v>
      </c>
      <c r="Y50" s="219">
        <v>11020</v>
      </c>
      <c r="Z50" s="219">
        <v>27550</v>
      </c>
      <c r="AA50" s="230">
        <v>32795</v>
      </c>
      <c r="AB50" s="230">
        <v>234039</v>
      </c>
      <c r="AC50" s="208">
        <v>6970</v>
      </c>
      <c r="AD50" s="208">
        <v>74168</v>
      </c>
      <c r="AE50" s="208">
        <v>0</v>
      </c>
      <c r="AF50" s="208">
        <v>0</v>
      </c>
      <c r="AG50" s="208">
        <v>0</v>
      </c>
      <c r="AH50" s="208">
        <v>0</v>
      </c>
      <c r="AI50" s="208">
        <v>0</v>
      </c>
      <c r="AJ50" s="208">
        <v>0</v>
      </c>
      <c r="AK50" s="139">
        <v>0</v>
      </c>
      <c r="AL50" s="139">
        <v>0</v>
      </c>
      <c r="AM50" s="208">
        <v>0</v>
      </c>
      <c r="AN50" s="208">
        <v>0</v>
      </c>
      <c r="AO50" s="208">
        <v>0</v>
      </c>
      <c r="AP50" s="208">
        <v>0</v>
      </c>
      <c r="AQ50" s="208">
        <v>0</v>
      </c>
      <c r="AR50" s="208">
        <v>0</v>
      </c>
      <c r="AS50" s="208">
        <v>0</v>
      </c>
      <c r="AT50" s="208">
        <v>0</v>
      </c>
      <c r="AU50" s="219">
        <v>0</v>
      </c>
      <c r="AV50" s="219">
        <v>0</v>
      </c>
      <c r="AW50" s="219">
        <v>0</v>
      </c>
      <c r="AX50" s="219">
        <v>0</v>
      </c>
      <c r="AY50" s="219">
        <v>0</v>
      </c>
      <c r="AZ50" s="219">
        <v>0</v>
      </c>
      <c r="BA50" s="219"/>
      <c r="BB50" s="219"/>
      <c r="BC50" s="219"/>
      <c r="BD50" s="219"/>
      <c r="BE50" s="219"/>
      <c r="BF50" s="219"/>
      <c r="BG50" s="219"/>
      <c r="BH50" s="219"/>
      <c r="BI50" s="219"/>
      <c r="BJ50" s="219">
        <f t="shared" si="53"/>
        <v>992876</v>
      </c>
      <c r="BK50" s="208">
        <f t="shared" si="54"/>
        <v>2355699</v>
      </c>
      <c r="BL50" s="172"/>
      <c r="BM50" s="13"/>
      <c r="BN50" s="231"/>
      <c r="BO50" s="231"/>
    </row>
    <row r="51" spans="1:1165">
      <c r="A51" s="206" t="s">
        <v>187</v>
      </c>
      <c r="B51" s="207" t="s">
        <v>87</v>
      </c>
      <c r="C51" s="208">
        <v>0</v>
      </c>
      <c r="D51" s="208">
        <v>0</v>
      </c>
      <c r="E51" s="208">
        <v>0</v>
      </c>
      <c r="F51" s="208">
        <v>0</v>
      </c>
      <c r="G51" s="208">
        <v>0</v>
      </c>
      <c r="H51" s="208">
        <v>0</v>
      </c>
      <c r="I51" s="208">
        <v>0</v>
      </c>
      <c r="J51" s="208">
        <v>0</v>
      </c>
      <c r="K51" s="208">
        <v>0</v>
      </c>
      <c r="L51" s="208">
        <v>0</v>
      </c>
      <c r="M51" s="208">
        <v>0</v>
      </c>
      <c r="N51" s="208">
        <v>0</v>
      </c>
      <c r="O51" s="208">
        <v>0</v>
      </c>
      <c r="P51" s="208">
        <v>0</v>
      </c>
      <c r="Q51" s="208">
        <v>0</v>
      </c>
      <c r="R51" s="208">
        <v>0</v>
      </c>
      <c r="S51" s="208">
        <v>0</v>
      </c>
      <c r="T51" s="208">
        <v>0</v>
      </c>
      <c r="U51" s="208">
        <v>383</v>
      </c>
      <c r="V51" s="208">
        <v>765</v>
      </c>
      <c r="W51" s="219">
        <v>0</v>
      </c>
      <c r="X51" s="219">
        <v>0</v>
      </c>
      <c r="Y51" s="208">
        <v>0</v>
      </c>
      <c r="Z51" s="208">
        <v>0</v>
      </c>
      <c r="AA51" s="208">
        <v>0</v>
      </c>
      <c r="AB51" s="208">
        <v>0</v>
      </c>
      <c r="AC51" s="208">
        <v>0</v>
      </c>
      <c r="AD51" s="208">
        <v>0</v>
      </c>
      <c r="AE51" s="230">
        <v>0</v>
      </c>
      <c r="AF51" s="200">
        <v>0</v>
      </c>
      <c r="AG51" s="230">
        <v>74351</v>
      </c>
      <c r="AH51" s="200">
        <v>892825</v>
      </c>
      <c r="AI51" s="230">
        <v>19634</v>
      </c>
      <c r="AJ51" s="200">
        <v>240248</v>
      </c>
      <c r="AK51" s="270">
        <v>14559</v>
      </c>
      <c r="AL51" s="270">
        <v>179079</v>
      </c>
      <c r="AM51" s="273">
        <v>45530</v>
      </c>
      <c r="AN51" s="273">
        <v>663502</v>
      </c>
      <c r="AO51" s="200">
        <v>5541</v>
      </c>
      <c r="AP51" s="200">
        <v>55410</v>
      </c>
      <c r="AQ51" s="200">
        <v>26615</v>
      </c>
      <c r="AR51" s="200">
        <v>266150</v>
      </c>
      <c r="AS51" s="200">
        <v>18785</v>
      </c>
      <c r="AT51" s="200">
        <v>187850</v>
      </c>
      <c r="AU51" s="230">
        <v>7194</v>
      </c>
      <c r="AV51" s="230">
        <v>71940</v>
      </c>
      <c r="AW51" s="230">
        <v>18517</v>
      </c>
      <c r="AX51" s="230">
        <v>185170</v>
      </c>
      <c r="AY51" s="219">
        <v>10825</v>
      </c>
      <c r="AZ51" s="219">
        <v>96912</v>
      </c>
      <c r="BA51" s="200"/>
      <c r="BB51" s="219"/>
      <c r="BC51" s="219"/>
      <c r="BD51" s="219"/>
      <c r="BE51" s="219"/>
      <c r="BF51" s="231"/>
      <c r="BG51" s="231"/>
      <c r="BH51" s="231"/>
      <c r="BI51" s="200"/>
      <c r="BJ51" s="219">
        <f t="shared" si="53"/>
        <v>241934</v>
      </c>
      <c r="BK51" s="208">
        <f t="shared" si="54"/>
        <v>2839851</v>
      </c>
      <c r="BL51" s="172"/>
      <c r="BM51" s="13"/>
      <c r="BN51" s="231"/>
      <c r="BO51" s="231"/>
    </row>
    <row r="52" spans="1:1165">
      <c r="A52" s="206" t="s">
        <v>188</v>
      </c>
      <c r="B52" s="207" t="s">
        <v>87</v>
      </c>
      <c r="C52" s="268">
        <f>3289694+1373449</f>
        <v>4663143</v>
      </c>
      <c r="D52" s="268">
        <f>2397929+1888074</f>
        <v>4286003</v>
      </c>
      <c r="E52" s="208">
        <v>364608</v>
      </c>
      <c r="F52" s="208">
        <v>146990</v>
      </c>
      <c r="G52" s="208">
        <f>174432+4347</f>
        <v>178779</v>
      </c>
      <c r="H52" s="208">
        <f>45723+8694</f>
        <v>54417</v>
      </c>
      <c r="I52" s="208">
        <f>215504+938</f>
        <v>216442</v>
      </c>
      <c r="J52" s="208">
        <f>258607+1876</f>
        <v>260483</v>
      </c>
      <c r="K52" s="208">
        <f>151644+910</f>
        <v>152554</v>
      </c>
      <c r="L52" s="208">
        <f>181971+1820</f>
        <v>183791</v>
      </c>
      <c r="M52" s="208">
        <v>221770</v>
      </c>
      <c r="N52" s="208">
        <v>226326</v>
      </c>
      <c r="O52" s="208">
        <v>256693</v>
      </c>
      <c r="P52" s="208">
        <v>309181</v>
      </c>
      <c r="Q52" s="208">
        <v>203597</v>
      </c>
      <c r="R52" s="208">
        <v>244317</v>
      </c>
      <c r="S52" s="208">
        <v>208631</v>
      </c>
      <c r="T52" s="208">
        <v>252009</v>
      </c>
      <c r="U52" s="219">
        <v>214533</v>
      </c>
      <c r="V52" s="219">
        <v>409289</v>
      </c>
      <c r="W52" s="219">
        <v>119778</v>
      </c>
      <c r="X52" s="219">
        <v>143973</v>
      </c>
      <c r="Y52" s="219">
        <v>234367</v>
      </c>
      <c r="Z52" s="219">
        <v>457335</v>
      </c>
      <c r="AA52" s="230">
        <v>0</v>
      </c>
      <c r="AB52" s="230">
        <v>0</v>
      </c>
      <c r="AC52" s="208">
        <v>65083</v>
      </c>
      <c r="AD52" s="208">
        <v>7810</v>
      </c>
      <c r="AE52" s="208">
        <v>43813</v>
      </c>
      <c r="AF52" s="208">
        <v>52576</v>
      </c>
      <c r="AG52" s="230">
        <v>10812</v>
      </c>
      <c r="AH52" s="200">
        <v>12975</v>
      </c>
      <c r="AI52" s="230">
        <v>67802</v>
      </c>
      <c r="AJ52" s="200">
        <v>81363</v>
      </c>
      <c r="AK52" s="270">
        <v>116850</v>
      </c>
      <c r="AL52" s="270">
        <v>245820</v>
      </c>
      <c r="AM52" s="273">
        <v>84688</v>
      </c>
      <c r="AN52" s="273">
        <v>101626</v>
      </c>
      <c r="AO52" s="200">
        <v>56663</v>
      </c>
      <c r="AP52" s="200">
        <v>67995</v>
      </c>
      <c r="AQ52" s="200">
        <v>72059</v>
      </c>
      <c r="AR52" s="200">
        <v>86471</v>
      </c>
      <c r="AS52" s="200">
        <v>107761</v>
      </c>
      <c r="AT52" s="200">
        <v>186574</v>
      </c>
      <c r="AU52" s="230">
        <v>29371</v>
      </c>
      <c r="AV52" s="230">
        <v>56215</v>
      </c>
      <c r="AW52" s="230">
        <v>2470</v>
      </c>
      <c r="AX52" s="230">
        <v>55104</v>
      </c>
      <c r="AY52" s="219">
        <v>16113</v>
      </c>
      <c r="AZ52" s="219">
        <v>254745</v>
      </c>
      <c r="BA52" s="283"/>
      <c r="BB52" s="219"/>
      <c r="BC52" s="249"/>
      <c r="BD52" s="219"/>
      <c r="BE52" s="219"/>
      <c r="BF52" s="231"/>
      <c r="BG52" s="231"/>
      <c r="BH52" s="231"/>
      <c r="BI52" s="283"/>
      <c r="BJ52" s="219">
        <f t="shared" si="53"/>
        <v>7343772</v>
      </c>
      <c r="BK52" s="208">
        <f t="shared" si="54"/>
        <v>8036398</v>
      </c>
      <c r="BL52" s="172"/>
      <c r="BM52" s="13"/>
      <c r="BO52" s="231"/>
    </row>
    <row r="53" spans="1:1165">
      <c r="A53" s="206" t="s">
        <v>189</v>
      </c>
      <c r="B53" s="207" t="s">
        <v>87</v>
      </c>
      <c r="C53" s="268">
        <v>21941</v>
      </c>
      <c r="D53" s="268">
        <v>389352</v>
      </c>
      <c r="E53" s="208">
        <v>0</v>
      </c>
      <c r="F53" s="208">
        <v>0</v>
      </c>
      <c r="G53" s="208">
        <v>0</v>
      </c>
      <c r="H53" s="208">
        <v>0</v>
      </c>
      <c r="I53" s="208">
        <v>0</v>
      </c>
      <c r="J53" s="208">
        <v>0</v>
      </c>
      <c r="K53" s="208">
        <v>0</v>
      </c>
      <c r="L53" s="208">
        <v>0</v>
      </c>
      <c r="M53" s="208">
        <v>0</v>
      </c>
      <c r="N53" s="208">
        <v>0</v>
      </c>
      <c r="O53" s="208">
        <v>0</v>
      </c>
      <c r="P53" s="208">
        <v>0</v>
      </c>
      <c r="Q53" s="208">
        <v>0</v>
      </c>
      <c r="R53" s="208">
        <v>0</v>
      </c>
      <c r="S53" s="208">
        <v>0</v>
      </c>
      <c r="T53" s="208">
        <v>0</v>
      </c>
      <c r="U53" s="208">
        <v>0</v>
      </c>
      <c r="V53" s="208">
        <v>0</v>
      </c>
      <c r="W53" s="208">
        <v>0</v>
      </c>
      <c r="X53" s="208">
        <v>0</v>
      </c>
      <c r="Y53" s="208">
        <v>0</v>
      </c>
      <c r="Z53" s="208">
        <v>0</v>
      </c>
      <c r="AA53" s="208">
        <v>0</v>
      </c>
      <c r="AB53" s="208">
        <v>0</v>
      </c>
      <c r="AC53" s="208">
        <v>0</v>
      </c>
      <c r="AD53" s="208">
        <v>0</v>
      </c>
      <c r="AE53" s="208">
        <v>0</v>
      </c>
      <c r="AF53" s="208">
        <v>0</v>
      </c>
      <c r="AG53" s="208">
        <v>0</v>
      </c>
      <c r="AH53" s="208">
        <v>0</v>
      </c>
      <c r="AI53" s="208">
        <v>0</v>
      </c>
      <c r="AJ53" s="208">
        <v>0</v>
      </c>
      <c r="AK53" s="208">
        <v>0</v>
      </c>
      <c r="AL53" s="208">
        <v>0</v>
      </c>
      <c r="AM53" s="208">
        <v>0</v>
      </c>
      <c r="AN53" s="208">
        <v>0</v>
      </c>
      <c r="AO53" s="208">
        <v>0</v>
      </c>
      <c r="AP53" s="208">
        <v>0</v>
      </c>
      <c r="AQ53" s="208">
        <v>0</v>
      </c>
      <c r="AR53" s="208">
        <v>0</v>
      </c>
      <c r="AS53" s="208">
        <v>0</v>
      </c>
      <c r="AT53" s="208">
        <v>0</v>
      </c>
      <c r="AU53" s="219">
        <v>0</v>
      </c>
      <c r="AV53" s="219">
        <v>0</v>
      </c>
      <c r="AW53" s="219">
        <v>0</v>
      </c>
      <c r="AX53" s="219">
        <v>0</v>
      </c>
      <c r="AY53" s="219">
        <v>0</v>
      </c>
      <c r="AZ53" s="219">
        <v>0</v>
      </c>
      <c r="BA53" s="219"/>
      <c r="BB53" s="219"/>
      <c r="BC53" s="219"/>
      <c r="BD53" s="219"/>
      <c r="BE53" s="219"/>
      <c r="BF53" s="219"/>
      <c r="BG53" s="219"/>
      <c r="BH53" s="219"/>
      <c r="BI53" s="219"/>
      <c r="BJ53" s="219">
        <f t="shared" si="53"/>
        <v>21941</v>
      </c>
      <c r="BK53" s="208">
        <f t="shared" si="54"/>
        <v>389352</v>
      </c>
      <c r="BL53" s="172"/>
      <c r="BM53" s="13"/>
      <c r="BO53" s="231"/>
    </row>
    <row r="54" spans="1:1165">
      <c r="A54" s="206" t="s">
        <v>190</v>
      </c>
      <c r="B54" s="207" t="s">
        <v>87</v>
      </c>
      <c r="C54" s="268">
        <v>10695</v>
      </c>
      <c r="D54" s="268">
        <v>53687</v>
      </c>
      <c r="E54" s="208">
        <v>163</v>
      </c>
      <c r="F54" s="208">
        <v>978</v>
      </c>
      <c r="G54" s="208">
        <v>440</v>
      </c>
      <c r="H54" s="208">
        <v>2639</v>
      </c>
      <c r="I54" s="208">
        <v>235</v>
      </c>
      <c r="J54" s="208">
        <v>1412</v>
      </c>
      <c r="K54" s="208">
        <v>169</v>
      </c>
      <c r="L54" s="208">
        <v>1014</v>
      </c>
      <c r="M54" s="208">
        <v>85</v>
      </c>
      <c r="N54" s="208">
        <v>3199</v>
      </c>
      <c r="O54" s="208">
        <v>2685</v>
      </c>
      <c r="P54" s="208">
        <v>85148</v>
      </c>
      <c r="Q54" s="208">
        <v>3540</v>
      </c>
      <c r="R54" s="208">
        <v>131580</v>
      </c>
      <c r="S54" s="208">
        <v>7460</v>
      </c>
      <c r="T54" s="208">
        <v>241564</v>
      </c>
      <c r="U54" s="219">
        <v>3891</v>
      </c>
      <c r="V54" s="219">
        <v>197740</v>
      </c>
      <c r="W54" s="219">
        <v>0</v>
      </c>
      <c r="X54" s="219">
        <v>0</v>
      </c>
      <c r="Y54" s="219">
        <v>7701</v>
      </c>
      <c r="Z54" s="219">
        <v>472291</v>
      </c>
      <c r="AA54" s="208">
        <v>3100</v>
      </c>
      <c r="AB54" s="208">
        <v>204400</v>
      </c>
      <c r="AC54" s="208">
        <v>2692</v>
      </c>
      <c r="AD54" s="208">
        <v>172726</v>
      </c>
      <c r="AE54" s="208">
        <v>3611</v>
      </c>
      <c r="AF54" s="208">
        <v>248699</v>
      </c>
      <c r="AG54" s="230">
        <v>4211</v>
      </c>
      <c r="AH54" s="200">
        <v>227451</v>
      </c>
      <c r="AI54" s="230">
        <v>3297</v>
      </c>
      <c r="AJ54" s="200">
        <v>170422</v>
      </c>
      <c r="AK54" s="270">
        <v>440</v>
      </c>
      <c r="AL54" s="270">
        <v>61527</v>
      </c>
      <c r="AM54" s="273">
        <v>3307</v>
      </c>
      <c r="AN54" s="273">
        <v>215618</v>
      </c>
      <c r="AO54" s="200">
        <v>352</v>
      </c>
      <c r="AP54" s="200">
        <v>41571</v>
      </c>
      <c r="AQ54" s="200">
        <v>1708</v>
      </c>
      <c r="AR54" s="200">
        <v>203314</v>
      </c>
      <c r="AS54" s="200">
        <v>2434</v>
      </c>
      <c r="AT54" s="200">
        <v>203198</v>
      </c>
      <c r="AU54" s="230">
        <v>480</v>
      </c>
      <c r="AV54" s="230">
        <v>50618</v>
      </c>
      <c r="AW54" s="230">
        <v>377</v>
      </c>
      <c r="AX54" s="230">
        <v>36155</v>
      </c>
      <c r="AY54" s="219">
        <v>1891</v>
      </c>
      <c r="AZ54" s="219">
        <v>158266</v>
      </c>
      <c r="BA54" s="283"/>
      <c r="BB54" s="219"/>
      <c r="BC54" s="200"/>
      <c r="BD54" s="219"/>
      <c r="BE54" s="200"/>
      <c r="BF54" s="231"/>
      <c r="BG54" s="200"/>
      <c r="BH54" s="231"/>
      <c r="BI54" s="200"/>
      <c r="BJ54" s="219">
        <f t="shared" si="53"/>
        <v>64801</v>
      </c>
      <c r="BK54" s="208">
        <f t="shared" si="54"/>
        <v>3184239</v>
      </c>
      <c r="BL54" s="172"/>
      <c r="BM54" s="13"/>
      <c r="BO54" s="231"/>
    </row>
    <row r="55" spans="1:1165">
      <c r="A55" s="206" t="s">
        <v>191</v>
      </c>
      <c r="B55" s="207" t="s">
        <v>87</v>
      </c>
      <c r="C55" s="208">
        <v>0</v>
      </c>
      <c r="D55" s="208">
        <v>0</v>
      </c>
      <c r="E55" s="208">
        <v>0</v>
      </c>
      <c r="F55" s="208">
        <v>0</v>
      </c>
      <c r="G55" s="208">
        <v>0</v>
      </c>
      <c r="H55" s="208">
        <v>0</v>
      </c>
      <c r="I55" s="208">
        <v>0</v>
      </c>
      <c r="J55" s="208">
        <v>0</v>
      </c>
      <c r="K55" s="208">
        <v>0</v>
      </c>
      <c r="L55" s="208">
        <v>0</v>
      </c>
      <c r="M55" s="208">
        <v>0</v>
      </c>
      <c r="N55" s="208">
        <v>0</v>
      </c>
      <c r="O55" s="208">
        <v>0</v>
      </c>
      <c r="P55" s="208">
        <v>0</v>
      </c>
      <c r="Q55" s="208">
        <v>0</v>
      </c>
      <c r="R55" s="208">
        <v>0</v>
      </c>
      <c r="S55" s="208">
        <v>0</v>
      </c>
      <c r="T55" s="208">
        <v>0</v>
      </c>
      <c r="U55" s="208">
        <v>0</v>
      </c>
      <c r="V55" s="208">
        <v>0</v>
      </c>
      <c r="W55" s="208">
        <v>0</v>
      </c>
      <c r="X55" s="208">
        <v>0</v>
      </c>
      <c r="Y55" s="208">
        <v>0</v>
      </c>
      <c r="Z55" s="208">
        <v>0</v>
      </c>
      <c r="AA55" s="208">
        <v>0</v>
      </c>
      <c r="AB55" s="208">
        <v>0</v>
      </c>
      <c r="AC55" s="208">
        <v>0</v>
      </c>
      <c r="AD55" s="208">
        <v>0</v>
      </c>
      <c r="AE55" s="230">
        <v>0</v>
      </c>
      <c r="AF55" s="200">
        <v>0</v>
      </c>
      <c r="AG55" s="230">
        <v>0</v>
      </c>
      <c r="AH55" s="200">
        <v>0</v>
      </c>
      <c r="AI55" s="230">
        <v>0</v>
      </c>
      <c r="AJ55" s="200">
        <v>0</v>
      </c>
      <c r="AK55" s="139">
        <v>0</v>
      </c>
      <c r="AL55" s="139">
        <v>0</v>
      </c>
      <c r="AM55" s="200">
        <v>0</v>
      </c>
      <c r="AN55" s="200">
        <v>0</v>
      </c>
      <c r="AO55" s="200">
        <v>0</v>
      </c>
      <c r="AP55" s="200">
        <v>0</v>
      </c>
      <c r="AQ55" s="200">
        <v>0</v>
      </c>
      <c r="AR55" s="200">
        <v>0</v>
      </c>
      <c r="AS55" s="200">
        <v>729.37</v>
      </c>
      <c r="AT55" s="200">
        <v>49004</v>
      </c>
      <c r="AU55" s="230">
        <v>1659</v>
      </c>
      <c r="AV55" s="230">
        <v>125641</v>
      </c>
      <c r="AW55" s="230">
        <v>1191</v>
      </c>
      <c r="AX55" s="230">
        <v>75940</v>
      </c>
      <c r="AY55" s="219">
        <v>577.38</v>
      </c>
      <c r="AZ55" s="219">
        <v>49749</v>
      </c>
      <c r="BA55" s="232"/>
      <c r="BB55" s="279"/>
      <c r="BC55" s="279"/>
      <c r="BD55" s="279"/>
      <c r="BE55" s="279"/>
      <c r="BF55" s="231"/>
      <c r="BG55" s="231"/>
      <c r="BH55" s="231"/>
      <c r="BI55" s="232"/>
      <c r="BJ55" s="219">
        <f t="shared" si="53"/>
        <v>4156.75</v>
      </c>
      <c r="BK55" s="208">
        <f t="shared" si="54"/>
        <v>300334</v>
      </c>
      <c r="BL55" s="172"/>
      <c r="BM55" s="13"/>
      <c r="BO55" s="231"/>
    </row>
    <row r="56" spans="1:1165">
      <c r="A56" s="206" t="s">
        <v>192</v>
      </c>
      <c r="B56" s="207" t="s">
        <v>87</v>
      </c>
      <c r="C56" s="268">
        <v>34436</v>
      </c>
      <c r="D56" s="268">
        <v>252771</v>
      </c>
      <c r="E56" s="208">
        <v>1131</v>
      </c>
      <c r="F56" s="208">
        <v>11094</v>
      </c>
      <c r="G56" s="208">
        <f>946+68046</f>
        <v>68992</v>
      </c>
      <c r="H56" s="208">
        <f>11952+68046</f>
        <v>79998</v>
      </c>
      <c r="I56" s="208">
        <v>1176</v>
      </c>
      <c r="J56" s="208">
        <v>12750</v>
      </c>
      <c r="K56" s="208">
        <f>994+44766</f>
        <v>45760</v>
      </c>
      <c r="L56" s="208">
        <f>11500+134298</f>
        <v>145798</v>
      </c>
      <c r="M56" s="208">
        <v>53134</v>
      </c>
      <c r="N56" s="208">
        <v>157932</v>
      </c>
      <c r="O56" s="208">
        <v>846</v>
      </c>
      <c r="P56" s="208">
        <v>8936</v>
      </c>
      <c r="Q56" s="208">
        <v>126053</v>
      </c>
      <c r="R56" s="208">
        <v>363382</v>
      </c>
      <c r="S56" s="208">
        <v>72176</v>
      </c>
      <c r="T56" s="208">
        <v>209528</v>
      </c>
      <c r="U56" s="219">
        <v>1697</v>
      </c>
      <c r="V56" s="219">
        <v>20364</v>
      </c>
      <c r="W56" s="219">
        <v>1709</v>
      </c>
      <c r="X56" s="219">
        <v>20503</v>
      </c>
      <c r="Y56" s="219">
        <v>171401</v>
      </c>
      <c r="Z56" s="219">
        <v>1853010</v>
      </c>
      <c r="AA56" s="230">
        <v>14611</v>
      </c>
      <c r="AB56" s="230">
        <v>160718</v>
      </c>
      <c r="AC56" s="208">
        <v>22575</v>
      </c>
      <c r="AD56" s="208">
        <v>225745</v>
      </c>
      <c r="AE56" s="208">
        <v>22984</v>
      </c>
      <c r="AF56" s="208">
        <v>249946</v>
      </c>
      <c r="AG56" s="230">
        <v>67077</v>
      </c>
      <c r="AH56" s="200">
        <v>656898</v>
      </c>
      <c r="AI56" s="230">
        <v>38596</v>
      </c>
      <c r="AJ56" s="200">
        <v>385960</v>
      </c>
      <c r="AK56" s="270">
        <v>13003</v>
      </c>
      <c r="AL56" s="270">
        <v>130030</v>
      </c>
      <c r="AM56" s="273">
        <v>2360</v>
      </c>
      <c r="AN56" s="273">
        <v>14160</v>
      </c>
      <c r="AO56" s="200">
        <v>0</v>
      </c>
      <c r="AP56" s="200">
        <v>0</v>
      </c>
      <c r="AQ56" s="200">
        <v>0</v>
      </c>
      <c r="AR56" s="200">
        <v>0</v>
      </c>
      <c r="AS56" s="200">
        <v>0</v>
      </c>
      <c r="AT56" s="200">
        <v>0</v>
      </c>
      <c r="AU56" s="219">
        <v>0</v>
      </c>
      <c r="AV56" s="219">
        <v>0</v>
      </c>
      <c r="AW56" s="219">
        <v>0</v>
      </c>
      <c r="AX56" s="219">
        <v>0</v>
      </c>
      <c r="AY56" s="219">
        <v>0</v>
      </c>
      <c r="AZ56" s="219">
        <v>0</v>
      </c>
      <c r="BA56" s="219"/>
      <c r="BB56" s="219"/>
      <c r="BC56" s="219"/>
      <c r="BD56" s="219"/>
      <c r="BE56" s="219"/>
      <c r="BF56" s="219"/>
      <c r="BG56" s="219"/>
      <c r="BH56" s="219"/>
      <c r="BI56" s="219"/>
      <c r="BJ56" s="219">
        <f t="shared" si="53"/>
        <v>758586</v>
      </c>
      <c r="BK56" s="208">
        <f t="shared" si="54"/>
        <v>4948429</v>
      </c>
      <c r="BL56" s="172"/>
      <c r="BM56" s="13"/>
      <c r="BO56" s="231"/>
    </row>
    <row r="57" spans="1:1165">
      <c r="A57" s="209" t="s">
        <v>193</v>
      </c>
      <c r="B57" s="139"/>
      <c r="C57" s="281"/>
      <c r="D57" s="281">
        <f>SUM(D47:D56)</f>
        <v>6578139</v>
      </c>
      <c r="E57" s="219"/>
      <c r="F57" s="219">
        <f>SUM(F47:F56)</f>
        <v>870743.52</v>
      </c>
      <c r="G57" s="219"/>
      <c r="H57" s="219">
        <f>SUM(H47:H56)</f>
        <v>1297324.52</v>
      </c>
      <c r="I57" s="219"/>
      <c r="J57" s="219">
        <f>SUM(J47:J56)</f>
        <v>1372303</v>
      </c>
      <c r="K57" s="219"/>
      <c r="L57" s="219">
        <f>SUM(L47:L56)</f>
        <v>1240275.8999999999</v>
      </c>
      <c r="M57" s="219"/>
      <c r="N57" s="219">
        <f>SUM(N48:N56)</f>
        <v>1737364.52</v>
      </c>
      <c r="O57" s="219"/>
      <c r="P57" s="219">
        <f>SUM(P47:P56)</f>
        <v>1651985.9400000002</v>
      </c>
      <c r="Q57" s="219"/>
      <c r="R57" s="219">
        <f>SUM(R47:R56)</f>
        <v>2047256</v>
      </c>
      <c r="S57" s="219"/>
      <c r="T57" s="219">
        <f>SUM(T47:T56)</f>
        <v>2775104</v>
      </c>
      <c r="U57" s="219"/>
      <c r="V57" s="219">
        <f>SUM(V47:V56)</f>
        <v>3465384</v>
      </c>
      <c r="W57" s="219"/>
      <c r="X57" s="219">
        <f>SUM(X47:X56)</f>
        <v>4107705</v>
      </c>
      <c r="Y57" s="219"/>
      <c r="Z57" s="219">
        <f>SUM(Z47:Z56)</f>
        <v>7872189</v>
      </c>
      <c r="AA57" s="219"/>
      <c r="AB57" s="219">
        <f>SUM(AB47:AB56)</f>
        <v>5216383</v>
      </c>
      <c r="AC57" s="219"/>
      <c r="AD57" s="219">
        <f>SUM(AD47:AD56)</f>
        <v>6796300</v>
      </c>
      <c r="AE57" s="219"/>
      <c r="AF57" s="219">
        <f>SUM(AF47:AF56)</f>
        <v>6650458</v>
      </c>
      <c r="AG57" s="219"/>
      <c r="AH57" s="219">
        <f>SUM(AH47:AH56)</f>
        <v>7433039</v>
      </c>
      <c r="AI57" s="219"/>
      <c r="AJ57" s="219">
        <f>SUM(AJ47:AJ56)</f>
        <v>4682554</v>
      </c>
      <c r="AK57" s="270"/>
      <c r="AL57" s="270">
        <v>4796811</v>
      </c>
      <c r="AM57" s="272"/>
      <c r="AN57" s="273">
        <f>SUM(AN47:AN56)</f>
        <v>5198037</v>
      </c>
      <c r="AO57" s="219"/>
      <c r="AP57" s="219">
        <f>SUM(AP47:AP56)</f>
        <v>3047593</v>
      </c>
      <c r="AQ57" s="219"/>
      <c r="AR57" s="219">
        <f>SUM(AR47:AR56)</f>
        <v>1625253</v>
      </c>
      <c r="AS57" s="219"/>
      <c r="AT57" s="219">
        <f>SUM(AT47:AT56)</f>
        <v>1865189</v>
      </c>
      <c r="AU57" s="219"/>
      <c r="AV57" s="219">
        <f>SUM(AV47:AV56)</f>
        <v>1682264</v>
      </c>
      <c r="AW57" s="219"/>
      <c r="AX57" s="230">
        <f>SUM(AX47:AX56)</f>
        <v>1597802</v>
      </c>
      <c r="AY57" s="277"/>
      <c r="AZ57" s="219">
        <f>SUM(AZ47:AZ56)</f>
        <v>1727930</v>
      </c>
      <c r="BA57" s="277"/>
      <c r="BB57" s="279"/>
      <c r="BC57" s="279"/>
      <c r="BD57" s="279"/>
      <c r="BE57" s="279"/>
      <c r="BF57" s="279"/>
      <c r="BG57" s="279"/>
      <c r="BH57" s="231"/>
      <c r="BI57" s="200"/>
      <c r="BJ57" s="279"/>
      <c r="BK57" s="208">
        <f t="shared" si="54"/>
        <v>86464643.879999995</v>
      </c>
      <c r="BL57" s="172"/>
      <c r="BM57" s="13"/>
      <c r="BO57" s="231"/>
    </row>
    <row r="58" spans="1:1165">
      <c r="A58" s="212"/>
      <c r="B58" s="139"/>
      <c r="C58" s="281"/>
      <c r="D58" s="281"/>
      <c r="E58" s="219"/>
      <c r="F58" s="219"/>
      <c r="G58" s="219"/>
      <c r="H58" s="219"/>
      <c r="I58" s="219"/>
      <c r="J58" s="219"/>
      <c r="K58" s="219"/>
      <c r="L58" s="219"/>
      <c r="M58" s="219"/>
      <c r="N58" s="219"/>
      <c r="O58" s="219"/>
      <c r="P58" s="219"/>
      <c r="Q58" s="219"/>
      <c r="R58" s="219"/>
      <c r="S58" s="219"/>
      <c r="T58" s="219"/>
      <c r="U58" s="200"/>
      <c r="V58" s="200"/>
      <c r="W58" s="200"/>
      <c r="X58" s="200"/>
      <c r="Y58" s="269"/>
      <c r="Z58" s="269"/>
      <c r="AA58" s="230"/>
      <c r="AB58" s="230"/>
      <c r="AC58" s="219"/>
      <c r="AD58" s="219"/>
      <c r="AE58" s="219"/>
      <c r="AF58" s="219"/>
      <c r="AG58" s="200"/>
      <c r="AH58" s="230"/>
      <c r="AI58" s="200"/>
      <c r="AJ58" s="230"/>
      <c r="AK58" s="200"/>
      <c r="AL58" s="230"/>
      <c r="AM58" s="200"/>
      <c r="AN58" s="200"/>
      <c r="AO58" s="200"/>
      <c r="AP58" s="200"/>
      <c r="AQ58" s="200"/>
      <c r="AR58" s="200"/>
      <c r="AS58" s="200"/>
      <c r="AT58" s="200"/>
      <c r="AU58" s="200"/>
      <c r="AV58" s="230"/>
      <c r="AW58" s="249"/>
      <c r="AX58" s="249"/>
      <c r="AY58" s="248"/>
      <c r="AZ58" s="248"/>
      <c r="BA58" s="283"/>
      <c r="BB58" s="249"/>
      <c r="BC58" s="249"/>
      <c r="BD58" s="249"/>
      <c r="BE58" s="249"/>
      <c r="BF58" s="249"/>
      <c r="BG58" s="249"/>
      <c r="BH58" s="249"/>
      <c r="BI58" s="283"/>
      <c r="BJ58" s="249"/>
      <c r="BK58" s="249"/>
      <c r="BL58" s="172"/>
      <c r="BM58" s="13"/>
      <c r="BN58" s="231"/>
      <c r="BO58" s="231"/>
    </row>
    <row r="59" spans="1:1165" s="257" customFormat="1">
      <c r="A59" s="194" t="s">
        <v>194</v>
      </c>
      <c r="B59" s="195" t="s">
        <v>87</v>
      </c>
      <c r="C59" s="258">
        <v>60997330</v>
      </c>
      <c r="D59" s="258">
        <v>352328323</v>
      </c>
      <c r="E59" s="258">
        <v>3151470</v>
      </c>
      <c r="F59" s="258">
        <v>60717341</v>
      </c>
      <c r="G59" s="258">
        <v>3254403</v>
      </c>
      <c r="H59" s="258">
        <v>68251534</v>
      </c>
      <c r="I59" s="258">
        <v>3702197</v>
      </c>
      <c r="J59" s="258">
        <v>87460645</v>
      </c>
      <c r="K59" s="258">
        <v>3952768</v>
      </c>
      <c r="L59" s="258">
        <v>99640822</v>
      </c>
      <c r="M59" s="258">
        <v>3692665</v>
      </c>
      <c r="N59" s="258">
        <v>105930163</v>
      </c>
      <c r="O59" s="258">
        <v>3785977</v>
      </c>
      <c r="P59" s="258">
        <v>119532775</v>
      </c>
      <c r="Q59" s="258">
        <v>3825535</v>
      </c>
      <c r="R59" s="258">
        <v>137136740</v>
      </c>
      <c r="S59" s="258">
        <v>3709806</v>
      </c>
      <c r="T59" s="258">
        <v>144944239</v>
      </c>
      <c r="U59" s="284">
        <v>3789743</v>
      </c>
      <c r="V59" s="284">
        <v>158003510</v>
      </c>
      <c r="W59" s="284">
        <v>3830472</v>
      </c>
      <c r="X59" s="284">
        <v>166799208</v>
      </c>
      <c r="Y59" s="284">
        <v>4831172</v>
      </c>
      <c r="Z59" s="284">
        <v>214253964</v>
      </c>
      <c r="AA59" s="302">
        <v>5114267</v>
      </c>
      <c r="AB59" s="302">
        <v>228561597</v>
      </c>
      <c r="AC59" s="284">
        <v>5655459</v>
      </c>
      <c r="AD59" s="284">
        <v>251762799</v>
      </c>
      <c r="AE59" s="258">
        <v>5470875</v>
      </c>
      <c r="AF59" s="258">
        <v>248439413</v>
      </c>
      <c r="AG59" s="288">
        <v>5034977</v>
      </c>
      <c r="AH59" s="288">
        <v>234017491</v>
      </c>
      <c r="AI59" s="288">
        <v>6062404</v>
      </c>
      <c r="AJ59" s="288">
        <v>280656243</v>
      </c>
      <c r="AK59" s="288">
        <v>5814923</v>
      </c>
      <c r="AL59" s="288">
        <v>268381210</v>
      </c>
      <c r="AM59" s="261">
        <v>5692147</v>
      </c>
      <c r="AN59" s="261">
        <v>260534172</v>
      </c>
      <c r="AO59" s="288">
        <v>5609555</v>
      </c>
      <c r="AP59" s="288">
        <v>249348279</v>
      </c>
      <c r="AQ59" s="288">
        <v>6231483.5099999998</v>
      </c>
      <c r="AR59" s="288">
        <v>268018086</v>
      </c>
      <c r="AS59" s="288">
        <v>6204588.1899999995</v>
      </c>
      <c r="AT59" s="288">
        <v>257838999</v>
      </c>
      <c r="AU59" s="302">
        <v>6204695</v>
      </c>
      <c r="AV59" s="302">
        <v>258211794</v>
      </c>
      <c r="AW59" s="291">
        <v>6262538</v>
      </c>
      <c r="AX59" s="291">
        <v>266402673</v>
      </c>
      <c r="AY59" s="284">
        <v>6026581</v>
      </c>
      <c r="AZ59" s="284">
        <v>266405945</v>
      </c>
      <c r="BA59" s="262"/>
      <c r="BB59" s="284"/>
      <c r="BC59" s="284"/>
      <c r="BD59" s="284"/>
      <c r="BE59" s="284"/>
      <c r="BF59" s="284"/>
      <c r="BG59" s="284"/>
      <c r="BH59" s="284"/>
      <c r="BI59" s="284"/>
      <c r="BJ59" s="284">
        <f>C59+G59+I59+K59+M59+O59+Q59+S59+U59+W59+Y59+AA59+AC59+AE59+AG59+AI59+AK59+AM59+AO59+AQ59+AS59+AU59+AW59+AY59+BB59+BF59</f>
        <v>174756560.69999999</v>
      </c>
      <c r="BK59" s="258">
        <f>D59+H59+J59+L59+N59+P59+R59+T59+V59+X59+Z59+AB59+AD59+AF59+AH59+AJ59+AL59+AN59+AP59+AR59+AT59+AV59+AX59+AZ59+BD59+BH59</f>
        <v>4992860624</v>
      </c>
      <c r="BL59" s="172"/>
      <c r="BM59" s="13"/>
      <c r="BN59" s="172"/>
      <c r="BO59" s="172"/>
      <c r="BP59" s="231"/>
      <c r="BQ59" s="172"/>
      <c r="BR59" s="172"/>
      <c r="BS59" s="172"/>
      <c r="BT59" s="172"/>
      <c r="BU59" s="172"/>
      <c r="BV59" s="172"/>
      <c r="BW59" s="172"/>
      <c r="BX59" s="172"/>
      <c r="BY59" s="172"/>
      <c r="BZ59" s="172"/>
      <c r="CA59" s="172"/>
      <c r="CB59" s="172"/>
      <c r="CC59" s="172"/>
      <c r="CD59" s="172"/>
      <c r="CE59" s="172"/>
      <c r="CF59" s="172"/>
      <c r="CG59" s="172"/>
      <c r="CH59" s="172"/>
      <c r="CI59" s="172"/>
      <c r="CJ59" s="172"/>
      <c r="CK59" s="172"/>
      <c r="CL59" s="172"/>
      <c r="CM59" s="172"/>
      <c r="CN59" s="172"/>
      <c r="CO59" s="172"/>
      <c r="CP59" s="172"/>
      <c r="CQ59" s="172"/>
      <c r="CR59" s="172"/>
      <c r="CS59" s="172"/>
      <c r="CT59" s="172"/>
      <c r="CU59" s="172"/>
      <c r="CV59" s="172"/>
      <c r="CW59" s="172"/>
      <c r="CX59" s="172"/>
      <c r="CY59" s="172"/>
      <c r="CZ59" s="172"/>
      <c r="DA59" s="172"/>
      <c r="DB59" s="172"/>
      <c r="DC59" s="172"/>
      <c r="DD59" s="172"/>
      <c r="DE59" s="172"/>
      <c r="DF59" s="172"/>
      <c r="DG59" s="172"/>
      <c r="DH59" s="172"/>
      <c r="DI59" s="172"/>
      <c r="DJ59" s="172"/>
      <c r="DK59" s="172"/>
      <c r="DL59" s="172"/>
      <c r="DM59" s="172"/>
      <c r="DN59" s="172"/>
      <c r="DO59" s="172"/>
      <c r="DP59" s="172"/>
      <c r="DQ59" s="172"/>
      <c r="DR59" s="172"/>
      <c r="DS59" s="172"/>
      <c r="DT59" s="172"/>
      <c r="DU59" s="172"/>
      <c r="DV59" s="172"/>
      <c r="DW59" s="172"/>
      <c r="DX59" s="172"/>
      <c r="DY59" s="172"/>
      <c r="DZ59" s="172"/>
      <c r="EA59" s="172"/>
      <c r="EB59" s="172"/>
      <c r="EC59" s="172"/>
      <c r="ED59" s="172"/>
      <c r="EE59" s="172"/>
      <c r="EF59" s="172"/>
      <c r="EG59" s="172"/>
      <c r="EH59" s="172"/>
      <c r="EI59" s="172"/>
      <c r="EJ59" s="172"/>
      <c r="EK59" s="172"/>
      <c r="EL59" s="172"/>
      <c r="EM59" s="172"/>
      <c r="EN59" s="172"/>
      <c r="EO59" s="172"/>
      <c r="EP59" s="172"/>
      <c r="EQ59" s="172"/>
      <c r="ER59" s="172"/>
      <c r="ES59" s="172"/>
      <c r="ET59" s="172"/>
      <c r="EU59" s="172"/>
      <c r="EV59" s="172"/>
      <c r="EW59" s="172"/>
      <c r="EX59" s="172"/>
      <c r="EY59" s="172"/>
      <c r="EZ59" s="172"/>
      <c r="FA59" s="172"/>
      <c r="FB59" s="172"/>
      <c r="FC59" s="172"/>
      <c r="FD59" s="172"/>
      <c r="FE59" s="172"/>
      <c r="FF59" s="172"/>
      <c r="FG59" s="172"/>
      <c r="FH59" s="172"/>
      <c r="FI59" s="172"/>
      <c r="FJ59" s="172"/>
      <c r="FK59" s="172"/>
      <c r="FL59" s="172"/>
      <c r="FM59" s="172"/>
      <c r="FN59" s="172"/>
      <c r="FO59" s="172"/>
      <c r="FP59" s="172"/>
      <c r="FQ59" s="172"/>
      <c r="FR59" s="172"/>
      <c r="FS59" s="172"/>
      <c r="FT59" s="172"/>
      <c r="FU59" s="172"/>
      <c r="FV59" s="172"/>
      <c r="FW59" s="172"/>
      <c r="FX59" s="172"/>
      <c r="FY59" s="172"/>
      <c r="FZ59" s="172"/>
      <c r="GA59" s="172"/>
      <c r="GB59" s="172"/>
      <c r="GC59" s="172"/>
      <c r="GD59" s="172"/>
      <c r="GE59" s="172"/>
      <c r="GF59" s="172"/>
      <c r="GG59" s="172"/>
      <c r="GH59" s="172"/>
      <c r="GI59" s="172"/>
      <c r="GJ59" s="172"/>
      <c r="GK59" s="172"/>
      <c r="GL59" s="172"/>
      <c r="GM59" s="172"/>
      <c r="GN59" s="172"/>
      <c r="GO59" s="172"/>
      <c r="GP59" s="172"/>
      <c r="GQ59" s="172"/>
      <c r="GR59" s="172"/>
      <c r="GS59" s="172"/>
      <c r="GT59" s="172"/>
      <c r="GU59" s="172"/>
      <c r="GV59" s="172"/>
      <c r="GW59" s="172"/>
      <c r="GX59" s="172"/>
      <c r="GY59" s="172"/>
      <c r="GZ59" s="172"/>
      <c r="HA59" s="172"/>
      <c r="HB59" s="172"/>
      <c r="HC59" s="172"/>
      <c r="HD59" s="172"/>
      <c r="HE59" s="172"/>
      <c r="HF59" s="172"/>
      <c r="HG59" s="172"/>
      <c r="HH59" s="172"/>
      <c r="HI59" s="172"/>
      <c r="HJ59" s="172"/>
      <c r="HK59" s="172"/>
      <c r="HL59" s="172"/>
      <c r="HM59" s="172"/>
      <c r="HN59" s="172"/>
      <c r="HO59" s="172"/>
      <c r="HP59" s="172"/>
      <c r="HQ59" s="172"/>
      <c r="HR59" s="172"/>
      <c r="HS59" s="172"/>
      <c r="HT59" s="172"/>
      <c r="HU59" s="172"/>
      <c r="HV59" s="172"/>
      <c r="HW59" s="172"/>
      <c r="HX59" s="172"/>
      <c r="HY59" s="172"/>
      <c r="HZ59" s="172"/>
      <c r="IA59" s="172"/>
      <c r="IB59" s="172"/>
      <c r="IC59" s="172"/>
      <c r="ID59" s="172"/>
      <c r="IE59" s="172"/>
      <c r="IF59" s="172"/>
      <c r="IG59" s="172"/>
      <c r="IH59" s="172"/>
      <c r="II59" s="172"/>
      <c r="IJ59" s="172"/>
      <c r="IK59" s="172"/>
      <c r="IL59" s="172"/>
      <c r="IM59" s="172"/>
      <c r="IN59" s="172"/>
      <c r="IO59" s="172"/>
      <c r="IP59" s="172"/>
      <c r="IQ59" s="172"/>
      <c r="IR59" s="172"/>
      <c r="IS59" s="172"/>
      <c r="IT59" s="172"/>
      <c r="IU59" s="172"/>
      <c r="IV59" s="172"/>
      <c r="IW59" s="172"/>
      <c r="IX59" s="172"/>
      <c r="IY59" s="172"/>
      <c r="IZ59" s="172"/>
      <c r="JA59" s="172"/>
      <c r="JB59" s="172"/>
      <c r="JC59" s="172"/>
      <c r="JD59" s="172"/>
      <c r="JE59" s="172"/>
      <c r="JF59" s="172"/>
      <c r="JG59" s="172"/>
      <c r="JH59" s="172"/>
      <c r="JI59" s="172"/>
      <c r="JJ59" s="172"/>
      <c r="JK59" s="172"/>
      <c r="JL59" s="172"/>
      <c r="JM59" s="172"/>
      <c r="JN59" s="172"/>
      <c r="JO59" s="172"/>
      <c r="JP59" s="172"/>
      <c r="JQ59" s="172"/>
      <c r="JR59" s="172"/>
      <c r="JS59" s="172"/>
      <c r="JT59" s="172"/>
      <c r="JU59" s="172"/>
      <c r="JV59" s="172"/>
      <c r="JW59" s="172"/>
      <c r="JX59" s="172"/>
      <c r="JY59" s="172"/>
      <c r="JZ59" s="172"/>
      <c r="KA59" s="172"/>
      <c r="KB59" s="172"/>
      <c r="KC59" s="172"/>
      <c r="KD59" s="172"/>
      <c r="KE59" s="172"/>
      <c r="KF59" s="172"/>
      <c r="KG59" s="172"/>
      <c r="KH59" s="172"/>
      <c r="KI59" s="172"/>
      <c r="KJ59" s="172"/>
      <c r="KK59" s="172"/>
      <c r="KL59" s="172"/>
      <c r="KM59" s="172"/>
      <c r="KN59" s="172"/>
      <c r="KO59" s="172"/>
      <c r="KP59" s="172"/>
      <c r="KQ59" s="172"/>
      <c r="KR59" s="172"/>
      <c r="KS59" s="172"/>
      <c r="KT59" s="172"/>
      <c r="KU59" s="172"/>
      <c r="KV59" s="172"/>
      <c r="KW59" s="172"/>
      <c r="KX59" s="172"/>
      <c r="KY59" s="172"/>
      <c r="KZ59" s="172"/>
      <c r="LA59" s="172"/>
      <c r="LB59" s="172"/>
      <c r="LC59" s="172"/>
      <c r="LD59" s="172"/>
      <c r="LE59" s="172"/>
      <c r="LF59" s="172"/>
      <c r="LG59" s="172"/>
      <c r="LH59" s="172"/>
      <c r="LI59" s="172"/>
      <c r="LJ59" s="172"/>
      <c r="LK59" s="172"/>
      <c r="LL59" s="172"/>
      <c r="LM59" s="172"/>
      <c r="LN59" s="172"/>
      <c r="LO59" s="172"/>
      <c r="LP59" s="172"/>
      <c r="LQ59" s="172"/>
      <c r="LR59" s="172"/>
      <c r="LS59" s="172"/>
      <c r="LT59" s="172"/>
      <c r="LU59" s="172"/>
      <c r="LV59" s="172"/>
      <c r="LW59" s="172"/>
      <c r="LX59" s="172"/>
      <c r="LY59" s="172"/>
      <c r="LZ59" s="172"/>
      <c r="MA59" s="172"/>
      <c r="MB59" s="172"/>
      <c r="MC59" s="172"/>
      <c r="MD59" s="172"/>
      <c r="ME59" s="172"/>
      <c r="MF59" s="172"/>
      <c r="MG59" s="172"/>
      <c r="MH59" s="172"/>
      <c r="MI59" s="172"/>
      <c r="MJ59" s="172"/>
      <c r="MK59" s="172"/>
      <c r="ML59" s="172"/>
      <c r="MM59" s="172"/>
      <c r="MN59" s="172"/>
      <c r="MO59" s="172"/>
      <c r="MP59" s="172"/>
      <c r="MQ59" s="172"/>
      <c r="MR59" s="172"/>
      <c r="MS59" s="172"/>
      <c r="MT59" s="172"/>
      <c r="MU59" s="172"/>
      <c r="MV59" s="172"/>
      <c r="MW59" s="172"/>
      <c r="MX59" s="172"/>
      <c r="MY59" s="172"/>
      <c r="MZ59" s="172"/>
      <c r="NA59" s="172"/>
      <c r="NB59" s="172"/>
      <c r="NC59" s="172"/>
      <c r="ND59" s="172"/>
      <c r="NE59" s="172"/>
      <c r="NF59" s="172"/>
      <c r="NG59" s="172"/>
      <c r="NH59" s="172"/>
      <c r="NI59" s="172"/>
      <c r="NJ59" s="172"/>
      <c r="NK59" s="172"/>
      <c r="NL59" s="172"/>
      <c r="NM59" s="172"/>
      <c r="NN59" s="172"/>
      <c r="NO59" s="172"/>
      <c r="NP59" s="172"/>
      <c r="NQ59" s="172"/>
      <c r="NR59" s="172"/>
      <c r="NS59" s="172"/>
      <c r="NT59" s="172"/>
      <c r="NU59" s="172"/>
      <c r="NV59" s="172"/>
      <c r="NW59" s="172"/>
      <c r="NX59" s="172"/>
      <c r="NY59" s="172"/>
      <c r="NZ59" s="172"/>
      <c r="OA59" s="172"/>
      <c r="OB59" s="172"/>
      <c r="OC59" s="172"/>
      <c r="OD59" s="172"/>
      <c r="OE59" s="172"/>
      <c r="OF59" s="172"/>
      <c r="OG59" s="172"/>
      <c r="OH59" s="172"/>
      <c r="OI59" s="172"/>
      <c r="OJ59" s="172"/>
      <c r="OK59" s="172"/>
      <c r="OL59" s="172"/>
      <c r="OM59" s="172"/>
      <c r="ON59" s="172"/>
      <c r="OO59" s="172"/>
      <c r="OP59" s="172"/>
      <c r="OQ59" s="172"/>
      <c r="OR59" s="172"/>
      <c r="OS59" s="172"/>
      <c r="OT59" s="172"/>
      <c r="OU59" s="172"/>
      <c r="OV59" s="172"/>
      <c r="OW59" s="172"/>
      <c r="OX59" s="172"/>
      <c r="OY59" s="172"/>
      <c r="OZ59" s="172"/>
      <c r="PA59" s="172"/>
      <c r="PB59" s="172"/>
      <c r="PC59" s="172"/>
      <c r="PD59" s="172"/>
      <c r="PE59" s="172"/>
      <c r="PF59" s="172"/>
      <c r="PG59" s="172"/>
      <c r="PH59" s="172"/>
      <c r="PI59" s="172"/>
      <c r="PJ59" s="172"/>
      <c r="PK59" s="172"/>
      <c r="PL59" s="172"/>
      <c r="PM59" s="172"/>
      <c r="PN59" s="172"/>
      <c r="PO59" s="172"/>
      <c r="PP59" s="172"/>
      <c r="PQ59" s="172"/>
      <c r="PR59" s="172"/>
      <c r="PS59" s="172"/>
      <c r="PT59" s="172"/>
      <c r="PU59" s="172"/>
      <c r="PV59" s="172"/>
      <c r="PW59" s="172"/>
      <c r="PX59" s="172"/>
      <c r="PY59" s="172"/>
      <c r="PZ59" s="172"/>
      <c r="QA59" s="172"/>
      <c r="QB59" s="172"/>
      <c r="QC59" s="172"/>
      <c r="QD59" s="172"/>
      <c r="QE59" s="172"/>
      <c r="QF59" s="172"/>
      <c r="QG59" s="172"/>
      <c r="QH59" s="172"/>
      <c r="QI59" s="172"/>
      <c r="QJ59" s="172"/>
      <c r="QK59" s="172"/>
      <c r="QL59" s="172"/>
      <c r="QM59" s="172"/>
      <c r="QN59" s="172"/>
      <c r="QO59" s="172"/>
      <c r="QP59" s="172"/>
      <c r="QQ59" s="172"/>
      <c r="QR59" s="172"/>
      <c r="QS59" s="172"/>
      <c r="QT59" s="172"/>
      <c r="QU59" s="172"/>
      <c r="QV59" s="172"/>
      <c r="QW59" s="172"/>
      <c r="QX59" s="172"/>
      <c r="QY59" s="172"/>
      <c r="QZ59" s="172"/>
      <c r="RA59" s="172"/>
      <c r="RB59" s="172"/>
      <c r="RC59" s="172"/>
      <c r="RD59" s="172"/>
      <c r="RE59" s="172"/>
      <c r="RF59" s="172"/>
      <c r="RG59" s="172"/>
      <c r="RH59" s="172"/>
      <c r="RI59" s="172"/>
      <c r="RJ59" s="172"/>
      <c r="RK59" s="172"/>
      <c r="RL59" s="172"/>
      <c r="RM59" s="172"/>
      <c r="RN59" s="172"/>
      <c r="RO59" s="172"/>
      <c r="RP59" s="172"/>
      <c r="RQ59" s="172"/>
      <c r="RR59" s="172"/>
      <c r="RS59" s="172"/>
      <c r="RT59" s="172"/>
      <c r="RU59" s="172"/>
      <c r="RV59" s="172"/>
      <c r="RW59" s="172"/>
      <c r="RX59" s="172"/>
      <c r="RY59" s="172"/>
      <c r="RZ59" s="172"/>
      <c r="SA59" s="172"/>
      <c r="SB59" s="172"/>
      <c r="SC59" s="172"/>
      <c r="SD59" s="172"/>
      <c r="SE59" s="172"/>
      <c r="SF59" s="172"/>
      <c r="SG59" s="172"/>
      <c r="SH59" s="172"/>
      <c r="SI59" s="172"/>
      <c r="SJ59" s="172"/>
      <c r="SK59" s="172"/>
      <c r="SL59" s="172"/>
      <c r="SM59" s="172"/>
      <c r="SN59" s="172"/>
      <c r="SO59" s="172"/>
      <c r="SP59" s="172"/>
      <c r="SQ59" s="172"/>
      <c r="SR59" s="172"/>
      <c r="SS59" s="172"/>
      <c r="ST59" s="172"/>
      <c r="SU59" s="172"/>
      <c r="SV59" s="172"/>
      <c r="SW59" s="172"/>
      <c r="SX59" s="172"/>
      <c r="SY59" s="172"/>
      <c r="SZ59" s="172"/>
      <c r="TA59" s="172"/>
      <c r="TB59" s="172"/>
      <c r="TC59" s="172"/>
      <c r="TD59" s="172"/>
      <c r="TE59" s="172"/>
      <c r="TF59" s="172"/>
      <c r="TG59" s="172"/>
      <c r="TH59" s="172"/>
      <c r="TI59" s="172"/>
      <c r="TJ59" s="172"/>
      <c r="TK59" s="172"/>
      <c r="TL59" s="172"/>
      <c r="TM59" s="172"/>
      <c r="TN59" s="172"/>
      <c r="TO59" s="172"/>
      <c r="TP59" s="172"/>
      <c r="TQ59" s="172"/>
      <c r="TR59" s="172"/>
      <c r="TS59" s="172"/>
      <c r="TT59" s="172"/>
      <c r="TU59" s="172"/>
      <c r="TV59" s="172"/>
      <c r="TW59" s="172"/>
      <c r="TX59" s="172"/>
      <c r="TY59" s="172"/>
      <c r="TZ59" s="172"/>
      <c r="UA59" s="172"/>
      <c r="UB59" s="172"/>
      <c r="UC59" s="172"/>
      <c r="UD59" s="172"/>
      <c r="UE59" s="172"/>
      <c r="UF59" s="172"/>
      <c r="UG59" s="172"/>
      <c r="UH59" s="172"/>
      <c r="UI59" s="172"/>
      <c r="UJ59" s="172"/>
      <c r="UK59" s="172"/>
      <c r="UL59" s="172"/>
      <c r="UM59" s="172"/>
      <c r="UN59" s="172"/>
      <c r="UO59" s="172"/>
      <c r="UP59" s="172"/>
      <c r="UQ59" s="172"/>
      <c r="UR59" s="172"/>
      <c r="US59" s="172"/>
      <c r="UT59" s="172"/>
      <c r="UU59" s="172"/>
      <c r="UV59" s="172"/>
      <c r="UW59" s="172"/>
      <c r="UX59" s="172"/>
      <c r="UY59" s="172"/>
      <c r="UZ59" s="172"/>
      <c r="VA59" s="172"/>
      <c r="VB59" s="172"/>
      <c r="VC59" s="172"/>
      <c r="VD59" s="172"/>
      <c r="VE59" s="172"/>
      <c r="VF59" s="172"/>
      <c r="VG59" s="172"/>
      <c r="VH59" s="172"/>
      <c r="VI59" s="172"/>
      <c r="VJ59" s="172"/>
      <c r="VK59" s="172"/>
      <c r="VL59" s="172"/>
      <c r="VM59" s="172"/>
      <c r="VN59" s="172"/>
      <c r="VO59" s="172"/>
      <c r="VP59" s="172"/>
      <c r="VQ59" s="172"/>
      <c r="VR59" s="172"/>
      <c r="VS59" s="172"/>
      <c r="VT59" s="172"/>
      <c r="VU59" s="172"/>
      <c r="VV59" s="172"/>
      <c r="VW59" s="172"/>
      <c r="VX59" s="172"/>
      <c r="VY59" s="172"/>
      <c r="VZ59" s="172"/>
      <c r="WA59" s="172"/>
      <c r="WB59" s="172"/>
      <c r="WC59" s="172"/>
      <c r="WD59" s="172"/>
      <c r="WE59" s="172"/>
      <c r="WF59" s="172"/>
      <c r="WG59" s="172"/>
      <c r="WH59" s="172"/>
      <c r="WI59" s="172"/>
      <c r="WJ59" s="172"/>
      <c r="WK59" s="172"/>
      <c r="WL59" s="172"/>
      <c r="WM59" s="172"/>
      <c r="WN59" s="172"/>
      <c r="WO59" s="172"/>
      <c r="WP59" s="172"/>
      <c r="WQ59" s="172"/>
      <c r="WR59" s="172"/>
      <c r="WS59" s="172"/>
      <c r="WT59" s="172"/>
      <c r="WU59" s="172"/>
      <c r="WV59" s="172"/>
      <c r="WW59" s="172"/>
      <c r="WX59" s="172"/>
      <c r="WY59" s="172"/>
      <c r="WZ59" s="172"/>
      <c r="XA59" s="172"/>
      <c r="XB59" s="172"/>
      <c r="XC59" s="172"/>
      <c r="XD59" s="172"/>
      <c r="XE59" s="172"/>
      <c r="XF59" s="172"/>
      <c r="XG59" s="172"/>
      <c r="XH59" s="172"/>
      <c r="XI59" s="172"/>
      <c r="XJ59" s="172"/>
      <c r="XK59" s="172"/>
      <c r="XL59" s="172"/>
      <c r="XM59" s="172"/>
      <c r="XN59" s="172"/>
      <c r="XO59" s="172"/>
      <c r="XP59" s="172"/>
      <c r="XQ59" s="172"/>
      <c r="XR59" s="172"/>
      <c r="XS59" s="172"/>
      <c r="XT59" s="172"/>
      <c r="XU59" s="172"/>
      <c r="XV59" s="172"/>
      <c r="XW59" s="172"/>
      <c r="XX59" s="172"/>
      <c r="XY59" s="172"/>
      <c r="XZ59" s="172"/>
      <c r="YA59" s="172"/>
      <c r="YB59" s="172"/>
      <c r="YC59" s="172"/>
      <c r="YD59" s="172"/>
      <c r="YE59" s="172"/>
      <c r="YF59" s="172"/>
      <c r="YG59" s="172"/>
      <c r="YH59" s="172"/>
      <c r="YI59" s="172"/>
      <c r="YJ59" s="172"/>
      <c r="YK59" s="172"/>
      <c r="YL59" s="172"/>
      <c r="YM59" s="172"/>
      <c r="YN59" s="172"/>
      <c r="YO59" s="172"/>
      <c r="YP59" s="172"/>
      <c r="YQ59" s="172"/>
      <c r="YR59" s="172"/>
      <c r="YS59" s="172"/>
      <c r="YT59" s="172"/>
      <c r="YU59" s="172"/>
      <c r="YV59" s="172"/>
      <c r="YW59" s="172"/>
      <c r="YX59" s="172"/>
      <c r="YY59" s="172"/>
      <c r="YZ59" s="172"/>
      <c r="ZA59" s="172"/>
      <c r="ZB59" s="172"/>
      <c r="ZC59" s="172"/>
      <c r="ZD59" s="172"/>
      <c r="ZE59" s="172"/>
      <c r="ZF59" s="172"/>
      <c r="ZG59" s="172"/>
      <c r="ZH59" s="172"/>
      <c r="ZI59" s="172"/>
      <c r="ZJ59" s="172"/>
      <c r="ZK59" s="172"/>
      <c r="ZL59" s="172"/>
      <c r="ZM59" s="172"/>
      <c r="ZN59" s="172"/>
      <c r="ZO59" s="172"/>
      <c r="ZP59" s="172"/>
      <c r="ZQ59" s="172"/>
      <c r="ZR59" s="172"/>
      <c r="ZS59" s="172"/>
      <c r="ZT59" s="172"/>
      <c r="ZU59" s="172"/>
      <c r="ZV59" s="172"/>
      <c r="ZW59" s="172"/>
      <c r="ZX59" s="172"/>
      <c r="ZY59" s="172"/>
      <c r="ZZ59" s="172"/>
      <c r="AAA59" s="172"/>
      <c r="AAB59" s="172"/>
      <c r="AAC59" s="172"/>
      <c r="AAD59" s="172"/>
      <c r="AAE59" s="172"/>
      <c r="AAF59" s="172"/>
      <c r="AAG59" s="172"/>
      <c r="AAH59" s="172"/>
      <c r="AAI59" s="172"/>
      <c r="AAJ59" s="172"/>
      <c r="AAK59" s="172"/>
      <c r="AAL59" s="172"/>
      <c r="AAM59" s="172"/>
      <c r="AAN59" s="172"/>
      <c r="AAO59" s="172"/>
      <c r="AAP59" s="172"/>
      <c r="AAQ59" s="172"/>
      <c r="AAR59" s="172"/>
      <c r="AAS59" s="172"/>
      <c r="AAT59" s="172"/>
      <c r="AAU59" s="172"/>
      <c r="AAV59" s="172"/>
      <c r="AAW59" s="172"/>
      <c r="AAX59" s="172"/>
      <c r="AAY59" s="172"/>
      <c r="AAZ59" s="172"/>
      <c r="ABA59" s="172"/>
      <c r="ABB59" s="172"/>
      <c r="ABC59" s="172"/>
      <c r="ABD59" s="172"/>
      <c r="ABE59" s="172"/>
      <c r="ABF59" s="172"/>
      <c r="ABG59" s="172"/>
      <c r="ABH59" s="172"/>
      <c r="ABI59" s="172"/>
      <c r="ABJ59" s="172"/>
      <c r="ABK59" s="172"/>
      <c r="ABL59" s="172"/>
      <c r="ABM59" s="172"/>
      <c r="ABN59" s="172"/>
      <c r="ABO59" s="172"/>
      <c r="ABP59" s="172"/>
      <c r="ABQ59" s="172"/>
      <c r="ABR59" s="172"/>
      <c r="ABS59" s="172"/>
      <c r="ABT59" s="172"/>
      <c r="ABU59" s="172"/>
      <c r="ABV59" s="172"/>
      <c r="ABW59" s="172"/>
      <c r="ABX59" s="172"/>
      <c r="ABY59" s="172"/>
      <c r="ABZ59" s="172"/>
      <c r="ACA59" s="172"/>
      <c r="ACB59" s="172"/>
      <c r="ACC59" s="172"/>
      <c r="ACD59" s="172"/>
      <c r="ACE59" s="172"/>
      <c r="ACF59" s="172"/>
      <c r="ACG59" s="172"/>
      <c r="ACH59" s="172"/>
      <c r="ACI59" s="172"/>
      <c r="ACJ59" s="172"/>
      <c r="ACK59" s="172"/>
      <c r="ACL59" s="172"/>
      <c r="ACM59" s="172"/>
      <c r="ACN59" s="172"/>
      <c r="ACO59" s="172"/>
      <c r="ACP59" s="172"/>
      <c r="ACQ59" s="172"/>
      <c r="ACR59" s="172"/>
      <c r="ACS59" s="172"/>
      <c r="ACT59" s="172"/>
      <c r="ACU59" s="172"/>
      <c r="ACV59" s="172"/>
      <c r="ACW59" s="172"/>
      <c r="ACX59" s="172"/>
      <c r="ACY59" s="172"/>
      <c r="ACZ59" s="172"/>
      <c r="ADA59" s="172"/>
      <c r="ADB59" s="172"/>
      <c r="ADC59" s="172"/>
      <c r="ADD59" s="172"/>
      <c r="ADE59" s="172"/>
      <c r="ADF59" s="172"/>
      <c r="ADG59" s="172"/>
      <c r="ADH59" s="172"/>
      <c r="ADI59" s="172"/>
      <c r="ADJ59" s="172"/>
      <c r="ADK59" s="172"/>
      <c r="ADL59" s="172"/>
      <c r="ADM59" s="172"/>
      <c r="ADN59" s="172"/>
      <c r="ADO59" s="172"/>
      <c r="ADP59" s="172"/>
      <c r="ADQ59" s="172"/>
      <c r="ADR59" s="172"/>
      <c r="ADS59" s="172"/>
      <c r="ADT59" s="172"/>
      <c r="ADU59" s="172"/>
      <c r="ADV59" s="172"/>
      <c r="ADW59" s="172"/>
      <c r="ADX59" s="172"/>
      <c r="ADY59" s="172"/>
      <c r="ADZ59" s="172"/>
      <c r="AEA59" s="172"/>
      <c r="AEB59" s="172"/>
      <c r="AEC59" s="172"/>
      <c r="AED59" s="172"/>
      <c r="AEE59" s="172"/>
      <c r="AEF59" s="172"/>
      <c r="AEG59" s="172"/>
      <c r="AEH59" s="172"/>
      <c r="AEI59" s="172"/>
      <c r="AEJ59" s="172"/>
      <c r="AEK59" s="172"/>
      <c r="AEL59" s="172"/>
      <c r="AEM59" s="172"/>
      <c r="AEN59" s="172"/>
      <c r="AEO59" s="172"/>
      <c r="AEP59" s="172"/>
      <c r="AEQ59" s="172"/>
      <c r="AER59" s="172"/>
      <c r="AES59" s="172"/>
      <c r="AET59" s="172"/>
      <c r="AEU59" s="172"/>
      <c r="AEV59" s="172"/>
      <c r="AEW59" s="172"/>
      <c r="AEX59" s="172"/>
      <c r="AEY59" s="172"/>
      <c r="AEZ59" s="172"/>
      <c r="AFA59" s="172"/>
      <c r="AFB59" s="172"/>
      <c r="AFC59" s="172"/>
      <c r="AFD59" s="172"/>
      <c r="AFE59" s="172"/>
      <c r="AFF59" s="172"/>
      <c r="AFG59" s="172"/>
      <c r="AFH59" s="172"/>
      <c r="AFI59" s="172"/>
      <c r="AFJ59" s="172"/>
      <c r="AFK59" s="172"/>
      <c r="AFL59" s="172"/>
      <c r="AFM59" s="172"/>
      <c r="AFN59" s="172"/>
      <c r="AFO59" s="172"/>
      <c r="AFP59" s="172"/>
      <c r="AFQ59" s="172"/>
      <c r="AFR59" s="172"/>
      <c r="AFS59" s="172"/>
      <c r="AFT59" s="172"/>
      <c r="AFU59" s="172"/>
      <c r="AFV59" s="172"/>
      <c r="AFW59" s="172"/>
      <c r="AFX59" s="172"/>
      <c r="AFY59" s="172"/>
      <c r="AFZ59" s="172"/>
      <c r="AGA59" s="172"/>
      <c r="AGB59" s="172"/>
      <c r="AGC59" s="172"/>
      <c r="AGD59" s="172"/>
      <c r="AGE59" s="172"/>
      <c r="AGF59" s="172"/>
      <c r="AGG59" s="172"/>
      <c r="AGH59" s="172"/>
      <c r="AGI59" s="172"/>
      <c r="AGJ59" s="172"/>
      <c r="AGK59" s="172"/>
      <c r="AGL59" s="172"/>
      <c r="AGM59" s="172"/>
      <c r="AGN59" s="172"/>
      <c r="AGO59" s="172"/>
      <c r="AGP59" s="172"/>
      <c r="AGQ59" s="172"/>
      <c r="AGR59" s="172"/>
      <c r="AGS59" s="172"/>
      <c r="AGT59" s="172"/>
      <c r="AGU59" s="172"/>
      <c r="AGV59" s="172"/>
      <c r="AGW59" s="172"/>
      <c r="AGX59" s="172"/>
      <c r="AGY59" s="172"/>
      <c r="AGZ59" s="172"/>
      <c r="AHA59" s="172"/>
      <c r="AHB59" s="172"/>
      <c r="AHC59" s="172"/>
      <c r="AHD59" s="172"/>
      <c r="AHE59" s="172"/>
      <c r="AHF59" s="172"/>
      <c r="AHG59" s="172"/>
      <c r="AHH59" s="172"/>
      <c r="AHI59" s="172"/>
      <c r="AHJ59" s="172"/>
      <c r="AHK59" s="172"/>
      <c r="AHL59" s="172"/>
      <c r="AHM59" s="172"/>
      <c r="AHN59" s="172"/>
      <c r="AHO59" s="172"/>
      <c r="AHP59" s="172"/>
      <c r="AHQ59" s="172"/>
      <c r="AHR59" s="172"/>
      <c r="AHS59" s="172"/>
      <c r="AHT59" s="172"/>
      <c r="AHU59" s="172"/>
      <c r="AHV59" s="172"/>
      <c r="AHW59" s="172"/>
      <c r="AHX59" s="172"/>
      <c r="AHY59" s="172"/>
      <c r="AHZ59" s="172"/>
      <c r="AIA59" s="172"/>
      <c r="AIB59" s="172"/>
      <c r="AIC59" s="172"/>
      <c r="AID59" s="172"/>
      <c r="AIE59" s="172"/>
      <c r="AIF59" s="172"/>
      <c r="AIG59" s="172"/>
      <c r="AIH59" s="172"/>
      <c r="AII59" s="172"/>
      <c r="AIJ59" s="172"/>
      <c r="AIK59" s="172"/>
      <c r="AIL59" s="172"/>
      <c r="AIM59" s="172"/>
      <c r="AIN59" s="172"/>
      <c r="AIO59" s="172"/>
      <c r="AIP59" s="172"/>
      <c r="AIQ59" s="172"/>
      <c r="AIR59" s="172"/>
      <c r="AIS59" s="172"/>
      <c r="AIT59" s="172"/>
      <c r="AIU59" s="172"/>
      <c r="AIV59" s="172"/>
      <c r="AIW59" s="172"/>
      <c r="AIX59" s="172"/>
      <c r="AIY59" s="172"/>
      <c r="AIZ59" s="172"/>
      <c r="AJA59" s="172"/>
      <c r="AJB59" s="172"/>
      <c r="AJC59" s="172"/>
      <c r="AJD59" s="172"/>
      <c r="AJE59" s="172"/>
      <c r="AJF59" s="172"/>
      <c r="AJG59" s="172"/>
      <c r="AJH59" s="172"/>
      <c r="AJI59" s="172"/>
      <c r="AJJ59" s="172"/>
      <c r="AJK59" s="172"/>
      <c r="AJL59" s="172"/>
      <c r="AJM59" s="172"/>
      <c r="AJN59" s="172"/>
      <c r="AJO59" s="172"/>
      <c r="AJP59" s="172"/>
      <c r="AJQ59" s="172"/>
      <c r="AJR59" s="172"/>
      <c r="AJS59" s="172"/>
      <c r="AJT59" s="172"/>
      <c r="AJU59" s="172"/>
      <c r="AJV59" s="172"/>
      <c r="AJW59" s="172"/>
      <c r="AJX59" s="172"/>
      <c r="AJY59" s="172"/>
      <c r="AJZ59" s="172"/>
      <c r="AKA59" s="172"/>
      <c r="AKB59" s="172"/>
      <c r="AKC59" s="172"/>
      <c r="AKD59" s="172"/>
      <c r="AKE59" s="172"/>
      <c r="AKF59" s="172"/>
      <c r="AKG59" s="172"/>
      <c r="AKH59" s="172"/>
      <c r="AKI59" s="172"/>
      <c r="AKJ59" s="172"/>
      <c r="AKK59" s="172"/>
      <c r="AKL59" s="172"/>
      <c r="AKM59" s="172"/>
      <c r="AKN59" s="172"/>
      <c r="AKO59" s="172"/>
      <c r="AKP59" s="172"/>
      <c r="AKQ59" s="172"/>
      <c r="AKR59" s="172"/>
      <c r="AKS59" s="172"/>
      <c r="AKT59" s="172"/>
      <c r="AKU59" s="172"/>
      <c r="AKV59" s="172"/>
      <c r="AKW59" s="172"/>
      <c r="AKX59" s="172"/>
      <c r="AKY59" s="172"/>
      <c r="AKZ59" s="172"/>
      <c r="ALA59" s="172"/>
      <c r="ALB59" s="172"/>
      <c r="ALC59" s="172"/>
      <c r="ALD59" s="172"/>
      <c r="ALE59" s="172"/>
      <c r="ALF59" s="172"/>
      <c r="ALG59" s="172"/>
      <c r="ALH59" s="172"/>
      <c r="ALI59" s="172"/>
      <c r="ALJ59" s="172"/>
      <c r="ALK59" s="172"/>
      <c r="ALL59" s="172"/>
      <c r="ALM59" s="172"/>
      <c r="ALN59" s="172"/>
      <c r="ALO59" s="172"/>
      <c r="ALP59" s="172"/>
      <c r="ALQ59" s="172"/>
      <c r="ALR59" s="172"/>
      <c r="ALS59" s="172"/>
      <c r="ALT59" s="172"/>
      <c r="ALU59" s="172"/>
      <c r="ALV59" s="172"/>
      <c r="ALW59" s="172"/>
      <c r="ALX59" s="172"/>
      <c r="ALY59" s="172"/>
      <c r="ALZ59" s="172"/>
      <c r="AMA59" s="172"/>
      <c r="AMB59" s="172"/>
      <c r="AMC59" s="172"/>
      <c r="AMD59" s="172"/>
      <c r="AME59" s="172"/>
      <c r="AMF59" s="172"/>
      <c r="AMG59" s="172"/>
      <c r="AMH59" s="172"/>
      <c r="AMI59" s="172"/>
      <c r="AMJ59" s="172"/>
      <c r="AMK59" s="172"/>
      <c r="AML59" s="172"/>
      <c r="AMM59" s="172"/>
      <c r="AMN59" s="172"/>
      <c r="AMO59" s="172"/>
      <c r="AMP59" s="172"/>
      <c r="AMQ59" s="172"/>
      <c r="AMR59" s="172"/>
      <c r="AMS59" s="172"/>
      <c r="AMT59" s="172"/>
      <c r="AMU59" s="172"/>
      <c r="AMV59" s="172"/>
      <c r="AMW59" s="172"/>
      <c r="AMX59" s="172"/>
      <c r="AMY59" s="172"/>
      <c r="AMZ59" s="172"/>
      <c r="ANA59" s="172"/>
      <c r="ANB59" s="172"/>
      <c r="ANC59" s="172"/>
      <c r="AND59" s="172"/>
      <c r="ANE59" s="172"/>
      <c r="ANF59" s="172"/>
      <c r="ANG59" s="172"/>
      <c r="ANH59" s="172"/>
      <c r="ANI59" s="172"/>
      <c r="ANJ59" s="172"/>
      <c r="ANK59" s="172"/>
      <c r="ANL59" s="172"/>
      <c r="ANM59" s="172"/>
      <c r="ANN59" s="172"/>
      <c r="ANO59" s="172"/>
      <c r="ANP59" s="172"/>
      <c r="ANQ59" s="172"/>
      <c r="ANR59" s="172"/>
      <c r="ANS59" s="172"/>
      <c r="ANT59" s="172"/>
      <c r="ANU59" s="172"/>
      <c r="ANV59" s="172"/>
      <c r="ANW59" s="172"/>
      <c r="ANX59" s="172"/>
      <c r="ANY59" s="172"/>
      <c r="ANZ59" s="172"/>
      <c r="AOA59" s="172"/>
      <c r="AOB59" s="172"/>
      <c r="AOC59" s="172"/>
      <c r="AOD59" s="172"/>
      <c r="AOE59" s="172"/>
      <c r="AOF59" s="172"/>
      <c r="AOG59" s="172"/>
      <c r="AOH59" s="172"/>
      <c r="AOI59" s="172"/>
      <c r="AOJ59" s="172"/>
      <c r="AOK59" s="172"/>
      <c r="AOL59" s="172"/>
      <c r="AOM59" s="172"/>
      <c r="AON59" s="172"/>
      <c r="AOO59" s="172"/>
      <c r="AOP59" s="172"/>
      <c r="AOQ59" s="172"/>
      <c r="AOR59" s="172"/>
      <c r="AOS59" s="172"/>
      <c r="AOT59" s="172"/>
      <c r="AOU59" s="172"/>
      <c r="AOV59" s="172"/>
      <c r="AOW59" s="172"/>
      <c r="AOX59" s="172"/>
      <c r="AOY59" s="172"/>
      <c r="AOZ59" s="172"/>
      <c r="APA59" s="172"/>
      <c r="APB59" s="172"/>
      <c r="APC59" s="172"/>
      <c r="APD59" s="172"/>
      <c r="APE59" s="172"/>
      <c r="APF59" s="172"/>
      <c r="APG59" s="172"/>
      <c r="APH59" s="172"/>
      <c r="API59" s="172"/>
      <c r="APJ59" s="172"/>
      <c r="APK59" s="172"/>
      <c r="APL59" s="172"/>
      <c r="APM59" s="172"/>
      <c r="APN59" s="172"/>
      <c r="APO59" s="172"/>
      <c r="APP59" s="172"/>
      <c r="APQ59" s="172"/>
      <c r="APR59" s="172"/>
      <c r="APS59" s="172"/>
      <c r="APT59" s="172"/>
      <c r="APU59" s="172"/>
      <c r="APV59" s="172"/>
      <c r="APW59" s="172"/>
      <c r="APX59" s="172"/>
      <c r="APY59" s="172"/>
      <c r="APZ59" s="172"/>
      <c r="AQA59" s="172"/>
      <c r="AQB59" s="172"/>
      <c r="AQC59" s="172"/>
      <c r="AQD59" s="172"/>
      <c r="AQE59" s="172"/>
      <c r="AQF59" s="172"/>
      <c r="AQG59" s="172"/>
      <c r="AQH59" s="172"/>
      <c r="AQI59" s="172"/>
      <c r="AQJ59" s="172"/>
      <c r="AQK59" s="172"/>
      <c r="AQL59" s="172"/>
      <c r="AQM59" s="172"/>
      <c r="AQN59" s="172"/>
      <c r="AQO59" s="172"/>
      <c r="AQP59" s="172"/>
      <c r="AQQ59" s="172"/>
      <c r="AQR59" s="172"/>
      <c r="AQS59" s="172"/>
      <c r="AQT59" s="172"/>
      <c r="AQU59" s="172"/>
      <c r="AQV59" s="172"/>
      <c r="AQW59" s="172"/>
      <c r="AQX59" s="172"/>
      <c r="AQY59" s="172"/>
      <c r="AQZ59" s="172"/>
      <c r="ARA59" s="172"/>
      <c r="ARB59" s="172"/>
      <c r="ARC59" s="172"/>
      <c r="ARD59" s="172"/>
      <c r="ARE59" s="172"/>
      <c r="ARF59" s="172"/>
      <c r="ARG59" s="172"/>
      <c r="ARH59" s="172"/>
      <c r="ARI59" s="172"/>
      <c r="ARJ59" s="172"/>
      <c r="ARK59" s="172"/>
      <c r="ARL59" s="172"/>
      <c r="ARM59" s="172"/>
      <c r="ARN59" s="172"/>
      <c r="ARO59" s="172"/>
      <c r="ARP59" s="172"/>
      <c r="ARQ59" s="172"/>
      <c r="ARR59" s="172"/>
      <c r="ARS59" s="172"/>
      <c r="ART59" s="172"/>
      <c r="ARU59" s="172"/>
    </row>
    <row r="60" spans="1:1165">
      <c r="A60" s="194"/>
      <c r="B60" s="195"/>
      <c r="C60" s="258"/>
      <c r="D60" s="258"/>
      <c r="E60" s="258"/>
      <c r="F60" s="258"/>
      <c r="G60" s="258"/>
      <c r="H60" s="258"/>
      <c r="I60" s="258"/>
      <c r="J60" s="258"/>
      <c r="K60" s="258"/>
      <c r="L60" s="258"/>
      <c r="M60" s="258"/>
      <c r="N60" s="258"/>
      <c r="O60" s="258"/>
      <c r="P60" s="258"/>
      <c r="Q60" s="258"/>
      <c r="R60" s="258"/>
      <c r="S60" s="258"/>
      <c r="T60" s="258"/>
      <c r="U60" s="227"/>
      <c r="V60" s="227"/>
      <c r="W60" s="288"/>
      <c r="X60" s="288"/>
      <c r="Y60" s="288"/>
      <c r="Z60" s="288"/>
      <c r="AA60" s="288"/>
      <c r="AB60" s="288"/>
      <c r="AC60" s="258"/>
      <c r="AD60" s="258"/>
      <c r="AE60" s="258"/>
      <c r="AF60" s="258"/>
      <c r="AG60" s="288"/>
      <c r="AH60" s="288"/>
      <c r="AI60" s="288"/>
      <c r="AJ60" s="288"/>
      <c r="AK60" s="288"/>
      <c r="AL60" s="288"/>
      <c r="AM60" s="288"/>
      <c r="AN60" s="288"/>
      <c r="AO60" s="288"/>
      <c r="AP60" s="288"/>
      <c r="AQ60" s="288"/>
      <c r="AR60" s="288"/>
      <c r="AS60" s="288"/>
      <c r="AT60" s="288"/>
      <c r="AU60" s="302"/>
      <c r="AV60" s="302"/>
      <c r="AW60" s="256"/>
      <c r="AX60" s="256"/>
      <c r="AY60" s="255"/>
      <c r="AZ60" s="255"/>
      <c r="BA60" s="262"/>
      <c r="BB60" s="284"/>
      <c r="BC60" s="284"/>
      <c r="BD60" s="284"/>
      <c r="BE60" s="284"/>
      <c r="BF60" s="284"/>
      <c r="BG60" s="284"/>
      <c r="BH60" s="284"/>
      <c r="BI60" s="262"/>
      <c r="BJ60" s="284"/>
      <c r="BK60" s="284"/>
      <c r="BL60" s="172"/>
      <c r="BM60" s="13"/>
      <c r="BP60" s="231"/>
    </row>
    <row r="61" spans="1:1165">
      <c r="A61" s="204" t="s">
        <v>195</v>
      </c>
      <c r="B61" s="139"/>
      <c r="C61" s="281"/>
      <c r="D61" s="281"/>
      <c r="E61" s="219"/>
      <c r="F61" s="219"/>
      <c r="G61" s="219"/>
      <c r="H61" s="219"/>
      <c r="I61" s="219"/>
      <c r="J61" s="219"/>
      <c r="K61" s="219"/>
      <c r="L61" s="219"/>
      <c r="M61" s="219"/>
      <c r="N61" s="219"/>
      <c r="O61" s="219"/>
      <c r="P61" s="219"/>
      <c r="Q61" s="219"/>
      <c r="R61" s="219"/>
      <c r="S61" s="219"/>
      <c r="T61" s="219"/>
      <c r="U61" s="200"/>
      <c r="V61" s="200"/>
      <c r="W61" s="200"/>
      <c r="X61" s="200"/>
      <c r="Y61" s="200"/>
      <c r="Z61" s="200"/>
      <c r="AA61" s="200"/>
      <c r="AB61" s="200"/>
      <c r="AC61" s="208"/>
      <c r="AD61" s="208"/>
      <c r="AE61" s="219"/>
      <c r="AF61" s="219"/>
      <c r="AG61" s="200"/>
      <c r="AH61" s="200"/>
      <c r="AI61" s="200"/>
      <c r="AJ61" s="200"/>
      <c r="AK61" s="200"/>
      <c r="AL61" s="200"/>
      <c r="AM61" s="200"/>
      <c r="AN61" s="200"/>
      <c r="AO61" s="200"/>
      <c r="AP61" s="200"/>
      <c r="AQ61" s="200"/>
      <c r="AR61" s="200"/>
      <c r="AS61" s="200"/>
      <c r="AT61" s="200"/>
      <c r="AU61" s="200"/>
      <c r="AV61" s="200"/>
      <c r="AW61" s="249"/>
      <c r="AX61" s="249"/>
      <c r="AY61" s="248"/>
      <c r="AZ61" s="248"/>
      <c r="BA61" s="283"/>
      <c r="BB61" s="219"/>
      <c r="BC61" s="219"/>
      <c r="BD61" s="219"/>
      <c r="BE61" s="219"/>
      <c r="BF61" s="219"/>
      <c r="BG61" s="219"/>
      <c r="BH61" s="219"/>
      <c r="BI61" s="283"/>
      <c r="BJ61" s="219"/>
      <c r="BK61" s="219"/>
      <c r="BL61" s="172"/>
      <c r="BM61" s="13"/>
      <c r="BP61" s="231"/>
    </row>
    <row r="62" spans="1:1165">
      <c r="A62" s="206" t="s">
        <v>293</v>
      </c>
      <c r="B62" s="207" t="s">
        <v>87</v>
      </c>
      <c r="C62" s="208">
        <v>0</v>
      </c>
      <c r="D62" s="208">
        <v>0</v>
      </c>
      <c r="E62" s="208">
        <v>0</v>
      </c>
      <c r="F62" s="208">
        <v>0</v>
      </c>
      <c r="G62" s="208">
        <v>0</v>
      </c>
      <c r="H62" s="208">
        <v>0</v>
      </c>
      <c r="I62" s="208">
        <v>7836</v>
      </c>
      <c r="J62" s="208">
        <v>32070</v>
      </c>
      <c r="K62" s="208">
        <v>5033</v>
      </c>
      <c r="L62" s="208">
        <v>17486</v>
      </c>
      <c r="M62" s="208">
        <v>126766</v>
      </c>
      <c r="N62" s="208">
        <v>69696</v>
      </c>
      <c r="O62" s="208">
        <v>142939</v>
      </c>
      <c r="P62" s="208">
        <v>1039428</v>
      </c>
      <c r="Q62" s="208">
        <v>122114</v>
      </c>
      <c r="R62" s="208">
        <v>677247</v>
      </c>
      <c r="S62" s="208">
        <v>175345</v>
      </c>
      <c r="T62" s="208">
        <v>890820</v>
      </c>
      <c r="U62" s="219">
        <v>220304</v>
      </c>
      <c r="V62" s="219">
        <v>1286308</v>
      </c>
      <c r="W62" s="219">
        <v>172316</v>
      </c>
      <c r="X62" s="219">
        <v>1026723</v>
      </c>
      <c r="Y62" s="219">
        <v>78303</v>
      </c>
      <c r="Z62" s="219">
        <v>300542</v>
      </c>
      <c r="AA62" s="230">
        <v>133683</v>
      </c>
      <c r="AB62" s="230">
        <v>719267</v>
      </c>
      <c r="AC62" s="208">
        <v>148082</v>
      </c>
      <c r="AD62" s="208">
        <v>898292</v>
      </c>
      <c r="AE62" s="200">
        <v>256859</v>
      </c>
      <c r="AF62" s="200">
        <v>1435187</v>
      </c>
      <c r="AG62" s="200">
        <v>110173</v>
      </c>
      <c r="AH62" s="200">
        <v>659783</v>
      </c>
      <c r="AI62" s="200">
        <v>426127</v>
      </c>
      <c r="AJ62" s="200">
        <v>2480317</v>
      </c>
      <c r="AK62" s="270">
        <v>505750</v>
      </c>
      <c r="AL62" s="270">
        <v>3292862</v>
      </c>
      <c r="AM62" s="273">
        <v>453971</v>
      </c>
      <c r="AN62" s="273">
        <v>2858956</v>
      </c>
      <c r="AO62" s="200">
        <v>310670</v>
      </c>
      <c r="AP62" s="200">
        <v>2580202</v>
      </c>
      <c r="AQ62" s="200">
        <v>294884.75</v>
      </c>
      <c r="AR62" s="200">
        <v>2029283</v>
      </c>
      <c r="AS62" s="200">
        <v>184080.68</v>
      </c>
      <c r="AT62" s="200">
        <v>2023384</v>
      </c>
      <c r="AU62" s="230">
        <v>519620</v>
      </c>
      <c r="AV62" s="230">
        <v>4190023</v>
      </c>
      <c r="AW62" s="230">
        <v>589339</v>
      </c>
      <c r="AX62" s="230">
        <v>5726287</v>
      </c>
      <c r="AY62" s="219">
        <v>479467.53</v>
      </c>
      <c r="AZ62" s="219">
        <v>3712515.5</v>
      </c>
      <c r="BA62" s="283"/>
      <c r="BB62" s="219"/>
      <c r="BC62" s="219"/>
      <c r="BD62" s="219"/>
      <c r="BE62" s="219"/>
      <c r="BF62" s="231"/>
      <c r="BG62" s="200"/>
      <c r="BH62" s="231"/>
      <c r="BI62" s="200"/>
      <c r="BJ62" s="219">
        <f t="shared" ref="BJ62:BJ66" si="55">C62+G62+I62+K62+M62+O62+Q62+S62+U62+W62+Y62+AA62+AC62+AE62+AG62+AI62+AK62+AM62+AO62+AQ62+AS62+AU62+AW62+AY62+BB62+BF62</f>
        <v>5463662.96</v>
      </c>
      <c r="BK62" s="208">
        <f t="shared" ref="BK62:BK67" si="56">D62+H62+J62+L62+N62+P62+R62+T62+V62+X62+Z62+AB62+AD62+AF62+AH62+AJ62+AL62+AN62+AP62+AR62+AT62+AV62+AX62+AZ62+BD62+BH62</f>
        <v>37946678.5</v>
      </c>
      <c r="BL62" s="172"/>
      <c r="BM62" s="13"/>
      <c r="BP62" s="231"/>
    </row>
    <row r="63" spans="1:1165">
      <c r="A63" s="206" t="s">
        <v>294</v>
      </c>
      <c r="B63" s="207" t="s">
        <v>87</v>
      </c>
      <c r="C63" s="208">
        <v>0</v>
      </c>
      <c r="D63" s="208">
        <v>0</v>
      </c>
      <c r="E63" s="208">
        <v>0</v>
      </c>
      <c r="F63" s="208">
        <v>0</v>
      </c>
      <c r="G63" s="208">
        <v>0</v>
      </c>
      <c r="H63" s="208">
        <v>0</v>
      </c>
      <c r="I63" s="208">
        <v>5470</v>
      </c>
      <c r="J63" s="208">
        <v>30635</v>
      </c>
      <c r="K63" s="208">
        <v>60</v>
      </c>
      <c r="L63" s="208">
        <v>240</v>
      </c>
      <c r="M63" s="208">
        <v>46422</v>
      </c>
      <c r="N63" s="208">
        <v>52966</v>
      </c>
      <c r="O63" s="208">
        <v>11451</v>
      </c>
      <c r="P63" s="208">
        <v>14134</v>
      </c>
      <c r="Q63" s="208">
        <v>5370</v>
      </c>
      <c r="R63" s="208">
        <v>19875</v>
      </c>
      <c r="S63" s="208">
        <v>2025</v>
      </c>
      <c r="T63" s="208">
        <v>36255</v>
      </c>
      <c r="U63" s="219">
        <v>24026</v>
      </c>
      <c r="V63" s="219">
        <v>116680</v>
      </c>
      <c r="W63" s="219">
        <v>31123</v>
      </c>
      <c r="X63" s="219">
        <v>143716</v>
      </c>
      <c r="Y63" s="219">
        <v>32471</v>
      </c>
      <c r="Z63" s="219">
        <v>162435</v>
      </c>
      <c r="AA63" s="230">
        <v>47361</v>
      </c>
      <c r="AB63" s="230">
        <v>244227</v>
      </c>
      <c r="AC63" s="219">
        <v>121884</v>
      </c>
      <c r="AD63" s="219">
        <v>605423</v>
      </c>
      <c r="AE63" s="200">
        <v>88338</v>
      </c>
      <c r="AF63" s="200">
        <v>438168</v>
      </c>
      <c r="AG63" s="200">
        <v>126389</v>
      </c>
      <c r="AH63" s="200">
        <v>635400</v>
      </c>
      <c r="AI63" s="200">
        <v>148469</v>
      </c>
      <c r="AJ63" s="200">
        <v>803927</v>
      </c>
      <c r="AK63" s="270">
        <v>237095</v>
      </c>
      <c r="AL63" s="270">
        <v>1369608</v>
      </c>
      <c r="AM63" s="273">
        <v>176792</v>
      </c>
      <c r="AN63" s="273">
        <v>963578</v>
      </c>
      <c r="AO63" s="200">
        <v>182314</v>
      </c>
      <c r="AP63" s="200">
        <v>1116035</v>
      </c>
      <c r="AQ63" s="200">
        <v>269339.58</v>
      </c>
      <c r="AR63" s="200">
        <v>1763786</v>
      </c>
      <c r="AS63" s="200">
        <v>188796.26</v>
      </c>
      <c r="AT63" s="200">
        <v>1192908</v>
      </c>
      <c r="AU63" s="230">
        <v>177397</v>
      </c>
      <c r="AV63" s="230">
        <v>1177292</v>
      </c>
      <c r="AW63" s="230">
        <v>350885</v>
      </c>
      <c r="AX63" s="230">
        <v>1349499</v>
      </c>
      <c r="AY63" s="219">
        <v>118305</v>
      </c>
      <c r="AZ63" s="219">
        <v>823364</v>
      </c>
      <c r="BA63" s="200"/>
      <c r="BB63" s="219"/>
      <c r="BC63" s="200"/>
      <c r="BD63" s="219"/>
      <c r="BE63" s="200"/>
      <c r="BF63" s="231"/>
      <c r="BG63" s="200"/>
      <c r="BH63" s="231"/>
      <c r="BI63" s="200"/>
      <c r="BJ63" s="219">
        <f t="shared" si="55"/>
        <v>2391782.84</v>
      </c>
      <c r="BK63" s="208">
        <f t="shared" si="56"/>
        <v>13060151</v>
      </c>
      <c r="BL63" s="172"/>
      <c r="BM63" s="13"/>
      <c r="BP63" s="231"/>
    </row>
    <row r="64" spans="1:1165">
      <c r="A64" s="206" t="s">
        <v>295</v>
      </c>
      <c r="B64" s="207" t="s">
        <v>87</v>
      </c>
      <c r="C64" s="208">
        <v>0</v>
      </c>
      <c r="D64" s="208">
        <v>0</v>
      </c>
      <c r="E64" s="208">
        <v>0</v>
      </c>
      <c r="F64" s="208">
        <v>0</v>
      </c>
      <c r="G64" s="208">
        <v>0</v>
      </c>
      <c r="H64" s="208">
        <v>0</v>
      </c>
      <c r="I64" s="208">
        <v>109307</v>
      </c>
      <c r="J64" s="208">
        <v>218616</v>
      </c>
      <c r="K64" s="208">
        <v>72474</v>
      </c>
      <c r="L64" s="208">
        <v>144945</v>
      </c>
      <c r="M64" s="208">
        <v>47557</v>
      </c>
      <c r="N64" s="208">
        <v>94712</v>
      </c>
      <c r="O64" s="208">
        <v>63113</v>
      </c>
      <c r="P64" s="208">
        <v>125867</v>
      </c>
      <c r="Q64" s="208">
        <v>89478</v>
      </c>
      <c r="R64" s="208">
        <v>178958</v>
      </c>
      <c r="S64" s="208">
        <v>112599</v>
      </c>
      <c r="T64" s="208">
        <v>1092626</v>
      </c>
      <c r="U64" s="219">
        <v>153364</v>
      </c>
      <c r="V64" s="219">
        <v>1683493</v>
      </c>
      <c r="W64" s="219">
        <v>134927</v>
      </c>
      <c r="X64" s="219">
        <v>1260593</v>
      </c>
      <c r="Y64" s="219">
        <v>84595</v>
      </c>
      <c r="Z64" s="219">
        <v>701259</v>
      </c>
      <c r="AA64" s="230">
        <v>44485</v>
      </c>
      <c r="AB64" s="270">
        <v>469114</v>
      </c>
      <c r="AC64" s="208">
        <v>140597</v>
      </c>
      <c r="AD64" s="208">
        <v>428656</v>
      </c>
      <c r="AE64" s="200">
        <v>94634</v>
      </c>
      <c r="AF64" s="200">
        <v>927877</v>
      </c>
      <c r="AG64" s="200">
        <v>118062</v>
      </c>
      <c r="AH64" s="200">
        <v>1877173</v>
      </c>
      <c r="AI64" s="200">
        <v>50242</v>
      </c>
      <c r="AJ64" s="200">
        <v>633258</v>
      </c>
      <c r="AK64" s="270">
        <v>549600</v>
      </c>
      <c r="AL64" s="270">
        <v>3303495</v>
      </c>
      <c r="AM64" s="273">
        <v>210401</v>
      </c>
      <c r="AN64" s="273">
        <v>1324367</v>
      </c>
      <c r="AO64" s="200">
        <v>416078</v>
      </c>
      <c r="AP64" s="200">
        <v>2715818</v>
      </c>
      <c r="AQ64" s="200">
        <v>273067.73</v>
      </c>
      <c r="AR64" s="200">
        <v>1889434</v>
      </c>
      <c r="AS64" s="200">
        <v>257623.28</v>
      </c>
      <c r="AT64" s="200">
        <v>1864118</v>
      </c>
      <c r="AU64" s="230">
        <v>252791</v>
      </c>
      <c r="AV64" s="230">
        <v>1944452</v>
      </c>
      <c r="AW64" s="230">
        <v>352261</v>
      </c>
      <c r="AX64" s="230">
        <v>3543190</v>
      </c>
      <c r="AY64" s="219">
        <v>299143</v>
      </c>
      <c r="AZ64" s="219">
        <v>2814594</v>
      </c>
      <c r="BA64" s="283"/>
      <c r="BB64" s="219"/>
      <c r="BC64" s="219"/>
      <c r="BD64" s="219"/>
      <c r="BE64" s="219"/>
      <c r="BF64" s="231"/>
      <c r="BG64" s="200"/>
      <c r="BH64" s="231"/>
      <c r="BI64" s="200"/>
      <c r="BJ64" s="219">
        <f t="shared" si="55"/>
        <v>3926399.01</v>
      </c>
      <c r="BK64" s="208">
        <f t="shared" si="56"/>
        <v>29236615</v>
      </c>
      <c r="BL64" s="172"/>
      <c r="BM64" s="13"/>
      <c r="BP64" s="231"/>
    </row>
    <row r="65" spans="1:1165">
      <c r="A65" s="206" t="s">
        <v>296</v>
      </c>
      <c r="B65" s="207" t="s">
        <v>87</v>
      </c>
      <c r="C65" s="208">
        <v>0</v>
      </c>
      <c r="D65" s="208">
        <v>0</v>
      </c>
      <c r="E65" s="208">
        <v>0</v>
      </c>
      <c r="F65" s="208">
        <v>0</v>
      </c>
      <c r="G65" s="208">
        <v>0</v>
      </c>
      <c r="H65" s="208">
        <v>0</v>
      </c>
      <c r="I65" s="208">
        <v>21673</v>
      </c>
      <c r="J65" s="208">
        <v>54371</v>
      </c>
      <c r="K65" s="208">
        <v>125405</v>
      </c>
      <c r="L65" s="208">
        <v>343272</v>
      </c>
      <c r="M65" s="208">
        <v>236768</v>
      </c>
      <c r="N65" s="208">
        <v>1146541</v>
      </c>
      <c r="O65" s="208">
        <v>1057832</v>
      </c>
      <c r="P65" s="208">
        <v>1937243</v>
      </c>
      <c r="Q65" s="208">
        <v>1147184</v>
      </c>
      <c r="R65" s="208">
        <v>3300083</v>
      </c>
      <c r="S65" s="208">
        <v>933608</v>
      </c>
      <c r="T65" s="208">
        <v>2435871</v>
      </c>
      <c r="U65" s="219">
        <v>539628</v>
      </c>
      <c r="V65" s="219">
        <v>1586184</v>
      </c>
      <c r="W65" s="219">
        <v>759955</v>
      </c>
      <c r="X65" s="219">
        <v>1928983</v>
      </c>
      <c r="Y65" s="219">
        <v>563731</v>
      </c>
      <c r="Z65" s="219">
        <v>2489603</v>
      </c>
      <c r="AA65" s="200">
        <v>781523</v>
      </c>
      <c r="AB65" s="200">
        <v>4121913</v>
      </c>
      <c r="AC65" s="208">
        <v>1025359</v>
      </c>
      <c r="AD65" s="208">
        <v>5201858</v>
      </c>
      <c r="AE65" s="200">
        <v>2445633</v>
      </c>
      <c r="AF65" s="200">
        <v>10268681</v>
      </c>
      <c r="AG65" s="200">
        <v>1894690</v>
      </c>
      <c r="AH65" s="200">
        <v>8834803</v>
      </c>
      <c r="AI65" s="200">
        <v>1706340</v>
      </c>
      <c r="AJ65" s="200">
        <v>7672398</v>
      </c>
      <c r="AK65" s="270">
        <v>1429967</v>
      </c>
      <c r="AL65" s="270">
        <v>6333052</v>
      </c>
      <c r="AM65" s="273">
        <v>1577080</v>
      </c>
      <c r="AN65" s="273">
        <v>7723332</v>
      </c>
      <c r="AO65" s="200">
        <v>1689533</v>
      </c>
      <c r="AP65" s="200">
        <v>7590537</v>
      </c>
      <c r="AQ65" s="200">
        <v>1903951.02</v>
      </c>
      <c r="AR65" s="200">
        <v>8844934</v>
      </c>
      <c r="AS65" s="200">
        <v>1563907.82</v>
      </c>
      <c r="AT65" s="200">
        <v>7269988.0600000005</v>
      </c>
      <c r="AU65" s="230">
        <v>1175262</v>
      </c>
      <c r="AV65" s="230">
        <v>5756683</v>
      </c>
      <c r="AW65" s="230">
        <v>1682388</v>
      </c>
      <c r="AX65" s="230">
        <v>7831502</v>
      </c>
      <c r="AY65" s="219">
        <v>1648382</v>
      </c>
      <c r="AZ65" s="219">
        <v>8037588</v>
      </c>
      <c r="BA65" s="200"/>
      <c r="BB65" s="219"/>
      <c r="BC65" s="200"/>
      <c r="BD65" s="219"/>
      <c r="BE65" s="200"/>
      <c r="BF65" s="231"/>
      <c r="BG65" s="200"/>
      <c r="BH65" s="231"/>
      <c r="BI65" s="200"/>
      <c r="BJ65" s="219">
        <f t="shared" si="55"/>
        <v>25909799.84</v>
      </c>
      <c r="BK65" s="208">
        <f t="shared" si="56"/>
        <v>110709420.06</v>
      </c>
      <c r="BL65" s="172"/>
      <c r="BM65" s="13"/>
      <c r="BP65" s="231"/>
    </row>
    <row r="66" spans="1:1165">
      <c r="A66" s="206" t="s">
        <v>196</v>
      </c>
      <c r="B66" s="207" t="s">
        <v>87</v>
      </c>
      <c r="C66" s="268">
        <f>681+84</f>
        <v>765</v>
      </c>
      <c r="D66" s="268">
        <f>4020+3486</f>
        <v>7506</v>
      </c>
      <c r="E66" s="208">
        <v>0</v>
      </c>
      <c r="F66" s="208">
        <v>0</v>
      </c>
      <c r="G66" s="208">
        <v>0</v>
      </c>
      <c r="H66" s="208">
        <v>0</v>
      </c>
      <c r="I66" s="208">
        <v>50</v>
      </c>
      <c r="J66" s="208">
        <v>1250</v>
      </c>
      <c r="K66" s="208">
        <v>0</v>
      </c>
      <c r="L66" s="208">
        <v>0</v>
      </c>
      <c r="M66" s="208">
        <v>0</v>
      </c>
      <c r="N66" s="208">
        <v>0</v>
      </c>
      <c r="O66" s="208">
        <v>0</v>
      </c>
      <c r="P66" s="208">
        <v>0</v>
      </c>
      <c r="Q66" s="208">
        <v>20</v>
      </c>
      <c r="R66" s="208">
        <v>40</v>
      </c>
      <c r="S66" s="200">
        <v>0</v>
      </c>
      <c r="T66" s="200">
        <v>0</v>
      </c>
      <c r="U66" s="200">
        <v>0</v>
      </c>
      <c r="V66" s="200">
        <v>0</v>
      </c>
      <c r="W66" s="200">
        <v>0</v>
      </c>
      <c r="X66" s="200">
        <v>0</v>
      </c>
      <c r="Y66" s="200">
        <v>0</v>
      </c>
      <c r="Z66" s="200">
        <v>0</v>
      </c>
      <c r="AA66" s="230">
        <v>0</v>
      </c>
      <c r="AB66" s="230">
        <v>0</v>
      </c>
      <c r="AC66" s="200">
        <v>0</v>
      </c>
      <c r="AD66" s="200">
        <v>0</v>
      </c>
      <c r="AE66" s="200">
        <v>0</v>
      </c>
      <c r="AF66" s="200">
        <v>0</v>
      </c>
      <c r="AG66" s="200">
        <v>0</v>
      </c>
      <c r="AH66" s="200">
        <v>0</v>
      </c>
      <c r="AI66" s="200">
        <v>92</v>
      </c>
      <c r="AJ66" s="200">
        <v>21823</v>
      </c>
      <c r="AK66" s="270">
        <v>0</v>
      </c>
      <c r="AL66" s="139">
        <v>0</v>
      </c>
      <c r="AM66" s="200">
        <v>0</v>
      </c>
      <c r="AN66" s="200">
        <v>0</v>
      </c>
      <c r="AO66" s="200">
        <v>0</v>
      </c>
      <c r="AP66" s="200">
        <v>0</v>
      </c>
      <c r="AQ66" s="200">
        <v>0</v>
      </c>
      <c r="AR66" s="200">
        <v>0</v>
      </c>
      <c r="AS66" s="200">
        <v>1100</v>
      </c>
      <c r="AT66" s="200">
        <v>55000</v>
      </c>
      <c r="AU66" s="230">
        <v>0</v>
      </c>
      <c r="AV66" s="230">
        <v>0</v>
      </c>
      <c r="AW66" s="200">
        <v>868</v>
      </c>
      <c r="AX66" s="230">
        <v>47740</v>
      </c>
      <c r="AY66" s="219">
        <v>0</v>
      </c>
      <c r="AZ66" s="219">
        <v>0</v>
      </c>
      <c r="BA66" s="232"/>
      <c r="BB66" s="279"/>
      <c r="BC66" s="279"/>
      <c r="BD66" s="279"/>
      <c r="BE66" s="279"/>
      <c r="BF66" s="231"/>
      <c r="BG66" s="231"/>
      <c r="BH66" s="231"/>
      <c r="BI66" s="232"/>
      <c r="BJ66" s="219">
        <f t="shared" si="55"/>
        <v>2895</v>
      </c>
      <c r="BK66" s="208">
        <f t="shared" si="56"/>
        <v>133359</v>
      </c>
      <c r="BL66" s="172"/>
      <c r="BM66" s="13"/>
      <c r="BP66" s="231"/>
    </row>
    <row r="67" spans="1:1165">
      <c r="A67" s="209" t="s">
        <v>197</v>
      </c>
      <c r="B67" s="139"/>
      <c r="C67" s="281"/>
      <c r="D67" s="281">
        <f>SUM(D62:D66)</f>
        <v>7506</v>
      </c>
      <c r="E67" s="219"/>
      <c r="F67" s="219">
        <f>SUM(F62:F66)</f>
        <v>0</v>
      </c>
      <c r="G67" s="219"/>
      <c r="H67" s="219">
        <v>0</v>
      </c>
      <c r="I67" s="219"/>
      <c r="J67" s="219">
        <f>SUM(J62:J66)</f>
        <v>336942</v>
      </c>
      <c r="K67" s="219"/>
      <c r="L67" s="219">
        <f>SUM(L62:L66)</f>
        <v>505943</v>
      </c>
      <c r="M67" s="219"/>
      <c r="N67" s="219">
        <f>SUM(N62:N66)</f>
        <v>1363915</v>
      </c>
      <c r="O67" s="219"/>
      <c r="P67" s="219">
        <f>SUM(P62:P66)</f>
        <v>3116672</v>
      </c>
      <c r="Q67" s="219"/>
      <c r="R67" s="219">
        <f>SUM(R62:R66)</f>
        <v>4176203</v>
      </c>
      <c r="S67" s="219"/>
      <c r="T67" s="219">
        <f>SUM(T62:T66)</f>
        <v>4455572</v>
      </c>
      <c r="U67" s="200"/>
      <c r="V67" s="200">
        <f>SUM(V62:V66)</f>
        <v>4672665</v>
      </c>
      <c r="W67" s="200"/>
      <c r="X67" s="219">
        <f>SUM(X62:X66)</f>
        <v>4360015</v>
      </c>
      <c r="Y67" s="200"/>
      <c r="Z67" s="219">
        <f>SUM(Z62:Z66)</f>
        <v>3653839</v>
      </c>
      <c r="AA67" s="200"/>
      <c r="AB67" s="230">
        <f>SUM(AB62:AB66)</f>
        <v>5554521</v>
      </c>
      <c r="AC67" s="208"/>
      <c r="AD67" s="208">
        <f>SUM(AD62:AD66)</f>
        <v>7134229</v>
      </c>
      <c r="AE67" s="200"/>
      <c r="AF67" s="230">
        <f>SUM(AF62:AF66)</f>
        <v>13069913</v>
      </c>
      <c r="AG67" s="200"/>
      <c r="AH67" s="200">
        <f>SUM(AH62:AH66)</f>
        <v>12007159</v>
      </c>
      <c r="AI67" s="200"/>
      <c r="AJ67" s="200">
        <f>SUM(AJ62:AJ66)</f>
        <v>11611723</v>
      </c>
      <c r="AK67" s="200"/>
      <c r="AL67" s="270">
        <v>14299017</v>
      </c>
      <c r="AM67" s="200"/>
      <c r="AN67" s="200">
        <f>SUM(AN62:AN66)</f>
        <v>12870233</v>
      </c>
      <c r="AO67" s="200"/>
      <c r="AP67" s="200">
        <f>SUM(AP62:AP66)</f>
        <v>14002592</v>
      </c>
      <c r="AQ67" s="200"/>
      <c r="AR67" s="200">
        <v>14527437</v>
      </c>
      <c r="AS67" s="200"/>
      <c r="AT67" s="200">
        <f>SUM(AT62:AT66)</f>
        <v>12405398.060000001</v>
      </c>
      <c r="AU67" s="200"/>
      <c r="AV67" s="230">
        <v>13068450</v>
      </c>
      <c r="AW67" s="200"/>
      <c r="AX67" s="230">
        <f>SUM(AX62:AX66)</f>
        <v>18498218</v>
      </c>
      <c r="AY67" s="219"/>
      <c r="AZ67" s="219">
        <v>15388061</v>
      </c>
      <c r="BA67" s="277"/>
      <c r="BB67" s="219"/>
      <c r="BC67" s="200"/>
      <c r="BD67" s="219"/>
      <c r="BE67" s="200"/>
      <c r="BF67" s="231"/>
      <c r="BG67" s="231"/>
      <c r="BH67" s="231"/>
      <c r="BI67" s="200"/>
      <c r="BJ67" s="219"/>
      <c r="BK67" s="208">
        <f t="shared" si="56"/>
        <v>191086223.06</v>
      </c>
      <c r="BL67" s="172"/>
      <c r="BM67" s="13"/>
      <c r="BP67" s="231"/>
    </row>
    <row r="68" spans="1:1165">
      <c r="A68" s="212"/>
      <c r="B68" s="139"/>
      <c r="C68" s="281"/>
      <c r="D68" s="281"/>
      <c r="E68" s="219"/>
      <c r="F68" s="219"/>
      <c r="G68" s="219"/>
      <c r="H68" s="219"/>
      <c r="I68" s="219"/>
      <c r="J68" s="219"/>
      <c r="K68" s="219"/>
      <c r="L68" s="219"/>
      <c r="M68" s="219"/>
      <c r="N68" s="219"/>
      <c r="O68" s="219"/>
      <c r="P68" s="219"/>
      <c r="Q68" s="219"/>
      <c r="R68" s="219"/>
      <c r="S68" s="219"/>
      <c r="T68" s="219"/>
      <c r="U68" s="200"/>
      <c r="V68" s="200"/>
      <c r="W68" s="200"/>
      <c r="X68" s="219"/>
      <c r="Y68" s="200"/>
      <c r="Z68" s="219"/>
      <c r="AA68" s="200"/>
      <c r="AB68" s="230"/>
      <c r="AC68" s="208"/>
      <c r="AD68" s="208"/>
      <c r="AE68" s="200"/>
      <c r="AF68" s="230"/>
      <c r="AG68" s="200"/>
      <c r="AH68" s="230"/>
      <c r="AI68" s="200"/>
      <c r="AJ68" s="230"/>
      <c r="AK68" s="200"/>
      <c r="AL68" s="230"/>
      <c r="AM68" s="200"/>
      <c r="AN68" s="200"/>
      <c r="AO68" s="200"/>
      <c r="AP68" s="200"/>
      <c r="AQ68" s="200"/>
      <c r="AR68" s="200"/>
      <c r="AS68" s="200"/>
      <c r="AT68" s="200"/>
      <c r="AU68" s="200"/>
      <c r="AV68" s="230"/>
      <c r="AW68" s="249"/>
      <c r="AX68" s="249"/>
      <c r="AY68" s="219"/>
      <c r="AZ68" s="219"/>
      <c r="BA68" s="283"/>
      <c r="BB68" s="219"/>
      <c r="BC68" s="219"/>
      <c r="BD68" s="219"/>
      <c r="BE68" s="219"/>
      <c r="BF68" s="219"/>
      <c r="BG68" s="219"/>
      <c r="BH68" s="219"/>
      <c r="BI68" s="283"/>
      <c r="BJ68" s="219"/>
      <c r="BK68" s="219"/>
      <c r="BL68" s="172"/>
      <c r="BM68" s="13"/>
      <c r="BP68" s="231"/>
    </row>
    <row r="69" spans="1:1165" s="257" customFormat="1">
      <c r="A69" s="194" t="s">
        <v>198</v>
      </c>
      <c r="B69" s="195" t="s">
        <v>199</v>
      </c>
      <c r="C69" s="258" t="s">
        <v>236</v>
      </c>
      <c r="D69" s="258">
        <v>48</v>
      </c>
      <c r="E69" s="196">
        <v>0</v>
      </c>
      <c r="F69" s="196">
        <v>0</v>
      </c>
      <c r="G69" s="196">
        <v>0</v>
      </c>
      <c r="H69" s="196">
        <v>0</v>
      </c>
      <c r="I69" s="196">
        <v>0</v>
      </c>
      <c r="J69" s="196">
        <v>0</v>
      </c>
      <c r="K69" s="198">
        <v>6539544</v>
      </c>
      <c r="L69" s="198">
        <v>68978807</v>
      </c>
      <c r="M69" s="198">
        <v>5692193</v>
      </c>
      <c r="N69" s="198">
        <v>45155034</v>
      </c>
      <c r="O69" s="198">
        <v>7070062</v>
      </c>
      <c r="P69" s="198">
        <v>64367369</v>
      </c>
      <c r="Q69" s="198">
        <v>29232453</v>
      </c>
      <c r="R69" s="198">
        <v>256963424</v>
      </c>
      <c r="S69" s="198">
        <v>30331701</v>
      </c>
      <c r="T69" s="198">
        <v>246517116</v>
      </c>
      <c r="U69" s="211">
        <v>35220858</v>
      </c>
      <c r="V69" s="211">
        <v>302495527</v>
      </c>
      <c r="W69" s="211">
        <v>37505444</v>
      </c>
      <c r="X69" s="211">
        <v>427446772</v>
      </c>
      <c r="Y69" s="211">
        <v>31182964</v>
      </c>
      <c r="Z69" s="211">
        <v>429928200</v>
      </c>
      <c r="AA69" s="226">
        <v>33358098</v>
      </c>
      <c r="AB69" s="226">
        <v>456926660</v>
      </c>
      <c r="AC69" s="198">
        <v>41453238</v>
      </c>
      <c r="AD69" s="198">
        <v>565061845</v>
      </c>
      <c r="AE69" s="196">
        <v>22649491</v>
      </c>
      <c r="AF69" s="196">
        <v>486770824</v>
      </c>
      <c r="AG69" s="196">
        <v>27716403</v>
      </c>
      <c r="AH69" s="196">
        <v>470342571</v>
      </c>
      <c r="AI69" s="196">
        <v>23451750</v>
      </c>
      <c r="AJ69" s="196">
        <v>480150004</v>
      </c>
      <c r="AK69" s="260">
        <v>47425602</v>
      </c>
      <c r="AL69" s="260">
        <v>442006326</v>
      </c>
      <c r="AM69" s="261">
        <v>40421889</v>
      </c>
      <c r="AN69" s="261">
        <v>421193947</v>
      </c>
      <c r="AO69" s="196">
        <v>52274315</v>
      </c>
      <c r="AP69" s="196">
        <v>642392647</v>
      </c>
      <c r="AQ69" s="196">
        <v>51641931</v>
      </c>
      <c r="AR69" s="196">
        <v>640057980</v>
      </c>
      <c r="AS69" s="196">
        <v>42300118</v>
      </c>
      <c r="AT69" s="196">
        <v>713684538</v>
      </c>
      <c r="AU69" s="226">
        <v>21679930</v>
      </c>
      <c r="AV69" s="226">
        <v>499534159</v>
      </c>
      <c r="AW69" s="291">
        <v>34371491</v>
      </c>
      <c r="AX69" s="291">
        <v>650344132</v>
      </c>
      <c r="AY69" s="198">
        <v>35478981</v>
      </c>
      <c r="AZ69" s="198">
        <v>661857630</v>
      </c>
      <c r="BA69" s="263"/>
      <c r="BB69" s="198"/>
      <c r="BC69" s="263"/>
      <c r="BD69" s="198"/>
      <c r="BE69" s="263"/>
      <c r="BF69" s="198"/>
      <c r="BG69" s="263"/>
      <c r="BH69" s="198"/>
      <c r="BI69" s="263"/>
      <c r="BJ69" s="198" t="e">
        <f>C69+G69+I69+K69+M69+O69+Q69+S69+U69+W69+Y69+AA69+AC69+AE69+AG69+AI69+AK69+AM69+AO69+AQ69+AS69+AU69+AW69+AY69+BB69+BF69</f>
        <v>#VALUE!</v>
      </c>
      <c r="BK69" s="198">
        <f>D69+H69+J69+L69+N69+P69+R69+T69+V69+X69+Z69+AB69+AD69+AF69+AH69+AJ69+AL69+AN69+AP69+AR69+AT69+AV69+AX69+AZ69+BD69+BH69</f>
        <v>8972175560</v>
      </c>
      <c r="BL69" s="172"/>
      <c r="BM69" s="13"/>
      <c r="BN69" s="172"/>
      <c r="BO69" s="172"/>
      <c r="BP69" s="231"/>
      <c r="BQ69" s="172"/>
      <c r="BR69" s="172"/>
      <c r="BS69" s="172"/>
      <c r="BT69" s="172"/>
      <c r="BU69" s="172"/>
      <c r="BV69" s="172"/>
      <c r="BW69" s="172"/>
      <c r="BX69" s="172"/>
      <c r="BY69" s="172"/>
      <c r="BZ69" s="172"/>
      <c r="CA69" s="172"/>
      <c r="CB69" s="172"/>
      <c r="CC69" s="172"/>
      <c r="CD69" s="172"/>
      <c r="CE69" s="172"/>
      <c r="CF69" s="172"/>
      <c r="CG69" s="172"/>
      <c r="CH69" s="172"/>
      <c r="CI69" s="172"/>
      <c r="CJ69" s="172"/>
      <c r="CK69" s="172"/>
      <c r="CL69" s="172"/>
      <c r="CM69" s="172"/>
      <c r="CN69" s="172"/>
      <c r="CO69" s="172"/>
      <c r="CP69" s="172"/>
      <c r="CQ69" s="172"/>
      <c r="CR69" s="172"/>
      <c r="CS69" s="172"/>
      <c r="CT69" s="172"/>
      <c r="CU69" s="172"/>
      <c r="CV69" s="172"/>
      <c r="CW69" s="172"/>
      <c r="CX69" s="172"/>
      <c r="CY69" s="172"/>
      <c r="CZ69" s="172"/>
      <c r="DA69" s="172"/>
      <c r="DB69" s="172"/>
      <c r="DC69" s="172"/>
      <c r="DD69" s="172"/>
      <c r="DE69" s="172"/>
      <c r="DF69" s="172"/>
      <c r="DG69" s="172"/>
      <c r="DH69" s="172"/>
      <c r="DI69" s="172"/>
      <c r="DJ69" s="172"/>
      <c r="DK69" s="172"/>
      <c r="DL69" s="172"/>
      <c r="DM69" s="172"/>
      <c r="DN69" s="172"/>
      <c r="DO69" s="172"/>
      <c r="DP69" s="172"/>
      <c r="DQ69" s="172"/>
      <c r="DR69" s="172"/>
      <c r="DS69" s="172"/>
      <c r="DT69" s="172"/>
      <c r="DU69" s="172"/>
      <c r="DV69" s="172"/>
      <c r="DW69" s="172"/>
      <c r="DX69" s="172"/>
      <c r="DY69" s="172"/>
      <c r="DZ69" s="172"/>
      <c r="EA69" s="172"/>
      <c r="EB69" s="172"/>
      <c r="EC69" s="172"/>
      <c r="ED69" s="172"/>
      <c r="EE69" s="172"/>
      <c r="EF69" s="172"/>
      <c r="EG69" s="172"/>
      <c r="EH69" s="172"/>
      <c r="EI69" s="172"/>
      <c r="EJ69" s="172"/>
      <c r="EK69" s="172"/>
      <c r="EL69" s="172"/>
      <c r="EM69" s="172"/>
      <c r="EN69" s="172"/>
      <c r="EO69" s="172"/>
      <c r="EP69" s="172"/>
      <c r="EQ69" s="172"/>
      <c r="ER69" s="172"/>
      <c r="ES69" s="172"/>
      <c r="ET69" s="172"/>
      <c r="EU69" s="172"/>
      <c r="EV69" s="172"/>
      <c r="EW69" s="172"/>
      <c r="EX69" s="172"/>
      <c r="EY69" s="172"/>
      <c r="EZ69" s="172"/>
      <c r="FA69" s="172"/>
      <c r="FB69" s="172"/>
      <c r="FC69" s="172"/>
      <c r="FD69" s="172"/>
      <c r="FE69" s="172"/>
      <c r="FF69" s="172"/>
      <c r="FG69" s="172"/>
      <c r="FH69" s="172"/>
      <c r="FI69" s="172"/>
      <c r="FJ69" s="172"/>
      <c r="FK69" s="172"/>
      <c r="FL69" s="172"/>
      <c r="FM69" s="172"/>
      <c r="FN69" s="172"/>
      <c r="FO69" s="172"/>
      <c r="FP69" s="172"/>
      <c r="FQ69" s="172"/>
      <c r="FR69" s="172"/>
      <c r="FS69" s="172"/>
      <c r="FT69" s="172"/>
      <c r="FU69" s="172"/>
      <c r="FV69" s="172"/>
      <c r="FW69" s="172"/>
      <c r="FX69" s="172"/>
      <c r="FY69" s="172"/>
      <c r="FZ69" s="172"/>
      <c r="GA69" s="172"/>
      <c r="GB69" s="172"/>
      <c r="GC69" s="172"/>
      <c r="GD69" s="172"/>
      <c r="GE69" s="172"/>
      <c r="GF69" s="172"/>
      <c r="GG69" s="172"/>
      <c r="GH69" s="172"/>
      <c r="GI69" s="172"/>
      <c r="GJ69" s="172"/>
      <c r="GK69" s="172"/>
      <c r="GL69" s="172"/>
      <c r="GM69" s="172"/>
      <c r="GN69" s="172"/>
      <c r="GO69" s="172"/>
      <c r="GP69" s="172"/>
      <c r="GQ69" s="172"/>
      <c r="GR69" s="172"/>
      <c r="GS69" s="172"/>
      <c r="GT69" s="172"/>
      <c r="GU69" s="172"/>
      <c r="GV69" s="172"/>
      <c r="GW69" s="172"/>
      <c r="GX69" s="172"/>
      <c r="GY69" s="172"/>
      <c r="GZ69" s="172"/>
      <c r="HA69" s="172"/>
      <c r="HB69" s="172"/>
      <c r="HC69" s="172"/>
      <c r="HD69" s="172"/>
      <c r="HE69" s="172"/>
      <c r="HF69" s="172"/>
      <c r="HG69" s="172"/>
      <c r="HH69" s="172"/>
      <c r="HI69" s="172"/>
      <c r="HJ69" s="172"/>
      <c r="HK69" s="172"/>
      <c r="HL69" s="172"/>
      <c r="HM69" s="172"/>
      <c r="HN69" s="172"/>
      <c r="HO69" s="172"/>
      <c r="HP69" s="172"/>
      <c r="HQ69" s="172"/>
      <c r="HR69" s="172"/>
      <c r="HS69" s="172"/>
      <c r="HT69" s="172"/>
      <c r="HU69" s="172"/>
      <c r="HV69" s="172"/>
      <c r="HW69" s="172"/>
      <c r="HX69" s="172"/>
      <c r="HY69" s="172"/>
      <c r="HZ69" s="172"/>
      <c r="IA69" s="172"/>
      <c r="IB69" s="172"/>
      <c r="IC69" s="172"/>
      <c r="ID69" s="172"/>
      <c r="IE69" s="172"/>
      <c r="IF69" s="172"/>
      <c r="IG69" s="172"/>
      <c r="IH69" s="172"/>
      <c r="II69" s="172"/>
      <c r="IJ69" s="172"/>
      <c r="IK69" s="172"/>
      <c r="IL69" s="172"/>
      <c r="IM69" s="172"/>
      <c r="IN69" s="172"/>
      <c r="IO69" s="172"/>
      <c r="IP69" s="172"/>
      <c r="IQ69" s="172"/>
      <c r="IR69" s="172"/>
      <c r="IS69" s="172"/>
      <c r="IT69" s="172"/>
      <c r="IU69" s="172"/>
      <c r="IV69" s="172"/>
      <c r="IW69" s="172"/>
      <c r="IX69" s="172"/>
      <c r="IY69" s="172"/>
      <c r="IZ69" s="172"/>
      <c r="JA69" s="172"/>
      <c r="JB69" s="172"/>
      <c r="JC69" s="172"/>
      <c r="JD69" s="172"/>
      <c r="JE69" s="172"/>
      <c r="JF69" s="172"/>
      <c r="JG69" s="172"/>
      <c r="JH69" s="172"/>
      <c r="JI69" s="172"/>
      <c r="JJ69" s="172"/>
      <c r="JK69" s="172"/>
      <c r="JL69" s="172"/>
      <c r="JM69" s="172"/>
      <c r="JN69" s="172"/>
      <c r="JO69" s="172"/>
      <c r="JP69" s="172"/>
      <c r="JQ69" s="172"/>
      <c r="JR69" s="172"/>
      <c r="JS69" s="172"/>
      <c r="JT69" s="172"/>
      <c r="JU69" s="172"/>
      <c r="JV69" s="172"/>
      <c r="JW69" s="172"/>
      <c r="JX69" s="172"/>
      <c r="JY69" s="172"/>
      <c r="JZ69" s="172"/>
      <c r="KA69" s="172"/>
      <c r="KB69" s="172"/>
      <c r="KC69" s="172"/>
      <c r="KD69" s="172"/>
      <c r="KE69" s="172"/>
      <c r="KF69" s="172"/>
      <c r="KG69" s="172"/>
      <c r="KH69" s="172"/>
      <c r="KI69" s="172"/>
      <c r="KJ69" s="172"/>
      <c r="KK69" s="172"/>
      <c r="KL69" s="172"/>
      <c r="KM69" s="172"/>
      <c r="KN69" s="172"/>
      <c r="KO69" s="172"/>
      <c r="KP69" s="172"/>
      <c r="KQ69" s="172"/>
      <c r="KR69" s="172"/>
      <c r="KS69" s="172"/>
      <c r="KT69" s="172"/>
      <c r="KU69" s="172"/>
      <c r="KV69" s="172"/>
      <c r="KW69" s="172"/>
      <c r="KX69" s="172"/>
      <c r="KY69" s="172"/>
      <c r="KZ69" s="172"/>
      <c r="LA69" s="172"/>
      <c r="LB69" s="172"/>
      <c r="LC69" s="172"/>
      <c r="LD69" s="172"/>
      <c r="LE69" s="172"/>
      <c r="LF69" s="172"/>
      <c r="LG69" s="172"/>
      <c r="LH69" s="172"/>
      <c r="LI69" s="172"/>
      <c r="LJ69" s="172"/>
      <c r="LK69" s="172"/>
      <c r="LL69" s="172"/>
      <c r="LM69" s="172"/>
      <c r="LN69" s="172"/>
      <c r="LO69" s="172"/>
      <c r="LP69" s="172"/>
      <c r="LQ69" s="172"/>
      <c r="LR69" s="172"/>
      <c r="LS69" s="172"/>
      <c r="LT69" s="172"/>
      <c r="LU69" s="172"/>
      <c r="LV69" s="172"/>
      <c r="LW69" s="172"/>
      <c r="LX69" s="172"/>
      <c r="LY69" s="172"/>
      <c r="LZ69" s="172"/>
      <c r="MA69" s="172"/>
      <c r="MB69" s="172"/>
      <c r="MC69" s="172"/>
      <c r="MD69" s="172"/>
      <c r="ME69" s="172"/>
      <c r="MF69" s="172"/>
      <c r="MG69" s="172"/>
      <c r="MH69" s="172"/>
      <c r="MI69" s="172"/>
      <c r="MJ69" s="172"/>
      <c r="MK69" s="172"/>
      <c r="ML69" s="172"/>
      <c r="MM69" s="172"/>
      <c r="MN69" s="172"/>
      <c r="MO69" s="172"/>
      <c r="MP69" s="172"/>
      <c r="MQ69" s="172"/>
      <c r="MR69" s="172"/>
      <c r="MS69" s="172"/>
      <c r="MT69" s="172"/>
      <c r="MU69" s="172"/>
      <c r="MV69" s="172"/>
      <c r="MW69" s="172"/>
      <c r="MX69" s="172"/>
      <c r="MY69" s="172"/>
      <c r="MZ69" s="172"/>
      <c r="NA69" s="172"/>
      <c r="NB69" s="172"/>
      <c r="NC69" s="172"/>
      <c r="ND69" s="172"/>
      <c r="NE69" s="172"/>
      <c r="NF69" s="172"/>
      <c r="NG69" s="172"/>
      <c r="NH69" s="172"/>
      <c r="NI69" s="172"/>
      <c r="NJ69" s="172"/>
      <c r="NK69" s="172"/>
      <c r="NL69" s="172"/>
      <c r="NM69" s="172"/>
      <c r="NN69" s="172"/>
      <c r="NO69" s="172"/>
      <c r="NP69" s="172"/>
      <c r="NQ69" s="172"/>
      <c r="NR69" s="172"/>
      <c r="NS69" s="172"/>
      <c r="NT69" s="172"/>
      <c r="NU69" s="172"/>
      <c r="NV69" s="172"/>
      <c r="NW69" s="172"/>
      <c r="NX69" s="172"/>
      <c r="NY69" s="172"/>
      <c r="NZ69" s="172"/>
      <c r="OA69" s="172"/>
      <c r="OB69" s="172"/>
      <c r="OC69" s="172"/>
      <c r="OD69" s="172"/>
      <c r="OE69" s="172"/>
      <c r="OF69" s="172"/>
      <c r="OG69" s="172"/>
      <c r="OH69" s="172"/>
      <c r="OI69" s="172"/>
      <c r="OJ69" s="172"/>
      <c r="OK69" s="172"/>
      <c r="OL69" s="172"/>
      <c r="OM69" s="172"/>
      <c r="ON69" s="172"/>
      <c r="OO69" s="172"/>
      <c r="OP69" s="172"/>
      <c r="OQ69" s="172"/>
      <c r="OR69" s="172"/>
      <c r="OS69" s="172"/>
      <c r="OT69" s="172"/>
      <c r="OU69" s="172"/>
      <c r="OV69" s="172"/>
      <c r="OW69" s="172"/>
      <c r="OX69" s="172"/>
      <c r="OY69" s="172"/>
      <c r="OZ69" s="172"/>
      <c r="PA69" s="172"/>
      <c r="PB69" s="172"/>
      <c r="PC69" s="172"/>
      <c r="PD69" s="172"/>
      <c r="PE69" s="172"/>
      <c r="PF69" s="172"/>
      <c r="PG69" s="172"/>
      <c r="PH69" s="172"/>
      <c r="PI69" s="172"/>
      <c r="PJ69" s="172"/>
      <c r="PK69" s="172"/>
      <c r="PL69" s="172"/>
      <c r="PM69" s="172"/>
      <c r="PN69" s="172"/>
      <c r="PO69" s="172"/>
      <c r="PP69" s="172"/>
      <c r="PQ69" s="172"/>
      <c r="PR69" s="172"/>
      <c r="PS69" s="172"/>
      <c r="PT69" s="172"/>
      <c r="PU69" s="172"/>
      <c r="PV69" s="172"/>
      <c r="PW69" s="172"/>
      <c r="PX69" s="172"/>
      <c r="PY69" s="172"/>
      <c r="PZ69" s="172"/>
      <c r="QA69" s="172"/>
      <c r="QB69" s="172"/>
      <c r="QC69" s="172"/>
      <c r="QD69" s="172"/>
      <c r="QE69" s="172"/>
      <c r="QF69" s="172"/>
      <c r="QG69" s="172"/>
      <c r="QH69" s="172"/>
      <c r="QI69" s="172"/>
      <c r="QJ69" s="172"/>
      <c r="QK69" s="172"/>
      <c r="QL69" s="172"/>
      <c r="QM69" s="172"/>
      <c r="QN69" s="172"/>
      <c r="QO69" s="172"/>
      <c r="QP69" s="172"/>
      <c r="QQ69" s="172"/>
      <c r="QR69" s="172"/>
      <c r="QS69" s="172"/>
      <c r="QT69" s="172"/>
      <c r="QU69" s="172"/>
      <c r="QV69" s="172"/>
      <c r="QW69" s="172"/>
      <c r="QX69" s="172"/>
      <c r="QY69" s="172"/>
      <c r="QZ69" s="172"/>
      <c r="RA69" s="172"/>
      <c r="RB69" s="172"/>
      <c r="RC69" s="172"/>
      <c r="RD69" s="172"/>
      <c r="RE69" s="172"/>
      <c r="RF69" s="172"/>
      <c r="RG69" s="172"/>
      <c r="RH69" s="172"/>
      <c r="RI69" s="172"/>
      <c r="RJ69" s="172"/>
      <c r="RK69" s="172"/>
      <c r="RL69" s="172"/>
      <c r="RM69" s="172"/>
      <c r="RN69" s="172"/>
      <c r="RO69" s="172"/>
      <c r="RP69" s="172"/>
      <c r="RQ69" s="172"/>
      <c r="RR69" s="172"/>
      <c r="RS69" s="172"/>
      <c r="RT69" s="172"/>
      <c r="RU69" s="172"/>
      <c r="RV69" s="172"/>
      <c r="RW69" s="172"/>
      <c r="RX69" s="172"/>
      <c r="RY69" s="172"/>
      <c r="RZ69" s="172"/>
      <c r="SA69" s="172"/>
      <c r="SB69" s="172"/>
      <c r="SC69" s="172"/>
      <c r="SD69" s="172"/>
      <c r="SE69" s="172"/>
      <c r="SF69" s="172"/>
      <c r="SG69" s="172"/>
      <c r="SH69" s="172"/>
      <c r="SI69" s="172"/>
      <c r="SJ69" s="172"/>
      <c r="SK69" s="172"/>
      <c r="SL69" s="172"/>
      <c r="SM69" s="172"/>
      <c r="SN69" s="172"/>
      <c r="SO69" s="172"/>
      <c r="SP69" s="172"/>
      <c r="SQ69" s="172"/>
      <c r="SR69" s="172"/>
      <c r="SS69" s="172"/>
      <c r="ST69" s="172"/>
      <c r="SU69" s="172"/>
      <c r="SV69" s="172"/>
      <c r="SW69" s="172"/>
      <c r="SX69" s="172"/>
      <c r="SY69" s="172"/>
      <c r="SZ69" s="172"/>
      <c r="TA69" s="172"/>
      <c r="TB69" s="172"/>
      <c r="TC69" s="172"/>
      <c r="TD69" s="172"/>
      <c r="TE69" s="172"/>
      <c r="TF69" s="172"/>
      <c r="TG69" s="172"/>
      <c r="TH69" s="172"/>
      <c r="TI69" s="172"/>
      <c r="TJ69" s="172"/>
      <c r="TK69" s="172"/>
      <c r="TL69" s="172"/>
      <c r="TM69" s="172"/>
      <c r="TN69" s="172"/>
      <c r="TO69" s="172"/>
      <c r="TP69" s="172"/>
      <c r="TQ69" s="172"/>
      <c r="TR69" s="172"/>
      <c r="TS69" s="172"/>
      <c r="TT69" s="172"/>
      <c r="TU69" s="172"/>
      <c r="TV69" s="172"/>
      <c r="TW69" s="172"/>
      <c r="TX69" s="172"/>
      <c r="TY69" s="172"/>
      <c r="TZ69" s="172"/>
      <c r="UA69" s="172"/>
      <c r="UB69" s="172"/>
      <c r="UC69" s="172"/>
      <c r="UD69" s="172"/>
      <c r="UE69" s="172"/>
      <c r="UF69" s="172"/>
      <c r="UG69" s="172"/>
      <c r="UH69" s="172"/>
      <c r="UI69" s="172"/>
      <c r="UJ69" s="172"/>
      <c r="UK69" s="172"/>
      <c r="UL69" s="172"/>
      <c r="UM69" s="172"/>
      <c r="UN69" s="172"/>
      <c r="UO69" s="172"/>
      <c r="UP69" s="172"/>
      <c r="UQ69" s="172"/>
      <c r="UR69" s="172"/>
      <c r="US69" s="172"/>
      <c r="UT69" s="172"/>
      <c r="UU69" s="172"/>
      <c r="UV69" s="172"/>
      <c r="UW69" s="172"/>
      <c r="UX69" s="172"/>
      <c r="UY69" s="172"/>
      <c r="UZ69" s="172"/>
      <c r="VA69" s="172"/>
      <c r="VB69" s="172"/>
      <c r="VC69" s="172"/>
      <c r="VD69" s="172"/>
      <c r="VE69" s="172"/>
      <c r="VF69" s="172"/>
      <c r="VG69" s="172"/>
      <c r="VH69" s="172"/>
      <c r="VI69" s="172"/>
      <c r="VJ69" s="172"/>
      <c r="VK69" s="172"/>
      <c r="VL69" s="172"/>
      <c r="VM69" s="172"/>
      <c r="VN69" s="172"/>
      <c r="VO69" s="172"/>
      <c r="VP69" s="172"/>
      <c r="VQ69" s="172"/>
      <c r="VR69" s="172"/>
      <c r="VS69" s="172"/>
      <c r="VT69" s="172"/>
      <c r="VU69" s="172"/>
      <c r="VV69" s="172"/>
      <c r="VW69" s="172"/>
      <c r="VX69" s="172"/>
      <c r="VY69" s="172"/>
      <c r="VZ69" s="172"/>
      <c r="WA69" s="172"/>
      <c r="WB69" s="172"/>
      <c r="WC69" s="172"/>
      <c r="WD69" s="172"/>
      <c r="WE69" s="172"/>
      <c r="WF69" s="172"/>
      <c r="WG69" s="172"/>
      <c r="WH69" s="172"/>
      <c r="WI69" s="172"/>
      <c r="WJ69" s="172"/>
      <c r="WK69" s="172"/>
      <c r="WL69" s="172"/>
      <c r="WM69" s="172"/>
      <c r="WN69" s="172"/>
      <c r="WO69" s="172"/>
      <c r="WP69" s="172"/>
      <c r="WQ69" s="172"/>
      <c r="WR69" s="172"/>
      <c r="WS69" s="172"/>
      <c r="WT69" s="172"/>
      <c r="WU69" s="172"/>
      <c r="WV69" s="172"/>
      <c r="WW69" s="172"/>
      <c r="WX69" s="172"/>
      <c r="WY69" s="172"/>
      <c r="WZ69" s="172"/>
      <c r="XA69" s="172"/>
      <c r="XB69" s="172"/>
      <c r="XC69" s="172"/>
      <c r="XD69" s="172"/>
      <c r="XE69" s="172"/>
      <c r="XF69" s="172"/>
      <c r="XG69" s="172"/>
      <c r="XH69" s="172"/>
      <c r="XI69" s="172"/>
      <c r="XJ69" s="172"/>
      <c r="XK69" s="172"/>
      <c r="XL69" s="172"/>
      <c r="XM69" s="172"/>
      <c r="XN69" s="172"/>
      <c r="XO69" s="172"/>
      <c r="XP69" s="172"/>
      <c r="XQ69" s="172"/>
      <c r="XR69" s="172"/>
      <c r="XS69" s="172"/>
      <c r="XT69" s="172"/>
      <c r="XU69" s="172"/>
      <c r="XV69" s="172"/>
      <c r="XW69" s="172"/>
      <c r="XX69" s="172"/>
      <c r="XY69" s="172"/>
      <c r="XZ69" s="172"/>
      <c r="YA69" s="172"/>
      <c r="YB69" s="172"/>
      <c r="YC69" s="172"/>
      <c r="YD69" s="172"/>
      <c r="YE69" s="172"/>
      <c r="YF69" s="172"/>
      <c r="YG69" s="172"/>
      <c r="YH69" s="172"/>
      <c r="YI69" s="172"/>
      <c r="YJ69" s="172"/>
      <c r="YK69" s="172"/>
      <c r="YL69" s="172"/>
      <c r="YM69" s="172"/>
      <c r="YN69" s="172"/>
      <c r="YO69" s="172"/>
      <c r="YP69" s="172"/>
      <c r="YQ69" s="172"/>
      <c r="YR69" s="172"/>
      <c r="YS69" s="172"/>
      <c r="YT69" s="172"/>
      <c r="YU69" s="172"/>
      <c r="YV69" s="172"/>
      <c r="YW69" s="172"/>
      <c r="YX69" s="172"/>
      <c r="YY69" s="172"/>
      <c r="YZ69" s="172"/>
      <c r="ZA69" s="172"/>
      <c r="ZB69" s="172"/>
      <c r="ZC69" s="172"/>
      <c r="ZD69" s="172"/>
      <c r="ZE69" s="172"/>
      <c r="ZF69" s="172"/>
      <c r="ZG69" s="172"/>
      <c r="ZH69" s="172"/>
      <c r="ZI69" s="172"/>
      <c r="ZJ69" s="172"/>
      <c r="ZK69" s="172"/>
      <c r="ZL69" s="172"/>
      <c r="ZM69" s="172"/>
      <c r="ZN69" s="172"/>
      <c r="ZO69" s="172"/>
      <c r="ZP69" s="172"/>
      <c r="ZQ69" s="172"/>
      <c r="ZR69" s="172"/>
      <c r="ZS69" s="172"/>
      <c r="ZT69" s="172"/>
      <c r="ZU69" s="172"/>
      <c r="ZV69" s="172"/>
      <c r="ZW69" s="172"/>
      <c r="ZX69" s="172"/>
      <c r="ZY69" s="172"/>
      <c r="ZZ69" s="172"/>
      <c r="AAA69" s="172"/>
      <c r="AAB69" s="172"/>
      <c r="AAC69" s="172"/>
      <c r="AAD69" s="172"/>
      <c r="AAE69" s="172"/>
      <c r="AAF69" s="172"/>
      <c r="AAG69" s="172"/>
      <c r="AAH69" s="172"/>
      <c r="AAI69" s="172"/>
      <c r="AAJ69" s="172"/>
      <c r="AAK69" s="172"/>
      <c r="AAL69" s="172"/>
      <c r="AAM69" s="172"/>
      <c r="AAN69" s="172"/>
      <c r="AAO69" s="172"/>
      <c r="AAP69" s="172"/>
      <c r="AAQ69" s="172"/>
      <c r="AAR69" s="172"/>
      <c r="AAS69" s="172"/>
      <c r="AAT69" s="172"/>
      <c r="AAU69" s="172"/>
      <c r="AAV69" s="172"/>
      <c r="AAW69" s="172"/>
      <c r="AAX69" s="172"/>
      <c r="AAY69" s="172"/>
      <c r="AAZ69" s="172"/>
      <c r="ABA69" s="172"/>
      <c r="ABB69" s="172"/>
      <c r="ABC69" s="172"/>
      <c r="ABD69" s="172"/>
      <c r="ABE69" s="172"/>
      <c r="ABF69" s="172"/>
      <c r="ABG69" s="172"/>
      <c r="ABH69" s="172"/>
      <c r="ABI69" s="172"/>
      <c r="ABJ69" s="172"/>
      <c r="ABK69" s="172"/>
      <c r="ABL69" s="172"/>
      <c r="ABM69" s="172"/>
      <c r="ABN69" s="172"/>
      <c r="ABO69" s="172"/>
      <c r="ABP69" s="172"/>
      <c r="ABQ69" s="172"/>
      <c r="ABR69" s="172"/>
      <c r="ABS69" s="172"/>
      <c r="ABT69" s="172"/>
      <c r="ABU69" s="172"/>
      <c r="ABV69" s="172"/>
      <c r="ABW69" s="172"/>
      <c r="ABX69" s="172"/>
      <c r="ABY69" s="172"/>
      <c r="ABZ69" s="172"/>
      <c r="ACA69" s="172"/>
      <c r="ACB69" s="172"/>
      <c r="ACC69" s="172"/>
      <c r="ACD69" s="172"/>
      <c r="ACE69" s="172"/>
      <c r="ACF69" s="172"/>
      <c r="ACG69" s="172"/>
      <c r="ACH69" s="172"/>
      <c r="ACI69" s="172"/>
      <c r="ACJ69" s="172"/>
      <c r="ACK69" s="172"/>
      <c r="ACL69" s="172"/>
      <c r="ACM69" s="172"/>
      <c r="ACN69" s="172"/>
      <c r="ACO69" s="172"/>
      <c r="ACP69" s="172"/>
      <c r="ACQ69" s="172"/>
      <c r="ACR69" s="172"/>
      <c r="ACS69" s="172"/>
      <c r="ACT69" s="172"/>
      <c r="ACU69" s="172"/>
      <c r="ACV69" s="172"/>
      <c r="ACW69" s="172"/>
      <c r="ACX69" s="172"/>
      <c r="ACY69" s="172"/>
      <c r="ACZ69" s="172"/>
      <c r="ADA69" s="172"/>
      <c r="ADB69" s="172"/>
      <c r="ADC69" s="172"/>
      <c r="ADD69" s="172"/>
      <c r="ADE69" s="172"/>
      <c r="ADF69" s="172"/>
      <c r="ADG69" s="172"/>
      <c r="ADH69" s="172"/>
      <c r="ADI69" s="172"/>
      <c r="ADJ69" s="172"/>
      <c r="ADK69" s="172"/>
      <c r="ADL69" s="172"/>
      <c r="ADM69" s="172"/>
      <c r="ADN69" s="172"/>
      <c r="ADO69" s="172"/>
      <c r="ADP69" s="172"/>
      <c r="ADQ69" s="172"/>
      <c r="ADR69" s="172"/>
      <c r="ADS69" s="172"/>
      <c r="ADT69" s="172"/>
      <c r="ADU69" s="172"/>
      <c r="ADV69" s="172"/>
      <c r="ADW69" s="172"/>
      <c r="ADX69" s="172"/>
      <c r="ADY69" s="172"/>
      <c r="ADZ69" s="172"/>
      <c r="AEA69" s="172"/>
      <c r="AEB69" s="172"/>
      <c r="AEC69" s="172"/>
      <c r="AED69" s="172"/>
      <c r="AEE69" s="172"/>
      <c r="AEF69" s="172"/>
      <c r="AEG69" s="172"/>
      <c r="AEH69" s="172"/>
      <c r="AEI69" s="172"/>
      <c r="AEJ69" s="172"/>
      <c r="AEK69" s="172"/>
      <c r="AEL69" s="172"/>
      <c r="AEM69" s="172"/>
      <c r="AEN69" s="172"/>
      <c r="AEO69" s="172"/>
      <c r="AEP69" s="172"/>
      <c r="AEQ69" s="172"/>
      <c r="AER69" s="172"/>
      <c r="AES69" s="172"/>
      <c r="AET69" s="172"/>
      <c r="AEU69" s="172"/>
      <c r="AEV69" s="172"/>
      <c r="AEW69" s="172"/>
      <c r="AEX69" s="172"/>
      <c r="AEY69" s="172"/>
      <c r="AEZ69" s="172"/>
      <c r="AFA69" s="172"/>
      <c r="AFB69" s="172"/>
      <c r="AFC69" s="172"/>
      <c r="AFD69" s="172"/>
      <c r="AFE69" s="172"/>
      <c r="AFF69" s="172"/>
      <c r="AFG69" s="172"/>
      <c r="AFH69" s="172"/>
      <c r="AFI69" s="172"/>
      <c r="AFJ69" s="172"/>
      <c r="AFK69" s="172"/>
      <c r="AFL69" s="172"/>
      <c r="AFM69" s="172"/>
      <c r="AFN69" s="172"/>
      <c r="AFO69" s="172"/>
      <c r="AFP69" s="172"/>
      <c r="AFQ69" s="172"/>
      <c r="AFR69" s="172"/>
      <c r="AFS69" s="172"/>
      <c r="AFT69" s="172"/>
      <c r="AFU69" s="172"/>
      <c r="AFV69" s="172"/>
      <c r="AFW69" s="172"/>
      <c r="AFX69" s="172"/>
      <c r="AFY69" s="172"/>
      <c r="AFZ69" s="172"/>
      <c r="AGA69" s="172"/>
      <c r="AGB69" s="172"/>
      <c r="AGC69" s="172"/>
      <c r="AGD69" s="172"/>
      <c r="AGE69" s="172"/>
      <c r="AGF69" s="172"/>
      <c r="AGG69" s="172"/>
      <c r="AGH69" s="172"/>
      <c r="AGI69" s="172"/>
      <c r="AGJ69" s="172"/>
      <c r="AGK69" s="172"/>
      <c r="AGL69" s="172"/>
      <c r="AGM69" s="172"/>
      <c r="AGN69" s="172"/>
      <c r="AGO69" s="172"/>
      <c r="AGP69" s="172"/>
      <c r="AGQ69" s="172"/>
      <c r="AGR69" s="172"/>
      <c r="AGS69" s="172"/>
      <c r="AGT69" s="172"/>
      <c r="AGU69" s="172"/>
      <c r="AGV69" s="172"/>
      <c r="AGW69" s="172"/>
      <c r="AGX69" s="172"/>
      <c r="AGY69" s="172"/>
      <c r="AGZ69" s="172"/>
      <c r="AHA69" s="172"/>
      <c r="AHB69" s="172"/>
      <c r="AHC69" s="172"/>
      <c r="AHD69" s="172"/>
      <c r="AHE69" s="172"/>
      <c r="AHF69" s="172"/>
      <c r="AHG69" s="172"/>
      <c r="AHH69" s="172"/>
      <c r="AHI69" s="172"/>
      <c r="AHJ69" s="172"/>
      <c r="AHK69" s="172"/>
      <c r="AHL69" s="172"/>
      <c r="AHM69" s="172"/>
      <c r="AHN69" s="172"/>
      <c r="AHO69" s="172"/>
      <c r="AHP69" s="172"/>
      <c r="AHQ69" s="172"/>
      <c r="AHR69" s="172"/>
      <c r="AHS69" s="172"/>
      <c r="AHT69" s="172"/>
      <c r="AHU69" s="172"/>
      <c r="AHV69" s="172"/>
      <c r="AHW69" s="172"/>
      <c r="AHX69" s="172"/>
      <c r="AHY69" s="172"/>
      <c r="AHZ69" s="172"/>
      <c r="AIA69" s="172"/>
      <c r="AIB69" s="172"/>
      <c r="AIC69" s="172"/>
      <c r="AID69" s="172"/>
      <c r="AIE69" s="172"/>
      <c r="AIF69" s="172"/>
      <c r="AIG69" s="172"/>
      <c r="AIH69" s="172"/>
      <c r="AII69" s="172"/>
      <c r="AIJ69" s="172"/>
      <c r="AIK69" s="172"/>
      <c r="AIL69" s="172"/>
      <c r="AIM69" s="172"/>
      <c r="AIN69" s="172"/>
      <c r="AIO69" s="172"/>
      <c r="AIP69" s="172"/>
      <c r="AIQ69" s="172"/>
      <c r="AIR69" s="172"/>
      <c r="AIS69" s="172"/>
      <c r="AIT69" s="172"/>
      <c r="AIU69" s="172"/>
      <c r="AIV69" s="172"/>
      <c r="AIW69" s="172"/>
      <c r="AIX69" s="172"/>
      <c r="AIY69" s="172"/>
      <c r="AIZ69" s="172"/>
      <c r="AJA69" s="172"/>
      <c r="AJB69" s="172"/>
      <c r="AJC69" s="172"/>
      <c r="AJD69" s="172"/>
      <c r="AJE69" s="172"/>
      <c r="AJF69" s="172"/>
      <c r="AJG69" s="172"/>
      <c r="AJH69" s="172"/>
      <c r="AJI69" s="172"/>
      <c r="AJJ69" s="172"/>
      <c r="AJK69" s="172"/>
      <c r="AJL69" s="172"/>
      <c r="AJM69" s="172"/>
      <c r="AJN69" s="172"/>
      <c r="AJO69" s="172"/>
      <c r="AJP69" s="172"/>
      <c r="AJQ69" s="172"/>
      <c r="AJR69" s="172"/>
      <c r="AJS69" s="172"/>
      <c r="AJT69" s="172"/>
      <c r="AJU69" s="172"/>
      <c r="AJV69" s="172"/>
      <c r="AJW69" s="172"/>
      <c r="AJX69" s="172"/>
      <c r="AJY69" s="172"/>
      <c r="AJZ69" s="172"/>
      <c r="AKA69" s="172"/>
      <c r="AKB69" s="172"/>
      <c r="AKC69" s="172"/>
      <c r="AKD69" s="172"/>
      <c r="AKE69" s="172"/>
      <c r="AKF69" s="172"/>
      <c r="AKG69" s="172"/>
      <c r="AKH69" s="172"/>
      <c r="AKI69" s="172"/>
      <c r="AKJ69" s="172"/>
      <c r="AKK69" s="172"/>
      <c r="AKL69" s="172"/>
      <c r="AKM69" s="172"/>
      <c r="AKN69" s="172"/>
      <c r="AKO69" s="172"/>
      <c r="AKP69" s="172"/>
      <c r="AKQ69" s="172"/>
      <c r="AKR69" s="172"/>
      <c r="AKS69" s="172"/>
      <c r="AKT69" s="172"/>
      <c r="AKU69" s="172"/>
      <c r="AKV69" s="172"/>
      <c r="AKW69" s="172"/>
      <c r="AKX69" s="172"/>
      <c r="AKY69" s="172"/>
      <c r="AKZ69" s="172"/>
      <c r="ALA69" s="172"/>
      <c r="ALB69" s="172"/>
      <c r="ALC69" s="172"/>
      <c r="ALD69" s="172"/>
      <c r="ALE69" s="172"/>
      <c r="ALF69" s="172"/>
      <c r="ALG69" s="172"/>
      <c r="ALH69" s="172"/>
      <c r="ALI69" s="172"/>
      <c r="ALJ69" s="172"/>
      <c r="ALK69" s="172"/>
      <c r="ALL69" s="172"/>
      <c r="ALM69" s="172"/>
      <c r="ALN69" s="172"/>
      <c r="ALO69" s="172"/>
      <c r="ALP69" s="172"/>
      <c r="ALQ69" s="172"/>
      <c r="ALR69" s="172"/>
      <c r="ALS69" s="172"/>
      <c r="ALT69" s="172"/>
      <c r="ALU69" s="172"/>
      <c r="ALV69" s="172"/>
      <c r="ALW69" s="172"/>
      <c r="ALX69" s="172"/>
      <c r="ALY69" s="172"/>
      <c r="ALZ69" s="172"/>
      <c r="AMA69" s="172"/>
      <c r="AMB69" s="172"/>
      <c r="AMC69" s="172"/>
      <c r="AMD69" s="172"/>
      <c r="AME69" s="172"/>
      <c r="AMF69" s="172"/>
      <c r="AMG69" s="172"/>
      <c r="AMH69" s="172"/>
      <c r="AMI69" s="172"/>
      <c r="AMJ69" s="172"/>
      <c r="AMK69" s="172"/>
      <c r="AML69" s="172"/>
      <c r="AMM69" s="172"/>
      <c r="AMN69" s="172"/>
      <c r="AMO69" s="172"/>
      <c r="AMP69" s="172"/>
      <c r="AMQ69" s="172"/>
      <c r="AMR69" s="172"/>
      <c r="AMS69" s="172"/>
      <c r="AMT69" s="172"/>
      <c r="AMU69" s="172"/>
      <c r="AMV69" s="172"/>
      <c r="AMW69" s="172"/>
      <c r="AMX69" s="172"/>
      <c r="AMY69" s="172"/>
      <c r="AMZ69" s="172"/>
      <c r="ANA69" s="172"/>
      <c r="ANB69" s="172"/>
      <c r="ANC69" s="172"/>
      <c r="AND69" s="172"/>
      <c r="ANE69" s="172"/>
      <c r="ANF69" s="172"/>
      <c r="ANG69" s="172"/>
      <c r="ANH69" s="172"/>
      <c r="ANI69" s="172"/>
      <c r="ANJ69" s="172"/>
      <c r="ANK69" s="172"/>
      <c r="ANL69" s="172"/>
      <c r="ANM69" s="172"/>
      <c r="ANN69" s="172"/>
      <c r="ANO69" s="172"/>
      <c r="ANP69" s="172"/>
      <c r="ANQ69" s="172"/>
      <c r="ANR69" s="172"/>
      <c r="ANS69" s="172"/>
      <c r="ANT69" s="172"/>
      <c r="ANU69" s="172"/>
      <c r="ANV69" s="172"/>
      <c r="ANW69" s="172"/>
      <c r="ANX69" s="172"/>
      <c r="ANY69" s="172"/>
      <c r="ANZ69" s="172"/>
      <c r="AOA69" s="172"/>
      <c r="AOB69" s="172"/>
      <c r="AOC69" s="172"/>
      <c r="AOD69" s="172"/>
      <c r="AOE69" s="172"/>
      <c r="AOF69" s="172"/>
      <c r="AOG69" s="172"/>
      <c r="AOH69" s="172"/>
      <c r="AOI69" s="172"/>
      <c r="AOJ69" s="172"/>
      <c r="AOK69" s="172"/>
      <c r="AOL69" s="172"/>
      <c r="AOM69" s="172"/>
      <c r="AON69" s="172"/>
      <c r="AOO69" s="172"/>
      <c r="AOP69" s="172"/>
      <c r="AOQ69" s="172"/>
      <c r="AOR69" s="172"/>
      <c r="AOS69" s="172"/>
      <c r="AOT69" s="172"/>
      <c r="AOU69" s="172"/>
      <c r="AOV69" s="172"/>
      <c r="AOW69" s="172"/>
      <c r="AOX69" s="172"/>
      <c r="AOY69" s="172"/>
      <c r="AOZ69" s="172"/>
      <c r="APA69" s="172"/>
      <c r="APB69" s="172"/>
      <c r="APC69" s="172"/>
      <c r="APD69" s="172"/>
      <c r="APE69" s="172"/>
      <c r="APF69" s="172"/>
      <c r="APG69" s="172"/>
      <c r="APH69" s="172"/>
      <c r="API69" s="172"/>
      <c r="APJ69" s="172"/>
      <c r="APK69" s="172"/>
      <c r="APL69" s="172"/>
      <c r="APM69" s="172"/>
      <c r="APN69" s="172"/>
      <c r="APO69" s="172"/>
      <c r="APP69" s="172"/>
      <c r="APQ69" s="172"/>
      <c r="APR69" s="172"/>
      <c r="APS69" s="172"/>
      <c r="APT69" s="172"/>
      <c r="APU69" s="172"/>
      <c r="APV69" s="172"/>
      <c r="APW69" s="172"/>
      <c r="APX69" s="172"/>
      <c r="APY69" s="172"/>
      <c r="APZ69" s="172"/>
      <c r="AQA69" s="172"/>
      <c r="AQB69" s="172"/>
      <c r="AQC69" s="172"/>
      <c r="AQD69" s="172"/>
      <c r="AQE69" s="172"/>
      <c r="AQF69" s="172"/>
      <c r="AQG69" s="172"/>
      <c r="AQH69" s="172"/>
      <c r="AQI69" s="172"/>
      <c r="AQJ69" s="172"/>
      <c r="AQK69" s="172"/>
      <c r="AQL69" s="172"/>
      <c r="AQM69" s="172"/>
      <c r="AQN69" s="172"/>
      <c r="AQO69" s="172"/>
      <c r="AQP69" s="172"/>
      <c r="AQQ69" s="172"/>
      <c r="AQR69" s="172"/>
      <c r="AQS69" s="172"/>
      <c r="AQT69" s="172"/>
      <c r="AQU69" s="172"/>
      <c r="AQV69" s="172"/>
      <c r="AQW69" s="172"/>
      <c r="AQX69" s="172"/>
      <c r="AQY69" s="172"/>
      <c r="AQZ69" s="172"/>
      <c r="ARA69" s="172"/>
      <c r="ARB69" s="172"/>
      <c r="ARC69" s="172"/>
      <c r="ARD69" s="172"/>
      <c r="ARE69" s="172"/>
      <c r="ARF69" s="172"/>
      <c r="ARG69" s="172"/>
      <c r="ARH69" s="172"/>
      <c r="ARI69" s="172"/>
      <c r="ARJ69" s="172"/>
      <c r="ARK69" s="172"/>
      <c r="ARL69" s="172"/>
      <c r="ARM69" s="172"/>
      <c r="ARN69" s="172"/>
      <c r="ARO69" s="172"/>
      <c r="ARP69" s="172"/>
      <c r="ARQ69" s="172"/>
      <c r="ARR69" s="172"/>
      <c r="ARS69" s="172"/>
      <c r="ART69" s="172"/>
      <c r="ARU69" s="172"/>
    </row>
    <row r="70" spans="1:1165">
      <c r="A70" s="194"/>
      <c r="B70" s="195"/>
      <c r="C70" s="258"/>
      <c r="D70" s="258"/>
      <c r="E70" s="258"/>
      <c r="F70" s="258"/>
      <c r="G70" s="258"/>
      <c r="H70" s="258"/>
      <c r="I70" s="258"/>
      <c r="J70" s="258"/>
      <c r="K70" s="258"/>
      <c r="L70" s="258"/>
      <c r="M70" s="258"/>
      <c r="N70" s="258"/>
      <c r="O70" s="258"/>
      <c r="P70" s="258"/>
      <c r="Q70" s="258"/>
      <c r="R70" s="258"/>
      <c r="S70" s="258"/>
      <c r="T70" s="258"/>
      <c r="U70" s="288"/>
      <c r="V70" s="288"/>
      <c r="W70" s="227"/>
      <c r="X70" s="227"/>
      <c r="Y70" s="284"/>
      <c r="Z70" s="284"/>
      <c r="AA70" s="302"/>
      <c r="AB70" s="302"/>
      <c r="AC70" s="284"/>
      <c r="AD70" s="284"/>
      <c r="AE70" s="288"/>
      <c r="AF70" s="288"/>
      <c r="AG70" s="288"/>
      <c r="AH70" s="288"/>
      <c r="AI70" s="288"/>
      <c r="AJ70" s="288"/>
      <c r="AK70" s="302"/>
      <c r="AL70" s="288"/>
      <c r="AM70" s="288"/>
      <c r="AN70" s="288"/>
      <c r="AO70" s="288"/>
      <c r="AP70" s="288"/>
      <c r="AQ70" s="288"/>
      <c r="AR70" s="288"/>
      <c r="AS70" s="288"/>
      <c r="AT70" s="288"/>
      <c r="AU70" s="302"/>
      <c r="AV70" s="302"/>
      <c r="AW70" s="256"/>
      <c r="AX70" s="256"/>
      <c r="AY70" s="255"/>
      <c r="AZ70" s="255"/>
      <c r="BA70" s="262"/>
      <c r="BB70" s="284"/>
      <c r="BC70" s="284"/>
      <c r="BD70" s="284"/>
      <c r="BE70" s="284"/>
      <c r="BF70" s="284"/>
      <c r="BG70" s="284"/>
      <c r="BH70" s="284"/>
      <c r="BI70" s="262"/>
      <c r="BJ70" s="284"/>
      <c r="BK70" s="284"/>
      <c r="BL70" s="172"/>
      <c r="BM70" s="13"/>
      <c r="BP70" s="231"/>
    </row>
    <row r="71" spans="1:1165">
      <c r="A71" s="204" t="s">
        <v>200</v>
      </c>
      <c r="B71" s="207" t="s">
        <v>87</v>
      </c>
      <c r="C71" s="268">
        <v>548</v>
      </c>
      <c r="D71" s="268">
        <v>16491</v>
      </c>
      <c r="E71" s="208">
        <v>0</v>
      </c>
      <c r="F71" s="208">
        <v>0</v>
      </c>
      <c r="G71" s="208">
        <v>0</v>
      </c>
      <c r="H71" s="208">
        <v>0</v>
      </c>
      <c r="I71" s="208">
        <v>0</v>
      </c>
      <c r="J71" s="208">
        <v>0</v>
      </c>
      <c r="K71" s="208">
        <v>0</v>
      </c>
      <c r="L71" s="208">
        <v>0</v>
      </c>
      <c r="M71" s="208">
        <v>257</v>
      </c>
      <c r="N71" s="208">
        <v>1029</v>
      </c>
      <c r="O71" s="208">
        <v>578</v>
      </c>
      <c r="P71" s="208">
        <v>3149</v>
      </c>
      <c r="Q71" s="208">
        <v>1060</v>
      </c>
      <c r="R71" s="208">
        <v>5301</v>
      </c>
      <c r="S71" s="208">
        <v>521</v>
      </c>
      <c r="T71" s="208">
        <v>2688</v>
      </c>
      <c r="U71" s="219">
        <v>0</v>
      </c>
      <c r="V71" s="219">
        <v>0</v>
      </c>
      <c r="W71" s="219">
        <v>0</v>
      </c>
      <c r="X71" s="219">
        <v>0</v>
      </c>
      <c r="Y71" s="219">
        <v>0</v>
      </c>
      <c r="Z71" s="219">
        <v>0</v>
      </c>
      <c r="AA71" s="230">
        <v>22</v>
      </c>
      <c r="AB71" s="230">
        <v>160</v>
      </c>
      <c r="AC71" s="219">
        <v>169</v>
      </c>
      <c r="AD71" s="219">
        <v>1300</v>
      </c>
      <c r="AE71" s="200">
        <v>445</v>
      </c>
      <c r="AF71" s="200">
        <v>5171</v>
      </c>
      <c r="AG71" s="200">
        <v>2365</v>
      </c>
      <c r="AH71" s="200">
        <v>18897</v>
      </c>
      <c r="AI71" s="200">
        <v>7271</v>
      </c>
      <c r="AJ71" s="200">
        <v>58165</v>
      </c>
      <c r="AK71" s="230">
        <v>0</v>
      </c>
      <c r="AL71" s="200">
        <v>0</v>
      </c>
      <c r="AM71" s="230">
        <v>0</v>
      </c>
      <c r="AN71" s="200">
        <v>0</v>
      </c>
      <c r="AO71" s="230">
        <v>0</v>
      </c>
      <c r="AP71" s="200">
        <v>0</v>
      </c>
      <c r="AQ71" s="230">
        <v>0</v>
      </c>
      <c r="AR71" s="200">
        <v>0</v>
      </c>
      <c r="AS71" s="230">
        <v>0</v>
      </c>
      <c r="AT71" s="200">
        <v>0</v>
      </c>
      <c r="AU71" s="230">
        <v>0</v>
      </c>
      <c r="AV71" s="200">
        <v>0</v>
      </c>
      <c r="AW71" s="230">
        <v>0</v>
      </c>
      <c r="AX71" s="200">
        <v>0</v>
      </c>
      <c r="AY71" s="230">
        <v>0</v>
      </c>
      <c r="AZ71" s="200">
        <v>0</v>
      </c>
      <c r="BA71" s="200"/>
      <c r="BB71" s="230"/>
      <c r="BC71" s="232"/>
      <c r="BD71" s="200"/>
      <c r="BE71" s="219"/>
      <c r="BF71" s="230"/>
      <c r="BG71" s="232"/>
      <c r="BH71" s="200"/>
      <c r="BI71" s="200"/>
      <c r="BJ71" s="219">
        <f>C71+G71+I71+K71+M71+O71+Q71+S71+U71+W71+Y71+AA71+AC71+AE71+AG71+AI71+AK71+AM71+AO71+AQ71+AS71+AU71+AW71+AY71+BB71+BF71</f>
        <v>13236</v>
      </c>
      <c r="BK71" s="208">
        <f>D71+H71+J71+L71+N71+P71+R71+T71+V71+X71+Z71+AB71+AD71+AF71+AH71+AJ71+AL71+AN71+AP71+AR71+AT71+AV71+AX71+AZ71+BD71+BH71</f>
        <v>112351</v>
      </c>
      <c r="BL71" s="172"/>
      <c r="BM71" s="13"/>
      <c r="BP71" s="231"/>
    </row>
    <row r="72" spans="1:1165">
      <c r="A72" s="212"/>
      <c r="B72" s="207"/>
      <c r="C72" s="268"/>
      <c r="D72" s="268"/>
      <c r="E72" s="208"/>
      <c r="F72" s="208"/>
      <c r="G72" s="208"/>
      <c r="H72" s="208"/>
      <c r="I72" s="208"/>
      <c r="J72" s="208"/>
      <c r="K72" s="208"/>
      <c r="L72" s="208"/>
      <c r="M72" s="208"/>
      <c r="N72" s="208"/>
      <c r="O72" s="208"/>
      <c r="P72" s="208"/>
      <c r="Q72" s="208"/>
      <c r="R72" s="208"/>
      <c r="S72" s="208"/>
      <c r="T72" s="208"/>
      <c r="U72" s="269"/>
      <c r="V72" s="269"/>
      <c r="W72" s="200"/>
      <c r="X72" s="200"/>
      <c r="Y72" s="200"/>
      <c r="Z72" s="200"/>
      <c r="AA72" s="230"/>
      <c r="AB72" s="230"/>
      <c r="AC72" s="208"/>
      <c r="AD72" s="208"/>
      <c r="AE72" s="200"/>
      <c r="AF72" s="200"/>
      <c r="AG72" s="200"/>
      <c r="AH72" s="200"/>
      <c r="AI72" s="200"/>
      <c r="AJ72" s="200"/>
      <c r="AK72" s="200"/>
      <c r="AL72" s="200"/>
      <c r="AM72" s="200"/>
      <c r="AN72" s="200"/>
      <c r="AO72" s="200"/>
      <c r="AP72" s="200"/>
      <c r="AQ72" s="200"/>
      <c r="AR72" s="200"/>
      <c r="AS72" s="200"/>
      <c r="AT72" s="200"/>
      <c r="AU72" s="230"/>
      <c r="AV72" s="230"/>
      <c r="AW72" s="249"/>
      <c r="AX72" s="249"/>
      <c r="AY72" s="248"/>
      <c r="AZ72" s="248"/>
      <c r="BA72" s="283"/>
      <c r="BB72" s="249"/>
      <c r="BC72" s="249"/>
      <c r="BD72" s="249"/>
      <c r="BE72" s="249"/>
      <c r="BF72" s="249"/>
      <c r="BG72" s="249"/>
      <c r="BH72" s="249"/>
      <c r="BI72" s="283"/>
      <c r="BJ72" s="249"/>
      <c r="BK72" s="249"/>
      <c r="BL72" s="172"/>
      <c r="BM72" s="13"/>
      <c r="BP72" s="231"/>
    </row>
    <row r="73" spans="1:1165" s="257" customFormat="1">
      <c r="A73" s="194" t="s">
        <v>201</v>
      </c>
      <c r="B73" s="215"/>
      <c r="C73" s="284"/>
      <c r="D73" s="284"/>
      <c r="E73" s="211"/>
      <c r="F73" s="211"/>
      <c r="G73" s="211"/>
      <c r="H73" s="211"/>
      <c r="I73" s="211"/>
      <c r="J73" s="211"/>
      <c r="K73" s="211"/>
      <c r="L73" s="211"/>
      <c r="M73" s="211"/>
      <c r="N73" s="211"/>
      <c r="O73" s="211"/>
      <c r="P73" s="211"/>
      <c r="Q73" s="211"/>
      <c r="R73" s="211"/>
      <c r="S73" s="211"/>
      <c r="T73" s="211"/>
      <c r="U73" s="196"/>
      <c r="V73" s="196"/>
      <c r="W73" s="227"/>
      <c r="X73" s="227"/>
      <c r="Y73" s="196"/>
      <c r="Z73" s="196"/>
      <c r="AA73" s="226"/>
      <c r="AB73" s="226"/>
      <c r="AC73" s="198"/>
      <c r="AD73" s="198"/>
      <c r="AE73" s="196"/>
      <c r="AF73" s="196"/>
      <c r="AG73" s="196"/>
      <c r="AH73" s="196"/>
      <c r="AI73" s="196"/>
      <c r="AJ73" s="196"/>
      <c r="AK73" s="196"/>
      <c r="AL73" s="196"/>
      <c r="AM73" s="196"/>
      <c r="AN73" s="196"/>
      <c r="AO73" s="196"/>
      <c r="AP73" s="196"/>
      <c r="AQ73" s="196"/>
      <c r="AR73" s="196"/>
      <c r="AS73" s="196"/>
      <c r="AT73" s="196"/>
      <c r="AU73" s="226"/>
      <c r="AV73" s="226"/>
      <c r="AW73" s="256"/>
      <c r="AX73" s="256"/>
      <c r="AY73" s="198"/>
      <c r="AZ73" s="198"/>
      <c r="BA73" s="262"/>
      <c r="BB73" s="211"/>
      <c r="BC73" s="211"/>
      <c r="BD73" s="211"/>
      <c r="BE73" s="211"/>
      <c r="BF73" s="211"/>
      <c r="BG73" s="211"/>
      <c r="BH73" s="211"/>
      <c r="BI73" s="262"/>
      <c r="BJ73" s="211"/>
      <c r="BK73" s="211"/>
      <c r="BL73" s="172"/>
      <c r="BM73" s="13"/>
      <c r="BN73" s="172"/>
      <c r="BO73" s="172"/>
      <c r="BP73" s="231"/>
      <c r="BQ73" s="172"/>
      <c r="BR73" s="172"/>
      <c r="BS73" s="172"/>
      <c r="BT73" s="172"/>
      <c r="BU73" s="172"/>
      <c r="BV73" s="172"/>
      <c r="BW73" s="172"/>
      <c r="BX73" s="172"/>
      <c r="BY73" s="172"/>
      <c r="BZ73" s="172"/>
      <c r="CA73" s="172"/>
      <c r="CB73" s="172"/>
      <c r="CC73" s="172"/>
      <c r="CD73" s="172"/>
      <c r="CE73" s="172"/>
      <c r="CF73" s="172"/>
      <c r="CG73" s="172"/>
      <c r="CH73" s="172"/>
      <c r="CI73" s="172"/>
      <c r="CJ73" s="172"/>
      <c r="CK73" s="172"/>
      <c r="CL73" s="172"/>
      <c r="CM73" s="172"/>
      <c r="CN73" s="172"/>
      <c r="CO73" s="172"/>
      <c r="CP73" s="172"/>
      <c r="CQ73" s="172"/>
      <c r="CR73" s="172"/>
      <c r="CS73" s="172"/>
      <c r="CT73" s="172"/>
      <c r="CU73" s="172"/>
      <c r="CV73" s="172"/>
      <c r="CW73" s="172"/>
      <c r="CX73" s="172"/>
      <c r="CY73" s="172"/>
      <c r="CZ73" s="172"/>
      <c r="DA73" s="172"/>
      <c r="DB73" s="172"/>
      <c r="DC73" s="172"/>
      <c r="DD73" s="172"/>
      <c r="DE73" s="172"/>
      <c r="DF73" s="172"/>
      <c r="DG73" s="172"/>
      <c r="DH73" s="172"/>
      <c r="DI73" s="172"/>
      <c r="DJ73" s="172"/>
      <c r="DK73" s="172"/>
      <c r="DL73" s="172"/>
      <c r="DM73" s="172"/>
      <c r="DN73" s="172"/>
      <c r="DO73" s="172"/>
      <c r="DP73" s="172"/>
      <c r="DQ73" s="172"/>
      <c r="DR73" s="172"/>
      <c r="DS73" s="172"/>
      <c r="DT73" s="172"/>
      <c r="DU73" s="172"/>
      <c r="DV73" s="172"/>
      <c r="DW73" s="172"/>
      <c r="DX73" s="172"/>
      <c r="DY73" s="172"/>
      <c r="DZ73" s="172"/>
      <c r="EA73" s="172"/>
      <c r="EB73" s="172"/>
      <c r="EC73" s="172"/>
      <c r="ED73" s="172"/>
      <c r="EE73" s="172"/>
      <c r="EF73" s="172"/>
      <c r="EG73" s="172"/>
      <c r="EH73" s="172"/>
      <c r="EI73" s="172"/>
      <c r="EJ73" s="172"/>
      <c r="EK73" s="172"/>
      <c r="EL73" s="172"/>
      <c r="EM73" s="172"/>
      <c r="EN73" s="172"/>
      <c r="EO73" s="172"/>
      <c r="EP73" s="172"/>
      <c r="EQ73" s="172"/>
      <c r="ER73" s="172"/>
      <c r="ES73" s="172"/>
      <c r="ET73" s="172"/>
      <c r="EU73" s="172"/>
      <c r="EV73" s="172"/>
      <c r="EW73" s="172"/>
      <c r="EX73" s="172"/>
      <c r="EY73" s="172"/>
      <c r="EZ73" s="172"/>
      <c r="FA73" s="172"/>
      <c r="FB73" s="172"/>
      <c r="FC73" s="172"/>
      <c r="FD73" s="172"/>
      <c r="FE73" s="172"/>
      <c r="FF73" s="172"/>
      <c r="FG73" s="172"/>
      <c r="FH73" s="172"/>
      <c r="FI73" s="172"/>
      <c r="FJ73" s="172"/>
      <c r="FK73" s="172"/>
      <c r="FL73" s="172"/>
      <c r="FM73" s="172"/>
      <c r="FN73" s="172"/>
      <c r="FO73" s="172"/>
      <c r="FP73" s="172"/>
      <c r="FQ73" s="172"/>
      <c r="FR73" s="172"/>
      <c r="FS73" s="172"/>
      <c r="FT73" s="172"/>
      <c r="FU73" s="172"/>
      <c r="FV73" s="172"/>
      <c r="FW73" s="172"/>
      <c r="FX73" s="172"/>
      <c r="FY73" s="172"/>
      <c r="FZ73" s="172"/>
      <c r="GA73" s="172"/>
      <c r="GB73" s="172"/>
      <c r="GC73" s="172"/>
      <c r="GD73" s="172"/>
      <c r="GE73" s="172"/>
      <c r="GF73" s="172"/>
      <c r="GG73" s="172"/>
      <c r="GH73" s="172"/>
      <c r="GI73" s="172"/>
      <c r="GJ73" s="172"/>
      <c r="GK73" s="172"/>
      <c r="GL73" s="172"/>
      <c r="GM73" s="172"/>
      <c r="GN73" s="172"/>
      <c r="GO73" s="172"/>
      <c r="GP73" s="172"/>
      <c r="GQ73" s="172"/>
      <c r="GR73" s="172"/>
      <c r="GS73" s="172"/>
      <c r="GT73" s="172"/>
      <c r="GU73" s="172"/>
      <c r="GV73" s="172"/>
      <c r="GW73" s="172"/>
      <c r="GX73" s="172"/>
      <c r="GY73" s="172"/>
      <c r="GZ73" s="172"/>
      <c r="HA73" s="172"/>
      <c r="HB73" s="172"/>
      <c r="HC73" s="172"/>
      <c r="HD73" s="172"/>
      <c r="HE73" s="172"/>
      <c r="HF73" s="172"/>
      <c r="HG73" s="172"/>
      <c r="HH73" s="172"/>
      <c r="HI73" s="172"/>
      <c r="HJ73" s="172"/>
      <c r="HK73" s="172"/>
      <c r="HL73" s="172"/>
      <c r="HM73" s="172"/>
      <c r="HN73" s="172"/>
      <c r="HO73" s="172"/>
      <c r="HP73" s="172"/>
      <c r="HQ73" s="172"/>
      <c r="HR73" s="172"/>
      <c r="HS73" s="172"/>
      <c r="HT73" s="172"/>
      <c r="HU73" s="172"/>
      <c r="HV73" s="172"/>
      <c r="HW73" s="172"/>
      <c r="HX73" s="172"/>
      <c r="HY73" s="172"/>
      <c r="HZ73" s="172"/>
      <c r="IA73" s="172"/>
      <c r="IB73" s="172"/>
      <c r="IC73" s="172"/>
      <c r="ID73" s="172"/>
      <c r="IE73" s="172"/>
      <c r="IF73" s="172"/>
      <c r="IG73" s="172"/>
      <c r="IH73" s="172"/>
      <c r="II73" s="172"/>
      <c r="IJ73" s="172"/>
      <c r="IK73" s="172"/>
      <c r="IL73" s="172"/>
      <c r="IM73" s="172"/>
      <c r="IN73" s="172"/>
      <c r="IO73" s="172"/>
      <c r="IP73" s="172"/>
      <c r="IQ73" s="172"/>
      <c r="IR73" s="172"/>
      <c r="IS73" s="172"/>
      <c r="IT73" s="172"/>
      <c r="IU73" s="172"/>
      <c r="IV73" s="172"/>
      <c r="IW73" s="172"/>
      <c r="IX73" s="172"/>
      <c r="IY73" s="172"/>
      <c r="IZ73" s="172"/>
      <c r="JA73" s="172"/>
      <c r="JB73" s="172"/>
      <c r="JC73" s="172"/>
      <c r="JD73" s="172"/>
      <c r="JE73" s="172"/>
      <c r="JF73" s="172"/>
      <c r="JG73" s="172"/>
      <c r="JH73" s="172"/>
      <c r="JI73" s="172"/>
      <c r="JJ73" s="172"/>
      <c r="JK73" s="172"/>
      <c r="JL73" s="172"/>
      <c r="JM73" s="172"/>
      <c r="JN73" s="172"/>
      <c r="JO73" s="172"/>
      <c r="JP73" s="172"/>
      <c r="JQ73" s="172"/>
      <c r="JR73" s="172"/>
      <c r="JS73" s="172"/>
      <c r="JT73" s="172"/>
      <c r="JU73" s="172"/>
      <c r="JV73" s="172"/>
      <c r="JW73" s="172"/>
      <c r="JX73" s="172"/>
      <c r="JY73" s="172"/>
      <c r="JZ73" s="172"/>
      <c r="KA73" s="172"/>
      <c r="KB73" s="172"/>
      <c r="KC73" s="172"/>
      <c r="KD73" s="172"/>
      <c r="KE73" s="172"/>
      <c r="KF73" s="172"/>
      <c r="KG73" s="172"/>
      <c r="KH73" s="172"/>
      <c r="KI73" s="172"/>
      <c r="KJ73" s="172"/>
      <c r="KK73" s="172"/>
      <c r="KL73" s="172"/>
      <c r="KM73" s="172"/>
      <c r="KN73" s="172"/>
      <c r="KO73" s="172"/>
      <c r="KP73" s="172"/>
      <c r="KQ73" s="172"/>
      <c r="KR73" s="172"/>
      <c r="KS73" s="172"/>
      <c r="KT73" s="172"/>
      <c r="KU73" s="172"/>
      <c r="KV73" s="172"/>
      <c r="KW73" s="172"/>
      <c r="KX73" s="172"/>
      <c r="KY73" s="172"/>
      <c r="KZ73" s="172"/>
      <c r="LA73" s="172"/>
      <c r="LB73" s="172"/>
      <c r="LC73" s="172"/>
      <c r="LD73" s="172"/>
      <c r="LE73" s="172"/>
      <c r="LF73" s="172"/>
      <c r="LG73" s="172"/>
      <c r="LH73" s="172"/>
      <c r="LI73" s="172"/>
      <c r="LJ73" s="172"/>
      <c r="LK73" s="172"/>
      <c r="LL73" s="172"/>
      <c r="LM73" s="172"/>
      <c r="LN73" s="172"/>
      <c r="LO73" s="172"/>
      <c r="LP73" s="172"/>
      <c r="LQ73" s="172"/>
      <c r="LR73" s="172"/>
      <c r="LS73" s="172"/>
      <c r="LT73" s="172"/>
      <c r="LU73" s="172"/>
      <c r="LV73" s="172"/>
      <c r="LW73" s="172"/>
      <c r="LX73" s="172"/>
      <c r="LY73" s="172"/>
      <c r="LZ73" s="172"/>
      <c r="MA73" s="172"/>
      <c r="MB73" s="172"/>
      <c r="MC73" s="172"/>
      <c r="MD73" s="172"/>
      <c r="ME73" s="172"/>
      <c r="MF73" s="172"/>
      <c r="MG73" s="172"/>
      <c r="MH73" s="172"/>
      <c r="MI73" s="172"/>
      <c r="MJ73" s="172"/>
      <c r="MK73" s="172"/>
      <c r="ML73" s="172"/>
      <c r="MM73" s="172"/>
      <c r="MN73" s="172"/>
      <c r="MO73" s="172"/>
      <c r="MP73" s="172"/>
      <c r="MQ73" s="172"/>
      <c r="MR73" s="172"/>
      <c r="MS73" s="172"/>
      <c r="MT73" s="172"/>
      <c r="MU73" s="172"/>
      <c r="MV73" s="172"/>
      <c r="MW73" s="172"/>
      <c r="MX73" s="172"/>
      <c r="MY73" s="172"/>
      <c r="MZ73" s="172"/>
      <c r="NA73" s="172"/>
      <c r="NB73" s="172"/>
      <c r="NC73" s="172"/>
      <c r="ND73" s="172"/>
      <c r="NE73" s="172"/>
      <c r="NF73" s="172"/>
      <c r="NG73" s="172"/>
      <c r="NH73" s="172"/>
      <c r="NI73" s="172"/>
      <c r="NJ73" s="172"/>
      <c r="NK73" s="172"/>
      <c r="NL73" s="172"/>
      <c r="NM73" s="172"/>
      <c r="NN73" s="172"/>
      <c r="NO73" s="172"/>
      <c r="NP73" s="172"/>
      <c r="NQ73" s="172"/>
      <c r="NR73" s="172"/>
      <c r="NS73" s="172"/>
      <c r="NT73" s="172"/>
      <c r="NU73" s="172"/>
      <c r="NV73" s="172"/>
      <c r="NW73" s="172"/>
      <c r="NX73" s="172"/>
      <c r="NY73" s="172"/>
      <c r="NZ73" s="172"/>
      <c r="OA73" s="172"/>
      <c r="OB73" s="172"/>
      <c r="OC73" s="172"/>
      <c r="OD73" s="172"/>
      <c r="OE73" s="172"/>
      <c r="OF73" s="172"/>
      <c r="OG73" s="172"/>
      <c r="OH73" s="172"/>
      <c r="OI73" s="172"/>
      <c r="OJ73" s="172"/>
      <c r="OK73" s="172"/>
      <c r="OL73" s="172"/>
      <c r="OM73" s="172"/>
      <c r="ON73" s="172"/>
      <c r="OO73" s="172"/>
      <c r="OP73" s="172"/>
      <c r="OQ73" s="172"/>
      <c r="OR73" s="172"/>
      <c r="OS73" s="172"/>
      <c r="OT73" s="172"/>
      <c r="OU73" s="172"/>
      <c r="OV73" s="172"/>
      <c r="OW73" s="172"/>
      <c r="OX73" s="172"/>
      <c r="OY73" s="172"/>
      <c r="OZ73" s="172"/>
      <c r="PA73" s="172"/>
      <c r="PB73" s="172"/>
      <c r="PC73" s="172"/>
      <c r="PD73" s="172"/>
      <c r="PE73" s="172"/>
      <c r="PF73" s="172"/>
      <c r="PG73" s="172"/>
      <c r="PH73" s="172"/>
      <c r="PI73" s="172"/>
      <c r="PJ73" s="172"/>
      <c r="PK73" s="172"/>
      <c r="PL73" s="172"/>
      <c r="PM73" s="172"/>
      <c r="PN73" s="172"/>
      <c r="PO73" s="172"/>
      <c r="PP73" s="172"/>
      <c r="PQ73" s="172"/>
      <c r="PR73" s="172"/>
      <c r="PS73" s="172"/>
      <c r="PT73" s="172"/>
      <c r="PU73" s="172"/>
      <c r="PV73" s="172"/>
      <c r="PW73" s="172"/>
      <c r="PX73" s="172"/>
      <c r="PY73" s="172"/>
      <c r="PZ73" s="172"/>
      <c r="QA73" s="172"/>
      <c r="QB73" s="172"/>
      <c r="QC73" s="172"/>
      <c r="QD73" s="172"/>
      <c r="QE73" s="172"/>
      <c r="QF73" s="172"/>
      <c r="QG73" s="172"/>
      <c r="QH73" s="172"/>
      <c r="QI73" s="172"/>
      <c r="QJ73" s="172"/>
      <c r="QK73" s="172"/>
      <c r="QL73" s="172"/>
      <c r="QM73" s="172"/>
      <c r="QN73" s="172"/>
      <c r="QO73" s="172"/>
      <c r="QP73" s="172"/>
      <c r="QQ73" s="172"/>
      <c r="QR73" s="172"/>
      <c r="QS73" s="172"/>
      <c r="QT73" s="172"/>
      <c r="QU73" s="172"/>
      <c r="QV73" s="172"/>
      <c r="QW73" s="172"/>
      <c r="QX73" s="172"/>
      <c r="QY73" s="172"/>
      <c r="QZ73" s="172"/>
      <c r="RA73" s="172"/>
      <c r="RB73" s="172"/>
      <c r="RC73" s="172"/>
      <c r="RD73" s="172"/>
      <c r="RE73" s="172"/>
      <c r="RF73" s="172"/>
      <c r="RG73" s="172"/>
      <c r="RH73" s="172"/>
      <c r="RI73" s="172"/>
      <c r="RJ73" s="172"/>
      <c r="RK73" s="172"/>
      <c r="RL73" s="172"/>
      <c r="RM73" s="172"/>
      <c r="RN73" s="172"/>
      <c r="RO73" s="172"/>
      <c r="RP73" s="172"/>
      <c r="RQ73" s="172"/>
      <c r="RR73" s="172"/>
      <c r="RS73" s="172"/>
      <c r="RT73" s="172"/>
      <c r="RU73" s="172"/>
      <c r="RV73" s="172"/>
      <c r="RW73" s="172"/>
      <c r="RX73" s="172"/>
      <c r="RY73" s="172"/>
      <c r="RZ73" s="172"/>
      <c r="SA73" s="172"/>
      <c r="SB73" s="172"/>
      <c r="SC73" s="172"/>
      <c r="SD73" s="172"/>
      <c r="SE73" s="172"/>
      <c r="SF73" s="172"/>
      <c r="SG73" s="172"/>
      <c r="SH73" s="172"/>
      <c r="SI73" s="172"/>
      <c r="SJ73" s="172"/>
      <c r="SK73" s="172"/>
      <c r="SL73" s="172"/>
      <c r="SM73" s="172"/>
      <c r="SN73" s="172"/>
      <c r="SO73" s="172"/>
      <c r="SP73" s="172"/>
      <c r="SQ73" s="172"/>
      <c r="SR73" s="172"/>
      <c r="SS73" s="172"/>
      <c r="ST73" s="172"/>
      <c r="SU73" s="172"/>
      <c r="SV73" s="172"/>
      <c r="SW73" s="172"/>
      <c r="SX73" s="172"/>
      <c r="SY73" s="172"/>
      <c r="SZ73" s="172"/>
      <c r="TA73" s="172"/>
      <c r="TB73" s="172"/>
      <c r="TC73" s="172"/>
      <c r="TD73" s="172"/>
      <c r="TE73" s="172"/>
      <c r="TF73" s="172"/>
      <c r="TG73" s="172"/>
      <c r="TH73" s="172"/>
      <c r="TI73" s="172"/>
      <c r="TJ73" s="172"/>
      <c r="TK73" s="172"/>
      <c r="TL73" s="172"/>
      <c r="TM73" s="172"/>
      <c r="TN73" s="172"/>
      <c r="TO73" s="172"/>
      <c r="TP73" s="172"/>
      <c r="TQ73" s="172"/>
      <c r="TR73" s="172"/>
      <c r="TS73" s="172"/>
      <c r="TT73" s="172"/>
      <c r="TU73" s="172"/>
      <c r="TV73" s="172"/>
      <c r="TW73" s="172"/>
      <c r="TX73" s="172"/>
      <c r="TY73" s="172"/>
      <c r="TZ73" s="172"/>
      <c r="UA73" s="172"/>
      <c r="UB73" s="172"/>
      <c r="UC73" s="172"/>
      <c r="UD73" s="172"/>
      <c r="UE73" s="172"/>
      <c r="UF73" s="172"/>
      <c r="UG73" s="172"/>
      <c r="UH73" s="172"/>
      <c r="UI73" s="172"/>
      <c r="UJ73" s="172"/>
      <c r="UK73" s="172"/>
      <c r="UL73" s="172"/>
      <c r="UM73" s="172"/>
      <c r="UN73" s="172"/>
      <c r="UO73" s="172"/>
      <c r="UP73" s="172"/>
      <c r="UQ73" s="172"/>
      <c r="UR73" s="172"/>
      <c r="US73" s="172"/>
      <c r="UT73" s="172"/>
      <c r="UU73" s="172"/>
      <c r="UV73" s="172"/>
      <c r="UW73" s="172"/>
      <c r="UX73" s="172"/>
      <c r="UY73" s="172"/>
      <c r="UZ73" s="172"/>
      <c r="VA73" s="172"/>
      <c r="VB73" s="172"/>
      <c r="VC73" s="172"/>
      <c r="VD73" s="172"/>
      <c r="VE73" s="172"/>
      <c r="VF73" s="172"/>
      <c r="VG73" s="172"/>
      <c r="VH73" s="172"/>
      <c r="VI73" s="172"/>
      <c r="VJ73" s="172"/>
      <c r="VK73" s="172"/>
      <c r="VL73" s="172"/>
      <c r="VM73" s="172"/>
      <c r="VN73" s="172"/>
      <c r="VO73" s="172"/>
      <c r="VP73" s="172"/>
      <c r="VQ73" s="172"/>
      <c r="VR73" s="172"/>
      <c r="VS73" s="172"/>
      <c r="VT73" s="172"/>
      <c r="VU73" s="172"/>
      <c r="VV73" s="172"/>
      <c r="VW73" s="172"/>
      <c r="VX73" s="172"/>
      <c r="VY73" s="172"/>
      <c r="VZ73" s="172"/>
      <c r="WA73" s="172"/>
      <c r="WB73" s="172"/>
      <c r="WC73" s="172"/>
      <c r="WD73" s="172"/>
      <c r="WE73" s="172"/>
      <c r="WF73" s="172"/>
      <c r="WG73" s="172"/>
      <c r="WH73" s="172"/>
      <c r="WI73" s="172"/>
      <c r="WJ73" s="172"/>
      <c r="WK73" s="172"/>
      <c r="WL73" s="172"/>
      <c r="WM73" s="172"/>
      <c r="WN73" s="172"/>
      <c r="WO73" s="172"/>
      <c r="WP73" s="172"/>
      <c r="WQ73" s="172"/>
      <c r="WR73" s="172"/>
      <c r="WS73" s="172"/>
      <c r="WT73" s="172"/>
      <c r="WU73" s="172"/>
      <c r="WV73" s="172"/>
      <c r="WW73" s="172"/>
      <c r="WX73" s="172"/>
      <c r="WY73" s="172"/>
      <c r="WZ73" s="172"/>
      <c r="XA73" s="172"/>
      <c r="XB73" s="172"/>
      <c r="XC73" s="172"/>
      <c r="XD73" s="172"/>
      <c r="XE73" s="172"/>
      <c r="XF73" s="172"/>
      <c r="XG73" s="172"/>
      <c r="XH73" s="172"/>
      <c r="XI73" s="172"/>
      <c r="XJ73" s="172"/>
      <c r="XK73" s="172"/>
      <c r="XL73" s="172"/>
      <c r="XM73" s="172"/>
      <c r="XN73" s="172"/>
      <c r="XO73" s="172"/>
      <c r="XP73" s="172"/>
      <c r="XQ73" s="172"/>
      <c r="XR73" s="172"/>
      <c r="XS73" s="172"/>
      <c r="XT73" s="172"/>
      <c r="XU73" s="172"/>
      <c r="XV73" s="172"/>
      <c r="XW73" s="172"/>
      <c r="XX73" s="172"/>
      <c r="XY73" s="172"/>
      <c r="XZ73" s="172"/>
      <c r="YA73" s="172"/>
      <c r="YB73" s="172"/>
      <c r="YC73" s="172"/>
      <c r="YD73" s="172"/>
      <c r="YE73" s="172"/>
      <c r="YF73" s="172"/>
      <c r="YG73" s="172"/>
      <c r="YH73" s="172"/>
      <c r="YI73" s="172"/>
      <c r="YJ73" s="172"/>
      <c r="YK73" s="172"/>
      <c r="YL73" s="172"/>
      <c r="YM73" s="172"/>
      <c r="YN73" s="172"/>
      <c r="YO73" s="172"/>
      <c r="YP73" s="172"/>
      <c r="YQ73" s="172"/>
      <c r="YR73" s="172"/>
      <c r="YS73" s="172"/>
      <c r="YT73" s="172"/>
      <c r="YU73" s="172"/>
      <c r="YV73" s="172"/>
      <c r="YW73" s="172"/>
      <c r="YX73" s="172"/>
      <c r="YY73" s="172"/>
      <c r="YZ73" s="172"/>
      <c r="ZA73" s="172"/>
      <c r="ZB73" s="172"/>
      <c r="ZC73" s="172"/>
      <c r="ZD73" s="172"/>
      <c r="ZE73" s="172"/>
      <c r="ZF73" s="172"/>
      <c r="ZG73" s="172"/>
      <c r="ZH73" s="172"/>
      <c r="ZI73" s="172"/>
      <c r="ZJ73" s="172"/>
      <c r="ZK73" s="172"/>
      <c r="ZL73" s="172"/>
      <c r="ZM73" s="172"/>
      <c r="ZN73" s="172"/>
      <c r="ZO73" s="172"/>
      <c r="ZP73" s="172"/>
      <c r="ZQ73" s="172"/>
      <c r="ZR73" s="172"/>
      <c r="ZS73" s="172"/>
      <c r="ZT73" s="172"/>
      <c r="ZU73" s="172"/>
      <c r="ZV73" s="172"/>
      <c r="ZW73" s="172"/>
      <c r="ZX73" s="172"/>
      <c r="ZY73" s="172"/>
      <c r="ZZ73" s="172"/>
      <c r="AAA73" s="172"/>
      <c r="AAB73" s="172"/>
      <c r="AAC73" s="172"/>
      <c r="AAD73" s="172"/>
      <c r="AAE73" s="172"/>
      <c r="AAF73" s="172"/>
      <c r="AAG73" s="172"/>
      <c r="AAH73" s="172"/>
      <c r="AAI73" s="172"/>
      <c r="AAJ73" s="172"/>
      <c r="AAK73" s="172"/>
      <c r="AAL73" s="172"/>
      <c r="AAM73" s="172"/>
      <c r="AAN73" s="172"/>
      <c r="AAO73" s="172"/>
      <c r="AAP73" s="172"/>
      <c r="AAQ73" s="172"/>
      <c r="AAR73" s="172"/>
      <c r="AAS73" s="172"/>
      <c r="AAT73" s="172"/>
      <c r="AAU73" s="172"/>
      <c r="AAV73" s="172"/>
      <c r="AAW73" s="172"/>
      <c r="AAX73" s="172"/>
      <c r="AAY73" s="172"/>
      <c r="AAZ73" s="172"/>
      <c r="ABA73" s="172"/>
      <c r="ABB73" s="172"/>
      <c r="ABC73" s="172"/>
      <c r="ABD73" s="172"/>
      <c r="ABE73" s="172"/>
      <c r="ABF73" s="172"/>
      <c r="ABG73" s="172"/>
      <c r="ABH73" s="172"/>
      <c r="ABI73" s="172"/>
      <c r="ABJ73" s="172"/>
      <c r="ABK73" s="172"/>
      <c r="ABL73" s="172"/>
      <c r="ABM73" s="172"/>
      <c r="ABN73" s="172"/>
      <c r="ABO73" s="172"/>
      <c r="ABP73" s="172"/>
      <c r="ABQ73" s="172"/>
      <c r="ABR73" s="172"/>
      <c r="ABS73" s="172"/>
      <c r="ABT73" s="172"/>
      <c r="ABU73" s="172"/>
      <c r="ABV73" s="172"/>
      <c r="ABW73" s="172"/>
      <c r="ABX73" s="172"/>
      <c r="ABY73" s="172"/>
      <c r="ABZ73" s="172"/>
      <c r="ACA73" s="172"/>
      <c r="ACB73" s="172"/>
      <c r="ACC73" s="172"/>
      <c r="ACD73" s="172"/>
      <c r="ACE73" s="172"/>
      <c r="ACF73" s="172"/>
      <c r="ACG73" s="172"/>
      <c r="ACH73" s="172"/>
      <c r="ACI73" s="172"/>
      <c r="ACJ73" s="172"/>
      <c r="ACK73" s="172"/>
      <c r="ACL73" s="172"/>
      <c r="ACM73" s="172"/>
      <c r="ACN73" s="172"/>
      <c r="ACO73" s="172"/>
      <c r="ACP73" s="172"/>
      <c r="ACQ73" s="172"/>
      <c r="ACR73" s="172"/>
      <c r="ACS73" s="172"/>
      <c r="ACT73" s="172"/>
      <c r="ACU73" s="172"/>
      <c r="ACV73" s="172"/>
      <c r="ACW73" s="172"/>
      <c r="ACX73" s="172"/>
      <c r="ACY73" s="172"/>
      <c r="ACZ73" s="172"/>
      <c r="ADA73" s="172"/>
      <c r="ADB73" s="172"/>
      <c r="ADC73" s="172"/>
      <c r="ADD73" s="172"/>
      <c r="ADE73" s="172"/>
      <c r="ADF73" s="172"/>
      <c r="ADG73" s="172"/>
      <c r="ADH73" s="172"/>
      <c r="ADI73" s="172"/>
      <c r="ADJ73" s="172"/>
      <c r="ADK73" s="172"/>
      <c r="ADL73" s="172"/>
      <c r="ADM73" s="172"/>
      <c r="ADN73" s="172"/>
      <c r="ADO73" s="172"/>
      <c r="ADP73" s="172"/>
      <c r="ADQ73" s="172"/>
      <c r="ADR73" s="172"/>
      <c r="ADS73" s="172"/>
      <c r="ADT73" s="172"/>
      <c r="ADU73" s="172"/>
      <c r="ADV73" s="172"/>
      <c r="ADW73" s="172"/>
      <c r="ADX73" s="172"/>
      <c r="ADY73" s="172"/>
      <c r="ADZ73" s="172"/>
      <c r="AEA73" s="172"/>
      <c r="AEB73" s="172"/>
      <c r="AEC73" s="172"/>
      <c r="AED73" s="172"/>
      <c r="AEE73" s="172"/>
      <c r="AEF73" s="172"/>
      <c r="AEG73" s="172"/>
      <c r="AEH73" s="172"/>
      <c r="AEI73" s="172"/>
      <c r="AEJ73" s="172"/>
      <c r="AEK73" s="172"/>
      <c r="AEL73" s="172"/>
      <c r="AEM73" s="172"/>
      <c r="AEN73" s="172"/>
      <c r="AEO73" s="172"/>
      <c r="AEP73" s="172"/>
      <c r="AEQ73" s="172"/>
      <c r="AER73" s="172"/>
      <c r="AES73" s="172"/>
      <c r="AET73" s="172"/>
      <c r="AEU73" s="172"/>
      <c r="AEV73" s="172"/>
      <c r="AEW73" s="172"/>
      <c r="AEX73" s="172"/>
      <c r="AEY73" s="172"/>
      <c r="AEZ73" s="172"/>
      <c r="AFA73" s="172"/>
      <c r="AFB73" s="172"/>
      <c r="AFC73" s="172"/>
      <c r="AFD73" s="172"/>
      <c r="AFE73" s="172"/>
      <c r="AFF73" s="172"/>
      <c r="AFG73" s="172"/>
      <c r="AFH73" s="172"/>
      <c r="AFI73" s="172"/>
      <c r="AFJ73" s="172"/>
      <c r="AFK73" s="172"/>
      <c r="AFL73" s="172"/>
      <c r="AFM73" s="172"/>
      <c r="AFN73" s="172"/>
      <c r="AFO73" s="172"/>
      <c r="AFP73" s="172"/>
      <c r="AFQ73" s="172"/>
      <c r="AFR73" s="172"/>
      <c r="AFS73" s="172"/>
      <c r="AFT73" s="172"/>
      <c r="AFU73" s="172"/>
      <c r="AFV73" s="172"/>
      <c r="AFW73" s="172"/>
      <c r="AFX73" s="172"/>
      <c r="AFY73" s="172"/>
      <c r="AFZ73" s="172"/>
      <c r="AGA73" s="172"/>
      <c r="AGB73" s="172"/>
      <c r="AGC73" s="172"/>
      <c r="AGD73" s="172"/>
      <c r="AGE73" s="172"/>
      <c r="AGF73" s="172"/>
      <c r="AGG73" s="172"/>
      <c r="AGH73" s="172"/>
      <c r="AGI73" s="172"/>
      <c r="AGJ73" s="172"/>
      <c r="AGK73" s="172"/>
      <c r="AGL73" s="172"/>
      <c r="AGM73" s="172"/>
      <c r="AGN73" s="172"/>
      <c r="AGO73" s="172"/>
      <c r="AGP73" s="172"/>
      <c r="AGQ73" s="172"/>
      <c r="AGR73" s="172"/>
      <c r="AGS73" s="172"/>
      <c r="AGT73" s="172"/>
      <c r="AGU73" s="172"/>
      <c r="AGV73" s="172"/>
      <c r="AGW73" s="172"/>
      <c r="AGX73" s="172"/>
      <c r="AGY73" s="172"/>
      <c r="AGZ73" s="172"/>
      <c r="AHA73" s="172"/>
      <c r="AHB73" s="172"/>
      <c r="AHC73" s="172"/>
      <c r="AHD73" s="172"/>
      <c r="AHE73" s="172"/>
      <c r="AHF73" s="172"/>
      <c r="AHG73" s="172"/>
      <c r="AHH73" s="172"/>
      <c r="AHI73" s="172"/>
      <c r="AHJ73" s="172"/>
      <c r="AHK73" s="172"/>
      <c r="AHL73" s="172"/>
      <c r="AHM73" s="172"/>
      <c r="AHN73" s="172"/>
      <c r="AHO73" s="172"/>
      <c r="AHP73" s="172"/>
      <c r="AHQ73" s="172"/>
      <c r="AHR73" s="172"/>
      <c r="AHS73" s="172"/>
      <c r="AHT73" s="172"/>
      <c r="AHU73" s="172"/>
      <c r="AHV73" s="172"/>
      <c r="AHW73" s="172"/>
      <c r="AHX73" s="172"/>
      <c r="AHY73" s="172"/>
      <c r="AHZ73" s="172"/>
      <c r="AIA73" s="172"/>
      <c r="AIB73" s="172"/>
      <c r="AIC73" s="172"/>
      <c r="AID73" s="172"/>
      <c r="AIE73" s="172"/>
      <c r="AIF73" s="172"/>
      <c r="AIG73" s="172"/>
      <c r="AIH73" s="172"/>
      <c r="AII73" s="172"/>
      <c r="AIJ73" s="172"/>
      <c r="AIK73" s="172"/>
      <c r="AIL73" s="172"/>
      <c r="AIM73" s="172"/>
      <c r="AIN73" s="172"/>
      <c r="AIO73" s="172"/>
      <c r="AIP73" s="172"/>
      <c r="AIQ73" s="172"/>
      <c r="AIR73" s="172"/>
      <c r="AIS73" s="172"/>
      <c r="AIT73" s="172"/>
      <c r="AIU73" s="172"/>
      <c r="AIV73" s="172"/>
      <c r="AIW73" s="172"/>
      <c r="AIX73" s="172"/>
      <c r="AIY73" s="172"/>
      <c r="AIZ73" s="172"/>
      <c r="AJA73" s="172"/>
      <c r="AJB73" s="172"/>
      <c r="AJC73" s="172"/>
      <c r="AJD73" s="172"/>
      <c r="AJE73" s="172"/>
      <c r="AJF73" s="172"/>
      <c r="AJG73" s="172"/>
      <c r="AJH73" s="172"/>
      <c r="AJI73" s="172"/>
      <c r="AJJ73" s="172"/>
      <c r="AJK73" s="172"/>
      <c r="AJL73" s="172"/>
      <c r="AJM73" s="172"/>
      <c r="AJN73" s="172"/>
      <c r="AJO73" s="172"/>
      <c r="AJP73" s="172"/>
      <c r="AJQ73" s="172"/>
      <c r="AJR73" s="172"/>
      <c r="AJS73" s="172"/>
      <c r="AJT73" s="172"/>
      <c r="AJU73" s="172"/>
      <c r="AJV73" s="172"/>
      <c r="AJW73" s="172"/>
      <c r="AJX73" s="172"/>
      <c r="AJY73" s="172"/>
      <c r="AJZ73" s="172"/>
      <c r="AKA73" s="172"/>
      <c r="AKB73" s="172"/>
      <c r="AKC73" s="172"/>
      <c r="AKD73" s="172"/>
      <c r="AKE73" s="172"/>
      <c r="AKF73" s="172"/>
      <c r="AKG73" s="172"/>
      <c r="AKH73" s="172"/>
      <c r="AKI73" s="172"/>
      <c r="AKJ73" s="172"/>
      <c r="AKK73" s="172"/>
      <c r="AKL73" s="172"/>
      <c r="AKM73" s="172"/>
      <c r="AKN73" s="172"/>
      <c r="AKO73" s="172"/>
      <c r="AKP73" s="172"/>
      <c r="AKQ73" s="172"/>
      <c r="AKR73" s="172"/>
      <c r="AKS73" s="172"/>
      <c r="AKT73" s="172"/>
      <c r="AKU73" s="172"/>
      <c r="AKV73" s="172"/>
      <c r="AKW73" s="172"/>
      <c r="AKX73" s="172"/>
      <c r="AKY73" s="172"/>
      <c r="AKZ73" s="172"/>
      <c r="ALA73" s="172"/>
      <c r="ALB73" s="172"/>
      <c r="ALC73" s="172"/>
      <c r="ALD73" s="172"/>
      <c r="ALE73" s="172"/>
      <c r="ALF73" s="172"/>
      <c r="ALG73" s="172"/>
      <c r="ALH73" s="172"/>
      <c r="ALI73" s="172"/>
      <c r="ALJ73" s="172"/>
      <c r="ALK73" s="172"/>
      <c r="ALL73" s="172"/>
      <c r="ALM73" s="172"/>
      <c r="ALN73" s="172"/>
      <c r="ALO73" s="172"/>
      <c r="ALP73" s="172"/>
      <c r="ALQ73" s="172"/>
      <c r="ALR73" s="172"/>
      <c r="ALS73" s="172"/>
      <c r="ALT73" s="172"/>
      <c r="ALU73" s="172"/>
      <c r="ALV73" s="172"/>
      <c r="ALW73" s="172"/>
      <c r="ALX73" s="172"/>
      <c r="ALY73" s="172"/>
      <c r="ALZ73" s="172"/>
      <c r="AMA73" s="172"/>
      <c r="AMB73" s="172"/>
      <c r="AMC73" s="172"/>
      <c r="AMD73" s="172"/>
      <c r="AME73" s="172"/>
      <c r="AMF73" s="172"/>
      <c r="AMG73" s="172"/>
      <c r="AMH73" s="172"/>
      <c r="AMI73" s="172"/>
      <c r="AMJ73" s="172"/>
      <c r="AMK73" s="172"/>
      <c r="AML73" s="172"/>
      <c r="AMM73" s="172"/>
      <c r="AMN73" s="172"/>
      <c r="AMO73" s="172"/>
      <c r="AMP73" s="172"/>
      <c r="AMQ73" s="172"/>
      <c r="AMR73" s="172"/>
      <c r="AMS73" s="172"/>
      <c r="AMT73" s="172"/>
      <c r="AMU73" s="172"/>
      <c r="AMV73" s="172"/>
      <c r="AMW73" s="172"/>
      <c r="AMX73" s="172"/>
      <c r="AMY73" s="172"/>
      <c r="AMZ73" s="172"/>
      <c r="ANA73" s="172"/>
      <c r="ANB73" s="172"/>
      <c r="ANC73" s="172"/>
      <c r="AND73" s="172"/>
      <c r="ANE73" s="172"/>
      <c r="ANF73" s="172"/>
      <c r="ANG73" s="172"/>
      <c r="ANH73" s="172"/>
      <c r="ANI73" s="172"/>
      <c r="ANJ73" s="172"/>
      <c r="ANK73" s="172"/>
      <c r="ANL73" s="172"/>
      <c r="ANM73" s="172"/>
      <c r="ANN73" s="172"/>
      <c r="ANO73" s="172"/>
      <c r="ANP73" s="172"/>
      <c r="ANQ73" s="172"/>
      <c r="ANR73" s="172"/>
      <c r="ANS73" s="172"/>
      <c r="ANT73" s="172"/>
      <c r="ANU73" s="172"/>
      <c r="ANV73" s="172"/>
      <c r="ANW73" s="172"/>
      <c r="ANX73" s="172"/>
      <c r="ANY73" s="172"/>
      <c r="ANZ73" s="172"/>
      <c r="AOA73" s="172"/>
      <c r="AOB73" s="172"/>
      <c r="AOC73" s="172"/>
      <c r="AOD73" s="172"/>
      <c r="AOE73" s="172"/>
      <c r="AOF73" s="172"/>
      <c r="AOG73" s="172"/>
      <c r="AOH73" s="172"/>
      <c r="AOI73" s="172"/>
      <c r="AOJ73" s="172"/>
      <c r="AOK73" s="172"/>
      <c r="AOL73" s="172"/>
      <c r="AOM73" s="172"/>
      <c r="AON73" s="172"/>
      <c r="AOO73" s="172"/>
      <c r="AOP73" s="172"/>
      <c r="AOQ73" s="172"/>
      <c r="AOR73" s="172"/>
      <c r="AOS73" s="172"/>
      <c r="AOT73" s="172"/>
      <c r="AOU73" s="172"/>
      <c r="AOV73" s="172"/>
      <c r="AOW73" s="172"/>
      <c r="AOX73" s="172"/>
      <c r="AOY73" s="172"/>
      <c r="AOZ73" s="172"/>
      <c r="APA73" s="172"/>
      <c r="APB73" s="172"/>
      <c r="APC73" s="172"/>
      <c r="APD73" s="172"/>
      <c r="APE73" s="172"/>
      <c r="APF73" s="172"/>
      <c r="APG73" s="172"/>
      <c r="APH73" s="172"/>
      <c r="API73" s="172"/>
      <c r="APJ73" s="172"/>
      <c r="APK73" s="172"/>
      <c r="APL73" s="172"/>
      <c r="APM73" s="172"/>
      <c r="APN73" s="172"/>
      <c r="APO73" s="172"/>
      <c r="APP73" s="172"/>
      <c r="APQ73" s="172"/>
      <c r="APR73" s="172"/>
      <c r="APS73" s="172"/>
      <c r="APT73" s="172"/>
      <c r="APU73" s="172"/>
      <c r="APV73" s="172"/>
      <c r="APW73" s="172"/>
      <c r="APX73" s="172"/>
      <c r="APY73" s="172"/>
      <c r="APZ73" s="172"/>
      <c r="AQA73" s="172"/>
      <c r="AQB73" s="172"/>
      <c r="AQC73" s="172"/>
      <c r="AQD73" s="172"/>
      <c r="AQE73" s="172"/>
      <c r="AQF73" s="172"/>
      <c r="AQG73" s="172"/>
      <c r="AQH73" s="172"/>
      <c r="AQI73" s="172"/>
      <c r="AQJ73" s="172"/>
      <c r="AQK73" s="172"/>
      <c r="AQL73" s="172"/>
      <c r="AQM73" s="172"/>
      <c r="AQN73" s="172"/>
      <c r="AQO73" s="172"/>
      <c r="AQP73" s="172"/>
      <c r="AQQ73" s="172"/>
      <c r="AQR73" s="172"/>
      <c r="AQS73" s="172"/>
      <c r="AQT73" s="172"/>
      <c r="AQU73" s="172"/>
      <c r="AQV73" s="172"/>
      <c r="AQW73" s="172"/>
      <c r="AQX73" s="172"/>
      <c r="AQY73" s="172"/>
      <c r="AQZ73" s="172"/>
      <c r="ARA73" s="172"/>
      <c r="ARB73" s="172"/>
      <c r="ARC73" s="172"/>
      <c r="ARD73" s="172"/>
      <c r="ARE73" s="172"/>
      <c r="ARF73" s="172"/>
      <c r="ARG73" s="172"/>
      <c r="ARH73" s="172"/>
      <c r="ARI73" s="172"/>
      <c r="ARJ73" s="172"/>
      <c r="ARK73" s="172"/>
      <c r="ARL73" s="172"/>
      <c r="ARM73" s="172"/>
      <c r="ARN73" s="172"/>
      <c r="ARO73" s="172"/>
      <c r="ARP73" s="172"/>
      <c r="ARQ73" s="172"/>
      <c r="ARR73" s="172"/>
      <c r="ARS73" s="172"/>
      <c r="ART73" s="172"/>
      <c r="ARU73" s="172"/>
    </row>
    <row r="74" spans="1:1165" s="257" customFormat="1">
      <c r="A74" s="222" t="s">
        <v>202</v>
      </c>
      <c r="B74" s="195" t="s">
        <v>87</v>
      </c>
      <c r="C74" s="258">
        <v>4099</v>
      </c>
      <c r="D74" s="258">
        <v>1029757</v>
      </c>
      <c r="E74" s="196">
        <v>0</v>
      </c>
      <c r="F74" s="196">
        <v>0</v>
      </c>
      <c r="G74" s="196">
        <v>0</v>
      </c>
      <c r="H74" s="196">
        <v>0</v>
      </c>
      <c r="I74" s="196">
        <v>0</v>
      </c>
      <c r="J74" s="196">
        <v>0</v>
      </c>
      <c r="K74" s="196">
        <v>0</v>
      </c>
      <c r="L74" s="196">
        <v>0</v>
      </c>
      <c r="M74" s="196">
        <v>0</v>
      </c>
      <c r="N74" s="196">
        <v>0</v>
      </c>
      <c r="O74" s="196">
        <v>0</v>
      </c>
      <c r="P74" s="196">
        <v>0</v>
      </c>
      <c r="Q74" s="196">
        <v>0</v>
      </c>
      <c r="R74" s="196">
        <v>0</v>
      </c>
      <c r="S74" s="196">
        <v>0</v>
      </c>
      <c r="T74" s="196">
        <v>0</v>
      </c>
      <c r="U74" s="196">
        <v>0</v>
      </c>
      <c r="V74" s="196">
        <v>0</v>
      </c>
      <c r="W74" s="196">
        <v>0</v>
      </c>
      <c r="X74" s="196">
        <v>0</v>
      </c>
      <c r="Y74" s="196">
        <v>0</v>
      </c>
      <c r="Z74" s="196">
        <v>0</v>
      </c>
      <c r="AA74" s="196">
        <v>0</v>
      </c>
      <c r="AB74" s="196">
        <v>0</v>
      </c>
      <c r="AC74" s="196">
        <v>0</v>
      </c>
      <c r="AD74" s="196">
        <v>0</v>
      </c>
      <c r="AE74" s="196">
        <v>0</v>
      </c>
      <c r="AF74" s="196">
        <v>0</v>
      </c>
      <c r="AG74" s="196">
        <v>0</v>
      </c>
      <c r="AH74" s="196">
        <v>0</v>
      </c>
      <c r="AI74" s="196">
        <v>0</v>
      </c>
      <c r="AJ74" s="196">
        <v>0</v>
      </c>
      <c r="AK74" s="196">
        <v>0</v>
      </c>
      <c r="AL74" s="196">
        <v>0</v>
      </c>
      <c r="AM74" s="196">
        <v>0</v>
      </c>
      <c r="AN74" s="196">
        <v>0</v>
      </c>
      <c r="AO74" s="196">
        <v>0</v>
      </c>
      <c r="AP74" s="196">
        <v>0</v>
      </c>
      <c r="AQ74" s="196">
        <v>0</v>
      </c>
      <c r="AR74" s="196">
        <v>0</v>
      </c>
      <c r="AS74" s="196">
        <v>0</v>
      </c>
      <c r="AT74" s="196">
        <v>0</v>
      </c>
      <c r="AU74" s="196">
        <v>0</v>
      </c>
      <c r="AV74" s="196">
        <v>0</v>
      </c>
      <c r="AW74" s="198">
        <v>0</v>
      </c>
      <c r="AX74" s="198">
        <v>0</v>
      </c>
      <c r="AY74" s="198">
        <v>0</v>
      </c>
      <c r="AZ74" s="198">
        <v>0</v>
      </c>
      <c r="BA74" s="227"/>
      <c r="BB74" s="198"/>
      <c r="BC74" s="198"/>
      <c r="BD74" s="198"/>
      <c r="BE74" s="198"/>
      <c r="BF74" s="198"/>
      <c r="BG74" s="198"/>
      <c r="BH74" s="198"/>
      <c r="BI74" s="198"/>
      <c r="BJ74" s="198">
        <f t="shared" ref="BJ74:BJ83" si="57">C74+G74+I74+K74+M74+O74+Q74+S74+U74+W74+Y74+AA74+AC74+AE74+AG74+AI74+AK74+AM74+AO74+AQ74+AS74+AU74+AW74+AY74+BB74+BF74</f>
        <v>4099</v>
      </c>
      <c r="BK74" s="198">
        <f t="shared" ref="BK74:BK84" si="58">D74+H74+J74+L74+N74+P74+R74+T74+V74+X74+Z74+AB74+AD74+AF74+AH74+AJ74+AL74+AN74+AP74+AR74+AT74+AV74+AX74+AZ74+BD74+BH74</f>
        <v>1029757</v>
      </c>
      <c r="BL74" s="172"/>
      <c r="BM74" s="13"/>
      <c r="BN74" s="231"/>
      <c r="BO74" s="231"/>
      <c r="BP74" s="231"/>
      <c r="BQ74" s="172"/>
      <c r="BR74" s="172"/>
      <c r="BS74" s="172"/>
      <c r="BT74" s="172"/>
      <c r="BU74" s="172"/>
      <c r="BV74" s="172"/>
      <c r="BW74" s="172"/>
      <c r="BX74" s="172"/>
      <c r="BY74" s="172"/>
      <c r="BZ74" s="172"/>
      <c r="CA74" s="172"/>
      <c r="CB74" s="172"/>
      <c r="CC74" s="172"/>
      <c r="CD74" s="172"/>
      <c r="CE74" s="172"/>
      <c r="CF74" s="172"/>
      <c r="CG74" s="172"/>
      <c r="CH74" s="172"/>
      <c r="CI74" s="172"/>
      <c r="CJ74" s="172"/>
      <c r="CK74" s="172"/>
      <c r="CL74" s="172"/>
      <c r="CM74" s="172"/>
      <c r="CN74" s="172"/>
      <c r="CO74" s="172"/>
      <c r="CP74" s="172"/>
      <c r="CQ74" s="172"/>
      <c r="CR74" s="172"/>
      <c r="CS74" s="172"/>
      <c r="CT74" s="172"/>
      <c r="CU74" s="172"/>
      <c r="CV74" s="172"/>
      <c r="CW74" s="172"/>
      <c r="CX74" s="172"/>
      <c r="CY74" s="172"/>
      <c r="CZ74" s="172"/>
      <c r="DA74" s="172"/>
      <c r="DB74" s="172"/>
      <c r="DC74" s="172"/>
      <c r="DD74" s="172"/>
      <c r="DE74" s="172"/>
      <c r="DF74" s="172"/>
      <c r="DG74" s="172"/>
      <c r="DH74" s="172"/>
      <c r="DI74" s="172"/>
      <c r="DJ74" s="172"/>
      <c r="DK74" s="172"/>
      <c r="DL74" s="172"/>
      <c r="DM74" s="172"/>
      <c r="DN74" s="172"/>
      <c r="DO74" s="172"/>
      <c r="DP74" s="172"/>
      <c r="DQ74" s="172"/>
      <c r="DR74" s="172"/>
      <c r="DS74" s="172"/>
      <c r="DT74" s="172"/>
      <c r="DU74" s="172"/>
      <c r="DV74" s="172"/>
      <c r="DW74" s="172"/>
      <c r="DX74" s="172"/>
      <c r="DY74" s="172"/>
      <c r="DZ74" s="172"/>
      <c r="EA74" s="172"/>
      <c r="EB74" s="172"/>
      <c r="EC74" s="172"/>
      <c r="ED74" s="172"/>
      <c r="EE74" s="172"/>
      <c r="EF74" s="172"/>
      <c r="EG74" s="172"/>
      <c r="EH74" s="172"/>
      <c r="EI74" s="172"/>
      <c r="EJ74" s="172"/>
      <c r="EK74" s="172"/>
      <c r="EL74" s="172"/>
      <c r="EM74" s="172"/>
      <c r="EN74" s="172"/>
      <c r="EO74" s="172"/>
      <c r="EP74" s="172"/>
      <c r="EQ74" s="172"/>
      <c r="ER74" s="172"/>
      <c r="ES74" s="172"/>
      <c r="ET74" s="172"/>
      <c r="EU74" s="172"/>
      <c r="EV74" s="172"/>
      <c r="EW74" s="172"/>
      <c r="EX74" s="172"/>
      <c r="EY74" s="172"/>
      <c r="EZ74" s="172"/>
      <c r="FA74" s="172"/>
      <c r="FB74" s="172"/>
      <c r="FC74" s="172"/>
      <c r="FD74" s="172"/>
      <c r="FE74" s="172"/>
      <c r="FF74" s="172"/>
      <c r="FG74" s="172"/>
      <c r="FH74" s="172"/>
      <c r="FI74" s="172"/>
      <c r="FJ74" s="172"/>
      <c r="FK74" s="172"/>
      <c r="FL74" s="172"/>
      <c r="FM74" s="172"/>
      <c r="FN74" s="172"/>
      <c r="FO74" s="172"/>
      <c r="FP74" s="172"/>
      <c r="FQ74" s="172"/>
      <c r="FR74" s="172"/>
      <c r="FS74" s="172"/>
      <c r="FT74" s="172"/>
      <c r="FU74" s="172"/>
      <c r="FV74" s="172"/>
      <c r="FW74" s="172"/>
      <c r="FX74" s="172"/>
      <c r="FY74" s="172"/>
      <c r="FZ74" s="172"/>
      <c r="GA74" s="172"/>
      <c r="GB74" s="172"/>
      <c r="GC74" s="172"/>
      <c r="GD74" s="172"/>
      <c r="GE74" s="172"/>
      <c r="GF74" s="172"/>
      <c r="GG74" s="172"/>
      <c r="GH74" s="172"/>
      <c r="GI74" s="172"/>
      <c r="GJ74" s="172"/>
      <c r="GK74" s="172"/>
      <c r="GL74" s="172"/>
      <c r="GM74" s="172"/>
      <c r="GN74" s="172"/>
      <c r="GO74" s="172"/>
      <c r="GP74" s="172"/>
      <c r="GQ74" s="172"/>
      <c r="GR74" s="172"/>
      <c r="GS74" s="172"/>
      <c r="GT74" s="172"/>
      <c r="GU74" s="172"/>
      <c r="GV74" s="172"/>
      <c r="GW74" s="172"/>
      <c r="GX74" s="172"/>
      <c r="GY74" s="172"/>
      <c r="GZ74" s="172"/>
      <c r="HA74" s="172"/>
      <c r="HB74" s="172"/>
      <c r="HC74" s="172"/>
      <c r="HD74" s="172"/>
      <c r="HE74" s="172"/>
      <c r="HF74" s="172"/>
      <c r="HG74" s="172"/>
      <c r="HH74" s="172"/>
      <c r="HI74" s="172"/>
      <c r="HJ74" s="172"/>
      <c r="HK74" s="172"/>
      <c r="HL74" s="172"/>
      <c r="HM74" s="172"/>
      <c r="HN74" s="172"/>
      <c r="HO74" s="172"/>
      <c r="HP74" s="172"/>
      <c r="HQ74" s="172"/>
      <c r="HR74" s="172"/>
      <c r="HS74" s="172"/>
      <c r="HT74" s="172"/>
      <c r="HU74" s="172"/>
      <c r="HV74" s="172"/>
      <c r="HW74" s="172"/>
      <c r="HX74" s="172"/>
      <c r="HY74" s="172"/>
      <c r="HZ74" s="172"/>
      <c r="IA74" s="172"/>
      <c r="IB74" s="172"/>
      <c r="IC74" s="172"/>
      <c r="ID74" s="172"/>
      <c r="IE74" s="172"/>
      <c r="IF74" s="172"/>
      <c r="IG74" s="172"/>
      <c r="IH74" s="172"/>
      <c r="II74" s="172"/>
      <c r="IJ74" s="172"/>
      <c r="IK74" s="172"/>
      <c r="IL74" s="172"/>
      <c r="IM74" s="172"/>
      <c r="IN74" s="172"/>
      <c r="IO74" s="172"/>
      <c r="IP74" s="172"/>
      <c r="IQ74" s="172"/>
      <c r="IR74" s="172"/>
      <c r="IS74" s="172"/>
      <c r="IT74" s="172"/>
      <c r="IU74" s="172"/>
      <c r="IV74" s="172"/>
      <c r="IW74" s="172"/>
      <c r="IX74" s="172"/>
      <c r="IY74" s="172"/>
      <c r="IZ74" s="172"/>
      <c r="JA74" s="172"/>
      <c r="JB74" s="172"/>
      <c r="JC74" s="172"/>
      <c r="JD74" s="172"/>
      <c r="JE74" s="172"/>
      <c r="JF74" s="172"/>
      <c r="JG74" s="172"/>
      <c r="JH74" s="172"/>
      <c r="JI74" s="172"/>
      <c r="JJ74" s="172"/>
      <c r="JK74" s="172"/>
      <c r="JL74" s="172"/>
      <c r="JM74" s="172"/>
      <c r="JN74" s="172"/>
      <c r="JO74" s="172"/>
      <c r="JP74" s="172"/>
      <c r="JQ74" s="172"/>
      <c r="JR74" s="172"/>
      <c r="JS74" s="172"/>
      <c r="JT74" s="172"/>
      <c r="JU74" s="172"/>
      <c r="JV74" s="172"/>
      <c r="JW74" s="172"/>
      <c r="JX74" s="172"/>
      <c r="JY74" s="172"/>
      <c r="JZ74" s="172"/>
      <c r="KA74" s="172"/>
      <c r="KB74" s="172"/>
      <c r="KC74" s="172"/>
      <c r="KD74" s="172"/>
      <c r="KE74" s="172"/>
      <c r="KF74" s="172"/>
      <c r="KG74" s="172"/>
      <c r="KH74" s="172"/>
      <c r="KI74" s="172"/>
      <c r="KJ74" s="172"/>
      <c r="KK74" s="172"/>
      <c r="KL74" s="172"/>
      <c r="KM74" s="172"/>
      <c r="KN74" s="172"/>
      <c r="KO74" s="172"/>
      <c r="KP74" s="172"/>
      <c r="KQ74" s="172"/>
      <c r="KR74" s="172"/>
      <c r="KS74" s="172"/>
      <c r="KT74" s="172"/>
      <c r="KU74" s="172"/>
      <c r="KV74" s="172"/>
      <c r="KW74" s="172"/>
      <c r="KX74" s="172"/>
      <c r="KY74" s="172"/>
      <c r="KZ74" s="172"/>
      <c r="LA74" s="172"/>
      <c r="LB74" s="172"/>
      <c r="LC74" s="172"/>
      <c r="LD74" s="172"/>
      <c r="LE74" s="172"/>
      <c r="LF74" s="172"/>
      <c r="LG74" s="172"/>
      <c r="LH74" s="172"/>
      <c r="LI74" s="172"/>
      <c r="LJ74" s="172"/>
      <c r="LK74" s="172"/>
      <c r="LL74" s="172"/>
      <c r="LM74" s="172"/>
      <c r="LN74" s="172"/>
      <c r="LO74" s="172"/>
      <c r="LP74" s="172"/>
      <c r="LQ74" s="172"/>
      <c r="LR74" s="172"/>
      <c r="LS74" s="172"/>
      <c r="LT74" s="172"/>
      <c r="LU74" s="172"/>
      <c r="LV74" s="172"/>
      <c r="LW74" s="172"/>
      <c r="LX74" s="172"/>
      <c r="LY74" s="172"/>
      <c r="LZ74" s="172"/>
      <c r="MA74" s="172"/>
      <c r="MB74" s="172"/>
      <c r="MC74" s="172"/>
      <c r="MD74" s="172"/>
      <c r="ME74" s="172"/>
      <c r="MF74" s="172"/>
      <c r="MG74" s="172"/>
      <c r="MH74" s="172"/>
      <c r="MI74" s="172"/>
      <c r="MJ74" s="172"/>
      <c r="MK74" s="172"/>
      <c r="ML74" s="172"/>
      <c r="MM74" s="172"/>
      <c r="MN74" s="172"/>
      <c r="MO74" s="172"/>
      <c r="MP74" s="172"/>
      <c r="MQ74" s="172"/>
      <c r="MR74" s="172"/>
      <c r="MS74" s="172"/>
      <c r="MT74" s="172"/>
      <c r="MU74" s="172"/>
      <c r="MV74" s="172"/>
      <c r="MW74" s="172"/>
      <c r="MX74" s="172"/>
      <c r="MY74" s="172"/>
      <c r="MZ74" s="172"/>
      <c r="NA74" s="172"/>
      <c r="NB74" s="172"/>
      <c r="NC74" s="172"/>
      <c r="ND74" s="172"/>
      <c r="NE74" s="172"/>
      <c r="NF74" s="172"/>
      <c r="NG74" s="172"/>
      <c r="NH74" s="172"/>
      <c r="NI74" s="172"/>
      <c r="NJ74" s="172"/>
      <c r="NK74" s="172"/>
      <c r="NL74" s="172"/>
      <c r="NM74" s="172"/>
      <c r="NN74" s="172"/>
      <c r="NO74" s="172"/>
      <c r="NP74" s="172"/>
      <c r="NQ74" s="172"/>
      <c r="NR74" s="172"/>
      <c r="NS74" s="172"/>
      <c r="NT74" s="172"/>
      <c r="NU74" s="172"/>
      <c r="NV74" s="172"/>
      <c r="NW74" s="172"/>
      <c r="NX74" s="172"/>
      <c r="NY74" s="172"/>
      <c r="NZ74" s="172"/>
      <c r="OA74" s="172"/>
      <c r="OB74" s="172"/>
      <c r="OC74" s="172"/>
      <c r="OD74" s="172"/>
      <c r="OE74" s="172"/>
      <c r="OF74" s="172"/>
      <c r="OG74" s="172"/>
      <c r="OH74" s="172"/>
      <c r="OI74" s="172"/>
      <c r="OJ74" s="172"/>
      <c r="OK74" s="172"/>
      <c r="OL74" s="172"/>
      <c r="OM74" s="172"/>
      <c r="ON74" s="172"/>
      <c r="OO74" s="172"/>
      <c r="OP74" s="172"/>
      <c r="OQ74" s="172"/>
      <c r="OR74" s="172"/>
      <c r="OS74" s="172"/>
      <c r="OT74" s="172"/>
      <c r="OU74" s="172"/>
      <c r="OV74" s="172"/>
      <c r="OW74" s="172"/>
      <c r="OX74" s="172"/>
      <c r="OY74" s="172"/>
      <c r="OZ74" s="172"/>
      <c r="PA74" s="172"/>
      <c r="PB74" s="172"/>
      <c r="PC74" s="172"/>
      <c r="PD74" s="172"/>
      <c r="PE74" s="172"/>
      <c r="PF74" s="172"/>
      <c r="PG74" s="172"/>
      <c r="PH74" s="172"/>
      <c r="PI74" s="172"/>
      <c r="PJ74" s="172"/>
      <c r="PK74" s="172"/>
      <c r="PL74" s="172"/>
      <c r="PM74" s="172"/>
      <c r="PN74" s="172"/>
      <c r="PO74" s="172"/>
      <c r="PP74" s="172"/>
      <c r="PQ74" s="172"/>
      <c r="PR74" s="172"/>
      <c r="PS74" s="172"/>
      <c r="PT74" s="172"/>
      <c r="PU74" s="172"/>
      <c r="PV74" s="172"/>
      <c r="PW74" s="172"/>
      <c r="PX74" s="172"/>
      <c r="PY74" s="172"/>
      <c r="PZ74" s="172"/>
      <c r="QA74" s="172"/>
      <c r="QB74" s="172"/>
      <c r="QC74" s="172"/>
      <c r="QD74" s="172"/>
      <c r="QE74" s="172"/>
      <c r="QF74" s="172"/>
      <c r="QG74" s="172"/>
      <c r="QH74" s="172"/>
      <c r="QI74" s="172"/>
      <c r="QJ74" s="172"/>
      <c r="QK74" s="172"/>
      <c r="QL74" s="172"/>
      <c r="QM74" s="172"/>
      <c r="QN74" s="172"/>
      <c r="QO74" s="172"/>
      <c r="QP74" s="172"/>
      <c r="QQ74" s="172"/>
      <c r="QR74" s="172"/>
      <c r="QS74" s="172"/>
      <c r="QT74" s="172"/>
      <c r="QU74" s="172"/>
      <c r="QV74" s="172"/>
      <c r="QW74" s="172"/>
      <c r="QX74" s="172"/>
      <c r="QY74" s="172"/>
      <c r="QZ74" s="172"/>
      <c r="RA74" s="172"/>
      <c r="RB74" s="172"/>
      <c r="RC74" s="172"/>
      <c r="RD74" s="172"/>
      <c r="RE74" s="172"/>
      <c r="RF74" s="172"/>
      <c r="RG74" s="172"/>
      <c r="RH74" s="172"/>
      <c r="RI74" s="172"/>
      <c r="RJ74" s="172"/>
      <c r="RK74" s="172"/>
      <c r="RL74" s="172"/>
      <c r="RM74" s="172"/>
      <c r="RN74" s="172"/>
      <c r="RO74" s="172"/>
      <c r="RP74" s="172"/>
      <c r="RQ74" s="172"/>
      <c r="RR74" s="172"/>
      <c r="RS74" s="172"/>
      <c r="RT74" s="172"/>
      <c r="RU74" s="172"/>
      <c r="RV74" s="172"/>
      <c r="RW74" s="172"/>
      <c r="RX74" s="172"/>
      <c r="RY74" s="172"/>
      <c r="RZ74" s="172"/>
      <c r="SA74" s="172"/>
      <c r="SB74" s="172"/>
      <c r="SC74" s="172"/>
      <c r="SD74" s="172"/>
      <c r="SE74" s="172"/>
      <c r="SF74" s="172"/>
      <c r="SG74" s="172"/>
      <c r="SH74" s="172"/>
      <c r="SI74" s="172"/>
      <c r="SJ74" s="172"/>
      <c r="SK74" s="172"/>
      <c r="SL74" s="172"/>
      <c r="SM74" s="172"/>
      <c r="SN74" s="172"/>
      <c r="SO74" s="172"/>
      <c r="SP74" s="172"/>
      <c r="SQ74" s="172"/>
      <c r="SR74" s="172"/>
      <c r="SS74" s="172"/>
      <c r="ST74" s="172"/>
      <c r="SU74" s="172"/>
      <c r="SV74" s="172"/>
      <c r="SW74" s="172"/>
      <c r="SX74" s="172"/>
      <c r="SY74" s="172"/>
      <c r="SZ74" s="172"/>
      <c r="TA74" s="172"/>
      <c r="TB74" s="172"/>
      <c r="TC74" s="172"/>
      <c r="TD74" s="172"/>
      <c r="TE74" s="172"/>
      <c r="TF74" s="172"/>
      <c r="TG74" s="172"/>
      <c r="TH74" s="172"/>
      <c r="TI74" s="172"/>
      <c r="TJ74" s="172"/>
      <c r="TK74" s="172"/>
      <c r="TL74" s="172"/>
      <c r="TM74" s="172"/>
      <c r="TN74" s="172"/>
      <c r="TO74" s="172"/>
      <c r="TP74" s="172"/>
      <c r="TQ74" s="172"/>
      <c r="TR74" s="172"/>
      <c r="TS74" s="172"/>
      <c r="TT74" s="172"/>
      <c r="TU74" s="172"/>
      <c r="TV74" s="172"/>
      <c r="TW74" s="172"/>
      <c r="TX74" s="172"/>
      <c r="TY74" s="172"/>
      <c r="TZ74" s="172"/>
      <c r="UA74" s="172"/>
      <c r="UB74" s="172"/>
      <c r="UC74" s="172"/>
      <c r="UD74" s="172"/>
      <c r="UE74" s="172"/>
      <c r="UF74" s="172"/>
      <c r="UG74" s="172"/>
      <c r="UH74" s="172"/>
      <c r="UI74" s="172"/>
      <c r="UJ74" s="172"/>
      <c r="UK74" s="172"/>
      <c r="UL74" s="172"/>
      <c r="UM74" s="172"/>
      <c r="UN74" s="172"/>
      <c r="UO74" s="172"/>
      <c r="UP74" s="172"/>
      <c r="UQ74" s="172"/>
      <c r="UR74" s="172"/>
      <c r="US74" s="172"/>
      <c r="UT74" s="172"/>
      <c r="UU74" s="172"/>
      <c r="UV74" s="172"/>
      <c r="UW74" s="172"/>
      <c r="UX74" s="172"/>
      <c r="UY74" s="172"/>
      <c r="UZ74" s="172"/>
      <c r="VA74" s="172"/>
      <c r="VB74" s="172"/>
      <c r="VC74" s="172"/>
      <c r="VD74" s="172"/>
      <c r="VE74" s="172"/>
      <c r="VF74" s="172"/>
      <c r="VG74" s="172"/>
      <c r="VH74" s="172"/>
      <c r="VI74" s="172"/>
      <c r="VJ74" s="172"/>
      <c r="VK74" s="172"/>
      <c r="VL74" s="172"/>
      <c r="VM74" s="172"/>
      <c r="VN74" s="172"/>
      <c r="VO74" s="172"/>
      <c r="VP74" s="172"/>
      <c r="VQ74" s="172"/>
      <c r="VR74" s="172"/>
      <c r="VS74" s="172"/>
      <c r="VT74" s="172"/>
      <c r="VU74" s="172"/>
      <c r="VV74" s="172"/>
      <c r="VW74" s="172"/>
      <c r="VX74" s="172"/>
      <c r="VY74" s="172"/>
      <c r="VZ74" s="172"/>
      <c r="WA74" s="172"/>
      <c r="WB74" s="172"/>
      <c r="WC74" s="172"/>
      <c r="WD74" s="172"/>
      <c r="WE74" s="172"/>
      <c r="WF74" s="172"/>
      <c r="WG74" s="172"/>
      <c r="WH74" s="172"/>
      <c r="WI74" s="172"/>
      <c r="WJ74" s="172"/>
      <c r="WK74" s="172"/>
      <c r="WL74" s="172"/>
      <c r="WM74" s="172"/>
      <c r="WN74" s="172"/>
      <c r="WO74" s="172"/>
      <c r="WP74" s="172"/>
      <c r="WQ74" s="172"/>
      <c r="WR74" s="172"/>
      <c r="WS74" s="172"/>
      <c r="WT74" s="172"/>
      <c r="WU74" s="172"/>
      <c r="WV74" s="172"/>
      <c r="WW74" s="172"/>
      <c r="WX74" s="172"/>
      <c r="WY74" s="172"/>
      <c r="WZ74" s="172"/>
      <c r="XA74" s="172"/>
      <c r="XB74" s="172"/>
      <c r="XC74" s="172"/>
      <c r="XD74" s="172"/>
      <c r="XE74" s="172"/>
      <c r="XF74" s="172"/>
      <c r="XG74" s="172"/>
      <c r="XH74" s="172"/>
      <c r="XI74" s="172"/>
      <c r="XJ74" s="172"/>
      <c r="XK74" s="172"/>
      <c r="XL74" s="172"/>
      <c r="XM74" s="172"/>
      <c r="XN74" s="172"/>
      <c r="XO74" s="172"/>
      <c r="XP74" s="172"/>
      <c r="XQ74" s="172"/>
      <c r="XR74" s="172"/>
      <c r="XS74" s="172"/>
      <c r="XT74" s="172"/>
      <c r="XU74" s="172"/>
      <c r="XV74" s="172"/>
      <c r="XW74" s="172"/>
      <c r="XX74" s="172"/>
      <c r="XY74" s="172"/>
      <c r="XZ74" s="172"/>
      <c r="YA74" s="172"/>
      <c r="YB74" s="172"/>
      <c r="YC74" s="172"/>
      <c r="YD74" s="172"/>
      <c r="YE74" s="172"/>
      <c r="YF74" s="172"/>
      <c r="YG74" s="172"/>
      <c r="YH74" s="172"/>
      <c r="YI74" s="172"/>
      <c r="YJ74" s="172"/>
      <c r="YK74" s="172"/>
      <c r="YL74" s="172"/>
      <c r="YM74" s="172"/>
      <c r="YN74" s="172"/>
      <c r="YO74" s="172"/>
      <c r="YP74" s="172"/>
      <c r="YQ74" s="172"/>
      <c r="YR74" s="172"/>
      <c r="YS74" s="172"/>
      <c r="YT74" s="172"/>
      <c r="YU74" s="172"/>
      <c r="YV74" s="172"/>
      <c r="YW74" s="172"/>
      <c r="YX74" s="172"/>
      <c r="YY74" s="172"/>
      <c r="YZ74" s="172"/>
      <c r="ZA74" s="172"/>
      <c r="ZB74" s="172"/>
      <c r="ZC74" s="172"/>
      <c r="ZD74" s="172"/>
      <c r="ZE74" s="172"/>
      <c r="ZF74" s="172"/>
      <c r="ZG74" s="172"/>
      <c r="ZH74" s="172"/>
      <c r="ZI74" s="172"/>
      <c r="ZJ74" s="172"/>
      <c r="ZK74" s="172"/>
      <c r="ZL74" s="172"/>
      <c r="ZM74" s="172"/>
      <c r="ZN74" s="172"/>
      <c r="ZO74" s="172"/>
      <c r="ZP74" s="172"/>
      <c r="ZQ74" s="172"/>
      <c r="ZR74" s="172"/>
      <c r="ZS74" s="172"/>
      <c r="ZT74" s="172"/>
      <c r="ZU74" s="172"/>
      <c r="ZV74" s="172"/>
      <c r="ZW74" s="172"/>
      <c r="ZX74" s="172"/>
      <c r="ZY74" s="172"/>
      <c r="ZZ74" s="172"/>
      <c r="AAA74" s="172"/>
      <c r="AAB74" s="172"/>
      <c r="AAC74" s="172"/>
      <c r="AAD74" s="172"/>
      <c r="AAE74" s="172"/>
      <c r="AAF74" s="172"/>
      <c r="AAG74" s="172"/>
      <c r="AAH74" s="172"/>
      <c r="AAI74" s="172"/>
      <c r="AAJ74" s="172"/>
      <c r="AAK74" s="172"/>
      <c r="AAL74" s="172"/>
      <c r="AAM74" s="172"/>
      <c r="AAN74" s="172"/>
      <c r="AAO74" s="172"/>
      <c r="AAP74" s="172"/>
      <c r="AAQ74" s="172"/>
      <c r="AAR74" s="172"/>
      <c r="AAS74" s="172"/>
      <c r="AAT74" s="172"/>
      <c r="AAU74" s="172"/>
      <c r="AAV74" s="172"/>
      <c r="AAW74" s="172"/>
      <c r="AAX74" s="172"/>
      <c r="AAY74" s="172"/>
      <c r="AAZ74" s="172"/>
      <c r="ABA74" s="172"/>
      <c r="ABB74" s="172"/>
      <c r="ABC74" s="172"/>
      <c r="ABD74" s="172"/>
      <c r="ABE74" s="172"/>
      <c r="ABF74" s="172"/>
      <c r="ABG74" s="172"/>
      <c r="ABH74" s="172"/>
      <c r="ABI74" s="172"/>
      <c r="ABJ74" s="172"/>
      <c r="ABK74" s="172"/>
      <c r="ABL74" s="172"/>
      <c r="ABM74" s="172"/>
      <c r="ABN74" s="172"/>
      <c r="ABO74" s="172"/>
      <c r="ABP74" s="172"/>
      <c r="ABQ74" s="172"/>
      <c r="ABR74" s="172"/>
      <c r="ABS74" s="172"/>
      <c r="ABT74" s="172"/>
      <c r="ABU74" s="172"/>
      <c r="ABV74" s="172"/>
      <c r="ABW74" s="172"/>
      <c r="ABX74" s="172"/>
      <c r="ABY74" s="172"/>
      <c r="ABZ74" s="172"/>
      <c r="ACA74" s="172"/>
      <c r="ACB74" s="172"/>
      <c r="ACC74" s="172"/>
      <c r="ACD74" s="172"/>
      <c r="ACE74" s="172"/>
      <c r="ACF74" s="172"/>
      <c r="ACG74" s="172"/>
      <c r="ACH74" s="172"/>
      <c r="ACI74" s="172"/>
      <c r="ACJ74" s="172"/>
      <c r="ACK74" s="172"/>
      <c r="ACL74" s="172"/>
      <c r="ACM74" s="172"/>
      <c r="ACN74" s="172"/>
      <c r="ACO74" s="172"/>
      <c r="ACP74" s="172"/>
      <c r="ACQ74" s="172"/>
      <c r="ACR74" s="172"/>
      <c r="ACS74" s="172"/>
      <c r="ACT74" s="172"/>
      <c r="ACU74" s="172"/>
      <c r="ACV74" s="172"/>
      <c r="ACW74" s="172"/>
      <c r="ACX74" s="172"/>
      <c r="ACY74" s="172"/>
      <c r="ACZ74" s="172"/>
      <c r="ADA74" s="172"/>
      <c r="ADB74" s="172"/>
      <c r="ADC74" s="172"/>
      <c r="ADD74" s="172"/>
      <c r="ADE74" s="172"/>
      <c r="ADF74" s="172"/>
      <c r="ADG74" s="172"/>
      <c r="ADH74" s="172"/>
      <c r="ADI74" s="172"/>
      <c r="ADJ74" s="172"/>
      <c r="ADK74" s="172"/>
      <c r="ADL74" s="172"/>
      <c r="ADM74" s="172"/>
      <c r="ADN74" s="172"/>
      <c r="ADO74" s="172"/>
      <c r="ADP74" s="172"/>
      <c r="ADQ74" s="172"/>
      <c r="ADR74" s="172"/>
      <c r="ADS74" s="172"/>
      <c r="ADT74" s="172"/>
      <c r="ADU74" s="172"/>
      <c r="ADV74" s="172"/>
      <c r="ADW74" s="172"/>
      <c r="ADX74" s="172"/>
      <c r="ADY74" s="172"/>
      <c r="ADZ74" s="172"/>
      <c r="AEA74" s="172"/>
      <c r="AEB74" s="172"/>
      <c r="AEC74" s="172"/>
      <c r="AED74" s="172"/>
      <c r="AEE74" s="172"/>
      <c r="AEF74" s="172"/>
      <c r="AEG74" s="172"/>
      <c r="AEH74" s="172"/>
      <c r="AEI74" s="172"/>
      <c r="AEJ74" s="172"/>
      <c r="AEK74" s="172"/>
      <c r="AEL74" s="172"/>
      <c r="AEM74" s="172"/>
      <c r="AEN74" s="172"/>
      <c r="AEO74" s="172"/>
      <c r="AEP74" s="172"/>
      <c r="AEQ74" s="172"/>
      <c r="AER74" s="172"/>
      <c r="AES74" s="172"/>
      <c r="AET74" s="172"/>
      <c r="AEU74" s="172"/>
      <c r="AEV74" s="172"/>
      <c r="AEW74" s="172"/>
      <c r="AEX74" s="172"/>
      <c r="AEY74" s="172"/>
      <c r="AEZ74" s="172"/>
      <c r="AFA74" s="172"/>
      <c r="AFB74" s="172"/>
      <c r="AFC74" s="172"/>
      <c r="AFD74" s="172"/>
      <c r="AFE74" s="172"/>
      <c r="AFF74" s="172"/>
      <c r="AFG74" s="172"/>
      <c r="AFH74" s="172"/>
      <c r="AFI74" s="172"/>
      <c r="AFJ74" s="172"/>
      <c r="AFK74" s="172"/>
      <c r="AFL74" s="172"/>
      <c r="AFM74" s="172"/>
      <c r="AFN74" s="172"/>
      <c r="AFO74" s="172"/>
      <c r="AFP74" s="172"/>
      <c r="AFQ74" s="172"/>
      <c r="AFR74" s="172"/>
      <c r="AFS74" s="172"/>
      <c r="AFT74" s="172"/>
      <c r="AFU74" s="172"/>
      <c r="AFV74" s="172"/>
      <c r="AFW74" s="172"/>
      <c r="AFX74" s="172"/>
      <c r="AFY74" s="172"/>
      <c r="AFZ74" s="172"/>
      <c r="AGA74" s="172"/>
      <c r="AGB74" s="172"/>
      <c r="AGC74" s="172"/>
      <c r="AGD74" s="172"/>
      <c r="AGE74" s="172"/>
      <c r="AGF74" s="172"/>
      <c r="AGG74" s="172"/>
      <c r="AGH74" s="172"/>
      <c r="AGI74" s="172"/>
      <c r="AGJ74" s="172"/>
      <c r="AGK74" s="172"/>
      <c r="AGL74" s="172"/>
      <c r="AGM74" s="172"/>
      <c r="AGN74" s="172"/>
      <c r="AGO74" s="172"/>
      <c r="AGP74" s="172"/>
      <c r="AGQ74" s="172"/>
      <c r="AGR74" s="172"/>
      <c r="AGS74" s="172"/>
      <c r="AGT74" s="172"/>
      <c r="AGU74" s="172"/>
      <c r="AGV74" s="172"/>
      <c r="AGW74" s="172"/>
      <c r="AGX74" s="172"/>
      <c r="AGY74" s="172"/>
      <c r="AGZ74" s="172"/>
      <c r="AHA74" s="172"/>
      <c r="AHB74" s="172"/>
      <c r="AHC74" s="172"/>
      <c r="AHD74" s="172"/>
      <c r="AHE74" s="172"/>
      <c r="AHF74" s="172"/>
      <c r="AHG74" s="172"/>
      <c r="AHH74" s="172"/>
      <c r="AHI74" s="172"/>
      <c r="AHJ74" s="172"/>
      <c r="AHK74" s="172"/>
      <c r="AHL74" s="172"/>
      <c r="AHM74" s="172"/>
      <c r="AHN74" s="172"/>
      <c r="AHO74" s="172"/>
      <c r="AHP74" s="172"/>
      <c r="AHQ74" s="172"/>
      <c r="AHR74" s="172"/>
      <c r="AHS74" s="172"/>
      <c r="AHT74" s="172"/>
      <c r="AHU74" s="172"/>
      <c r="AHV74" s="172"/>
      <c r="AHW74" s="172"/>
      <c r="AHX74" s="172"/>
      <c r="AHY74" s="172"/>
      <c r="AHZ74" s="172"/>
      <c r="AIA74" s="172"/>
      <c r="AIB74" s="172"/>
      <c r="AIC74" s="172"/>
      <c r="AID74" s="172"/>
      <c r="AIE74" s="172"/>
      <c r="AIF74" s="172"/>
      <c r="AIG74" s="172"/>
      <c r="AIH74" s="172"/>
      <c r="AII74" s="172"/>
      <c r="AIJ74" s="172"/>
      <c r="AIK74" s="172"/>
      <c r="AIL74" s="172"/>
      <c r="AIM74" s="172"/>
      <c r="AIN74" s="172"/>
      <c r="AIO74" s="172"/>
      <c r="AIP74" s="172"/>
      <c r="AIQ74" s="172"/>
      <c r="AIR74" s="172"/>
      <c r="AIS74" s="172"/>
      <c r="AIT74" s="172"/>
      <c r="AIU74" s="172"/>
      <c r="AIV74" s="172"/>
      <c r="AIW74" s="172"/>
      <c r="AIX74" s="172"/>
      <c r="AIY74" s="172"/>
      <c r="AIZ74" s="172"/>
      <c r="AJA74" s="172"/>
      <c r="AJB74" s="172"/>
      <c r="AJC74" s="172"/>
      <c r="AJD74" s="172"/>
      <c r="AJE74" s="172"/>
      <c r="AJF74" s="172"/>
      <c r="AJG74" s="172"/>
      <c r="AJH74" s="172"/>
      <c r="AJI74" s="172"/>
      <c r="AJJ74" s="172"/>
      <c r="AJK74" s="172"/>
      <c r="AJL74" s="172"/>
      <c r="AJM74" s="172"/>
      <c r="AJN74" s="172"/>
      <c r="AJO74" s="172"/>
      <c r="AJP74" s="172"/>
      <c r="AJQ74" s="172"/>
      <c r="AJR74" s="172"/>
      <c r="AJS74" s="172"/>
      <c r="AJT74" s="172"/>
      <c r="AJU74" s="172"/>
      <c r="AJV74" s="172"/>
      <c r="AJW74" s="172"/>
      <c r="AJX74" s="172"/>
      <c r="AJY74" s="172"/>
      <c r="AJZ74" s="172"/>
      <c r="AKA74" s="172"/>
      <c r="AKB74" s="172"/>
      <c r="AKC74" s="172"/>
      <c r="AKD74" s="172"/>
      <c r="AKE74" s="172"/>
      <c r="AKF74" s="172"/>
      <c r="AKG74" s="172"/>
      <c r="AKH74" s="172"/>
      <c r="AKI74" s="172"/>
      <c r="AKJ74" s="172"/>
      <c r="AKK74" s="172"/>
      <c r="AKL74" s="172"/>
      <c r="AKM74" s="172"/>
      <c r="AKN74" s="172"/>
      <c r="AKO74" s="172"/>
      <c r="AKP74" s="172"/>
      <c r="AKQ74" s="172"/>
      <c r="AKR74" s="172"/>
      <c r="AKS74" s="172"/>
      <c r="AKT74" s="172"/>
      <c r="AKU74" s="172"/>
      <c r="AKV74" s="172"/>
      <c r="AKW74" s="172"/>
      <c r="AKX74" s="172"/>
      <c r="AKY74" s="172"/>
      <c r="AKZ74" s="172"/>
      <c r="ALA74" s="172"/>
      <c r="ALB74" s="172"/>
      <c r="ALC74" s="172"/>
      <c r="ALD74" s="172"/>
      <c r="ALE74" s="172"/>
      <c r="ALF74" s="172"/>
      <c r="ALG74" s="172"/>
      <c r="ALH74" s="172"/>
      <c r="ALI74" s="172"/>
      <c r="ALJ74" s="172"/>
      <c r="ALK74" s="172"/>
      <c r="ALL74" s="172"/>
      <c r="ALM74" s="172"/>
      <c r="ALN74" s="172"/>
      <c r="ALO74" s="172"/>
      <c r="ALP74" s="172"/>
      <c r="ALQ74" s="172"/>
      <c r="ALR74" s="172"/>
      <c r="ALS74" s="172"/>
      <c r="ALT74" s="172"/>
      <c r="ALU74" s="172"/>
      <c r="ALV74" s="172"/>
      <c r="ALW74" s="172"/>
      <c r="ALX74" s="172"/>
      <c r="ALY74" s="172"/>
      <c r="ALZ74" s="172"/>
      <c r="AMA74" s="172"/>
      <c r="AMB74" s="172"/>
      <c r="AMC74" s="172"/>
      <c r="AMD74" s="172"/>
      <c r="AME74" s="172"/>
      <c r="AMF74" s="172"/>
      <c r="AMG74" s="172"/>
      <c r="AMH74" s="172"/>
      <c r="AMI74" s="172"/>
      <c r="AMJ74" s="172"/>
      <c r="AMK74" s="172"/>
      <c r="AML74" s="172"/>
      <c r="AMM74" s="172"/>
      <c r="AMN74" s="172"/>
      <c r="AMO74" s="172"/>
      <c r="AMP74" s="172"/>
      <c r="AMQ74" s="172"/>
      <c r="AMR74" s="172"/>
      <c r="AMS74" s="172"/>
      <c r="AMT74" s="172"/>
      <c r="AMU74" s="172"/>
      <c r="AMV74" s="172"/>
      <c r="AMW74" s="172"/>
      <c r="AMX74" s="172"/>
      <c r="AMY74" s="172"/>
      <c r="AMZ74" s="172"/>
      <c r="ANA74" s="172"/>
      <c r="ANB74" s="172"/>
      <c r="ANC74" s="172"/>
      <c r="AND74" s="172"/>
      <c r="ANE74" s="172"/>
      <c r="ANF74" s="172"/>
      <c r="ANG74" s="172"/>
      <c r="ANH74" s="172"/>
      <c r="ANI74" s="172"/>
      <c r="ANJ74" s="172"/>
      <c r="ANK74" s="172"/>
      <c r="ANL74" s="172"/>
      <c r="ANM74" s="172"/>
      <c r="ANN74" s="172"/>
      <c r="ANO74" s="172"/>
      <c r="ANP74" s="172"/>
      <c r="ANQ74" s="172"/>
      <c r="ANR74" s="172"/>
      <c r="ANS74" s="172"/>
      <c r="ANT74" s="172"/>
      <c r="ANU74" s="172"/>
      <c r="ANV74" s="172"/>
      <c r="ANW74" s="172"/>
      <c r="ANX74" s="172"/>
      <c r="ANY74" s="172"/>
      <c r="ANZ74" s="172"/>
      <c r="AOA74" s="172"/>
      <c r="AOB74" s="172"/>
      <c r="AOC74" s="172"/>
      <c r="AOD74" s="172"/>
      <c r="AOE74" s="172"/>
      <c r="AOF74" s="172"/>
      <c r="AOG74" s="172"/>
      <c r="AOH74" s="172"/>
      <c r="AOI74" s="172"/>
      <c r="AOJ74" s="172"/>
      <c r="AOK74" s="172"/>
      <c r="AOL74" s="172"/>
      <c r="AOM74" s="172"/>
      <c r="AON74" s="172"/>
      <c r="AOO74" s="172"/>
      <c r="AOP74" s="172"/>
      <c r="AOQ74" s="172"/>
      <c r="AOR74" s="172"/>
      <c r="AOS74" s="172"/>
      <c r="AOT74" s="172"/>
      <c r="AOU74" s="172"/>
      <c r="AOV74" s="172"/>
      <c r="AOW74" s="172"/>
      <c r="AOX74" s="172"/>
      <c r="AOY74" s="172"/>
      <c r="AOZ74" s="172"/>
      <c r="APA74" s="172"/>
      <c r="APB74" s="172"/>
      <c r="APC74" s="172"/>
      <c r="APD74" s="172"/>
      <c r="APE74" s="172"/>
      <c r="APF74" s="172"/>
      <c r="APG74" s="172"/>
      <c r="APH74" s="172"/>
      <c r="API74" s="172"/>
      <c r="APJ74" s="172"/>
      <c r="APK74" s="172"/>
      <c r="APL74" s="172"/>
      <c r="APM74" s="172"/>
      <c r="APN74" s="172"/>
      <c r="APO74" s="172"/>
      <c r="APP74" s="172"/>
      <c r="APQ74" s="172"/>
      <c r="APR74" s="172"/>
      <c r="APS74" s="172"/>
      <c r="APT74" s="172"/>
      <c r="APU74" s="172"/>
      <c r="APV74" s="172"/>
      <c r="APW74" s="172"/>
      <c r="APX74" s="172"/>
      <c r="APY74" s="172"/>
      <c r="APZ74" s="172"/>
      <c r="AQA74" s="172"/>
      <c r="AQB74" s="172"/>
      <c r="AQC74" s="172"/>
      <c r="AQD74" s="172"/>
      <c r="AQE74" s="172"/>
      <c r="AQF74" s="172"/>
      <c r="AQG74" s="172"/>
      <c r="AQH74" s="172"/>
      <c r="AQI74" s="172"/>
      <c r="AQJ74" s="172"/>
      <c r="AQK74" s="172"/>
      <c r="AQL74" s="172"/>
      <c r="AQM74" s="172"/>
      <c r="AQN74" s="172"/>
      <c r="AQO74" s="172"/>
      <c r="AQP74" s="172"/>
      <c r="AQQ74" s="172"/>
      <c r="AQR74" s="172"/>
      <c r="AQS74" s="172"/>
      <c r="AQT74" s="172"/>
      <c r="AQU74" s="172"/>
      <c r="AQV74" s="172"/>
      <c r="AQW74" s="172"/>
      <c r="AQX74" s="172"/>
      <c r="AQY74" s="172"/>
      <c r="AQZ74" s="172"/>
      <c r="ARA74" s="172"/>
      <c r="ARB74" s="172"/>
      <c r="ARC74" s="172"/>
      <c r="ARD74" s="172"/>
      <c r="ARE74" s="172"/>
      <c r="ARF74" s="172"/>
      <c r="ARG74" s="172"/>
      <c r="ARH74" s="172"/>
      <c r="ARI74" s="172"/>
      <c r="ARJ74" s="172"/>
      <c r="ARK74" s="172"/>
      <c r="ARL74" s="172"/>
      <c r="ARM74" s="172"/>
      <c r="ARN74" s="172"/>
      <c r="ARO74" s="172"/>
      <c r="ARP74" s="172"/>
      <c r="ARQ74" s="172"/>
      <c r="ARR74" s="172"/>
      <c r="ARS74" s="172"/>
      <c r="ART74" s="172"/>
      <c r="ARU74" s="172"/>
    </row>
    <row r="75" spans="1:1165" s="257" customFormat="1">
      <c r="A75" s="222" t="s">
        <v>203</v>
      </c>
      <c r="B75" s="195" t="s">
        <v>87</v>
      </c>
      <c r="C75" s="196">
        <v>0</v>
      </c>
      <c r="D75" s="196">
        <v>0</v>
      </c>
      <c r="E75" s="196">
        <v>0</v>
      </c>
      <c r="F75" s="196">
        <v>0</v>
      </c>
      <c r="G75" s="196">
        <v>0</v>
      </c>
      <c r="H75" s="196">
        <v>0</v>
      </c>
      <c r="I75" s="196">
        <v>0</v>
      </c>
      <c r="J75" s="196">
        <v>0</v>
      </c>
      <c r="K75" s="196">
        <v>0</v>
      </c>
      <c r="L75" s="196">
        <v>0</v>
      </c>
      <c r="M75" s="196">
        <v>0</v>
      </c>
      <c r="N75" s="196">
        <v>0</v>
      </c>
      <c r="O75" s="196">
        <v>145</v>
      </c>
      <c r="P75" s="196">
        <v>45000</v>
      </c>
      <c r="Q75" s="198">
        <v>585</v>
      </c>
      <c r="R75" s="198">
        <v>50000</v>
      </c>
      <c r="S75" s="211">
        <v>0</v>
      </c>
      <c r="T75" s="211">
        <v>0</v>
      </c>
      <c r="U75" s="211">
        <v>0</v>
      </c>
      <c r="V75" s="211">
        <v>0</v>
      </c>
      <c r="W75" s="211">
        <v>740</v>
      </c>
      <c r="X75" s="211">
        <v>1041390</v>
      </c>
      <c r="Y75" s="211">
        <v>748</v>
      </c>
      <c r="Z75" s="211">
        <v>824801</v>
      </c>
      <c r="AA75" s="226">
        <v>1086</v>
      </c>
      <c r="AB75" s="226">
        <v>399869</v>
      </c>
      <c r="AC75" s="198">
        <v>5358</v>
      </c>
      <c r="AD75" s="198">
        <v>1757075</v>
      </c>
      <c r="AE75" s="196">
        <v>2034</v>
      </c>
      <c r="AF75" s="196">
        <v>559171</v>
      </c>
      <c r="AG75" s="196">
        <v>1028</v>
      </c>
      <c r="AH75" s="196">
        <v>316058</v>
      </c>
      <c r="AI75" s="196">
        <v>0</v>
      </c>
      <c r="AJ75" s="196">
        <v>0</v>
      </c>
      <c r="AK75" s="260">
        <v>946</v>
      </c>
      <c r="AL75" s="260">
        <v>283695</v>
      </c>
      <c r="AM75" s="261">
        <v>958</v>
      </c>
      <c r="AN75" s="261">
        <v>287457</v>
      </c>
      <c r="AO75" s="196">
        <v>0</v>
      </c>
      <c r="AP75" s="196">
        <v>0</v>
      </c>
      <c r="AQ75" s="196">
        <v>0</v>
      </c>
      <c r="AR75" s="196">
        <v>0</v>
      </c>
      <c r="AS75" s="196">
        <v>0</v>
      </c>
      <c r="AT75" s="196">
        <v>0</v>
      </c>
      <c r="AU75" s="226">
        <v>0</v>
      </c>
      <c r="AV75" s="226">
        <v>0</v>
      </c>
      <c r="AW75" s="198">
        <v>0</v>
      </c>
      <c r="AX75" s="198">
        <v>0</v>
      </c>
      <c r="AY75" s="198">
        <v>0</v>
      </c>
      <c r="AZ75" s="198">
        <v>0</v>
      </c>
      <c r="BA75" s="262"/>
      <c r="BB75" s="211"/>
      <c r="BC75" s="211"/>
      <c r="BD75" s="211"/>
      <c r="BE75" s="211"/>
      <c r="BF75" s="211"/>
      <c r="BG75" s="211"/>
      <c r="BH75" s="211"/>
      <c r="BI75" s="211"/>
      <c r="BJ75" s="211">
        <f t="shared" si="57"/>
        <v>13628</v>
      </c>
      <c r="BK75" s="198">
        <f t="shared" si="58"/>
        <v>5564516</v>
      </c>
      <c r="BL75" s="172"/>
      <c r="BM75" s="13"/>
      <c r="BN75" s="231"/>
      <c r="BO75" s="231"/>
      <c r="BP75" s="231"/>
      <c r="BQ75" s="172"/>
      <c r="BR75" s="172"/>
      <c r="BS75" s="172"/>
      <c r="BT75" s="172"/>
      <c r="BU75" s="172"/>
      <c r="BV75" s="172"/>
      <c r="BW75" s="172"/>
      <c r="BX75" s="172"/>
      <c r="BY75" s="172"/>
      <c r="BZ75" s="172"/>
      <c r="CA75" s="172"/>
      <c r="CB75" s="172"/>
      <c r="CC75" s="172"/>
      <c r="CD75" s="172"/>
      <c r="CE75" s="172"/>
      <c r="CF75" s="172"/>
      <c r="CG75" s="172"/>
      <c r="CH75" s="172"/>
      <c r="CI75" s="172"/>
      <c r="CJ75" s="172"/>
      <c r="CK75" s="172"/>
      <c r="CL75" s="172"/>
      <c r="CM75" s="172"/>
      <c r="CN75" s="172"/>
      <c r="CO75" s="172"/>
      <c r="CP75" s="172"/>
      <c r="CQ75" s="172"/>
      <c r="CR75" s="172"/>
      <c r="CS75" s="172"/>
      <c r="CT75" s="172"/>
      <c r="CU75" s="172"/>
      <c r="CV75" s="172"/>
      <c r="CW75" s="172"/>
      <c r="CX75" s="172"/>
      <c r="CY75" s="172"/>
      <c r="CZ75" s="172"/>
      <c r="DA75" s="172"/>
      <c r="DB75" s="172"/>
      <c r="DC75" s="172"/>
      <c r="DD75" s="172"/>
      <c r="DE75" s="172"/>
      <c r="DF75" s="172"/>
      <c r="DG75" s="172"/>
      <c r="DH75" s="172"/>
      <c r="DI75" s="172"/>
      <c r="DJ75" s="172"/>
      <c r="DK75" s="172"/>
      <c r="DL75" s="172"/>
      <c r="DM75" s="172"/>
      <c r="DN75" s="172"/>
      <c r="DO75" s="172"/>
      <c r="DP75" s="172"/>
      <c r="DQ75" s="172"/>
      <c r="DR75" s="172"/>
      <c r="DS75" s="172"/>
      <c r="DT75" s="172"/>
      <c r="DU75" s="172"/>
      <c r="DV75" s="172"/>
      <c r="DW75" s="172"/>
      <c r="DX75" s="172"/>
      <c r="DY75" s="172"/>
      <c r="DZ75" s="172"/>
      <c r="EA75" s="172"/>
      <c r="EB75" s="172"/>
      <c r="EC75" s="172"/>
      <c r="ED75" s="172"/>
      <c r="EE75" s="172"/>
      <c r="EF75" s="172"/>
      <c r="EG75" s="172"/>
      <c r="EH75" s="172"/>
      <c r="EI75" s="172"/>
      <c r="EJ75" s="172"/>
      <c r="EK75" s="172"/>
      <c r="EL75" s="172"/>
      <c r="EM75" s="172"/>
      <c r="EN75" s="172"/>
      <c r="EO75" s="172"/>
      <c r="EP75" s="172"/>
      <c r="EQ75" s="172"/>
      <c r="ER75" s="172"/>
      <c r="ES75" s="172"/>
      <c r="ET75" s="172"/>
      <c r="EU75" s="172"/>
      <c r="EV75" s="172"/>
      <c r="EW75" s="172"/>
      <c r="EX75" s="172"/>
      <c r="EY75" s="172"/>
      <c r="EZ75" s="172"/>
      <c r="FA75" s="172"/>
      <c r="FB75" s="172"/>
      <c r="FC75" s="172"/>
      <c r="FD75" s="172"/>
      <c r="FE75" s="172"/>
      <c r="FF75" s="172"/>
      <c r="FG75" s="172"/>
      <c r="FH75" s="172"/>
      <c r="FI75" s="172"/>
      <c r="FJ75" s="172"/>
      <c r="FK75" s="172"/>
      <c r="FL75" s="172"/>
      <c r="FM75" s="172"/>
      <c r="FN75" s="172"/>
      <c r="FO75" s="172"/>
      <c r="FP75" s="172"/>
      <c r="FQ75" s="172"/>
      <c r="FR75" s="172"/>
      <c r="FS75" s="172"/>
      <c r="FT75" s="172"/>
      <c r="FU75" s="172"/>
      <c r="FV75" s="172"/>
      <c r="FW75" s="172"/>
      <c r="FX75" s="172"/>
      <c r="FY75" s="172"/>
      <c r="FZ75" s="172"/>
      <c r="GA75" s="172"/>
      <c r="GB75" s="172"/>
      <c r="GC75" s="172"/>
      <c r="GD75" s="172"/>
      <c r="GE75" s="172"/>
      <c r="GF75" s="172"/>
      <c r="GG75" s="172"/>
      <c r="GH75" s="172"/>
      <c r="GI75" s="172"/>
      <c r="GJ75" s="172"/>
      <c r="GK75" s="172"/>
      <c r="GL75" s="172"/>
      <c r="GM75" s="172"/>
      <c r="GN75" s="172"/>
      <c r="GO75" s="172"/>
      <c r="GP75" s="172"/>
      <c r="GQ75" s="172"/>
      <c r="GR75" s="172"/>
      <c r="GS75" s="172"/>
      <c r="GT75" s="172"/>
      <c r="GU75" s="172"/>
      <c r="GV75" s="172"/>
      <c r="GW75" s="172"/>
      <c r="GX75" s="172"/>
      <c r="GY75" s="172"/>
      <c r="GZ75" s="172"/>
      <c r="HA75" s="172"/>
      <c r="HB75" s="172"/>
      <c r="HC75" s="172"/>
      <c r="HD75" s="172"/>
      <c r="HE75" s="172"/>
      <c r="HF75" s="172"/>
      <c r="HG75" s="172"/>
      <c r="HH75" s="172"/>
      <c r="HI75" s="172"/>
      <c r="HJ75" s="172"/>
      <c r="HK75" s="172"/>
      <c r="HL75" s="172"/>
      <c r="HM75" s="172"/>
      <c r="HN75" s="172"/>
      <c r="HO75" s="172"/>
      <c r="HP75" s="172"/>
      <c r="HQ75" s="172"/>
      <c r="HR75" s="172"/>
      <c r="HS75" s="172"/>
      <c r="HT75" s="172"/>
      <c r="HU75" s="172"/>
      <c r="HV75" s="172"/>
      <c r="HW75" s="172"/>
      <c r="HX75" s="172"/>
      <c r="HY75" s="172"/>
      <c r="HZ75" s="172"/>
      <c r="IA75" s="172"/>
      <c r="IB75" s="172"/>
      <c r="IC75" s="172"/>
      <c r="ID75" s="172"/>
      <c r="IE75" s="172"/>
      <c r="IF75" s="172"/>
      <c r="IG75" s="172"/>
      <c r="IH75" s="172"/>
      <c r="II75" s="172"/>
      <c r="IJ75" s="172"/>
      <c r="IK75" s="172"/>
      <c r="IL75" s="172"/>
      <c r="IM75" s="172"/>
      <c r="IN75" s="172"/>
      <c r="IO75" s="172"/>
      <c r="IP75" s="172"/>
      <c r="IQ75" s="172"/>
      <c r="IR75" s="172"/>
      <c r="IS75" s="172"/>
      <c r="IT75" s="172"/>
      <c r="IU75" s="172"/>
      <c r="IV75" s="172"/>
      <c r="IW75" s="172"/>
      <c r="IX75" s="172"/>
      <c r="IY75" s="172"/>
      <c r="IZ75" s="172"/>
      <c r="JA75" s="172"/>
      <c r="JB75" s="172"/>
      <c r="JC75" s="172"/>
      <c r="JD75" s="172"/>
      <c r="JE75" s="172"/>
      <c r="JF75" s="172"/>
      <c r="JG75" s="172"/>
      <c r="JH75" s="172"/>
      <c r="JI75" s="172"/>
      <c r="JJ75" s="172"/>
      <c r="JK75" s="172"/>
      <c r="JL75" s="172"/>
      <c r="JM75" s="172"/>
      <c r="JN75" s="172"/>
      <c r="JO75" s="172"/>
      <c r="JP75" s="172"/>
      <c r="JQ75" s="172"/>
      <c r="JR75" s="172"/>
      <c r="JS75" s="172"/>
      <c r="JT75" s="172"/>
      <c r="JU75" s="172"/>
      <c r="JV75" s="172"/>
      <c r="JW75" s="172"/>
      <c r="JX75" s="172"/>
      <c r="JY75" s="172"/>
      <c r="JZ75" s="172"/>
      <c r="KA75" s="172"/>
      <c r="KB75" s="172"/>
      <c r="KC75" s="172"/>
      <c r="KD75" s="172"/>
      <c r="KE75" s="172"/>
      <c r="KF75" s="172"/>
      <c r="KG75" s="172"/>
      <c r="KH75" s="172"/>
      <c r="KI75" s="172"/>
      <c r="KJ75" s="172"/>
      <c r="KK75" s="172"/>
      <c r="KL75" s="172"/>
      <c r="KM75" s="172"/>
      <c r="KN75" s="172"/>
      <c r="KO75" s="172"/>
      <c r="KP75" s="172"/>
      <c r="KQ75" s="172"/>
      <c r="KR75" s="172"/>
      <c r="KS75" s="172"/>
      <c r="KT75" s="172"/>
      <c r="KU75" s="172"/>
      <c r="KV75" s="172"/>
      <c r="KW75" s="172"/>
      <c r="KX75" s="172"/>
      <c r="KY75" s="172"/>
      <c r="KZ75" s="172"/>
      <c r="LA75" s="172"/>
      <c r="LB75" s="172"/>
      <c r="LC75" s="172"/>
      <c r="LD75" s="172"/>
      <c r="LE75" s="172"/>
      <c r="LF75" s="172"/>
      <c r="LG75" s="172"/>
      <c r="LH75" s="172"/>
      <c r="LI75" s="172"/>
      <c r="LJ75" s="172"/>
      <c r="LK75" s="172"/>
      <c r="LL75" s="172"/>
      <c r="LM75" s="172"/>
      <c r="LN75" s="172"/>
      <c r="LO75" s="172"/>
      <c r="LP75" s="172"/>
      <c r="LQ75" s="172"/>
      <c r="LR75" s="172"/>
      <c r="LS75" s="172"/>
      <c r="LT75" s="172"/>
      <c r="LU75" s="172"/>
      <c r="LV75" s="172"/>
      <c r="LW75" s="172"/>
      <c r="LX75" s="172"/>
      <c r="LY75" s="172"/>
      <c r="LZ75" s="172"/>
      <c r="MA75" s="172"/>
      <c r="MB75" s="172"/>
      <c r="MC75" s="172"/>
      <c r="MD75" s="172"/>
      <c r="ME75" s="172"/>
      <c r="MF75" s="172"/>
      <c r="MG75" s="172"/>
      <c r="MH75" s="172"/>
      <c r="MI75" s="172"/>
      <c r="MJ75" s="172"/>
      <c r="MK75" s="172"/>
      <c r="ML75" s="172"/>
      <c r="MM75" s="172"/>
      <c r="MN75" s="172"/>
      <c r="MO75" s="172"/>
      <c r="MP75" s="172"/>
      <c r="MQ75" s="172"/>
      <c r="MR75" s="172"/>
      <c r="MS75" s="172"/>
      <c r="MT75" s="172"/>
      <c r="MU75" s="172"/>
      <c r="MV75" s="172"/>
      <c r="MW75" s="172"/>
      <c r="MX75" s="172"/>
      <c r="MY75" s="172"/>
      <c r="MZ75" s="172"/>
      <c r="NA75" s="172"/>
      <c r="NB75" s="172"/>
      <c r="NC75" s="172"/>
      <c r="ND75" s="172"/>
      <c r="NE75" s="172"/>
      <c r="NF75" s="172"/>
      <c r="NG75" s="172"/>
      <c r="NH75" s="172"/>
      <c r="NI75" s="172"/>
      <c r="NJ75" s="172"/>
      <c r="NK75" s="172"/>
      <c r="NL75" s="172"/>
      <c r="NM75" s="172"/>
      <c r="NN75" s="172"/>
      <c r="NO75" s="172"/>
      <c r="NP75" s="172"/>
      <c r="NQ75" s="172"/>
      <c r="NR75" s="172"/>
      <c r="NS75" s="172"/>
      <c r="NT75" s="172"/>
      <c r="NU75" s="172"/>
      <c r="NV75" s="172"/>
      <c r="NW75" s="172"/>
      <c r="NX75" s="172"/>
      <c r="NY75" s="172"/>
      <c r="NZ75" s="172"/>
      <c r="OA75" s="172"/>
      <c r="OB75" s="172"/>
      <c r="OC75" s="172"/>
      <c r="OD75" s="172"/>
      <c r="OE75" s="172"/>
      <c r="OF75" s="172"/>
      <c r="OG75" s="172"/>
      <c r="OH75" s="172"/>
      <c r="OI75" s="172"/>
      <c r="OJ75" s="172"/>
      <c r="OK75" s="172"/>
      <c r="OL75" s="172"/>
      <c r="OM75" s="172"/>
      <c r="ON75" s="172"/>
      <c r="OO75" s="172"/>
      <c r="OP75" s="172"/>
      <c r="OQ75" s="172"/>
      <c r="OR75" s="172"/>
      <c r="OS75" s="172"/>
      <c r="OT75" s="172"/>
      <c r="OU75" s="172"/>
      <c r="OV75" s="172"/>
      <c r="OW75" s="172"/>
      <c r="OX75" s="172"/>
      <c r="OY75" s="172"/>
      <c r="OZ75" s="172"/>
      <c r="PA75" s="172"/>
      <c r="PB75" s="172"/>
      <c r="PC75" s="172"/>
      <c r="PD75" s="172"/>
      <c r="PE75" s="172"/>
      <c r="PF75" s="172"/>
      <c r="PG75" s="172"/>
      <c r="PH75" s="172"/>
      <c r="PI75" s="172"/>
      <c r="PJ75" s="172"/>
      <c r="PK75" s="172"/>
      <c r="PL75" s="172"/>
      <c r="PM75" s="172"/>
      <c r="PN75" s="172"/>
      <c r="PO75" s="172"/>
      <c r="PP75" s="172"/>
      <c r="PQ75" s="172"/>
      <c r="PR75" s="172"/>
      <c r="PS75" s="172"/>
      <c r="PT75" s="172"/>
      <c r="PU75" s="172"/>
      <c r="PV75" s="172"/>
      <c r="PW75" s="172"/>
      <c r="PX75" s="172"/>
      <c r="PY75" s="172"/>
      <c r="PZ75" s="172"/>
      <c r="QA75" s="172"/>
      <c r="QB75" s="172"/>
      <c r="QC75" s="172"/>
      <c r="QD75" s="172"/>
      <c r="QE75" s="172"/>
      <c r="QF75" s="172"/>
      <c r="QG75" s="172"/>
      <c r="QH75" s="172"/>
      <c r="QI75" s="172"/>
      <c r="QJ75" s="172"/>
      <c r="QK75" s="172"/>
      <c r="QL75" s="172"/>
      <c r="QM75" s="172"/>
      <c r="QN75" s="172"/>
      <c r="QO75" s="172"/>
      <c r="QP75" s="172"/>
      <c r="QQ75" s="172"/>
      <c r="QR75" s="172"/>
      <c r="QS75" s="172"/>
      <c r="QT75" s="172"/>
      <c r="QU75" s="172"/>
      <c r="QV75" s="172"/>
      <c r="QW75" s="172"/>
      <c r="QX75" s="172"/>
      <c r="QY75" s="172"/>
      <c r="QZ75" s="172"/>
      <c r="RA75" s="172"/>
      <c r="RB75" s="172"/>
      <c r="RC75" s="172"/>
      <c r="RD75" s="172"/>
      <c r="RE75" s="172"/>
      <c r="RF75" s="172"/>
      <c r="RG75" s="172"/>
      <c r="RH75" s="172"/>
      <c r="RI75" s="172"/>
      <c r="RJ75" s="172"/>
      <c r="RK75" s="172"/>
      <c r="RL75" s="172"/>
      <c r="RM75" s="172"/>
      <c r="RN75" s="172"/>
      <c r="RO75" s="172"/>
      <c r="RP75" s="172"/>
      <c r="RQ75" s="172"/>
      <c r="RR75" s="172"/>
      <c r="RS75" s="172"/>
      <c r="RT75" s="172"/>
      <c r="RU75" s="172"/>
      <c r="RV75" s="172"/>
      <c r="RW75" s="172"/>
      <c r="RX75" s="172"/>
      <c r="RY75" s="172"/>
      <c r="RZ75" s="172"/>
      <c r="SA75" s="172"/>
      <c r="SB75" s="172"/>
      <c r="SC75" s="172"/>
      <c r="SD75" s="172"/>
      <c r="SE75" s="172"/>
      <c r="SF75" s="172"/>
      <c r="SG75" s="172"/>
      <c r="SH75" s="172"/>
      <c r="SI75" s="172"/>
      <c r="SJ75" s="172"/>
      <c r="SK75" s="172"/>
      <c r="SL75" s="172"/>
      <c r="SM75" s="172"/>
      <c r="SN75" s="172"/>
      <c r="SO75" s="172"/>
      <c r="SP75" s="172"/>
      <c r="SQ75" s="172"/>
      <c r="SR75" s="172"/>
      <c r="SS75" s="172"/>
      <c r="ST75" s="172"/>
      <c r="SU75" s="172"/>
      <c r="SV75" s="172"/>
      <c r="SW75" s="172"/>
      <c r="SX75" s="172"/>
      <c r="SY75" s="172"/>
      <c r="SZ75" s="172"/>
      <c r="TA75" s="172"/>
      <c r="TB75" s="172"/>
      <c r="TC75" s="172"/>
      <c r="TD75" s="172"/>
      <c r="TE75" s="172"/>
      <c r="TF75" s="172"/>
      <c r="TG75" s="172"/>
      <c r="TH75" s="172"/>
      <c r="TI75" s="172"/>
      <c r="TJ75" s="172"/>
      <c r="TK75" s="172"/>
      <c r="TL75" s="172"/>
      <c r="TM75" s="172"/>
      <c r="TN75" s="172"/>
      <c r="TO75" s="172"/>
      <c r="TP75" s="172"/>
      <c r="TQ75" s="172"/>
      <c r="TR75" s="172"/>
      <c r="TS75" s="172"/>
      <c r="TT75" s="172"/>
      <c r="TU75" s="172"/>
      <c r="TV75" s="172"/>
      <c r="TW75" s="172"/>
      <c r="TX75" s="172"/>
      <c r="TY75" s="172"/>
      <c r="TZ75" s="172"/>
      <c r="UA75" s="172"/>
      <c r="UB75" s="172"/>
      <c r="UC75" s="172"/>
      <c r="UD75" s="172"/>
      <c r="UE75" s="172"/>
      <c r="UF75" s="172"/>
      <c r="UG75" s="172"/>
      <c r="UH75" s="172"/>
      <c r="UI75" s="172"/>
      <c r="UJ75" s="172"/>
      <c r="UK75" s="172"/>
      <c r="UL75" s="172"/>
      <c r="UM75" s="172"/>
      <c r="UN75" s="172"/>
      <c r="UO75" s="172"/>
      <c r="UP75" s="172"/>
      <c r="UQ75" s="172"/>
      <c r="UR75" s="172"/>
      <c r="US75" s="172"/>
      <c r="UT75" s="172"/>
      <c r="UU75" s="172"/>
      <c r="UV75" s="172"/>
      <c r="UW75" s="172"/>
      <c r="UX75" s="172"/>
      <c r="UY75" s="172"/>
      <c r="UZ75" s="172"/>
      <c r="VA75" s="172"/>
      <c r="VB75" s="172"/>
      <c r="VC75" s="172"/>
      <c r="VD75" s="172"/>
      <c r="VE75" s="172"/>
      <c r="VF75" s="172"/>
      <c r="VG75" s="172"/>
      <c r="VH75" s="172"/>
      <c r="VI75" s="172"/>
      <c r="VJ75" s="172"/>
      <c r="VK75" s="172"/>
      <c r="VL75" s="172"/>
      <c r="VM75" s="172"/>
      <c r="VN75" s="172"/>
      <c r="VO75" s="172"/>
      <c r="VP75" s="172"/>
      <c r="VQ75" s="172"/>
      <c r="VR75" s="172"/>
      <c r="VS75" s="172"/>
      <c r="VT75" s="172"/>
      <c r="VU75" s="172"/>
      <c r="VV75" s="172"/>
      <c r="VW75" s="172"/>
      <c r="VX75" s="172"/>
      <c r="VY75" s="172"/>
      <c r="VZ75" s="172"/>
      <c r="WA75" s="172"/>
      <c r="WB75" s="172"/>
      <c r="WC75" s="172"/>
      <c r="WD75" s="172"/>
      <c r="WE75" s="172"/>
      <c r="WF75" s="172"/>
      <c r="WG75" s="172"/>
      <c r="WH75" s="172"/>
      <c r="WI75" s="172"/>
      <c r="WJ75" s="172"/>
      <c r="WK75" s="172"/>
      <c r="WL75" s="172"/>
      <c r="WM75" s="172"/>
      <c r="WN75" s="172"/>
      <c r="WO75" s="172"/>
      <c r="WP75" s="172"/>
      <c r="WQ75" s="172"/>
      <c r="WR75" s="172"/>
      <c r="WS75" s="172"/>
      <c r="WT75" s="172"/>
      <c r="WU75" s="172"/>
      <c r="WV75" s="172"/>
      <c r="WW75" s="172"/>
      <c r="WX75" s="172"/>
      <c r="WY75" s="172"/>
      <c r="WZ75" s="172"/>
      <c r="XA75" s="172"/>
      <c r="XB75" s="172"/>
      <c r="XC75" s="172"/>
      <c r="XD75" s="172"/>
      <c r="XE75" s="172"/>
      <c r="XF75" s="172"/>
      <c r="XG75" s="172"/>
      <c r="XH75" s="172"/>
      <c r="XI75" s="172"/>
      <c r="XJ75" s="172"/>
      <c r="XK75" s="172"/>
      <c r="XL75" s="172"/>
      <c r="XM75" s="172"/>
      <c r="XN75" s="172"/>
      <c r="XO75" s="172"/>
      <c r="XP75" s="172"/>
      <c r="XQ75" s="172"/>
      <c r="XR75" s="172"/>
      <c r="XS75" s="172"/>
      <c r="XT75" s="172"/>
      <c r="XU75" s="172"/>
      <c r="XV75" s="172"/>
      <c r="XW75" s="172"/>
      <c r="XX75" s="172"/>
      <c r="XY75" s="172"/>
      <c r="XZ75" s="172"/>
      <c r="YA75" s="172"/>
      <c r="YB75" s="172"/>
      <c r="YC75" s="172"/>
      <c r="YD75" s="172"/>
      <c r="YE75" s="172"/>
      <c r="YF75" s="172"/>
      <c r="YG75" s="172"/>
      <c r="YH75" s="172"/>
      <c r="YI75" s="172"/>
      <c r="YJ75" s="172"/>
      <c r="YK75" s="172"/>
      <c r="YL75" s="172"/>
      <c r="YM75" s="172"/>
      <c r="YN75" s="172"/>
      <c r="YO75" s="172"/>
      <c r="YP75" s="172"/>
      <c r="YQ75" s="172"/>
      <c r="YR75" s="172"/>
      <c r="YS75" s="172"/>
      <c r="YT75" s="172"/>
      <c r="YU75" s="172"/>
      <c r="YV75" s="172"/>
      <c r="YW75" s="172"/>
      <c r="YX75" s="172"/>
      <c r="YY75" s="172"/>
      <c r="YZ75" s="172"/>
      <c r="ZA75" s="172"/>
      <c r="ZB75" s="172"/>
      <c r="ZC75" s="172"/>
      <c r="ZD75" s="172"/>
      <c r="ZE75" s="172"/>
      <c r="ZF75" s="172"/>
      <c r="ZG75" s="172"/>
      <c r="ZH75" s="172"/>
      <c r="ZI75" s="172"/>
      <c r="ZJ75" s="172"/>
      <c r="ZK75" s="172"/>
      <c r="ZL75" s="172"/>
      <c r="ZM75" s="172"/>
      <c r="ZN75" s="172"/>
      <c r="ZO75" s="172"/>
      <c r="ZP75" s="172"/>
      <c r="ZQ75" s="172"/>
      <c r="ZR75" s="172"/>
      <c r="ZS75" s="172"/>
      <c r="ZT75" s="172"/>
      <c r="ZU75" s="172"/>
      <c r="ZV75" s="172"/>
      <c r="ZW75" s="172"/>
      <c r="ZX75" s="172"/>
      <c r="ZY75" s="172"/>
      <c r="ZZ75" s="172"/>
      <c r="AAA75" s="172"/>
      <c r="AAB75" s="172"/>
      <c r="AAC75" s="172"/>
      <c r="AAD75" s="172"/>
      <c r="AAE75" s="172"/>
      <c r="AAF75" s="172"/>
      <c r="AAG75" s="172"/>
      <c r="AAH75" s="172"/>
      <c r="AAI75" s="172"/>
      <c r="AAJ75" s="172"/>
      <c r="AAK75" s="172"/>
      <c r="AAL75" s="172"/>
      <c r="AAM75" s="172"/>
      <c r="AAN75" s="172"/>
      <c r="AAO75" s="172"/>
      <c r="AAP75" s="172"/>
      <c r="AAQ75" s="172"/>
      <c r="AAR75" s="172"/>
      <c r="AAS75" s="172"/>
      <c r="AAT75" s="172"/>
      <c r="AAU75" s="172"/>
      <c r="AAV75" s="172"/>
      <c r="AAW75" s="172"/>
      <c r="AAX75" s="172"/>
      <c r="AAY75" s="172"/>
      <c r="AAZ75" s="172"/>
      <c r="ABA75" s="172"/>
      <c r="ABB75" s="172"/>
      <c r="ABC75" s="172"/>
      <c r="ABD75" s="172"/>
      <c r="ABE75" s="172"/>
      <c r="ABF75" s="172"/>
      <c r="ABG75" s="172"/>
      <c r="ABH75" s="172"/>
      <c r="ABI75" s="172"/>
      <c r="ABJ75" s="172"/>
      <c r="ABK75" s="172"/>
      <c r="ABL75" s="172"/>
      <c r="ABM75" s="172"/>
      <c r="ABN75" s="172"/>
      <c r="ABO75" s="172"/>
      <c r="ABP75" s="172"/>
      <c r="ABQ75" s="172"/>
      <c r="ABR75" s="172"/>
      <c r="ABS75" s="172"/>
      <c r="ABT75" s="172"/>
      <c r="ABU75" s="172"/>
      <c r="ABV75" s="172"/>
      <c r="ABW75" s="172"/>
      <c r="ABX75" s="172"/>
      <c r="ABY75" s="172"/>
      <c r="ABZ75" s="172"/>
      <c r="ACA75" s="172"/>
      <c r="ACB75" s="172"/>
      <c r="ACC75" s="172"/>
      <c r="ACD75" s="172"/>
      <c r="ACE75" s="172"/>
      <c r="ACF75" s="172"/>
      <c r="ACG75" s="172"/>
      <c r="ACH75" s="172"/>
      <c r="ACI75" s="172"/>
      <c r="ACJ75" s="172"/>
      <c r="ACK75" s="172"/>
      <c r="ACL75" s="172"/>
      <c r="ACM75" s="172"/>
      <c r="ACN75" s="172"/>
      <c r="ACO75" s="172"/>
      <c r="ACP75" s="172"/>
      <c r="ACQ75" s="172"/>
      <c r="ACR75" s="172"/>
      <c r="ACS75" s="172"/>
      <c r="ACT75" s="172"/>
      <c r="ACU75" s="172"/>
      <c r="ACV75" s="172"/>
      <c r="ACW75" s="172"/>
      <c r="ACX75" s="172"/>
      <c r="ACY75" s="172"/>
      <c r="ACZ75" s="172"/>
      <c r="ADA75" s="172"/>
      <c r="ADB75" s="172"/>
      <c r="ADC75" s="172"/>
      <c r="ADD75" s="172"/>
      <c r="ADE75" s="172"/>
      <c r="ADF75" s="172"/>
      <c r="ADG75" s="172"/>
      <c r="ADH75" s="172"/>
      <c r="ADI75" s="172"/>
      <c r="ADJ75" s="172"/>
      <c r="ADK75" s="172"/>
      <c r="ADL75" s="172"/>
      <c r="ADM75" s="172"/>
      <c r="ADN75" s="172"/>
      <c r="ADO75" s="172"/>
      <c r="ADP75" s="172"/>
      <c r="ADQ75" s="172"/>
      <c r="ADR75" s="172"/>
      <c r="ADS75" s="172"/>
      <c r="ADT75" s="172"/>
      <c r="ADU75" s="172"/>
      <c r="ADV75" s="172"/>
      <c r="ADW75" s="172"/>
      <c r="ADX75" s="172"/>
      <c r="ADY75" s="172"/>
      <c r="ADZ75" s="172"/>
      <c r="AEA75" s="172"/>
      <c r="AEB75" s="172"/>
      <c r="AEC75" s="172"/>
      <c r="AED75" s="172"/>
      <c r="AEE75" s="172"/>
      <c r="AEF75" s="172"/>
      <c r="AEG75" s="172"/>
      <c r="AEH75" s="172"/>
      <c r="AEI75" s="172"/>
      <c r="AEJ75" s="172"/>
      <c r="AEK75" s="172"/>
      <c r="AEL75" s="172"/>
      <c r="AEM75" s="172"/>
      <c r="AEN75" s="172"/>
      <c r="AEO75" s="172"/>
      <c r="AEP75" s="172"/>
      <c r="AEQ75" s="172"/>
      <c r="AER75" s="172"/>
      <c r="AES75" s="172"/>
      <c r="AET75" s="172"/>
      <c r="AEU75" s="172"/>
      <c r="AEV75" s="172"/>
      <c r="AEW75" s="172"/>
      <c r="AEX75" s="172"/>
      <c r="AEY75" s="172"/>
      <c r="AEZ75" s="172"/>
      <c r="AFA75" s="172"/>
      <c r="AFB75" s="172"/>
      <c r="AFC75" s="172"/>
      <c r="AFD75" s="172"/>
      <c r="AFE75" s="172"/>
      <c r="AFF75" s="172"/>
      <c r="AFG75" s="172"/>
      <c r="AFH75" s="172"/>
      <c r="AFI75" s="172"/>
      <c r="AFJ75" s="172"/>
      <c r="AFK75" s="172"/>
      <c r="AFL75" s="172"/>
      <c r="AFM75" s="172"/>
      <c r="AFN75" s="172"/>
      <c r="AFO75" s="172"/>
      <c r="AFP75" s="172"/>
      <c r="AFQ75" s="172"/>
      <c r="AFR75" s="172"/>
      <c r="AFS75" s="172"/>
      <c r="AFT75" s="172"/>
      <c r="AFU75" s="172"/>
      <c r="AFV75" s="172"/>
      <c r="AFW75" s="172"/>
      <c r="AFX75" s="172"/>
      <c r="AFY75" s="172"/>
      <c r="AFZ75" s="172"/>
      <c r="AGA75" s="172"/>
      <c r="AGB75" s="172"/>
      <c r="AGC75" s="172"/>
      <c r="AGD75" s="172"/>
      <c r="AGE75" s="172"/>
      <c r="AGF75" s="172"/>
      <c r="AGG75" s="172"/>
      <c r="AGH75" s="172"/>
      <c r="AGI75" s="172"/>
      <c r="AGJ75" s="172"/>
      <c r="AGK75" s="172"/>
      <c r="AGL75" s="172"/>
      <c r="AGM75" s="172"/>
      <c r="AGN75" s="172"/>
      <c r="AGO75" s="172"/>
      <c r="AGP75" s="172"/>
      <c r="AGQ75" s="172"/>
      <c r="AGR75" s="172"/>
      <c r="AGS75" s="172"/>
      <c r="AGT75" s="172"/>
      <c r="AGU75" s="172"/>
      <c r="AGV75" s="172"/>
      <c r="AGW75" s="172"/>
      <c r="AGX75" s="172"/>
      <c r="AGY75" s="172"/>
      <c r="AGZ75" s="172"/>
      <c r="AHA75" s="172"/>
      <c r="AHB75" s="172"/>
      <c r="AHC75" s="172"/>
      <c r="AHD75" s="172"/>
      <c r="AHE75" s="172"/>
      <c r="AHF75" s="172"/>
      <c r="AHG75" s="172"/>
      <c r="AHH75" s="172"/>
      <c r="AHI75" s="172"/>
      <c r="AHJ75" s="172"/>
      <c r="AHK75" s="172"/>
      <c r="AHL75" s="172"/>
      <c r="AHM75" s="172"/>
      <c r="AHN75" s="172"/>
      <c r="AHO75" s="172"/>
      <c r="AHP75" s="172"/>
      <c r="AHQ75" s="172"/>
      <c r="AHR75" s="172"/>
      <c r="AHS75" s="172"/>
      <c r="AHT75" s="172"/>
      <c r="AHU75" s="172"/>
      <c r="AHV75" s="172"/>
      <c r="AHW75" s="172"/>
      <c r="AHX75" s="172"/>
      <c r="AHY75" s="172"/>
      <c r="AHZ75" s="172"/>
      <c r="AIA75" s="172"/>
      <c r="AIB75" s="172"/>
      <c r="AIC75" s="172"/>
      <c r="AID75" s="172"/>
      <c r="AIE75" s="172"/>
      <c r="AIF75" s="172"/>
      <c r="AIG75" s="172"/>
      <c r="AIH75" s="172"/>
      <c r="AII75" s="172"/>
      <c r="AIJ75" s="172"/>
      <c r="AIK75" s="172"/>
      <c r="AIL75" s="172"/>
      <c r="AIM75" s="172"/>
      <c r="AIN75" s="172"/>
      <c r="AIO75" s="172"/>
      <c r="AIP75" s="172"/>
      <c r="AIQ75" s="172"/>
      <c r="AIR75" s="172"/>
      <c r="AIS75" s="172"/>
      <c r="AIT75" s="172"/>
      <c r="AIU75" s="172"/>
      <c r="AIV75" s="172"/>
      <c r="AIW75" s="172"/>
      <c r="AIX75" s="172"/>
      <c r="AIY75" s="172"/>
      <c r="AIZ75" s="172"/>
      <c r="AJA75" s="172"/>
      <c r="AJB75" s="172"/>
      <c r="AJC75" s="172"/>
      <c r="AJD75" s="172"/>
      <c r="AJE75" s="172"/>
      <c r="AJF75" s="172"/>
      <c r="AJG75" s="172"/>
      <c r="AJH75" s="172"/>
      <c r="AJI75" s="172"/>
      <c r="AJJ75" s="172"/>
      <c r="AJK75" s="172"/>
      <c r="AJL75" s="172"/>
      <c r="AJM75" s="172"/>
      <c r="AJN75" s="172"/>
      <c r="AJO75" s="172"/>
      <c r="AJP75" s="172"/>
      <c r="AJQ75" s="172"/>
      <c r="AJR75" s="172"/>
      <c r="AJS75" s="172"/>
      <c r="AJT75" s="172"/>
      <c r="AJU75" s="172"/>
      <c r="AJV75" s="172"/>
      <c r="AJW75" s="172"/>
      <c r="AJX75" s="172"/>
      <c r="AJY75" s="172"/>
      <c r="AJZ75" s="172"/>
      <c r="AKA75" s="172"/>
      <c r="AKB75" s="172"/>
      <c r="AKC75" s="172"/>
      <c r="AKD75" s="172"/>
      <c r="AKE75" s="172"/>
      <c r="AKF75" s="172"/>
      <c r="AKG75" s="172"/>
      <c r="AKH75" s="172"/>
      <c r="AKI75" s="172"/>
      <c r="AKJ75" s="172"/>
      <c r="AKK75" s="172"/>
      <c r="AKL75" s="172"/>
      <c r="AKM75" s="172"/>
      <c r="AKN75" s="172"/>
      <c r="AKO75" s="172"/>
      <c r="AKP75" s="172"/>
      <c r="AKQ75" s="172"/>
      <c r="AKR75" s="172"/>
      <c r="AKS75" s="172"/>
      <c r="AKT75" s="172"/>
      <c r="AKU75" s="172"/>
      <c r="AKV75" s="172"/>
      <c r="AKW75" s="172"/>
      <c r="AKX75" s="172"/>
      <c r="AKY75" s="172"/>
      <c r="AKZ75" s="172"/>
      <c r="ALA75" s="172"/>
      <c r="ALB75" s="172"/>
      <c r="ALC75" s="172"/>
      <c r="ALD75" s="172"/>
      <c r="ALE75" s="172"/>
      <c r="ALF75" s="172"/>
      <c r="ALG75" s="172"/>
      <c r="ALH75" s="172"/>
      <c r="ALI75" s="172"/>
      <c r="ALJ75" s="172"/>
      <c r="ALK75" s="172"/>
      <c r="ALL75" s="172"/>
      <c r="ALM75" s="172"/>
      <c r="ALN75" s="172"/>
      <c r="ALO75" s="172"/>
      <c r="ALP75" s="172"/>
      <c r="ALQ75" s="172"/>
      <c r="ALR75" s="172"/>
      <c r="ALS75" s="172"/>
      <c r="ALT75" s="172"/>
      <c r="ALU75" s="172"/>
      <c r="ALV75" s="172"/>
      <c r="ALW75" s="172"/>
      <c r="ALX75" s="172"/>
      <c r="ALY75" s="172"/>
      <c r="ALZ75" s="172"/>
      <c r="AMA75" s="172"/>
      <c r="AMB75" s="172"/>
      <c r="AMC75" s="172"/>
      <c r="AMD75" s="172"/>
      <c r="AME75" s="172"/>
      <c r="AMF75" s="172"/>
      <c r="AMG75" s="172"/>
      <c r="AMH75" s="172"/>
      <c r="AMI75" s="172"/>
      <c r="AMJ75" s="172"/>
      <c r="AMK75" s="172"/>
      <c r="AML75" s="172"/>
      <c r="AMM75" s="172"/>
      <c r="AMN75" s="172"/>
      <c r="AMO75" s="172"/>
      <c r="AMP75" s="172"/>
      <c r="AMQ75" s="172"/>
      <c r="AMR75" s="172"/>
      <c r="AMS75" s="172"/>
      <c r="AMT75" s="172"/>
      <c r="AMU75" s="172"/>
      <c r="AMV75" s="172"/>
      <c r="AMW75" s="172"/>
      <c r="AMX75" s="172"/>
      <c r="AMY75" s="172"/>
      <c r="AMZ75" s="172"/>
      <c r="ANA75" s="172"/>
      <c r="ANB75" s="172"/>
      <c r="ANC75" s="172"/>
      <c r="AND75" s="172"/>
      <c r="ANE75" s="172"/>
      <c r="ANF75" s="172"/>
      <c r="ANG75" s="172"/>
      <c r="ANH75" s="172"/>
      <c r="ANI75" s="172"/>
      <c r="ANJ75" s="172"/>
      <c r="ANK75" s="172"/>
      <c r="ANL75" s="172"/>
      <c r="ANM75" s="172"/>
      <c r="ANN75" s="172"/>
      <c r="ANO75" s="172"/>
      <c r="ANP75" s="172"/>
      <c r="ANQ75" s="172"/>
      <c r="ANR75" s="172"/>
      <c r="ANS75" s="172"/>
      <c r="ANT75" s="172"/>
      <c r="ANU75" s="172"/>
      <c r="ANV75" s="172"/>
      <c r="ANW75" s="172"/>
      <c r="ANX75" s="172"/>
      <c r="ANY75" s="172"/>
      <c r="ANZ75" s="172"/>
      <c r="AOA75" s="172"/>
      <c r="AOB75" s="172"/>
      <c r="AOC75" s="172"/>
      <c r="AOD75" s="172"/>
      <c r="AOE75" s="172"/>
      <c r="AOF75" s="172"/>
      <c r="AOG75" s="172"/>
      <c r="AOH75" s="172"/>
      <c r="AOI75" s="172"/>
      <c r="AOJ75" s="172"/>
      <c r="AOK75" s="172"/>
      <c r="AOL75" s="172"/>
      <c r="AOM75" s="172"/>
      <c r="AON75" s="172"/>
      <c r="AOO75" s="172"/>
      <c r="AOP75" s="172"/>
      <c r="AOQ75" s="172"/>
      <c r="AOR75" s="172"/>
      <c r="AOS75" s="172"/>
      <c r="AOT75" s="172"/>
      <c r="AOU75" s="172"/>
      <c r="AOV75" s="172"/>
      <c r="AOW75" s="172"/>
      <c r="AOX75" s="172"/>
      <c r="AOY75" s="172"/>
      <c r="AOZ75" s="172"/>
      <c r="APA75" s="172"/>
      <c r="APB75" s="172"/>
      <c r="APC75" s="172"/>
      <c r="APD75" s="172"/>
      <c r="APE75" s="172"/>
      <c r="APF75" s="172"/>
      <c r="APG75" s="172"/>
      <c r="APH75" s="172"/>
      <c r="API75" s="172"/>
      <c r="APJ75" s="172"/>
      <c r="APK75" s="172"/>
      <c r="APL75" s="172"/>
      <c r="APM75" s="172"/>
      <c r="APN75" s="172"/>
      <c r="APO75" s="172"/>
      <c r="APP75" s="172"/>
      <c r="APQ75" s="172"/>
      <c r="APR75" s="172"/>
      <c r="APS75" s="172"/>
      <c r="APT75" s="172"/>
      <c r="APU75" s="172"/>
      <c r="APV75" s="172"/>
      <c r="APW75" s="172"/>
      <c r="APX75" s="172"/>
      <c r="APY75" s="172"/>
      <c r="APZ75" s="172"/>
      <c r="AQA75" s="172"/>
      <c r="AQB75" s="172"/>
      <c r="AQC75" s="172"/>
      <c r="AQD75" s="172"/>
      <c r="AQE75" s="172"/>
      <c r="AQF75" s="172"/>
      <c r="AQG75" s="172"/>
      <c r="AQH75" s="172"/>
      <c r="AQI75" s="172"/>
      <c r="AQJ75" s="172"/>
      <c r="AQK75" s="172"/>
      <c r="AQL75" s="172"/>
      <c r="AQM75" s="172"/>
      <c r="AQN75" s="172"/>
      <c r="AQO75" s="172"/>
      <c r="AQP75" s="172"/>
      <c r="AQQ75" s="172"/>
      <c r="AQR75" s="172"/>
      <c r="AQS75" s="172"/>
      <c r="AQT75" s="172"/>
      <c r="AQU75" s="172"/>
      <c r="AQV75" s="172"/>
      <c r="AQW75" s="172"/>
      <c r="AQX75" s="172"/>
      <c r="AQY75" s="172"/>
      <c r="AQZ75" s="172"/>
      <c r="ARA75" s="172"/>
      <c r="ARB75" s="172"/>
      <c r="ARC75" s="172"/>
      <c r="ARD75" s="172"/>
      <c r="ARE75" s="172"/>
      <c r="ARF75" s="172"/>
      <c r="ARG75" s="172"/>
      <c r="ARH75" s="172"/>
      <c r="ARI75" s="172"/>
      <c r="ARJ75" s="172"/>
      <c r="ARK75" s="172"/>
      <c r="ARL75" s="172"/>
      <c r="ARM75" s="172"/>
      <c r="ARN75" s="172"/>
      <c r="ARO75" s="172"/>
      <c r="ARP75" s="172"/>
      <c r="ARQ75" s="172"/>
      <c r="ARR75" s="172"/>
      <c r="ARS75" s="172"/>
      <c r="ART75" s="172"/>
      <c r="ARU75" s="172"/>
    </row>
    <row r="76" spans="1:1165" s="257" customFormat="1">
      <c r="A76" s="222" t="s">
        <v>204</v>
      </c>
      <c r="B76" s="195" t="s">
        <v>87</v>
      </c>
      <c r="C76" s="258">
        <v>1059</v>
      </c>
      <c r="D76" s="258">
        <v>38904</v>
      </c>
      <c r="E76" s="196">
        <v>0</v>
      </c>
      <c r="F76" s="196">
        <v>0</v>
      </c>
      <c r="G76" s="196">
        <v>0</v>
      </c>
      <c r="H76" s="196">
        <v>0</v>
      </c>
      <c r="I76" s="196">
        <v>0</v>
      </c>
      <c r="J76" s="196">
        <v>0</v>
      </c>
      <c r="K76" s="196">
        <v>0</v>
      </c>
      <c r="L76" s="196">
        <v>0</v>
      </c>
      <c r="M76" s="196">
        <v>0</v>
      </c>
      <c r="N76" s="196">
        <v>0</v>
      </c>
      <c r="O76" s="196">
        <v>0</v>
      </c>
      <c r="P76" s="196">
        <v>0</v>
      </c>
      <c r="Q76" s="196">
        <v>0</v>
      </c>
      <c r="R76" s="196">
        <v>0</v>
      </c>
      <c r="S76" s="196">
        <v>0</v>
      </c>
      <c r="T76" s="196">
        <v>0</v>
      </c>
      <c r="U76" s="196">
        <v>0</v>
      </c>
      <c r="V76" s="196">
        <v>0</v>
      </c>
      <c r="W76" s="196">
        <v>0</v>
      </c>
      <c r="X76" s="196">
        <v>0</v>
      </c>
      <c r="Y76" s="196">
        <v>0</v>
      </c>
      <c r="Z76" s="196">
        <v>0</v>
      </c>
      <c r="AA76" s="196">
        <v>0</v>
      </c>
      <c r="AB76" s="196">
        <v>0</v>
      </c>
      <c r="AC76" s="196">
        <v>0</v>
      </c>
      <c r="AD76" s="196">
        <v>0</v>
      </c>
      <c r="AE76" s="196">
        <v>0</v>
      </c>
      <c r="AF76" s="196">
        <v>0</v>
      </c>
      <c r="AG76" s="196">
        <v>0</v>
      </c>
      <c r="AH76" s="196">
        <v>0</v>
      </c>
      <c r="AI76" s="196">
        <v>40</v>
      </c>
      <c r="AJ76" s="196">
        <v>12000</v>
      </c>
      <c r="AK76" s="260">
        <v>220</v>
      </c>
      <c r="AL76" s="260">
        <v>11000</v>
      </c>
      <c r="AM76" s="261">
        <v>316</v>
      </c>
      <c r="AN76" s="261">
        <v>77050</v>
      </c>
      <c r="AO76" s="196">
        <v>2876</v>
      </c>
      <c r="AP76" s="196">
        <v>490050</v>
      </c>
      <c r="AQ76" s="196">
        <v>4732</v>
      </c>
      <c r="AR76" s="196">
        <v>931700</v>
      </c>
      <c r="AS76" s="196">
        <v>1585</v>
      </c>
      <c r="AT76" s="196">
        <v>399970</v>
      </c>
      <c r="AU76" s="226">
        <v>928</v>
      </c>
      <c r="AV76" s="226">
        <v>208436</v>
      </c>
      <c r="AW76" s="211">
        <v>639</v>
      </c>
      <c r="AX76" s="211">
        <v>171900</v>
      </c>
      <c r="AY76" s="198">
        <v>1487</v>
      </c>
      <c r="AZ76" s="198">
        <v>445555</v>
      </c>
      <c r="BA76" s="263"/>
      <c r="BB76" s="198"/>
      <c r="BC76" s="263"/>
      <c r="BD76" s="198"/>
      <c r="BE76" s="263"/>
      <c r="BF76" s="211"/>
      <c r="BG76" s="263"/>
      <c r="BH76" s="211"/>
      <c r="BI76" s="263"/>
      <c r="BJ76" s="211">
        <f t="shared" si="57"/>
        <v>13882</v>
      </c>
      <c r="BK76" s="198">
        <f t="shared" si="58"/>
        <v>2786565</v>
      </c>
      <c r="BL76" s="172"/>
      <c r="BM76" s="13"/>
      <c r="BN76" s="231"/>
      <c r="BO76" s="172"/>
      <c r="BP76" s="231"/>
      <c r="BQ76" s="172"/>
      <c r="BR76" s="172"/>
      <c r="BS76" s="172"/>
      <c r="BT76" s="172"/>
      <c r="BU76" s="172"/>
      <c r="BV76" s="172"/>
      <c r="BW76" s="172"/>
      <c r="BX76" s="172"/>
      <c r="BY76" s="172"/>
      <c r="BZ76" s="172"/>
      <c r="CA76" s="172"/>
      <c r="CB76" s="172"/>
      <c r="CC76" s="172"/>
      <c r="CD76" s="172"/>
      <c r="CE76" s="172"/>
      <c r="CF76" s="172"/>
      <c r="CG76" s="172"/>
      <c r="CH76" s="172"/>
      <c r="CI76" s="172"/>
      <c r="CJ76" s="172"/>
      <c r="CK76" s="172"/>
      <c r="CL76" s="172"/>
      <c r="CM76" s="172"/>
      <c r="CN76" s="172"/>
      <c r="CO76" s="172"/>
      <c r="CP76" s="172"/>
      <c r="CQ76" s="172"/>
      <c r="CR76" s="172"/>
      <c r="CS76" s="172"/>
      <c r="CT76" s="172"/>
      <c r="CU76" s="172"/>
      <c r="CV76" s="172"/>
      <c r="CW76" s="172"/>
      <c r="CX76" s="172"/>
      <c r="CY76" s="172"/>
      <c r="CZ76" s="172"/>
      <c r="DA76" s="172"/>
      <c r="DB76" s="172"/>
      <c r="DC76" s="172"/>
      <c r="DD76" s="172"/>
      <c r="DE76" s="172"/>
      <c r="DF76" s="172"/>
      <c r="DG76" s="172"/>
      <c r="DH76" s="172"/>
      <c r="DI76" s="172"/>
      <c r="DJ76" s="172"/>
      <c r="DK76" s="172"/>
      <c r="DL76" s="172"/>
      <c r="DM76" s="172"/>
      <c r="DN76" s="172"/>
      <c r="DO76" s="172"/>
      <c r="DP76" s="172"/>
      <c r="DQ76" s="172"/>
      <c r="DR76" s="172"/>
      <c r="DS76" s="172"/>
      <c r="DT76" s="172"/>
      <c r="DU76" s="172"/>
      <c r="DV76" s="172"/>
      <c r="DW76" s="172"/>
      <c r="DX76" s="172"/>
      <c r="DY76" s="172"/>
      <c r="DZ76" s="172"/>
      <c r="EA76" s="172"/>
      <c r="EB76" s="172"/>
      <c r="EC76" s="172"/>
      <c r="ED76" s="172"/>
      <c r="EE76" s="172"/>
      <c r="EF76" s="172"/>
      <c r="EG76" s="172"/>
      <c r="EH76" s="172"/>
      <c r="EI76" s="172"/>
      <c r="EJ76" s="172"/>
      <c r="EK76" s="172"/>
      <c r="EL76" s="172"/>
      <c r="EM76" s="172"/>
      <c r="EN76" s="172"/>
      <c r="EO76" s="172"/>
      <c r="EP76" s="172"/>
      <c r="EQ76" s="172"/>
      <c r="ER76" s="172"/>
      <c r="ES76" s="172"/>
      <c r="ET76" s="172"/>
      <c r="EU76" s="172"/>
      <c r="EV76" s="172"/>
      <c r="EW76" s="172"/>
      <c r="EX76" s="172"/>
      <c r="EY76" s="172"/>
      <c r="EZ76" s="172"/>
      <c r="FA76" s="172"/>
      <c r="FB76" s="172"/>
      <c r="FC76" s="172"/>
      <c r="FD76" s="172"/>
      <c r="FE76" s="172"/>
      <c r="FF76" s="172"/>
      <c r="FG76" s="172"/>
      <c r="FH76" s="172"/>
      <c r="FI76" s="172"/>
      <c r="FJ76" s="172"/>
      <c r="FK76" s="172"/>
      <c r="FL76" s="172"/>
      <c r="FM76" s="172"/>
      <c r="FN76" s="172"/>
      <c r="FO76" s="172"/>
      <c r="FP76" s="172"/>
      <c r="FQ76" s="172"/>
      <c r="FR76" s="172"/>
      <c r="FS76" s="172"/>
      <c r="FT76" s="172"/>
      <c r="FU76" s="172"/>
      <c r="FV76" s="172"/>
      <c r="FW76" s="172"/>
      <c r="FX76" s="172"/>
      <c r="FY76" s="172"/>
      <c r="FZ76" s="172"/>
      <c r="GA76" s="172"/>
      <c r="GB76" s="172"/>
      <c r="GC76" s="172"/>
      <c r="GD76" s="172"/>
      <c r="GE76" s="172"/>
      <c r="GF76" s="172"/>
      <c r="GG76" s="172"/>
      <c r="GH76" s="172"/>
      <c r="GI76" s="172"/>
      <c r="GJ76" s="172"/>
      <c r="GK76" s="172"/>
      <c r="GL76" s="172"/>
      <c r="GM76" s="172"/>
      <c r="GN76" s="172"/>
      <c r="GO76" s="172"/>
      <c r="GP76" s="172"/>
      <c r="GQ76" s="172"/>
      <c r="GR76" s="172"/>
      <c r="GS76" s="172"/>
      <c r="GT76" s="172"/>
      <c r="GU76" s="172"/>
      <c r="GV76" s="172"/>
      <c r="GW76" s="172"/>
      <c r="GX76" s="172"/>
      <c r="GY76" s="172"/>
      <c r="GZ76" s="172"/>
      <c r="HA76" s="172"/>
      <c r="HB76" s="172"/>
      <c r="HC76" s="172"/>
      <c r="HD76" s="172"/>
      <c r="HE76" s="172"/>
      <c r="HF76" s="172"/>
      <c r="HG76" s="172"/>
      <c r="HH76" s="172"/>
      <c r="HI76" s="172"/>
      <c r="HJ76" s="172"/>
      <c r="HK76" s="172"/>
      <c r="HL76" s="172"/>
      <c r="HM76" s="172"/>
      <c r="HN76" s="172"/>
      <c r="HO76" s="172"/>
      <c r="HP76" s="172"/>
      <c r="HQ76" s="172"/>
      <c r="HR76" s="172"/>
      <c r="HS76" s="172"/>
      <c r="HT76" s="172"/>
      <c r="HU76" s="172"/>
      <c r="HV76" s="172"/>
      <c r="HW76" s="172"/>
      <c r="HX76" s="172"/>
      <c r="HY76" s="172"/>
      <c r="HZ76" s="172"/>
      <c r="IA76" s="172"/>
      <c r="IB76" s="172"/>
      <c r="IC76" s="172"/>
      <c r="ID76" s="172"/>
      <c r="IE76" s="172"/>
      <c r="IF76" s="172"/>
      <c r="IG76" s="172"/>
      <c r="IH76" s="172"/>
      <c r="II76" s="172"/>
      <c r="IJ76" s="172"/>
      <c r="IK76" s="172"/>
      <c r="IL76" s="172"/>
      <c r="IM76" s="172"/>
      <c r="IN76" s="172"/>
      <c r="IO76" s="172"/>
      <c r="IP76" s="172"/>
      <c r="IQ76" s="172"/>
      <c r="IR76" s="172"/>
      <c r="IS76" s="172"/>
      <c r="IT76" s="172"/>
      <c r="IU76" s="172"/>
      <c r="IV76" s="172"/>
      <c r="IW76" s="172"/>
      <c r="IX76" s="172"/>
      <c r="IY76" s="172"/>
      <c r="IZ76" s="172"/>
      <c r="JA76" s="172"/>
      <c r="JB76" s="172"/>
      <c r="JC76" s="172"/>
      <c r="JD76" s="172"/>
      <c r="JE76" s="172"/>
      <c r="JF76" s="172"/>
      <c r="JG76" s="172"/>
      <c r="JH76" s="172"/>
      <c r="JI76" s="172"/>
      <c r="JJ76" s="172"/>
      <c r="JK76" s="172"/>
      <c r="JL76" s="172"/>
      <c r="JM76" s="172"/>
      <c r="JN76" s="172"/>
      <c r="JO76" s="172"/>
      <c r="JP76" s="172"/>
      <c r="JQ76" s="172"/>
      <c r="JR76" s="172"/>
      <c r="JS76" s="172"/>
      <c r="JT76" s="172"/>
      <c r="JU76" s="172"/>
      <c r="JV76" s="172"/>
      <c r="JW76" s="172"/>
      <c r="JX76" s="172"/>
      <c r="JY76" s="172"/>
      <c r="JZ76" s="172"/>
      <c r="KA76" s="172"/>
      <c r="KB76" s="172"/>
      <c r="KC76" s="172"/>
      <c r="KD76" s="172"/>
      <c r="KE76" s="172"/>
      <c r="KF76" s="172"/>
      <c r="KG76" s="172"/>
      <c r="KH76" s="172"/>
      <c r="KI76" s="172"/>
      <c r="KJ76" s="172"/>
      <c r="KK76" s="172"/>
      <c r="KL76" s="172"/>
      <c r="KM76" s="172"/>
      <c r="KN76" s="172"/>
      <c r="KO76" s="172"/>
      <c r="KP76" s="172"/>
      <c r="KQ76" s="172"/>
      <c r="KR76" s="172"/>
      <c r="KS76" s="172"/>
      <c r="KT76" s="172"/>
      <c r="KU76" s="172"/>
      <c r="KV76" s="172"/>
      <c r="KW76" s="172"/>
      <c r="KX76" s="172"/>
      <c r="KY76" s="172"/>
      <c r="KZ76" s="172"/>
      <c r="LA76" s="172"/>
      <c r="LB76" s="172"/>
      <c r="LC76" s="172"/>
      <c r="LD76" s="172"/>
      <c r="LE76" s="172"/>
      <c r="LF76" s="172"/>
      <c r="LG76" s="172"/>
      <c r="LH76" s="172"/>
      <c r="LI76" s="172"/>
      <c r="LJ76" s="172"/>
      <c r="LK76" s="172"/>
      <c r="LL76" s="172"/>
      <c r="LM76" s="172"/>
      <c r="LN76" s="172"/>
      <c r="LO76" s="172"/>
      <c r="LP76" s="172"/>
      <c r="LQ76" s="172"/>
      <c r="LR76" s="172"/>
      <c r="LS76" s="172"/>
      <c r="LT76" s="172"/>
      <c r="LU76" s="172"/>
      <c r="LV76" s="172"/>
      <c r="LW76" s="172"/>
      <c r="LX76" s="172"/>
      <c r="LY76" s="172"/>
      <c r="LZ76" s="172"/>
      <c r="MA76" s="172"/>
      <c r="MB76" s="172"/>
      <c r="MC76" s="172"/>
      <c r="MD76" s="172"/>
      <c r="ME76" s="172"/>
      <c r="MF76" s="172"/>
      <c r="MG76" s="172"/>
      <c r="MH76" s="172"/>
      <c r="MI76" s="172"/>
      <c r="MJ76" s="172"/>
      <c r="MK76" s="172"/>
      <c r="ML76" s="172"/>
      <c r="MM76" s="172"/>
      <c r="MN76" s="172"/>
      <c r="MO76" s="172"/>
      <c r="MP76" s="172"/>
      <c r="MQ76" s="172"/>
      <c r="MR76" s="172"/>
      <c r="MS76" s="172"/>
      <c r="MT76" s="172"/>
      <c r="MU76" s="172"/>
      <c r="MV76" s="172"/>
      <c r="MW76" s="172"/>
      <c r="MX76" s="172"/>
      <c r="MY76" s="172"/>
      <c r="MZ76" s="172"/>
      <c r="NA76" s="172"/>
      <c r="NB76" s="172"/>
      <c r="NC76" s="172"/>
      <c r="ND76" s="172"/>
      <c r="NE76" s="172"/>
      <c r="NF76" s="172"/>
      <c r="NG76" s="172"/>
      <c r="NH76" s="172"/>
      <c r="NI76" s="172"/>
      <c r="NJ76" s="172"/>
      <c r="NK76" s="172"/>
      <c r="NL76" s="172"/>
      <c r="NM76" s="172"/>
      <c r="NN76" s="172"/>
      <c r="NO76" s="172"/>
      <c r="NP76" s="172"/>
      <c r="NQ76" s="172"/>
      <c r="NR76" s="172"/>
      <c r="NS76" s="172"/>
      <c r="NT76" s="172"/>
      <c r="NU76" s="172"/>
      <c r="NV76" s="172"/>
      <c r="NW76" s="172"/>
      <c r="NX76" s="172"/>
      <c r="NY76" s="172"/>
      <c r="NZ76" s="172"/>
      <c r="OA76" s="172"/>
      <c r="OB76" s="172"/>
      <c r="OC76" s="172"/>
      <c r="OD76" s="172"/>
      <c r="OE76" s="172"/>
      <c r="OF76" s="172"/>
      <c r="OG76" s="172"/>
      <c r="OH76" s="172"/>
      <c r="OI76" s="172"/>
      <c r="OJ76" s="172"/>
      <c r="OK76" s="172"/>
      <c r="OL76" s="172"/>
      <c r="OM76" s="172"/>
      <c r="ON76" s="172"/>
      <c r="OO76" s="172"/>
      <c r="OP76" s="172"/>
      <c r="OQ76" s="172"/>
      <c r="OR76" s="172"/>
      <c r="OS76" s="172"/>
      <c r="OT76" s="172"/>
      <c r="OU76" s="172"/>
      <c r="OV76" s="172"/>
      <c r="OW76" s="172"/>
      <c r="OX76" s="172"/>
      <c r="OY76" s="172"/>
      <c r="OZ76" s="172"/>
      <c r="PA76" s="172"/>
      <c r="PB76" s="172"/>
      <c r="PC76" s="172"/>
      <c r="PD76" s="172"/>
      <c r="PE76" s="172"/>
      <c r="PF76" s="172"/>
      <c r="PG76" s="172"/>
      <c r="PH76" s="172"/>
      <c r="PI76" s="172"/>
      <c r="PJ76" s="172"/>
      <c r="PK76" s="172"/>
      <c r="PL76" s="172"/>
      <c r="PM76" s="172"/>
      <c r="PN76" s="172"/>
      <c r="PO76" s="172"/>
      <c r="PP76" s="172"/>
      <c r="PQ76" s="172"/>
      <c r="PR76" s="172"/>
      <c r="PS76" s="172"/>
      <c r="PT76" s="172"/>
      <c r="PU76" s="172"/>
      <c r="PV76" s="172"/>
      <c r="PW76" s="172"/>
      <c r="PX76" s="172"/>
      <c r="PY76" s="172"/>
      <c r="PZ76" s="172"/>
      <c r="QA76" s="172"/>
      <c r="QB76" s="172"/>
      <c r="QC76" s="172"/>
      <c r="QD76" s="172"/>
      <c r="QE76" s="172"/>
      <c r="QF76" s="172"/>
      <c r="QG76" s="172"/>
      <c r="QH76" s="172"/>
      <c r="QI76" s="172"/>
      <c r="QJ76" s="172"/>
      <c r="QK76" s="172"/>
      <c r="QL76" s="172"/>
      <c r="QM76" s="172"/>
      <c r="QN76" s="172"/>
      <c r="QO76" s="172"/>
      <c r="QP76" s="172"/>
      <c r="QQ76" s="172"/>
      <c r="QR76" s="172"/>
      <c r="QS76" s="172"/>
      <c r="QT76" s="172"/>
      <c r="QU76" s="172"/>
      <c r="QV76" s="172"/>
      <c r="QW76" s="172"/>
      <c r="QX76" s="172"/>
      <c r="QY76" s="172"/>
      <c r="QZ76" s="172"/>
      <c r="RA76" s="172"/>
      <c r="RB76" s="172"/>
      <c r="RC76" s="172"/>
      <c r="RD76" s="172"/>
      <c r="RE76" s="172"/>
      <c r="RF76" s="172"/>
      <c r="RG76" s="172"/>
      <c r="RH76" s="172"/>
      <c r="RI76" s="172"/>
      <c r="RJ76" s="172"/>
      <c r="RK76" s="172"/>
      <c r="RL76" s="172"/>
      <c r="RM76" s="172"/>
      <c r="RN76" s="172"/>
      <c r="RO76" s="172"/>
      <c r="RP76" s="172"/>
      <c r="RQ76" s="172"/>
      <c r="RR76" s="172"/>
      <c r="RS76" s="172"/>
      <c r="RT76" s="172"/>
      <c r="RU76" s="172"/>
      <c r="RV76" s="172"/>
      <c r="RW76" s="172"/>
      <c r="RX76" s="172"/>
      <c r="RY76" s="172"/>
      <c r="RZ76" s="172"/>
      <c r="SA76" s="172"/>
      <c r="SB76" s="172"/>
      <c r="SC76" s="172"/>
      <c r="SD76" s="172"/>
      <c r="SE76" s="172"/>
      <c r="SF76" s="172"/>
      <c r="SG76" s="172"/>
      <c r="SH76" s="172"/>
      <c r="SI76" s="172"/>
      <c r="SJ76" s="172"/>
      <c r="SK76" s="172"/>
      <c r="SL76" s="172"/>
      <c r="SM76" s="172"/>
      <c r="SN76" s="172"/>
      <c r="SO76" s="172"/>
      <c r="SP76" s="172"/>
      <c r="SQ76" s="172"/>
      <c r="SR76" s="172"/>
      <c r="SS76" s="172"/>
      <c r="ST76" s="172"/>
      <c r="SU76" s="172"/>
      <c r="SV76" s="172"/>
      <c r="SW76" s="172"/>
      <c r="SX76" s="172"/>
      <c r="SY76" s="172"/>
      <c r="SZ76" s="172"/>
      <c r="TA76" s="172"/>
      <c r="TB76" s="172"/>
      <c r="TC76" s="172"/>
      <c r="TD76" s="172"/>
      <c r="TE76" s="172"/>
      <c r="TF76" s="172"/>
      <c r="TG76" s="172"/>
      <c r="TH76" s="172"/>
      <c r="TI76" s="172"/>
      <c r="TJ76" s="172"/>
      <c r="TK76" s="172"/>
      <c r="TL76" s="172"/>
      <c r="TM76" s="172"/>
      <c r="TN76" s="172"/>
      <c r="TO76" s="172"/>
      <c r="TP76" s="172"/>
      <c r="TQ76" s="172"/>
      <c r="TR76" s="172"/>
      <c r="TS76" s="172"/>
      <c r="TT76" s="172"/>
      <c r="TU76" s="172"/>
      <c r="TV76" s="172"/>
      <c r="TW76" s="172"/>
      <c r="TX76" s="172"/>
      <c r="TY76" s="172"/>
      <c r="TZ76" s="172"/>
      <c r="UA76" s="172"/>
      <c r="UB76" s="172"/>
      <c r="UC76" s="172"/>
      <c r="UD76" s="172"/>
      <c r="UE76" s="172"/>
      <c r="UF76" s="172"/>
      <c r="UG76" s="172"/>
      <c r="UH76" s="172"/>
      <c r="UI76" s="172"/>
      <c r="UJ76" s="172"/>
      <c r="UK76" s="172"/>
      <c r="UL76" s="172"/>
      <c r="UM76" s="172"/>
      <c r="UN76" s="172"/>
      <c r="UO76" s="172"/>
      <c r="UP76" s="172"/>
      <c r="UQ76" s="172"/>
      <c r="UR76" s="172"/>
      <c r="US76" s="172"/>
      <c r="UT76" s="172"/>
      <c r="UU76" s="172"/>
      <c r="UV76" s="172"/>
      <c r="UW76" s="172"/>
      <c r="UX76" s="172"/>
      <c r="UY76" s="172"/>
      <c r="UZ76" s="172"/>
      <c r="VA76" s="172"/>
      <c r="VB76" s="172"/>
      <c r="VC76" s="172"/>
      <c r="VD76" s="172"/>
      <c r="VE76" s="172"/>
      <c r="VF76" s="172"/>
      <c r="VG76" s="172"/>
      <c r="VH76" s="172"/>
      <c r="VI76" s="172"/>
      <c r="VJ76" s="172"/>
      <c r="VK76" s="172"/>
      <c r="VL76" s="172"/>
      <c r="VM76" s="172"/>
      <c r="VN76" s="172"/>
      <c r="VO76" s="172"/>
      <c r="VP76" s="172"/>
      <c r="VQ76" s="172"/>
      <c r="VR76" s="172"/>
      <c r="VS76" s="172"/>
      <c r="VT76" s="172"/>
      <c r="VU76" s="172"/>
      <c r="VV76" s="172"/>
      <c r="VW76" s="172"/>
      <c r="VX76" s="172"/>
      <c r="VY76" s="172"/>
      <c r="VZ76" s="172"/>
      <c r="WA76" s="172"/>
      <c r="WB76" s="172"/>
      <c r="WC76" s="172"/>
      <c r="WD76" s="172"/>
      <c r="WE76" s="172"/>
      <c r="WF76" s="172"/>
      <c r="WG76" s="172"/>
      <c r="WH76" s="172"/>
      <c r="WI76" s="172"/>
      <c r="WJ76" s="172"/>
      <c r="WK76" s="172"/>
      <c r="WL76" s="172"/>
      <c r="WM76" s="172"/>
      <c r="WN76" s="172"/>
      <c r="WO76" s="172"/>
      <c r="WP76" s="172"/>
      <c r="WQ76" s="172"/>
      <c r="WR76" s="172"/>
      <c r="WS76" s="172"/>
      <c r="WT76" s="172"/>
      <c r="WU76" s="172"/>
      <c r="WV76" s="172"/>
      <c r="WW76" s="172"/>
      <c r="WX76" s="172"/>
      <c r="WY76" s="172"/>
      <c r="WZ76" s="172"/>
      <c r="XA76" s="172"/>
      <c r="XB76" s="172"/>
      <c r="XC76" s="172"/>
      <c r="XD76" s="172"/>
      <c r="XE76" s="172"/>
      <c r="XF76" s="172"/>
      <c r="XG76" s="172"/>
      <c r="XH76" s="172"/>
      <c r="XI76" s="172"/>
      <c r="XJ76" s="172"/>
      <c r="XK76" s="172"/>
      <c r="XL76" s="172"/>
      <c r="XM76" s="172"/>
      <c r="XN76" s="172"/>
      <c r="XO76" s="172"/>
      <c r="XP76" s="172"/>
      <c r="XQ76" s="172"/>
      <c r="XR76" s="172"/>
      <c r="XS76" s="172"/>
      <c r="XT76" s="172"/>
      <c r="XU76" s="172"/>
      <c r="XV76" s="172"/>
      <c r="XW76" s="172"/>
      <c r="XX76" s="172"/>
      <c r="XY76" s="172"/>
      <c r="XZ76" s="172"/>
      <c r="YA76" s="172"/>
      <c r="YB76" s="172"/>
      <c r="YC76" s="172"/>
      <c r="YD76" s="172"/>
      <c r="YE76" s="172"/>
      <c r="YF76" s="172"/>
      <c r="YG76" s="172"/>
      <c r="YH76" s="172"/>
      <c r="YI76" s="172"/>
      <c r="YJ76" s="172"/>
      <c r="YK76" s="172"/>
      <c r="YL76" s="172"/>
      <c r="YM76" s="172"/>
      <c r="YN76" s="172"/>
      <c r="YO76" s="172"/>
      <c r="YP76" s="172"/>
      <c r="YQ76" s="172"/>
      <c r="YR76" s="172"/>
      <c r="YS76" s="172"/>
      <c r="YT76" s="172"/>
      <c r="YU76" s="172"/>
      <c r="YV76" s="172"/>
      <c r="YW76" s="172"/>
      <c r="YX76" s="172"/>
      <c r="YY76" s="172"/>
      <c r="YZ76" s="172"/>
      <c r="ZA76" s="172"/>
      <c r="ZB76" s="172"/>
      <c r="ZC76" s="172"/>
      <c r="ZD76" s="172"/>
      <c r="ZE76" s="172"/>
      <c r="ZF76" s="172"/>
      <c r="ZG76" s="172"/>
      <c r="ZH76" s="172"/>
      <c r="ZI76" s="172"/>
      <c r="ZJ76" s="172"/>
      <c r="ZK76" s="172"/>
      <c r="ZL76" s="172"/>
      <c r="ZM76" s="172"/>
      <c r="ZN76" s="172"/>
      <c r="ZO76" s="172"/>
      <c r="ZP76" s="172"/>
      <c r="ZQ76" s="172"/>
      <c r="ZR76" s="172"/>
      <c r="ZS76" s="172"/>
      <c r="ZT76" s="172"/>
      <c r="ZU76" s="172"/>
      <c r="ZV76" s="172"/>
      <c r="ZW76" s="172"/>
      <c r="ZX76" s="172"/>
      <c r="ZY76" s="172"/>
      <c r="ZZ76" s="172"/>
      <c r="AAA76" s="172"/>
      <c r="AAB76" s="172"/>
      <c r="AAC76" s="172"/>
      <c r="AAD76" s="172"/>
      <c r="AAE76" s="172"/>
      <c r="AAF76" s="172"/>
      <c r="AAG76" s="172"/>
      <c r="AAH76" s="172"/>
      <c r="AAI76" s="172"/>
      <c r="AAJ76" s="172"/>
      <c r="AAK76" s="172"/>
      <c r="AAL76" s="172"/>
      <c r="AAM76" s="172"/>
      <c r="AAN76" s="172"/>
      <c r="AAO76" s="172"/>
      <c r="AAP76" s="172"/>
      <c r="AAQ76" s="172"/>
      <c r="AAR76" s="172"/>
      <c r="AAS76" s="172"/>
      <c r="AAT76" s="172"/>
      <c r="AAU76" s="172"/>
      <c r="AAV76" s="172"/>
      <c r="AAW76" s="172"/>
      <c r="AAX76" s="172"/>
      <c r="AAY76" s="172"/>
      <c r="AAZ76" s="172"/>
      <c r="ABA76" s="172"/>
      <c r="ABB76" s="172"/>
      <c r="ABC76" s="172"/>
      <c r="ABD76" s="172"/>
      <c r="ABE76" s="172"/>
      <c r="ABF76" s="172"/>
      <c r="ABG76" s="172"/>
      <c r="ABH76" s="172"/>
      <c r="ABI76" s="172"/>
      <c r="ABJ76" s="172"/>
      <c r="ABK76" s="172"/>
      <c r="ABL76" s="172"/>
      <c r="ABM76" s="172"/>
      <c r="ABN76" s="172"/>
      <c r="ABO76" s="172"/>
      <c r="ABP76" s="172"/>
      <c r="ABQ76" s="172"/>
      <c r="ABR76" s="172"/>
      <c r="ABS76" s="172"/>
      <c r="ABT76" s="172"/>
      <c r="ABU76" s="172"/>
      <c r="ABV76" s="172"/>
      <c r="ABW76" s="172"/>
      <c r="ABX76" s="172"/>
      <c r="ABY76" s="172"/>
      <c r="ABZ76" s="172"/>
      <c r="ACA76" s="172"/>
      <c r="ACB76" s="172"/>
      <c r="ACC76" s="172"/>
      <c r="ACD76" s="172"/>
      <c r="ACE76" s="172"/>
      <c r="ACF76" s="172"/>
      <c r="ACG76" s="172"/>
      <c r="ACH76" s="172"/>
      <c r="ACI76" s="172"/>
      <c r="ACJ76" s="172"/>
      <c r="ACK76" s="172"/>
      <c r="ACL76" s="172"/>
      <c r="ACM76" s="172"/>
      <c r="ACN76" s="172"/>
      <c r="ACO76" s="172"/>
      <c r="ACP76" s="172"/>
      <c r="ACQ76" s="172"/>
      <c r="ACR76" s="172"/>
      <c r="ACS76" s="172"/>
      <c r="ACT76" s="172"/>
      <c r="ACU76" s="172"/>
      <c r="ACV76" s="172"/>
      <c r="ACW76" s="172"/>
      <c r="ACX76" s="172"/>
      <c r="ACY76" s="172"/>
      <c r="ACZ76" s="172"/>
      <c r="ADA76" s="172"/>
      <c r="ADB76" s="172"/>
      <c r="ADC76" s="172"/>
      <c r="ADD76" s="172"/>
      <c r="ADE76" s="172"/>
      <c r="ADF76" s="172"/>
      <c r="ADG76" s="172"/>
      <c r="ADH76" s="172"/>
      <c r="ADI76" s="172"/>
      <c r="ADJ76" s="172"/>
      <c r="ADK76" s="172"/>
      <c r="ADL76" s="172"/>
      <c r="ADM76" s="172"/>
      <c r="ADN76" s="172"/>
      <c r="ADO76" s="172"/>
      <c r="ADP76" s="172"/>
      <c r="ADQ76" s="172"/>
      <c r="ADR76" s="172"/>
      <c r="ADS76" s="172"/>
      <c r="ADT76" s="172"/>
      <c r="ADU76" s="172"/>
      <c r="ADV76" s="172"/>
      <c r="ADW76" s="172"/>
      <c r="ADX76" s="172"/>
      <c r="ADY76" s="172"/>
      <c r="ADZ76" s="172"/>
      <c r="AEA76" s="172"/>
      <c r="AEB76" s="172"/>
      <c r="AEC76" s="172"/>
      <c r="AED76" s="172"/>
      <c r="AEE76" s="172"/>
      <c r="AEF76" s="172"/>
      <c r="AEG76" s="172"/>
      <c r="AEH76" s="172"/>
      <c r="AEI76" s="172"/>
      <c r="AEJ76" s="172"/>
      <c r="AEK76" s="172"/>
      <c r="AEL76" s="172"/>
      <c r="AEM76" s="172"/>
      <c r="AEN76" s="172"/>
      <c r="AEO76" s="172"/>
      <c r="AEP76" s="172"/>
      <c r="AEQ76" s="172"/>
      <c r="AER76" s="172"/>
      <c r="AES76" s="172"/>
      <c r="AET76" s="172"/>
      <c r="AEU76" s="172"/>
      <c r="AEV76" s="172"/>
      <c r="AEW76" s="172"/>
      <c r="AEX76" s="172"/>
      <c r="AEY76" s="172"/>
      <c r="AEZ76" s="172"/>
      <c r="AFA76" s="172"/>
      <c r="AFB76" s="172"/>
      <c r="AFC76" s="172"/>
      <c r="AFD76" s="172"/>
      <c r="AFE76" s="172"/>
      <c r="AFF76" s="172"/>
      <c r="AFG76" s="172"/>
      <c r="AFH76" s="172"/>
      <c r="AFI76" s="172"/>
      <c r="AFJ76" s="172"/>
      <c r="AFK76" s="172"/>
      <c r="AFL76" s="172"/>
      <c r="AFM76" s="172"/>
      <c r="AFN76" s="172"/>
      <c r="AFO76" s="172"/>
      <c r="AFP76" s="172"/>
      <c r="AFQ76" s="172"/>
      <c r="AFR76" s="172"/>
      <c r="AFS76" s="172"/>
      <c r="AFT76" s="172"/>
      <c r="AFU76" s="172"/>
      <c r="AFV76" s="172"/>
      <c r="AFW76" s="172"/>
      <c r="AFX76" s="172"/>
      <c r="AFY76" s="172"/>
      <c r="AFZ76" s="172"/>
      <c r="AGA76" s="172"/>
      <c r="AGB76" s="172"/>
      <c r="AGC76" s="172"/>
      <c r="AGD76" s="172"/>
      <c r="AGE76" s="172"/>
      <c r="AGF76" s="172"/>
      <c r="AGG76" s="172"/>
      <c r="AGH76" s="172"/>
      <c r="AGI76" s="172"/>
      <c r="AGJ76" s="172"/>
      <c r="AGK76" s="172"/>
      <c r="AGL76" s="172"/>
      <c r="AGM76" s="172"/>
      <c r="AGN76" s="172"/>
      <c r="AGO76" s="172"/>
      <c r="AGP76" s="172"/>
      <c r="AGQ76" s="172"/>
      <c r="AGR76" s="172"/>
      <c r="AGS76" s="172"/>
      <c r="AGT76" s="172"/>
      <c r="AGU76" s="172"/>
      <c r="AGV76" s="172"/>
      <c r="AGW76" s="172"/>
      <c r="AGX76" s="172"/>
      <c r="AGY76" s="172"/>
      <c r="AGZ76" s="172"/>
      <c r="AHA76" s="172"/>
      <c r="AHB76" s="172"/>
      <c r="AHC76" s="172"/>
      <c r="AHD76" s="172"/>
      <c r="AHE76" s="172"/>
      <c r="AHF76" s="172"/>
      <c r="AHG76" s="172"/>
      <c r="AHH76" s="172"/>
      <c r="AHI76" s="172"/>
      <c r="AHJ76" s="172"/>
      <c r="AHK76" s="172"/>
      <c r="AHL76" s="172"/>
      <c r="AHM76" s="172"/>
      <c r="AHN76" s="172"/>
      <c r="AHO76" s="172"/>
      <c r="AHP76" s="172"/>
      <c r="AHQ76" s="172"/>
      <c r="AHR76" s="172"/>
      <c r="AHS76" s="172"/>
      <c r="AHT76" s="172"/>
      <c r="AHU76" s="172"/>
      <c r="AHV76" s="172"/>
      <c r="AHW76" s="172"/>
      <c r="AHX76" s="172"/>
      <c r="AHY76" s="172"/>
      <c r="AHZ76" s="172"/>
      <c r="AIA76" s="172"/>
      <c r="AIB76" s="172"/>
      <c r="AIC76" s="172"/>
      <c r="AID76" s="172"/>
      <c r="AIE76" s="172"/>
      <c r="AIF76" s="172"/>
      <c r="AIG76" s="172"/>
      <c r="AIH76" s="172"/>
      <c r="AII76" s="172"/>
      <c r="AIJ76" s="172"/>
      <c r="AIK76" s="172"/>
      <c r="AIL76" s="172"/>
      <c r="AIM76" s="172"/>
      <c r="AIN76" s="172"/>
      <c r="AIO76" s="172"/>
      <c r="AIP76" s="172"/>
      <c r="AIQ76" s="172"/>
      <c r="AIR76" s="172"/>
      <c r="AIS76" s="172"/>
      <c r="AIT76" s="172"/>
      <c r="AIU76" s="172"/>
      <c r="AIV76" s="172"/>
      <c r="AIW76" s="172"/>
      <c r="AIX76" s="172"/>
      <c r="AIY76" s="172"/>
      <c r="AIZ76" s="172"/>
      <c r="AJA76" s="172"/>
      <c r="AJB76" s="172"/>
      <c r="AJC76" s="172"/>
      <c r="AJD76" s="172"/>
      <c r="AJE76" s="172"/>
      <c r="AJF76" s="172"/>
      <c r="AJG76" s="172"/>
      <c r="AJH76" s="172"/>
      <c r="AJI76" s="172"/>
      <c r="AJJ76" s="172"/>
      <c r="AJK76" s="172"/>
      <c r="AJL76" s="172"/>
      <c r="AJM76" s="172"/>
      <c r="AJN76" s="172"/>
      <c r="AJO76" s="172"/>
      <c r="AJP76" s="172"/>
      <c r="AJQ76" s="172"/>
      <c r="AJR76" s="172"/>
      <c r="AJS76" s="172"/>
      <c r="AJT76" s="172"/>
      <c r="AJU76" s="172"/>
      <c r="AJV76" s="172"/>
      <c r="AJW76" s="172"/>
      <c r="AJX76" s="172"/>
      <c r="AJY76" s="172"/>
      <c r="AJZ76" s="172"/>
      <c r="AKA76" s="172"/>
      <c r="AKB76" s="172"/>
      <c r="AKC76" s="172"/>
      <c r="AKD76" s="172"/>
      <c r="AKE76" s="172"/>
      <c r="AKF76" s="172"/>
      <c r="AKG76" s="172"/>
      <c r="AKH76" s="172"/>
      <c r="AKI76" s="172"/>
      <c r="AKJ76" s="172"/>
      <c r="AKK76" s="172"/>
      <c r="AKL76" s="172"/>
      <c r="AKM76" s="172"/>
      <c r="AKN76" s="172"/>
      <c r="AKO76" s="172"/>
      <c r="AKP76" s="172"/>
      <c r="AKQ76" s="172"/>
      <c r="AKR76" s="172"/>
      <c r="AKS76" s="172"/>
      <c r="AKT76" s="172"/>
      <c r="AKU76" s="172"/>
      <c r="AKV76" s="172"/>
      <c r="AKW76" s="172"/>
      <c r="AKX76" s="172"/>
      <c r="AKY76" s="172"/>
      <c r="AKZ76" s="172"/>
      <c r="ALA76" s="172"/>
      <c r="ALB76" s="172"/>
      <c r="ALC76" s="172"/>
      <c r="ALD76" s="172"/>
      <c r="ALE76" s="172"/>
      <c r="ALF76" s="172"/>
      <c r="ALG76" s="172"/>
      <c r="ALH76" s="172"/>
      <c r="ALI76" s="172"/>
      <c r="ALJ76" s="172"/>
      <c r="ALK76" s="172"/>
      <c r="ALL76" s="172"/>
      <c r="ALM76" s="172"/>
      <c r="ALN76" s="172"/>
      <c r="ALO76" s="172"/>
      <c r="ALP76" s="172"/>
      <c r="ALQ76" s="172"/>
      <c r="ALR76" s="172"/>
      <c r="ALS76" s="172"/>
      <c r="ALT76" s="172"/>
      <c r="ALU76" s="172"/>
      <c r="ALV76" s="172"/>
      <c r="ALW76" s="172"/>
      <c r="ALX76" s="172"/>
      <c r="ALY76" s="172"/>
      <c r="ALZ76" s="172"/>
      <c r="AMA76" s="172"/>
      <c r="AMB76" s="172"/>
      <c r="AMC76" s="172"/>
      <c r="AMD76" s="172"/>
      <c r="AME76" s="172"/>
      <c r="AMF76" s="172"/>
      <c r="AMG76" s="172"/>
      <c r="AMH76" s="172"/>
      <c r="AMI76" s="172"/>
      <c r="AMJ76" s="172"/>
      <c r="AMK76" s="172"/>
      <c r="AML76" s="172"/>
      <c r="AMM76" s="172"/>
      <c r="AMN76" s="172"/>
      <c r="AMO76" s="172"/>
      <c r="AMP76" s="172"/>
      <c r="AMQ76" s="172"/>
      <c r="AMR76" s="172"/>
      <c r="AMS76" s="172"/>
      <c r="AMT76" s="172"/>
      <c r="AMU76" s="172"/>
      <c r="AMV76" s="172"/>
      <c r="AMW76" s="172"/>
      <c r="AMX76" s="172"/>
      <c r="AMY76" s="172"/>
      <c r="AMZ76" s="172"/>
      <c r="ANA76" s="172"/>
      <c r="ANB76" s="172"/>
      <c r="ANC76" s="172"/>
      <c r="AND76" s="172"/>
      <c r="ANE76" s="172"/>
      <c r="ANF76" s="172"/>
      <c r="ANG76" s="172"/>
      <c r="ANH76" s="172"/>
      <c r="ANI76" s="172"/>
      <c r="ANJ76" s="172"/>
      <c r="ANK76" s="172"/>
      <c r="ANL76" s="172"/>
      <c r="ANM76" s="172"/>
      <c r="ANN76" s="172"/>
      <c r="ANO76" s="172"/>
      <c r="ANP76" s="172"/>
      <c r="ANQ76" s="172"/>
      <c r="ANR76" s="172"/>
      <c r="ANS76" s="172"/>
      <c r="ANT76" s="172"/>
      <c r="ANU76" s="172"/>
      <c r="ANV76" s="172"/>
      <c r="ANW76" s="172"/>
      <c r="ANX76" s="172"/>
      <c r="ANY76" s="172"/>
      <c r="ANZ76" s="172"/>
      <c r="AOA76" s="172"/>
      <c r="AOB76" s="172"/>
      <c r="AOC76" s="172"/>
      <c r="AOD76" s="172"/>
      <c r="AOE76" s="172"/>
      <c r="AOF76" s="172"/>
      <c r="AOG76" s="172"/>
      <c r="AOH76" s="172"/>
      <c r="AOI76" s="172"/>
      <c r="AOJ76" s="172"/>
      <c r="AOK76" s="172"/>
      <c r="AOL76" s="172"/>
      <c r="AOM76" s="172"/>
      <c r="AON76" s="172"/>
      <c r="AOO76" s="172"/>
      <c r="AOP76" s="172"/>
      <c r="AOQ76" s="172"/>
      <c r="AOR76" s="172"/>
      <c r="AOS76" s="172"/>
      <c r="AOT76" s="172"/>
      <c r="AOU76" s="172"/>
      <c r="AOV76" s="172"/>
      <c r="AOW76" s="172"/>
      <c r="AOX76" s="172"/>
      <c r="AOY76" s="172"/>
      <c r="AOZ76" s="172"/>
      <c r="APA76" s="172"/>
      <c r="APB76" s="172"/>
      <c r="APC76" s="172"/>
      <c r="APD76" s="172"/>
      <c r="APE76" s="172"/>
      <c r="APF76" s="172"/>
      <c r="APG76" s="172"/>
      <c r="APH76" s="172"/>
      <c r="API76" s="172"/>
      <c r="APJ76" s="172"/>
      <c r="APK76" s="172"/>
      <c r="APL76" s="172"/>
      <c r="APM76" s="172"/>
      <c r="APN76" s="172"/>
      <c r="APO76" s="172"/>
      <c r="APP76" s="172"/>
      <c r="APQ76" s="172"/>
      <c r="APR76" s="172"/>
      <c r="APS76" s="172"/>
      <c r="APT76" s="172"/>
      <c r="APU76" s="172"/>
      <c r="APV76" s="172"/>
      <c r="APW76" s="172"/>
      <c r="APX76" s="172"/>
      <c r="APY76" s="172"/>
      <c r="APZ76" s="172"/>
      <c r="AQA76" s="172"/>
      <c r="AQB76" s="172"/>
      <c r="AQC76" s="172"/>
      <c r="AQD76" s="172"/>
      <c r="AQE76" s="172"/>
      <c r="AQF76" s="172"/>
      <c r="AQG76" s="172"/>
      <c r="AQH76" s="172"/>
      <c r="AQI76" s="172"/>
      <c r="AQJ76" s="172"/>
      <c r="AQK76" s="172"/>
      <c r="AQL76" s="172"/>
      <c r="AQM76" s="172"/>
      <c r="AQN76" s="172"/>
      <c r="AQO76" s="172"/>
      <c r="AQP76" s="172"/>
      <c r="AQQ76" s="172"/>
      <c r="AQR76" s="172"/>
      <c r="AQS76" s="172"/>
      <c r="AQT76" s="172"/>
      <c r="AQU76" s="172"/>
      <c r="AQV76" s="172"/>
      <c r="AQW76" s="172"/>
      <c r="AQX76" s="172"/>
      <c r="AQY76" s="172"/>
      <c r="AQZ76" s="172"/>
      <c r="ARA76" s="172"/>
      <c r="ARB76" s="172"/>
      <c r="ARC76" s="172"/>
      <c r="ARD76" s="172"/>
      <c r="ARE76" s="172"/>
      <c r="ARF76" s="172"/>
      <c r="ARG76" s="172"/>
      <c r="ARH76" s="172"/>
      <c r="ARI76" s="172"/>
      <c r="ARJ76" s="172"/>
      <c r="ARK76" s="172"/>
      <c r="ARL76" s="172"/>
      <c r="ARM76" s="172"/>
      <c r="ARN76" s="172"/>
      <c r="ARO76" s="172"/>
      <c r="ARP76" s="172"/>
      <c r="ARQ76" s="172"/>
      <c r="ARR76" s="172"/>
      <c r="ARS76" s="172"/>
      <c r="ART76" s="172"/>
      <c r="ARU76" s="172"/>
    </row>
    <row r="77" spans="1:1165" s="257" customFormat="1">
      <c r="A77" s="222" t="s">
        <v>205</v>
      </c>
      <c r="B77" s="195" t="s">
        <v>87</v>
      </c>
      <c r="C77" s="288">
        <v>0</v>
      </c>
      <c r="D77" s="288">
        <v>0</v>
      </c>
      <c r="E77" s="288">
        <v>0</v>
      </c>
      <c r="F77" s="288">
        <v>0</v>
      </c>
      <c r="G77" s="288">
        <v>0</v>
      </c>
      <c r="H77" s="288">
        <v>0</v>
      </c>
      <c r="I77" s="288">
        <v>0</v>
      </c>
      <c r="J77" s="288">
        <v>0</v>
      </c>
      <c r="K77" s="288">
        <v>0</v>
      </c>
      <c r="L77" s="288">
        <v>0</v>
      </c>
      <c r="M77" s="288">
        <v>0</v>
      </c>
      <c r="N77" s="288">
        <v>0</v>
      </c>
      <c r="O77" s="288">
        <v>0</v>
      </c>
      <c r="P77" s="288">
        <v>0</v>
      </c>
      <c r="Q77" s="288">
        <v>0</v>
      </c>
      <c r="R77" s="288">
        <v>0</v>
      </c>
      <c r="S77" s="288">
        <v>0</v>
      </c>
      <c r="T77" s="288">
        <v>0</v>
      </c>
      <c r="U77" s="288">
        <v>0</v>
      </c>
      <c r="V77" s="288">
        <v>0</v>
      </c>
      <c r="W77" s="288">
        <v>0</v>
      </c>
      <c r="X77" s="288">
        <v>0</v>
      </c>
      <c r="Y77" s="288">
        <v>0</v>
      </c>
      <c r="Z77" s="288">
        <v>0</v>
      </c>
      <c r="AA77" s="288">
        <v>0</v>
      </c>
      <c r="AB77" s="288">
        <v>0</v>
      </c>
      <c r="AC77" s="288">
        <v>0</v>
      </c>
      <c r="AD77" s="288">
        <v>0</v>
      </c>
      <c r="AE77" s="288">
        <v>0</v>
      </c>
      <c r="AF77" s="288">
        <v>0</v>
      </c>
      <c r="AG77" s="288">
        <v>0</v>
      </c>
      <c r="AH77" s="288">
        <v>0</v>
      </c>
      <c r="AI77" s="288">
        <v>25</v>
      </c>
      <c r="AJ77" s="288">
        <v>9016</v>
      </c>
      <c r="AK77" s="288">
        <v>0</v>
      </c>
      <c r="AL77" s="288">
        <v>0</v>
      </c>
      <c r="AM77" s="288">
        <v>0</v>
      </c>
      <c r="AN77" s="288">
        <v>0</v>
      </c>
      <c r="AO77" s="288">
        <v>884</v>
      </c>
      <c r="AP77" s="288">
        <v>544880</v>
      </c>
      <c r="AQ77" s="288">
        <v>100</v>
      </c>
      <c r="AR77" s="288">
        <v>50000</v>
      </c>
      <c r="AS77" s="288">
        <v>0</v>
      </c>
      <c r="AT77" s="288">
        <v>0</v>
      </c>
      <c r="AU77" s="288">
        <v>0</v>
      </c>
      <c r="AV77" s="288">
        <v>0</v>
      </c>
      <c r="AW77" s="258">
        <v>0</v>
      </c>
      <c r="AX77" s="258">
        <v>0</v>
      </c>
      <c r="AY77" s="258">
        <v>0</v>
      </c>
      <c r="AZ77" s="258">
        <v>0</v>
      </c>
      <c r="BA77" s="288"/>
      <c r="BB77" s="284"/>
      <c r="BC77" s="284"/>
      <c r="BD77" s="284"/>
      <c r="BE77" s="284"/>
      <c r="BF77" s="284"/>
      <c r="BG77" s="284"/>
      <c r="BH77" s="284"/>
      <c r="BI77" s="284"/>
      <c r="BJ77" s="284">
        <f t="shared" si="57"/>
        <v>1009</v>
      </c>
      <c r="BK77" s="258">
        <f t="shared" si="58"/>
        <v>603896</v>
      </c>
      <c r="BL77" s="172"/>
      <c r="BM77" s="13"/>
      <c r="BN77" s="172"/>
      <c r="BO77" s="231"/>
      <c r="BP77" s="231"/>
      <c r="BQ77" s="172"/>
      <c r="BR77" s="172"/>
      <c r="BS77" s="172"/>
      <c r="BT77" s="172"/>
      <c r="BU77" s="172"/>
      <c r="BV77" s="172"/>
      <c r="BW77" s="172"/>
      <c r="BX77" s="172"/>
      <c r="BY77" s="172"/>
      <c r="BZ77" s="172"/>
      <c r="CA77" s="172"/>
      <c r="CB77" s="172"/>
      <c r="CC77" s="172"/>
      <c r="CD77" s="172"/>
      <c r="CE77" s="172"/>
      <c r="CF77" s="172"/>
      <c r="CG77" s="172"/>
      <c r="CH77" s="172"/>
      <c r="CI77" s="172"/>
      <c r="CJ77" s="172"/>
      <c r="CK77" s="172"/>
      <c r="CL77" s="172"/>
      <c r="CM77" s="172"/>
      <c r="CN77" s="172"/>
      <c r="CO77" s="172"/>
      <c r="CP77" s="172"/>
      <c r="CQ77" s="172"/>
      <c r="CR77" s="172"/>
      <c r="CS77" s="172"/>
      <c r="CT77" s="172"/>
      <c r="CU77" s="172"/>
      <c r="CV77" s="172"/>
      <c r="CW77" s="172"/>
      <c r="CX77" s="172"/>
      <c r="CY77" s="172"/>
      <c r="CZ77" s="172"/>
      <c r="DA77" s="172"/>
      <c r="DB77" s="172"/>
      <c r="DC77" s="172"/>
      <c r="DD77" s="172"/>
      <c r="DE77" s="172"/>
      <c r="DF77" s="172"/>
      <c r="DG77" s="172"/>
      <c r="DH77" s="172"/>
      <c r="DI77" s="172"/>
      <c r="DJ77" s="172"/>
      <c r="DK77" s="172"/>
      <c r="DL77" s="172"/>
      <c r="DM77" s="172"/>
      <c r="DN77" s="172"/>
      <c r="DO77" s="172"/>
      <c r="DP77" s="172"/>
      <c r="DQ77" s="172"/>
      <c r="DR77" s="172"/>
      <c r="DS77" s="172"/>
      <c r="DT77" s="172"/>
      <c r="DU77" s="172"/>
      <c r="DV77" s="172"/>
      <c r="DW77" s="172"/>
      <c r="DX77" s="172"/>
      <c r="DY77" s="172"/>
      <c r="DZ77" s="172"/>
      <c r="EA77" s="172"/>
      <c r="EB77" s="172"/>
      <c r="EC77" s="172"/>
      <c r="ED77" s="172"/>
      <c r="EE77" s="172"/>
      <c r="EF77" s="172"/>
      <c r="EG77" s="172"/>
      <c r="EH77" s="172"/>
      <c r="EI77" s="172"/>
      <c r="EJ77" s="172"/>
      <c r="EK77" s="172"/>
      <c r="EL77" s="172"/>
      <c r="EM77" s="172"/>
      <c r="EN77" s="172"/>
      <c r="EO77" s="172"/>
      <c r="EP77" s="172"/>
      <c r="EQ77" s="172"/>
      <c r="ER77" s="172"/>
      <c r="ES77" s="172"/>
      <c r="ET77" s="172"/>
      <c r="EU77" s="172"/>
      <c r="EV77" s="172"/>
      <c r="EW77" s="172"/>
      <c r="EX77" s="172"/>
      <c r="EY77" s="172"/>
      <c r="EZ77" s="172"/>
      <c r="FA77" s="172"/>
      <c r="FB77" s="172"/>
      <c r="FC77" s="172"/>
      <c r="FD77" s="172"/>
      <c r="FE77" s="172"/>
      <c r="FF77" s="172"/>
      <c r="FG77" s="172"/>
      <c r="FH77" s="172"/>
      <c r="FI77" s="172"/>
      <c r="FJ77" s="172"/>
      <c r="FK77" s="172"/>
      <c r="FL77" s="172"/>
      <c r="FM77" s="172"/>
      <c r="FN77" s="172"/>
      <c r="FO77" s="172"/>
      <c r="FP77" s="172"/>
      <c r="FQ77" s="172"/>
      <c r="FR77" s="172"/>
      <c r="FS77" s="172"/>
      <c r="FT77" s="172"/>
      <c r="FU77" s="172"/>
      <c r="FV77" s="172"/>
      <c r="FW77" s="172"/>
      <c r="FX77" s="172"/>
      <c r="FY77" s="172"/>
      <c r="FZ77" s="172"/>
      <c r="GA77" s="172"/>
      <c r="GB77" s="172"/>
      <c r="GC77" s="172"/>
      <c r="GD77" s="172"/>
      <c r="GE77" s="172"/>
      <c r="GF77" s="172"/>
      <c r="GG77" s="172"/>
      <c r="GH77" s="172"/>
      <c r="GI77" s="172"/>
      <c r="GJ77" s="172"/>
      <c r="GK77" s="172"/>
      <c r="GL77" s="172"/>
      <c r="GM77" s="172"/>
      <c r="GN77" s="172"/>
      <c r="GO77" s="172"/>
      <c r="GP77" s="172"/>
      <c r="GQ77" s="172"/>
      <c r="GR77" s="172"/>
      <c r="GS77" s="172"/>
      <c r="GT77" s="172"/>
      <c r="GU77" s="172"/>
      <c r="GV77" s="172"/>
      <c r="GW77" s="172"/>
      <c r="GX77" s="172"/>
      <c r="GY77" s="172"/>
      <c r="GZ77" s="172"/>
      <c r="HA77" s="172"/>
      <c r="HB77" s="172"/>
      <c r="HC77" s="172"/>
      <c r="HD77" s="172"/>
      <c r="HE77" s="172"/>
      <c r="HF77" s="172"/>
      <c r="HG77" s="172"/>
      <c r="HH77" s="172"/>
      <c r="HI77" s="172"/>
      <c r="HJ77" s="172"/>
      <c r="HK77" s="172"/>
      <c r="HL77" s="172"/>
      <c r="HM77" s="172"/>
      <c r="HN77" s="172"/>
      <c r="HO77" s="172"/>
      <c r="HP77" s="172"/>
      <c r="HQ77" s="172"/>
      <c r="HR77" s="172"/>
      <c r="HS77" s="172"/>
      <c r="HT77" s="172"/>
      <c r="HU77" s="172"/>
      <c r="HV77" s="172"/>
      <c r="HW77" s="172"/>
      <c r="HX77" s="172"/>
      <c r="HY77" s="172"/>
      <c r="HZ77" s="172"/>
      <c r="IA77" s="172"/>
      <c r="IB77" s="172"/>
      <c r="IC77" s="172"/>
      <c r="ID77" s="172"/>
      <c r="IE77" s="172"/>
      <c r="IF77" s="172"/>
      <c r="IG77" s="172"/>
      <c r="IH77" s="172"/>
      <c r="II77" s="172"/>
      <c r="IJ77" s="172"/>
      <c r="IK77" s="172"/>
      <c r="IL77" s="172"/>
      <c r="IM77" s="172"/>
      <c r="IN77" s="172"/>
      <c r="IO77" s="172"/>
      <c r="IP77" s="172"/>
      <c r="IQ77" s="172"/>
      <c r="IR77" s="172"/>
      <c r="IS77" s="172"/>
      <c r="IT77" s="172"/>
      <c r="IU77" s="172"/>
      <c r="IV77" s="172"/>
      <c r="IW77" s="172"/>
      <c r="IX77" s="172"/>
      <c r="IY77" s="172"/>
      <c r="IZ77" s="172"/>
      <c r="JA77" s="172"/>
      <c r="JB77" s="172"/>
      <c r="JC77" s="172"/>
      <c r="JD77" s="172"/>
      <c r="JE77" s="172"/>
      <c r="JF77" s="172"/>
      <c r="JG77" s="172"/>
      <c r="JH77" s="172"/>
      <c r="JI77" s="172"/>
      <c r="JJ77" s="172"/>
      <c r="JK77" s="172"/>
      <c r="JL77" s="172"/>
      <c r="JM77" s="172"/>
      <c r="JN77" s="172"/>
      <c r="JO77" s="172"/>
      <c r="JP77" s="172"/>
      <c r="JQ77" s="172"/>
      <c r="JR77" s="172"/>
      <c r="JS77" s="172"/>
      <c r="JT77" s="172"/>
      <c r="JU77" s="172"/>
      <c r="JV77" s="172"/>
      <c r="JW77" s="172"/>
      <c r="JX77" s="172"/>
      <c r="JY77" s="172"/>
      <c r="JZ77" s="172"/>
      <c r="KA77" s="172"/>
      <c r="KB77" s="172"/>
      <c r="KC77" s="172"/>
      <c r="KD77" s="172"/>
      <c r="KE77" s="172"/>
      <c r="KF77" s="172"/>
      <c r="KG77" s="172"/>
      <c r="KH77" s="172"/>
      <c r="KI77" s="172"/>
      <c r="KJ77" s="172"/>
      <c r="KK77" s="172"/>
      <c r="KL77" s="172"/>
      <c r="KM77" s="172"/>
      <c r="KN77" s="172"/>
      <c r="KO77" s="172"/>
      <c r="KP77" s="172"/>
      <c r="KQ77" s="172"/>
      <c r="KR77" s="172"/>
      <c r="KS77" s="172"/>
      <c r="KT77" s="172"/>
      <c r="KU77" s="172"/>
      <c r="KV77" s="172"/>
      <c r="KW77" s="172"/>
      <c r="KX77" s="172"/>
      <c r="KY77" s="172"/>
      <c r="KZ77" s="172"/>
      <c r="LA77" s="172"/>
      <c r="LB77" s="172"/>
      <c r="LC77" s="172"/>
      <c r="LD77" s="172"/>
      <c r="LE77" s="172"/>
      <c r="LF77" s="172"/>
      <c r="LG77" s="172"/>
      <c r="LH77" s="172"/>
      <c r="LI77" s="172"/>
      <c r="LJ77" s="172"/>
      <c r="LK77" s="172"/>
      <c r="LL77" s="172"/>
      <c r="LM77" s="172"/>
      <c r="LN77" s="172"/>
      <c r="LO77" s="172"/>
      <c r="LP77" s="172"/>
      <c r="LQ77" s="172"/>
      <c r="LR77" s="172"/>
      <c r="LS77" s="172"/>
      <c r="LT77" s="172"/>
      <c r="LU77" s="172"/>
      <c r="LV77" s="172"/>
      <c r="LW77" s="172"/>
      <c r="LX77" s="172"/>
      <c r="LY77" s="172"/>
      <c r="LZ77" s="172"/>
      <c r="MA77" s="172"/>
      <c r="MB77" s="172"/>
      <c r="MC77" s="172"/>
      <c r="MD77" s="172"/>
      <c r="ME77" s="172"/>
      <c r="MF77" s="172"/>
      <c r="MG77" s="172"/>
      <c r="MH77" s="172"/>
      <c r="MI77" s="172"/>
      <c r="MJ77" s="172"/>
      <c r="MK77" s="172"/>
      <c r="ML77" s="172"/>
      <c r="MM77" s="172"/>
      <c r="MN77" s="172"/>
      <c r="MO77" s="172"/>
      <c r="MP77" s="172"/>
      <c r="MQ77" s="172"/>
      <c r="MR77" s="172"/>
      <c r="MS77" s="172"/>
      <c r="MT77" s="172"/>
      <c r="MU77" s="172"/>
      <c r="MV77" s="172"/>
      <c r="MW77" s="172"/>
      <c r="MX77" s="172"/>
      <c r="MY77" s="172"/>
      <c r="MZ77" s="172"/>
      <c r="NA77" s="172"/>
      <c r="NB77" s="172"/>
      <c r="NC77" s="172"/>
      <c r="ND77" s="172"/>
      <c r="NE77" s="172"/>
      <c r="NF77" s="172"/>
      <c r="NG77" s="172"/>
      <c r="NH77" s="172"/>
      <c r="NI77" s="172"/>
      <c r="NJ77" s="172"/>
      <c r="NK77" s="172"/>
      <c r="NL77" s="172"/>
      <c r="NM77" s="172"/>
      <c r="NN77" s="172"/>
      <c r="NO77" s="172"/>
      <c r="NP77" s="172"/>
      <c r="NQ77" s="172"/>
      <c r="NR77" s="172"/>
      <c r="NS77" s="172"/>
      <c r="NT77" s="172"/>
      <c r="NU77" s="172"/>
      <c r="NV77" s="172"/>
      <c r="NW77" s="172"/>
      <c r="NX77" s="172"/>
      <c r="NY77" s="172"/>
      <c r="NZ77" s="172"/>
      <c r="OA77" s="172"/>
      <c r="OB77" s="172"/>
      <c r="OC77" s="172"/>
      <c r="OD77" s="172"/>
      <c r="OE77" s="172"/>
      <c r="OF77" s="172"/>
      <c r="OG77" s="172"/>
      <c r="OH77" s="172"/>
      <c r="OI77" s="172"/>
      <c r="OJ77" s="172"/>
      <c r="OK77" s="172"/>
      <c r="OL77" s="172"/>
      <c r="OM77" s="172"/>
      <c r="ON77" s="172"/>
      <c r="OO77" s="172"/>
      <c r="OP77" s="172"/>
      <c r="OQ77" s="172"/>
      <c r="OR77" s="172"/>
      <c r="OS77" s="172"/>
      <c r="OT77" s="172"/>
      <c r="OU77" s="172"/>
      <c r="OV77" s="172"/>
      <c r="OW77" s="172"/>
      <c r="OX77" s="172"/>
      <c r="OY77" s="172"/>
      <c r="OZ77" s="172"/>
      <c r="PA77" s="172"/>
      <c r="PB77" s="172"/>
      <c r="PC77" s="172"/>
      <c r="PD77" s="172"/>
      <c r="PE77" s="172"/>
      <c r="PF77" s="172"/>
      <c r="PG77" s="172"/>
      <c r="PH77" s="172"/>
      <c r="PI77" s="172"/>
      <c r="PJ77" s="172"/>
      <c r="PK77" s="172"/>
      <c r="PL77" s="172"/>
      <c r="PM77" s="172"/>
      <c r="PN77" s="172"/>
      <c r="PO77" s="172"/>
      <c r="PP77" s="172"/>
      <c r="PQ77" s="172"/>
      <c r="PR77" s="172"/>
      <c r="PS77" s="172"/>
      <c r="PT77" s="172"/>
      <c r="PU77" s="172"/>
      <c r="PV77" s="172"/>
      <c r="PW77" s="172"/>
      <c r="PX77" s="172"/>
      <c r="PY77" s="172"/>
      <c r="PZ77" s="172"/>
      <c r="QA77" s="172"/>
      <c r="QB77" s="172"/>
      <c r="QC77" s="172"/>
      <c r="QD77" s="172"/>
      <c r="QE77" s="172"/>
      <c r="QF77" s="172"/>
      <c r="QG77" s="172"/>
      <c r="QH77" s="172"/>
      <c r="QI77" s="172"/>
      <c r="QJ77" s="172"/>
      <c r="QK77" s="172"/>
      <c r="QL77" s="172"/>
      <c r="QM77" s="172"/>
      <c r="QN77" s="172"/>
      <c r="QO77" s="172"/>
      <c r="QP77" s="172"/>
      <c r="QQ77" s="172"/>
      <c r="QR77" s="172"/>
      <c r="QS77" s="172"/>
      <c r="QT77" s="172"/>
      <c r="QU77" s="172"/>
      <c r="QV77" s="172"/>
      <c r="QW77" s="172"/>
      <c r="QX77" s="172"/>
      <c r="QY77" s="172"/>
      <c r="QZ77" s="172"/>
      <c r="RA77" s="172"/>
      <c r="RB77" s="172"/>
      <c r="RC77" s="172"/>
      <c r="RD77" s="172"/>
      <c r="RE77" s="172"/>
      <c r="RF77" s="172"/>
      <c r="RG77" s="172"/>
      <c r="RH77" s="172"/>
      <c r="RI77" s="172"/>
      <c r="RJ77" s="172"/>
      <c r="RK77" s="172"/>
      <c r="RL77" s="172"/>
      <c r="RM77" s="172"/>
      <c r="RN77" s="172"/>
      <c r="RO77" s="172"/>
      <c r="RP77" s="172"/>
      <c r="RQ77" s="172"/>
      <c r="RR77" s="172"/>
      <c r="RS77" s="172"/>
      <c r="RT77" s="172"/>
      <c r="RU77" s="172"/>
      <c r="RV77" s="172"/>
      <c r="RW77" s="172"/>
      <c r="RX77" s="172"/>
      <c r="RY77" s="172"/>
      <c r="RZ77" s="172"/>
      <c r="SA77" s="172"/>
      <c r="SB77" s="172"/>
      <c r="SC77" s="172"/>
      <c r="SD77" s="172"/>
      <c r="SE77" s="172"/>
      <c r="SF77" s="172"/>
      <c r="SG77" s="172"/>
      <c r="SH77" s="172"/>
      <c r="SI77" s="172"/>
      <c r="SJ77" s="172"/>
      <c r="SK77" s="172"/>
      <c r="SL77" s="172"/>
      <c r="SM77" s="172"/>
      <c r="SN77" s="172"/>
      <c r="SO77" s="172"/>
      <c r="SP77" s="172"/>
      <c r="SQ77" s="172"/>
      <c r="SR77" s="172"/>
      <c r="SS77" s="172"/>
      <c r="ST77" s="172"/>
      <c r="SU77" s="172"/>
      <c r="SV77" s="172"/>
      <c r="SW77" s="172"/>
      <c r="SX77" s="172"/>
      <c r="SY77" s="172"/>
      <c r="SZ77" s="172"/>
      <c r="TA77" s="172"/>
      <c r="TB77" s="172"/>
      <c r="TC77" s="172"/>
      <c r="TD77" s="172"/>
      <c r="TE77" s="172"/>
      <c r="TF77" s="172"/>
      <c r="TG77" s="172"/>
      <c r="TH77" s="172"/>
      <c r="TI77" s="172"/>
      <c r="TJ77" s="172"/>
      <c r="TK77" s="172"/>
      <c r="TL77" s="172"/>
      <c r="TM77" s="172"/>
      <c r="TN77" s="172"/>
      <c r="TO77" s="172"/>
      <c r="TP77" s="172"/>
      <c r="TQ77" s="172"/>
      <c r="TR77" s="172"/>
      <c r="TS77" s="172"/>
      <c r="TT77" s="172"/>
      <c r="TU77" s="172"/>
      <c r="TV77" s="172"/>
      <c r="TW77" s="172"/>
      <c r="TX77" s="172"/>
      <c r="TY77" s="172"/>
      <c r="TZ77" s="172"/>
      <c r="UA77" s="172"/>
      <c r="UB77" s="172"/>
      <c r="UC77" s="172"/>
      <c r="UD77" s="172"/>
      <c r="UE77" s="172"/>
      <c r="UF77" s="172"/>
      <c r="UG77" s="172"/>
      <c r="UH77" s="172"/>
      <c r="UI77" s="172"/>
      <c r="UJ77" s="172"/>
      <c r="UK77" s="172"/>
      <c r="UL77" s="172"/>
      <c r="UM77" s="172"/>
      <c r="UN77" s="172"/>
      <c r="UO77" s="172"/>
      <c r="UP77" s="172"/>
      <c r="UQ77" s="172"/>
      <c r="UR77" s="172"/>
      <c r="US77" s="172"/>
      <c r="UT77" s="172"/>
      <c r="UU77" s="172"/>
      <c r="UV77" s="172"/>
      <c r="UW77" s="172"/>
      <c r="UX77" s="172"/>
      <c r="UY77" s="172"/>
      <c r="UZ77" s="172"/>
      <c r="VA77" s="172"/>
      <c r="VB77" s="172"/>
      <c r="VC77" s="172"/>
      <c r="VD77" s="172"/>
      <c r="VE77" s="172"/>
      <c r="VF77" s="172"/>
      <c r="VG77" s="172"/>
      <c r="VH77" s="172"/>
      <c r="VI77" s="172"/>
      <c r="VJ77" s="172"/>
      <c r="VK77" s="172"/>
      <c r="VL77" s="172"/>
      <c r="VM77" s="172"/>
      <c r="VN77" s="172"/>
      <c r="VO77" s="172"/>
      <c r="VP77" s="172"/>
      <c r="VQ77" s="172"/>
      <c r="VR77" s="172"/>
      <c r="VS77" s="172"/>
      <c r="VT77" s="172"/>
      <c r="VU77" s="172"/>
      <c r="VV77" s="172"/>
      <c r="VW77" s="172"/>
      <c r="VX77" s="172"/>
      <c r="VY77" s="172"/>
      <c r="VZ77" s="172"/>
      <c r="WA77" s="172"/>
      <c r="WB77" s="172"/>
      <c r="WC77" s="172"/>
      <c r="WD77" s="172"/>
      <c r="WE77" s="172"/>
      <c r="WF77" s="172"/>
      <c r="WG77" s="172"/>
      <c r="WH77" s="172"/>
      <c r="WI77" s="172"/>
      <c r="WJ77" s="172"/>
      <c r="WK77" s="172"/>
      <c r="WL77" s="172"/>
      <c r="WM77" s="172"/>
      <c r="WN77" s="172"/>
      <c r="WO77" s="172"/>
      <c r="WP77" s="172"/>
      <c r="WQ77" s="172"/>
      <c r="WR77" s="172"/>
      <c r="WS77" s="172"/>
      <c r="WT77" s="172"/>
      <c r="WU77" s="172"/>
      <c r="WV77" s="172"/>
      <c r="WW77" s="172"/>
      <c r="WX77" s="172"/>
      <c r="WY77" s="172"/>
      <c r="WZ77" s="172"/>
      <c r="XA77" s="172"/>
      <c r="XB77" s="172"/>
      <c r="XC77" s="172"/>
      <c r="XD77" s="172"/>
      <c r="XE77" s="172"/>
      <c r="XF77" s="172"/>
      <c r="XG77" s="172"/>
      <c r="XH77" s="172"/>
      <c r="XI77" s="172"/>
      <c r="XJ77" s="172"/>
      <c r="XK77" s="172"/>
      <c r="XL77" s="172"/>
      <c r="XM77" s="172"/>
      <c r="XN77" s="172"/>
      <c r="XO77" s="172"/>
      <c r="XP77" s="172"/>
      <c r="XQ77" s="172"/>
      <c r="XR77" s="172"/>
      <c r="XS77" s="172"/>
      <c r="XT77" s="172"/>
      <c r="XU77" s="172"/>
      <c r="XV77" s="172"/>
      <c r="XW77" s="172"/>
      <c r="XX77" s="172"/>
      <c r="XY77" s="172"/>
      <c r="XZ77" s="172"/>
      <c r="YA77" s="172"/>
      <c r="YB77" s="172"/>
      <c r="YC77" s="172"/>
      <c r="YD77" s="172"/>
      <c r="YE77" s="172"/>
      <c r="YF77" s="172"/>
      <c r="YG77" s="172"/>
      <c r="YH77" s="172"/>
      <c r="YI77" s="172"/>
      <c r="YJ77" s="172"/>
      <c r="YK77" s="172"/>
      <c r="YL77" s="172"/>
      <c r="YM77" s="172"/>
      <c r="YN77" s="172"/>
      <c r="YO77" s="172"/>
      <c r="YP77" s="172"/>
      <c r="YQ77" s="172"/>
      <c r="YR77" s="172"/>
      <c r="YS77" s="172"/>
      <c r="YT77" s="172"/>
      <c r="YU77" s="172"/>
      <c r="YV77" s="172"/>
      <c r="YW77" s="172"/>
      <c r="YX77" s="172"/>
      <c r="YY77" s="172"/>
      <c r="YZ77" s="172"/>
      <c r="ZA77" s="172"/>
      <c r="ZB77" s="172"/>
      <c r="ZC77" s="172"/>
      <c r="ZD77" s="172"/>
      <c r="ZE77" s="172"/>
      <c r="ZF77" s="172"/>
      <c r="ZG77" s="172"/>
      <c r="ZH77" s="172"/>
      <c r="ZI77" s="172"/>
      <c r="ZJ77" s="172"/>
      <c r="ZK77" s="172"/>
      <c r="ZL77" s="172"/>
      <c r="ZM77" s="172"/>
      <c r="ZN77" s="172"/>
      <c r="ZO77" s="172"/>
      <c r="ZP77" s="172"/>
      <c r="ZQ77" s="172"/>
      <c r="ZR77" s="172"/>
      <c r="ZS77" s="172"/>
      <c r="ZT77" s="172"/>
      <c r="ZU77" s="172"/>
      <c r="ZV77" s="172"/>
      <c r="ZW77" s="172"/>
      <c r="ZX77" s="172"/>
      <c r="ZY77" s="172"/>
      <c r="ZZ77" s="172"/>
      <c r="AAA77" s="172"/>
      <c r="AAB77" s="172"/>
      <c r="AAC77" s="172"/>
      <c r="AAD77" s="172"/>
      <c r="AAE77" s="172"/>
      <c r="AAF77" s="172"/>
      <c r="AAG77" s="172"/>
      <c r="AAH77" s="172"/>
      <c r="AAI77" s="172"/>
      <c r="AAJ77" s="172"/>
      <c r="AAK77" s="172"/>
      <c r="AAL77" s="172"/>
      <c r="AAM77" s="172"/>
      <c r="AAN77" s="172"/>
      <c r="AAO77" s="172"/>
      <c r="AAP77" s="172"/>
      <c r="AAQ77" s="172"/>
      <c r="AAR77" s="172"/>
      <c r="AAS77" s="172"/>
      <c r="AAT77" s="172"/>
      <c r="AAU77" s="172"/>
      <c r="AAV77" s="172"/>
      <c r="AAW77" s="172"/>
      <c r="AAX77" s="172"/>
      <c r="AAY77" s="172"/>
      <c r="AAZ77" s="172"/>
      <c r="ABA77" s="172"/>
      <c r="ABB77" s="172"/>
      <c r="ABC77" s="172"/>
      <c r="ABD77" s="172"/>
      <c r="ABE77" s="172"/>
      <c r="ABF77" s="172"/>
      <c r="ABG77" s="172"/>
      <c r="ABH77" s="172"/>
      <c r="ABI77" s="172"/>
      <c r="ABJ77" s="172"/>
      <c r="ABK77" s="172"/>
      <c r="ABL77" s="172"/>
      <c r="ABM77" s="172"/>
      <c r="ABN77" s="172"/>
      <c r="ABO77" s="172"/>
      <c r="ABP77" s="172"/>
      <c r="ABQ77" s="172"/>
      <c r="ABR77" s="172"/>
      <c r="ABS77" s="172"/>
      <c r="ABT77" s="172"/>
      <c r="ABU77" s="172"/>
      <c r="ABV77" s="172"/>
      <c r="ABW77" s="172"/>
      <c r="ABX77" s="172"/>
      <c r="ABY77" s="172"/>
      <c r="ABZ77" s="172"/>
      <c r="ACA77" s="172"/>
      <c r="ACB77" s="172"/>
      <c r="ACC77" s="172"/>
      <c r="ACD77" s="172"/>
      <c r="ACE77" s="172"/>
      <c r="ACF77" s="172"/>
      <c r="ACG77" s="172"/>
      <c r="ACH77" s="172"/>
      <c r="ACI77" s="172"/>
      <c r="ACJ77" s="172"/>
      <c r="ACK77" s="172"/>
      <c r="ACL77" s="172"/>
      <c r="ACM77" s="172"/>
      <c r="ACN77" s="172"/>
      <c r="ACO77" s="172"/>
      <c r="ACP77" s="172"/>
      <c r="ACQ77" s="172"/>
      <c r="ACR77" s="172"/>
      <c r="ACS77" s="172"/>
      <c r="ACT77" s="172"/>
      <c r="ACU77" s="172"/>
      <c r="ACV77" s="172"/>
      <c r="ACW77" s="172"/>
      <c r="ACX77" s="172"/>
      <c r="ACY77" s="172"/>
      <c r="ACZ77" s="172"/>
      <c r="ADA77" s="172"/>
      <c r="ADB77" s="172"/>
      <c r="ADC77" s="172"/>
      <c r="ADD77" s="172"/>
      <c r="ADE77" s="172"/>
      <c r="ADF77" s="172"/>
      <c r="ADG77" s="172"/>
      <c r="ADH77" s="172"/>
      <c r="ADI77" s="172"/>
      <c r="ADJ77" s="172"/>
      <c r="ADK77" s="172"/>
      <c r="ADL77" s="172"/>
      <c r="ADM77" s="172"/>
      <c r="ADN77" s="172"/>
      <c r="ADO77" s="172"/>
      <c r="ADP77" s="172"/>
      <c r="ADQ77" s="172"/>
      <c r="ADR77" s="172"/>
      <c r="ADS77" s="172"/>
      <c r="ADT77" s="172"/>
      <c r="ADU77" s="172"/>
      <c r="ADV77" s="172"/>
      <c r="ADW77" s="172"/>
      <c r="ADX77" s="172"/>
      <c r="ADY77" s="172"/>
      <c r="ADZ77" s="172"/>
      <c r="AEA77" s="172"/>
      <c r="AEB77" s="172"/>
      <c r="AEC77" s="172"/>
      <c r="AED77" s="172"/>
      <c r="AEE77" s="172"/>
      <c r="AEF77" s="172"/>
      <c r="AEG77" s="172"/>
      <c r="AEH77" s="172"/>
      <c r="AEI77" s="172"/>
      <c r="AEJ77" s="172"/>
      <c r="AEK77" s="172"/>
      <c r="AEL77" s="172"/>
      <c r="AEM77" s="172"/>
      <c r="AEN77" s="172"/>
      <c r="AEO77" s="172"/>
      <c r="AEP77" s="172"/>
      <c r="AEQ77" s="172"/>
      <c r="AER77" s="172"/>
      <c r="AES77" s="172"/>
      <c r="AET77" s="172"/>
      <c r="AEU77" s="172"/>
      <c r="AEV77" s="172"/>
      <c r="AEW77" s="172"/>
      <c r="AEX77" s="172"/>
      <c r="AEY77" s="172"/>
      <c r="AEZ77" s="172"/>
      <c r="AFA77" s="172"/>
      <c r="AFB77" s="172"/>
      <c r="AFC77" s="172"/>
      <c r="AFD77" s="172"/>
      <c r="AFE77" s="172"/>
      <c r="AFF77" s="172"/>
      <c r="AFG77" s="172"/>
      <c r="AFH77" s="172"/>
      <c r="AFI77" s="172"/>
      <c r="AFJ77" s="172"/>
      <c r="AFK77" s="172"/>
      <c r="AFL77" s="172"/>
      <c r="AFM77" s="172"/>
      <c r="AFN77" s="172"/>
      <c r="AFO77" s="172"/>
      <c r="AFP77" s="172"/>
      <c r="AFQ77" s="172"/>
      <c r="AFR77" s="172"/>
      <c r="AFS77" s="172"/>
      <c r="AFT77" s="172"/>
      <c r="AFU77" s="172"/>
      <c r="AFV77" s="172"/>
      <c r="AFW77" s="172"/>
      <c r="AFX77" s="172"/>
      <c r="AFY77" s="172"/>
      <c r="AFZ77" s="172"/>
      <c r="AGA77" s="172"/>
      <c r="AGB77" s="172"/>
      <c r="AGC77" s="172"/>
      <c r="AGD77" s="172"/>
      <c r="AGE77" s="172"/>
      <c r="AGF77" s="172"/>
      <c r="AGG77" s="172"/>
      <c r="AGH77" s="172"/>
      <c r="AGI77" s="172"/>
      <c r="AGJ77" s="172"/>
      <c r="AGK77" s="172"/>
      <c r="AGL77" s="172"/>
      <c r="AGM77" s="172"/>
      <c r="AGN77" s="172"/>
      <c r="AGO77" s="172"/>
      <c r="AGP77" s="172"/>
      <c r="AGQ77" s="172"/>
      <c r="AGR77" s="172"/>
      <c r="AGS77" s="172"/>
      <c r="AGT77" s="172"/>
      <c r="AGU77" s="172"/>
      <c r="AGV77" s="172"/>
      <c r="AGW77" s="172"/>
      <c r="AGX77" s="172"/>
      <c r="AGY77" s="172"/>
      <c r="AGZ77" s="172"/>
      <c r="AHA77" s="172"/>
      <c r="AHB77" s="172"/>
      <c r="AHC77" s="172"/>
      <c r="AHD77" s="172"/>
      <c r="AHE77" s="172"/>
      <c r="AHF77" s="172"/>
      <c r="AHG77" s="172"/>
      <c r="AHH77" s="172"/>
      <c r="AHI77" s="172"/>
      <c r="AHJ77" s="172"/>
      <c r="AHK77" s="172"/>
      <c r="AHL77" s="172"/>
      <c r="AHM77" s="172"/>
      <c r="AHN77" s="172"/>
      <c r="AHO77" s="172"/>
      <c r="AHP77" s="172"/>
      <c r="AHQ77" s="172"/>
      <c r="AHR77" s="172"/>
      <c r="AHS77" s="172"/>
      <c r="AHT77" s="172"/>
      <c r="AHU77" s="172"/>
      <c r="AHV77" s="172"/>
      <c r="AHW77" s="172"/>
      <c r="AHX77" s="172"/>
      <c r="AHY77" s="172"/>
      <c r="AHZ77" s="172"/>
      <c r="AIA77" s="172"/>
      <c r="AIB77" s="172"/>
      <c r="AIC77" s="172"/>
      <c r="AID77" s="172"/>
      <c r="AIE77" s="172"/>
      <c r="AIF77" s="172"/>
      <c r="AIG77" s="172"/>
      <c r="AIH77" s="172"/>
      <c r="AII77" s="172"/>
      <c r="AIJ77" s="172"/>
      <c r="AIK77" s="172"/>
      <c r="AIL77" s="172"/>
      <c r="AIM77" s="172"/>
      <c r="AIN77" s="172"/>
      <c r="AIO77" s="172"/>
      <c r="AIP77" s="172"/>
      <c r="AIQ77" s="172"/>
      <c r="AIR77" s="172"/>
      <c r="AIS77" s="172"/>
      <c r="AIT77" s="172"/>
      <c r="AIU77" s="172"/>
      <c r="AIV77" s="172"/>
      <c r="AIW77" s="172"/>
      <c r="AIX77" s="172"/>
      <c r="AIY77" s="172"/>
      <c r="AIZ77" s="172"/>
      <c r="AJA77" s="172"/>
      <c r="AJB77" s="172"/>
      <c r="AJC77" s="172"/>
      <c r="AJD77" s="172"/>
      <c r="AJE77" s="172"/>
      <c r="AJF77" s="172"/>
      <c r="AJG77" s="172"/>
      <c r="AJH77" s="172"/>
      <c r="AJI77" s="172"/>
      <c r="AJJ77" s="172"/>
      <c r="AJK77" s="172"/>
      <c r="AJL77" s="172"/>
      <c r="AJM77" s="172"/>
      <c r="AJN77" s="172"/>
      <c r="AJO77" s="172"/>
      <c r="AJP77" s="172"/>
      <c r="AJQ77" s="172"/>
      <c r="AJR77" s="172"/>
      <c r="AJS77" s="172"/>
      <c r="AJT77" s="172"/>
      <c r="AJU77" s="172"/>
      <c r="AJV77" s="172"/>
      <c r="AJW77" s="172"/>
      <c r="AJX77" s="172"/>
      <c r="AJY77" s="172"/>
      <c r="AJZ77" s="172"/>
      <c r="AKA77" s="172"/>
      <c r="AKB77" s="172"/>
      <c r="AKC77" s="172"/>
      <c r="AKD77" s="172"/>
      <c r="AKE77" s="172"/>
      <c r="AKF77" s="172"/>
      <c r="AKG77" s="172"/>
      <c r="AKH77" s="172"/>
      <c r="AKI77" s="172"/>
      <c r="AKJ77" s="172"/>
      <c r="AKK77" s="172"/>
      <c r="AKL77" s="172"/>
      <c r="AKM77" s="172"/>
      <c r="AKN77" s="172"/>
      <c r="AKO77" s="172"/>
      <c r="AKP77" s="172"/>
      <c r="AKQ77" s="172"/>
      <c r="AKR77" s="172"/>
      <c r="AKS77" s="172"/>
      <c r="AKT77" s="172"/>
      <c r="AKU77" s="172"/>
      <c r="AKV77" s="172"/>
      <c r="AKW77" s="172"/>
      <c r="AKX77" s="172"/>
      <c r="AKY77" s="172"/>
      <c r="AKZ77" s="172"/>
      <c r="ALA77" s="172"/>
      <c r="ALB77" s="172"/>
      <c r="ALC77" s="172"/>
      <c r="ALD77" s="172"/>
      <c r="ALE77" s="172"/>
      <c r="ALF77" s="172"/>
      <c r="ALG77" s="172"/>
      <c r="ALH77" s="172"/>
      <c r="ALI77" s="172"/>
      <c r="ALJ77" s="172"/>
      <c r="ALK77" s="172"/>
      <c r="ALL77" s="172"/>
      <c r="ALM77" s="172"/>
      <c r="ALN77" s="172"/>
      <c r="ALO77" s="172"/>
      <c r="ALP77" s="172"/>
      <c r="ALQ77" s="172"/>
      <c r="ALR77" s="172"/>
      <c r="ALS77" s="172"/>
      <c r="ALT77" s="172"/>
      <c r="ALU77" s="172"/>
      <c r="ALV77" s="172"/>
      <c r="ALW77" s="172"/>
      <c r="ALX77" s="172"/>
      <c r="ALY77" s="172"/>
      <c r="ALZ77" s="172"/>
      <c r="AMA77" s="172"/>
      <c r="AMB77" s="172"/>
      <c r="AMC77" s="172"/>
      <c r="AMD77" s="172"/>
      <c r="AME77" s="172"/>
      <c r="AMF77" s="172"/>
      <c r="AMG77" s="172"/>
      <c r="AMH77" s="172"/>
      <c r="AMI77" s="172"/>
      <c r="AMJ77" s="172"/>
      <c r="AMK77" s="172"/>
      <c r="AML77" s="172"/>
      <c r="AMM77" s="172"/>
      <c r="AMN77" s="172"/>
      <c r="AMO77" s="172"/>
      <c r="AMP77" s="172"/>
      <c r="AMQ77" s="172"/>
      <c r="AMR77" s="172"/>
      <c r="AMS77" s="172"/>
      <c r="AMT77" s="172"/>
      <c r="AMU77" s="172"/>
      <c r="AMV77" s="172"/>
      <c r="AMW77" s="172"/>
      <c r="AMX77" s="172"/>
      <c r="AMY77" s="172"/>
      <c r="AMZ77" s="172"/>
      <c r="ANA77" s="172"/>
      <c r="ANB77" s="172"/>
      <c r="ANC77" s="172"/>
      <c r="AND77" s="172"/>
      <c r="ANE77" s="172"/>
      <c r="ANF77" s="172"/>
      <c r="ANG77" s="172"/>
      <c r="ANH77" s="172"/>
      <c r="ANI77" s="172"/>
      <c r="ANJ77" s="172"/>
      <c r="ANK77" s="172"/>
      <c r="ANL77" s="172"/>
      <c r="ANM77" s="172"/>
      <c r="ANN77" s="172"/>
      <c r="ANO77" s="172"/>
      <c r="ANP77" s="172"/>
      <c r="ANQ77" s="172"/>
      <c r="ANR77" s="172"/>
      <c r="ANS77" s="172"/>
      <c r="ANT77" s="172"/>
      <c r="ANU77" s="172"/>
      <c r="ANV77" s="172"/>
      <c r="ANW77" s="172"/>
      <c r="ANX77" s="172"/>
      <c r="ANY77" s="172"/>
      <c r="ANZ77" s="172"/>
      <c r="AOA77" s="172"/>
      <c r="AOB77" s="172"/>
      <c r="AOC77" s="172"/>
      <c r="AOD77" s="172"/>
      <c r="AOE77" s="172"/>
      <c r="AOF77" s="172"/>
      <c r="AOG77" s="172"/>
      <c r="AOH77" s="172"/>
      <c r="AOI77" s="172"/>
      <c r="AOJ77" s="172"/>
      <c r="AOK77" s="172"/>
      <c r="AOL77" s="172"/>
      <c r="AOM77" s="172"/>
      <c r="AON77" s="172"/>
      <c r="AOO77" s="172"/>
      <c r="AOP77" s="172"/>
      <c r="AOQ77" s="172"/>
      <c r="AOR77" s="172"/>
      <c r="AOS77" s="172"/>
      <c r="AOT77" s="172"/>
      <c r="AOU77" s="172"/>
      <c r="AOV77" s="172"/>
      <c r="AOW77" s="172"/>
      <c r="AOX77" s="172"/>
      <c r="AOY77" s="172"/>
      <c r="AOZ77" s="172"/>
      <c r="APA77" s="172"/>
      <c r="APB77" s="172"/>
      <c r="APC77" s="172"/>
      <c r="APD77" s="172"/>
      <c r="APE77" s="172"/>
      <c r="APF77" s="172"/>
      <c r="APG77" s="172"/>
      <c r="APH77" s="172"/>
      <c r="API77" s="172"/>
      <c r="APJ77" s="172"/>
      <c r="APK77" s="172"/>
      <c r="APL77" s="172"/>
      <c r="APM77" s="172"/>
      <c r="APN77" s="172"/>
      <c r="APO77" s="172"/>
      <c r="APP77" s="172"/>
      <c r="APQ77" s="172"/>
      <c r="APR77" s="172"/>
      <c r="APS77" s="172"/>
      <c r="APT77" s="172"/>
      <c r="APU77" s="172"/>
      <c r="APV77" s="172"/>
      <c r="APW77" s="172"/>
      <c r="APX77" s="172"/>
      <c r="APY77" s="172"/>
      <c r="APZ77" s="172"/>
      <c r="AQA77" s="172"/>
      <c r="AQB77" s="172"/>
      <c r="AQC77" s="172"/>
      <c r="AQD77" s="172"/>
      <c r="AQE77" s="172"/>
      <c r="AQF77" s="172"/>
      <c r="AQG77" s="172"/>
      <c r="AQH77" s="172"/>
      <c r="AQI77" s="172"/>
      <c r="AQJ77" s="172"/>
      <c r="AQK77" s="172"/>
      <c r="AQL77" s="172"/>
      <c r="AQM77" s="172"/>
      <c r="AQN77" s="172"/>
      <c r="AQO77" s="172"/>
      <c r="AQP77" s="172"/>
      <c r="AQQ77" s="172"/>
      <c r="AQR77" s="172"/>
      <c r="AQS77" s="172"/>
      <c r="AQT77" s="172"/>
      <c r="AQU77" s="172"/>
      <c r="AQV77" s="172"/>
      <c r="AQW77" s="172"/>
      <c r="AQX77" s="172"/>
      <c r="AQY77" s="172"/>
      <c r="AQZ77" s="172"/>
      <c r="ARA77" s="172"/>
      <c r="ARB77" s="172"/>
      <c r="ARC77" s="172"/>
      <c r="ARD77" s="172"/>
      <c r="ARE77" s="172"/>
      <c r="ARF77" s="172"/>
      <c r="ARG77" s="172"/>
      <c r="ARH77" s="172"/>
      <c r="ARI77" s="172"/>
      <c r="ARJ77" s="172"/>
      <c r="ARK77" s="172"/>
      <c r="ARL77" s="172"/>
      <c r="ARM77" s="172"/>
      <c r="ARN77" s="172"/>
      <c r="ARO77" s="172"/>
      <c r="ARP77" s="172"/>
      <c r="ARQ77" s="172"/>
      <c r="ARR77" s="172"/>
      <c r="ARS77" s="172"/>
      <c r="ART77" s="172"/>
      <c r="ARU77" s="172"/>
    </row>
    <row r="78" spans="1:1165" s="257" customFormat="1">
      <c r="A78" s="222" t="s">
        <v>206</v>
      </c>
      <c r="B78" s="195" t="s">
        <v>87</v>
      </c>
      <c r="C78" s="258">
        <v>84</v>
      </c>
      <c r="D78" s="258">
        <v>713</v>
      </c>
      <c r="E78" s="288">
        <v>0</v>
      </c>
      <c r="F78" s="288">
        <v>0</v>
      </c>
      <c r="G78" s="258">
        <v>44</v>
      </c>
      <c r="H78" s="258">
        <v>661</v>
      </c>
      <c r="I78" s="288">
        <v>0</v>
      </c>
      <c r="J78" s="288">
        <v>0</v>
      </c>
      <c r="K78" s="288">
        <v>0</v>
      </c>
      <c r="L78" s="288">
        <v>0</v>
      </c>
      <c r="M78" s="288">
        <v>0</v>
      </c>
      <c r="N78" s="288">
        <v>0</v>
      </c>
      <c r="O78" s="288">
        <v>0</v>
      </c>
      <c r="P78" s="288">
        <v>0</v>
      </c>
      <c r="Q78" s="288">
        <v>0</v>
      </c>
      <c r="R78" s="288">
        <v>0</v>
      </c>
      <c r="S78" s="288">
        <v>0</v>
      </c>
      <c r="T78" s="288">
        <v>0</v>
      </c>
      <c r="U78" s="288">
        <v>0</v>
      </c>
      <c r="V78" s="288">
        <v>0</v>
      </c>
      <c r="W78" s="288">
        <v>0</v>
      </c>
      <c r="X78" s="288">
        <v>0</v>
      </c>
      <c r="Y78" s="288">
        <v>0</v>
      </c>
      <c r="Z78" s="288">
        <v>0</v>
      </c>
      <c r="AA78" s="288">
        <v>0</v>
      </c>
      <c r="AB78" s="288">
        <v>0</v>
      </c>
      <c r="AC78" s="288">
        <v>0</v>
      </c>
      <c r="AD78" s="288">
        <v>0</v>
      </c>
      <c r="AE78" s="288">
        <v>0</v>
      </c>
      <c r="AF78" s="288">
        <v>0</v>
      </c>
      <c r="AG78" s="288">
        <v>0</v>
      </c>
      <c r="AH78" s="288">
        <v>0</v>
      </c>
      <c r="AI78" s="288">
        <v>0</v>
      </c>
      <c r="AJ78" s="288">
        <v>0</v>
      </c>
      <c r="AK78" s="288">
        <v>0</v>
      </c>
      <c r="AL78" s="288">
        <v>0</v>
      </c>
      <c r="AM78" s="288">
        <v>0</v>
      </c>
      <c r="AN78" s="288">
        <v>0</v>
      </c>
      <c r="AO78" s="288">
        <v>0</v>
      </c>
      <c r="AP78" s="288">
        <v>0</v>
      </c>
      <c r="AQ78" s="288">
        <v>0</v>
      </c>
      <c r="AR78" s="288">
        <v>0</v>
      </c>
      <c r="AS78" s="288">
        <v>0</v>
      </c>
      <c r="AT78" s="288">
        <v>0</v>
      </c>
      <c r="AU78" s="288">
        <v>0</v>
      </c>
      <c r="AV78" s="288">
        <v>0</v>
      </c>
      <c r="AW78" s="284">
        <v>0</v>
      </c>
      <c r="AX78" s="284">
        <v>0</v>
      </c>
      <c r="AY78" s="258">
        <v>0</v>
      </c>
      <c r="AZ78" s="258">
        <v>0</v>
      </c>
      <c r="BA78" s="288"/>
      <c r="BB78" s="284"/>
      <c r="BC78" s="284"/>
      <c r="BD78" s="284"/>
      <c r="BE78" s="284"/>
      <c r="BF78" s="284"/>
      <c r="BG78" s="284"/>
      <c r="BH78" s="284"/>
      <c r="BI78" s="284"/>
      <c r="BJ78" s="284">
        <f t="shared" si="57"/>
        <v>128</v>
      </c>
      <c r="BK78" s="258">
        <f t="shared" si="58"/>
        <v>1374</v>
      </c>
      <c r="BL78" s="172"/>
      <c r="BM78" s="13"/>
      <c r="BN78" s="231"/>
      <c r="BO78" s="172"/>
      <c r="BP78" s="231"/>
      <c r="BQ78" s="172"/>
      <c r="BR78" s="172"/>
      <c r="BS78" s="172"/>
      <c r="BT78" s="172"/>
      <c r="BU78" s="172"/>
      <c r="BV78" s="172"/>
      <c r="BW78" s="172"/>
      <c r="BX78" s="172"/>
      <c r="BY78" s="172"/>
      <c r="BZ78" s="172"/>
      <c r="CA78" s="172"/>
      <c r="CB78" s="172"/>
      <c r="CC78" s="172"/>
      <c r="CD78" s="172"/>
      <c r="CE78" s="172"/>
      <c r="CF78" s="172"/>
      <c r="CG78" s="172"/>
      <c r="CH78" s="172"/>
      <c r="CI78" s="172"/>
      <c r="CJ78" s="172"/>
      <c r="CK78" s="172"/>
      <c r="CL78" s="172"/>
      <c r="CM78" s="172"/>
      <c r="CN78" s="172"/>
      <c r="CO78" s="172"/>
      <c r="CP78" s="172"/>
      <c r="CQ78" s="172"/>
      <c r="CR78" s="172"/>
      <c r="CS78" s="172"/>
      <c r="CT78" s="172"/>
      <c r="CU78" s="172"/>
      <c r="CV78" s="172"/>
      <c r="CW78" s="172"/>
      <c r="CX78" s="172"/>
      <c r="CY78" s="172"/>
      <c r="CZ78" s="172"/>
      <c r="DA78" s="172"/>
      <c r="DB78" s="172"/>
      <c r="DC78" s="172"/>
      <c r="DD78" s="172"/>
      <c r="DE78" s="172"/>
      <c r="DF78" s="172"/>
      <c r="DG78" s="172"/>
      <c r="DH78" s="172"/>
      <c r="DI78" s="172"/>
      <c r="DJ78" s="172"/>
      <c r="DK78" s="172"/>
      <c r="DL78" s="172"/>
      <c r="DM78" s="172"/>
      <c r="DN78" s="172"/>
      <c r="DO78" s="172"/>
      <c r="DP78" s="172"/>
      <c r="DQ78" s="172"/>
      <c r="DR78" s="172"/>
      <c r="DS78" s="172"/>
      <c r="DT78" s="172"/>
      <c r="DU78" s="172"/>
      <c r="DV78" s="172"/>
      <c r="DW78" s="172"/>
      <c r="DX78" s="172"/>
      <c r="DY78" s="172"/>
      <c r="DZ78" s="172"/>
      <c r="EA78" s="172"/>
      <c r="EB78" s="172"/>
      <c r="EC78" s="172"/>
      <c r="ED78" s="172"/>
      <c r="EE78" s="172"/>
      <c r="EF78" s="172"/>
      <c r="EG78" s="172"/>
      <c r="EH78" s="172"/>
      <c r="EI78" s="172"/>
      <c r="EJ78" s="172"/>
      <c r="EK78" s="172"/>
      <c r="EL78" s="172"/>
      <c r="EM78" s="172"/>
      <c r="EN78" s="172"/>
      <c r="EO78" s="172"/>
      <c r="EP78" s="172"/>
      <c r="EQ78" s="172"/>
      <c r="ER78" s="172"/>
      <c r="ES78" s="172"/>
      <c r="ET78" s="172"/>
      <c r="EU78" s="172"/>
      <c r="EV78" s="172"/>
      <c r="EW78" s="172"/>
      <c r="EX78" s="172"/>
      <c r="EY78" s="172"/>
      <c r="EZ78" s="172"/>
      <c r="FA78" s="172"/>
      <c r="FB78" s="172"/>
      <c r="FC78" s="172"/>
      <c r="FD78" s="172"/>
      <c r="FE78" s="172"/>
      <c r="FF78" s="172"/>
      <c r="FG78" s="172"/>
      <c r="FH78" s="172"/>
      <c r="FI78" s="172"/>
      <c r="FJ78" s="172"/>
      <c r="FK78" s="172"/>
      <c r="FL78" s="172"/>
      <c r="FM78" s="172"/>
      <c r="FN78" s="172"/>
      <c r="FO78" s="172"/>
      <c r="FP78" s="172"/>
      <c r="FQ78" s="172"/>
      <c r="FR78" s="172"/>
      <c r="FS78" s="172"/>
      <c r="FT78" s="172"/>
      <c r="FU78" s="172"/>
      <c r="FV78" s="172"/>
      <c r="FW78" s="172"/>
      <c r="FX78" s="172"/>
      <c r="FY78" s="172"/>
      <c r="FZ78" s="172"/>
      <c r="GA78" s="172"/>
      <c r="GB78" s="172"/>
      <c r="GC78" s="172"/>
      <c r="GD78" s="172"/>
      <c r="GE78" s="172"/>
      <c r="GF78" s="172"/>
      <c r="GG78" s="172"/>
      <c r="GH78" s="172"/>
      <c r="GI78" s="172"/>
      <c r="GJ78" s="172"/>
      <c r="GK78" s="172"/>
      <c r="GL78" s="172"/>
      <c r="GM78" s="172"/>
      <c r="GN78" s="172"/>
      <c r="GO78" s="172"/>
      <c r="GP78" s="172"/>
      <c r="GQ78" s="172"/>
      <c r="GR78" s="172"/>
      <c r="GS78" s="172"/>
      <c r="GT78" s="172"/>
      <c r="GU78" s="172"/>
      <c r="GV78" s="172"/>
      <c r="GW78" s="172"/>
      <c r="GX78" s="172"/>
      <c r="GY78" s="172"/>
      <c r="GZ78" s="172"/>
      <c r="HA78" s="172"/>
      <c r="HB78" s="172"/>
      <c r="HC78" s="172"/>
      <c r="HD78" s="172"/>
      <c r="HE78" s="172"/>
      <c r="HF78" s="172"/>
      <c r="HG78" s="172"/>
      <c r="HH78" s="172"/>
      <c r="HI78" s="172"/>
      <c r="HJ78" s="172"/>
      <c r="HK78" s="172"/>
      <c r="HL78" s="172"/>
      <c r="HM78" s="172"/>
      <c r="HN78" s="172"/>
      <c r="HO78" s="172"/>
      <c r="HP78" s="172"/>
      <c r="HQ78" s="172"/>
      <c r="HR78" s="172"/>
      <c r="HS78" s="172"/>
      <c r="HT78" s="172"/>
      <c r="HU78" s="172"/>
      <c r="HV78" s="172"/>
      <c r="HW78" s="172"/>
      <c r="HX78" s="172"/>
      <c r="HY78" s="172"/>
      <c r="HZ78" s="172"/>
      <c r="IA78" s="172"/>
      <c r="IB78" s="172"/>
      <c r="IC78" s="172"/>
      <c r="ID78" s="172"/>
      <c r="IE78" s="172"/>
      <c r="IF78" s="172"/>
      <c r="IG78" s="172"/>
      <c r="IH78" s="172"/>
      <c r="II78" s="172"/>
      <c r="IJ78" s="172"/>
      <c r="IK78" s="172"/>
      <c r="IL78" s="172"/>
      <c r="IM78" s="172"/>
      <c r="IN78" s="172"/>
      <c r="IO78" s="172"/>
      <c r="IP78" s="172"/>
      <c r="IQ78" s="172"/>
      <c r="IR78" s="172"/>
      <c r="IS78" s="172"/>
      <c r="IT78" s="172"/>
      <c r="IU78" s="172"/>
      <c r="IV78" s="172"/>
      <c r="IW78" s="172"/>
      <c r="IX78" s="172"/>
      <c r="IY78" s="172"/>
      <c r="IZ78" s="172"/>
      <c r="JA78" s="172"/>
      <c r="JB78" s="172"/>
      <c r="JC78" s="172"/>
      <c r="JD78" s="172"/>
      <c r="JE78" s="172"/>
      <c r="JF78" s="172"/>
      <c r="JG78" s="172"/>
      <c r="JH78" s="172"/>
      <c r="JI78" s="172"/>
      <c r="JJ78" s="172"/>
      <c r="JK78" s="172"/>
      <c r="JL78" s="172"/>
      <c r="JM78" s="172"/>
      <c r="JN78" s="172"/>
      <c r="JO78" s="172"/>
      <c r="JP78" s="172"/>
      <c r="JQ78" s="172"/>
      <c r="JR78" s="172"/>
      <c r="JS78" s="172"/>
      <c r="JT78" s="172"/>
      <c r="JU78" s="172"/>
      <c r="JV78" s="172"/>
      <c r="JW78" s="172"/>
      <c r="JX78" s="172"/>
      <c r="JY78" s="172"/>
      <c r="JZ78" s="172"/>
      <c r="KA78" s="172"/>
      <c r="KB78" s="172"/>
      <c r="KC78" s="172"/>
      <c r="KD78" s="172"/>
      <c r="KE78" s="172"/>
      <c r="KF78" s="172"/>
      <c r="KG78" s="172"/>
      <c r="KH78" s="172"/>
      <c r="KI78" s="172"/>
      <c r="KJ78" s="172"/>
      <c r="KK78" s="172"/>
      <c r="KL78" s="172"/>
      <c r="KM78" s="172"/>
      <c r="KN78" s="172"/>
      <c r="KO78" s="172"/>
      <c r="KP78" s="172"/>
      <c r="KQ78" s="172"/>
      <c r="KR78" s="172"/>
      <c r="KS78" s="172"/>
      <c r="KT78" s="172"/>
      <c r="KU78" s="172"/>
      <c r="KV78" s="172"/>
      <c r="KW78" s="172"/>
      <c r="KX78" s="172"/>
      <c r="KY78" s="172"/>
      <c r="KZ78" s="172"/>
      <c r="LA78" s="172"/>
      <c r="LB78" s="172"/>
      <c r="LC78" s="172"/>
      <c r="LD78" s="172"/>
      <c r="LE78" s="172"/>
      <c r="LF78" s="172"/>
      <c r="LG78" s="172"/>
      <c r="LH78" s="172"/>
      <c r="LI78" s="172"/>
      <c r="LJ78" s="172"/>
      <c r="LK78" s="172"/>
      <c r="LL78" s="172"/>
      <c r="LM78" s="172"/>
      <c r="LN78" s="172"/>
      <c r="LO78" s="172"/>
      <c r="LP78" s="172"/>
      <c r="LQ78" s="172"/>
      <c r="LR78" s="172"/>
      <c r="LS78" s="172"/>
      <c r="LT78" s="172"/>
      <c r="LU78" s="172"/>
      <c r="LV78" s="172"/>
      <c r="LW78" s="172"/>
      <c r="LX78" s="172"/>
      <c r="LY78" s="172"/>
      <c r="LZ78" s="172"/>
      <c r="MA78" s="172"/>
      <c r="MB78" s="172"/>
      <c r="MC78" s="172"/>
      <c r="MD78" s="172"/>
      <c r="ME78" s="172"/>
      <c r="MF78" s="172"/>
      <c r="MG78" s="172"/>
      <c r="MH78" s="172"/>
      <c r="MI78" s="172"/>
      <c r="MJ78" s="172"/>
      <c r="MK78" s="172"/>
      <c r="ML78" s="172"/>
      <c r="MM78" s="172"/>
      <c r="MN78" s="172"/>
      <c r="MO78" s="172"/>
      <c r="MP78" s="172"/>
      <c r="MQ78" s="172"/>
      <c r="MR78" s="172"/>
      <c r="MS78" s="172"/>
      <c r="MT78" s="172"/>
      <c r="MU78" s="172"/>
      <c r="MV78" s="172"/>
      <c r="MW78" s="172"/>
      <c r="MX78" s="172"/>
      <c r="MY78" s="172"/>
      <c r="MZ78" s="172"/>
      <c r="NA78" s="172"/>
      <c r="NB78" s="172"/>
      <c r="NC78" s="172"/>
      <c r="ND78" s="172"/>
      <c r="NE78" s="172"/>
      <c r="NF78" s="172"/>
      <c r="NG78" s="172"/>
      <c r="NH78" s="172"/>
      <c r="NI78" s="172"/>
      <c r="NJ78" s="172"/>
      <c r="NK78" s="172"/>
      <c r="NL78" s="172"/>
      <c r="NM78" s="172"/>
      <c r="NN78" s="172"/>
      <c r="NO78" s="172"/>
      <c r="NP78" s="172"/>
      <c r="NQ78" s="172"/>
      <c r="NR78" s="172"/>
      <c r="NS78" s="172"/>
      <c r="NT78" s="172"/>
      <c r="NU78" s="172"/>
      <c r="NV78" s="172"/>
      <c r="NW78" s="172"/>
      <c r="NX78" s="172"/>
      <c r="NY78" s="172"/>
      <c r="NZ78" s="172"/>
      <c r="OA78" s="172"/>
      <c r="OB78" s="172"/>
      <c r="OC78" s="172"/>
      <c r="OD78" s="172"/>
      <c r="OE78" s="172"/>
      <c r="OF78" s="172"/>
      <c r="OG78" s="172"/>
      <c r="OH78" s="172"/>
      <c r="OI78" s="172"/>
      <c r="OJ78" s="172"/>
      <c r="OK78" s="172"/>
      <c r="OL78" s="172"/>
      <c r="OM78" s="172"/>
      <c r="ON78" s="172"/>
      <c r="OO78" s="172"/>
      <c r="OP78" s="172"/>
      <c r="OQ78" s="172"/>
      <c r="OR78" s="172"/>
      <c r="OS78" s="172"/>
      <c r="OT78" s="172"/>
      <c r="OU78" s="172"/>
      <c r="OV78" s="172"/>
      <c r="OW78" s="172"/>
      <c r="OX78" s="172"/>
      <c r="OY78" s="172"/>
      <c r="OZ78" s="172"/>
      <c r="PA78" s="172"/>
      <c r="PB78" s="172"/>
      <c r="PC78" s="172"/>
      <c r="PD78" s="172"/>
      <c r="PE78" s="172"/>
      <c r="PF78" s="172"/>
      <c r="PG78" s="172"/>
      <c r="PH78" s="172"/>
      <c r="PI78" s="172"/>
      <c r="PJ78" s="172"/>
      <c r="PK78" s="172"/>
      <c r="PL78" s="172"/>
      <c r="PM78" s="172"/>
      <c r="PN78" s="172"/>
      <c r="PO78" s="172"/>
      <c r="PP78" s="172"/>
      <c r="PQ78" s="172"/>
      <c r="PR78" s="172"/>
      <c r="PS78" s="172"/>
      <c r="PT78" s="172"/>
      <c r="PU78" s="172"/>
      <c r="PV78" s="172"/>
      <c r="PW78" s="172"/>
      <c r="PX78" s="172"/>
      <c r="PY78" s="172"/>
      <c r="PZ78" s="172"/>
      <c r="QA78" s="172"/>
      <c r="QB78" s="172"/>
      <c r="QC78" s="172"/>
      <c r="QD78" s="172"/>
      <c r="QE78" s="172"/>
      <c r="QF78" s="172"/>
      <c r="QG78" s="172"/>
      <c r="QH78" s="172"/>
      <c r="QI78" s="172"/>
      <c r="QJ78" s="172"/>
      <c r="QK78" s="172"/>
      <c r="QL78" s="172"/>
      <c r="QM78" s="172"/>
      <c r="QN78" s="172"/>
      <c r="QO78" s="172"/>
      <c r="QP78" s="172"/>
      <c r="QQ78" s="172"/>
      <c r="QR78" s="172"/>
      <c r="QS78" s="172"/>
      <c r="QT78" s="172"/>
      <c r="QU78" s="172"/>
      <c r="QV78" s="172"/>
      <c r="QW78" s="172"/>
      <c r="QX78" s="172"/>
      <c r="QY78" s="172"/>
      <c r="QZ78" s="172"/>
      <c r="RA78" s="172"/>
      <c r="RB78" s="172"/>
      <c r="RC78" s="172"/>
      <c r="RD78" s="172"/>
      <c r="RE78" s="172"/>
      <c r="RF78" s="172"/>
      <c r="RG78" s="172"/>
      <c r="RH78" s="172"/>
      <c r="RI78" s="172"/>
      <c r="RJ78" s="172"/>
      <c r="RK78" s="172"/>
      <c r="RL78" s="172"/>
      <c r="RM78" s="172"/>
      <c r="RN78" s="172"/>
      <c r="RO78" s="172"/>
      <c r="RP78" s="172"/>
      <c r="RQ78" s="172"/>
      <c r="RR78" s="172"/>
      <c r="RS78" s="172"/>
      <c r="RT78" s="172"/>
      <c r="RU78" s="172"/>
      <c r="RV78" s="172"/>
      <c r="RW78" s="172"/>
      <c r="RX78" s="172"/>
      <c r="RY78" s="172"/>
      <c r="RZ78" s="172"/>
      <c r="SA78" s="172"/>
      <c r="SB78" s="172"/>
      <c r="SC78" s="172"/>
      <c r="SD78" s="172"/>
      <c r="SE78" s="172"/>
      <c r="SF78" s="172"/>
      <c r="SG78" s="172"/>
      <c r="SH78" s="172"/>
      <c r="SI78" s="172"/>
      <c r="SJ78" s="172"/>
      <c r="SK78" s="172"/>
      <c r="SL78" s="172"/>
      <c r="SM78" s="172"/>
      <c r="SN78" s="172"/>
      <c r="SO78" s="172"/>
      <c r="SP78" s="172"/>
      <c r="SQ78" s="172"/>
      <c r="SR78" s="172"/>
      <c r="SS78" s="172"/>
      <c r="ST78" s="172"/>
      <c r="SU78" s="172"/>
      <c r="SV78" s="172"/>
      <c r="SW78" s="172"/>
      <c r="SX78" s="172"/>
      <c r="SY78" s="172"/>
      <c r="SZ78" s="172"/>
      <c r="TA78" s="172"/>
      <c r="TB78" s="172"/>
      <c r="TC78" s="172"/>
      <c r="TD78" s="172"/>
      <c r="TE78" s="172"/>
      <c r="TF78" s="172"/>
      <c r="TG78" s="172"/>
      <c r="TH78" s="172"/>
      <c r="TI78" s="172"/>
      <c r="TJ78" s="172"/>
      <c r="TK78" s="172"/>
      <c r="TL78" s="172"/>
      <c r="TM78" s="172"/>
      <c r="TN78" s="172"/>
      <c r="TO78" s="172"/>
      <c r="TP78" s="172"/>
      <c r="TQ78" s="172"/>
      <c r="TR78" s="172"/>
      <c r="TS78" s="172"/>
      <c r="TT78" s="172"/>
      <c r="TU78" s="172"/>
      <c r="TV78" s="172"/>
      <c r="TW78" s="172"/>
      <c r="TX78" s="172"/>
      <c r="TY78" s="172"/>
      <c r="TZ78" s="172"/>
      <c r="UA78" s="172"/>
      <c r="UB78" s="172"/>
      <c r="UC78" s="172"/>
      <c r="UD78" s="172"/>
      <c r="UE78" s="172"/>
      <c r="UF78" s="172"/>
      <c r="UG78" s="172"/>
      <c r="UH78" s="172"/>
      <c r="UI78" s="172"/>
      <c r="UJ78" s="172"/>
      <c r="UK78" s="172"/>
      <c r="UL78" s="172"/>
      <c r="UM78" s="172"/>
      <c r="UN78" s="172"/>
      <c r="UO78" s="172"/>
      <c r="UP78" s="172"/>
      <c r="UQ78" s="172"/>
      <c r="UR78" s="172"/>
      <c r="US78" s="172"/>
      <c r="UT78" s="172"/>
      <c r="UU78" s="172"/>
      <c r="UV78" s="172"/>
      <c r="UW78" s="172"/>
      <c r="UX78" s="172"/>
      <c r="UY78" s="172"/>
      <c r="UZ78" s="172"/>
      <c r="VA78" s="172"/>
      <c r="VB78" s="172"/>
      <c r="VC78" s="172"/>
      <c r="VD78" s="172"/>
      <c r="VE78" s="172"/>
      <c r="VF78" s="172"/>
      <c r="VG78" s="172"/>
      <c r="VH78" s="172"/>
      <c r="VI78" s="172"/>
      <c r="VJ78" s="172"/>
      <c r="VK78" s="172"/>
      <c r="VL78" s="172"/>
      <c r="VM78" s="172"/>
      <c r="VN78" s="172"/>
      <c r="VO78" s="172"/>
      <c r="VP78" s="172"/>
      <c r="VQ78" s="172"/>
      <c r="VR78" s="172"/>
      <c r="VS78" s="172"/>
      <c r="VT78" s="172"/>
      <c r="VU78" s="172"/>
      <c r="VV78" s="172"/>
      <c r="VW78" s="172"/>
      <c r="VX78" s="172"/>
      <c r="VY78" s="172"/>
      <c r="VZ78" s="172"/>
      <c r="WA78" s="172"/>
      <c r="WB78" s="172"/>
      <c r="WC78" s="172"/>
      <c r="WD78" s="172"/>
      <c r="WE78" s="172"/>
      <c r="WF78" s="172"/>
      <c r="WG78" s="172"/>
      <c r="WH78" s="172"/>
      <c r="WI78" s="172"/>
      <c r="WJ78" s="172"/>
      <c r="WK78" s="172"/>
      <c r="WL78" s="172"/>
      <c r="WM78" s="172"/>
      <c r="WN78" s="172"/>
      <c r="WO78" s="172"/>
      <c r="WP78" s="172"/>
      <c r="WQ78" s="172"/>
      <c r="WR78" s="172"/>
      <c r="WS78" s="172"/>
      <c r="WT78" s="172"/>
      <c r="WU78" s="172"/>
      <c r="WV78" s="172"/>
      <c r="WW78" s="172"/>
      <c r="WX78" s="172"/>
      <c r="WY78" s="172"/>
      <c r="WZ78" s="172"/>
      <c r="XA78" s="172"/>
      <c r="XB78" s="172"/>
      <c r="XC78" s="172"/>
      <c r="XD78" s="172"/>
      <c r="XE78" s="172"/>
      <c r="XF78" s="172"/>
      <c r="XG78" s="172"/>
      <c r="XH78" s="172"/>
      <c r="XI78" s="172"/>
      <c r="XJ78" s="172"/>
      <c r="XK78" s="172"/>
      <c r="XL78" s="172"/>
      <c r="XM78" s="172"/>
      <c r="XN78" s="172"/>
      <c r="XO78" s="172"/>
      <c r="XP78" s="172"/>
      <c r="XQ78" s="172"/>
      <c r="XR78" s="172"/>
      <c r="XS78" s="172"/>
      <c r="XT78" s="172"/>
      <c r="XU78" s="172"/>
      <c r="XV78" s="172"/>
      <c r="XW78" s="172"/>
      <c r="XX78" s="172"/>
      <c r="XY78" s="172"/>
      <c r="XZ78" s="172"/>
      <c r="YA78" s="172"/>
      <c r="YB78" s="172"/>
      <c r="YC78" s="172"/>
      <c r="YD78" s="172"/>
      <c r="YE78" s="172"/>
      <c r="YF78" s="172"/>
      <c r="YG78" s="172"/>
      <c r="YH78" s="172"/>
      <c r="YI78" s="172"/>
      <c r="YJ78" s="172"/>
      <c r="YK78" s="172"/>
      <c r="YL78" s="172"/>
      <c r="YM78" s="172"/>
      <c r="YN78" s="172"/>
      <c r="YO78" s="172"/>
      <c r="YP78" s="172"/>
      <c r="YQ78" s="172"/>
      <c r="YR78" s="172"/>
      <c r="YS78" s="172"/>
      <c r="YT78" s="172"/>
      <c r="YU78" s="172"/>
      <c r="YV78" s="172"/>
      <c r="YW78" s="172"/>
      <c r="YX78" s="172"/>
      <c r="YY78" s="172"/>
      <c r="YZ78" s="172"/>
      <c r="ZA78" s="172"/>
      <c r="ZB78" s="172"/>
      <c r="ZC78" s="172"/>
      <c r="ZD78" s="172"/>
      <c r="ZE78" s="172"/>
      <c r="ZF78" s="172"/>
      <c r="ZG78" s="172"/>
      <c r="ZH78" s="172"/>
      <c r="ZI78" s="172"/>
      <c r="ZJ78" s="172"/>
      <c r="ZK78" s="172"/>
      <c r="ZL78" s="172"/>
      <c r="ZM78" s="172"/>
      <c r="ZN78" s="172"/>
      <c r="ZO78" s="172"/>
      <c r="ZP78" s="172"/>
      <c r="ZQ78" s="172"/>
      <c r="ZR78" s="172"/>
      <c r="ZS78" s="172"/>
      <c r="ZT78" s="172"/>
      <c r="ZU78" s="172"/>
      <c r="ZV78" s="172"/>
      <c r="ZW78" s="172"/>
      <c r="ZX78" s="172"/>
      <c r="ZY78" s="172"/>
      <c r="ZZ78" s="172"/>
      <c r="AAA78" s="172"/>
      <c r="AAB78" s="172"/>
      <c r="AAC78" s="172"/>
      <c r="AAD78" s="172"/>
      <c r="AAE78" s="172"/>
      <c r="AAF78" s="172"/>
      <c r="AAG78" s="172"/>
      <c r="AAH78" s="172"/>
      <c r="AAI78" s="172"/>
      <c r="AAJ78" s="172"/>
      <c r="AAK78" s="172"/>
      <c r="AAL78" s="172"/>
      <c r="AAM78" s="172"/>
      <c r="AAN78" s="172"/>
      <c r="AAO78" s="172"/>
      <c r="AAP78" s="172"/>
      <c r="AAQ78" s="172"/>
      <c r="AAR78" s="172"/>
      <c r="AAS78" s="172"/>
      <c r="AAT78" s="172"/>
      <c r="AAU78" s="172"/>
      <c r="AAV78" s="172"/>
      <c r="AAW78" s="172"/>
      <c r="AAX78" s="172"/>
      <c r="AAY78" s="172"/>
      <c r="AAZ78" s="172"/>
      <c r="ABA78" s="172"/>
      <c r="ABB78" s="172"/>
      <c r="ABC78" s="172"/>
      <c r="ABD78" s="172"/>
      <c r="ABE78" s="172"/>
      <c r="ABF78" s="172"/>
      <c r="ABG78" s="172"/>
      <c r="ABH78" s="172"/>
      <c r="ABI78" s="172"/>
      <c r="ABJ78" s="172"/>
      <c r="ABK78" s="172"/>
      <c r="ABL78" s="172"/>
      <c r="ABM78" s="172"/>
      <c r="ABN78" s="172"/>
      <c r="ABO78" s="172"/>
      <c r="ABP78" s="172"/>
      <c r="ABQ78" s="172"/>
      <c r="ABR78" s="172"/>
      <c r="ABS78" s="172"/>
      <c r="ABT78" s="172"/>
      <c r="ABU78" s="172"/>
      <c r="ABV78" s="172"/>
      <c r="ABW78" s="172"/>
      <c r="ABX78" s="172"/>
      <c r="ABY78" s="172"/>
      <c r="ABZ78" s="172"/>
      <c r="ACA78" s="172"/>
      <c r="ACB78" s="172"/>
      <c r="ACC78" s="172"/>
      <c r="ACD78" s="172"/>
      <c r="ACE78" s="172"/>
      <c r="ACF78" s="172"/>
      <c r="ACG78" s="172"/>
      <c r="ACH78" s="172"/>
      <c r="ACI78" s="172"/>
      <c r="ACJ78" s="172"/>
      <c r="ACK78" s="172"/>
      <c r="ACL78" s="172"/>
      <c r="ACM78" s="172"/>
      <c r="ACN78" s="172"/>
      <c r="ACO78" s="172"/>
      <c r="ACP78" s="172"/>
      <c r="ACQ78" s="172"/>
      <c r="ACR78" s="172"/>
      <c r="ACS78" s="172"/>
      <c r="ACT78" s="172"/>
      <c r="ACU78" s="172"/>
      <c r="ACV78" s="172"/>
      <c r="ACW78" s="172"/>
      <c r="ACX78" s="172"/>
      <c r="ACY78" s="172"/>
      <c r="ACZ78" s="172"/>
      <c r="ADA78" s="172"/>
      <c r="ADB78" s="172"/>
      <c r="ADC78" s="172"/>
      <c r="ADD78" s="172"/>
      <c r="ADE78" s="172"/>
      <c r="ADF78" s="172"/>
      <c r="ADG78" s="172"/>
      <c r="ADH78" s="172"/>
      <c r="ADI78" s="172"/>
      <c r="ADJ78" s="172"/>
      <c r="ADK78" s="172"/>
      <c r="ADL78" s="172"/>
      <c r="ADM78" s="172"/>
      <c r="ADN78" s="172"/>
      <c r="ADO78" s="172"/>
      <c r="ADP78" s="172"/>
      <c r="ADQ78" s="172"/>
      <c r="ADR78" s="172"/>
      <c r="ADS78" s="172"/>
      <c r="ADT78" s="172"/>
      <c r="ADU78" s="172"/>
      <c r="ADV78" s="172"/>
      <c r="ADW78" s="172"/>
      <c r="ADX78" s="172"/>
      <c r="ADY78" s="172"/>
      <c r="ADZ78" s="172"/>
      <c r="AEA78" s="172"/>
      <c r="AEB78" s="172"/>
      <c r="AEC78" s="172"/>
      <c r="AED78" s="172"/>
      <c r="AEE78" s="172"/>
      <c r="AEF78" s="172"/>
      <c r="AEG78" s="172"/>
      <c r="AEH78" s="172"/>
      <c r="AEI78" s="172"/>
      <c r="AEJ78" s="172"/>
      <c r="AEK78" s="172"/>
      <c r="AEL78" s="172"/>
      <c r="AEM78" s="172"/>
      <c r="AEN78" s="172"/>
      <c r="AEO78" s="172"/>
      <c r="AEP78" s="172"/>
      <c r="AEQ78" s="172"/>
      <c r="AER78" s="172"/>
      <c r="AES78" s="172"/>
      <c r="AET78" s="172"/>
      <c r="AEU78" s="172"/>
      <c r="AEV78" s="172"/>
      <c r="AEW78" s="172"/>
      <c r="AEX78" s="172"/>
      <c r="AEY78" s="172"/>
      <c r="AEZ78" s="172"/>
      <c r="AFA78" s="172"/>
      <c r="AFB78" s="172"/>
      <c r="AFC78" s="172"/>
      <c r="AFD78" s="172"/>
      <c r="AFE78" s="172"/>
      <c r="AFF78" s="172"/>
      <c r="AFG78" s="172"/>
      <c r="AFH78" s="172"/>
      <c r="AFI78" s="172"/>
      <c r="AFJ78" s="172"/>
      <c r="AFK78" s="172"/>
      <c r="AFL78" s="172"/>
      <c r="AFM78" s="172"/>
      <c r="AFN78" s="172"/>
      <c r="AFO78" s="172"/>
      <c r="AFP78" s="172"/>
      <c r="AFQ78" s="172"/>
      <c r="AFR78" s="172"/>
      <c r="AFS78" s="172"/>
      <c r="AFT78" s="172"/>
      <c r="AFU78" s="172"/>
      <c r="AFV78" s="172"/>
      <c r="AFW78" s="172"/>
      <c r="AFX78" s="172"/>
      <c r="AFY78" s="172"/>
      <c r="AFZ78" s="172"/>
      <c r="AGA78" s="172"/>
      <c r="AGB78" s="172"/>
      <c r="AGC78" s="172"/>
      <c r="AGD78" s="172"/>
      <c r="AGE78" s="172"/>
      <c r="AGF78" s="172"/>
      <c r="AGG78" s="172"/>
      <c r="AGH78" s="172"/>
      <c r="AGI78" s="172"/>
      <c r="AGJ78" s="172"/>
      <c r="AGK78" s="172"/>
      <c r="AGL78" s="172"/>
      <c r="AGM78" s="172"/>
      <c r="AGN78" s="172"/>
      <c r="AGO78" s="172"/>
      <c r="AGP78" s="172"/>
      <c r="AGQ78" s="172"/>
      <c r="AGR78" s="172"/>
      <c r="AGS78" s="172"/>
      <c r="AGT78" s="172"/>
      <c r="AGU78" s="172"/>
      <c r="AGV78" s="172"/>
      <c r="AGW78" s="172"/>
      <c r="AGX78" s="172"/>
      <c r="AGY78" s="172"/>
      <c r="AGZ78" s="172"/>
      <c r="AHA78" s="172"/>
      <c r="AHB78" s="172"/>
      <c r="AHC78" s="172"/>
      <c r="AHD78" s="172"/>
      <c r="AHE78" s="172"/>
      <c r="AHF78" s="172"/>
      <c r="AHG78" s="172"/>
      <c r="AHH78" s="172"/>
      <c r="AHI78" s="172"/>
      <c r="AHJ78" s="172"/>
      <c r="AHK78" s="172"/>
      <c r="AHL78" s="172"/>
      <c r="AHM78" s="172"/>
      <c r="AHN78" s="172"/>
      <c r="AHO78" s="172"/>
      <c r="AHP78" s="172"/>
      <c r="AHQ78" s="172"/>
      <c r="AHR78" s="172"/>
      <c r="AHS78" s="172"/>
      <c r="AHT78" s="172"/>
      <c r="AHU78" s="172"/>
      <c r="AHV78" s="172"/>
      <c r="AHW78" s="172"/>
      <c r="AHX78" s="172"/>
      <c r="AHY78" s="172"/>
      <c r="AHZ78" s="172"/>
      <c r="AIA78" s="172"/>
      <c r="AIB78" s="172"/>
      <c r="AIC78" s="172"/>
      <c r="AID78" s="172"/>
      <c r="AIE78" s="172"/>
      <c r="AIF78" s="172"/>
      <c r="AIG78" s="172"/>
      <c r="AIH78" s="172"/>
      <c r="AII78" s="172"/>
      <c r="AIJ78" s="172"/>
      <c r="AIK78" s="172"/>
      <c r="AIL78" s="172"/>
      <c r="AIM78" s="172"/>
      <c r="AIN78" s="172"/>
      <c r="AIO78" s="172"/>
      <c r="AIP78" s="172"/>
      <c r="AIQ78" s="172"/>
      <c r="AIR78" s="172"/>
      <c r="AIS78" s="172"/>
      <c r="AIT78" s="172"/>
      <c r="AIU78" s="172"/>
      <c r="AIV78" s="172"/>
      <c r="AIW78" s="172"/>
      <c r="AIX78" s="172"/>
      <c r="AIY78" s="172"/>
      <c r="AIZ78" s="172"/>
      <c r="AJA78" s="172"/>
      <c r="AJB78" s="172"/>
      <c r="AJC78" s="172"/>
      <c r="AJD78" s="172"/>
      <c r="AJE78" s="172"/>
      <c r="AJF78" s="172"/>
      <c r="AJG78" s="172"/>
      <c r="AJH78" s="172"/>
      <c r="AJI78" s="172"/>
      <c r="AJJ78" s="172"/>
      <c r="AJK78" s="172"/>
      <c r="AJL78" s="172"/>
      <c r="AJM78" s="172"/>
      <c r="AJN78" s="172"/>
      <c r="AJO78" s="172"/>
      <c r="AJP78" s="172"/>
      <c r="AJQ78" s="172"/>
      <c r="AJR78" s="172"/>
      <c r="AJS78" s="172"/>
      <c r="AJT78" s="172"/>
      <c r="AJU78" s="172"/>
      <c r="AJV78" s="172"/>
      <c r="AJW78" s="172"/>
      <c r="AJX78" s="172"/>
      <c r="AJY78" s="172"/>
      <c r="AJZ78" s="172"/>
      <c r="AKA78" s="172"/>
      <c r="AKB78" s="172"/>
      <c r="AKC78" s="172"/>
      <c r="AKD78" s="172"/>
      <c r="AKE78" s="172"/>
      <c r="AKF78" s="172"/>
      <c r="AKG78" s="172"/>
      <c r="AKH78" s="172"/>
      <c r="AKI78" s="172"/>
      <c r="AKJ78" s="172"/>
      <c r="AKK78" s="172"/>
      <c r="AKL78" s="172"/>
      <c r="AKM78" s="172"/>
      <c r="AKN78" s="172"/>
      <c r="AKO78" s="172"/>
      <c r="AKP78" s="172"/>
      <c r="AKQ78" s="172"/>
      <c r="AKR78" s="172"/>
      <c r="AKS78" s="172"/>
      <c r="AKT78" s="172"/>
      <c r="AKU78" s="172"/>
      <c r="AKV78" s="172"/>
      <c r="AKW78" s="172"/>
      <c r="AKX78" s="172"/>
      <c r="AKY78" s="172"/>
      <c r="AKZ78" s="172"/>
      <c r="ALA78" s="172"/>
      <c r="ALB78" s="172"/>
      <c r="ALC78" s="172"/>
      <c r="ALD78" s="172"/>
      <c r="ALE78" s="172"/>
      <c r="ALF78" s="172"/>
      <c r="ALG78" s="172"/>
      <c r="ALH78" s="172"/>
      <c r="ALI78" s="172"/>
      <c r="ALJ78" s="172"/>
      <c r="ALK78" s="172"/>
      <c r="ALL78" s="172"/>
      <c r="ALM78" s="172"/>
      <c r="ALN78" s="172"/>
      <c r="ALO78" s="172"/>
      <c r="ALP78" s="172"/>
      <c r="ALQ78" s="172"/>
      <c r="ALR78" s="172"/>
      <c r="ALS78" s="172"/>
      <c r="ALT78" s="172"/>
      <c r="ALU78" s="172"/>
      <c r="ALV78" s="172"/>
      <c r="ALW78" s="172"/>
      <c r="ALX78" s="172"/>
      <c r="ALY78" s="172"/>
      <c r="ALZ78" s="172"/>
      <c r="AMA78" s="172"/>
      <c r="AMB78" s="172"/>
      <c r="AMC78" s="172"/>
      <c r="AMD78" s="172"/>
      <c r="AME78" s="172"/>
      <c r="AMF78" s="172"/>
      <c r="AMG78" s="172"/>
      <c r="AMH78" s="172"/>
      <c r="AMI78" s="172"/>
      <c r="AMJ78" s="172"/>
      <c r="AMK78" s="172"/>
      <c r="AML78" s="172"/>
      <c r="AMM78" s="172"/>
      <c r="AMN78" s="172"/>
      <c r="AMO78" s="172"/>
      <c r="AMP78" s="172"/>
      <c r="AMQ78" s="172"/>
      <c r="AMR78" s="172"/>
      <c r="AMS78" s="172"/>
      <c r="AMT78" s="172"/>
      <c r="AMU78" s="172"/>
      <c r="AMV78" s="172"/>
      <c r="AMW78" s="172"/>
      <c r="AMX78" s="172"/>
      <c r="AMY78" s="172"/>
      <c r="AMZ78" s="172"/>
      <c r="ANA78" s="172"/>
      <c r="ANB78" s="172"/>
      <c r="ANC78" s="172"/>
      <c r="AND78" s="172"/>
      <c r="ANE78" s="172"/>
      <c r="ANF78" s="172"/>
      <c r="ANG78" s="172"/>
      <c r="ANH78" s="172"/>
      <c r="ANI78" s="172"/>
      <c r="ANJ78" s="172"/>
      <c r="ANK78" s="172"/>
      <c r="ANL78" s="172"/>
      <c r="ANM78" s="172"/>
      <c r="ANN78" s="172"/>
      <c r="ANO78" s="172"/>
      <c r="ANP78" s="172"/>
      <c r="ANQ78" s="172"/>
      <c r="ANR78" s="172"/>
      <c r="ANS78" s="172"/>
      <c r="ANT78" s="172"/>
      <c r="ANU78" s="172"/>
      <c r="ANV78" s="172"/>
      <c r="ANW78" s="172"/>
      <c r="ANX78" s="172"/>
      <c r="ANY78" s="172"/>
      <c r="ANZ78" s="172"/>
      <c r="AOA78" s="172"/>
      <c r="AOB78" s="172"/>
      <c r="AOC78" s="172"/>
      <c r="AOD78" s="172"/>
      <c r="AOE78" s="172"/>
      <c r="AOF78" s="172"/>
      <c r="AOG78" s="172"/>
      <c r="AOH78" s="172"/>
      <c r="AOI78" s="172"/>
      <c r="AOJ78" s="172"/>
      <c r="AOK78" s="172"/>
      <c r="AOL78" s="172"/>
      <c r="AOM78" s="172"/>
      <c r="AON78" s="172"/>
      <c r="AOO78" s="172"/>
      <c r="AOP78" s="172"/>
      <c r="AOQ78" s="172"/>
      <c r="AOR78" s="172"/>
      <c r="AOS78" s="172"/>
      <c r="AOT78" s="172"/>
      <c r="AOU78" s="172"/>
      <c r="AOV78" s="172"/>
      <c r="AOW78" s="172"/>
      <c r="AOX78" s="172"/>
      <c r="AOY78" s="172"/>
      <c r="AOZ78" s="172"/>
      <c r="APA78" s="172"/>
      <c r="APB78" s="172"/>
      <c r="APC78" s="172"/>
      <c r="APD78" s="172"/>
      <c r="APE78" s="172"/>
      <c r="APF78" s="172"/>
      <c r="APG78" s="172"/>
      <c r="APH78" s="172"/>
      <c r="API78" s="172"/>
      <c r="APJ78" s="172"/>
      <c r="APK78" s="172"/>
      <c r="APL78" s="172"/>
      <c r="APM78" s="172"/>
      <c r="APN78" s="172"/>
      <c r="APO78" s="172"/>
      <c r="APP78" s="172"/>
      <c r="APQ78" s="172"/>
      <c r="APR78" s="172"/>
      <c r="APS78" s="172"/>
      <c r="APT78" s="172"/>
      <c r="APU78" s="172"/>
      <c r="APV78" s="172"/>
      <c r="APW78" s="172"/>
      <c r="APX78" s="172"/>
      <c r="APY78" s="172"/>
      <c r="APZ78" s="172"/>
      <c r="AQA78" s="172"/>
      <c r="AQB78" s="172"/>
      <c r="AQC78" s="172"/>
      <c r="AQD78" s="172"/>
      <c r="AQE78" s="172"/>
      <c r="AQF78" s="172"/>
      <c r="AQG78" s="172"/>
      <c r="AQH78" s="172"/>
      <c r="AQI78" s="172"/>
      <c r="AQJ78" s="172"/>
      <c r="AQK78" s="172"/>
      <c r="AQL78" s="172"/>
      <c r="AQM78" s="172"/>
      <c r="AQN78" s="172"/>
      <c r="AQO78" s="172"/>
      <c r="AQP78" s="172"/>
      <c r="AQQ78" s="172"/>
      <c r="AQR78" s="172"/>
      <c r="AQS78" s="172"/>
      <c r="AQT78" s="172"/>
      <c r="AQU78" s="172"/>
      <c r="AQV78" s="172"/>
      <c r="AQW78" s="172"/>
      <c r="AQX78" s="172"/>
      <c r="AQY78" s="172"/>
      <c r="AQZ78" s="172"/>
      <c r="ARA78" s="172"/>
      <c r="ARB78" s="172"/>
      <c r="ARC78" s="172"/>
      <c r="ARD78" s="172"/>
      <c r="ARE78" s="172"/>
      <c r="ARF78" s="172"/>
      <c r="ARG78" s="172"/>
      <c r="ARH78" s="172"/>
      <c r="ARI78" s="172"/>
      <c r="ARJ78" s="172"/>
      <c r="ARK78" s="172"/>
      <c r="ARL78" s="172"/>
      <c r="ARM78" s="172"/>
      <c r="ARN78" s="172"/>
      <c r="ARO78" s="172"/>
      <c r="ARP78" s="172"/>
      <c r="ARQ78" s="172"/>
      <c r="ARR78" s="172"/>
      <c r="ARS78" s="172"/>
      <c r="ART78" s="172"/>
      <c r="ARU78" s="172"/>
    </row>
    <row r="79" spans="1:1165" s="257" customFormat="1">
      <c r="A79" s="222" t="s">
        <v>207</v>
      </c>
      <c r="B79" s="195" t="s">
        <v>87</v>
      </c>
      <c r="C79" s="288">
        <v>0</v>
      </c>
      <c r="D79" s="288">
        <v>0</v>
      </c>
      <c r="E79" s="288">
        <v>0</v>
      </c>
      <c r="F79" s="288">
        <v>0</v>
      </c>
      <c r="G79" s="288">
        <v>0</v>
      </c>
      <c r="H79" s="288">
        <v>0</v>
      </c>
      <c r="I79" s="288">
        <v>0</v>
      </c>
      <c r="J79" s="288">
        <v>0</v>
      </c>
      <c r="K79" s="288">
        <v>0</v>
      </c>
      <c r="L79" s="288">
        <v>0</v>
      </c>
      <c r="M79" s="288">
        <v>0</v>
      </c>
      <c r="N79" s="288">
        <v>0</v>
      </c>
      <c r="O79" s="288">
        <v>0</v>
      </c>
      <c r="P79" s="288">
        <v>0</v>
      </c>
      <c r="Q79" s="288">
        <v>0</v>
      </c>
      <c r="R79" s="288">
        <v>0</v>
      </c>
      <c r="S79" s="288">
        <v>0</v>
      </c>
      <c r="T79" s="288">
        <v>0</v>
      </c>
      <c r="U79" s="288">
        <v>0</v>
      </c>
      <c r="V79" s="288">
        <v>0</v>
      </c>
      <c r="W79" s="288">
        <v>0</v>
      </c>
      <c r="X79" s="288">
        <v>0</v>
      </c>
      <c r="Y79" s="288">
        <v>0</v>
      </c>
      <c r="Z79" s="288">
        <v>0</v>
      </c>
      <c r="AA79" s="288">
        <v>0</v>
      </c>
      <c r="AB79" s="288">
        <v>0</v>
      </c>
      <c r="AC79" s="288">
        <v>0</v>
      </c>
      <c r="AD79" s="288">
        <v>0</v>
      </c>
      <c r="AE79" s="288">
        <v>0</v>
      </c>
      <c r="AF79" s="288">
        <v>0</v>
      </c>
      <c r="AG79" s="288">
        <v>0</v>
      </c>
      <c r="AH79" s="288">
        <v>0</v>
      </c>
      <c r="AI79" s="288">
        <v>0</v>
      </c>
      <c r="AJ79" s="288">
        <v>0</v>
      </c>
      <c r="AK79" s="302">
        <v>0</v>
      </c>
      <c r="AL79" s="288">
        <v>0</v>
      </c>
      <c r="AM79" s="288">
        <v>0</v>
      </c>
      <c r="AN79" s="288">
        <v>0</v>
      </c>
      <c r="AO79" s="288">
        <v>0</v>
      </c>
      <c r="AP79" s="288">
        <v>0</v>
      </c>
      <c r="AQ79" s="288">
        <v>0</v>
      </c>
      <c r="AR79" s="288">
        <v>0</v>
      </c>
      <c r="AS79" s="288">
        <v>0</v>
      </c>
      <c r="AT79" s="288">
        <v>0</v>
      </c>
      <c r="AU79" s="302">
        <v>226.75</v>
      </c>
      <c r="AV79" s="302">
        <v>80620</v>
      </c>
      <c r="AW79" s="258">
        <v>515</v>
      </c>
      <c r="AX79" s="258">
        <v>183099</v>
      </c>
      <c r="AY79" s="258">
        <v>463.94</v>
      </c>
      <c r="AZ79" s="258">
        <v>160461</v>
      </c>
      <c r="BA79" s="262"/>
      <c r="BB79" s="284"/>
      <c r="BC79" s="284"/>
      <c r="BD79" s="284"/>
      <c r="BE79" s="284"/>
      <c r="BF79" s="284"/>
      <c r="BG79" s="284"/>
      <c r="BH79" s="284"/>
      <c r="BI79" s="262"/>
      <c r="BJ79" s="284">
        <f t="shared" si="57"/>
        <v>1205.69</v>
      </c>
      <c r="BK79" s="258">
        <f t="shared" si="58"/>
        <v>424180</v>
      </c>
      <c r="BL79" s="172"/>
      <c r="BM79" s="13"/>
      <c r="BN79" s="172"/>
      <c r="BO79" s="231"/>
      <c r="BP79" s="231"/>
      <c r="BQ79" s="172"/>
      <c r="BR79" s="172"/>
      <c r="BS79" s="172"/>
      <c r="BT79" s="172"/>
      <c r="BU79" s="172"/>
      <c r="BV79" s="172"/>
      <c r="BW79" s="172"/>
      <c r="BX79" s="172"/>
      <c r="BY79" s="172"/>
      <c r="BZ79" s="172"/>
      <c r="CA79" s="172"/>
      <c r="CB79" s="172"/>
      <c r="CC79" s="172"/>
      <c r="CD79" s="172"/>
      <c r="CE79" s="172"/>
      <c r="CF79" s="172"/>
      <c r="CG79" s="172"/>
      <c r="CH79" s="172"/>
      <c r="CI79" s="172"/>
      <c r="CJ79" s="172"/>
      <c r="CK79" s="172"/>
      <c r="CL79" s="172"/>
      <c r="CM79" s="172"/>
      <c r="CN79" s="172"/>
      <c r="CO79" s="172"/>
      <c r="CP79" s="172"/>
      <c r="CQ79" s="172"/>
      <c r="CR79" s="172"/>
      <c r="CS79" s="172"/>
      <c r="CT79" s="172"/>
      <c r="CU79" s="172"/>
      <c r="CV79" s="172"/>
      <c r="CW79" s="172"/>
      <c r="CX79" s="172"/>
      <c r="CY79" s="172"/>
      <c r="CZ79" s="172"/>
      <c r="DA79" s="172"/>
      <c r="DB79" s="172"/>
      <c r="DC79" s="172"/>
      <c r="DD79" s="172"/>
      <c r="DE79" s="172"/>
      <c r="DF79" s="172"/>
      <c r="DG79" s="172"/>
      <c r="DH79" s="172"/>
      <c r="DI79" s="172"/>
      <c r="DJ79" s="172"/>
      <c r="DK79" s="172"/>
      <c r="DL79" s="172"/>
      <c r="DM79" s="172"/>
      <c r="DN79" s="172"/>
      <c r="DO79" s="172"/>
      <c r="DP79" s="172"/>
      <c r="DQ79" s="172"/>
      <c r="DR79" s="172"/>
      <c r="DS79" s="172"/>
      <c r="DT79" s="172"/>
      <c r="DU79" s="172"/>
      <c r="DV79" s="172"/>
      <c r="DW79" s="172"/>
      <c r="DX79" s="172"/>
      <c r="DY79" s="172"/>
      <c r="DZ79" s="172"/>
      <c r="EA79" s="172"/>
      <c r="EB79" s="172"/>
      <c r="EC79" s="172"/>
      <c r="ED79" s="172"/>
      <c r="EE79" s="172"/>
      <c r="EF79" s="172"/>
      <c r="EG79" s="172"/>
      <c r="EH79" s="172"/>
      <c r="EI79" s="172"/>
      <c r="EJ79" s="172"/>
      <c r="EK79" s="172"/>
      <c r="EL79" s="172"/>
      <c r="EM79" s="172"/>
      <c r="EN79" s="172"/>
      <c r="EO79" s="172"/>
      <c r="EP79" s="172"/>
      <c r="EQ79" s="172"/>
      <c r="ER79" s="172"/>
      <c r="ES79" s="172"/>
      <c r="ET79" s="172"/>
      <c r="EU79" s="172"/>
      <c r="EV79" s="172"/>
      <c r="EW79" s="172"/>
      <c r="EX79" s="172"/>
      <c r="EY79" s="172"/>
      <c r="EZ79" s="172"/>
      <c r="FA79" s="172"/>
      <c r="FB79" s="172"/>
      <c r="FC79" s="172"/>
      <c r="FD79" s="172"/>
      <c r="FE79" s="172"/>
      <c r="FF79" s="172"/>
      <c r="FG79" s="172"/>
      <c r="FH79" s="172"/>
      <c r="FI79" s="172"/>
      <c r="FJ79" s="172"/>
      <c r="FK79" s="172"/>
      <c r="FL79" s="172"/>
      <c r="FM79" s="172"/>
      <c r="FN79" s="172"/>
      <c r="FO79" s="172"/>
      <c r="FP79" s="172"/>
      <c r="FQ79" s="172"/>
      <c r="FR79" s="172"/>
      <c r="FS79" s="172"/>
      <c r="FT79" s="172"/>
      <c r="FU79" s="172"/>
      <c r="FV79" s="172"/>
      <c r="FW79" s="172"/>
      <c r="FX79" s="172"/>
      <c r="FY79" s="172"/>
      <c r="FZ79" s="172"/>
      <c r="GA79" s="172"/>
      <c r="GB79" s="172"/>
      <c r="GC79" s="172"/>
      <c r="GD79" s="172"/>
      <c r="GE79" s="172"/>
      <c r="GF79" s="172"/>
      <c r="GG79" s="172"/>
      <c r="GH79" s="172"/>
      <c r="GI79" s="172"/>
      <c r="GJ79" s="172"/>
      <c r="GK79" s="172"/>
      <c r="GL79" s="172"/>
      <c r="GM79" s="172"/>
      <c r="GN79" s="172"/>
      <c r="GO79" s="172"/>
      <c r="GP79" s="172"/>
      <c r="GQ79" s="172"/>
      <c r="GR79" s="172"/>
      <c r="GS79" s="172"/>
      <c r="GT79" s="172"/>
      <c r="GU79" s="172"/>
      <c r="GV79" s="172"/>
      <c r="GW79" s="172"/>
      <c r="GX79" s="172"/>
      <c r="GY79" s="172"/>
      <c r="GZ79" s="172"/>
      <c r="HA79" s="172"/>
      <c r="HB79" s="172"/>
      <c r="HC79" s="172"/>
      <c r="HD79" s="172"/>
      <c r="HE79" s="172"/>
      <c r="HF79" s="172"/>
      <c r="HG79" s="172"/>
      <c r="HH79" s="172"/>
      <c r="HI79" s="172"/>
      <c r="HJ79" s="172"/>
      <c r="HK79" s="172"/>
      <c r="HL79" s="172"/>
      <c r="HM79" s="172"/>
      <c r="HN79" s="172"/>
      <c r="HO79" s="172"/>
      <c r="HP79" s="172"/>
      <c r="HQ79" s="172"/>
      <c r="HR79" s="172"/>
      <c r="HS79" s="172"/>
      <c r="HT79" s="172"/>
      <c r="HU79" s="172"/>
      <c r="HV79" s="172"/>
      <c r="HW79" s="172"/>
      <c r="HX79" s="172"/>
      <c r="HY79" s="172"/>
      <c r="HZ79" s="172"/>
      <c r="IA79" s="172"/>
      <c r="IB79" s="172"/>
      <c r="IC79" s="172"/>
      <c r="ID79" s="172"/>
      <c r="IE79" s="172"/>
      <c r="IF79" s="172"/>
      <c r="IG79" s="172"/>
      <c r="IH79" s="172"/>
      <c r="II79" s="172"/>
      <c r="IJ79" s="172"/>
      <c r="IK79" s="172"/>
      <c r="IL79" s="172"/>
      <c r="IM79" s="172"/>
      <c r="IN79" s="172"/>
      <c r="IO79" s="172"/>
      <c r="IP79" s="172"/>
      <c r="IQ79" s="172"/>
      <c r="IR79" s="172"/>
      <c r="IS79" s="172"/>
      <c r="IT79" s="172"/>
      <c r="IU79" s="172"/>
      <c r="IV79" s="172"/>
      <c r="IW79" s="172"/>
      <c r="IX79" s="172"/>
      <c r="IY79" s="172"/>
      <c r="IZ79" s="172"/>
      <c r="JA79" s="172"/>
      <c r="JB79" s="172"/>
      <c r="JC79" s="172"/>
      <c r="JD79" s="172"/>
      <c r="JE79" s="172"/>
      <c r="JF79" s="172"/>
      <c r="JG79" s="172"/>
      <c r="JH79" s="172"/>
      <c r="JI79" s="172"/>
      <c r="JJ79" s="172"/>
      <c r="JK79" s="172"/>
      <c r="JL79" s="172"/>
      <c r="JM79" s="172"/>
      <c r="JN79" s="172"/>
      <c r="JO79" s="172"/>
      <c r="JP79" s="172"/>
      <c r="JQ79" s="172"/>
      <c r="JR79" s="172"/>
      <c r="JS79" s="172"/>
      <c r="JT79" s="172"/>
      <c r="JU79" s="172"/>
      <c r="JV79" s="172"/>
      <c r="JW79" s="172"/>
      <c r="JX79" s="172"/>
      <c r="JY79" s="172"/>
      <c r="JZ79" s="172"/>
      <c r="KA79" s="172"/>
      <c r="KB79" s="172"/>
      <c r="KC79" s="172"/>
      <c r="KD79" s="172"/>
      <c r="KE79" s="172"/>
      <c r="KF79" s="172"/>
      <c r="KG79" s="172"/>
      <c r="KH79" s="172"/>
      <c r="KI79" s="172"/>
      <c r="KJ79" s="172"/>
      <c r="KK79" s="172"/>
      <c r="KL79" s="172"/>
      <c r="KM79" s="172"/>
      <c r="KN79" s="172"/>
      <c r="KO79" s="172"/>
      <c r="KP79" s="172"/>
      <c r="KQ79" s="172"/>
      <c r="KR79" s="172"/>
      <c r="KS79" s="172"/>
      <c r="KT79" s="172"/>
      <c r="KU79" s="172"/>
      <c r="KV79" s="172"/>
      <c r="KW79" s="172"/>
      <c r="KX79" s="172"/>
      <c r="KY79" s="172"/>
      <c r="KZ79" s="172"/>
      <c r="LA79" s="172"/>
      <c r="LB79" s="172"/>
      <c r="LC79" s="172"/>
      <c r="LD79" s="172"/>
      <c r="LE79" s="172"/>
      <c r="LF79" s="172"/>
      <c r="LG79" s="172"/>
      <c r="LH79" s="172"/>
      <c r="LI79" s="172"/>
      <c r="LJ79" s="172"/>
      <c r="LK79" s="172"/>
      <c r="LL79" s="172"/>
      <c r="LM79" s="172"/>
      <c r="LN79" s="172"/>
      <c r="LO79" s="172"/>
      <c r="LP79" s="172"/>
      <c r="LQ79" s="172"/>
      <c r="LR79" s="172"/>
      <c r="LS79" s="172"/>
      <c r="LT79" s="172"/>
      <c r="LU79" s="172"/>
      <c r="LV79" s="172"/>
      <c r="LW79" s="172"/>
      <c r="LX79" s="172"/>
      <c r="LY79" s="172"/>
      <c r="LZ79" s="172"/>
      <c r="MA79" s="172"/>
      <c r="MB79" s="172"/>
      <c r="MC79" s="172"/>
      <c r="MD79" s="172"/>
      <c r="ME79" s="172"/>
      <c r="MF79" s="172"/>
      <c r="MG79" s="172"/>
      <c r="MH79" s="172"/>
      <c r="MI79" s="172"/>
      <c r="MJ79" s="172"/>
      <c r="MK79" s="172"/>
      <c r="ML79" s="172"/>
      <c r="MM79" s="172"/>
      <c r="MN79" s="172"/>
      <c r="MO79" s="172"/>
      <c r="MP79" s="172"/>
      <c r="MQ79" s="172"/>
      <c r="MR79" s="172"/>
      <c r="MS79" s="172"/>
      <c r="MT79" s="172"/>
      <c r="MU79" s="172"/>
      <c r="MV79" s="172"/>
      <c r="MW79" s="172"/>
      <c r="MX79" s="172"/>
      <c r="MY79" s="172"/>
      <c r="MZ79" s="172"/>
      <c r="NA79" s="172"/>
      <c r="NB79" s="172"/>
      <c r="NC79" s="172"/>
      <c r="ND79" s="172"/>
      <c r="NE79" s="172"/>
      <c r="NF79" s="172"/>
      <c r="NG79" s="172"/>
      <c r="NH79" s="172"/>
      <c r="NI79" s="172"/>
      <c r="NJ79" s="172"/>
      <c r="NK79" s="172"/>
      <c r="NL79" s="172"/>
      <c r="NM79" s="172"/>
      <c r="NN79" s="172"/>
      <c r="NO79" s="172"/>
      <c r="NP79" s="172"/>
      <c r="NQ79" s="172"/>
      <c r="NR79" s="172"/>
      <c r="NS79" s="172"/>
      <c r="NT79" s="172"/>
      <c r="NU79" s="172"/>
      <c r="NV79" s="172"/>
      <c r="NW79" s="172"/>
      <c r="NX79" s="172"/>
      <c r="NY79" s="172"/>
      <c r="NZ79" s="172"/>
      <c r="OA79" s="172"/>
      <c r="OB79" s="172"/>
      <c r="OC79" s="172"/>
      <c r="OD79" s="172"/>
      <c r="OE79" s="172"/>
      <c r="OF79" s="172"/>
      <c r="OG79" s="172"/>
      <c r="OH79" s="172"/>
      <c r="OI79" s="172"/>
      <c r="OJ79" s="172"/>
      <c r="OK79" s="172"/>
      <c r="OL79" s="172"/>
      <c r="OM79" s="172"/>
      <c r="ON79" s="172"/>
      <c r="OO79" s="172"/>
      <c r="OP79" s="172"/>
      <c r="OQ79" s="172"/>
      <c r="OR79" s="172"/>
      <c r="OS79" s="172"/>
      <c r="OT79" s="172"/>
      <c r="OU79" s="172"/>
      <c r="OV79" s="172"/>
      <c r="OW79" s="172"/>
      <c r="OX79" s="172"/>
      <c r="OY79" s="172"/>
      <c r="OZ79" s="172"/>
      <c r="PA79" s="172"/>
      <c r="PB79" s="172"/>
      <c r="PC79" s="172"/>
      <c r="PD79" s="172"/>
      <c r="PE79" s="172"/>
      <c r="PF79" s="172"/>
      <c r="PG79" s="172"/>
      <c r="PH79" s="172"/>
      <c r="PI79" s="172"/>
      <c r="PJ79" s="172"/>
      <c r="PK79" s="172"/>
      <c r="PL79" s="172"/>
      <c r="PM79" s="172"/>
      <c r="PN79" s="172"/>
      <c r="PO79" s="172"/>
      <c r="PP79" s="172"/>
      <c r="PQ79" s="172"/>
      <c r="PR79" s="172"/>
      <c r="PS79" s="172"/>
      <c r="PT79" s="172"/>
      <c r="PU79" s="172"/>
      <c r="PV79" s="172"/>
      <c r="PW79" s="172"/>
      <c r="PX79" s="172"/>
      <c r="PY79" s="172"/>
      <c r="PZ79" s="172"/>
      <c r="QA79" s="172"/>
      <c r="QB79" s="172"/>
      <c r="QC79" s="172"/>
      <c r="QD79" s="172"/>
      <c r="QE79" s="172"/>
      <c r="QF79" s="172"/>
      <c r="QG79" s="172"/>
      <c r="QH79" s="172"/>
      <c r="QI79" s="172"/>
      <c r="QJ79" s="172"/>
      <c r="QK79" s="172"/>
      <c r="QL79" s="172"/>
      <c r="QM79" s="172"/>
      <c r="QN79" s="172"/>
      <c r="QO79" s="172"/>
      <c r="QP79" s="172"/>
      <c r="QQ79" s="172"/>
      <c r="QR79" s="172"/>
      <c r="QS79" s="172"/>
      <c r="QT79" s="172"/>
      <c r="QU79" s="172"/>
      <c r="QV79" s="172"/>
      <c r="QW79" s="172"/>
      <c r="QX79" s="172"/>
      <c r="QY79" s="172"/>
      <c r="QZ79" s="172"/>
      <c r="RA79" s="172"/>
      <c r="RB79" s="172"/>
      <c r="RC79" s="172"/>
      <c r="RD79" s="172"/>
      <c r="RE79" s="172"/>
      <c r="RF79" s="172"/>
      <c r="RG79" s="172"/>
      <c r="RH79" s="172"/>
      <c r="RI79" s="172"/>
      <c r="RJ79" s="172"/>
      <c r="RK79" s="172"/>
      <c r="RL79" s="172"/>
      <c r="RM79" s="172"/>
      <c r="RN79" s="172"/>
      <c r="RO79" s="172"/>
      <c r="RP79" s="172"/>
      <c r="RQ79" s="172"/>
      <c r="RR79" s="172"/>
      <c r="RS79" s="172"/>
      <c r="RT79" s="172"/>
      <c r="RU79" s="172"/>
      <c r="RV79" s="172"/>
      <c r="RW79" s="172"/>
      <c r="RX79" s="172"/>
      <c r="RY79" s="172"/>
      <c r="RZ79" s="172"/>
      <c r="SA79" s="172"/>
      <c r="SB79" s="172"/>
      <c r="SC79" s="172"/>
      <c r="SD79" s="172"/>
      <c r="SE79" s="172"/>
      <c r="SF79" s="172"/>
      <c r="SG79" s="172"/>
      <c r="SH79" s="172"/>
      <c r="SI79" s="172"/>
      <c r="SJ79" s="172"/>
      <c r="SK79" s="172"/>
      <c r="SL79" s="172"/>
      <c r="SM79" s="172"/>
      <c r="SN79" s="172"/>
      <c r="SO79" s="172"/>
      <c r="SP79" s="172"/>
      <c r="SQ79" s="172"/>
      <c r="SR79" s="172"/>
      <c r="SS79" s="172"/>
      <c r="ST79" s="172"/>
      <c r="SU79" s="172"/>
      <c r="SV79" s="172"/>
      <c r="SW79" s="172"/>
      <c r="SX79" s="172"/>
      <c r="SY79" s="172"/>
      <c r="SZ79" s="172"/>
      <c r="TA79" s="172"/>
      <c r="TB79" s="172"/>
      <c r="TC79" s="172"/>
      <c r="TD79" s="172"/>
      <c r="TE79" s="172"/>
      <c r="TF79" s="172"/>
      <c r="TG79" s="172"/>
      <c r="TH79" s="172"/>
      <c r="TI79" s="172"/>
      <c r="TJ79" s="172"/>
      <c r="TK79" s="172"/>
      <c r="TL79" s="172"/>
      <c r="TM79" s="172"/>
      <c r="TN79" s="172"/>
      <c r="TO79" s="172"/>
      <c r="TP79" s="172"/>
      <c r="TQ79" s="172"/>
      <c r="TR79" s="172"/>
      <c r="TS79" s="172"/>
      <c r="TT79" s="172"/>
      <c r="TU79" s="172"/>
      <c r="TV79" s="172"/>
      <c r="TW79" s="172"/>
      <c r="TX79" s="172"/>
      <c r="TY79" s="172"/>
      <c r="TZ79" s="172"/>
      <c r="UA79" s="172"/>
      <c r="UB79" s="172"/>
      <c r="UC79" s="172"/>
      <c r="UD79" s="172"/>
      <c r="UE79" s="172"/>
      <c r="UF79" s="172"/>
      <c r="UG79" s="172"/>
      <c r="UH79" s="172"/>
      <c r="UI79" s="172"/>
      <c r="UJ79" s="172"/>
      <c r="UK79" s="172"/>
      <c r="UL79" s="172"/>
      <c r="UM79" s="172"/>
      <c r="UN79" s="172"/>
      <c r="UO79" s="172"/>
      <c r="UP79" s="172"/>
      <c r="UQ79" s="172"/>
      <c r="UR79" s="172"/>
      <c r="US79" s="172"/>
      <c r="UT79" s="172"/>
      <c r="UU79" s="172"/>
      <c r="UV79" s="172"/>
      <c r="UW79" s="172"/>
      <c r="UX79" s="172"/>
      <c r="UY79" s="172"/>
      <c r="UZ79" s="172"/>
      <c r="VA79" s="172"/>
      <c r="VB79" s="172"/>
      <c r="VC79" s="172"/>
      <c r="VD79" s="172"/>
      <c r="VE79" s="172"/>
      <c r="VF79" s="172"/>
      <c r="VG79" s="172"/>
      <c r="VH79" s="172"/>
      <c r="VI79" s="172"/>
      <c r="VJ79" s="172"/>
      <c r="VK79" s="172"/>
      <c r="VL79" s="172"/>
      <c r="VM79" s="172"/>
      <c r="VN79" s="172"/>
      <c r="VO79" s="172"/>
      <c r="VP79" s="172"/>
      <c r="VQ79" s="172"/>
      <c r="VR79" s="172"/>
      <c r="VS79" s="172"/>
      <c r="VT79" s="172"/>
      <c r="VU79" s="172"/>
      <c r="VV79" s="172"/>
      <c r="VW79" s="172"/>
      <c r="VX79" s="172"/>
      <c r="VY79" s="172"/>
      <c r="VZ79" s="172"/>
      <c r="WA79" s="172"/>
      <c r="WB79" s="172"/>
      <c r="WC79" s="172"/>
      <c r="WD79" s="172"/>
      <c r="WE79" s="172"/>
      <c r="WF79" s="172"/>
      <c r="WG79" s="172"/>
      <c r="WH79" s="172"/>
      <c r="WI79" s="172"/>
      <c r="WJ79" s="172"/>
      <c r="WK79" s="172"/>
      <c r="WL79" s="172"/>
      <c r="WM79" s="172"/>
      <c r="WN79" s="172"/>
      <c r="WO79" s="172"/>
      <c r="WP79" s="172"/>
      <c r="WQ79" s="172"/>
      <c r="WR79" s="172"/>
      <c r="WS79" s="172"/>
      <c r="WT79" s="172"/>
      <c r="WU79" s="172"/>
      <c r="WV79" s="172"/>
      <c r="WW79" s="172"/>
      <c r="WX79" s="172"/>
      <c r="WY79" s="172"/>
      <c r="WZ79" s="172"/>
      <c r="XA79" s="172"/>
      <c r="XB79" s="172"/>
      <c r="XC79" s="172"/>
      <c r="XD79" s="172"/>
      <c r="XE79" s="172"/>
      <c r="XF79" s="172"/>
      <c r="XG79" s="172"/>
      <c r="XH79" s="172"/>
      <c r="XI79" s="172"/>
      <c r="XJ79" s="172"/>
      <c r="XK79" s="172"/>
      <c r="XL79" s="172"/>
      <c r="XM79" s="172"/>
      <c r="XN79" s="172"/>
      <c r="XO79" s="172"/>
      <c r="XP79" s="172"/>
      <c r="XQ79" s="172"/>
      <c r="XR79" s="172"/>
      <c r="XS79" s="172"/>
      <c r="XT79" s="172"/>
      <c r="XU79" s="172"/>
      <c r="XV79" s="172"/>
      <c r="XW79" s="172"/>
      <c r="XX79" s="172"/>
      <c r="XY79" s="172"/>
      <c r="XZ79" s="172"/>
      <c r="YA79" s="172"/>
      <c r="YB79" s="172"/>
      <c r="YC79" s="172"/>
      <c r="YD79" s="172"/>
      <c r="YE79" s="172"/>
      <c r="YF79" s="172"/>
      <c r="YG79" s="172"/>
      <c r="YH79" s="172"/>
      <c r="YI79" s="172"/>
      <c r="YJ79" s="172"/>
      <c r="YK79" s="172"/>
      <c r="YL79" s="172"/>
      <c r="YM79" s="172"/>
      <c r="YN79" s="172"/>
      <c r="YO79" s="172"/>
      <c r="YP79" s="172"/>
      <c r="YQ79" s="172"/>
      <c r="YR79" s="172"/>
      <c r="YS79" s="172"/>
      <c r="YT79" s="172"/>
      <c r="YU79" s="172"/>
      <c r="YV79" s="172"/>
      <c r="YW79" s="172"/>
      <c r="YX79" s="172"/>
      <c r="YY79" s="172"/>
      <c r="YZ79" s="172"/>
      <c r="ZA79" s="172"/>
      <c r="ZB79" s="172"/>
      <c r="ZC79" s="172"/>
      <c r="ZD79" s="172"/>
      <c r="ZE79" s="172"/>
      <c r="ZF79" s="172"/>
      <c r="ZG79" s="172"/>
      <c r="ZH79" s="172"/>
      <c r="ZI79" s="172"/>
      <c r="ZJ79" s="172"/>
      <c r="ZK79" s="172"/>
      <c r="ZL79" s="172"/>
      <c r="ZM79" s="172"/>
      <c r="ZN79" s="172"/>
      <c r="ZO79" s="172"/>
      <c r="ZP79" s="172"/>
      <c r="ZQ79" s="172"/>
      <c r="ZR79" s="172"/>
      <c r="ZS79" s="172"/>
      <c r="ZT79" s="172"/>
      <c r="ZU79" s="172"/>
      <c r="ZV79" s="172"/>
      <c r="ZW79" s="172"/>
      <c r="ZX79" s="172"/>
      <c r="ZY79" s="172"/>
      <c r="ZZ79" s="172"/>
      <c r="AAA79" s="172"/>
      <c r="AAB79" s="172"/>
      <c r="AAC79" s="172"/>
      <c r="AAD79" s="172"/>
      <c r="AAE79" s="172"/>
      <c r="AAF79" s="172"/>
      <c r="AAG79" s="172"/>
      <c r="AAH79" s="172"/>
      <c r="AAI79" s="172"/>
      <c r="AAJ79" s="172"/>
      <c r="AAK79" s="172"/>
      <c r="AAL79" s="172"/>
      <c r="AAM79" s="172"/>
      <c r="AAN79" s="172"/>
      <c r="AAO79" s="172"/>
      <c r="AAP79" s="172"/>
      <c r="AAQ79" s="172"/>
      <c r="AAR79" s="172"/>
      <c r="AAS79" s="172"/>
      <c r="AAT79" s="172"/>
      <c r="AAU79" s="172"/>
      <c r="AAV79" s="172"/>
      <c r="AAW79" s="172"/>
      <c r="AAX79" s="172"/>
      <c r="AAY79" s="172"/>
      <c r="AAZ79" s="172"/>
      <c r="ABA79" s="172"/>
      <c r="ABB79" s="172"/>
      <c r="ABC79" s="172"/>
      <c r="ABD79" s="172"/>
      <c r="ABE79" s="172"/>
      <c r="ABF79" s="172"/>
      <c r="ABG79" s="172"/>
      <c r="ABH79" s="172"/>
      <c r="ABI79" s="172"/>
      <c r="ABJ79" s="172"/>
      <c r="ABK79" s="172"/>
      <c r="ABL79" s="172"/>
      <c r="ABM79" s="172"/>
      <c r="ABN79" s="172"/>
      <c r="ABO79" s="172"/>
      <c r="ABP79" s="172"/>
      <c r="ABQ79" s="172"/>
      <c r="ABR79" s="172"/>
      <c r="ABS79" s="172"/>
      <c r="ABT79" s="172"/>
      <c r="ABU79" s="172"/>
      <c r="ABV79" s="172"/>
      <c r="ABW79" s="172"/>
      <c r="ABX79" s="172"/>
      <c r="ABY79" s="172"/>
      <c r="ABZ79" s="172"/>
      <c r="ACA79" s="172"/>
      <c r="ACB79" s="172"/>
      <c r="ACC79" s="172"/>
      <c r="ACD79" s="172"/>
      <c r="ACE79" s="172"/>
      <c r="ACF79" s="172"/>
      <c r="ACG79" s="172"/>
      <c r="ACH79" s="172"/>
      <c r="ACI79" s="172"/>
      <c r="ACJ79" s="172"/>
      <c r="ACK79" s="172"/>
      <c r="ACL79" s="172"/>
      <c r="ACM79" s="172"/>
      <c r="ACN79" s="172"/>
      <c r="ACO79" s="172"/>
      <c r="ACP79" s="172"/>
      <c r="ACQ79" s="172"/>
      <c r="ACR79" s="172"/>
      <c r="ACS79" s="172"/>
      <c r="ACT79" s="172"/>
      <c r="ACU79" s="172"/>
      <c r="ACV79" s="172"/>
      <c r="ACW79" s="172"/>
      <c r="ACX79" s="172"/>
      <c r="ACY79" s="172"/>
      <c r="ACZ79" s="172"/>
      <c r="ADA79" s="172"/>
      <c r="ADB79" s="172"/>
      <c r="ADC79" s="172"/>
      <c r="ADD79" s="172"/>
      <c r="ADE79" s="172"/>
      <c r="ADF79" s="172"/>
      <c r="ADG79" s="172"/>
      <c r="ADH79" s="172"/>
      <c r="ADI79" s="172"/>
      <c r="ADJ79" s="172"/>
      <c r="ADK79" s="172"/>
      <c r="ADL79" s="172"/>
      <c r="ADM79" s="172"/>
      <c r="ADN79" s="172"/>
      <c r="ADO79" s="172"/>
      <c r="ADP79" s="172"/>
      <c r="ADQ79" s="172"/>
      <c r="ADR79" s="172"/>
      <c r="ADS79" s="172"/>
      <c r="ADT79" s="172"/>
      <c r="ADU79" s="172"/>
      <c r="ADV79" s="172"/>
      <c r="ADW79" s="172"/>
      <c r="ADX79" s="172"/>
      <c r="ADY79" s="172"/>
      <c r="ADZ79" s="172"/>
      <c r="AEA79" s="172"/>
      <c r="AEB79" s="172"/>
      <c r="AEC79" s="172"/>
      <c r="AED79" s="172"/>
      <c r="AEE79" s="172"/>
      <c r="AEF79" s="172"/>
      <c r="AEG79" s="172"/>
      <c r="AEH79" s="172"/>
      <c r="AEI79" s="172"/>
      <c r="AEJ79" s="172"/>
      <c r="AEK79" s="172"/>
      <c r="AEL79" s="172"/>
      <c r="AEM79" s="172"/>
      <c r="AEN79" s="172"/>
      <c r="AEO79" s="172"/>
      <c r="AEP79" s="172"/>
      <c r="AEQ79" s="172"/>
      <c r="AER79" s="172"/>
      <c r="AES79" s="172"/>
      <c r="AET79" s="172"/>
      <c r="AEU79" s="172"/>
      <c r="AEV79" s="172"/>
      <c r="AEW79" s="172"/>
      <c r="AEX79" s="172"/>
      <c r="AEY79" s="172"/>
      <c r="AEZ79" s="172"/>
      <c r="AFA79" s="172"/>
      <c r="AFB79" s="172"/>
      <c r="AFC79" s="172"/>
      <c r="AFD79" s="172"/>
      <c r="AFE79" s="172"/>
      <c r="AFF79" s="172"/>
      <c r="AFG79" s="172"/>
      <c r="AFH79" s="172"/>
      <c r="AFI79" s="172"/>
      <c r="AFJ79" s="172"/>
      <c r="AFK79" s="172"/>
      <c r="AFL79" s="172"/>
      <c r="AFM79" s="172"/>
      <c r="AFN79" s="172"/>
      <c r="AFO79" s="172"/>
      <c r="AFP79" s="172"/>
      <c r="AFQ79" s="172"/>
      <c r="AFR79" s="172"/>
      <c r="AFS79" s="172"/>
      <c r="AFT79" s="172"/>
      <c r="AFU79" s="172"/>
      <c r="AFV79" s="172"/>
      <c r="AFW79" s="172"/>
      <c r="AFX79" s="172"/>
      <c r="AFY79" s="172"/>
      <c r="AFZ79" s="172"/>
      <c r="AGA79" s="172"/>
      <c r="AGB79" s="172"/>
      <c r="AGC79" s="172"/>
      <c r="AGD79" s="172"/>
      <c r="AGE79" s="172"/>
      <c r="AGF79" s="172"/>
      <c r="AGG79" s="172"/>
      <c r="AGH79" s="172"/>
      <c r="AGI79" s="172"/>
      <c r="AGJ79" s="172"/>
      <c r="AGK79" s="172"/>
      <c r="AGL79" s="172"/>
      <c r="AGM79" s="172"/>
      <c r="AGN79" s="172"/>
      <c r="AGO79" s="172"/>
      <c r="AGP79" s="172"/>
      <c r="AGQ79" s="172"/>
      <c r="AGR79" s="172"/>
      <c r="AGS79" s="172"/>
      <c r="AGT79" s="172"/>
      <c r="AGU79" s="172"/>
      <c r="AGV79" s="172"/>
      <c r="AGW79" s="172"/>
      <c r="AGX79" s="172"/>
      <c r="AGY79" s="172"/>
      <c r="AGZ79" s="172"/>
      <c r="AHA79" s="172"/>
      <c r="AHB79" s="172"/>
      <c r="AHC79" s="172"/>
      <c r="AHD79" s="172"/>
      <c r="AHE79" s="172"/>
      <c r="AHF79" s="172"/>
      <c r="AHG79" s="172"/>
      <c r="AHH79" s="172"/>
      <c r="AHI79" s="172"/>
      <c r="AHJ79" s="172"/>
      <c r="AHK79" s="172"/>
      <c r="AHL79" s="172"/>
      <c r="AHM79" s="172"/>
      <c r="AHN79" s="172"/>
      <c r="AHO79" s="172"/>
      <c r="AHP79" s="172"/>
      <c r="AHQ79" s="172"/>
      <c r="AHR79" s="172"/>
      <c r="AHS79" s="172"/>
      <c r="AHT79" s="172"/>
      <c r="AHU79" s="172"/>
      <c r="AHV79" s="172"/>
      <c r="AHW79" s="172"/>
      <c r="AHX79" s="172"/>
      <c r="AHY79" s="172"/>
      <c r="AHZ79" s="172"/>
      <c r="AIA79" s="172"/>
      <c r="AIB79" s="172"/>
      <c r="AIC79" s="172"/>
      <c r="AID79" s="172"/>
      <c r="AIE79" s="172"/>
      <c r="AIF79" s="172"/>
      <c r="AIG79" s="172"/>
      <c r="AIH79" s="172"/>
      <c r="AII79" s="172"/>
      <c r="AIJ79" s="172"/>
      <c r="AIK79" s="172"/>
      <c r="AIL79" s="172"/>
      <c r="AIM79" s="172"/>
      <c r="AIN79" s="172"/>
      <c r="AIO79" s="172"/>
      <c r="AIP79" s="172"/>
      <c r="AIQ79" s="172"/>
      <c r="AIR79" s="172"/>
      <c r="AIS79" s="172"/>
      <c r="AIT79" s="172"/>
      <c r="AIU79" s="172"/>
      <c r="AIV79" s="172"/>
      <c r="AIW79" s="172"/>
      <c r="AIX79" s="172"/>
      <c r="AIY79" s="172"/>
      <c r="AIZ79" s="172"/>
      <c r="AJA79" s="172"/>
      <c r="AJB79" s="172"/>
      <c r="AJC79" s="172"/>
      <c r="AJD79" s="172"/>
      <c r="AJE79" s="172"/>
      <c r="AJF79" s="172"/>
      <c r="AJG79" s="172"/>
      <c r="AJH79" s="172"/>
      <c r="AJI79" s="172"/>
      <c r="AJJ79" s="172"/>
      <c r="AJK79" s="172"/>
      <c r="AJL79" s="172"/>
      <c r="AJM79" s="172"/>
      <c r="AJN79" s="172"/>
      <c r="AJO79" s="172"/>
      <c r="AJP79" s="172"/>
      <c r="AJQ79" s="172"/>
      <c r="AJR79" s="172"/>
      <c r="AJS79" s="172"/>
      <c r="AJT79" s="172"/>
      <c r="AJU79" s="172"/>
      <c r="AJV79" s="172"/>
      <c r="AJW79" s="172"/>
      <c r="AJX79" s="172"/>
      <c r="AJY79" s="172"/>
      <c r="AJZ79" s="172"/>
      <c r="AKA79" s="172"/>
      <c r="AKB79" s="172"/>
      <c r="AKC79" s="172"/>
      <c r="AKD79" s="172"/>
      <c r="AKE79" s="172"/>
      <c r="AKF79" s="172"/>
      <c r="AKG79" s="172"/>
      <c r="AKH79" s="172"/>
      <c r="AKI79" s="172"/>
      <c r="AKJ79" s="172"/>
      <c r="AKK79" s="172"/>
      <c r="AKL79" s="172"/>
      <c r="AKM79" s="172"/>
      <c r="AKN79" s="172"/>
      <c r="AKO79" s="172"/>
      <c r="AKP79" s="172"/>
      <c r="AKQ79" s="172"/>
      <c r="AKR79" s="172"/>
      <c r="AKS79" s="172"/>
      <c r="AKT79" s="172"/>
      <c r="AKU79" s="172"/>
      <c r="AKV79" s="172"/>
      <c r="AKW79" s="172"/>
      <c r="AKX79" s="172"/>
      <c r="AKY79" s="172"/>
      <c r="AKZ79" s="172"/>
      <c r="ALA79" s="172"/>
      <c r="ALB79" s="172"/>
      <c r="ALC79" s="172"/>
      <c r="ALD79" s="172"/>
      <c r="ALE79" s="172"/>
      <c r="ALF79" s="172"/>
      <c r="ALG79" s="172"/>
      <c r="ALH79" s="172"/>
      <c r="ALI79" s="172"/>
      <c r="ALJ79" s="172"/>
      <c r="ALK79" s="172"/>
      <c r="ALL79" s="172"/>
      <c r="ALM79" s="172"/>
      <c r="ALN79" s="172"/>
      <c r="ALO79" s="172"/>
      <c r="ALP79" s="172"/>
      <c r="ALQ79" s="172"/>
      <c r="ALR79" s="172"/>
      <c r="ALS79" s="172"/>
      <c r="ALT79" s="172"/>
      <c r="ALU79" s="172"/>
      <c r="ALV79" s="172"/>
      <c r="ALW79" s="172"/>
      <c r="ALX79" s="172"/>
      <c r="ALY79" s="172"/>
      <c r="ALZ79" s="172"/>
      <c r="AMA79" s="172"/>
      <c r="AMB79" s="172"/>
      <c r="AMC79" s="172"/>
      <c r="AMD79" s="172"/>
      <c r="AME79" s="172"/>
      <c r="AMF79" s="172"/>
      <c r="AMG79" s="172"/>
      <c r="AMH79" s="172"/>
      <c r="AMI79" s="172"/>
      <c r="AMJ79" s="172"/>
      <c r="AMK79" s="172"/>
      <c r="AML79" s="172"/>
      <c r="AMM79" s="172"/>
      <c r="AMN79" s="172"/>
      <c r="AMO79" s="172"/>
      <c r="AMP79" s="172"/>
      <c r="AMQ79" s="172"/>
      <c r="AMR79" s="172"/>
      <c r="AMS79" s="172"/>
      <c r="AMT79" s="172"/>
      <c r="AMU79" s="172"/>
      <c r="AMV79" s="172"/>
      <c r="AMW79" s="172"/>
      <c r="AMX79" s="172"/>
      <c r="AMY79" s="172"/>
      <c r="AMZ79" s="172"/>
      <c r="ANA79" s="172"/>
      <c r="ANB79" s="172"/>
      <c r="ANC79" s="172"/>
      <c r="AND79" s="172"/>
      <c r="ANE79" s="172"/>
      <c r="ANF79" s="172"/>
      <c r="ANG79" s="172"/>
      <c r="ANH79" s="172"/>
      <c r="ANI79" s="172"/>
      <c r="ANJ79" s="172"/>
      <c r="ANK79" s="172"/>
      <c r="ANL79" s="172"/>
      <c r="ANM79" s="172"/>
      <c r="ANN79" s="172"/>
      <c r="ANO79" s="172"/>
      <c r="ANP79" s="172"/>
      <c r="ANQ79" s="172"/>
      <c r="ANR79" s="172"/>
      <c r="ANS79" s="172"/>
      <c r="ANT79" s="172"/>
      <c r="ANU79" s="172"/>
      <c r="ANV79" s="172"/>
      <c r="ANW79" s="172"/>
      <c r="ANX79" s="172"/>
      <c r="ANY79" s="172"/>
      <c r="ANZ79" s="172"/>
      <c r="AOA79" s="172"/>
      <c r="AOB79" s="172"/>
      <c r="AOC79" s="172"/>
      <c r="AOD79" s="172"/>
      <c r="AOE79" s="172"/>
      <c r="AOF79" s="172"/>
      <c r="AOG79" s="172"/>
      <c r="AOH79" s="172"/>
      <c r="AOI79" s="172"/>
      <c r="AOJ79" s="172"/>
      <c r="AOK79" s="172"/>
      <c r="AOL79" s="172"/>
      <c r="AOM79" s="172"/>
      <c r="AON79" s="172"/>
      <c r="AOO79" s="172"/>
      <c r="AOP79" s="172"/>
      <c r="AOQ79" s="172"/>
      <c r="AOR79" s="172"/>
      <c r="AOS79" s="172"/>
      <c r="AOT79" s="172"/>
      <c r="AOU79" s="172"/>
      <c r="AOV79" s="172"/>
      <c r="AOW79" s="172"/>
      <c r="AOX79" s="172"/>
      <c r="AOY79" s="172"/>
      <c r="AOZ79" s="172"/>
      <c r="APA79" s="172"/>
      <c r="APB79" s="172"/>
      <c r="APC79" s="172"/>
      <c r="APD79" s="172"/>
      <c r="APE79" s="172"/>
      <c r="APF79" s="172"/>
      <c r="APG79" s="172"/>
      <c r="APH79" s="172"/>
      <c r="API79" s="172"/>
      <c r="APJ79" s="172"/>
      <c r="APK79" s="172"/>
      <c r="APL79" s="172"/>
      <c r="APM79" s="172"/>
      <c r="APN79" s="172"/>
      <c r="APO79" s="172"/>
      <c r="APP79" s="172"/>
      <c r="APQ79" s="172"/>
      <c r="APR79" s="172"/>
      <c r="APS79" s="172"/>
      <c r="APT79" s="172"/>
      <c r="APU79" s="172"/>
      <c r="APV79" s="172"/>
      <c r="APW79" s="172"/>
      <c r="APX79" s="172"/>
      <c r="APY79" s="172"/>
      <c r="APZ79" s="172"/>
      <c r="AQA79" s="172"/>
      <c r="AQB79" s="172"/>
      <c r="AQC79" s="172"/>
      <c r="AQD79" s="172"/>
      <c r="AQE79" s="172"/>
      <c r="AQF79" s="172"/>
      <c r="AQG79" s="172"/>
      <c r="AQH79" s="172"/>
      <c r="AQI79" s="172"/>
      <c r="AQJ79" s="172"/>
      <c r="AQK79" s="172"/>
      <c r="AQL79" s="172"/>
      <c r="AQM79" s="172"/>
      <c r="AQN79" s="172"/>
      <c r="AQO79" s="172"/>
      <c r="AQP79" s="172"/>
      <c r="AQQ79" s="172"/>
      <c r="AQR79" s="172"/>
      <c r="AQS79" s="172"/>
      <c r="AQT79" s="172"/>
      <c r="AQU79" s="172"/>
      <c r="AQV79" s="172"/>
      <c r="AQW79" s="172"/>
      <c r="AQX79" s="172"/>
      <c r="AQY79" s="172"/>
      <c r="AQZ79" s="172"/>
      <c r="ARA79" s="172"/>
      <c r="ARB79" s="172"/>
      <c r="ARC79" s="172"/>
      <c r="ARD79" s="172"/>
      <c r="ARE79" s="172"/>
      <c r="ARF79" s="172"/>
      <c r="ARG79" s="172"/>
      <c r="ARH79" s="172"/>
      <c r="ARI79" s="172"/>
      <c r="ARJ79" s="172"/>
      <c r="ARK79" s="172"/>
      <c r="ARL79" s="172"/>
      <c r="ARM79" s="172"/>
      <c r="ARN79" s="172"/>
      <c r="ARO79" s="172"/>
      <c r="ARP79" s="172"/>
      <c r="ARQ79" s="172"/>
      <c r="ARR79" s="172"/>
      <c r="ARS79" s="172"/>
      <c r="ART79" s="172"/>
      <c r="ARU79" s="172"/>
    </row>
    <row r="80" spans="1:1165" s="257" customFormat="1">
      <c r="A80" s="222" t="s">
        <v>39</v>
      </c>
      <c r="B80" s="195" t="s">
        <v>87</v>
      </c>
      <c r="C80" s="288">
        <v>0</v>
      </c>
      <c r="D80" s="288">
        <v>0</v>
      </c>
      <c r="E80" s="288">
        <v>0</v>
      </c>
      <c r="F80" s="288">
        <v>0</v>
      </c>
      <c r="G80" s="288">
        <v>0</v>
      </c>
      <c r="H80" s="288">
        <v>0</v>
      </c>
      <c r="I80" s="288">
        <v>0</v>
      </c>
      <c r="J80" s="288">
        <v>0</v>
      </c>
      <c r="K80" s="288">
        <v>0</v>
      </c>
      <c r="L80" s="288">
        <v>0</v>
      </c>
      <c r="M80" s="288">
        <v>0</v>
      </c>
      <c r="N80" s="288">
        <v>0</v>
      </c>
      <c r="O80" s="288">
        <v>0</v>
      </c>
      <c r="P80" s="288">
        <v>0</v>
      </c>
      <c r="Q80" s="288">
        <v>0</v>
      </c>
      <c r="R80" s="288">
        <v>0</v>
      </c>
      <c r="S80" s="288">
        <v>0</v>
      </c>
      <c r="T80" s="288">
        <v>0</v>
      </c>
      <c r="U80" s="288">
        <v>0</v>
      </c>
      <c r="V80" s="288">
        <v>0</v>
      </c>
      <c r="W80" s="288">
        <v>0</v>
      </c>
      <c r="X80" s="288">
        <v>0</v>
      </c>
      <c r="Y80" s="288">
        <v>0</v>
      </c>
      <c r="Z80" s="288">
        <v>0</v>
      </c>
      <c r="AA80" s="288">
        <v>0</v>
      </c>
      <c r="AB80" s="288">
        <v>0</v>
      </c>
      <c r="AC80" s="288">
        <v>0</v>
      </c>
      <c r="AD80" s="288">
        <v>0</v>
      </c>
      <c r="AE80" s="288">
        <v>0</v>
      </c>
      <c r="AF80" s="288">
        <v>0</v>
      </c>
      <c r="AG80" s="288">
        <v>0</v>
      </c>
      <c r="AH80" s="288">
        <v>0</v>
      </c>
      <c r="AI80" s="288">
        <v>0</v>
      </c>
      <c r="AJ80" s="288">
        <v>0</v>
      </c>
      <c r="AK80" s="302">
        <v>0</v>
      </c>
      <c r="AL80" s="288">
        <v>0</v>
      </c>
      <c r="AM80" s="288">
        <v>0</v>
      </c>
      <c r="AN80" s="288">
        <v>0</v>
      </c>
      <c r="AO80" s="288">
        <v>0</v>
      </c>
      <c r="AP80" s="288">
        <v>0</v>
      </c>
      <c r="AQ80" s="288">
        <v>0</v>
      </c>
      <c r="AR80" s="288">
        <v>0</v>
      </c>
      <c r="AS80" s="288">
        <v>0</v>
      </c>
      <c r="AT80" s="288">
        <v>0</v>
      </c>
      <c r="AU80" s="288">
        <v>0</v>
      </c>
      <c r="AV80" s="288">
        <v>0</v>
      </c>
      <c r="AW80" s="284">
        <v>435</v>
      </c>
      <c r="AX80" s="284">
        <v>226690</v>
      </c>
      <c r="AY80" s="258">
        <v>0</v>
      </c>
      <c r="AZ80" s="258">
        <v>0</v>
      </c>
      <c r="BA80" s="262"/>
      <c r="BB80" s="284"/>
      <c r="BC80" s="284"/>
      <c r="BD80" s="284"/>
      <c r="BE80" s="284"/>
      <c r="BF80" s="284"/>
      <c r="BG80" s="284"/>
      <c r="BH80" s="284"/>
      <c r="BI80" s="262"/>
      <c r="BJ80" s="284">
        <f t="shared" si="57"/>
        <v>435</v>
      </c>
      <c r="BK80" s="258">
        <f t="shared" si="58"/>
        <v>226690</v>
      </c>
      <c r="BL80" s="172"/>
      <c r="BM80" s="13"/>
      <c r="BN80" s="231"/>
      <c r="BO80" s="172"/>
      <c r="BP80" s="231"/>
      <c r="BQ80" s="172"/>
      <c r="BR80" s="172"/>
      <c r="BS80" s="172"/>
      <c r="BT80" s="172"/>
      <c r="BU80" s="172"/>
      <c r="BV80" s="172"/>
      <c r="BW80" s="172"/>
      <c r="BX80" s="172"/>
      <c r="BY80" s="172"/>
      <c r="BZ80" s="172"/>
      <c r="CA80" s="172"/>
      <c r="CB80" s="172"/>
      <c r="CC80" s="172"/>
      <c r="CD80" s="172"/>
      <c r="CE80" s="172"/>
      <c r="CF80" s="172"/>
      <c r="CG80" s="172"/>
      <c r="CH80" s="172"/>
      <c r="CI80" s="172"/>
      <c r="CJ80" s="172"/>
      <c r="CK80" s="172"/>
      <c r="CL80" s="172"/>
      <c r="CM80" s="172"/>
      <c r="CN80" s="172"/>
      <c r="CO80" s="172"/>
      <c r="CP80" s="172"/>
      <c r="CQ80" s="172"/>
      <c r="CR80" s="172"/>
      <c r="CS80" s="172"/>
      <c r="CT80" s="172"/>
      <c r="CU80" s="172"/>
      <c r="CV80" s="172"/>
      <c r="CW80" s="172"/>
      <c r="CX80" s="172"/>
      <c r="CY80" s="172"/>
      <c r="CZ80" s="172"/>
      <c r="DA80" s="172"/>
      <c r="DB80" s="172"/>
      <c r="DC80" s="172"/>
      <c r="DD80" s="172"/>
      <c r="DE80" s="172"/>
      <c r="DF80" s="172"/>
      <c r="DG80" s="172"/>
      <c r="DH80" s="172"/>
      <c r="DI80" s="172"/>
      <c r="DJ80" s="172"/>
      <c r="DK80" s="172"/>
      <c r="DL80" s="172"/>
      <c r="DM80" s="172"/>
      <c r="DN80" s="172"/>
      <c r="DO80" s="172"/>
      <c r="DP80" s="172"/>
      <c r="DQ80" s="172"/>
      <c r="DR80" s="172"/>
      <c r="DS80" s="172"/>
      <c r="DT80" s="172"/>
      <c r="DU80" s="172"/>
      <c r="DV80" s="172"/>
      <c r="DW80" s="172"/>
      <c r="DX80" s="172"/>
      <c r="DY80" s="172"/>
      <c r="DZ80" s="172"/>
      <c r="EA80" s="172"/>
      <c r="EB80" s="172"/>
      <c r="EC80" s="172"/>
      <c r="ED80" s="172"/>
      <c r="EE80" s="172"/>
      <c r="EF80" s="172"/>
      <c r="EG80" s="172"/>
      <c r="EH80" s="172"/>
      <c r="EI80" s="172"/>
      <c r="EJ80" s="172"/>
      <c r="EK80" s="172"/>
      <c r="EL80" s="172"/>
      <c r="EM80" s="172"/>
      <c r="EN80" s="172"/>
      <c r="EO80" s="172"/>
      <c r="EP80" s="172"/>
      <c r="EQ80" s="172"/>
      <c r="ER80" s="172"/>
      <c r="ES80" s="172"/>
      <c r="ET80" s="172"/>
      <c r="EU80" s="172"/>
      <c r="EV80" s="172"/>
      <c r="EW80" s="172"/>
      <c r="EX80" s="172"/>
      <c r="EY80" s="172"/>
      <c r="EZ80" s="172"/>
      <c r="FA80" s="172"/>
      <c r="FB80" s="172"/>
      <c r="FC80" s="172"/>
      <c r="FD80" s="172"/>
      <c r="FE80" s="172"/>
      <c r="FF80" s="172"/>
      <c r="FG80" s="172"/>
      <c r="FH80" s="172"/>
      <c r="FI80" s="172"/>
      <c r="FJ80" s="172"/>
      <c r="FK80" s="172"/>
      <c r="FL80" s="172"/>
      <c r="FM80" s="172"/>
      <c r="FN80" s="172"/>
      <c r="FO80" s="172"/>
      <c r="FP80" s="172"/>
      <c r="FQ80" s="172"/>
      <c r="FR80" s="172"/>
      <c r="FS80" s="172"/>
      <c r="FT80" s="172"/>
      <c r="FU80" s="172"/>
      <c r="FV80" s="172"/>
      <c r="FW80" s="172"/>
      <c r="FX80" s="172"/>
      <c r="FY80" s="172"/>
      <c r="FZ80" s="172"/>
      <c r="GA80" s="172"/>
      <c r="GB80" s="172"/>
      <c r="GC80" s="172"/>
      <c r="GD80" s="172"/>
      <c r="GE80" s="172"/>
      <c r="GF80" s="172"/>
      <c r="GG80" s="172"/>
      <c r="GH80" s="172"/>
      <c r="GI80" s="172"/>
      <c r="GJ80" s="172"/>
      <c r="GK80" s="172"/>
      <c r="GL80" s="172"/>
      <c r="GM80" s="172"/>
      <c r="GN80" s="172"/>
      <c r="GO80" s="172"/>
      <c r="GP80" s="172"/>
      <c r="GQ80" s="172"/>
      <c r="GR80" s="172"/>
      <c r="GS80" s="172"/>
      <c r="GT80" s="172"/>
      <c r="GU80" s="172"/>
      <c r="GV80" s="172"/>
      <c r="GW80" s="172"/>
      <c r="GX80" s="172"/>
      <c r="GY80" s="172"/>
      <c r="GZ80" s="172"/>
      <c r="HA80" s="172"/>
      <c r="HB80" s="172"/>
      <c r="HC80" s="172"/>
      <c r="HD80" s="172"/>
      <c r="HE80" s="172"/>
      <c r="HF80" s="172"/>
      <c r="HG80" s="172"/>
      <c r="HH80" s="172"/>
      <c r="HI80" s="172"/>
      <c r="HJ80" s="172"/>
      <c r="HK80" s="172"/>
      <c r="HL80" s="172"/>
      <c r="HM80" s="172"/>
      <c r="HN80" s="172"/>
      <c r="HO80" s="172"/>
      <c r="HP80" s="172"/>
      <c r="HQ80" s="172"/>
      <c r="HR80" s="172"/>
      <c r="HS80" s="172"/>
      <c r="HT80" s="172"/>
      <c r="HU80" s="172"/>
      <c r="HV80" s="172"/>
      <c r="HW80" s="172"/>
      <c r="HX80" s="172"/>
      <c r="HY80" s="172"/>
      <c r="HZ80" s="172"/>
      <c r="IA80" s="172"/>
      <c r="IB80" s="172"/>
      <c r="IC80" s="172"/>
      <c r="ID80" s="172"/>
      <c r="IE80" s="172"/>
      <c r="IF80" s="172"/>
      <c r="IG80" s="172"/>
      <c r="IH80" s="172"/>
      <c r="II80" s="172"/>
      <c r="IJ80" s="172"/>
      <c r="IK80" s="172"/>
      <c r="IL80" s="172"/>
      <c r="IM80" s="172"/>
      <c r="IN80" s="172"/>
      <c r="IO80" s="172"/>
      <c r="IP80" s="172"/>
      <c r="IQ80" s="172"/>
      <c r="IR80" s="172"/>
      <c r="IS80" s="172"/>
      <c r="IT80" s="172"/>
      <c r="IU80" s="172"/>
      <c r="IV80" s="172"/>
      <c r="IW80" s="172"/>
      <c r="IX80" s="172"/>
      <c r="IY80" s="172"/>
      <c r="IZ80" s="172"/>
      <c r="JA80" s="172"/>
      <c r="JB80" s="172"/>
      <c r="JC80" s="172"/>
      <c r="JD80" s="172"/>
      <c r="JE80" s="172"/>
      <c r="JF80" s="172"/>
      <c r="JG80" s="172"/>
      <c r="JH80" s="172"/>
      <c r="JI80" s="172"/>
      <c r="JJ80" s="172"/>
      <c r="JK80" s="172"/>
      <c r="JL80" s="172"/>
      <c r="JM80" s="172"/>
      <c r="JN80" s="172"/>
      <c r="JO80" s="172"/>
      <c r="JP80" s="172"/>
      <c r="JQ80" s="172"/>
      <c r="JR80" s="172"/>
      <c r="JS80" s="172"/>
      <c r="JT80" s="172"/>
      <c r="JU80" s="172"/>
      <c r="JV80" s="172"/>
      <c r="JW80" s="172"/>
      <c r="JX80" s="172"/>
      <c r="JY80" s="172"/>
      <c r="JZ80" s="172"/>
      <c r="KA80" s="172"/>
      <c r="KB80" s="172"/>
      <c r="KC80" s="172"/>
      <c r="KD80" s="172"/>
      <c r="KE80" s="172"/>
      <c r="KF80" s="172"/>
      <c r="KG80" s="172"/>
      <c r="KH80" s="172"/>
      <c r="KI80" s="172"/>
      <c r="KJ80" s="172"/>
      <c r="KK80" s="172"/>
      <c r="KL80" s="172"/>
      <c r="KM80" s="172"/>
      <c r="KN80" s="172"/>
      <c r="KO80" s="172"/>
      <c r="KP80" s="172"/>
      <c r="KQ80" s="172"/>
      <c r="KR80" s="172"/>
      <c r="KS80" s="172"/>
      <c r="KT80" s="172"/>
      <c r="KU80" s="172"/>
      <c r="KV80" s="172"/>
      <c r="KW80" s="172"/>
      <c r="KX80" s="172"/>
      <c r="KY80" s="172"/>
      <c r="KZ80" s="172"/>
      <c r="LA80" s="172"/>
      <c r="LB80" s="172"/>
      <c r="LC80" s="172"/>
      <c r="LD80" s="172"/>
      <c r="LE80" s="172"/>
      <c r="LF80" s="172"/>
      <c r="LG80" s="172"/>
      <c r="LH80" s="172"/>
      <c r="LI80" s="172"/>
      <c r="LJ80" s="172"/>
      <c r="LK80" s="172"/>
      <c r="LL80" s="172"/>
      <c r="LM80" s="172"/>
      <c r="LN80" s="172"/>
      <c r="LO80" s="172"/>
      <c r="LP80" s="172"/>
      <c r="LQ80" s="172"/>
      <c r="LR80" s="172"/>
      <c r="LS80" s="172"/>
      <c r="LT80" s="172"/>
      <c r="LU80" s="172"/>
      <c r="LV80" s="172"/>
      <c r="LW80" s="172"/>
      <c r="LX80" s="172"/>
      <c r="LY80" s="172"/>
      <c r="LZ80" s="172"/>
      <c r="MA80" s="172"/>
      <c r="MB80" s="172"/>
      <c r="MC80" s="172"/>
      <c r="MD80" s="172"/>
      <c r="ME80" s="172"/>
      <c r="MF80" s="172"/>
      <c r="MG80" s="172"/>
      <c r="MH80" s="172"/>
      <c r="MI80" s="172"/>
      <c r="MJ80" s="172"/>
      <c r="MK80" s="172"/>
      <c r="ML80" s="172"/>
      <c r="MM80" s="172"/>
      <c r="MN80" s="172"/>
      <c r="MO80" s="172"/>
      <c r="MP80" s="172"/>
      <c r="MQ80" s="172"/>
      <c r="MR80" s="172"/>
      <c r="MS80" s="172"/>
      <c r="MT80" s="172"/>
      <c r="MU80" s="172"/>
      <c r="MV80" s="172"/>
      <c r="MW80" s="172"/>
      <c r="MX80" s="172"/>
      <c r="MY80" s="172"/>
      <c r="MZ80" s="172"/>
      <c r="NA80" s="172"/>
      <c r="NB80" s="172"/>
      <c r="NC80" s="172"/>
      <c r="ND80" s="172"/>
      <c r="NE80" s="172"/>
      <c r="NF80" s="172"/>
      <c r="NG80" s="172"/>
      <c r="NH80" s="172"/>
      <c r="NI80" s="172"/>
      <c r="NJ80" s="172"/>
      <c r="NK80" s="172"/>
      <c r="NL80" s="172"/>
      <c r="NM80" s="172"/>
      <c r="NN80" s="172"/>
      <c r="NO80" s="172"/>
      <c r="NP80" s="172"/>
      <c r="NQ80" s="172"/>
      <c r="NR80" s="172"/>
      <c r="NS80" s="172"/>
      <c r="NT80" s="172"/>
      <c r="NU80" s="172"/>
      <c r="NV80" s="172"/>
      <c r="NW80" s="172"/>
      <c r="NX80" s="172"/>
      <c r="NY80" s="172"/>
      <c r="NZ80" s="172"/>
      <c r="OA80" s="172"/>
      <c r="OB80" s="172"/>
      <c r="OC80" s="172"/>
      <c r="OD80" s="172"/>
      <c r="OE80" s="172"/>
      <c r="OF80" s="172"/>
      <c r="OG80" s="172"/>
      <c r="OH80" s="172"/>
      <c r="OI80" s="172"/>
      <c r="OJ80" s="172"/>
      <c r="OK80" s="172"/>
      <c r="OL80" s="172"/>
      <c r="OM80" s="172"/>
      <c r="ON80" s="172"/>
      <c r="OO80" s="172"/>
      <c r="OP80" s="172"/>
      <c r="OQ80" s="172"/>
      <c r="OR80" s="172"/>
      <c r="OS80" s="172"/>
      <c r="OT80" s="172"/>
      <c r="OU80" s="172"/>
      <c r="OV80" s="172"/>
      <c r="OW80" s="172"/>
      <c r="OX80" s="172"/>
      <c r="OY80" s="172"/>
      <c r="OZ80" s="172"/>
      <c r="PA80" s="172"/>
      <c r="PB80" s="172"/>
      <c r="PC80" s="172"/>
      <c r="PD80" s="172"/>
      <c r="PE80" s="172"/>
      <c r="PF80" s="172"/>
      <c r="PG80" s="172"/>
      <c r="PH80" s="172"/>
      <c r="PI80" s="172"/>
      <c r="PJ80" s="172"/>
      <c r="PK80" s="172"/>
      <c r="PL80" s="172"/>
      <c r="PM80" s="172"/>
      <c r="PN80" s="172"/>
      <c r="PO80" s="172"/>
      <c r="PP80" s="172"/>
      <c r="PQ80" s="172"/>
      <c r="PR80" s="172"/>
      <c r="PS80" s="172"/>
      <c r="PT80" s="172"/>
      <c r="PU80" s="172"/>
      <c r="PV80" s="172"/>
      <c r="PW80" s="172"/>
      <c r="PX80" s="172"/>
      <c r="PY80" s="172"/>
      <c r="PZ80" s="172"/>
      <c r="QA80" s="172"/>
      <c r="QB80" s="172"/>
      <c r="QC80" s="172"/>
      <c r="QD80" s="172"/>
      <c r="QE80" s="172"/>
      <c r="QF80" s="172"/>
      <c r="QG80" s="172"/>
      <c r="QH80" s="172"/>
      <c r="QI80" s="172"/>
      <c r="QJ80" s="172"/>
      <c r="QK80" s="172"/>
      <c r="QL80" s="172"/>
      <c r="QM80" s="172"/>
      <c r="QN80" s="172"/>
      <c r="QO80" s="172"/>
      <c r="QP80" s="172"/>
      <c r="QQ80" s="172"/>
      <c r="QR80" s="172"/>
      <c r="QS80" s="172"/>
      <c r="QT80" s="172"/>
      <c r="QU80" s="172"/>
      <c r="QV80" s="172"/>
      <c r="QW80" s="172"/>
      <c r="QX80" s="172"/>
      <c r="QY80" s="172"/>
      <c r="QZ80" s="172"/>
      <c r="RA80" s="172"/>
      <c r="RB80" s="172"/>
      <c r="RC80" s="172"/>
      <c r="RD80" s="172"/>
      <c r="RE80" s="172"/>
      <c r="RF80" s="172"/>
      <c r="RG80" s="172"/>
      <c r="RH80" s="172"/>
      <c r="RI80" s="172"/>
      <c r="RJ80" s="172"/>
      <c r="RK80" s="172"/>
      <c r="RL80" s="172"/>
      <c r="RM80" s="172"/>
      <c r="RN80" s="172"/>
      <c r="RO80" s="172"/>
      <c r="RP80" s="172"/>
      <c r="RQ80" s="172"/>
      <c r="RR80" s="172"/>
      <c r="RS80" s="172"/>
      <c r="RT80" s="172"/>
      <c r="RU80" s="172"/>
      <c r="RV80" s="172"/>
      <c r="RW80" s="172"/>
      <c r="RX80" s="172"/>
      <c r="RY80" s="172"/>
      <c r="RZ80" s="172"/>
      <c r="SA80" s="172"/>
      <c r="SB80" s="172"/>
      <c r="SC80" s="172"/>
      <c r="SD80" s="172"/>
      <c r="SE80" s="172"/>
      <c r="SF80" s="172"/>
      <c r="SG80" s="172"/>
      <c r="SH80" s="172"/>
      <c r="SI80" s="172"/>
      <c r="SJ80" s="172"/>
      <c r="SK80" s="172"/>
      <c r="SL80" s="172"/>
      <c r="SM80" s="172"/>
      <c r="SN80" s="172"/>
      <c r="SO80" s="172"/>
      <c r="SP80" s="172"/>
      <c r="SQ80" s="172"/>
      <c r="SR80" s="172"/>
      <c r="SS80" s="172"/>
      <c r="ST80" s="172"/>
      <c r="SU80" s="172"/>
      <c r="SV80" s="172"/>
      <c r="SW80" s="172"/>
      <c r="SX80" s="172"/>
      <c r="SY80" s="172"/>
      <c r="SZ80" s="172"/>
      <c r="TA80" s="172"/>
      <c r="TB80" s="172"/>
      <c r="TC80" s="172"/>
      <c r="TD80" s="172"/>
      <c r="TE80" s="172"/>
      <c r="TF80" s="172"/>
      <c r="TG80" s="172"/>
      <c r="TH80" s="172"/>
      <c r="TI80" s="172"/>
      <c r="TJ80" s="172"/>
      <c r="TK80" s="172"/>
      <c r="TL80" s="172"/>
      <c r="TM80" s="172"/>
      <c r="TN80" s="172"/>
      <c r="TO80" s="172"/>
      <c r="TP80" s="172"/>
      <c r="TQ80" s="172"/>
      <c r="TR80" s="172"/>
      <c r="TS80" s="172"/>
      <c r="TT80" s="172"/>
      <c r="TU80" s="172"/>
      <c r="TV80" s="172"/>
      <c r="TW80" s="172"/>
      <c r="TX80" s="172"/>
      <c r="TY80" s="172"/>
      <c r="TZ80" s="172"/>
      <c r="UA80" s="172"/>
      <c r="UB80" s="172"/>
      <c r="UC80" s="172"/>
      <c r="UD80" s="172"/>
      <c r="UE80" s="172"/>
      <c r="UF80" s="172"/>
      <c r="UG80" s="172"/>
      <c r="UH80" s="172"/>
      <c r="UI80" s="172"/>
      <c r="UJ80" s="172"/>
      <c r="UK80" s="172"/>
      <c r="UL80" s="172"/>
      <c r="UM80" s="172"/>
      <c r="UN80" s="172"/>
      <c r="UO80" s="172"/>
      <c r="UP80" s="172"/>
      <c r="UQ80" s="172"/>
      <c r="UR80" s="172"/>
      <c r="US80" s="172"/>
      <c r="UT80" s="172"/>
      <c r="UU80" s="172"/>
      <c r="UV80" s="172"/>
      <c r="UW80" s="172"/>
      <c r="UX80" s="172"/>
      <c r="UY80" s="172"/>
      <c r="UZ80" s="172"/>
      <c r="VA80" s="172"/>
      <c r="VB80" s="172"/>
      <c r="VC80" s="172"/>
      <c r="VD80" s="172"/>
      <c r="VE80" s="172"/>
      <c r="VF80" s="172"/>
      <c r="VG80" s="172"/>
      <c r="VH80" s="172"/>
      <c r="VI80" s="172"/>
      <c r="VJ80" s="172"/>
      <c r="VK80" s="172"/>
      <c r="VL80" s="172"/>
      <c r="VM80" s="172"/>
      <c r="VN80" s="172"/>
      <c r="VO80" s="172"/>
      <c r="VP80" s="172"/>
      <c r="VQ80" s="172"/>
      <c r="VR80" s="172"/>
      <c r="VS80" s="172"/>
      <c r="VT80" s="172"/>
      <c r="VU80" s="172"/>
      <c r="VV80" s="172"/>
      <c r="VW80" s="172"/>
      <c r="VX80" s="172"/>
      <c r="VY80" s="172"/>
      <c r="VZ80" s="172"/>
      <c r="WA80" s="172"/>
      <c r="WB80" s="172"/>
      <c r="WC80" s="172"/>
      <c r="WD80" s="172"/>
      <c r="WE80" s="172"/>
      <c r="WF80" s="172"/>
      <c r="WG80" s="172"/>
      <c r="WH80" s="172"/>
      <c r="WI80" s="172"/>
      <c r="WJ80" s="172"/>
      <c r="WK80" s="172"/>
      <c r="WL80" s="172"/>
      <c r="WM80" s="172"/>
      <c r="WN80" s="172"/>
      <c r="WO80" s="172"/>
      <c r="WP80" s="172"/>
      <c r="WQ80" s="172"/>
      <c r="WR80" s="172"/>
      <c r="WS80" s="172"/>
      <c r="WT80" s="172"/>
      <c r="WU80" s="172"/>
      <c r="WV80" s="172"/>
      <c r="WW80" s="172"/>
      <c r="WX80" s="172"/>
      <c r="WY80" s="172"/>
      <c r="WZ80" s="172"/>
      <c r="XA80" s="172"/>
      <c r="XB80" s="172"/>
      <c r="XC80" s="172"/>
      <c r="XD80" s="172"/>
      <c r="XE80" s="172"/>
      <c r="XF80" s="172"/>
      <c r="XG80" s="172"/>
      <c r="XH80" s="172"/>
      <c r="XI80" s="172"/>
      <c r="XJ80" s="172"/>
      <c r="XK80" s="172"/>
      <c r="XL80" s="172"/>
      <c r="XM80" s="172"/>
      <c r="XN80" s="172"/>
      <c r="XO80" s="172"/>
      <c r="XP80" s="172"/>
      <c r="XQ80" s="172"/>
      <c r="XR80" s="172"/>
      <c r="XS80" s="172"/>
      <c r="XT80" s="172"/>
      <c r="XU80" s="172"/>
      <c r="XV80" s="172"/>
      <c r="XW80" s="172"/>
      <c r="XX80" s="172"/>
      <c r="XY80" s="172"/>
      <c r="XZ80" s="172"/>
      <c r="YA80" s="172"/>
      <c r="YB80" s="172"/>
      <c r="YC80" s="172"/>
      <c r="YD80" s="172"/>
      <c r="YE80" s="172"/>
      <c r="YF80" s="172"/>
      <c r="YG80" s="172"/>
      <c r="YH80" s="172"/>
      <c r="YI80" s="172"/>
      <c r="YJ80" s="172"/>
      <c r="YK80" s="172"/>
      <c r="YL80" s="172"/>
      <c r="YM80" s="172"/>
      <c r="YN80" s="172"/>
      <c r="YO80" s="172"/>
      <c r="YP80" s="172"/>
      <c r="YQ80" s="172"/>
      <c r="YR80" s="172"/>
      <c r="YS80" s="172"/>
      <c r="YT80" s="172"/>
      <c r="YU80" s="172"/>
      <c r="YV80" s="172"/>
      <c r="YW80" s="172"/>
      <c r="YX80" s="172"/>
      <c r="YY80" s="172"/>
      <c r="YZ80" s="172"/>
      <c r="ZA80" s="172"/>
      <c r="ZB80" s="172"/>
      <c r="ZC80" s="172"/>
      <c r="ZD80" s="172"/>
      <c r="ZE80" s="172"/>
      <c r="ZF80" s="172"/>
      <c r="ZG80" s="172"/>
      <c r="ZH80" s="172"/>
      <c r="ZI80" s="172"/>
      <c r="ZJ80" s="172"/>
      <c r="ZK80" s="172"/>
      <c r="ZL80" s="172"/>
      <c r="ZM80" s="172"/>
      <c r="ZN80" s="172"/>
      <c r="ZO80" s="172"/>
      <c r="ZP80" s="172"/>
      <c r="ZQ80" s="172"/>
      <c r="ZR80" s="172"/>
      <c r="ZS80" s="172"/>
      <c r="ZT80" s="172"/>
      <c r="ZU80" s="172"/>
      <c r="ZV80" s="172"/>
      <c r="ZW80" s="172"/>
      <c r="ZX80" s="172"/>
      <c r="ZY80" s="172"/>
      <c r="ZZ80" s="172"/>
      <c r="AAA80" s="172"/>
      <c r="AAB80" s="172"/>
      <c r="AAC80" s="172"/>
      <c r="AAD80" s="172"/>
      <c r="AAE80" s="172"/>
      <c r="AAF80" s="172"/>
      <c r="AAG80" s="172"/>
      <c r="AAH80" s="172"/>
      <c r="AAI80" s="172"/>
      <c r="AAJ80" s="172"/>
      <c r="AAK80" s="172"/>
      <c r="AAL80" s="172"/>
      <c r="AAM80" s="172"/>
      <c r="AAN80" s="172"/>
      <c r="AAO80" s="172"/>
      <c r="AAP80" s="172"/>
      <c r="AAQ80" s="172"/>
      <c r="AAR80" s="172"/>
      <c r="AAS80" s="172"/>
      <c r="AAT80" s="172"/>
      <c r="AAU80" s="172"/>
      <c r="AAV80" s="172"/>
      <c r="AAW80" s="172"/>
      <c r="AAX80" s="172"/>
      <c r="AAY80" s="172"/>
      <c r="AAZ80" s="172"/>
      <c r="ABA80" s="172"/>
      <c r="ABB80" s="172"/>
      <c r="ABC80" s="172"/>
      <c r="ABD80" s="172"/>
      <c r="ABE80" s="172"/>
      <c r="ABF80" s="172"/>
      <c r="ABG80" s="172"/>
      <c r="ABH80" s="172"/>
      <c r="ABI80" s="172"/>
      <c r="ABJ80" s="172"/>
      <c r="ABK80" s="172"/>
      <c r="ABL80" s="172"/>
      <c r="ABM80" s="172"/>
      <c r="ABN80" s="172"/>
      <c r="ABO80" s="172"/>
      <c r="ABP80" s="172"/>
      <c r="ABQ80" s="172"/>
      <c r="ABR80" s="172"/>
      <c r="ABS80" s="172"/>
      <c r="ABT80" s="172"/>
      <c r="ABU80" s="172"/>
      <c r="ABV80" s="172"/>
      <c r="ABW80" s="172"/>
      <c r="ABX80" s="172"/>
      <c r="ABY80" s="172"/>
      <c r="ABZ80" s="172"/>
      <c r="ACA80" s="172"/>
      <c r="ACB80" s="172"/>
      <c r="ACC80" s="172"/>
      <c r="ACD80" s="172"/>
      <c r="ACE80" s="172"/>
      <c r="ACF80" s="172"/>
      <c r="ACG80" s="172"/>
      <c r="ACH80" s="172"/>
      <c r="ACI80" s="172"/>
      <c r="ACJ80" s="172"/>
      <c r="ACK80" s="172"/>
      <c r="ACL80" s="172"/>
      <c r="ACM80" s="172"/>
      <c r="ACN80" s="172"/>
      <c r="ACO80" s="172"/>
      <c r="ACP80" s="172"/>
      <c r="ACQ80" s="172"/>
      <c r="ACR80" s="172"/>
      <c r="ACS80" s="172"/>
      <c r="ACT80" s="172"/>
      <c r="ACU80" s="172"/>
      <c r="ACV80" s="172"/>
      <c r="ACW80" s="172"/>
      <c r="ACX80" s="172"/>
      <c r="ACY80" s="172"/>
      <c r="ACZ80" s="172"/>
      <c r="ADA80" s="172"/>
      <c r="ADB80" s="172"/>
      <c r="ADC80" s="172"/>
      <c r="ADD80" s="172"/>
      <c r="ADE80" s="172"/>
      <c r="ADF80" s="172"/>
      <c r="ADG80" s="172"/>
      <c r="ADH80" s="172"/>
      <c r="ADI80" s="172"/>
      <c r="ADJ80" s="172"/>
      <c r="ADK80" s="172"/>
      <c r="ADL80" s="172"/>
      <c r="ADM80" s="172"/>
      <c r="ADN80" s="172"/>
      <c r="ADO80" s="172"/>
      <c r="ADP80" s="172"/>
      <c r="ADQ80" s="172"/>
      <c r="ADR80" s="172"/>
      <c r="ADS80" s="172"/>
      <c r="ADT80" s="172"/>
      <c r="ADU80" s="172"/>
      <c r="ADV80" s="172"/>
      <c r="ADW80" s="172"/>
      <c r="ADX80" s="172"/>
      <c r="ADY80" s="172"/>
      <c r="ADZ80" s="172"/>
      <c r="AEA80" s="172"/>
      <c r="AEB80" s="172"/>
      <c r="AEC80" s="172"/>
      <c r="AED80" s="172"/>
      <c r="AEE80" s="172"/>
      <c r="AEF80" s="172"/>
      <c r="AEG80" s="172"/>
      <c r="AEH80" s="172"/>
      <c r="AEI80" s="172"/>
      <c r="AEJ80" s="172"/>
      <c r="AEK80" s="172"/>
      <c r="AEL80" s="172"/>
      <c r="AEM80" s="172"/>
      <c r="AEN80" s="172"/>
      <c r="AEO80" s="172"/>
      <c r="AEP80" s="172"/>
      <c r="AEQ80" s="172"/>
      <c r="AER80" s="172"/>
      <c r="AES80" s="172"/>
      <c r="AET80" s="172"/>
      <c r="AEU80" s="172"/>
      <c r="AEV80" s="172"/>
      <c r="AEW80" s="172"/>
      <c r="AEX80" s="172"/>
      <c r="AEY80" s="172"/>
      <c r="AEZ80" s="172"/>
      <c r="AFA80" s="172"/>
      <c r="AFB80" s="172"/>
      <c r="AFC80" s="172"/>
      <c r="AFD80" s="172"/>
      <c r="AFE80" s="172"/>
      <c r="AFF80" s="172"/>
      <c r="AFG80" s="172"/>
      <c r="AFH80" s="172"/>
      <c r="AFI80" s="172"/>
      <c r="AFJ80" s="172"/>
      <c r="AFK80" s="172"/>
      <c r="AFL80" s="172"/>
      <c r="AFM80" s="172"/>
      <c r="AFN80" s="172"/>
      <c r="AFO80" s="172"/>
      <c r="AFP80" s="172"/>
      <c r="AFQ80" s="172"/>
      <c r="AFR80" s="172"/>
      <c r="AFS80" s="172"/>
      <c r="AFT80" s="172"/>
      <c r="AFU80" s="172"/>
      <c r="AFV80" s="172"/>
      <c r="AFW80" s="172"/>
      <c r="AFX80" s="172"/>
      <c r="AFY80" s="172"/>
      <c r="AFZ80" s="172"/>
      <c r="AGA80" s="172"/>
      <c r="AGB80" s="172"/>
      <c r="AGC80" s="172"/>
      <c r="AGD80" s="172"/>
      <c r="AGE80" s="172"/>
      <c r="AGF80" s="172"/>
      <c r="AGG80" s="172"/>
      <c r="AGH80" s="172"/>
      <c r="AGI80" s="172"/>
      <c r="AGJ80" s="172"/>
      <c r="AGK80" s="172"/>
      <c r="AGL80" s="172"/>
      <c r="AGM80" s="172"/>
      <c r="AGN80" s="172"/>
      <c r="AGO80" s="172"/>
      <c r="AGP80" s="172"/>
      <c r="AGQ80" s="172"/>
      <c r="AGR80" s="172"/>
      <c r="AGS80" s="172"/>
      <c r="AGT80" s="172"/>
      <c r="AGU80" s="172"/>
      <c r="AGV80" s="172"/>
      <c r="AGW80" s="172"/>
      <c r="AGX80" s="172"/>
      <c r="AGY80" s="172"/>
      <c r="AGZ80" s="172"/>
      <c r="AHA80" s="172"/>
      <c r="AHB80" s="172"/>
      <c r="AHC80" s="172"/>
      <c r="AHD80" s="172"/>
      <c r="AHE80" s="172"/>
      <c r="AHF80" s="172"/>
      <c r="AHG80" s="172"/>
      <c r="AHH80" s="172"/>
      <c r="AHI80" s="172"/>
      <c r="AHJ80" s="172"/>
      <c r="AHK80" s="172"/>
      <c r="AHL80" s="172"/>
      <c r="AHM80" s="172"/>
      <c r="AHN80" s="172"/>
      <c r="AHO80" s="172"/>
      <c r="AHP80" s="172"/>
      <c r="AHQ80" s="172"/>
      <c r="AHR80" s="172"/>
      <c r="AHS80" s="172"/>
      <c r="AHT80" s="172"/>
      <c r="AHU80" s="172"/>
      <c r="AHV80" s="172"/>
      <c r="AHW80" s="172"/>
      <c r="AHX80" s="172"/>
      <c r="AHY80" s="172"/>
      <c r="AHZ80" s="172"/>
      <c r="AIA80" s="172"/>
      <c r="AIB80" s="172"/>
      <c r="AIC80" s="172"/>
      <c r="AID80" s="172"/>
      <c r="AIE80" s="172"/>
      <c r="AIF80" s="172"/>
      <c r="AIG80" s="172"/>
      <c r="AIH80" s="172"/>
      <c r="AII80" s="172"/>
      <c r="AIJ80" s="172"/>
      <c r="AIK80" s="172"/>
      <c r="AIL80" s="172"/>
      <c r="AIM80" s="172"/>
      <c r="AIN80" s="172"/>
      <c r="AIO80" s="172"/>
      <c r="AIP80" s="172"/>
      <c r="AIQ80" s="172"/>
      <c r="AIR80" s="172"/>
      <c r="AIS80" s="172"/>
      <c r="AIT80" s="172"/>
      <c r="AIU80" s="172"/>
      <c r="AIV80" s="172"/>
      <c r="AIW80" s="172"/>
      <c r="AIX80" s="172"/>
      <c r="AIY80" s="172"/>
      <c r="AIZ80" s="172"/>
      <c r="AJA80" s="172"/>
      <c r="AJB80" s="172"/>
      <c r="AJC80" s="172"/>
      <c r="AJD80" s="172"/>
      <c r="AJE80" s="172"/>
      <c r="AJF80" s="172"/>
      <c r="AJG80" s="172"/>
      <c r="AJH80" s="172"/>
      <c r="AJI80" s="172"/>
      <c r="AJJ80" s="172"/>
      <c r="AJK80" s="172"/>
      <c r="AJL80" s="172"/>
      <c r="AJM80" s="172"/>
      <c r="AJN80" s="172"/>
      <c r="AJO80" s="172"/>
      <c r="AJP80" s="172"/>
      <c r="AJQ80" s="172"/>
      <c r="AJR80" s="172"/>
      <c r="AJS80" s="172"/>
      <c r="AJT80" s="172"/>
      <c r="AJU80" s="172"/>
      <c r="AJV80" s="172"/>
      <c r="AJW80" s="172"/>
      <c r="AJX80" s="172"/>
      <c r="AJY80" s="172"/>
      <c r="AJZ80" s="172"/>
      <c r="AKA80" s="172"/>
      <c r="AKB80" s="172"/>
      <c r="AKC80" s="172"/>
      <c r="AKD80" s="172"/>
      <c r="AKE80" s="172"/>
      <c r="AKF80" s="172"/>
      <c r="AKG80" s="172"/>
      <c r="AKH80" s="172"/>
      <c r="AKI80" s="172"/>
      <c r="AKJ80" s="172"/>
      <c r="AKK80" s="172"/>
      <c r="AKL80" s="172"/>
      <c r="AKM80" s="172"/>
      <c r="AKN80" s="172"/>
      <c r="AKO80" s="172"/>
      <c r="AKP80" s="172"/>
      <c r="AKQ80" s="172"/>
      <c r="AKR80" s="172"/>
      <c r="AKS80" s="172"/>
      <c r="AKT80" s="172"/>
      <c r="AKU80" s="172"/>
      <c r="AKV80" s="172"/>
      <c r="AKW80" s="172"/>
      <c r="AKX80" s="172"/>
      <c r="AKY80" s="172"/>
      <c r="AKZ80" s="172"/>
      <c r="ALA80" s="172"/>
      <c r="ALB80" s="172"/>
      <c r="ALC80" s="172"/>
      <c r="ALD80" s="172"/>
      <c r="ALE80" s="172"/>
      <c r="ALF80" s="172"/>
      <c r="ALG80" s="172"/>
      <c r="ALH80" s="172"/>
      <c r="ALI80" s="172"/>
      <c r="ALJ80" s="172"/>
      <c r="ALK80" s="172"/>
      <c r="ALL80" s="172"/>
      <c r="ALM80" s="172"/>
      <c r="ALN80" s="172"/>
      <c r="ALO80" s="172"/>
      <c r="ALP80" s="172"/>
      <c r="ALQ80" s="172"/>
      <c r="ALR80" s="172"/>
      <c r="ALS80" s="172"/>
      <c r="ALT80" s="172"/>
      <c r="ALU80" s="172"/>
      <c r="ALV80" s="172"/>
      <c r="ALW80" s="172"/>
      <c r="ALX80" s="172"/>
      <c r="ALY80" s="172"/>
      <c r="ALZ80" s="172"/>
      <c r="AMA80" s="172"/>
      <c r="AMB80" s="172"/>
      <c r="AMC80" s="172"/>
      <c r="AMD80" s="172"/>
      <c r="AME80" s="172"/>
      <c r="AMF80" s="172"/>
      <c r="AMG80" s="172"/>
      <c r="AMH80" s="172"/>
      <c r="AMI80" s="172"/>
      <c r="AMJ80" s="172"/>
      <c r="AMK80" s="172"/>
      <c r="AML80" s="172"/>
      <c r="AMM80" s="172"/>
      <c r="AMN80" s="172"/>
      <c r="AMO80" s="172"/>
      <c r="AMP80" s="172"/>
      <c r="AMQ80" s="172"/>
      <c r="AMR80" s="172"/>
      <c r="AMS80" s="172"/>
      <c r="AMT80" s="172"/>
      <c r="AMU80" s="172"/>
      <c r="AMV80" s="172"/>
      <c r="AMW80" s="172"/>
      <c r="AMX80" s="172"/>
      <c r="AMY80" s="172"/>
      <c r="AMZ80" s="172"/>
      <c r="ANA80" s="172"/>
      <c r="ANB80" s="172"/>
      <c r="ANC80" s="172"/>
      <c r="AND80" s="172"/>
      <c r="ANE80" s="172"/>
      <c r="ANF80" s="172"/>
      <c r="ANG80" s="172"/>
      <c r="ANH80" s="172"/>
      <c r="ANI80" s="172"/>
      <c r="ANJ80" s="172"/>
      <c r="ANK80" s="172"/>
      <c r="ANL80" s="172"/>
      <c r="ANM80" s="172"/>
      <c r="ANN80" s="172"/>
      <c r="ANO80" s="172"/>
      <c r="ANP80" s="172"/>
      <c r="ANQ80" s="172"/>
      <c r="ANR80" s="172"/>
      <c r="ANS80" s="172"/>
      <c r="ANT80" s="172"/>
      <c r="ANU80" s="172"/>
      <c r="ANV80" s="172"/>
      <c r="ANW80" s="172"/>
      <c r="ANX80" s="172"/>
      <c r="ANY80" s="172"/>
      <c r="ANZ80" s="172"/>
      <c r="AOA80" s="172"/>
      <c r="AOB80" s="172"/>
      <c r="AOC80" s="172"/>
      <c r="AOD80" s="172"/>
      <c r="AOE80" s="172"/>
      <c r="AOF80" s="172"/>
      <c r="AOG80" s="172"/>
      <c r="AOH80" s="172"/>
      <c r="AOI80" s="172"/>
      <c r="AOJ80" s="172"/>
      <c r="AOK80" s="172"/>
      <c r="AOL80" s="172"/>
      <c r="AOM80" s="172"/>
      <c r="AON80" s="172"/>
      <c r="AOO80" s="172"/>
      <c r="AOP80" s="172"/>
      <c r="AOQ80" s="172"/>
      <c r="AOR80" s="172"/>
      <c r="AOS80" s="172"/>
      <c r="AOT80" s="172"/>
      <c r="AOU80" s="172"/>
      <c r="AOV80" s="172"/>
      <c r="AOW80" s="172"/>
      <c r="AOX80" s="172"/>
      <c r="AOY80" s="172"/>
      <c r="AOZ80" s="172"/>
      <c r="APA80" s="172"/>
      <c r="APB80" s="172"/>
      <c r="APC80" s="172"/>
      <c r="APD80" s="172"/>
      <c r="APE80" s="172"/>
      <c r="APF80" s="172"/>
      <c r="APG80" s="172"/>
      <c r="APH80" s="172"/>
      <c r="API80" s="172"/>
      <c r="APJ80" s="172"/>
      <c r="APK80" s="172"/>
      <c r="APL80" s="172"/>
      <c r="APM80" s="172"/>
      <c r="APN80" s="172"/>
      <c r="APO80" s="172"/>
      <c r="APP80" s="172"/>
      <c r="APQ80" s="172"/>
      <c r="APR80" s="172"/>
      <c r="APS80" s="172"/>
      <c r="APT80" s="172"/>
      <c r="APU80" s="172"/>
      <c r="APV80" s="172"/>
      <c r="APW80" s="172"/>
      <c r="APX80" s="172"/>
      <c r="APY80" s="172"/>
      <c r="APZ80" s="172"/>
      <c r="AQA80" s="172"/>
      <c r="AQB80" s="172"/>
      <c r="AQC80" s="172"/>
      <c r="AQD80" s="172"/>
      <c r="AQE80" s="172"/>
      <c r="AQF80" s="172"/>
      <c r="AQG80" s="172"/>
      <c r="AQH80" s="172"/>
      <c r="AQI80" s="172"/>
      <c r="AQJ80" s="172"/>
      <c r="AQK80" s="172"/>
      <c r="AQL80" s="172"/>
      <c r="AQM80" s="172"/>
      <c r="AQN80" s="172"/>
      <c r="AQO80" s="172"/>
      <c r="AQP80" s="172"/>
      <c r="AQQ80" s="172"/>
      <c r="AQR80" s="172"/>
      <c r="AQS80" s="172"/>
      <c r="AQT80" s="172"/>
      <c r="AQU80" s="172"/>
      <c r="AQV80" s="172"/>
      <c r="AQW80" s="172"/>
      <c r="AQX80" s="172"/>
      <c r="AQY80" s="172"/>
      <c r="AQZ80" s="172"/>
      <c r="ARA80" s="172"/>
      <c r="ARB80" s="172"/>
      <c r="ARC80" s="172"/>
      <c r="ARD80" s="172"/>
      <c r="ARE80" s="172"/>
      <c r="ARF80" s="172"/>
      <c r="ARG80" s="172"/>
      <c r="ARH80" s="172"/>
      <c r="ARI80" s="172"/>
      <c r="ARJ80" s="172"/>
      <c r="ARK80" s="172"/>
      <c r="ARL80" s="172"/>
      <c r="ARM80" s="172"/>
      <c r="ARN80" s="172"/>
      <c r="ARO80" s="172"/>
      <c r="ARP80" s="172"/>
      <c r="ARQ80" s="172"/>
      <c r="ARR80" s="172"/>
      <c r="ARS80" s="172"/>
      <c r="ART80" s="172"/>
      <c r="ARU80" s="172"/>
    </row>
    <row r="81" spans="1:1165" s="257" customFormat="1">
      <c r="A81" s="222" t="s">
        <v>208</v>
      </c>
      <c r="B81" s="195" t="s">
        <v>87</v>
      </c>
      <c r="C81" s="258">
        <f>1618+1830+46973+843</f>
        <v>51264</v>
      </c>
      <c r="D81" s="258">
        <f>33914+24967+938066+1401</f>
        <v>998348</v>
      </c>
      <c r="E81" s="258">
        <v>2448</v>
      </c>
      <c r="F81" s="258">
        <v>94973</v>
      </c>
      <c r="G81" s="258">
        <f>3156+150</f>
        <v>3306</v>
      </c>
      <c r="H81" s="258">
        <f>142020+200</f>
        <v>142220</v>
      </c>
      <c r="I81" s="258">
        <f>2045+1784</f>
        <v>3829</v>
      </c>
      <c r="J81" s="258">
        <f>85359+2140</f>
        <v>87499</v>
      </c>
      <c r="K81" s="258">
        <v>2503</v>
      </c>
      <c r="L81" s="258">
        <v>112815</v>
      </c>
      <c r="M81" s="258">
        <v>2272</v>
      </c>
      <c r="N81" s="258">
        <v>102224</v>
      </c>
      <c r="O81" s="258">
        <v>2992</v>
      </c>
      <c r="P81" s="258">
        <v>134640</v>
      </c>
      <c r="Q81" s="258">
        <v>1117</v>
      </c>
      <c r="R81" s="258">
        <v>50261</v>
      </c>
      <c r="S81" s="258">
        <v>1334</v>
      </c>
      <c r="T81" s="258">
        <v>60035</v>
      </c>
      <c r="U81" s="288">
        <v>0</v>
      </c>
      <c r="V81" s="288">
        <v>0</v>
      </c>
      <c r="W81" s="284">
        <v>1471</v>
      </c>
      <c r="X81" s="284">
        <v>64842</v>
      </c>
      <c r="Y81" s="284">
        <v>678</v>
      </c>
      <c r="Z81" s="284">
        <v>30445</v>
      </c>
      <c r="AA81" s="302">
        <v>362</v>
      </c>
      <c r="AB81" s="302">
        <v>16266</v>
      </c>
      <c r="AC81" s="258">
        <v>974</v>
      </c>
      <c r="AD81" s="258">
        <v>43791</v>
      </c>
      <c r="AE81" s="288">
        <v>390</v>
      </c>
      <c r="AF81" s="288">
        <v>17538</v>
      </c>
      <c r="AG81" s="288">
        <v>795</v>
      </c>
      <c r="AH81" s="288">
        <v>35746</v>
      </c>
      <c r="AI81" s="288">
        <v>0</v>
      </c>
      <c r="AJ81" s="288">
        <v>0</v>
      </c>
      <c r="AK81" s="288">
        <v>0</v>
      </c>
      <c r="AL81" s="288">
        <v>0</v>
      </c>
      <c r="AM81" s="288">
        <v>0</v>
      </c>
      <c r="AN81" s="288">
        <v>0</v>
      </c>
      <c r="AO81" s="288">
        <v>0</v>
      </c>
      <c r="AP81" s="288">
        <v>0</v>
      </c>
      <c r="AQ81" s="288">
        <v>0</v>
      </c>
      <c r="AR81" s="288">
        <v>0</v>
      </c>
      <c r="AS81" s="288">
        <v>0</v>
      </c>
      <c r="AT81" s="288">
        <v>0</v>
      </c>
      <c r="AU81" s="288">
        <v>0</v>
      </c>
      <c r="AV81" s="288">
        <v>0</v>
      </c>
      <c r="AW81" s="258">
        <v>0</v>
      </c>
      <c r="AX81" s="258">
        <v>0</v>
      </c>
      <c r="AY81" s="258">
        <v>0</v>
      </c>
      <c r="AZ81" s="258">
        <v>0</v>
      </c>
      <c r="BA81" s="288"/>
      <c r="BB81" s="284"/>
      <c r="BC81" s="284"/>
      <c r="BD81" s="284"/>
      <c r="BE81" s="284"/>
      <c r="BF81" s="284"/>
      <c r="BG81" s="284"/>
      <c r="BH81" s="284"/>
      <c r="BI81" s="288"/>
      <c r="BJ81" s="284">
        <f t="shared" si="57"/>
        <v>73287</v>
      </c>
      <c r="BK81" s="258">
        <f t="shared" si="58"/>
        <v>1896670</v>
      </c>
      <c r="BL81" s="172"/>
      <c r="BM81" s="13"/>
      <c r="BN81" s="231"/>
      <c r="BO81" s="231"/>
      <c r="BP81" s="231"/>
      <c r="BQ81" s="172"/>
      <c r="BR81" s="172"/>
      <c r="BS81" s="172"/>
      <c r="BT81" s="172"/>
      <c r="BU81" s="172"/>
      <c r="BV81" s="172"/>
      <c r="BW81" s="172"/>
      <c r="BX81" s="172"/>
      <c r="BY81" s="172"/>
      <c r="BZ81" s="172"/>
      <c r="CA81" s="172"/>
      <c r="CB81" s="172"/>
      <c r="CC81" s="172"/>
      <c r="CD81" s="172"/>
      <c r="CE81" s="172"/>
      <c r="CF81" s="172"/>
      <c r="CG81" s="172"/>
      <c r="CH81" s="172"/>
      <c r="CI81" s="172"/>
      <c r="CJ81" s="172"/>
      <c r="CK81" s="172"/>
      <c r="CL81" s="172"/>
      <c r="CM81" s="172"/>
      <c r="CN81" s="172"/>
      <c r="CO81" s="172"/>
      <c r="CP81" s="172"/>
      <c r="CQ81" s="172"/>
      <c r="CR81" s="172"/>
      <c r="CS81" s="172"/>
      <c r="CT81" s="172"/>
      <c r="CU81" s="172"/>
      <c r="CV81" s="172"/>
      <c r="CW81" s="172"/>
      <c r="CX81" s="172"/>
      <c r="CY81" s="172"/>
      <c r="CZ81" s="172"/>
      <c r="DA81" s="172"/>
      <c r="DB81" s="172"/>
      <c r="DC81" s="172"/>
      <c r="DD81" s="172"/>
      <c r="DE81" s="172"/>
      <c r="DF81" s="172"/>
      <c r="DG81" s="172"/>
      <c r="DH81" s="172"/>
      <c r="DI81" s="172"/>
      <c r="DJ81" s="172"/>
      <c r="DK81" s="172"/>
      <c r="DL81" s="172"/>
      <c r="DM81" s="172"/>
      <c r="DN81" s="172"/>
      <c r="DO81" s="172"/>
      <c r="DP81" s="172"/>
      <c r="DQ81" s="172"/>
      <c r="DR81" s="172"/>
      <c r="DS81" s="172"/>
      <c r="DT81" s="172"/>
      <c r="DU81" s="172"/>
      <c r="DV81" s="172"/>
      <c r="DW81" s="172"/>
      <c r="DX81" s="172"/>
      <c r="DY81" s="172"/>
      <c r="DZ81" s="172"/>
      <c r="EA81" s="172"/>
      <c r="EB81" s="172"/>
      <c r="EC81" s="172"/>
      <c r="ED81" s="172"/>
      <c r="EE81" s="172"/>
      <c r="EF81" s="172"/>
      <c r="EG81" s="172"/>
      <c r="EH81" s="172"/>
      <c r="EI81" s="172"/>
      <c r="EJ81" s="172"/>
      <c r="EK81" s="172"/>
      <c r="EL81" s="172"/>
      <c r="EM81" s="172"/>
      <c r="EN81" s="172"/>
      <c r="EO81" s="172"/>
      <c r="EP81" s="172"/>
      <c r="EQ81" s="172"/>
      <c r="ER81" s="172"/>
      <c r="ES81" s="172"/>
      <c r="ET81" s="172"/>
      <c r="EU81" s="172"/>
      <c r="EV81" s="172"/>
      <c r="EW81" s="172"/>
      <c r="EX81" s="172"/>
      <c r="EY81" s="172"/>
      <c r="EZ81" s="172"/>
      <c r="FA81" s="172"/>
      <c r="FB81" s="172"/>
      <c r="FC81" s="172"/>
      <c r="FD81" s="172"/>
      <c r="FE81" s="172"/>
      <c r="FF81" s="172"/>
      <c r="FG81" s="172"/>
      <c r="FH81" s="172"/>
      <c r="FI81" s="172"/>
      <c r="FJ81" s="172"/>
      <c r="FK81" s="172"/>
      <c r="FL81" s="172"/>
      <c r="FM81" s="172"/>
      <c r="FN81" s="172"/>
      <c r="FO81" s="172"/>
      <c r="FP81" s="172"/>
      <c r="FQ81" s="172"/>
      <c r="FR81" s="172"/>
      <c r="FS81" s="172"/>
      <c r="FT81" s="172"/>
      <c r="FU81" s="172"/>
      <c r="FV81" s="172"/>
      <c r="FW81" s="172"/>
      <c r="FX81" s="172"/>
      <c r="FY81" s="172"/>
      <c r="FZ81" s="172"/>
      <c r="GA81" s="172"/>
      <c r="GB81" s="172"/>
      <c r="GC81" s="172"/>
      <c r="GD81" s="172"/>
      <c r="GE81" s="172"/>
      <c r="GF81" s="172"/>
      <c r="GG81" s="172"/>
      <c r="GH81" s="172"/>
      <c r="GI81" s="172"/>
      <c r="GJ81" s="172"/>
      <c r="GK81" s="172"/>
      <c r="GL81" s="172"/>
      <c r="GM81" s="172"/>
      <c r="GN81" s="172"/>
      <c r="GO81" s="172"/>
      <c r="GP81" s="172"/>
      <c r="GQ81" s="172"/>
      <c r="GR81" s="172"/>
      <c r="GS81" s="172"/>
      <c r="GT81" s="172"/>
      <c r="GU81" s="172"/>
      <c r="GV81" s="172"/>
      <c r="GW81" s="172"/>
      <c r="GX81" s="172"/>
      <c r="GY81" s="172"/>
      <c r="GZ81" s="172"/>
      <c r="HA81" s="172"/>
      <c r="HB81" s="172"/>
      <c r="HC81" s="172"/>
      <c r="HD81" s="172"/>
      <c r="HE81" s="172"/>
      <c r="HF81" s="172"/>
      <c r="HG81" s="172"/>
      <c r="HH81" s="172"/>
      <c r="HI81" s="172"/>
      <c r="HJ81" s="172"/>
      <c r="HK81" s="172"/>
      <c r="HL81" s="172"/>
      <c r="HM81" s="172"/>
      <c r="HN81" s="172"/>
      <c r="HO81" s="172"/>
      <c r="HP81" s="172"/>
      <c r="HQ81" s="172"/>
      <c r="HR81" s="172"/>
      <c r="HS81" s="172"/>
      <c r="HT81" s="172"/>
      <c r="HU81" s="172"/>
      <c r="HV81" s="172"/>
      <c r="HW81" s="172"/>
      <c r="HX81" s="172"/>
      <c r="HY81" s="172"/>
      <c r="HZ81" s="172"/>
      <c r="IA81" s="172"/>
      <c r="IB81" s="172"/>
      <c r="IC81" s="172"/>
      <c r="ID81" s="172"/>
      <c r="IE81" s="172"/>
      <c r="IF81" s="172"/>
      <c r="IG81" s="172"/>
      <c r="IH81" s="172"/>
      <c r="II81" s="172"/>
      <c r="IJ81" s="172"/>
      <c r="IK81" s="172"/>
      <c r="IL81" s="172"/>
      <c r="IM81" s="172"/>
      <c r="IN81" s="172"/>
      <c r="IO81" s="172"/>
      <c r="IP81" s="172"/>
      <c r="IQ81" s="172"/>
      <c r="IR81" s="172"/>
      <c r="IS81" s="172"/>
      <c r="IT81" s="172"/>
      <c r="IU81" s="172"/>
      <c r="IV81" s="172"/>
      <c r="IW81" s="172"/>
      <c r="IX81" s="172"/>
      <c r="IY81" s="172"/>
      <c r="IZ81" s="172"/>
      <c r="JA81" s="172"/>
      <c r="JB81" s="172"/>
      <c r="JC81" s="172"/>
      <c r="JD81" s="172"/>
      <c r="JE81" s="172"/>
      <c r="JF81" s="172"/>
      <c r="JG81" s="172"/>
      <c r="JH81" s="172"/>
      <c r="JI81" s="172"/>
      <c r="JJ81" s="172"/>
      <c r="JK81" s="172"/>
      <c r="JL81" s="172"/>
      <c r="JM81" s="172"/>
      <c r="JN81" s="172"/>
      <c r="JO81" s="172"/>
      <c r="JP81" s="172"/>
      <c r="JQ81" s="172"/>
      <c r="JR81" s="172"/>
      <c r="JS81" s="172"/>
      <c r="JT81" s="172"/>
      <c r="JU81" s="172"/>
      <c r="JV81" s="172"/>
      <c r="JW81" s="172"/>
      <c r="JX81" s="172"/>
      <c r="JY81" s="172"/>
      <c r="JZ81" s="172"/>
      <c r="KA81" s="172"/>
      <c r="KB81" s="172"/>
      <c r="KC81" s="172"/>
      <c r="KD81" s="172"/>
      <c r="KE81" s="172"/>
      <c r="KF81" s="172"/>
      <c r="KG81" s="172"/>
      <c r="KH81" s="172"/>
      <c r="KI81" s="172"/>
      <c r="KJ81" s="172"/>
      <c r="KK81" s="172"/>
      <c r="KL81" s="172"/>
      <c r="KM81" s="172"/>
      <c r="KN81" s="172"/>
      <c r="KO81" s="172"/>
      <c r="KP81" s="172"/>
      <c r="KQ81" s="172"/>
      <c r="KR81" s="172"/>
      <c r="KS81" s="172"/>
      <c r="KT81" s="172"/>
      <c r="KU81" s="172"/>
      <c r="KV81" s="172"/>
      <c r="KW81" s="172"/>
      <c r="KX81" s="172"/>
      <c r="KY81" s="172"/>
      <c r="KZ81" s="172"/>
      <c r="LA81" s="172"/>
      <c r="LB81" s="172"/>
      <c r="LC81" s="172"/>
      <c r="LD81" s="172"/>
      <c r="LE81" s="172"/>
      <c r="LF81" s="172"/>
      <c r="LG81" s="172"/>
      <c r="LH81" s="172"/>
      <c r="LI81" s="172"/>
      <c r="LJ81" s="172"/>
      <c r="LK81" s="172"/>
      <c r="LL81" s="172"/>
      <c r="LM81" s="172"/>
      <c r="LN81" s="172"/>
      <c r="LO81" s="172"/>
      <c r="LP81" s="172"/>
      <c r="LQ81" s="172"/>
      <c r="LR81" s="172"/>
      <c r="LS81" s="172"/>
      <c r="LT81" s="172"/>
      <c r="LU81" s="172"/>
      <c r="LV81" s="172"/>
      <c r="LW81" s="172"/>
      <c r="LX81" s="172"/>
      <c r="LY81" s="172"/>
      <c r="LZ81" s="172"/>
      <c r="MA81" s="172"/>
      <c r="MB81" s="172"/>
      <c r="MC81" s="172"/>
      <c r="MD81" s="172"/>
      <c r="ME81" s="172"/>
      <c r="MF81" s="172"/>
      <c r="MG81" s="172"/>
      <c r="MH81" s="172"/>
      <c r="MI81" s="172"/>
      <c r="MJ81" s="172"/>
      <c r="MK81" s="172"/>
      <c r="ML81" s="172"/>
      <c r="MM81" s="172"/>
      <c r="MN81" s="172"/>
      <c r="MO81" s="172"/>
      <c r="MP81" s="172"/>
      <c r="MQ81" s="172"/>
      <c r="MR81" s="172"/>
      <c r="MS81" s="172"/>
      <c r="MT81" s="172"/>
      <c r="MU81" s="172"/>
      <c r="MV81" s="172"/>
      <c r="MW81" s="172"/>
      <c r="MX81" s="172"/>
      <c r="MY81" s="172"/>
      <c r="MZ81" s="172"/>
      <c r="NA81" s="172"/>
      <c r="NB81" s="172"/>
      <c r="NC81" s="172"/>
      <c r="ND81" s="172"/>
      <c r="NE81" s="172"/>
      <c r="NF81" s="172"/>
      <c r="NG81" s="172"/>
      <c r="NH81" s="172"/>
      <c r="NI81" s="172"/>
      <c r="NJ81" s="172"/>
      <c r="NK81" s="172"/>
      <c r="NL81" s="172"/>
      <c r="NM81" s="172"/>
      <c r="NN81" s="172"/>
      <c r="NO81" s="172"/>
      <c r="NP81" s="172"/>
      <c r="NQ81" s="172"/>
      <c r="NR81" s="172"/>
      <c r="NS81" s="172"/>
      <c r="NT81" s="172"/>
      <c r="NU81" s="172"/>
      <c r="NV81" s="172"/>
      <c r="NW81" s="172"/>
      <c r="NX81" s="172"/>
      <c r="NY81" s="172"/>
      <c r="NZ81" s="172"/>
      <c r="OA81" s="172"/>
      <c r="OB81" s="172"/>
      <c r="OC81" s="172"/>
      <c r="OD81" s="172"/>
      <c r="OE81" s="172"/>
      <c r="OF81" s="172"/>
      <c r="OG81" s="172"/>
      <c r="OH81" s="172"/>
      <c r="OI81" s="172"/>
      <c r="OJ81" s="172"/>
      <c r="OK81" s="172"/>
      <c r="OL81" s="172"/>
      <c r="OM81" s="172"/>
      <c r="ON81" s="172"/>
      <c r="OO81" s="172"/>
      <c r="OP81" s="172"/>
      <c r="OQ81" s="172"/>
      <c r="OR81" s="172"/>
      <c r="OS81" s="172"/>
      <c r="OT81" s="172"/>
      <c r="OU81" s="172"/>
      <c r="OV81" s="172"/>
      <c r="OW81" s="172"/>
      <c r="OX81" s="172"/>
      <c r="OY81" s="172"/>
      <c r="OZ81" s="172"/>
      <c r="PA81" s="172"/>
      <c r="PB81" s="172"/>
      <c r="PC81" s="172"/>
      <c r="PD81" s="172"/>
      <c r="PE81" s="172"/>
      <c r="PF81" s="172"/>
      <c r="PG81" s="172"/>
      <c r="PH81" s="172"/>
      <c r="PI81" s="172"/>
      <c r="PJ81" s="172"/>
      <c r="PK81" s="172"/>
      <c r="PL81" s="172"/>
      <c r="PM81" s="172"/>
      <c r="PN81" s="172"/>
      <c r="PO81" s="172"/>
      <c r="PP81" s="172"/>
      <c r="PQ81" s="172"/>
      <c r="PR81" s="172"/>
      <c r="PS81" s="172"/>
      <c r="PT81" s="172"/>
      <c r="PU81" s="172"/>
      <c r="PV81" s="172"/>
      <c r="PW81" s="172"/>
      <c r="PX81" s="172"/>
      <c r="PY81" s="172"/>
      <c r="PZ81" s="172"/>
      <c r="QA81" s="172"/>
      <c r="QB81" s="172"/>
      <c r="QC81" s="172"/>
      <c r="QD81" s="172"/>
      <c r="QE81" s="172"/>
      <c r="QF81" s="172"/>
      <c r="QG81" s="172"/>
      <c r="QH81" s="172"/>
      <c r="QI81" s="172"/>
      <c r="QJ81" s="172"/>
      <c r="QK81" s="172"/>
      <c r="QL81" s="172"/>
      <c r="QM81" s="172"/>
      <c r="QN81" s="172"/>
      <c r="QO81" s="172"/>
      <c r="QP81" s="172"/>
      <c r="QQ81" s="172"/>
      <c r="QR81" s="172"/>
      <c r="QS81" s="172"/>
      <c r="QT81" s="172"/>
      <c r="QU81" s="172"/>
      <c r="QV81" s="172"/>
      <c r="QW81" s="172"/>
      <c r="QX81" s="172"/>
      <c r="QY81" s="172"/>
      <c r="QZ81" s="172"/>
      <c r="RA81" s="172"/>
      <c r="RB81" s="172"/>
      <c r="RC81" s="172"/>
      <c r="RD81" s="172"/>
      <c r="RE81" s="172"/>
      <c r="RF81" s="172"/>
      <c r="RG81" s="172"/>
      <c r="RH81" s="172"/>
      <c r="RI81" s="172"/>
      <c r="RJ81" s="172"/>
      <c r="RK81" s="172"/>
      <c r="RL81" s="172"/>
      <c r="RM81" s="172"/>
      <c r="RN81" s="172"/>
      <c r="RO81" s="172"/>
      <c r="RP81" s="172"/>
      <c r="RQ81" s="172"/>
      <c r="RR81" s="172"/>
      <c r="RS81" s="172"/>
      <c r="RT81" s="172"/>
      <c r="RU81" s="172"/>
      <c r="RV81" s="172"/>
      <c r="RW81" s="172"/>
      <c r="RX81" s="172"/>
      <c r="RY81" s="172"/>
      <c r="RZ81" s="172"/>
      <c r="SA81" s="172"/>
      <c r="SB81" s="172"/>
      <c r="SC81" s="172"/>
      <c r="SD81" s="172"/>
      <c r="SE81" s="172"/>
      <c r="SF81" s="172"/>
      <c r="SG81" s="172"/>
      <c r="SH81" s="172"/>
      <c r="SI81" s="172"/>
      <c r="SJ81" s="172"/>
      <c r="SK81" s="172"/>
      <c r="SL81" s="172"/>
      <c r="SM81" s="172"/>
      <c r="SN81" s="172"/>
      <c r="SO81" s="172"/>
      <c r="SP81" s="172"/>
      <c r="SQ81" s="172"/>
      <c r="SR81" s="172"/>
      <c r="SS81" s="172"/>
      <c r="ST81" s="172"/>
      <c r="SU81" s="172"/>
      <c r="SV81" s="172"/>
      <c r="SW81" s="172"/>
      <c r="SX81" s="172"/>
      <c r="SY81" s="172"/>
      <c r="SZ81" s="172"/>
      <c r="TA81" s="172"/>
      <c r="TB81" s="172"/>
      <c r="TC81" s="172"/>
      <c r="TD81" s="172"/>
      <c r="TE81" s="172"/>
      <c r="TF81" s="172"/>
      <c r="TG81" s="172"/>
      <c r="TH81" s="172"/>
      <c r="TI81" s="172"/>
      <c r="TJ81" s="172"/>
      <c r="TK81" s="172"/>
      <c r="TL81" s="172"/>
      <c r="TM81" s="172"/>
      <c r="TN81" s="172"/>
      <c r="TO81" s="172"/>
      <c r="TP81" s="172"/>
      <c r="TQ81" s="172"/>
      <c r="TR81" s="172"/>
      <c r="TS81" s="172"/>
      <c r="TT81" s="172"/>
      <c r="TU81" s="172"/>
      <c r="TV81" s="172"/>
      <c r="TW81" s="172"/>
      <c r="TX81" s="172"/>
      <c r="TY81" s="172"/>
      <c r="TZ81" s="172"/>
      <c r="UA81" s="172"/>
      <c r="UB81" s="172"/>
      <c r="UC81" s="172"/>
      <c r="UD81" s="172"/>
      <c r="UE81" s="172"/>
      <c r="UF81" s="172"/>
      <c r="UG81" s="172"/>
      <c r="UH81" s="172"/>
      <c r="UI81" s="172"/>
      <c r="UJ81" s="172"/>
      <c r="UK81" s="172"/>
      <c r="UL81" s="172"/>
      <c r="UM81" s="172"/>
      <c r="UN81" s="172"/>
      <c r="UO81" s="172"/>
      <c r="UP81" s="172"/>
      <c r="UQ81" s="172"/>
      <c r="UR81" s="172"/>
      <c r="US81" s="172"/>
      <c r="UT81" s="172"/>
      <c r="UU81" s="172"/>
      <c r="UV81" s="172"/>
      <c r="UW81" s="172"/>
      <c r="UX81" s="172"/>
      <c r="UY81" s="172"/>
      <c r="UZ81" s="172"/>
      <c r="VA81" s="172"/>
      <c r="VB81" s="172"/>
      <c r="VC81" s="172"/>
      <c r="VD81" s="172"/>
      <c r="VE81" s="172"/>
      <c r="VF81" s="172"/>
      <c r="VG81" s="172"/>
      <c r="VH81" s="172"/>
      <c r="VI81" s="172"/>
      <c r="VJ81" s="172"/>
      <c r="VK81" s="172"/>
      <c r="VL81" s="172"/>
      <c r="VM81" s="172"/>
      <c r="VN81" s="172"/>
      <c r="VO81" s="172"/>
      <c r="VP81" s="172"/>
      <c r="VQ81" s="172"/>
      <c r="VR81" s="172"/>
      <c r="VS81" s="172"/>
      <c r="VT81" s="172"/>
      <c r="VU81" s="172"/>
      <c r="VV81" s="172"/>
      <c r="VW81" s="172"/>
      <c r="VX81" s="172"/>
      <c r="VY81" s="172"/>
      <c r="VZ81" s="172"/>
      <c r="WA81" s="172"/>
      <c r="WB81" s="172"/>
      <c r="WC81" s="172"/>
      <c r="WD81" s="172"/>
      <c r="WE81" s="172"/>
      <c r="WF81" s="172"/>
      <c r="WG81" s="172"/>
      <c r="WH81" s="172"/>
      <c r="WI81" s="172"/>
      <c r="WJ81" s="172"/>
      <c r="WK81" s="172"/>
      <c r="WL81" s="172"/>
      <c r="WM81" s="172"/>
      <c r="WN81" s="172"/>
      <c r="WO81" s="172"/>
      <c r="WP81" s="172"/>
      <c r="WQ81" s="172"/>
      <c r="WR81" s="172"/>
      <c r="WS81" s="172"/>
      <c r="WT81" s="172"/>
      <c r="WU81" s="172"/>
      <c r="WV81" s="172"/>
      <c r="WW81" s="172"/>
      <c r="WX81" s="172"/>
      <c r="WY81" s="172"/>
      <c r="WZ81" s="172"/>
      <c r="XA81" s="172"/>
      <c r="XB81" s="172"/>
      <c r="XC81" s="172"/>
      <c r="XD81" s="172"/>
      <c r="XE81" s="172"/>
      <c r="XF81" s="172"/>
      <c r="XG81" s="172"/>
      <c r="XH81" s="172"/>
      <c r="XI81" s="172"/>
      <c r="XJ81" s="172"/>
      <c r="XK81" s="172"/>
      <c r="XL81" s="172"/>
      <c r="XM81" s="172"/>
      <c r="XN81" s="172"/>
      <c r="XO81" s="172"/>
      <c r="XP81" s="172"/>
      <c r="XQ81" s="172"/>
      <c r="XR81" s="172"/>
      <c r="XS81" s="172"/>
      <c r="XT81" s="172"/>
      <c r="XU81" s="172"/>
      <c r="XV81" s="172"/>
      <c r="XW81" s="172"/>
      <c r="XX81" s="172"/>
      <c r="XY81" s="172"/>
      <c r="XZ81" s="172"/>
      <c r="YA81" s="172"/>
      <c r="YB81" s="172"/>
      <c r="YC81" s="172"/>
      <c r="YD81" s="172"/>
      <c r="YE81" s="172"/>
      <c r="YF81" s="172"/>
      <c r="YG81" s="172"/>
      <c r="YH81" s="172"/>
      <c r="YI81" s="172"/>
      <c r="YJ81" s="172"/>
      <c r="YK81" s="172"/>
      <c r="YL81" s="172"/>
      <c r="YM81" s="172"/>
      <c r="YN81" s="172"/>
      <c r="YO81" s="172"/>
      <c r="YP81" s="172"/>
      <c r="YQ81" s="172"/>
      <c r="YR81" s="172"/>
      <c r="YS81" s="172"/>
      <c r="YT81" s="172"/>
      <c r="YU81" s="172"/>
      <c r="YV81" s="172"/>
      <c r="YW81" s="172"/>
      <c r="YX81" s="172"/>
      <c r="YY81" s="172"/>
      <c r="YZ81" s="172"/>
      <c r="ZA81" s="172"/>
      <c r="ZB81" s="172"/>
      <c r="ZC81" s="172"/>
      <c r="ZD81" s="172"/>
      <c r="ZE81" s="172"/>
      <c r="ZF81" s="172"/>
      <c r="ZG81" s="172"/>
      <c r="ZH81" s="172"/>
      <c r="ZI81" s="172"/>
      <c r="ZJ81" s="172"/>
      <c r="ZK81" s="172"/>
      <c r="ZL81" s="172"/>
      <c r="ZM81" s="172"/>
      <c r="ZN81" s="172"/>
      <c r="ZO81" s="172"/>
      <c r="ZP81" s="172"/>
      <c r="ZQ81" s="172"/>
      <c r="ZR81" s="172"/>
      <c r="ZS81" s="172"/>
      <c r="ZT81" s="172"/>
      <c r="ZU81" s="172"/>
      <c r="ZV81" s="172"/>
      <c r="ZW81" s="172"/>
      <c r="ZX81" s="172"/>
      <c r="ZY81" s="172"/>
      <c r="ZZ81" s="172"/>
      <c r="AAA81" s="172"/>
      <c r="AAB81" s="172"/>
      <c r="AAC81" s="172"/>
      <c r="AAD81" s="172"/>
      <c r="AAE81" s="172"/>
      <c r="AAF81" s="172"/>
      <c r="AAG81" s="172"/>
      <c r="AAH81" s="172"/>
      <c r="AAI81" s="172"/>
      <c r="AAJ81" s="172"/>
      <c r="AAK81" s="172"/>
      <c r="AAL81" s="172"/>
      <c r="AAM81" s="172"/>
      <c r="AAN81" s="172"/>
      <c r="AAO81" s="172"/>
      <c r="AAP81" s="172"/>
      <c r="AAQ81" s="172"/>
      <c r="AAR81" s="172"/>
      <c r="AAS81" s="172"/>
      <c r="AAT81" s="172"/>
      <c r="AAU81" s="172"/>
      <c r="AAV81" s="172"/>
      <c r="AAW81" s="172"/>
      <c r="AAX81" s="172"/>
      <c r="AAY81" s="172"/>
      <c r="AAZ81" s="172"/>
      <c r="ABA81" s="172"/>
      <c r="ABB81" s="172"/>
      <c r="ABC81" s="172"/>
      <c r="ABD81" s="172"/>
      <c r="ABE81" s="172"/>
      <c r="ABF81" s="172"/>
      <c r="ABG81" s="172"/>
      <c r="ABH81" s="172"/>
      <c r="ABI81" s="172"/>
      <c r="ABJ81" s="172"/>
      <c r="ABK81" s="172"/>
      <c r="ABL81" s="172"/>
      <c r="ABM81" s="172"/>
      <c r="ABN81" s="172"/>
      <c r="ABO81" s="172"/>
      <c r="ABP81" s="172"/>
      <c r="ABQ81" s="172"/>
      <c r="ABR81" s="172"/>
      <c r="ABS81" s="172"/>
      <c r="ABT81" s="172"/>
      <c r="ABU81" s="172"/>
      <c r="ABV81" s="172"/>
      <c r="ABW81" s="172"/>
      <c r="ABX81" s="172"/>
      <c r="ABY81" s="172"/>
      <c r="ABZ81" s="172"/>
      <c r="ACA81" s="172"/>
      <c r="ACB81" s="172"/>
      <c r="ACC81" s="172"/>
      <c r="ACD81" s="172"/>
      <c r="ACE81" s="172"/>
      <c r="ACF81" s="172"/>
      <c r="ACG81" s="172"/>
      <c r="ACH81" s="172"/>
      <c r="ACI81" s="172"/>
      <c r="ACJ81" s="172"/>
      <c r="ACK81" s="172"/>
      <c r="ACL81" s="172"/>
      <c r="ACM81" s="172"/>
      <c r="ACN81" s="172"/>
      <c r="ACO81" s="172"/>
      <c r="ACP81" s="172"/>
      <c r="ACQ81" s="172"/>
      <c r="ACR81" s="172"/>
      <c r="ACS81" s="172"/>
      <c r="ACT81" s="172"/>
      <c r="ACU81" s="172"/>
      <c r="ACV81" s="172"/>
      <c r="ACW81" s="172"/>
      <c r="ACX81" s="172"/>
      <c r="ACY81" s="172"/>
      <c r="ACZ81" s="172"/>
      <c r="ADA81" s="172"/>
      <c r="ADB81" s="172"/>
      <c r="ADC81" s="172"/>
      <c r="ADD81" s="172"/>
      <c r="ADE81" s="172"/>
      <c r="ADF81" s="172"/>
      <c r="ADG81" s="172"/>
      <c r="ADH81" s="172"/>
      <c r="ADI81" s="172"/>
      <c r="ADJ81" s="172"/>
      <c r="ADK81" s="172"/>
      <c r="ADL81" s="172"/>
      <c r="ADM81" s="172"/>
      <c r="ADN81" s="172"/>
      <c r="ADO81" s="172"/>
      <c r="ADP81" s="172"/>
      <c r="ADQ81" s="172"/>
      <c r="ADR81" s="172"/>
      <c r="ADS81" s="172"/>
      <c r="ADT81" s="172"/>
      <c r="ADU81" s="172"/>
      <c r="ADV81" s="172"/>
      <c r="ADW81" s="172"/>
      <c r="ADX81" s="172"/>
      <c r="ADY81" s="172"/>
      <c r="ADZ81" s="172"/>
      <c r="AEA81" s="172"/>
      <c r="AEB81" s="172"/>
      <c r="AEC81" s="172"/>
      <c r="AED81" s="172"/>
      <c r="AEE81" s="172"/>
      <c r="AEF81" s="172"/>
      <c r="AEG81" s="172"/>
      <c r="AEH81" s="172"/>
      <c r="AEI81" s="172"/>
      <c r="AEJ81" s="172"/>
      <c r="AEK81" s="172"/>
      <c r="AEL81" s="172"/>
      <c r="AEM81" s="172"/>
      <c r="AEN81" s="172"/>
      <c r="AEO81" s="172"/>
      <c r="AEP81" s="172"/>
      <c r="AEQ81" s="172"/>
      <c r="AER81" s="172"/>
      <c r="AES81" s="172"/>
      <c r="AET81" s="172"/>
      <c r="AEU81" s="172"/>
      <c r="AEV81" s="172"/>
      <c r="AEW81" s="172"/>
      <c r="AEX81" s="172"/>
      <c r="AEY81" s="172"/>
      <c r="AEZ81" s="172"/>
      <c r="AFA81" s="172"/>
      <c r="AFB81" s="172"/>
      <c r="AFC81" s="172"/>
      <c r="AFD81" s="172"/>
      <c r="AFE81" s="172"/>
      <c r="AFF81" s="172"/>
      <c r="AFG81" s="172"/>
      <c r="AFH81" s="172"/>
      <c r="AFI81" s="172"/>
      <c r="AFJ81" s="172"/>
      <c r="AFK81" s="172"/>
      <c r="AFL81" s="172"/>
      <c r="AFM81" s="172"/>
      <c r="AFN81" s="172"/>
      <c r="AFO81" s="172"/>
      <c r="AFP81" s="172"/>
      <c r="AFQ81" s="172"/>
      <c r="AFR81" s="172"/>
      <c r="AFS81" s="172"/>
      <c r="AFT81" s="172"/>
      <c r="AFU81" s="172"/>
      <c r="AFV81" s="172"/>
      <c r="AFW81" s="172"/>
      <c r="AFX81" s="172"/>
      <c r="AFY81" s="172"/>
      <c r="AFZ81" s="172"/>
      <c r="AGA81" s="172"/>
      <c r="AGB81" s="172"/>
      <c r="AGC81" s="172"/>
      <c r="AGD81" s="172"/>
      <c r="AGE81" s="172"/>
      <c r="AGF81" s="172"/>
      <c r="AGG81" s="172"/>
      <c r="AGH81" s="172"/>
      <c r="AGI81" s="172"/>
      <c r="AGJ81" s="172"/>
      <c r="AGK81" s="172"/>
      <c r="AGL81" s="172"/>
      <c r="AGM81" s="172"/>
      <c r="AGN81" s="172"/>
      <c r="AGO81" s="172"/>
      <c r="AGP81" s="172"/>
      <c r="AGQ81" s="172"/>
      <c r="AGR81" s="172"/>
      <c r="AGS81" s="172"/>
      <c r="AGT81" s="172"/>
      <c r="AGU81" s="172"/>
      <c r="AGV81" s="172"/>
      <c r="AGW81" s="172"/>
      <c r="AGX81" s="172"/>
      <c r="AGY81" s="172"/>
      <c r="AGZ81" s="172"/>
      <c r="AHA81" s="172"/>
      <c r="AHB81" s="172"/>
      <c r="AHC81" s="172"/>
      <c r="AHD81" s="172"/>
      <c r="AHE81" s="172"/>
      <c r="AHF81" s="172"/>
      <c r="AHG81" s="172"/>
      <c r="AHH81" s="172"/>
      <c r="AHI81" s="172"/>
      <c r="AHJ81" s="172"/>
      <c r="AHK81" s="172"/>
      <c r="AHL81" s="172"/>
      <c r="AHM81" s="172"/>
      <c r="AHN81" s="172"/>
      <c r="AHO81" s="172"/>
      <c r="AHP81" s="172"/>
      <c r="AHQ81" s="172"/>
      <c r="AHR81" s="172"/>
      <c r="AHS81" s="172"/>
      <c r="AHT81" s="172"/>
      <c r="AHU81" s="172"/>
      <c r="AHV81" s="172"/>
      <c r="AHW81" s="172"/>
      <c r="AHX81" s="172"/>
      <c r="AHY81" s="172"/>
      <c r="AHZ81" s="172"/>
      <c r="AIA81" s="172"/>
      <c r="AIB81" s="172"/>
      <c r="AIC81" s="172"/>
      <c r="AID81" s="172"/>
      <c r="AIE81" s="172"/>
      <c r="AIF81" s="172"/>
      <c r="AIG81" s="172"/>
      <c r="AIH81" s="172"/>
      <c r="AII81" s="172"/>
      <c r="AIJ81" s="172"/>
      <c r="AIK81" s="172"/>
      <c r="AIL81" s="172"/>
      <c r="AIM81" s="172"/>
      <c r="AIN81" s="172"/>
      <c r="AIO81" s="172"/>
      <c r="AIP81" s="172"/>
      <c r="AIQ81" s="172"/>
      <c r="AIR81" s="172"/>
      <c r="AIS81" s="172"/>
      <c r="AIT81" s="172"/>
      <c r="AIU81" s="172"/>
      <c r="AIV81" s="172"/>
      <c r="AIW81" s="172"/>
      <c r="AIX81" s="172"/>
      <c r="AIY81" s="172"/>
      <c r="AIZ81" s="172"/>
      <c r="AJA81" s="172"/>
      <c r="AJB81" s="172"/>
      <c r="AJC81" s="172"/>
      <c r="AJD81" s="172"/>
      <c r="AJE81" s="172"/>
      <c r="AJF81" s="172"/>
      <c r="AJG81" s="172"/>
      <c r="AJH81" s="172"/>
      <c r="AJI81" s="172"/>
      <c r="AJJ81" s="172"/>
      <c r="AJK81" s="172"/>
      <c r="AJL81" s="172"/>
      <c r="AJM81" s="172"/>
      <c r="AJN81" s="172"/>
      <c r="AJO81" s="172"/>
      <c r="AJP81" s="172"/>
      <c r="AJQ81" s="172"/>
      <c r="AJR81" s="172"/>
      <c r="AJS81" s="172"/>
      <c r="AJT81" s="172"/>
      <c r="AJU81" s="172"/>
      <c r="AJV81" s="172"/>
      <c r="AJW81" s="172"/>
      <c r="AJX81" s="172"/>
      <c r="AJY81" s="172"/>
      <c r="AJZ81" s="172"/>
      <c r="AKA81" s="172"/>
      <c r="AKB81" s="172"/>
      <c r="AKC81" s="172"/>
      <c r="AKD81" s="172"/>
      <c r="AKE81" s="172"/>
      <c r="AKF81" s="172"/>
      <c r="AKG81" s="172"/>
      <c r="AKH81" s="172"/>
      <c r="AKI81" s="172"/>
      <c r="AKJ81" s="172"/>
      <c r="AKK81" s="172"/>
      <c r="AKL81" s="172"/>
      <c r="AKM81" s="172"/>
      <c r="AKN81" s="172"/>
      <c r="AKO81" s="172"/>
      <c r="AKP81" s="172"/>
      <c r="AKQ81" s="172"/>
      <c r="AKR81" s="172"/>
      <c r="AKS81" s="172"/>
      <c r="AKT81" s="172"/>
      <c r="AKU81" s="172"/>
      <c r="AKV81" s="172"/>
      <c r="AKW81" s="172"/>
      <c r="AKX81" s="172"/>
      <c r="AKY81" s="172"/>
      <c r="AKZ81" s="172"/>
      <c r="ALA81" s="172"/>
      <c r="ALB81" s="172"/>
      <c r="ALC81" s="172"/>
      <c r="ALD81" s="172"/>
      <c r="ALE81" s="172"/>
      <c r="ALF81" s="172"/>
      <c r="ALG81" s="172"/>
      <c r="ALH81" s="172"/>
      <c r="ALI81" s="172"/>
      <c r="ALJ81" s="172"/>
      <c r="ALK81" s="172"/>
      <c r="ALL81" s="172"/>
      <c r="ALM81" s="172"/>
      <c r="ALN81" s="172"/>
      <c r="ALO81" s="172"/>
      <c r="ALP81" s="172"/>
      <c r="ALQ81" s="172"/>
      <c r="ALR81" s="172"/>
      <c r="ALS81" s="172"/>
      <c r="ALT81" s="172"/>
      <c r="ALU81" s="172"/>
      <c r="ALV81" s="172"/>
      <c r="ALW81" s="172"/>
      <c r="ALX81" s="172"/>
      <c r="ALY81" s="172"/>
      <c r="ALZ81" s="172"/>
      <c r="AMA81" s="172"/>
      <c r="AMB81" s="172"/>
      <c r="AMC81" s="172"/>
      <c r="AMD81" s="172"/>
      <c r="AME81" s="172"/>
      <c r="AMF81" s="172"/>
      <c r="AMG81" s="172"/>
      <c r="AMH81" s="172"/>
      <c r="AMI81" s="172"/>
      <c r="AMJ81" s="172"/>
      <c r="AMK81" s="172"/>
      <c r="AML81" s="172"/>
      <c r="AMM81" s="172"/>
      <c r="AMN81" s="172"/>
      <c r="AMO81" s="172"/>
      <c r="AMP81" s="172"/>
      <c r="AMQ81" s="172"/>
      <c r="AMR81" s="172"/>
      <c r="AMS81" s="172"/>
      <c r="AMT81" s="172"/>
      <c r="AMU81" s="172"/>
      <c r="AMV81" s="172"/>
      <c r="AMW81" s="172"/>
      <c r="AMX81" s="172"/>
      <c r="AMY81" s="172"/>
      <c r="AMZ81" s="172"/>
      <c r="ANA81" s="172"/>
      <c r="ANB81" s="172"/>
      <c r="ANC81" s="172"/>
      <c r="AND81" s="172"/>
      <c r="ANE81" s="172"/>
      <c r="ANF81" s="172"/>
      <c r="ANG81" s="172"/>
      <c r="ANH81" s="172"/>
      <c r="ANI81" s="172"/>
      <c r="ANJ81" s="172"/>
      <c r="ANK81" s="172"/>
      <c r="ANL81" s="172"/>
      <c r="ANM81" s="172"/>
      <c r="ANN81" s="172"/>
      <c r="ANO81" s="172"/>
      <c r="ANP81" s="172"/>
      <c r="ANQ81" s="172"/>
      <c r="ANR81" s="172"/>
      <c r="ANS81" s="172"/>
      <c r="ANT81" s="172"/>
      <c r="ANU81" s="172"/>
      <c r="ANV81" s="172"/>
      <c r="ANW81" s="172"/>
      <c r="ANX81" s="172"/>
      <c r="ANY81" s="172"/>
      <c r="ANZ81" s="172"/>
      <c r="AOA81" s="172"/>
      <c r="AOB81" s="172"/>
      <c r="AOC81" s="172"/>
      <c r="AOD81" s="172"/>
      <c r="AOE81" s="172"/>
      <c r="AOF81" s="172"/>
      <c r="AOG81" s="172"/>
      <c r="AOH81" s="172"/>
      <c r="AOI81" s="172"/>
      <c r="AOJ81" s="172"/>
      <c r="AOK81" s="172"/>
      <c r="AOL81" s="172"/>
      <c r="AOM81" s="172"/>
      <c r="AON81" s="172"/>
      <c r="AOO81" s="172"/>
      <c r="AOP81" s="172"/>
      <c r="AOQ81" s="172"/>
      <c r="AOR81" s="172"/>
      <c r="AOS81" s="172"/>
      <c r="AOT81" s="172"/>
      <c r="AOU81" s="172"/>
      <c r="AOV81" s="172"/>
      <c r="AOW81" s="172"/>
      <c r="AOX81" s="172"/>
      <c r="AOY81" s="172"/>
      <c r="AOZ81" s="172"/>
      <c r="APA81" s="172"/>
      <c r="APB81" s="172"/>
      <c r="APC81" s="172"/>
      <c r="APD81" s="172"/>
      <c r="APE81" s="172"/>
      <c r="APF81" s="172"/>
      <c r="APG81" s="172"/>
      <c r="APH81" s="172"/>
      <c r="API81" s="172"/>
      <c r="APJ81" s="172"/>
      <c r="APK81" s="172"/>
      <c r="APL81" s="172"/>
      <c r="APM81" s="172"/>
      <c r="APN81" s="172"/>
      <c r="APO81" s="172"/>
      <c r="APP81" s="172"/>
      <c r="APQ81" s="172"/>
      <c r="APR81" s="172"/>
      <c r="APS81" s="172"/>
      <c r="APT81" s="172"/>
      <c r="APU81" s="172"/>
      <c r="APV81" s="172"/>
      <c r="APW81" s="172"/>
      <c r="APX81" s="172"/>
      <c r="APY81" s="172"/>
      <c r="APZ81" s="172"/>
      <c r="AQA81" s="172"/>
      <c r="AQB81" s="172"/>
      <c r="AQC81" s="172"/>
      <c r="AQD81" s="172"/>
      <c r="AQE81" s="172"/>
      <c r="AQF81" s="172"/>
      <c r="AQG81" s="172"/>
      <c r="AQH81" s="172"/>
      <c r="AQI81" s="172"/>
      <c r="AQJ81" s="172"/>
      <c r="AQK81" s="172"/>
      <c r="AQL81" s="172"/>
      <c r="AQM81" s="172"/>
      <c r="AQN81" s="172"/>
      <c r="AQO81" s="172"/>
      <c r="AQP81" s="172"/>
      <c r="AQQ81" s="172"/>
      <c r="AQR81" s="172"/>
      <c r="AQS81" s="172"/>
      <c r="AQT81" s="172"/>
      <c r="AQU81" s="172"/>
      <c r="AQV81" s="172"/>
      <c r="AQW81" s="172"/>
      <c r="AQX81" s="172"/>
      <c r="AQY81" s="172"/>
      <c r="AQZ81" s="172"/>
      <c r="ARA81" s="172"/>
      <c r="ARB81" s="172"/>
      <c r="ARC81" s="172"/>
      <c r="ARD81" s="172"/>
      <c r="ARE81" s="172"/>
      <c r="ARF81" s="172"/>
      <c r="ARG81" s="172"/>
      <c r="ARH81" s="172"/>
      <c r="ARI81" s="172"/>
      <c r="ARJ81" s="172"/>
      <c r="ARK81" s="172"/>
      <c r="ARL81" s="172"/>
      <c r="ARM81" s="172"/>
      <c r="ARN81" s="172"/>
      <c r="ARO81" s="172"/>
      <c r="ARP81" s="172"/>
      <c r="ARQ81" s="172"/>
      <c r="ARR81" s="172"/>
      <c r="ARS81" s="172"/>
      <c r="ART81" s="172"/>
      <c r="ARU81" s="172"/>
    </row>
    <row r="82" spans="1:1165" s="257" customFormat="1">
      <c r="A82" s="222" t="s">
        <v>209</v>
      </c>
      <c r="B82" s="195" t="s">
        <v>87</v>
      </c>
      <c r="C82" s="258">
        <v>15681</v>
      </c>
      <c r="D82" s="258">
        <v>110510</v>
      </c>
      <c r="E82" s="258">
        <v>1535</v>
      </c>
      <c r="F82" s="258">
        <v>19230</v>
      </c>
      <c r="G82" s="258">
        <v>847</v>
      </c>
      <c r="H82" s="258">
        <v>13600</v>
      </c>
      <c r="I82" s="258">
        <v>444</v>
      </c>
      <c r="J82" s="258">
        <v>8805</v>
      </c>
      <c r="K82" s="258">
        <v>448</v>
      </c>
      <c r="L82" s="258">
        <v>7958</v>
      </c>
      <c r="M82" s="258">
        <v>160</v>
      </c>
      <c r="N82" s="258">
        <v>2880</v>
      </c>
      <c r="O82" s="288">
        <v>0</v>
      </c>
      <c r="P82" s="288">
        <v>0</v>
      </c>
      <c r="Q82" s="284">
        <v>0</v>
      </c>
      <c r="R82" s="284">
        <v>0</v>
      </c>
      <c r="S82" s="284">
        <v>0</v>
      </c>
      <c r="T82" s="284">
        <v>0</v>
      </c>
      <c r="U82" s="284">
        <v>334</v>
      </c>
      <c r="V82" s="284">
        <v>15035</v>
      </c>
      <c r="W82" s="284">
        <v>59</v>
      </c>
      <c r="X82" s="284">
        <v>2360</v>
      </c>
      <c r="Y82" s="284">
        <v>0</v>
      </c>
      <c r="Z82" s="284">
        <v>0</v>
      </c>
      <c r="AA82" s="288">
        <v>0</v>
      </c>
      <c r="AB82" s="288">
        <v>0</v>
      </c>
      <c r="AC82" s="288">
        <v>0</v>
      </c>
      <c r="AD82" s="288">
        <v>0</v>
      </c>
      <c r="AE82" s="288">
        <v>0</v>
      </c>
      <c r="AF82" s="288">
        <v>0</v>
      </c>
      <c r="AG82" s="288">
        <v>0</v>
      </c>
      <c r="AH82" s="288">
        <v>0</v>
      </c>
      <c r="AI82" s="288">
        <v>0</v>
      </c>
      <c r="AJ82" s="288">
        <v>0</v>
      </c>
      <c r="AK82" s="288">
        <v>0</v>
      </c>
      <c r="AL82" s="288">
        <v>0</v>
      </c>
      <c r="AM82" s="288">
        <v>0</v>
      </c>
      <c r="AN82" s="288">
        <v>0</v>
      </c>
      <c r="AO82" s="288">
        <v>0</v>
      </c>
      <c r="AP82" s="288">
        <v>0</v>
      </c>
      <c r="AQ82" s="288">
        <v>0</v>
      </c>
      <c r="AR82" s="288">
        <v>0</v>
      </c>
      <c r="AS82" s="288">
        <v>0</v>
      </c>
      <c r="AT82" s="288">
        <v>0</v>
      </c>
      <c r="AU82" s="288">
        <v>0</v>
      </c>
      <c r="AV82" s="288">
        <v>0</v>
      </c>
      <c r="AW82" s="284">
        <v>0</v>
      </c>
      <c r="AX82" s="284">
        <v>0</v>
      </c>
      <c r="AY82" s="258">
        <v>0</v>
      </c>
      <c r="AZ82" s="258">
        <v>0</v>
      </c>
      <c r="BA82" s="288"/>
      <c r="BB82" s="284"/>
      <c r="BC82" s="284"/>
      <c r="BD82" s="284"/>
      <c r="BE82" s="284"/>
      <c r="BF82" s="284"/>
      <c r="BG82" s="284"/>
      <c r="BH82" s="284"/>
      <c r="BI82" s="288"/>
      <c r="BJ82" s="284">
        <f t="shared" si="57"/>
        <v>17973</v>
      </c>
      <c r="BK82" s="258">
        <f t="shared" si="58"/>
        <v>161148</v>
      </c>
      <c r="BL82" s="172"/>
      <c r="BM82" s="13"/>
      <c r="BN82" s="231"/>
      <c r="BO82" s="172"/>
      <c r="BP82" s="231"/>
      <c r="BQ82" s="172"/>
      <c r="BR82" s="172"/>
      <c r="BS82" s="172"/>
      <c r="BT82" s="172"/>
      <c r="BU82" s="172"/>
      <c r="BV82" s="172"/>
      <c r="BW82" s="172"/>
      <c r="BX82" s="172"/>
      <c r="BY82" s="172"/>
      <c r="BZ82" s="172"/>
      <c r="CA82" s="172"/>
      <c r="CB82" s="172"/>
      <c r="CC82" s="172"/>
      <c r="CD82" s="172"/>
      <c r="CE82" s="172"/>
      <c r="CF82" s="172"/>
      <c r="CG82" s="172"/>
      <c r="CH82" s="172"/>
      <c r="CI82" s="172"/>
      <c r="CJ82" s="172"/>
      <c r="CK82" s="172"/>
      <c r="CL82" s="172"/>
      <c r="CM82" s="172"/>
      <c r="CN82" s="172"/>
      <c r="CO82" s="172"/>
      <c r="CP82" s="172"/>
      <c r="CQ82" s="172"/>
      <c r="CR82" s="172"/>
      <c r="CS82" s="172"/>
      <c r="CT82" s="172"/>
      <c r="CU82" s="172"/>
      <c r="CV82" s="172"/>
      <c r="CW82" s="172"/>
      <c r="CX82" s="172"/>
      <c r="CY82" s="172"/>
      <c r="CZ82" s="172"/>
      <c r="DA82" s="172"/>
      <c r="DB82" s="172"/>
      <c r="DC82" s="172"/>
      <c r="DD82" s="172"/>
      <c r="DE82" s="172"/>
      <c r="DF82" s="172"/>
      <c r="DG82" s="172"/>
      <c r="DH82" s="172"/>
      <c r="DI82" s="172"/>
      <c r="DJ82" s="172"/>
      <c r="DK82" s="172"/>
      <c r="DL82" s="172"/>
      <c r="DM82" s="172"/>
      <c r="DN82" s="172"/>
      <c r="DO82" s="172"/>
      <c r="DP82" s="172"/>
      <c r="DQ82" s="172"/>
      <c r="DR82" s="172"/>
      <c r="DS82" s="172"/>
      <c r="DT82" s="172"/>
      <c r="DU82" s="172"/>
      <c r="DV82" s="172"/>
      <c r="DW82" s="172"/>
      <c r="DX82" s="172"/>
      <c r="DY82" s="172"/>
      <c r="DZ82" s="172"/>
      <c r="EA82" s="172"/>
      <c r="EB82" s="172"/>
      <c r="EC82" s="172"/>
      <c r="ED82" s="172"/>
      <c r="EE82" s="172"/>
      <c r="EF82" s="172"/>
      <c r="EG82" s="172"/>
      <c r="EH82" s="172"/>
      <c r="EI82" s="172"/>
      <c r="EJ82" s="172"/>
      <c r="EK82" s="172"/>
      <c r="EL82" s="172"/>
      <c r="EM82" s="172"/>
      <c r="EN82" s="172"/>
      <c r="EO82" s="172"/>
      <c r="EP82" s="172"/>
      <c r="EQ82" s="172"/>
      <c r="ER82" s="172"/>
      <c r="ES82" s="172"/>
      <c r="ET82" s="172"/>
      <c r="EU82" s="172"/>
      <c r="EV82" s="172"/>
      <c r="EW82" s="172"/>
      <c r="EX82" s="172"/>
      <c r="EY82" s="172"/>
      <c r="EZ82" s="172"/>
      <c r="FA82" s="172"/>
      <c r="FB82" s="172"/>
      <c r="FC82" s="172"/>
      <c r="FD82" s="172"/>
      <c r="FE82" s="172"/>
      <c r="FF82" s="172"/>
      <c r="FG82" s="172"/>
      <c r="FH82" s="172"/>
      <c r="FI82" s="172"/>
      <c r="FJ82" s="172"/>
      <c r="FK82" s="172"/>
      <c r="FL82" s="172"/>
      <c r="FM82" s="172"/>
      <c r="FN82" s="172"/>
      <c r="FO82" s="172"/>
      <c r="FP82" s="172"/>
      <c r="FQ82" s="172"/>
      <c r="FR82" s="172"/>
      <c r="FS82" s="172"/>
      <c r="FT82" s="172"/>
      <c r="FU82" s="172"/>
      <c r="FV82" s="172"/>
      <c r="FW82" s="172"/>
      <c r="FX82" s="172"/>
      <c r="FY82" s="172"/>
      <c r="FZ82" s="172"/>
      <c r="GA82" s="172"/>
      <c r="GB82" s="172"/>
      <c r="GC82" s="172"/>
      <c r="GD82" s="172"/>
      <c r="GE82" s="172"/>
      <c r="GF82" s="172"/>
      <c r="GG82" s="172"/>
      <c r="GH82" s="172"/>
      <c r="GI82" s="172"/>
      <c r="GJ82" s="172"/>
      <c r="GK82" s="172"/>
      <c r="GL82" s="172"/>
      <c r="GM82" s="172"/>
      <c r="GN82" s="172"/>
      <c r="GO82" s="172"/>
      <c r="GP82" s="172"/>
      <c r="GQ82" s="172"/>
      <c r="GR82" s="172"/>
      <c r="GS82" s="172"/>
      <c r="GT82" s="172"/>
      <c r="GU82" s="172"/>
      <c r="GV82" s="172"/>
      <c r="GW82" s="172"/>
      <c r="GX82" s="172"/>
      <c r="GY82" s="172"/>
      <c r="GZ82" s="172"/>
      <c r="HA82" s="172"/>
      <c r="HB82" s="172"/>
      <c r="HC82" s="172"/>
      <c r="HD82" s="172"/>
      <c r="HE82" s="172"/>
      <c r="HF82" s="172"/>
      <c r="HG82" s="172"/>
      <c r="HH82" s="172"/>
      <c r="HI82" s="172"/>
      <c r="HJ82" s="172"/>
      <c r="HK82" s="172"/>
      <c r="HL82" s="172"/>
      <c r="HM82" s="172"/>
      <c r="HN82" s="172"/>
      <c r="HO82" s="172"/>
      <c r="HP82" s="172"/>
      <c r="HQ82" s="172"/>
      <c r="HR82" s="172"/>
      <c r="HS82" s="172"/>
      <c r="HT82" s="172"/>
      <c r="HU82" s="172"/>
      <c r="HV82" s="172"/>
      <c r="HW82" s="172"/>
      <c r="HX82" s="172"/>
      <c r="HY82" s="172"/>
      <c r="HZ82" s="172"/>
      <c r="IA82" s="172"/>
      <c r="IB82" s="172"/>
      <c r="IC82" s="172"/>
      <c r="ID82" s="172"/>
      <c r="IE82" s="172"/>
      <c r="IF82" s="172"/>
      <c r="IG82" s="172"/>
      <c r="IH82" s="172"/>
      <c r="II82" s="172"/>
      <c r="IJ82" s="172"/>
      <c r="IK82" s="172"/>
      <c r="IL82" s="172"/>
      <c r="IM82" s="172"/>
      <c r="IN82" s="172"/>
      <c r="IO82" s="172"/>
      <c r="IP82" s="172"/>
      <c r="IQ82" s="172"/>
      <c r="IR82" s="172"/>
      <c r="IS82" s="172"/>
      <c r="IT82" s="172"/>
      <c r="IU82" s="172"/>
      <c r="IV82" s="172"/>
      <c r="IW82" s="172"/>
      <c r="IX82" s="172"/>
      <c r="IY82" s="172"/>
      <c r="IZ82" s="172"/>
      <c r="JA82" s="172"/>
      <c r="JB82" s="172"/>
      <c r="JC82" s="172"/>
      <c r="JD82" s="172"/>
      <c r="JE82" s="172"/>
      <c r="JF82" s="172"/>
      <c r="JG82" s="172"/>
      <c r="JH82" s="172"/>
      <c r="JI82" s="172"/>
      <c r="JJ82" s="172"/>
      <c r="JK82" s="172"/>
      <c r="JL82" s="172"/>
      <c r="JM82" s="172"/>
      <c r="JN82" s="172"/>
      <c r="JO82" s="172"/>
      <c r="JP82" s="172"/>
      <c r="JQ82" s="172"/>
      <c r="JR82" s="172"/>
      <c r="JS82" s="172"/>
      <c r="JT82" s="172"/>
      <c r="JU82" s="172"/>
      <c r="JV82" s="172"/>
      <c r="JW82" s="172"/>
      <c r="JX82" s="172"/>
      <c r="JY82" s="172"/>
      <c r="JZ82" s="172"/>
      <c r="KA82" s="172"/>
      <c r="KB82" s="172"/>
      <c r="KC82" s="172"/>
      <c r="KD82" s="172"/>
      <c r="KE82" s="172"/>
      <c r="KF82" s="172"/>
      <c r="KG82" s="172"/>
      <c r="KH82" s="172"/>
      <c r="KI82" s="172"/>
      <c r="KJ82" s="172"/>
      <c r="KK82" s="172"/>
      <c r="KL82" s="172"/>
      <c r="KM82" s="172"/>
      <c r="KN82" s="172"/>
      <c r="KO82" s="172"/>
      <c r="KP82" s="172"/>
      <c r="KQ82" s="172"/>
      <c r="KR82" s="172"/>
      <c r="KS82" s="172"/>
      <c r="KT82" s="172"/>
      <c r="KU82" s="172"/>
      <c r="KV82" s="172"/>
      <c r="KW82" s="172"/>
      <c r="KX82" s="172"/>
      <c r="KY82" s="172"/>
      <c r="KZ82" s="172"/>
      <c r="LA82" s="172"/>
      <c r="LB82" s="172"/>
      <c r="LC82" s="172"/>
      <c r="LD82" s="172"/>
      <c r="LE82" s="172"/>
      <c r="LF82" s="172"/>
      <c r="LG82" s="172"/>
      <c r="LH82" s="172"/>
      <c r="LI82" s="172"/>
      <c r="LJ82" s="172"/>
      <c r="LK82" s="172"/>
      <c r="LL82" s="172"/>
      <c r="LM82" s="172"/>
      <c r="LN82" s="172"/>
      <c r="LO82" s="172"/>
      <c r="LP82" s="172"/>
      <c r="LQ82" s="172"/>
      <c r="LR82" s="172"/>
      <c r="LS82" s="172"/>
      <c r="LT82" s="172"/>
      <c r="LU82" s="172"/>
      <c r="LV82" s="172"/>
      <c r="LW82" s="172"/>
      <c r="LX82" s="172"/>
      <c r="LY82" s="172"/>
      <c r="LZ82" s="172"/>
      <c r="MA82" s="172"/>
      <c r="MB82" s="172"/>
      <c r="MC82" s="172"/>
      <c r="MD82" s="172"/>
      <c r="ME82" s="172"/>
      <c r="MF82" s="172"/>
      <c r="MG82" s="172"/>
      <c r="MH82" s="172"/>
      <c r="MI82" s="172"/>
      <c r="MJ82" s="172"/>
      <c r="MK82" s="172"/>
      <c r="ML82" s="172"/>
      <c r="MM82" s="172"/>
      <c r="MN82" s="172"/>
      <c r="MO82" s="172"/>
      <c r="MP82" s="172"/>
      <c r="MQ82" s="172"/>
      <c r="MR82" s="172"/>
      <c r="MS82" s="172"/>
      <c r="MT82" s="172"/>
      <c r="MU82" s="172"/>
      <c r="MV82" s="172"/>
      <c r="MW82" s="172"/>
      <c r="MX82" s="172"/>
      <c r="MY82" s="172"/>
      <c r="MZ82" s="172"/>
      <c r="NA82" s="172"/>
      <c r="NB82" s="172"/>
      <c r="NC82" s="172"/>
      <c r="ND82" s="172"/>
      <c r="NE82" s="172"/>
      <c r="NF82" s="172"/>
      <c r="NG82" s="172"/>
      <c r="NH82" s="172"/>
      <c r="NI82" s="172"/>
      <c r="NJ82" s="172"/>
      <c r="NK82" s="172"/>
      <c r="NL82" s="172"/>
      <c r="NM82" s="172"/>
      <c r="NN82" s="172"/>
      <c r="NO82" s="172"/>
      <c r="NP82" s="172"/>
      <c r="NQ82" s="172"/>
      <c r="NR82" s="172"/>
      <c r="NS82" s="172"/>
      <c r="NT82" s="172"/>
      <c r="NU82" s="172"/>
      <c r="NV82" s="172"/>
      <c r="NW82" s="172"/>
      <c r="NX82" s="172"/>
      <c r="NY82" s="172"/>
      <c r="NZ82" s="172"/>
      <c r="OA82" s="172"/>
      <c r="OB82" s="172"/>
      <c r="OC82" s="172"/>
      <c r="OD82" s="172"/>
      <c r="OE82" s="172"/>
      <c r="OF82" s="172"/>
      <c r="OG82" s="172"/>
      <c r="OH82" s="172"/>
      <c r="OI82" s="172"/>
      <c r="OJ82" s="172"/>
      <c r="OK82" s="172"/>
      <c r="OL82" s="172"/>
      <c r="OM82" s="172"/>
      <c r="ON82" s="172"/>
      <c r="OO82" s="172"/>
      <c r="OP82" s="172"/>
      <c r="OQ82" s="172"/>
      <c r="OR82" s="172"/>
      <c r="OS82" s="172"/>
      <c r="OT82" s="172"/>
      <c r="OU82" s="172"/>
      <c r="OV82" s="172"/>
      <c r="OW82" s="172"/>
      <c r="OX82" s="172"/>
      <c r="OY82" s="172"/>
      <c r="OZ82" s="172"/>
      <c r="PA82" s="172"/>
      <c r="PB82" s="172"/>
      <c r="PC82" s="172"/>
      <c r="PD82" s="172"/>
      <c r="PE82" s="172"/>
      <c r="PF82" s="172"/>
      <c r="PG82" s="172"/>
      <c r="PH82" s="172"/>
      <c r="PI82" s="172"/>
      <c r="PJ82" s="172"/>
      <c r="PK82" s="172"/>
      <c r="PL82" s="172"/>
      <c r="PM82" s="172"/>
      <c r="PN82" s="172"/>
      <c r="PO82" s="172"/>
      <c r="PP82" s="172"/>
      <c r="PQ82" s="172"/>
      <c r="PR82" s="172"/>
      <c r="PS82" s="172"/>
      <c r="PT82" s="172"/>
      <c r="PU82" s="172"/>
      <c r="PV82" s="172"/>
      <c r="PW82" s="172"/>
      <c r="PX82" s="172"/>
      <c r="PY82" s="172"/>
      <c r="PZ82" s="172"/>
      <c r="QA82" s="172"/>
      <c r="QB82" s="172"/>
      <c r="QC82" s="172"/>
      <c r="QD82" s="172"/>
      <c r="QE82" s="172"/>
      <c r="QF82" s="172"/>
      <c r="QG82" s="172"/>
      <c r="QH82" s="172"/>
      <c r="QI82" s="172"/>
      <c r="QJ82" s="172"/>
      <c r="QK82" s="172"/>
      <c r="QL82" s="172"/>
      <c r="QM82" s="172"/>
      <c r="QN82" s="172"/>
      <c r="QO82" s="172"/>
      <c r="QP82" s="172"/>
      <c r="QQ82" s="172"/>
      <c r="QR82" s="172"/>
      <c r="QS82" s="172"/>
      <c r="QT82" s="172"/>
      <c r="QU82" s="172"/>
      <c r="QV82" s="172"/>
      <c r="QW82" s="172"/>
      <c r="QX82" s="172"/>
      <c r="QY82" s="172"/>
      <c r="QZ82" s="172"/>
      <c r="RA82" s="172"/>
      <c r="RB82" s="172"/>
      <c r="RC82" s="172"/>
      <c r="RD82" s="172"/>
      <c r="RE82" s="172"/>
      <c r="RF82" s="172"/>
      <c r="RG82" s="172"/>
      <c r="RH82" s="172"/>
      <c r="RI82" s="172"/>
      <c r="RJ82" s="172"/>
      <c r="RK82" s="172"/>
      <c r="RL82" s="172"/>
      <c r="RM82" s="172"/>
      <c r="RN82" s="172"/>
      <c r="RO82" s="172"/>
      <c r="RP82" s="172"/>
      <c r="RQ82" s="172"/>
      <c r="RR82" s="172"/>
      <c r="RS82" s="172"/>
      <c r="RT82" s="172"/>
      <c r="RU82" s="172"/>
      <c r="RV82" s="172"/>
      <c r="RW82" s="172"/>
      <c r="RX82" s="172"/>
      <c r="RY82" s="172"/>
      <c r="RZ82" s="172"/>
      <c r="SA82" s="172"/>
      <c r="SB82" s="172"/>
      <c r="SC82" s="172"/>
      <c r="SD82" s="172"/>
      <c r="SE82" s="172"/>
      <c r="SF82" s="172"/>
      <c r="SG82" s="172"/>
      <c r="SH82" s="172"/>
      <c r="SI82" s="172"/>
      <c r="SJ82" s="172"/>
      <c r="SK82" s="172"/>
      <c r="SL82" s="172"/>
      <c r="SM82" s="172"/>
      <c r="SN82" s="172"/>
      <c r="SO82" s="172"/>
      <c r="SP82" s="172"/>
      <c r="SQ82" s="172"/>
      <c r="SR82" s="172"/>
      <c r="SS82" s="172"/>
      <c r="ST82" s="172"/>
      <c r="SU82" s="172"/>
      <c r="SV82" s="172"/>
      <c r="SW82" s="172"/>
      <c r="SX82" s="172"/>
      <c r="SY82" s="172"/>
      <c r="SZ82" s="172"/>
      <c r="TA82" s="172"/>
      <c r="TB82" s="172"/>
      <c r="TC82" s="172"/>
      <c r="TD82" s="172"/>
      <c r="TE82" s="172"/>
      <c r="TF82" s="172"/>
      <c r="TG82" s="172"/>
      <c r="TH82" s="172"/>
      <c r="TI82" s="172"/>
      <c r="TJ82" s="172"/>
      <c r="TK82" s="172"/>
      <c r="TL82" s="172"/>
      <c r="TM82" s="172"/>
      <c r="TN82" s="172"/>
      <c r="TO82" s="172"/>
      <c r="TP82" s="172"/>
      <c r="TQ82" s="172"/>
      <c r="TR82" s="172"/>
      <c r="TS82" s="172"/>
      <c r="TT82" s="172"/>
      <c r="TU82" s="172"/>
      <c r="TV82" s="172"/>
      <c r="TW82" s="172"/>
      <c r="TX82" s="172"/>
      <c r="TY82" s="172"/>
      <c r="TZ82" s="172"/>
      <c r="UA82" s="172"/>
      <c r="UB82" s="172"/>
      <c r="UC82" s="172"/>
      <c r="UD82" s="172"/>
      <c r="UE82" s="172"/>
      <c r="UF82" s="172"/>
      <c r="UG82" s="172"/>
      <c r="UH82" s="172"/>
      <c r="UI82" s="172"/>
      <c r="UJ82" s="172"/>
      <c r="UK82" s="172"/>
      <c r="UL82" s="172"/>
      <c r="UM82" s="172"/>
      <c r="UN82" s="172"/>
      <c r="UO82" s="172"/>
      <c r="UP82" s="172"/>
      <c r="UQ82" s="172"/>
      <c r="UR82" s="172"/>
      <c r="US82" s="172"/>
      <c r="UT82" s="172"/>
      <c r="UU82" s="172"/>
      <c r="UV82" s="172"/>
      <c r="UW82" s="172"/>
      <c r="UX82" s="172"/>
      <c r="UY82" s="172"/>
      <c r="UZ82" s="172"/>
      <c r="VA82" s="172"/>
      <c r="VB82" s="172"/>
      <c r="VC82" s="172"/>
      <c r="VD82" s="172"/>
      <c r="VE82" s="172"/>
      <c r="VF82" s="172"/>
      <c r="VG82" s="172"/>
      <c r="VH82" s="172"/>
      <c r="VI82" s="172"/>
      <c r="VJ82" s="172"/>
      <c r="VK82" s="172"/>
      <c r="VL82" s="172"/>
      <c r="VM82" s="172"/>
      <c r="VN82" s="172"/>
      <c r="VO82" s="172"/>
      <c r="VP82" s="172"/>
      <c r="VQ82" s="172"/>
      <c r="VR82" s="172"/>
      <c r="VS82" s="172"/>
      <c r="VT82" s="172"/>
      <c r="VU82" s="172"/>
      <c r="VV82" s="172"/>
      <c r="VW82" s="172"/>
      <c r="VX82" s="172"/>
      <c r="VY82" s="172"/>
      <c r="VZ82" s="172"/>
      <c r="WA82" s="172"/>
      <c r="WB82" s="172"/>
      <c r="WC82" s="172"/>
      <c r="WD82" s="172"/>
      <c r="WE82" s="172"/>
      <c r="WF82" s="172"/>
      <c r="WG82" s="172"/>
      <c r="WH82" s="172"/>
      <c r="WI82" s="172"/>
      <c r="WJ82" s="172"/>
      <c r="WK82" s="172"/>
      <c r="WL82" s="172"/>
      <c r="WM82" s="172"/>
      <c r="WN82" s="172"/>
      <c r="WO82" s="172"/>
      <c r="WP82" s="172"/>
      <c r="WQ82" s="172"/>
      <c r="WR82" s="172"/>
      <c r="WS82" s="172"/>
      <c r="WT82" s="172"/>
      <c r="WU82" s="172"/>
      <c r="WV82" s="172"/>
      <c r="WW82" s="172"/>
      <c r="WX82" s="172"/>
      <c r="WY82" s="172"/>
      <c r="WZ82" s="172"/>
      <c r="XA82" s="172"/>
      <c r="XB82" s="172"/>
      <c r="XC82" s="172"/>
      <c r="XD82" s="172"/>
      <c r="XE82" s="172"/>
      <c r="XF82" s="172"/>
      <c r="XG82" s="172"/>
      <c r="XH82" s="172"/>
      <c r="XI82" s="172"/>
      <c r="XJ82" s="172"/>
      <c r="XK82" s="172"/>
      <c r="XL82" s="172"/>
      <c r="XM82" s="172"/>
      <c r="XN82" s="172"/>
      <c r="XO82" s="172"/>
      <c r="XP82" s="172"/>
      <c r="XQ82" s="172"/>
      <c r="XR82" s="172"/>
      <c r="XS82" s="172"/>
      <c r="XT82" s="172"/>
      <c r="XU82" s="172"/>
      <c r="XV82" s="172"/>
      <c r="XW82" s="172"/>
      <c r="XX82" s="172"/>
      <c r="XY82" s="172"/>
      <c r="XZ82" s="172"/>
      <c r="YA82" s="172"/>
      <c r="YB82" s="172"/>
      <c r="YC82" s="172"/>
      <c r="YD82" s="172"/>
      <c r="YE82" s="172"/>
      <c r="YF82" s="172"/>
      <c r="YG82" s="172"/>
      <c r="YH82" s="172"/>
      <c r="YI82" s="172"/>
      <c r="YJ82" s="172"/>
      <c r="YK82" s="172"/>
      <c r="YL82" s="172"/>
      <c r="YM82" s="172"/>
      <c r="YN82" s="172"/>
      <c r="YO82" s="172"/>
      <c r="YP82" s="172"/>
      <c r="YQ82" s="172"/>
      <c r="YR82" s="172"/>
      <c r="YS82" s="172"/>
      <c r="YT82" s="172"/>
      <c r="YU82" s="172"/>
      <c r="YV82" s="172"/>
      <c r="YW82" s="172"/>
      <c r="YX82" s="172"/>
      <c r="YY82" s="172"/>
      <c r="YZ82" s="172"/>
      <c r="ZA82" s="172"/>
      <c r="ZB82" s="172"/>
      <c r="ZC82" s="172"/>
      <c r="ZD82" s="172"/>
      <c r="ZE82" s="172"/>
      <c r="ZF82" s="172"/>
      <c r="ZG82" s="172"/>
      <c r="ZH82" s="172"/>
      <c r="ZI82" s="172"/>
      <c r="ZJ82" s="172"/>
      <c r="ZK82" s="172"/>
      <c r="ZL82" s="172"/>
      <c r="ZM82" s="172"/>
      <c r="ZN82" s="172"/>
      <c r="ZO82" s="172"/>
      <c r="ZP82" s="172"/>
      <c r="ZQ82" s="172"/>
      <c r="ZR82" s="172"/>
      <c r="ZS82" s="172"/>
      <c r="ZT82" s="172"/>
      <c r="ZU82" s="172"/>
      <c r="ZV82" s="172"/>
      <c r="ZW82" s="172"/>
      <c r="ZX82" s="172"/>
      <c r="ZY82" s="172"/>
      <c r="ZZ82" s="172"/>
      <c r="AAA82" s="172"/>
      <c r="AAB82" s="172"/>
      <c r="AAC82" s="172"/>
      <c r="AAD82" s="172"/>
      <c r="AAE82" s="172"/>
      <c r="AAF82" s="172"/>
      <c r="AAG82" s="172"/>
      <c r="AAH82" s="172"/>
      <c r="AAI82" s="172"/>
      <c r="AAJ82" s="172"/>
      <c r="AAK82" s="172"/>
      <c r="AAL82" s="172"/>
      <c r="AAM82" s="172"/>
      <c r="AAN82" s="172"/>
      <c r="AAO82" s="172"/>
      <c r="AAP82" s="172"/>
      <c r="AAQ82" s="172"/>
      <c r="AAR82" s="172"/>
      <c r="AAS82" s="172"/>
      <c r="AAT82" s="172"/>
      <c r="AAU82" s="172"/>
      <c r="AAV82" s="172"/>
      <c r="AAW82" s="172"/>
      <c r="AAX82" s="172"/>
      <c r="AAY82" s="172"/>
      <c r="AAZ82" s="172"/>
      <c r="ABA82" s="172"/>
      <c r="ABB82" s="172"/>
      <c r="ABC82" s="172"/>
      <c r="ABD82" s="172"/>
      <c r="ABE82" s="172"/>
      <c r="ABF82" s="172"/>
      <c r="ABG82" s="172"/>
      <c r="ABH82" s="172"/>
      <c r="ABI82" s="172"/>
      <c r="ABJ82" s="172"/>
      <c r="ABK82" s="172"/>
      <c r="ABL82" s="172"/>
      <c r="ABM82" s="172"/>
      <c r="ABN82" s="172"/>
      <c r="ABO82" s="172"/>
      <c r="ABP82" s="172"/>
      <c r="ABQ82" s="172"/>
      <c r="ABR82" s="172"/>
      <c r="ABS82" s="172"/>
      <c r="ABT82" s="172"/>
      <c r="ABU82" s="172"/>
      <c r="ABV82" s="172"/>
      <c r="ABW82" s="172"/>
      <c r="ABX82" s="172"/>
      <c r="ABY82" s="172"/>
      <c r="ABZ82" s="172"/>
      <c r="ACA82" s="172"/>
      <c r="ACB82" s="172"/>
      <c r="ACC82" s="172"/>
      <c r="ACD82" s="172"/>
      <c r="ACE82" s="172"/>
      <c r="ACF82" s="172"/>
      <c r="ACG82" s="172"/>
      <c r="ACH82" s="172"/>
      <c r="ACI82" s="172"/>
      <c r="ACJ82" s="172"/>
      <c r="ACK82" s="172"/>
      <c r="ACL82" s="172"/>
      <c r="ACM82" s="172"/>
      <c r="ACN82" s="172"/>
      <c r="ACO82" s="172"/>
      <c r="ACP82" s="172"/>
      <c r="ACQ82" s="172"/>
      <c r="ACR82" s="172"/>
      <c r="ACS82" s="172"/>
      <c r="ACT82" s="172"/>
      <c r="ACU82" s="172"/>
      <c r="ACV82" s="172"/>
      <c r="ACW82" s="172"/>
      <c r="ACX82" s="172"/>
      <c r="ACY82" s="172"/>
      <c r="ACZ82" s="172"/>
      <c r="ADA82" s="172"/>
      <c r="ADB82" s="172"/>
      <c r="ADC82" s="172"/>
      <c r="ADD82" s="172"/>
      <c r="ADE82" s="172"/>
      <c r="ADF82" s="172"/>
      <c r="ADG82" s="172"/>
      <c r="ADH82" s="172"/>
      <c r="ADI82" s="172"/>
      <c r="ADJ82" s="172"/>
      <c r="ADK82" s="172"/>
      <c r="ADL82" s="172"/>
      <c r="ADM82" s="172"/>
      <c r="ADN82" s="172"/>
      <c r="ADO82" s="172"/>
      <c r="ADP82" s="172"/>
      <c r="ADQ82" s="172"/>
      <c r="ADR82" s="172"/>
      <c r="ADS82" s="172"/>
      <c r="ADT82" s="172"/>
      <c r="ADU82" s="172"/>
      <c r="ADV82" s="172"/>
      <c r="ADW82" s="172"/>
      <c r="ADX82" s="172"/>
      <c r="ADY82" s="172"/>
      <c r="ADZ82" s="172"/>
      <c r="AEA82" s="172"/>
      <c r="AEB82" s="172"/>
      <c r="AEC82" s="172"/>
      <c r="AED82" s="172"/>
      <c r="AEE82" s="172"/>
      <c r="AEF82" s="172"/>
      <c r="AEG82" s="172"/>
      <c r="AEH82" s="172"/>
      <c r="AEI82" s="172"/>
      <c r="AEJ82" s="172"/>
      <c r="AEK82" s="172"/>
      <c r="AEL82" s="172"/>
      <c r="AEM82" s="172"/>
      <c r="AEN82" s="172"/>
      <c r="AEO82" s="172"/>
      <c r="AEP82" s="172"/>
      <c r="AEQ82" s="172"/>
      <c r="AER82" s="172"/>
      <c r="AES82" s="172"/>
      <c r="AET82" s="172"/>
      <c r="AEU82" s="172"/>
      <c r="AEV82" s="172"/>
      <c r="AEW82" s="172"/>
      <c r="AEX82" s="172"/>
      <c r="AEY82" s="172"/>
      <c r="AEZ82" s="172"/>
      <c r="AFA82" s="172"/>
      <c r="AFB82" s="172"/>
      <c r="AFC82" s="172"/>
      <c r="AFD82" s="172"/>
      <c r="AFE82" s="172"/>
      <c r="AFF82" s="172"/>
      <c r="AFG82" s="172"/>
      <c r="AFH82" s="172"/>
      <c r="AFI82" s="172"/>
      <c r="AFJ82" s="172"/>
      <c r="AFK82" s="172"/>
      <c r="AFL82" s="172"/>
      <c r="AFM82" s="172"/>
      <c r="AFN82" s="172"/>
      <c r="AFO82" s="172"/>
      <c r="AFP82" s="172"/>
      <c r="AFQ82" s="172"/>
      <c r="AFR82" s="172"/>
      <c r="AFS82" s="172"/>
      <c r="AFT82" s="172"/>
      <c r="AFU82" s="172"/>
      <c r="AFV82" s="172"/>
      <c r="AFW82" s="172"/>
      <c r="AFX82" s="172"/>
      <c r="AFY82" s="172"/>
      <c r="AFZ82" s="172"/>
      <c r="AGA82" s="172"/>
      <c r="AGB82" s="172"/>
      <c r="AGC82" s="172"/>
      <c r="AGD82" s="172"/>
      <c r="AGE82" s="172"/>
      <c r="AGF82" s="172"/>
      <c r="AGG82" s="172"/>
      <c r="AGH82" s="172"/>
      <c r="AGI82" s="172"/>
      <c r="AGJ82" s="172"/>
      <c r="AGK82" s="172"/>
      <c r="AGL82" s="172"/>
      <c r="AGM82" s="172"/>
      <c r="AGN82" s="172"/>
      <c r="AGO82" s="172"/>
      <c r="AGP82" s="172"/>
      <c r="AGQ82" s="172"/>
      <c r="AGR82" s="172"/>
      <c r="AGS82" s="172"/>
      <c r="AGT82" s="172"/>
      <c r="AGU82" s="172"/>
      <c r="AGV82" s="172"/>
      <c r="AGW82" s="172"/>
      <c r="AGX82" s="172"/>
      <c r="AGY82" s="172"/>
      <c r="AGZ82" s="172"/>
      <c r="AHA82" s="172"/>
      <c r="AHB82" s="172"/>
      <c r="AHC82" s="172"/>
      <c r="AHD82" s="172"/>
      <c r="AHE82" s="172"/>
      <c r="AHF82" s="172"/>
      <c r="AHG82" s="172"/>
      <c r="AHH82" s="172"/>
      <c r="AHI82" s="172"/>
      <c r="AHJ82" s="172"/>
      <c r="AHK82" s="172"/>
      <c r="AHL82" s="172"/>
      <c r="AHM82" s="172"/>
      <c r="AHN82" s="172"/>
      <c r="AHO82" s="172"/>
      <c r="AHP82" s="172"/>
      <c r="AHQ82" s="172"/>
      <c r="AHR82" s="172"/>
      <c r="AHS82" s="172"/>
      <c r="AHT82" s="172"/>
      <c r="AHU82" s="172"/>
      <c r="AHV82" s="172"/>
      <c r="AHW82" s="172"/>
      <c r="AHX82" s="172"/>
      <c r="AHY82" s="172"/>
      <c r="AHZ82" s="172"/>
      <c r="AIA82" s="172"/>
      <c r="AIB82" s="172"/>
      <c r="AIC82" s="172"/>
      <c r="AID82" s="172"/>
      <c r="AIE82" s="172"/>
      <c r="AIF82" s="172"/>
      <c r="AIG82" s="172"/>
      <c r="AIH82" s="172"/>
      <c r="AII82" s="172"/>
      <c r="AIJ82" s="172"/>
      <c r="AIK82" s="172"/>
      <c r="AIL82" s="172"/>
      <c r="AIM82" s="172"/>
      <c r="AIN82" s="172"/>
      <c r="AIO82" s="172"/>
      <c r="AIP82" s="172"/>
      <c r="AIQ82" s="172"/>
      <c r="AIR82" s="172"/>
      <c r="AIS82" s="172"/>
      <c r="AIT82" s="172"/>
      <c r="AIU82" s="172"/>
      <c r="AIV82" s="172"/>
      <c r="AIW82" s="172"/>
      <c r="AIX82" s="172"/>
      <c r="AIY82" s="172"/>
      <c r="AIZ82" s="172"/>
      <c r="AJA82" s="172"/>
      <c r="AJB82" s="172"/>
      <c r="AJC82" s="172"/>
      <c r="AJD82" s="172"/>
      <c r="AJE82" s="172"/>
      <c r="AJF82" s="172"/>
      <c r="AJG82" s="172"/>
      <c r="AJH82" s="172"/>
      <c r="AJI82" s="172"/>
      <c r="AJJ82" s="172"/>
      <c r="AJK82" s="172"/>
      <c r="AJL82" s="172"/>
      <c r="AJM82" s="172"/>
      <c r="AJN82" s="172"/>
      <c r="AJO82" s="172"/>
      <c r="AJP82" s="172"/>
      <c r="AJQ82" s="172"/>
      <c r="AJR82" s="172"/>
      <c r="AJS82" s="172"/>
      <c r="AJT82" s="172"/>
      <c r="AJU82" s="172"/>
      <c r="AJV82" s="172"/>
      <c r="AJW82" s="172"/>
      <c r="AJX82" s="172"/>
      <c r="AJY82" s="172"/>
      <c r="AJZ82" s="172"/>
      <c r="AKA82" s="172"/>
      <c r="AKB82" s="172"/>
      <c r="AKC82" s="172"/>
      <c r="AKD82" s="172"/>
      <c r="AKE82" s="172"/>
      <c r="AKF82" s="172"/>
      <c r="AKG82" s="172"/>
      <c r="AKH82" s="172"/>
      <c r="AKI82" s="172"/>
      <c r="AKJ82" s="172"/>
      <c r="AKK82" s="172"/>
      <c r="AKL82" s="172"/>
      <c r="AKM82" s="172"/>
      <c r="AKN82" s="172"/>
      <c r="AKO82" s="172"/>
      <c r="AKP82" s="172"/>
      <c r="AKQ82" s="172"/>
      <c r="AKR82" s="172"/>
      <c r="AKS82" s="172"/>
      <c r="AKT82" s="172"/>
      <c r="AKU82" s="172"/>
      <c r="AKV82" s="172"/>
      <c r="AKW82" s="172"/>
      <c r="AKX82" s="172"/>
      <c r="AKY82" s="172"/>
      <c r="AKZ82" s="172"/>
      <c r="ALA82" s="172"/>
      <c r="ALB82" s="172"/>
      <c r="ALC82" s="172"/>
      <c r="ALD82" s="172"/>
      <c r="ALE82" s="172"/>
      <c r="ALF82" s="172"/>
      <c r="ALG82" s="172"/>
      <c r="ALH82" s="172"/>
      <c r="ALI82" s="172"/>
      <c r="ALJ82" s="172"/>
      <c r="ALK82" s="172"/>
      <c r="ALL82" s="172"/>
      <c r="ALM82" s="172"/>
      <c r="ALN82" s="172"/>
      <c r="ALO82" s="172"/>
      <c r="ALP82" s="172"/>
      <c r="ALQ82" s="172"/>
      <c r="ALR82" s="172"/>
      <c r="ALS82" s="172"/>
      <c r="ALT82" s="172"/>
      <c r="ALU82" s="172"/>
      <c r="ALV82" s="172"/>
      <c r="ALW82" s="172"/>
      <c r="ALX82" s="172"/>
      <c r="ALY82" s="172"/>
      <c r="ALZ82" s="172"/>
      <c r="AMA82" s="172"/>
      <c r="AMB82" s="172"/>
      <c r="AMC82" s="172"/>
      <c r="AMD82" s="172"/>
      <c r="AME82" s="172"/>
      <c r="AMF82" s="172"/>
      <c r="AMG82" s="172"/>
      <c r="AMH82" s="172"/>
      <c r="AMI82" s="172"/>
      <c r="AMJ82" s="172"/>
      <c r="AMK82" s="172"/>
      <c r="AML82" s="172"/>
      <c r="AMM82" s="172"/>
      <c r="AMN82" s="172"/>
      <c r="AMO82" s="172"/>
      <c r="AMP82" s="172"/>
      <c r="AMQ82" s="172"/>
      <c r="AMR82" s="172"/>
      <c r="AMS82" s="172"/>
      <c r="AMT82" s="172"/>
      <c r="AMU82" s="172"/>
      <c r="AMV82" s="172"/>
      <c r="AMW82" s="172"/>
      <c r="AMX82" s="172"/>
      <c r="AMY82" s="172"/>
      <c r="AMZ82" s="172"/>
      <c r="ANA82" s="172"/>
      <c r="ANB82" s="172"/>
      <c r="ANC82" s="172"/>
      <c r="AND82" s="172"/>
      <c r="ANE82" s="172"/>
      <c r="ANF82" s="172"/>
      <c r="ANG82" s="172"/>
      <c r="ANH82" s="172"/>
      <c r="ANI82" s="172"/>
      <c r="ANJ82" s="172"/>
      <c r="ANK82" s="172"/>
      <c r="ANL82" s="172"/>
      <c r="ANM82" s="172"/>
      <c r="ANN82" s="172"/>
      <c r="ANO82" s="172"/>
      <c r="ANP82" s="172"/>
      <c r="ANQ82" s="172"/>
      <c r="ANR82" s="172"/>
      <c r="ANS82" s="172"/>
      <c r="ANT82" s="172"/>
      <c r="ANU82" s="172"/>
      <c r="ANV82" s="172"/>
      <c r="ANW82" s="172"/>
      <c r="ANX82" s="172"/>
      <c r="ANY82" s="172"/>
      <c r="ANZ82" s="172"/>
      <c r="AOA82" s="172"/>
      <c r="AOB82" s="172"/>
      <c r="AOC82" s="172"/>
      <c r="AOD82" s="172"/>
      <c r="AOE82" s="172"/>
      <c r="AOF82" s="172"/>
      <c r="AOG82" s="172"/>
      <c r="AOH82" s="172"/>
      <c r="AOI82" s="172"/>
      <c r="AOJ82" s="172"/>
      <c r="AOK82" s="172"/>
      <c r="AOL82" s="172"/>
      <c r="AOM82" s="172"/>
      <c r="AON82" s="172"/>
      <c r="AOO82" s="172"/>
      <c r="AOP82" s="172"/>
      <c r="AOQ82" s="172"/>
      <c r="AOR82" s="172"/>
      <c r="AOS82" s="172"/>
      <c r="AOT82" s="172"/>
      <c r="AOU82" s="172"/>
      <c r="AOV82" s="172"/>
      <c r="AOW82" s="172"/>
      <c r="AOX82" s="172"/>
      <c r="AOY82" s="172"/>
      <c r="AOZ82" s="172"/>
      <c r="APA82" s="172"/>
      <c r="APB82" s="172"/>
      <c r="APC82" s="172"/>
      <c r="APD82" s="172"/>
      <c r="APE82" s="172"/>
      <c r="APF82" s="172"/>
      <c r="APG82" s="172"/>
      <c r="APH82" s="172"/>
      <c r="API82" s="172"/>
      <c r="APJ82" s="172"/>
      <c r="APK82" s="172"/>
      <c r="APL82" s="172"/>
      <c r="APM82" s="172"/>
      <c r="APN82" s="172"/>
      <c r="APO82" s="172"/>
      <c r="APP82" s="172"/>
      <c r="APQ82" s="172"/>
      <c r="APR82" s="172"/>
      <c r="APS82" s="172"/>
      <c r="APT82" s="172"/>
      <c r="APU82" s="172"/>
      <c r="APV82" s="172"/>
      <c r="APW82" s="172"/>
      <c r="APX82" s="172"/>
      <c r="APY82" s="172"/>
      <c r="APZ82" s="172"/>
      <c r="AQA82" s="172"/>
      <c r="AQB82" s="172"/>
      <c r="AQC82" s="172"/>
      <c r="AQD82" s="172"/>
      <c r="AQE82" s="172"/>
      <c r="AQF82" s="172"/>
      <c r="AQG82" s="172"/>
      <c r="AQH82" s="172"/>
      <c r="AQI82" s="172"/>
      <c r="AQJ82" s="172"/>
      <c r="AQK82" s="172"/>
      <c r="AQL82" s="172"/>
      <c r="AQM82" s="172"/>
      <c r="AQN82" s="172"/>
      <c r="AQO82" s="172"/>
      <c r="AQP82" s="172"/>
      <c r="AQQ82" s="172"/>
      <c r="AQR82" s="172"/>
      <c r="AQS82" s="172"/>
      <c r="AQT82" s="172"/>
      <c r="AQU82" s="172"/>
      <c r="AQV82" s="172"/>
      <c r="AQW82" s="172"/>
      <c r="AQX82" s="172"/>
      <c r="AQY82" s="172"/>
      <c r="AQZ82" s="172"/>
      <c r="ARA82" s="172"/>
      <c r="ARB82" s="172"/>
      <c r="ARC82" s="172"/>
      <c r="ARD82" s="172"/>
      <c r="ARE82" s="172"/>
      <c r="ARF82" s="172"/>
      <c r="ARG82" s="172"/>
      <c r="ARH82" s="172"/>
      <c r="ARI82" s="172"/>
      <c r="ARJ82" s="172"/>
      <c r="ARK82" s="172"/>
      <c r="ARL82" s="172"/>
      <c r="ARM82" s="172"/>
      <c r="ARN82" s="172"/>
      <c r="ARO82" s="172"/>
      <c r="ARP82" s="172"/>
      <c r="ARQ82" s="172"/>
      <c r="ARR82" s="172"/>
      <c r="ARS82" s="172"/>
      <c r="ART82" s="172"/>
      <c r="ARU82" s="172"/>
    </row>
    <row r="83" spans="1:1165" s="257" customFormat="1">
      <c r="A83" s="222" t="s">
        <v>210</v>
      </c>
      <c r="B83" s="195" t="s">
        <v>87</v>
      </c>
      <c r="C83" s="258">
        <v>239</v>
      </c>
      <c r="D83" s="258">
        <v>2115</v>
      </c>
      <c r="E83" s="258">
        <v>0</v>
      </c>
      <c r="F83" s="258">
        <v>0</v>
      </c>
      <c r="G83" s="258">
        <v>0</v>
      </c>
      <c r="H83" s="258">
        <v>0</v>
      </c>
      <c r="I83" s="258">
        <v>0</v>
      </c>
      <c r="J83" s="258">
        <v>0</v>
      </c>
      <c r="K83" s="258">
        <v>0</v>
      </c>
      <c r="L83" s="258">
        <v>0</v>
      </c>
      <c r="M83" s="258">
        <v>0</v>
      </c>
      <c r="N83" s="258">
        <v>0</v>
      </c>
      <c r="O83" s="258">
        <v>0</v>
      </c>
      <c r="P83" s="258">
        <v>0</v>
      </c>
      <c r="Q83" s="258">
        <v>0</v>
      </c>
      <c r="R83" s="258">
        <v>0</v>
      </c>
      <c r="S83" s="258">
        <v>0</v>
      </c>
      <c r="T83" s="258">
        <v>0</v>
      </c>
      <c r="U83" s="258">
        <v>0</v>
      </c>
      <c r="V83" s="258">
        <v>0</v>
      </c>
      <c r="W83" s="258">
        <v>0</v>
      </c>
      <c r="X83" s="258">
        <v>0</v>
      </c>
      <c r="Y83" s="258">
        <v>0</v>
      </c>
      <c r="Z83" s="258">
        <v>0</v>
      </c>
      <c r="AA83" s="258">
        <v>0</v>
      </c>
      <c r="AB83" s="258">
        <v>0</v>
      </c>
      <c r="AC83" s="258">
        <v>0</v>
      </c>
      <c r="AD83" s="258">
        <v>0</v>
      </c>
      <c r="AE83" s="258">
        <v>0</v>
      </c>
      <c r="AF83" s="258">
        <v>0</v>
      </c>
      <c r="AG83" s="258">
        <v>0</v>
      </c>
      <c r="AH83" s="258">
        <v>0</v>
      </c>
      <c r="AI83" s="258">
        <v>0</v>
      </c>
      <c r="AJ83" s="258">
        <v>0</v>
      </c>
      <c r="AK83" s="258">
        <v>0</v>
      </c>
      <c r="AL83" s="258">
        <v>0</v>
      </c>
      <c r="AM83" s="258">
        <v>0</v>
      </c>
      <c r="AN83" s="258">
        <v>0</v>
      </c>
      <c r="AO83" s="258">
        <v>0</v>
      </c>
      <c r="AP83" s="258">
        <v>0</v>
      </c>
      <c r="AQ83" s="258">
        <v>0</v>
      </c>
      <c r="AR83" s="258">
        <v>0</v>
      </c>
      <c r="AS83" s="258">
        <v>0</v>
      </c>
      <c r="AT83" s="258">
        <v>0</v>
      </c>
      <c r="AU83" s="258">
        <v>0</v>
      </c>
      <c r="AV83" s="258">
        <v>0</v>
      </c>
      <c r="AW83" s="258">
        <v>0</v>
      </c>
      <c r="AX83" s="258">
        <v>0</v>
      </c>
      <c r="AY83" s="258">
        <v>0</v>
      </c>
      <c r="AZ83" s="258">
        <v>0</v>
      </c>
      <c r="BA83" s="195"/>
      <c r="BB83" s="224"/>
      <c r="BC83" s="224"/>
      <c r="BD83" s="224"/>
      <c r="BE83" s="224"/>
      <c r="BF83" s="224"/>
      <c r="BG83" s="224"/>
      <c r="BH83" s="224"/>
      <c r="BI83" s="195"/>
      <c r="BJ83" s="224">
        <f t="shared" si="57"/>
        <v>239</v>
      </c>
      <c r="BK83" s="258">
        <f t="shared" si="58"/>
        <v>2115</v>
      </c>
      <c r="BL83" s="172"/>
      <c r="BM83" s="13"/>
      <c r="BN83" s="172"/>
      <c r="BO83" s="231"/>
      <c r="BP83" s="231"/>
      <c r="BQ83" s="172"/>
      <c r="BR83" s="172"/>
      <c r="BS83" s="172"/>
      <c r="BT83" s="172"/>
      <c r="BU83" s="172"/>
      <c r="BV83" s="172"/>
      <c r="BW83" s="172"/>
      <c r="BX83" s="172"/>
      <c r="BY83" s="172"/>
      <c r="BZ83" s="172"/>
      <c r="CA83" s="172"/>
      <c r="CB83" s="172"/>
      <c r="CC83" s="172"/>
      <c r="CD83" s="172"/>
      <c r="CE83" s="172"/>
      <c r="CF83" s="172"/>
      <c r="CG83" s="172"/>
      <c r="CH83" s="172"/>
      <c r="CI83" s="172"/>
      <c r="CJ83" s="172"/>
      <c r="CK83" s="172"/>
      <c r="CL83" s="172"/>
      <c r="CM83" s="172"/>
      <c r="CN83" s="172"/>
      <c r="CO83" s="172"/>
      <c r="CP83" s="172"/>
      <c r="CQ83" s="172"/>
      <c r="CR83" s="172"/>
      <c r="CS83" s="172"/>
      <c r="CT83" s="172"/>
      <c r="CU83" s="172"/>
      <c r="CV83" s="172"/>
      <c r="CW83" s="172"/>
      <c r="CX83" s="172"/>
      <c r="CY83" s="172"/>
      <c r="CZ83" s="172"/>
      <c r="DA83" s="172"/>
      <c r="DB83" s="172"/>
      <c r="DC83" s="172"/>
      <c r="DD83" s="172"/>
      <c r="DE83" s="172"/>
      <c r="DF83" s="172"/>
      <c r="DG83" s="172"/>
      <c r="DH83" s="172"/>
      <c r="DI83" s="172"/>
      <c r="DJ83" s="172"/>
      <c r="DK83" s="172"/>
      <c r="DL83" s="172"/>
      <c r="DM83" s="172"/>
      <c r="DN83" s="172"/>
      <c r="DO83" s="172"/>
      <c r="DP83" s="172"/>
      <c r="DQ83" s="172"/>
      <c r="DR83" s="172"/>
      <c r="DS83" s="172"/>
      <c r="DT83" s="172"/>
      <c r="DU83" s="172"/>
      <c r="DV83" s="172"/>
      <c r="DW83" s="172"/>
      <c r="DX83" s="172"/>
      <c r="DY83" s="172"/>
      <c r="DZ83" s="172"/>
      <c r="EA83" s="172"/>
      <c r="EB83" s="172"/>
      <c r="EC83" s="172"/>
      <c r="ED83" s="172"/>
      <c r="EE83" s="172"/>
      <c r="EF83" s="172"/>
      <c r="EG83" s="172"/>
      <c r="EH83" s="172"/>
      <c r="EI83" s="172"/>
      <c r="EJ83" s="172"/>
      <c r="EK83" s="172"/>
      <c r="EL83" s="172"/>
      <c r="EM83" s="172"/>
      <c r="EN83" s="172"/>
      <c r="EO83" s="172"/>
      <c r="EP83" s="172"/>
      <c r="EQ83" s="172"/>
      <c r="ER83" s="172"/>
      <c r="ES83" s="172"/>
      <c r="ET83" s="172"/>
      <c r="EU83" s="172"/>
      <c r="EV83" s="172"/>
      <c r="EW83" s="172"/>
      <c r="EX83" s="172"/>
      <c r="EY83" s="172"/>
      <c r="EZ83" s="172"/>
      <c r="FA83" s="172"/>
      <c r="FB83" s="172"/>
      <c r="FC83" s="172"/>
      <c r="FD83" s="172"/>
      <c r="FE83" s="172"/>
      <c r="FF83" s="172"/>
      <c r="FG83" s="172"/>
      <c r="FH83" s="172"/>
      <c r="FI83" s="172"/>
      <c r="FJ83" s="172"/>
      <c r="FK83" s="172"/>
      <c r="FL83" s="172"/>
      <c r="FM83" s="172"/>
      <c r="FN83" s="172"/>
      <c r="FO83" s="172"/>
      <c r="FP83" s="172"/>
      <c r="FQ83" s="172"/>
      <c r="FR83" s="172"/>
      <c r="FS83" s="172"/>
      <c r="FT83" s="172"/>
      <c r="FU83" s="172"/>
      <c r="FV83" s="172"/>
      <c r="FW83" s="172"/>
      <c r="FX83" s="172"/>
      <c r="FY83" s="172"/>
      <c r="FZ83" s="172"/>
      <c r="GA83" s="172"/>
      <c r="GB83" s="172"/>
      <c r="GC83" s="172"/>
      <c r="GD83" s="172"/>
      <c r="GE83" s="172"/>
      <c r="GF83" s="172"/>
      <c r="GG83" s="172"/>
      <c r="GH83" s="172"/>
      <c r="GI83" s="172"/>
      <c r="GJ83" s="172"/>
      <c r="GK83" s="172"/>
      <c r="GL83" s="172"/>
      <c r="GM83" s="172"/>
      <c r="GN83" s="172"/>
      <c r="GO83" s="172"/>
      <c r="GP83" s="172"/>
      <c r="GQ83" s="172"/>
      <c r="GR83" s="172"/>
      <c r="GS83" s="172"/>
      <c r="GT83" s="172"/>
      <c r="GU83" s="172"/>
      <c r="GV83" s="172"/>
      <c r="GW83" s="172"/>
      <c r="GX83" s="172"/>
      <c r="GY83" s="172"/>
      <c r="GZ83" s="172"/>
      <c r="HA83" s="172"/>
      <c r="HB83" s="172"/>
      <c r="HC83" s="172"/>
      <c r="HD83" s="172"/>
      <c r="HE83" s="172"/>
      <c r="HF83" s="172"/>
      <c r="HG83" s="172"/>
      <c r="HH83" s="172"/>
      <c r="HI83" s="172"/>
      <c r="HJ83" s="172"/>
      <c r="HK83" s="172"/>
      <c r="HL83" s="172"/>
      <c r="HM83" s="172"/>
      <c r="HN83" s="172"/>
      <c r="HO83" s="172"/>
      <c r="HP83" s="172"/>
      <c r="HQ83" s="172"/>
      <c r="HR83" s="172"/>
      <c r="HS83" s="172"/>
      <c r="HT83" s="172"/>
      <c r="HU83" s="172"/>
      <c r="HV83" s="172"/>
      <c r="HW83" s="172"/>
      <c r="HX83" s="172"/>
      <c r="HY83" s="172"/>
      <c r="HZ83" s="172"/>
      <c r="IA83" s="172"/>
      <c r="IB83" s="172"/>
      <c r="IC83" s="172"/>
      <c r="ID83" s="172"/>
      <c r="IE83" s="172"/>
      <c r="IF83" s="172"/>
      <c r="IG83" s="172"/>
      <c r="IH83" s="172"/>
      <c r="II83" s="172"/>
      <c r="IJ83" s="172"/>
      <c r="IK83" s="172"/>
      <c r="IL83" s="172"/>
      <c r="IM83" s="172"/>
      <c r="IN83" s="172"/>
      <c r="IO83" s="172"/>
      <c r="IP83" s="172"/>
      <c r="IQ83" s="172"/>
      <c r="IR83" s="172"/>
      <c r="IS83" s="172"/>
      <c r="IT83" s="172"/>
      <c r="IU83" s="172"/>
      <c r="IV83" s="172"/>
      <c r="IW83" s="172"/>
      <c r="IX83" s="172"/>
      <c r="IY83" s="172"/>
      <c r="IZ83" s="172"/>
      <c r="JA83" s="172"/>
      <c r="JB83" s="172"/>
      <c r="JC83" s="172"/>
      <c r="JD83" s="172"/>
      <c r="JE83" s="172"/>
      <c r="JF83" s="172"/>
      <c r="JG83" s="172"/>
      <c r="JH83" s="172"/>
      <c r="JI83" s="172"/>
      <c r="JJ83" s="172"/>
      <c r="JK83" s="172"/>
      <c r="JL83" s="172"/>
      <c r="JM83" s="172"/>
      <c r="JN83" s="172"/>
      <c r="JO83" s="172"/>
      <c r="JP83" s="172"/>
      <c r="JQ83" s="172"/>
      <c r="JR83" s="172"/>
      <c r="JS83" s="172"/>
      <c r="JT83" s="172"/>
      <c r="JU83" s="172"/>
      <c r="JV83" s="172"/>
      <c r="JW83" s="172"/>
      <c r="JX83" s="172"/>
      <c r="JY83" s="172"/>
      <c r="JZ83" s="172"/>
      <c r="KA83" s="172"/>
      <c r="KB83" s="172"/>
      <c r="KC83" s="172"/>
      <c r="KD83" s="172"/>
      <c r="KE83" s="172"/>
      <c r="KF83" s="172"/>
      <c r="KG83" s="172"/>
      <c r="KH83" s="172"/>
      <c r="KI83" s="172"/>
      <c r="KJ83" s="172"/>
      <c r="KK83" s="172"/>
      <c r="KL83" s="172"/>
      <c r="KM83" s="172"/>
      <c r="KN83" s="172"/>
      <c r="KO83" s="172"/>
      <c r="KP83" s="172"/>
      <c r="KQ83" s="172"/>
      <c r="KR83" s="172"/>
      <c r="KS83" s="172"/>
      <c r="KT83" s="172"/>
      <c r="KU83" s="172"/>
      <c r="KV83" s="172"/>
      <c r="KW83" s="172"/>
      <c r="KX83" s="172"/>
      <c r="KY83" s="172"/>
      <c r="KZ83" s="172"/>
      <c r="LA83" s="172"/>
      <c r="LB83" s="172"/>
      <c r="LC83" s="172"/>
      <c r="LD83" s="172"/>
      <c r="LE83" s="172"/>
      <c r="LF83" s="172"/>
      <c r="LG83" s="172"/>
      <c r="LH83" s="172"/>
      <c r="LI83" s="172"/>
      <c r="LJ83" s="172"/>
      <c r="LK83" s="172"/>
      <c r="LL83" s="172"/>
      <c r="LM83" s="172"/>
      <c r="LN83" s="172"/>
      <c r="LO83" s="172"/>
      <c r="LP83" s="172"/>
      <c r="LQ83" s="172"/>
      <c r="LR83" s="172"/>
      <c r="LS83" s="172"/>
      <c r="LT83" s="172"/>
      <c r="LU83" s="172"/>
      <c r="LV83" s="172"/>
      <c r="LW83" s="172"/>
      <c r="LX83" s="172"/>
      <c r="LY83" s="172"/>
      <c r="LZ83" s="172"/>
      <c r="MA83" s="172"/>
      <c r="MB83" s="172"/>
      <c r="MC83" s="172"/>
      <c r="MD83" s="172"/>
      <c r="ME83" s="172"/>
      <c r="MF83" s="172"/>
      <c r="MG83" s="172"/>
      <c r="MH83" s="172"/>
      <c r="MI83" s="172"/>
      <c r="MJ83" s="172"/>
      <c r="MK83" s="172"/>
      <c r="ML83" s="172"/>
      <c r="MM83" s="172"/>
      <c r="MN83" s="172"/>
      <c r="MO83" s="172"/>
      <c r="MP83" s="172"/>
      <c r="MQ83" s="172"/>
      <c r="MR83" s="172"/>
      <c r="MS83" s="172"/>
      <c r="MT83" s="172"/>
      <c r="MU83" s="172"/>
      <c r="MV83" s="172"/>
      <c r="MW83" s="172"/>
      <c r="MX83" s="172"/>
      <c r="MY83" s="172"/>
      <c r="MZ83" s="172"/>
      <c r="NA83" s="172"/>
      <c r="NB83" s="172"/>
      <c r="NC83" s="172"/>
      <c r="ND83" s="172"/>
      <c r="NE83" s="172"/>
      <c r="NF83" s="172"/>
      <c r="NG83" s="172"/>
      <c r="NH83" s="172"/>
      <c r="NI83" s="172"/>
      <c r="NJ83" s="172"/>
      <c r="NK83" s="172"/>
      <c r="NL83" s="172"/>
      <c r="NM83" s="172"/>
      <c r="NN83" s="172"/>
      <c r="NO83" s="172"/>
      <c r="NP83" s="172"/>
      <c r="NQ83" s="172"/>
      <c r="NR83" s="172"/>
      <c r="NS83" s="172"/>
      <c r="NT83" s="172"/>
      <c r="NU83" s="172"/>
      <c r="NV83" s="172"/>
      <c r="NW83" s="172"/>
      <c r="NX83" s="172"/>
      <c r="NY83" s="172"/>
      <c r="NZ83" s="172"/>
      <c r="OA83" s="172"/>
      <c r="OB83" s="172"/>
      <c r="OC83" s="172"/>
      <c r="OD83" s="172"/>
      <c r="OE83" s="172"/>
      <c r="OF83" s="172"/>
      <c r="OG83" s="172"/>
      <c r="OH83" s="172"/>
      <c r="OI83" s="172"/>
      <c r="OJ83" s="172"/>
      <c r="OK83" s="172"/>
      <c r="OL83" s="172"/>
      <c r="OM83" s="172"/>
      <c r="ON83" s="172"/>
      <c r="OO83" s="172"/>
      <c r="OP83" s="172"/>
      <c r="OQ83" s="172"/>
      <c r="OR83" s="172"/>
      <c r="OS83" s="172"/>
      <c r="OT83" s="172"/>
      <c r="OU83" s="172"/>
      <c r="OV83" s="172"/>
      <c r="OW83" s="172"/>
      <c r="OX83" s="172"/>
      <c r="OY83" s="172"/>
      <c r="OZ83" s="172"/>
      <c r="PA83" s="172"/>
      <c r="PB83" s="172"/>
      <c r="PC83" s="172"/>
      <c r="PD83" s="172"/>
      <c r="PE83" s="172"/>
      <c r="PF83" s="172"/>
      <c r="PG83" s="172"/>
      <c r="PH83" s="172"/>
      <c r="PI83" s="172"/>
      <c r="PJ83" s="172"/>
      <c r="PK83" s="172"/>
      <c r="PL83" s="172"/>
      <c r="PM83" s="172"/>
      <c r="PN83" s="172"/>
      <c r="PO83" s="172"/>
      <c r="PP83" s="172"/>
      <c r="PQ83" s="172"/>
      <c r="PR83" s="172"/>
      <c r="PS83" s="172"/>
      <c r="PT83" s="172"/>
      <c r="PU83" s="172"/>
      <c r="PV83" s="172"/>
      <c r="PW83" s="172"/>
      <c r="PX83" s="172"/>
      <c r="PY83" s="172"/>
      <c r="PZ83" s="172"/>
      <c r="QA83" s="172"/>
      <c r="QB83" s="172"/>
      <c r="QC83" s="172"/>
      <c r="QD83" s="172"/>
      <c r="QE83" s="172"/>
      <c r="QF83" s="172"/>
      <c r="QG83" s="172"/>
      <c r="QH83" s="172"/>
      <c r="QI83" s="172"/>
      <c r="QJ83" s="172"/>
      <c r="QK83" s="172"/>
      <c r="QL83" s="172"/>
      <c r="QM83" s="172"/>
      <c r="QN83" s="172"/>
      <c r="QO83" s="172"/>
      <c r="QP83" s="172"/>
      <c r="QQ83" s="172"/>
      <c r="QR83" s="172"/>
      <c r="QS83" s="172"/>
      <c r="QT83" s="172"/>
      <c r="QU83" s="172"/>
      <c r="QV83" s="172"/>
      <c r="QW83" s="172"/>
      <c r="QX83" s="172"/>
      <c r="QY83" s="172"/>
      <c r="QZ83" s="172"/>
      <c r="RA83" s="172"/>
      <c r="RB83" s="172"/>
      <c r="RC83" s="172"/>
      <c r="RD83" s="172"/>
      <c r="RE83" s="172"/>
      <c r="RF83" s="172"/>
      <c r="RG83" s="172"/>
      <c r="RH83" s="172"/>
      <c r="RI83" s="172"/>
      <c r="RJ83" s="172"/>
      <c r="RK83" s="172"/>
      <c r="RL83" s="172"/>
      <c r="RM83" s="172"/>
      <c r="RN83" s="172"/>
      <c r="RO83" s="172"/>
      <c r="RP83" s="172"/>
      <c r="RQ83" s="172"/>
      <c r="RR83" s="172"/>
      <c r="RS83" s="172"/>
      <c r="RT83" s="172"/>
      <c r="RU83" s="172"/>
      <c r="RV83" s="172"/>
      <c r="RW83" s="172"/>
      <c r="RX83" s="172"/>
      <c r="RY83" s="172"/>
      <c r="RZ83" s="172"/>
      <c r="SA83" s="172"/>
      <c r="SB83" s="172"/>
      <c r="SC83" s="172"/>
      <c r="SD83" s="172"/>
      <c r="SE83" s="172"/>
      <c r="SF83" s="172"/>
      <c r="SG83" s="172"/>
      <c r="SH83" s="172"/>
      <c r="SI83" s="172"/>
      <c r="SJ83" s="172"/>
      <c r="SK83" s="172"/>
      <c r="SL83" s="172"/>
      <c r="SM83" s="172"/>
      <c r="SN83" s="172"/>
      <c r="SO83" s="172"/>
      <c r="SP83" s="172"/>
      <c r="SQ83" s="172"/>
      <c r="SR83" s="172"/>
      <c r="SS83" s="172"/>
      <c r="ST83" s="172"/>
      <c r="SU83" s="172"/>
      <c r="SV83" s="172"/>
      <c r="SW83" s="172"/>
      <c r="SX83" s="172"/>
      <c r="SY83" s="172"/>
      <c r="SZ83" s="172"/>
      <c r="TA83" s="172"/>
      <c r="TB83" s="172"/>
      <c r="TC83" s="172"/>
      <c r="TD83" s="172"/>
      <c r="TE83" s="172"/>
      <c r="TF83" s="172"/>
      <c r="TG83" s="172"/>
      <c r="TH83" s="172"/>
      <c r="TI83" s="172"/>
      <c r="TJ83" s="172"/>
      <c r="TK83" s="172"/>
      <c r="TL83" s="172"/>
      <c r="TM83" s="172"/>
      <c r="TN83" s="172"/>
      <c r="TO83" s="172"/>
      <c r="TP83" s="172"/>
      <c r="TQ83" s="172"/>
      <c r="TR83" s="172"/>
      <c r="TS83" s="172"/>
      <c r="TT83" s="172"/>
      <c r="TU83" s="172"/>
      <c r="TV83" s="172"/>
      <c r="TW83" s="172"/>
      <c r="TX83" s="172"/>
      <c r="TY83" s="172"/>
      <c r="TZ83" s="172"/>
      <c r="UA83" s="172"/>
      <c r="UB83" s="172"/>
      <c r="UC83" s="172"/>
      <c r="UD83" s="172"/>
      <c r="UE83" s="172"/>
      <c r="UF83" s="172"/>
      <c r="UG83" s="172"/>
      <c r="UH83" s="172"/>
      <c r="UI83" s="172"/>
      <c r="UJ83" s="172"/>
      <c r="UK83" s="172"/>
      <c r="UL83" s="172"/>
      <c r="UM83" s="172"/>
      <c r="UN83" s="172"/>
      <c r="UO83" s="172"/>
      <c r="UP83" s="172"/>
      <c r="UQ83" s="172"/>
      <c r="UR83" s="172"/>
      <c r="US83" s="172"/>
      <c r="UT83" s="172"/>
      <c r="UU83" s="172"/>
      <c r="UV83" s="172"/>
      <c r="UW83" s="172"/>
      <c r="UX83" s="172"/>
      <c r="UY83" s="172"/>
      <c r="UZ83" s="172"/>
      <c r="VA83" s="172"/>
      <c r="VB83" s="172"/>
      <c r="VC83" s="172"/>
      <c r="VD83" s="172"/>
      <c r="VE83" s="172"/>
      <c r="VF83" s="172"/>
      <c r="VG83" s="172"/>
      <c r="VH83" s="172"/>
      <c r="VI83" s="172"/>
      <c r="VJ83" s="172"/>
      <c r="VK83" s="172"/>
      <c r="VL83" s="172"/>
      <c r="VM83" s="172"/>
      <c r="VN83" s="172"/>
      <c r="VO83" s="172"/>
      <c r="VP83" s="172"/>
      <c r="VQ83" s="172"/>
      <c r="VR83" s="172"/>
      <c r="VS83" s="172"/>
      <c r="VT83" s="172"/>
      <c r="VU83" s="172"/>
      <c r="VV83" s="172"/>
      <c r="VW83" s="172"/>
      <c r="VX83" s="172"/>
      <c r="VY83" s="172"/>
      <c r="VZ83" s="172"/>
      <c r="WA83" s="172"/>
      <c r="WB83" s="172"/>
      <c r="WC83" s="172"/>
      <c r="WD83" s="172"/>
      <c r="WE83" s="172"/>
      <c r="WF83" s="172"/>
      <c r="WG83" s="172"/>
      <c r="WH83" s="172"/>
      <c r="WI83" s="172"/>
      <c r="WJ83" s="172"/>
      <c r="WK83" s="172"/>
      <c r="WL83" s="172"/>
      <c r="WM83" s="172"/>
      <c r="WN83" s="172"/>
      <c r="WO83" s="172"/>
      <c r="WP83" s="172"/>
      <c r="WQ83" s="172"/>
      <c r="WR83" s="172"/>
      <c r="WS83" s="172"/>
      <c r="WT83" s="172"/>
      <c r="WU83" s="172"/>
      <c r="WV83" s="172"/>
      <c r="WW83" s="172"/>
      <c r="WX83" s="172"/>
      <c r="WY83" s="172"/>
      <c r="WZ83" s="172"/>
      <c r="XA83" s="172"/>
      <c r="XB83" s="172"/>
      <c r="XC83" s="172"/>
      <c r="XD83" s="172"/>
      <c r="XE83" s="172"/>
      <c r="XF83" s="172"/>
      <c r="XG83" s="172"/>
      <c r="XH83" s="172"/>
      <c r="XI83" s="172"/>
      <c r="XJ83" s="172"/>
      <c r="XK83" s="172"/>
      <c r="XL83" s="172"/>
      <c r="XM83" s="172"/>
      <c r="XN83" s="172"/>
      <c r="XO83" s="172"/>
      <c r="XP83" s="172"/>
      <c r="XQ83" s="172"/>
      <c r="XR83" s="172"/>
      <c r="XS83" s="172"/>
      <c r="XT83" s="172"/>
      <c r="XU83" s="172"/>
      <c r="XV83" s="172"/>
      <c r="XW83" s="172"/>
      <c r="XX83" s="172"/>
      <c r="XY83" s="172"/>
      <c r="XZ83" s="172"/>
      <c r="YA83" s="172"/>
      <c r="YB83" s="172"/>
      <c r="YC83" s="172"/>
      <c r="YD83" s="172"/>
      <c r="YE83" s="172"/>
      <c r="YF83" s="172"/>
      <c r="YG83" s="172"/>
      <c r="YH83" s="172"/>
      <c r="YI83" s="172"/>
      <c r="YJ83" s="172"/>
      <c r="YK83" s="172"/>
      <c r="YL83" s="172"/>
      <c r="YM83" s="172"/>
      <c r="YN83" s="172"/>
      <c r="YO83" s="172"/>
      <c r="YP83" s="172"/>
      <c r="YQ83" s="172"/>
      <c r="YR83" s="172"/>
      <c r="YS83" s="172"/>
      <c r="YT83" s="172"/>
      <c r="YU83" s="172"/>
      <c r="YV83" s="172"/>
      <c r="YW83" s="172"/>
      <c r="YX83" s="172"/>
      <c r="YY83" s="172"/>
      <c r="YZ83" s="172"/>
      <c r="ZA83" s="172"/>
      <c r="ZB83" s="172"/>
      <c r="ZC83" s="172"/>
      <c r="ZD83" s="172"/>
      <c r="ZE83" s="172"/>
      <c r="ZF83" s="172"/>
      <c r="ZG83" s="172"/>
      <c r="ZH83" s="172"/>
      <c r="ZI83" s="172"/>
      <c r="ZJ83" s="172"/>
      <c r="ZK83" s="172"/>
      <c r="ZL83" s="172"/>
      <c r="ZM83" s="172"/>
      <c r="ZN83" s="172"/>
      <c r="ZO83" s="172"/>
      <c r="ZP83" s="172"/>
      <c r="ZQ83" s="172"/>
      <c r="ZR83" s="172"/>
      <c r="ZS83" s="172"/>
      <c r="ZT83" s="172"/>
      <c r="ZU83" s="172"/>
      <c r="ZV83" s="172"/>
      <c r="ZW83" s="172"/>
      <c r="ZX83" s="172"/>
      <c r="ZY83" s="172"/>
      <c r="ZZ83" s="172"/>
      <c r="AAA83" s="172"/>
      <c r="AAB83" s="172"/>
      <c r="AAC83" s="172"/>
      <c r="AAD83" s="172"/>
      <c r="AAE83" s="172"/>
      <c r="AAF83" s="172"/>
      <c r="AAG83" s="172"/>
      <c r="AAH83" s="172"/>
      <c r="AAI83" s="172"/>
      <c r="AAJ83" s="172"/>
      <c r="AAK83" s="172"/>
      <c r="AAL83" s="172"/>
      <c r="AAM83" s="172"/>
      <c r="AAN83" s="172"/>
      <c r="AAO83" s="172"/>
      <c r="AAP83" s="172"/>
      <c r="AAQ83" s="172"/>
      <c r="AAR83" s="172"/>
      <c r="AAS83" s="172"/>
      <c r="AAT83" s="172"/>
      <c r="AAU83" s="172"/>
      <c r="AAV83" s="172"/>
      <c r="AAW83" s="172"/>
      <c r="AAX83" s="172"/>
      <c r="AAY83" s="172"/>
      <c r="AAZ83" s="172"/>
      <c r="ABA83" s="172"/>
      <c r="ABB83" s="172"/>
      <c r="ABC83" s="172"/>
      <c r="ABD83" s="172"/>
      <c r="ABE83" s="172"/>
      <c r="ABF83" s="172"/>
      <c r="ABG83" s="172"/>
      <c r="ABH83" s="172"/>
      <c r="ABI83" s="172"/>
      <c r="ABJ83" s="172"/>
      <c r="ABK83" s="172"/>
      <c r="ABL83" s="172"/>
      <c r="ABM83" s="172"/>
      <c r="ABN83" s="172"/>
      <c r="ABO83" s="172"/>
      <c r="ABP83" s="172"/>
      <c r="ABQ83" s="172"/>
      <c r="ABR83" s="172"/>
      <c r="ABS83" s="172"/>
      <c r="ABT83" s="172"/>
      <c r="ABU83" s="172"/>
      <c r="ABV83" s="172"/>
      <c r="ABW83" s="172"/>
      <c r="ABX83" s="172"/>
      <c r="ABY83" s="172"/>
      <c r="ABZ83" s="172"/>
      <c r="ACA83" s="172"/>
      <c r="ACB83" s="172"/>
      <c r="ACC83" s="172"/>
      <c r="ACD83" s="172"/>
      <c r="ACE83" s="172"/>
      <c r="ACF83" s="172"/>
      <c r="ACG83" s="172"/>
      <c r="ACH83" s="172"/>
      <c r="ACI83" s="172"/>
      <c r="ACJ83" s="172"/>
      <c r="ACK83" s="172"/>
      <c r="ACL83" s="172"/>
      <c r="ACM83" s="172"/>
      <c r="ACN83" s="172"/>
      <c r="ACO83" s="172"/>
      <c r="ACP83" s="172"/>
      <c r="ACQ83" s="172"/>
      <c r="ACR83" s="172"/>
      <c r="ACS83" s="172"/>
      <c r="ACT83" s="172"/>
      <c r="ACU83" s="172"/>
      <c r="ACV83" s="172"/>
      <c r="ACW83" s="172"/>
      <c r="ACX83" s="172"/>
      <c r="ACY83" s="172"/>
      <c r="ACZ83" s="172"/>
      <c r="ADA83" s="172"/>
      <c r="ADB83" s="172"/>
      <c r="ADC83" s="172"/>
      <c r="ADD83" s="172"/>
      <c r="ADE83" s="172"/>
      <c r="ADF83" s="172"/>
      <c r="ADG83" s="172"/>
      <c r="ADH83" s="172"/>
      <c r="ADI83" s="172"/>
      <c r="ADJ83" s="172"/>
      <c r="ADK83" s="172"/>
      <c r="ADL83" s="172"/>
      <c r="ADM83" s="172"/>
      <c r="ADN83" s="172"/>
      <c r="ADO83" s="172"/>
      <c r="ADP83" s="172"/>
      <c r="ADQ83" s="172"/>
      <c r="ADR83" s="172"/>
      <c r="ADS83" s="172"/>
      <c r="ADT83" s="172"/>
      <c r="ADU83" s="172"/>
      <c r="ADV83" s="172"/>
      <c r="ADW83" s="172"/>
      <c r="ADX83" s="172"/>
      <c r="ADY83" s="172"/>
      <c r="ADZ83" s="172"/>
      <c r="AEA83" s="172"/>
      <c r="AEB83" s="172"/>
      <c r="AEC83" s="172"/>
      <c r="AED83" s="172"/>
      <c r="AEE83" s="172"/>
      <c r="AEF83" s="172"/>
      <c r="AEG83" s="172"/>
      <c r="AEH83" s="172"/>
      <c r="AEI83" s="172"/>
      <c r="AEJ83" s="172"/>
      <c r="AEK83" s="172"/>
      <c r="AEL83" s="172"/>
      <c r="AEM83" s="172"/>
      <c r="AEN83" s="172"/>
      <c r="AEO83" s="172"/>
      <c r="AEP83" s="172"/>
      <c r="AEQ83" s="172"/>
      <c r="AER83" s="172"/>
      <c r="AES83" s="172"/>
      <c r="AET83" s="172"/>
      <c r="AEU83" s="172"/>
      <c r="AEV83" s="172"/>
      <c r="AEW83" s="172"/>
      <c r="AEX83" s="172"/>
      <c r="AEY83" s="172"/>
      <c r="AEZ83" s="172"/>
      <c r="AFA83" s="172"/>
      <c r="AFB83" s="172"/>
      <c r="AFC83" s="172"/>
      <c r="AFD83" s="172"/>
      <c r="AFE83" s="172"/>
      <c r="AFF83" s="172"/>
      <c r="AFG83" s="172"/>
      <c r="AFH83" s="172"/>
      <c r="AFI83" s="172"/>
      <c r="AFJ83" s="172"/>
      <c r="AFK83" s="172"/>
      <c r="AFL83" s="172"/>
      <c r="AFM83" s="172"/>
      <c r="AFN83" s="172"/>
      <c r="AFO83" s="172"/>
      <c r="AFP83" s="172"/>
      <c r="AFQ83" s="172"/>
      <c r="AFR83" s="172"/>
      <c r="AFS83" s="172"/>
      <c r="AFT83" s="172"/>
      <c r="AFU83" s="172"/>
      <c r="AFV83" s="172"/>
      <c r="AFW83" s="172"/>
      <c r="AFX83" s="172"/>
      <c r="AFY83" s="172"/>
      <c r="AFZ83" s="172"/>
      <c r="AGA83" s="172"/>
      <c r="AGB83" s="172"/>
      <c r="AGC83" s="172"/>
      <c r="AGD83" s="172"/>
      <c r="AGE83" s="172"/>
      <c r="AGF83" s="172"/>
      <c r="AGG83" s="172"/>
      <c r="AGH83" s="172"/>
      <c r="AGI83" s="172"/>
      <c r="AGJ83" s="172"/>
      <c r="AGK83" s="172"/>
      <c r="AGL83" s="172"/>
      <c r="AGM83" s="172"/>
      <c r="AGN83" s="172"/>
      <c r="AGO83" s="172"/>
      <c r="AGP83" s="172"/>
      <c r="AGQ83" s="172"/>
      <c r="AGR83" s="172"/>
      <c r="AGS83" s="172"/>
      <c r="AGT83" s="172"/>
      <c r="AGU83" s="172"/>
      <c r="AGV83" s="172"/>
      <c r="AGW83" s="172"/>
      <c r="AGX83" s="172"/>
      <c r="AGY83" s="172"/>
      <c r="AGZ83" s="172"/>
      <c r="AHA83" s="172"/>
      <c r="AHB83" s="172"/>
      <c r="AHC83" s="172"/>
      <c r="AHD83" s="172"/>
      <c r="AHE83" s="172"/>
      <c r="AHF83" s="172"/>
      <c r="AHG83" s="172"/>
      <c r="AHH83" s="172"/>
      <c r="AHI83" s="172"/>
      <c r="AHJ83" s="172"/>
      <c r="AHK83" s="172"/>
      <c r="AHL83" s="172"/>
      <c r="AHM83" s="172"/>
      <c r="AHN83" s="172"/>
      <c r="AHO83" s="172"/>
      <c r="AHP83" s="172"/>
      <c r="AHQ83" s="172"/>
      <c r="AHR83" s="172"/>
      <c r="AHS83" s="172"/>
      <c r="AHT83" s="172"/>
      <c r="AHU83" s="172"/>
      <c r="AHV83" s="172"/>
      <c r="AHW83" s="172"/>
      <c r="AHX83" s="172"/>
      <c r="AHY83" s="172"/>
      <c r="AHZ83" s="172"/>
      <c r="AIA83" s="172"/>
      <c r="AIB83" s="172"/>
      <c r="AIC83" s="172"/>
      <c r="AID83" s="172"/>
      <c r="AIE83" s="172"/>
      <c r="AIF83" s="172"/>
      <c r="AIG83" s="172"/>
      <c r="AIH83" s="172"/>
      <c r="AII83" s="172"/>
      <c r="AIJ83" s="172"/>
      <c r="AIK83" s="172"/>
      <c r="AIL83" s="172"/>
      <c r="AIM83" s="172"/>
      <c r="AIN83" s="172"/>
      <c r="AIO83" s="172"/>
      <c r="AIP83" s="172"/>
      <c r="AIQ83" s="172"/>
      <c r="AIR83" s="172"/>
      <c r="AIS83" s="172"/>
      <c r="AIT83" s="172"/>
      <c r="AIU83" s="172"/>
      <c r="AIV83" s="172"/>
      <c r="AIW83" s="172"/>
      <c r="AIX83" s="172"/>
      <c r="AIY83" s="172"/>
      <c r="AIZ83" s="172"/>
      <c r="AJA83" s="172"/>
      <c r="AJB83" s="172"/>
      <c r="AJC83" s="172"/>
      <c r="AJD83" s="172"/>
      <c r="AJE83" s="172"/>
      <c r="AJF83" s="172"/>
      <c r="AJG83" s="172"/>
      <c r="AJH83" s="172"/>
      <c r="AJI83" s="172"/>
      <c r="AJJ83" s="172"/>
      <c r="AJK83" s="172"/>
      <c r="AJL83" s="172"/>
      <c r="AJM83" s="172"/>
      <c r="AJN83" s="172"/>
      <c r="AJO83" s="172"/>
      <c r="AJP83" s="172"/>
      <c r="AJQ83" s="172"/>
      <c r="AJR83" s="172"/>
      <c r="AJS83" s="172"/>
      <c r="AJT83" s="172"/>
      <c r="AJU83" s="172"/>
      <c r="AJV83" s="172"/>
      <c r="AJW83" s="172"/>
      <c r="AJX83" s="172"/>
      <c r="AJY83" s="172"/>
      <c r="AJZ83" s="172"/>
      <c r="AKA83" s="172"/>
      <c r="AKB83" s="172"/>
      <c r="AKC83" s="172"/>
      <c r="AKD83" s="172"/>
      <c r="AKE83" s="172"/>
      <c r="AKF83" s="172"/>
      <c r="AKG83" s="172"/>
      <c r="AKH83" s="172"/>
      <c r="AKI83" s="172"/>
      <c r="AKJ83" s="172"/>
      <c r="AKK83" s="172"/>
      <c r="AKL83" s="172"/>
      <c r="AKM83" s="172"/>
      <c r="AKN83" s="172"/>
      <c r="AKO83" s="172"/>
      <c r="AKP83" s="172"/>
      <c r="AKQ83" s="172"/>
      <c r="AKR83" s="172"/>
      <c r="AKS83" s="172"/>
      <c r="AKT83" s="172"/>
      <c r="AKU83" s="172"/>
      <c r="AKV83" s="172"/>
      <c r="AKW83" s="172"/>
      <c r="AKX83" s="172"/>
      <c r="AKY83" s="172"/>
      <c r="AKZ83" s="172"/>
      <c r="ALA83" s="172"/>
      <c r="ALB83" s="172"/>
      <c r="ALC83" s="172"/>
      <c r="ALD83" s="172"/>
      <c r="ALE83" s="172"/>
      <c r="ALF83" s="172"/>
      <c r="ALG83" s="172"/>
      <c r="ALH83" s="172"/>
      <c r="ALI83" s="172"/>
      <c r="ALJ83" s="172"/>
      <c r="ALK83" s="172"/>
      <c r="ALL83" s="172"/>
      <c r="ALM83" s="172"/>
      <c r="ALN83" s="172"/>
      <c r="ALO83" s="172"/>
      <c r="ALP83" s="172"/>
      <c r="ALQ83" s="172"/>
      <c r="ALR83" s="172"/>
      <c r="ALS83" s="172"/>
      <c r="ALT83" s="172"/>
      <c r="ALU83" s="172"/>
      <c r="ALV83" s="172"/>
      <c r="ALW83" s="172"/>
      <c r="ALX83" s="172"/>
      <c r="ALY83" s="172"/>
      <c r="ALZ83" s="172"/>
      <c r="AMA83" s="172"/>
      <c r="AMB83" s="172"/>
      <c r="AMC83" s="172"/>
      <c r="AMD83" s="172"/>
      <c r="AME83" s="172"/>
      <c r="AMF83" s="172"/>
      <c r="AMG83" s="172"/>
      <c r="AMH83" s="172"/>
      <c r="AMI83" s="172"/>
      <c r="AMJ83" s="172"/>
      <c r="AMK83" s="172"/>
      <c r="AML83" s="172"/>
      <c r="AMM83" s="172"/>
      <c r="AMN83" s="172"/>
      <c r="AMO83" s="172"/>
      <c r="AMP83" s="172"/>
      <c r="AMQ83" s="172"/>
      <c r="AMR83" s="172"/>
      <c r="AMS83" s="172"/>
      <c r="AMT83" s="172"/>
      <c r="AMU83" s="172"/>
      <c r="AMV83" s="172"/>
      <c r="AMW83" s="172"/>
      <c r="AMX83" s="172"/>
      <c r="AMY83" s="172"/>
      <c r="AMZ83" s="172"/>
      <c r="ANA83" s="172"/>
      <c r="ANB83" s="172"/>
      <c r="ANC83" s="172"/>
      <c r="AND83" s="172"/>
      <c r="ANE83" s="172"/>
      <c r="ANF83" s="172"/>
      <c r="ANG83" s="172"/>
      <c r="ANH83" s="172"/>
      <c r="ANI83" s="172"/>
      <c r="ANJ83" s="172"/>
      <c r="ANK83" s="172"/>
      <c r="ANL83" s="172"/>
      <c r="ANM83" s="172"/>
      <c r="ANN83" s="172"/>
      <c r="ANO83" s="172"/>
      <c r="ANP83" s="172"/>
      <c r="ANQ83" s="172"/>
      <c r="ANR83" s="172"/>
      <c r="ANS83" s="172"/>
      <c r="ANT83" s="172"/>
      <c r="ANU83" s="172"/>
      <c r="ANV83" s="172"/>
      <c r="ANW83" s="172"/>
      <c r="ANX83" s="172"/>
      <c r="ANY83" s="172"/>
      <c r="ANZ83" s="172"/>
      <c r="AOA83" s="172"/>
      <c r="AOB83" s="172"/>
      <c r="AOC83" s="172"/>
      <c r="AOD83" s="172"/>
      <c r="AOE83" s="172"/>
      <c r="AOF83" s="172"/>
      <c r="AOG83" s="172"/>
      <c r="AOH83" s="172"/>
      <c r="AOI83" s="172"/>
      <c r="AOJ83" s="172"/>
      <c r="AOK83" s="172"/>
      <c r="AOL83" s="172"/>
      <c r="AOM83" s="172"/>
      <c r="AON83" s="172"/>
      <c r="AOO83" s="172"/>
      <c r="AOP83" s="172"/>
      <c r="AOQ83" s="172"/>
      <c r="AOR83" s="172"/>
      <c r="AOS83" s="172"/>
      <c r="AOT83" s="172"/>
      <c r="AOU83" s="172"/>
      <c r="AOV83" s="172"/>
      <c r="AOW83" s="172"/>
      <c r="AOX83" s="172"/>
      <c r="AOY83" s="172"/>
      <c r="AOZ83" s="172"/>
      <c r="APA83" s="172"/>
      <c r="APB83" s="172"/>
      <c r="APC83" s="172"/>
      <c r="APD83" s="172"/>
      <c r="APE83" s="172"/>
      <c r="APF83" s="172"/>
      <c r="APG83" s="172"/>
      <c r="APH83" s="172"/>
      <c r="API83" s="172"/>
      <c r="APJ83" s="172"/>
      <c r="APK83" s="172"/>
      <c r="APL83" s="172"/>
      <c r="APM83" s="172"/>
      <c r="APN83" s="172"/>
      <c r="APO83" s="172"/>
      <c r="APP83" s="172"/>
      <c r="APQ83" s="172"/>
      <c r="APR83" s="172"/>
      <c r="APS83" s="172"/>
      <c r="APT83" s="172"/>
      <c r="APU83" s="172"/>
      <c r="APV83" s="172"/>
      <c r="APW83" s="172"/>
      <c r="APX83" s="172"/>
      <c r="APY83" s="172"/>
      <c r="APZ83" s="172"/>
      <c r="AQA83" s="172"/>
      <c r="AQB83" s="172"/>
      <c r="AQC83" s="172"/>
      <c r="AQD83" s="172"/>
      <c r="AQE83" s="172"/>
      <c r="AQF83" s="172"/>
      <c r="AQG83" s="172"/>
      <c r="AQH83" s="172"/>
      <c r="AQI83" s="172"/>
      <c r="AQJ83" s="172"/>
      <c r="AQK83" s="172"/>
      <c r="AQL83" s="172"/>
      <c r="AQM83" s="172"/>
      <c r="AQN83" s="172"/>
      <c r="AQO83" s="172"/>
      <c r="AQP83" s="172"/>
      <c r="AQQ83" s="172"/>
      <c r="AQR83" s="172"/>
      <c r="AQS83" s="172"/>
      <c r="AQT83" s="172"/>
      <c r="AQU83" s="172"/>
      <c r="AQV83" s="172"/>
      <c r="AQW83" s="172"/>
      <c r="AQX83" s="172"/>
      <c r="AQY83" s="172"/>
      <c r="AQZ83" s="172"/>
      <c r="ARA83" s="172"/>
      <c r="ARB83" s="172"/>
      <c r="ARC83" s="172"/>
      <c r="ARD83" s="172"/>
      <c r="ARE83" s="172"/>
      <c r="ARF83" s="172"/>
      <c r="ARG83" s="172"/>
      <c r="ARH83" s="172"/>
      <c r="ARI83" s="172"/>
      <c r="ARJ83" s="172"/>
      <c r="ARK83" s="172"/>
      <c r="ARL83" s="172"/>
      <c r="ARM83" s="172"/>
      <c r="ARN83" s="172"/>
      <c r="ARO83" s="172"/>
      <c r="ARP83" s="172"/>
      <c r="ARQ83" s="172"/>
      <c r="ARR83" s="172"/>
      <c r="ARS83" s="172"/>
      <c r="ART83" s="172"/>
      <c r="ARU83" s="172"/>
    </row>
    <row r="84" spans="1:1165" s="257" customFormat="1">
      <c r="A84" s="220" t="s">
        <v>211</v>
      </c>
      <c r="B84" s="215"/>
      <c r="C84" s="284"/>
      <c r="D84" s="284">
        <f>SUM(D74:D83)</f>
        <v>2180347</v>
      </c>
      <c r="E84" s="284"/>
      <c r="F84" s="284">
        <f>SUM(F74:F83)</f>
        <v>114203</v>
      </c>
      <c r="G84" s="284"/>
      <c r="H84" s="284">
        <f>SUM(H74:H83)</f>
        <v>156481</v>
      </c>
      <c r="I84" s="284"/>
      <c r="J84" s="284">
        <f>SUM(J74:J83)</f>
        <v>96304</v>
      </c>
      <c r="K84" s="284"/>
      <c r="L84" s="284">
        <f>SUM(L74:L83)</f>
        <v>120773</v>
      </c>
      <c r="M84" s="284"/>
      <c r="N84" s="284">
        <f>SUM(N74:N83)</f>
        <v>105104</v>
      </c>
      <c r="O84" s="284"/>
      <c r="P84" s="284">
        <f>SUM(P74:P83)</f>
        <v>179640</v>
      </c>
      <c r="Q84" s="284"/>
      <c r="R84" s="284">
        <f>SUM(R74:R83)</f>
        <v>100261</v>
      </c>
      <c r="S84" s="284"/>
      <c r="T84" s="284">
        <f>SUM(T74:T83)</f>
        <v>60035</v>
      </c>
      <c r="U84" s="288"/>
      <c r="V84" s="288">
        <f>SUM(V74:V83)</f>
        <v>15035</v>
      </c>
      <c r="W84" s="288"/>
      <c r="X84" s="284">
        <f>SUM(X74:X83)</f>
        <v>1108592</v>
      </c>
      <c r="Y84" s="288"/>
      <c r="Z84" s="288">
        <f>SUM(Z74:Z83)</f>
        <v>855246</v>
      </c>
      <c r="AA84" s="288"/>
      <c r="AB84" s="302">
        <f>SUM(AB74:AB83)</f>
        <v>416135</v>
      </c>
      <c r="AC84" s="284"/>
      <c r="AD84" s="302">
        <f>SUM(AD74:AD83)</f>
        <v>1800866</v>
      </c>
      <c r="AE84" s="288"/>
      <c r="AF84" s="302">
        <f>SUM(AF74:AF83)</f>
        <v>576709</v>
      </c>
      <c r="AG84" s="288"/>
      <c r="AH84" s="302">
        <f>SUM(AH74:AH83)</f>
        <v>351804</v>
      </c>
      <c r="AI84" s="288"/>
      <c r="AJ84" s="302">
        <f>SUM(AJ74:AJ83)</f>
        <v>21016</v>
      </c>
      <c r="AK84" s="288"/>
      <c r="AL84" s="288">
        <v>294695</v>
      </c>
      <c r="AM84" s="288"/>
      <c r="AN84" s="302">
        <f>SUM(AN74:AN83)</f>
        <v>364507</v>
      </c>
      <c r="AO84" s="288"/>
      <c r="AP84" s="302">
        <f>SUM(AP74:AP83)</f>
        <v>1034930</v>
      </c>
      <c r="AQ84" s="262"/>
      <c r="AR84" s="302">
        <f>SUM(AR74:AR83)</f>
        <v>981700</v>
      </c>
      <c r="AS84" s="288"/>
      <c r="AT84" s="302">
        <f>SUM(AT74:AT83)</f>
        <v>399970</v>
      </c>
      <c r="AU84" s="288"/>
      <c r="AV84" s="302">
        <f>SUM(AV74:AV83)</f>
        <v>289056</v>
      </c>
      <c r="AW84" s="258"/>
      <c r="AX84" s="258">
        <f>SUM(AX74:AX83)</f>
        <v>581689</v>
      </c>
      <c r="AY84" s="258"/>
      <c r="AZ84" s="258">
        <f>SUM(AZ74:AZ83)</f>
        <v>606016</v>
      </c>
      <c r="BA84" s="265"/>
      <c r="BB84" s="258"/>
      <c r="BC84" s="258"/>
      <c r="BD84" s="258"/>
      <c r="BE84" s="258"/>
      <c r="BF84" s="284"/>
      <c r="BG84" s="284"/>
      <c r="BH84" s="284"/>
      <c r="BI84" s="263"/>
      <c r="BJ84" s="258"/>
      <c r="BK84" s="258">
        <f t="shared" si="58"/>
        <v>12696911</v>
      </c>
      <c r="BL84" s="172"/>
      <c r="BM84" s="13"/>
      <c r="BN84" s="231"/>
      <c r="BO84" s="231"/>
      <c r="BP84" s="231"/>
      <c r="BQ84" s="172"/>
      <c r="BR84" s="172"/>
      <c r="BS84" s="172"/>
      <c r="BT84" s="172"/>
      <c r="BU84" s="172"/>
      <c r="BV84" s="172"/>
      <c r="BW84" s="172"/>
      <c r="BX84" s="172"/>
      <c r="BY84" s="172"/>
      <c r="BZ84" s="172"/>
      <c r="CA84" s="172"/>
      <c r="CB84" s="172"/>
      <c r="CC84" s="172"/>
      <c r="CD84" s="172"/>
      <c r="CE84" s="172"/>
      <c r="CF84" s="172"/>
      <c r="CG84" s="172"/>
      <c r="CH84" s="172"/>
      <c r="CI84" s="172"/>
      <c r="CJ84" s="172"/>
      <c r="CK84" s="172"/>
      <c r="CL84" s="172"/>
      <c r="CM84" s="172"/>
      <c r="CN84" s="172"/>
      <c r="CO84" s="172"/>
      <c r="CP84" s="172"/>
      <c r="CQ84" s="172"/>
      <c r="CR84" s="172"/>
      <c r="CS84" s="172"/>
      <c r="CT84" s="172"/>
      <c r="CU84" s="172"/>
      <c r="CV84" s="172"/>
      <c r="CW84" s="172"/>
      <c r="CX84" s="172"/>
      <c r="CY84" s="172"/>
      <c r="CZ84" s="172"/>
      <c r="DA84" s="172"/>
      <c r="DB84" s="172"/>
      <c r="DC84" s="172"/>
      <c r="DD84" s="172"/>
      <c r="DE84" s="172"/>
      <c r="DF84" s="172"/>
      <c r="DG84" s="172"/>
      <c r="DH84" s="172"/>
      <c r="DI84" s="172"/>
      <c r="DJ84" s="172"/>
      <c r="DK84" s="172"/>
      <c r="DL84" s="172"/>
      <c r="DM84" s="172"/>
      <c r="DN84" s="172"/>
      <c r="DO84" s="172"/>
      <c r="DP84" s="172"/>
      <c r="DQ84" s="172"/>
      <c r="DR84" s="172"/>
      <c r="DS84" s="172"/>
      <c r="DT84" s="172"/>
      <c r="DU84" s="172"/>
      <c r="DV84" s="172"/>
      <c r="DW84" s="172"/>
      <c r="DX84" s="172"/>
      <c r="DY84" s="172"/>
      <c r="DZ84" s="172"/>
      <c r="EA84" s="172"/>
      <c r="EB84" s="172"/>
      <c r="EC84" s="172"/>
      <c r="ED84" s="172"/>
      <c r="EE84" s="172"/>
      <c r="EF84" s="172"/>
      <c r="EG84" s="172"/>
      <c r="EH84" s="172"/>
      <c r="EI84" s="172"/>
      <c r="EJ84" s="172"/>
      <c r="EK84" s="172"/>
      <c r="EL84" s="172"/>
      <c r="EM84" s="172"/>
      <c r="EN84" s="172"/>
      <c r="EO84" s="172"/>
      <c r="EP84" s="172"/>
      <c r="EQ84" s="172"/>
      <c r="ER84" s="172"/>
      <c r="ES84" s="172"/>
      <c r="ET84" s="172"/>
      <c r="EU84" s="172"/>
      <c r="EV84" s="172"/>
      <c r="EW84" s="172"/>
      <c r="EX84" s="172"/>
      <c r="EY84" s="172"/>
      <c r="EZ84" s="172"/>
      <c r="FA84" s="172"/>
      <c r="FB84" s="172"/>
      <c r="FC84" s="172"/>
      <c r="FD84" s="172"/>
      <c r="FE84" s="172"/>
      <c r="FF84" s="172"/>
      <c r="FG84" s="172"/>
      <c r="FH84" s="172"/>
      <c r="FI84" s="172"/>
      <c r="FJ84" s="172"/>
      <c r="FK84" s="172"/>
      <c r="FL84" s="172"/>
      <c r="FM84" s="172"/>
      <c r="FN84" s="172"/>
      <c r="FO84" s="172"/>
      <c r="FP84" s="172"/>
      <c r="FQ84" s="172"/>
      <c r="FR84" s="172"/>
      <c r="FS84" s="172"/>
      <c r="FT84" s="172"/>
      <c r="FU84" s="172"/>
      <c r="FV84" s="172"/>
      <c r="FW84" s="172"/>
      <c r="FX84" s="172"/>
      <c r="FY84" s="172"/>
      <c r="FZ84" s="172"/>
      <c r="GA84" s="172"/>
      <c r="GB84" s="172"/>
      <c r="GC84" s="172"/>
      <c r="GD84" s="172"/>
      <c r="GE84" s="172"/>
      <c r="GF84" s="172"/>
      <c r="GG84" s="172"/>
      <c r="GH84" s="172"/>
      <c r="GI84" s="172"/>
      <c r="GJ84" s="172"/>
      <c r="GK84" s="172"/>
      <c r="GL84" s="172"/>
      <c r="GM84" s="172"/>
      <c r="GN84" s="172"/>
      <c r="GO84" s="172"/>
      <c r="GP84" s="172"/>
      <c r="GQ84" s="172"/>
      <c r="GR84" s="172"/>
      <c r="GS84" s="172"/>
      <c r="GT84" s="172"/>
      <c r="GU84" s="172"/>
      <c r="GV84" s="172"/>
      <c r="GW84" s="172"/>
      <c r="GX84" s="172"/>
      <c r="GY84" s="172"/>
      <c r="GZ84" s="172"/>
      <c r="HA84" s="172"/>
      <c r="HB84" s="172"/>
      <c r="HC84" s="172"/>
      <c r="HD84" s="172"/>
      <c r="HE84" s="172"/>
      <c r="HF84" s="172"/>
      <c r="HG84" s="172"/>
      <c r="HH84" s="172"/>
      <c r="HI84" s="172"/>
      <c r="HJ84" s="172"/>
      <c r="HK84" s="172"/>
      <c r="HL84" s="172"/>
      <c r="HM84" s="172"/>
      <c r="HN84" s="172"/>
      <c r="HO84" s="172"/>
      <c r="HP84" s="172"/>
      <c r="HQ84" s="172"/>
      <c r="HR84" s="172"/>
      <c r="HS84" s="172"/>
      <c r="HT84" s="172"/>
      <c r="HU84" s="172"/>
      <c r="HV84" s="172"/>
      <c r="HW84" s="172"/>
      <c r="HX84" s="172"/>
      <c r="HY84" s="172"/>
      <c r="HZ84" s="172"/>
      <c r="IA84" s="172"/>
      <c r="IB84" s="172"/>
      <c r="IC84" s="172"/>
      <c r="ID84" s="172"/>
      <c r="IE84" s="172"/>
      <c r="IF84" s="172"/>
      <c r="IG84" s="172"/>
      <c r="IH84" s="172"/>
      <c r="II84" s="172"/>
      <c r="IJ84" s="172"/>
      <c r="IK84" s="172"/>
      <c r="IL84" s="172"/>
      <c r="IM84" s="172"/>
      <c r="IN84" s="172"/>
      <c r="IO84" s="172"/>
      <c r="IP84" s="172"/>
      <c r="IQ84" s="172"/>
      <c r="IR84" s="172"/>
      <c r="IS84" s="172"/>
      <c r="IT84" s="172"/>
      <c r="IU84" s="172"/>
      <c r="IV84" s="172"/>
      <c r="IW84" s="172"/>
      <c r="IX84" s="172"/>
      <c r="IY84" s="172"/>
      <c r="IZ84" s="172"/>
      <c r="JA84" s="172"/>
      <c r="JB84" s="172"/>
      <c r="JC84" s="172"/>
      <c r="JD84" s="172"/>
      <c r="JE84" s="172"/>
      <c r="JF84" s="172"/>
      <c r="JG84" s="172"/>
      <c r="JH84" s="172"/>
      <c r="JI84" s="172"/>
      <c r="JJ84" s="172"/>
      <c r="JK84" s="172"/>
      <c r="JL84" s="172"/>
      <c r="JM84" s="172"/>
      <c r="JN84" s="172"/>
      <c r="JO84" s="172"/>
      <c r="JP84" s="172"/>
      <c r="JQ84" s="172"/>
      <c r="JR84" s="172"/>
      <c r="JS84" s="172"/>
      <c r="JT84" s="172"/>
      <c r="JU84" s="172"/>
      <c r="JV84" s="172"/>
      <c r="JW84" s="172"/>
      <c r="JX84" s="172"/>
      <c r="JY84" s="172"/>
      <c r="JZ84" s="172"/>
      <c r="KA84" s="172"/>
      <c r="KB84" s="172"/>
      <c r="KC84" s="172"/>
      <c r="KD84" s="172"/>
      <c r="KE84" s="172"/>
      <c r="KF84" s="172"/>
      <c r="KG84" s="172"/>
      <c r="KH84" s="172"/>
      <c r="KI84" s="172"/>
      <c r="KJ84" s="172"/>
      <c r="KK84" s="172"/>
      <c r="KL84" s="172"/>
      <c r="KM84" s="172"/>
      <c r="KN84" s="172"/>
      <c r="KO84" s="172"/>
      <c r="KP84" s="172"/>
      <c r="KQ84" s="172"/>
      <c r="KR84" s="172"/>
      <c r="KS84" s="172"/>
      <c r="KT84" s="172"/>
      <c r="KU84" s="172"/>
      <c r="KV84" s="172"/>
      <c r="KW84" s="172"/>
      <c r="KX84" s="172"/>
      <c r="KY84" s="172"/>
      <c r="KZ84" s="172"/>
      <c r="LA84" s="172"/>
      <c r="LB84" s="172"/>
      <c r="LC84" s="172"/>
      <c r="LD84" s="172"/>
      <c r="LE84" s="172"/>
      <c r="LF84" s="172"/>
      <c r="LG84" s="172"/>
      <c r="LH84" s="172"/>
      <c r="LI84" s="172"/>
      <c r="LJ84" s="172"/>
      <c r="LK84" s="172"/>
      <c r="LL84" s="172"/>
      <c r="LM84" s="172"/>
      <c r="LN84" s="172"/>
      <c r="LO84" s="172"/>
      <c r="LP84" s="172"/>
      <c r="LQ84" s="172"/>
      <c r="LR84" s="172"/>
      <c r="LS84" s="172"/>
      <c r="LT84" s="172"/>
      <c r="LU84" s="172"/>
      <c r="LV84" s="172"/>
      <c r="LW84" s="172"/>
      <c r="LX84" s="172"/>
      <c r="LY84" s="172"/>
      <c r="LZ84" s="172"/>
      <c r="MA84" s="172"/>
      <c r="MB84" s="172"/>
      <c r="MC84" s="172"/>
      <c r="MD84" s="172"/>
      <c r="ME84" s="172"/>
      <c r="MF84" s="172"/>
      <c r="MG84" s="172"/>
      <c r="MH84" s="172"/>
      <c r="MI84" s="172"/>
      <c r="MJ84" s="172"/>
      <c r="MK84" s="172"/>
      <c r="ML84" s="172"/>
      <c r="MM84" s="172"/>
      <c r="MN84" s="172"/>
      <c r="MO84" s="172"/>
      <c r="MP84" s="172"/>
      <c r="MQ84" s="172"/>
      <c r="MR84" s="172"/>
      <c r="MS84" s="172"/>
      <c r="MT84" s="172"/>
      <c r="MU84" s="172"/>
      <c r="MV84" s="172"/>
      <c r="MW84" s="172"/>
      <c r="MX84" s="172"/>
      <c r="MY84" s="172"/>
      <c r="MZ84" s="172"/>
      <c r="NA84" s="172"/>
      <c r="NB84" s="172"/>
      <c r="NC84" s="172"/>
      <c r="ND84" s="172"/>
      <c r="NE84" s="172"/>
      <c r="NF84" s="172"/>
      <c r="NG84" s="172"/>
      <c r="NH84" s="172"/>
      <c r="NI84" s="172"/>
      <c r="NJ84" s="172"/>
      <c r="NK84" s="172"/>
      <c r="NL84" s="172"/>
      <c r="NM84" s="172"/>
      <c r="NN84" s="172"/>
      <c r="NO84" s="172"/>
      <c r="NP84" s="172"/>
      <c r="NQ84" s="172"/>
      <c r="NR84" s="172"/>
      <c r="NS84" s="172"/>
      <c r="NT84" s="172"/>
      <c r="NU84" s="172"/>
      <c r="NV84" s="172"/>
      <c r="NW84" s="172"/>
      <c r="NX84" s="172"/>
      <c r="NY84" s="172"/>
      <c r="NZ84" s="172"/>
      <c r="OA84" s="172"/>
      <c r="OB84" s="172"/>
      <c r="OC84" s="172"/>
      <c r="OD84" s="172"/>
      <c r="OE84" s="172"/>
      <c r="OF84" s="172"/>
      <c r="OG84" s="172"/>
      <c r="OH84" s="172"/>
      <c r="OI84" s="172"/>
      <c r="OJ84" s="172"/>
      <c r="OK84" s="172"/>
      <c r="OL84" s="172"/>
      <c r="OM84" s="172"/>
      <c r="ON84" s="172"/>
      <c r="OO84" s="172"/>
      <c r="OP84" s="172"/>
      <c r="OQ84" s="172"/>
      <c r="OR84" s="172"/>
      <c r="OS84" s="172"/>
      <c r="OT84" s="172"/>
      <c r="OU84" s="172"/>
      <c r="OV84" s="172"/>
      <c r="OW84" s="172"/>
      <c r="OX84" s="172"/>
      <c r="OY84" s="172"/>
      <c r="OZ84" s="172"/>
      <c r="PA84" s="172"/>
      <c r="PB84" s="172"/>
      <c r="PC84" s="172"/>
      <c r="PD84" s="172"/>
      <c r="PE84" s="172"/>
      <c r="PF84" s="172"/>
      <c r="PG84" s="172"/>
      <c r="PH84" s="172"/>
      <c r="PI84" s="172"/>
      <c r="PJ84" s="172"/>
      <c r="PK84" s="172"/>
      <c r="PL84" s="172"/>
      <c r="PM84" s="172"/>
      <c r="PN84" s="172"/>
      <c r="PO84" s="172"/>
      <c r="PP84" s="172"/>
      <c r="PQ84" s="172"/>
      <c r="PR84" s="172"/>
      <c r="PS84" s="172"/>
      <c r="PT84" s="172"/>
      <c r="PU84" s="172"/>
      <c r="PV84" s="172"/>
      <c r="PW84" s="172"/>
      <c r="PX84" s="172"/>
      <c r="PY84" s="172"/>
      <c r="PZ84" s="172"/>
      <c r="QA84" s="172"/>
      <c r="QB84" s="172"/>
      <c r="QC84" s="172"/>
      <c r="QD84" s="172"/>
      <c r="QE84" s="172"/>
      <c r="QF84" s="172"/>
      <c r="QG84" s="172"/>
      <c r="QH84" s="172"/>
      <c r="QI84" s="172"/>
      <c r="QJ84" s="172"/>
      <c r="QK84" s="172"/>
      <c r="QL84" s="172"/>
      <c r="QM84" s="172"/>
      <c r="QN84" s="172"/>
      <c r="QO84" s="172"/>
      <c r="QP84" s="172"/>
      <c r="QQ84" s="172"/>
      <c r="QR84" s="172"/>
      <c r="QS84" s="172"/>
      <c r="QT84" s="172"/>
      <c r="QU84" s="172"/>
      <c r="QV84" s="172"/>
      <c r="QW84" s="172"/>
      <c r="QX84" s="172"/>
      <c r="QY84" s="172"/>
      <c r="QZ84" s="172"/>
      <c r="RA84" s="172"/>
      <c r="RB84" s="172"/>
      <c r="RC84" s="172"/>
      <c r="RD84" s="172"/>
      <c r="RE84" s="172"/>
      <c r="RF84" s="172"/>
      <c r="RG84" s="172"/>
      <c r="RH84" s="172"/>
      <c r="RI84" s="172"/>
      <c r="RJ84" s="172"/>
      <c r="RK84" s="172"/>
      <c r="RL84" s="172"/>
      <c r="RM84" s="172"/>
      <c r="RN84" s="172"/>
      <c r="RO84" s="172"/>
      <c r="RP84" s="172"/>
      <c r="RQ84" s="172"/>
      <c r="RR84" s="172"/>
      <c r="RS84" s="172"/>
      <c r="RT84" s="172"/>
      <c r="RU84" s="172"/>
      <c r="RV84" s="172"/>
      <c r="RW84" s="172"/>
      <c r="RX84" s="172"/>
      <c r="RY84" s="172"/>
      <c r="RZ84" s="172"/>
      <c r="SA84" s="172"/>
      <c r="SB84" s="172"/>
      <c r="SC84" s="172"/>
      <c r="SD84" s="172"/>
      <c r="SE84" s="172"/>
      <c r="SF84" s="172"/>
      <c r="SG84" s="172"/>
      <c r="SH84" s="172"/>
      <c r="SI84" s="172"/>
      <c r="SJ84" s="172"/>
      <c r="SK84" s="172"/>
      <c r="SL84" s="172"/>
      <c r="SM84" s="172"/>
      <c r="SN84" s="172"/>
      <c r="SO84" s="172"/>
      <c r="SP84" s="172"/>
      <c r="SQ84" s="172"/>
      <c r="SR84" s="172"/>
      <c r="SS84" s="172"/>
      <c r="ST84" s="172"/>
      <c r="SU84" s="172"/>
      <c r="SV84" s="172"/>
      <c r="SW84" s="172"/>
      <c r="SX84" s="172"/>
      <c r="SY84" s="172"/>
      <c r="SZ84" s="172"/>
      <c r="TA84" s="172"/>
      <c r="TB84" s="172"/>
      <c r="TC84" s="172"/>
      <c r="TD84" s="172"/>
      <c r="TE84" s="172"/>
      <c r="TF84" s="172"/>
      <c r="TG84" s="172"/>
      <c r="TH84" s="172"/>
      <c r="TI84" s="172"/>
      <c r="TJ84" s="172"/>
      <c r="TK84" s="172"/>
      <c r="TL84" s="172"/>
      <c r="TM84" s="172"/>
      <c r="TN84" s="172"/>
      <c r="TO84" s="172"/>
      <c r="TP84" s="172"/>
      <c r="TQ84" s="172"/>
      <c r="TR84" s="172"/>
      <c r="TS84" s="172"/>
      <c r="TT84" s="172"/>
      <c r="TU84" s="172"/>
      <c r="TV84" s="172"/>
      <c r="TW84" s="172"/>
      <c r="TX84" s="172"/>
      <c r="TY84" s="172"/>
      <c r="TZ84" s="172"/>
      <c r="UA84" s="172"/>
      <c r="UB84" s="172"/>
      <c r="UC84" s="172"/>
      <c r="UD84" s="172"/>
      <c r="UE84" s="172"/>
      <c r="UF84" s="172"/>
      <c r="UG84" s="172"/>
      <c r="UH84" s="172"/>
      <c r="UI84" s="172"/>
      <c r="UJ84" s="172"/>
      <c r="UK84" s="172"/>
      <c r="UL84" s="172"/>
      <c r="UM84" s="172"/>
      <c r="UN84" s="172"/>
      <c r="UO84" s="172"/>
      <c r="UP84" s="172"/>
      <c r="UQ84" s="172"/>
      <c r="UR84" s="172"/>
      <c r="US84" s="172"/>
      <c r="UT84" s="172"/>
      <c r="UU84" s="172"/>
      <c r="UV84" s="172"/>
      <c r="UW84" s="172"/>
      <c r="UX84" s="172"/>
      <c r="UY84" s="172"/>
      <c r="UZ84" s="172"/>
      <c r="VA84" s="172"/>
      <c r="VB84" s="172"/>
      <c r="VC84" s="172"/>
      <c r="VD84" s="172"/>
      <c r="VE84" s="172"/>
      <c r="VF84" s="172"/>
      <c r="VG84" s="172"/>
      <c r="VH84" s="172"/>
      <c r="VI84" s="172"/>
      <c r="VJ84" s="172"/>
      <c r="VK84" s="172"/>
      <c r="VL84" s="172"/>
      <c r="VM84" s="172"/>
      <c r="VN84" s="172"/>
      <c r="VO84" s="172"/>
      <c r="VP84" s="172"/>
      <c r="VQ84" s="172"/>
      <c r="VR84" s="172"/>
      <c r="VS84" s="172"/>
      <c r="VT84" s="172"/>
      <c r="VU84" s="172"/>
      <c r="VV84" s="172"/>
      <c r="VW84" s="172"/>
      <c r="VX84" s="172"/>
      <c r="VY84" s="172"/>
      <c r="VZ84" s="172"/>
      <c r="WA84" s="172"/>
      <c r="WB84" s="172"/>
      <c r="WC84" s="172"/>
      <c r="WD84" s="172"/>
      <c r="WE84" s="172"/>
      <c r="WF84" s="172"/>
      <c r="WG84" s="172"/>
      <c r="WH84" s="172"/>
      <c r="WI84" s="172"/>
      <c r="WJ84" s="172"/>
      <c r="WK84" s="172"/>
      <c r="WL84" s="172"/>
      <c r="WM84" s="172"/>
      <c r="WN84" s="172"/>
      <c r="WO84" s="172"/>
      <c r="WP84" s="172"/>
      <c r="WQ84" s="172"/>
      <c r="WR84" s="172"/>
      <c r="WS84" s="172"/>
      <c r="WT84" s="172"/>
      <c r="WU84" s="172"/>
      <c r="WV84" s="172"/>
      <c r="WW84" s="172"/>
      <c r="WX84" s="172"/>
      <c r="WY84" s="172"/>
      <c r="WZ84" s="172"/>
      <c r="XA84" s="172"/>
      <c r="XB84" s="172"/>
      <c r="XC84" s="172"/>
      <c r="XD84" s="172"/>
      <c r="XE84" s="172"/>
      <c r="XF84" s="172"/>
      <c r="XG84" s="172"/>
      <c r="XH84" s="172"/>
      <c r="XI84" s="172"/>
      <c r="XJ84" s="172"/>
      <c r="XK84" s="172"/>
      <c r="XL84" s="172"/>
      <c r="XM84" s="172"/>
      <c r="XN84" s="172"/>
      <c r="XO84" s="172"/>
      <c r="XP84" s="172"/>
      <c r="XQ84" s="172"/>
      <c r="XR84" s="172"/>
      <c r="XS84" s="172"/>
      <c r="XT84" s="172"/>
      <c r="XU84" s="172"/>
      <c r="XV84" s="172"/>
      <c r="XW84" s="172"/>
      <c r="XX84" s="172"/>
      <c r="XY84" s="172"/>
      <c r="XZ84" s="172"/>
      <c r="YA84" s="172"/>
      <c r="YB84" s="172"/>
      <c r="YC84" s="172"/>
      <c r="YD84" s="172"/>
      <c r="YE84" s="172"/>
      <c r="YF84" s="172"/>
      <c r="YG84" s="172"/>
      <c r="YH84" s="172"/>
      <c r="YI84" s="172"/>
      <c r="YJ84" s="172"/>
      <c r="YK84" s="172"/>
      <c r="YL84" s="172"/>
      <c r="YM84" s="172"/>
      <c r="YN84" s="172"/>
      <c r="YO84" s="172"/>
      <c r="YP84" s="172"/>
      <c r="YQ84" s="172"/>
      <c r="YR84" s="172"/>
      <c r="YS84" s="172"/>
      <c r="YT84" s="172"/>
      <c r="YU84" s="172"/>
      <c r="YV84" s="172"/>
      <c r="YW84" s="172"/>
      <c r="YX84" s="172"/>
      <c r="YY84" s="172"/>
      <c r="YZ84" s="172"/>
      <c r="ZA84" s="172"/>
      <c r="ZB84" s="172"/>
      <c r="ZC84" s="172"/>
      <c r="ZD84" s="172"/>
      <c r="ZE84" s="172"/>
      <c r="ZF84" s="172"/>
      <c r="ZG84" s="172"/>
      <c r="ZH84" s="172"/>
      <c r="ZI84" s="172"/>
      <c r="ZJ84" s="172"/>
      <c r="ZK84" s="172"/>
      <c r="ZL84" s="172"/>
      <c r="ZM84" s="172"/>
      <c r="ZN84" s="172"/>
      <c r="ZO84" s="172"/>
      <c r="ZP84" s="172"/>
      <c r="ZQ84" s="172"/>
      <c r="ZR84" s="172"/>
      <c r="ZS84" s="172"/>
      <c r="ZT84" s="172"/>
      <c r="ZU84" s="172"/>
      <c r="ZV84" s="172"/>
      <c r="ZW84" s="172"/>
      <c r="ZX84" s="172"/>
      <c r="ZY84" s="172"/>
      <c r="ZZ84" s="172"/>
      <c r="AAA84" s="172"/>
      <c r="AAB84" s="172"/>
      <c r="AAC84" s="172"/>
      <c r="AAD84" s="172"/>
      <c r="AAE84" s="172"/>
      <c r="AAF84" s="172"/>
      <c r="AAG84" s="172"/>
      <c r="AAH84" s="172"/>
      <c r="AAI84" s="172"/>
      <c r="AAJ84" s="172"/>
      <c r="AAK84" s="172"/>
      <c r="AAL84" s="172"/>
      <c r="AAM84" s="172"/>
      <c r="AAN84" s="172"/>
      <c r="AAO84" s="172"/>
      <c r="AAP84" s="172"/>
      <c r="AAQ84" s="172"/>
      <c r="AAR84" s="172"/>
      <c r="AAS84" s="172"/>
      <c r="AAT84" s="172"/>
      <c r="AAU84" s="172"/>
      <c r="AAV84" s="172"/>
      <c r="AAW84" s="172"/>
      <c r="AAX84" s="172"/>
      <c r="AAY84" s="172"/>
      <c r="AAZ84" s="172"/>
      <c r="ABA84" s="172"/>
      <c r="ABB84" s="172"/>
      <c r="ABC84" s="172"/>
      <c r="ABD84" s="172"/>
      <c r="ABE84" s="172"/>
      <c r="ABF84" s="172"/>
      <c r="ABG84" s="172"/>
      <c r="ABH84" s="172"/>
      <c r="ABI84" s="172"/>
      <c r="ABJ84" s="172"/>
      <c r="ABK84" s="172"/>
      <c r="ABL84" s="172"/>
      <c r="ABM84" s="172"/>
      <c r="ABN84" s="172"/>
      <c r="ABO84" s="172"/>
      <c r="ABP84" s="172"/>
      <c r="ABQ84" s="172"/>
      <c r="ABR84" s="172"/>
      <c r="ABS84" s="172"/>
      <c r="ABT84" s="172"/>
      <c r="ABU84" s="172"/>
      <c r="ABV84" s="172"/>
      <c r="ABW84" s="172"/>
      <c r="ABX84" s="172"/>
      <c r="ABY84" s="172"/>
      <c r="ABZ84" s="172"/>
      <c r="ACA84" s="172"/>
      <c r="ACB84" s="172"/>
      <c r="ACC84" s="172"/>
      <c r="ACD84" s="172"/>
      <c r="ACE84" s="172"/>
      <c r="ACF84" s="172"/>
      <c r="ACG84" s="172"/>
      <c r="ACH84" s="172"/>
      <c r="ACI84" s="172"/>
      <c r="ACJ84" s="172"/>
      <c r="ACK84" s="172"/>
      <c r="ACL84" s="172"/>
      <c r="ACM84" s="172"/>
      <c r="ACN84" s="172"/>
      <c r="ACO84" s="172"/>
      <c r="ACP84" s="172"/>
      <c r="ACQ84" s="172"/>
      <c r="ACR84" s="172"/>
      <c r="ACS84" s="172"/>
      <c r="ACT84" s="172"/>
      <c r="ACU84" s="172"/>
      <c r="ACV84" s="172"/>
      <c r="ACW84" s="172"/>
      <c r="ACX84" s="172"/>
      <c r="ACY84" s="172"/>
      <c r="ACZ84" s="172"/>
      <c r="ADA84" s="172"/>
      <c r="ADB84" s="172"/>
      <c r="ADC84" s="172"/>
      <c r="ADD84" s="172"/>
      <c r="ADE84" s="172"/>
      <c r="ADF84" s="172"/>
      <c r="ADG84" s="172"/>
      <c r="ADH84" s="172"/>
      <c r="ADI84" s="172"/>
      <c r="ADJ84" s="172"/>
      <c r="ADK84" s="172"/>
      <c r="ADL84" s="172"/>
      <c r="ADM84" s="172"/>
      <c r="ADN84" s="172"/>
      <c r="ADO84" s="172"/>
      <c r="ADP84" s="172"/>
      <c r="ADQ84" s="172"/>
      <c r="ADR84" s="172"/>
      <c r="ADS84" s="172"/>
      <c r="ADT84" s="172"/>
      <c r="ADU84" s="172"/>
      <c r="ADV84" s="172"/>
      <c r="ADW84" s="172"/>
      <c r="ADX84" s="172"/>
      <c r="ADY84" s="172"/>
      <c r="ADZ84" s="172"/>
      <c r="AEA84" s="172"/>
      <c r="AEB84" s="172"/>
      <c r="AEC84" s="172"/>
      <c r="AED84" s="172"/>
      <c r="AEE84" s="172"/>
      <c r="AEF84" s="172"/>
      <c r="AEG84" s="172"/>
      <c r="AEH84" s="172"/>
      <c r="AEI84" s="172"/>
      <c r="AEJ84" s="172"/>
      <c r="AEK84" s="172"/>
      <c r="AEL84" s="172"/>
      <c r="AEM84" s="172"/>
      <c r="AEN84" s="172"/>
      <c r="AEO84" s="172"/>
      <c r="AEP84" s="172"/>
      <c r="AEQ84" s="172"/>
      <c r="AER84" s="172"/>
      <c r="AES84" s="172"/>
      <c r="AET84" s="172"/>
      <c r="AEU84" s="172"/>
      <c r="AEV84" s="172"/>
      <c r="AEW84" s="172"/>
      <c r="AEX84" s="172"/>
      <c r="AEY84" s="172"/>
      <c r="AEZ84" s="172"/>
      <c r="AFA84" s="172"/>
      <c r="AFB84" s="172"/>
      <c r="AFC84" s="172"/>
      <c r="AFD84" s="172"/>
      <c r="AFE84" s="172"/>
      <c r="AFF84" s="172"/>
      <c r="AFG84" s="172"/>
      <c r="AFH84" s="172"/>
      <c r="AFI84" s="172"/>
      <c r="AFJ84" s="172"/>
      <c r="AFK84" s="172"/>
      <c r="AFL84" s="172"/>
      <c r="AFM84" s="172"/>
      <c r="AFN84" s="172"/>
      <c r="AFO84" s="172"/>
      <c r="AFP84" s="172"/>
      <c r="AFQ84" s="172"/>
      <c r="AFR84" s="172"/>
      <c r="AFS84" s="172"/>
      <c r="AFT84" s="172"/>
      <c r="AFU84" s="172"/>
      <c r="AFV84" s="172"/>
      <c r="AFW84" s="172"/>
      <c r="AFX84" s="172"/>
      <c r="AFY84" s="172"/>
      <c r="AFZ84" s="172"/>
      <c r="AGA84" s="172"/>
      <c r="AGB84" s="172"/>
      <c r="AGC84" s="172"/>
      <c r="AGD84" s="172"/>
      <c r="AGE84" s="172"/>
      <c r="AGF84" s="172"/>
      <c r="AGG84" s="172"/>
      <c r="AGH84" s="172"/>
      <c r="AGI84" s="172"/>
      <c r="AGJ84" s="172"/>
      <c r="AGK84" s="172"/>
      <c r="AGL84" s="172"/>
      <c r="AGM84" s="172"/>
      <c r="AGN84" s="172"/>
      <c r="AGO84" s="172"/>
      <c r="AGP84" s="172"/>
      <c r="AGQ84" s="172"/>
      <c r="AGR84" s="172"/>
      <c r="AGS84" s="172"/>
      <c r="AGT84" s="172"/>
      <c r="AGU84" s="172"/>
      <c r="AGV84" s="172"/>
      <c r="AGW84" s="172"/>
      <c r="AGX84" s="172"/>
      <c r="AGY84" s="172"/>
      <c r="AGZ84" s="172"/>
      <c r="AHA84" s="172"/>
      <c r="AHB84" s="172"/>
      <c r="AHC84" s="172"/>
      <c r="AHD84" s="172"/>
      <c r="AHE84" s="172"/>
      <c r="AHF84" s="172"/>
      <c r="AHG84" s="172"/>
      <c r="AHH84" s="172"/>
      <c r="AHI84" s="172"/>
      <c r="AHJ84" s="172"/>
      <c r="AHK84" s="172"/>
      <c r="AHL84" s="172"/>
      <c r="AHM84" s="172"/>
      <c r="AHN84" s="172"/>
      <c r="AHO84" s="172"/>
      <c r="AHP84" s="172"/>
      <c r="AHQ84" s="172"/>
      <c r="AHR84" s="172"/>
      <c r="AHS84" s="172"/>
      <c r="AHT84" s="172"/>
      <c r="AHU84" s="172"/>
      <c r="AHV84" s="172"/>
      <c r="AHW84" s="172"/>
      <c r="AHX84" s="172"/>
      <c r="AHY84" s="172"/>
      <c r="AHZ84" s="172"/>
      <c r="AIA84" s="172"/>
      <c r="AIB84" s="172"/>
      <c r="AIC84" s="172"/>
      <c r="AID84" s="172"/>
      <c r="AIE84" s="172"/>
      <c r="AIF84" s="172"/>
      <c r="AIG84" s="172"/>
      <c r="AIH84" s="172"/>
      <c r="AII84" s="172"/>
      <c r="AIJ84" s="172"/>
      <c r="AIK84" s="172"/>
      <c r="AIL84" s="172"/>
      <c r="AIM84" s="172"/>
      <c r="AIN84" s="172"/>
      <c r="AIO84" s="172"/>
      <c r="AIP84" s="172"/>
      <c r="AIQ84" s="172"/>
      <c r="AIR84" s="172"/>
      <c r="AIS84" s="172"/>
      <c r="AIT84" s="172"/>
      <c r="AIU84" s="172"/>
      <c r="AIV84" s="172"/>
      <c r="AIW84" s="172"/>
      <c r="AIX84" s="172"/>
      <c r="AIY84" s="172"/>
      <c r="AIZ84" s="172"/>
      <c r="AJA84" s="172"/>
      <c r="AJB84" s="172"/>
      <c r="AJC84" s="172"/>
      <c r="AJD84" s="172"/>
      <c r="AJE84" s="172"/>
      <c r="AJF84" s="172"/>
      <c r="AJG84" s="172"/>
      <c r="AJH84" s="172"/>
      <c r="AJI84" s="172"/>
      <c r="AJJ84" s="172"/>
      <c r="AJK84" s="172"/>
      <c r="AJL84" s="172"/>
      <c r="AJM84" s="172"/>
      <c r="AJN84" s="172"/>
      <c r="AJO84" s="172"/>
      <c r="AJP84" s="172"/>
      <c r="AJQ84" s="172"/>
      <c r="AJR84" s="172"/>
      <c r="AJS84" s="172"/>
      <c r="AJT84" s="172"/>
      <c r="AJU84" s="172"/>
      <c r="AJV84" s="172"/>
      <c r="AJW84" s="172"/>
      <c r="AJX84" s="172"/>
      <c r="AJY84" s="172"/>
      <c r="AJZ84" s="172"/>
      <c r="AKA84" s="172"/>
      <c r="AKB84" s="172"/>
      <c r="AKC84" s="172"/>
      <c r="AKD84" s="172"/>
      <c r="AKE84" s="172"/>
      <c r="AKF84" s="172"/>
      <c r="AKG84" s="172"/>
      <c r="AKH84" s="172"/>
      <c r="AKI84" s="172"/>
      <c r="AKJ84" s="172"/>
      <c r="AKK84" s="172"/>
      <c r="AKL84" s="172"/>
      <c r="AKM84" s="172"/>
      <c r="AKN84" s="172"/>
      <c r="AKO84" s="172"/>
      <c r="AKP84" s="172"/>
      <c r="AKQ84" s="172"/>
      <c r="AKR84" s="172"/>
      <c r="AKS84" s="172"/>
      <c r="AKT84" s="172"/>
      <c r="AKU84" s="172"/>
      <c r="AKV84" s="172"/>
      <c r="AKW84" s="172"/>
      <c r="AKX84" s="172"/>
      <c r="AKY84" s="172"/>
      <c r="AKZ84" s="172"/>
      <c r="ALA84" s="172"/>
      <c r="ALB84" s="172"/>
      <c r="ALC84" s="172"/>
      <c r="ALD84" s="172"/>
      <c r="ALE84" s="172"/>
      <c r="ALF84" s="172"/>
      <c r="ALG84" s="172"/>
      <c r="ALH84" s="172"/>
      <c r="ALI84" s="172"/>
      <c r="ALJ84" s="172"/>
      <c r="ALK84" s="172"/>
      <c r="ALL84" s="172"/>
      <c r="ALM84" s="172"/>
      <c r="ALN84" s="172"/>
      <c r="ALO84" s="172"/>
      <c r="ALP84" s="172"/>
      <c r="ALQ84" s="172"/>
      <c r="ALR84" s="172"/>
      <c r="ALS84" s="172"/>
      <c r="ALT84" s="172"/>
      <c r="ALU84" s="172"/>
      <c r="ALV84" s="172"/>
      <c r="ALW84" s="172"/>
      <c r="ALX84" s="172"/>
      <c r="ALY84" s="172"/>
      <c r="ALZ84" s="172"/>
      <c r="AMA84" s="172"/>
      <c r="AMB84" s="172"/>
      <c r="AMC84" s="172"/>
      <c r="AMD84" s="172"/>
      <c r="AME84" s="172"/>
      <c r="AMF84" s="172"/>
      <c r="AMG84" s="172"/>
      <c r="AMH84" s="172"/>
      <c r="AMI84" s="172"/>
      <c r="AMJ84" s="172"/>
      <c r="AMK84" s="172"/>
      <c r="AML84" s="172"/>
      <c r="AMM84" s="172"/>
      <c r="AMN84" s="172"/>
      <c r="AMO84" s="172"/>
      <c r="AMP84" s="172"/>
      <c r="AMQ84" s="172"/>
      <c r="AMR84" s="172"/>
      <c r="AMS84" s="172"/>
      <c r="AMT84" s="172"/>
      <c r="AMU84" s="172"/>
      <c r="AMV84" s="172"/>
      <c r="AMW84" s="172"/>
      <c r="AMX84" s="172"/>
      <c r="AMY84" s="172"/>
      <c r="AMZ84" s="172"/>
      <c r="ANA84" s="172"/>
      <c r="ANB84" s="172"/>
      <c r="ANC84" s="172"/>
      <c r="AND84" s="172"/>
      <c r="ANE84" s="172"/>
      <c r="ANF84" s="172"/>
      <c r="ANG84" s="172"/>
      <c r="ANH84" s="172"/>
      <c r="ANI84" s="172"/>
      <c r="ANJ84" s="172"/>
      <c r="ANK84" s="172"/>
      <c r="ANL84" s="172"/>
      <c r="ANM84" s="172"/>
      <c r="ANN84" s="172"/>
      <c r="ANO84" s="172"/>
      <c r="ANP84" s="172"/>
      <c r="ANQ84" s="172"/>
      <c r="ANR84" s="172"/>
      <c r="ANS84" s="172"/>
      <c r="ANT84" s="172"/>
      <c r="ANU84" s="172"/>
      <c r="ANV84" s="172"/>
      <c r="ANW84" s="172"/>
      <c r="ANX84" s="172"/>
      <c r="ANY84" s="172"/>
      <c r="ANZ84" s="172"/>
      <c r="AOA84" s="172"/>
      <c r="AOB84" s="172"/>
      <c r="AOC84" s="172"/>
      <c r="AOD84" s="172"/>
      <c r="AOE84" s="172"/>
      <c r="AOF84" s="172"/>
      <c r="AOG84" s="172"/>
      <c r="AOH84" s="172"/>
      <c r="AOI84" s="172"/>
      <c r="AOJ84" s="172"/>
      <c r="AOK84" s="172"/>
      <c r="AOL84" s="172"/>
      <c r="AOM84" s="172"/>
      <c r="AON84" s="172"/>
      <c r="AOO84" s="172"/>
      <c r="AOP84" s="172"/>
      <c r="AOQ84" s="172"/>
      <c r="AOR84" s="172"/>
      <c r="AOS84" s="172"/>
      <c r="AOT84" s="172"/>
      <c r="AOU84" s="172"/>
      <c r="AOV84" s="172"/>
      <c r="AOW84" s="172"/>
      <c r="AOX84" s="172"/>
      <c r="AOY84" s="172"/>
      <c r="AOZ84" s="172"/>
      <c r="APA84" s="172"/>
      <c r="APB84" s="172"/>
      <c r="APC84" s="172"/>
      <c r="APD84" s="172"/>
      <c r="APE84" s="172"/>
      <c r="APF84" s="172"/>
      <c r="APG84" s="172"/>
      <c r="APH84" s="172"/>
      <c r="API84" s="172"/>
      <c r="APJ84" s="172"/>
      <c r="APK84" s="172"/>
      <c r="APL84" s="172"/>
      <c r="APM84" s="172"/>
      <c r="APN84" s="172"/>
      <c r="APO84" s="172"/>
      <c r="APP84" s="172"/>
      <c r="APQ84" s="172"/>
      <c r="APR84" s="172"/>
      <c r="APS84" s="172"/>
      <c r="APT84" s="172"/>
      <c r="APU84" s="172"/>
      <c r="APV84" s="172"/>
      <c r="APW84" s="172"/>
      <c r="APX84" s="172"/>
      <c r="APY84" s="172"/>
      <c r="APZ84" s="172"/>
      <c r="AQA84" s="172"/>
      <c r="AQB84" s="172"/>
      <c r="AQC84" s="172"/>
      <c r="AQD84" s="172"/>
      <c r="AQE84" s="172"/>
      <c r="AQF84" s="172"/>
      <c r="AQG84" s="172"/>
      <c r="AQH84" s="172"/>
      <c r="AQI84" s="172"/>
      <c r="AQJ84" s="172"/>
      <c r="AQK84" s="172"/>
      <c r="AQL84" s="172"/>
      <c r="AQM84" s="172"/>
      <c r="AQN84" s="172"/>
      <c r="AQO84" s="172"/>
      <c r="AQP84" s="172"/>
      <c r="AQQ84" s="172"/>
      <c r="AQR84" s="172"/>
      <c r="AQS84" s="172"/>
      <c r="AQT84" s="172"/>
      <c r="AQU84" s="172"/>
      <c r="AQV84" s="172"/>
      <c r="AQW84" s="172"/>
      <c r="AQX84" s="172"/>
      <c r="AQY84" s="172"/>
      <c r="AQZ84" s="172"/>
      <c r="ARA84" s="172"/>
      <c r="ARB84" s="172"/>
      <c r="ARC84" s="172"/>
      <c r="ARD84" s="172"/>
      <c r="ARE84" s="172"/>
      <c r="ARF84" s="172"/>
      <c r="ARG84" s="172"/>
      <c r="ARH84" s="172"/>
      <c r="ARI84" s="172"/>
      <c r="ARJ84" s="172"/>
      <c r="ARK84" s="172"/>
      <c r="ARL84" s="172"/>
      <c r="ARM84" s="172"/>
      <c r="ARN84" s="172"/>
      <c r="ARO84" s="172"/>
      <c r="ARP84" s="172"/>
      <c r="ARQ84" s="172"/>
      <c r="ARR84" s="172"/>
      <c r="ARS84" s="172"/>
      <c r="ART84" s="172"/>
      <c r="ARU84" s="172"/>
    </row>
    <row r="85" spans="1:1165">
      <c r="A85" s="220"/>
      <c r="B85" s="215"/>
      <c r="C85" s="284"/>
      <c r="D85" s="284"/>
      <c r="E85" s="284"/>
      <c r="F85" s="284"/>
      <c r="G85" s="284"/>
      <c r="H85" s="284"/>
      <c r="I85" s="284"/>
      <c r="J85" s="284"/>
      <c r="K85" s="284"/>
      <c r="L85" s="284"/>
      <c r="M85" s="284"/>
      <c r="N85" s="284"/>
      <c r="O85" s="284"/>
      <c r="P85" s="284"/>
      <c r="Q85" s="284"/>
      <c r="R85" s="284"/>
      <c r="S85" s="284"/>
      <c r="T85" s="284"/>
      <c r="U85" s="288"/>
      <c r="V85" s="288"/>
      <c r="W85" s="227"/>
      <c r="X85" s="227"/>
      <c r="Y85" s="288"/>
      <c r="Z85" s="284"/>
      <c r="AA85" s="288"/>
      <c r="AB85" s="288"/>
      <c r="AC85" s="258"/>
      <c r="AD85" s="258"/>
      <c r="AE85" s="288"/>
      <c r="AF85" s="288"/>
      <c r="AG85" s="288"/>
      <c r="AH85" s="288"/>
      <c r="AI85" s="288"/>
      <c r="AJ85" s="288"/>
      <c r="AK85" s="288"/>
      <c r="AL85" s="288"/>
      <c r="AM85" s="288"/>
      <c r="AN85" s="288"/>
      <c r="AO85" s="288"/>
      <c r="AP85" s="288"/>
      <c r="AQ85" s="262"/>
      <c r="AR85" s="262"/>
      <c r="AS85" s="288"/>
      <c r="AT85" s="288"/>
      <c r="AU85" s="288"/>
      <c r="AV85" s="302"/>
      <c r="AW85" s="256"/>
      <c r="AX85" s="256"/>
      <c r="AY85" s="255"/>
      <c r="AZ85" s="255"/>
      <c r="BA85" s="262"/>
      <c r="BB85" s="256"/>
      <c r="BC85" s="256"/>
      <c r="BD85" s="256"/>
      <c r="BE85" s="256"/>
      <c r="BF85" s="256"/>
      <c r="BG85" s="256"/>
      <c r="BH85" s="256"/>
      <c r="BI85" s="262"/>
      <c r="BJ85" s="256"/>
      <c r="BK85" s="256"/>
      <c r="BL85" s="172"/>
      <c r="BM85" s="13"/>
      <c r="BO85" s="231"/>
      <c r="BP85" s="231"/>
    </row>
    <row r="86" spans="1:1165">
      <c r="A86" s="204" t="s">
        <v>212</v>
      </c>
      <c r="B86" s="139"/>
      <c r="C86" s="281"/>
      <c r="D86" s="281"/>
      <c r="E86" s="219"/>
      <c r="F86" s="219"/>
      <c r="G86" s="219"/>
      <c r="H86" s="219"/>
      <c r="I86" s="219"/>
      <c r="J86" s="219"/>
      <c r="K86" s="219"/>
      <c r="L86" s="219"/>
      <c r="M86" s="219"/>
      <c r="N86" s="219"/>
      <c r="O86" s="219"/>
      <c r="P86" s="219"/>
      <c r="Q86" s="219"/>
      <c r="R86" s="219"/>
      <c r="S86" s="219"/>
      <c r="T86" s="219"/>
      <c r="U86" s="200"/>
      <c r="V86" s="200"/>
      <c r="W86" s="269"/>
      <c r="X86" s="269"/>
      <c r="Y86" s="200"/>
      <c r="Z86" s="200"/>
      <c r="AA86" s="200"/>
      <c r="AB86" s="200"/>
      <c r="AC86" s="208"/>
      <c r="AD86" s="208"/>
      <c r="AE86" s="200"/>
      <c r="AF86" s="200"/>
      <c r="AG86" s="200"/>
      <c r="AH86" s="200"/>
      <c r="AI86" s="200"/>
      <c r="AJ86" s="200"/>
      <c r="AK86" s="200"/>
      <c r="AL86" s="200"/>
      <c r="AM86" s="200"/>
      <c r="AN86" s="200"/>
      <c r="AO86" s="200"/>
      <c r="AP86" s="200"/>
      <c r="AQ86" s="200"/>
      <c r="AR86" s="200"/>
      <c r="AS86" s="200"/>
      <c r="AT86" s="200"/>
      <c r="AU86" s="200"/>
      <c r="AV86" s="200"/>
      <c r="AW86" s="249"/>
      <c r="AX86" s="249"/>
      <c r="AY86" s="248"/>
      <c r="AZ86" s="248"/>
      <c r="BA86" s="283"/>
      <c r="BB86" s="249"/>
      <c r="BC86" s="249"/>
      <c r="BD86" s="249"/>
      <c r="BE86" s="249"/>
      <c r="BF86" s="249"/>
      <c r="BG86" s="249"/>
      <c r="BH86" s="249"/>
      <c r="BI86" s="283"/>
      <c r="BJ86" s="249"/>
      <c r="BK86" s="249"/>
      <c r="BL86" s="172"/>
      <c r="BM86" s="13"/>
      <c r="BN86" s="231"/>
      <c r="BO86" s="231"/>
      <c r="BP86" s="231"/>
    </row>
    <row r="87" spans="1:1165">
      <c r="A87" s="206" t="s">
        <v>577</v>
      </c>
      <c r="B87" s="207" t="s">
        <v>160</v>
      </c>
      <c r="C87" s="268">
        <v>16257</v>
      </c>
      <c r="D87" s="268">
        <v>4800</v>
      </c>
      <c r="E87" s="208">
        <v>0</v>
      </c>
      <c r="F87" s="208">
        <v>0</v>
      </c>
      <c r="G87" s="208">
        <v>0</v>
      </c>
      <c r="H87" s="208">
        <v>0</v>
      </c>
      <c r="I87" s="208">
        <v>0</v>
      </c>
      <c r="J87" s="208">
        <v>0</v>
      </c>
      <c r="K87" s="208">
        <v>0</v>
      </c>
      <c r="L87" s="208">
        <v>0</v>
      </c>
      <c r="M87" s="208">
        <v>0</v>
      </c>
      <c r="N87" s="208">
        <v>0</v>
      </c>
      <c r="O87" s="208">
        <v>0</v>
      </c>
      <c r="P87" s="208">
        <v>0</v>
      </c>
      <c r="Q87" s="208">
        <v>0</v>
      </c>
      <c r="R87" s="208">
        <v>0</v>
      </c>
      <c r="S87" s="208">
        <v>0</v>
      </c>
      <c r="T87" s="208">
        <v>0</v>
      </c>
      <c r="U87" s="208">
        <v>0</v>
      </c>
      <c r="V87" s="208">
        <v>0</v>
      </c>
      <c r="W87" s="208">
        <v>0</v>
      </c>
      <c r="X87" s="208">
        <v>0</v>
      </c>
      <c r="Y87" s="208">
        <v>0</v>
      </c>
      <c r="Z87" s="208">
        <v>0</v>
      </c>
      <c r="AA87" s="208">
        <v>0</v>
      </c>
      <c r="AB87" s="208">
        <v>0</v>
      </c>
      <c r="AC87" s="208">
        <v>10260</v>
      </c>
      <c r="AD87" s="208">
        <v>11286</v>
      </c>
      <c r="AE87" s="200">
        <v>41360</v>
      </c>
      <c r="AF87" s="200">
        <v>27467</v>
      </c>
      <c r="AG87" s="200">
        <v>10280</v>
      </c>
      <c r="AH87" s="200">
        <v>9132</v>
      </c>
      <c r="AI87" s="200">
        <v>7100</v>
      </c>
      <c r="AJ87" s="200">
        <v>5680</v>
      </c>
      <c r="AK87" s="230">
        <v>0</v>
      </c>
      <c r="AL87" s="200">
        <v>0</v>
      </c>
      <c r="AM87" s="273">
        <v>5149</v>
      </c>
      <c r="AN87" s="273">
        <v>3089</v>
      </c>
      <c r="AO87" s="200">
        <v>0</v>
      </c>
      <c r="AP87" s="200">
        <v>0</v>
      </c>
      <c r="AQ87" s="200">
        <v>0</v>
      </c>
      <c r="AR87" s="200">
        <v>0</v>
      </c>
      <c r="AS87" s="200">
        <v>7186</v>
      </c>
      <c r="AT87" s="200">
        <v>4312</v>
      </c>
      <c r="AU87" s="230">
        <v>0</v>
      </c>
      <c r="AV87" s="230">
        <v>0</v>
      </c>
      <c r="AW87" s="249"/>
      <c r="AX87" s="249"/>
      <c r="AY87" s="248"/>
      <c r="AZ87" s="248"/>
      <c r="BA87" s="283"/>
      <c r="BB87" s="249"/>
      <c r="BC87" s="249"/>
      <c r="BD87" s="249"/>
      <c r="BE87" s="249"/>
      <c r="BF87" s="249"/>
      <c r="BG87" s="249"/>
      <c r="BH87" s="249"/>
      <c r="BI87" s="283"/>
      <c r="BJ87" s="219">
        <f t="shared" ref="BJ87:BJ107" si="59">C87+G87+I87+K87+M87+O87+Q87+S87+U87+W87+Y87+AA87+AC87+AE87+AG87+AI87+AK87+AM87+AO87+AQ87+AS87+AU87+AW87+AY87+BB87+BF87</f>
        <v>97592</v>
      </c>
      <c r="BK87" s="219">
        <f t="shared" ref="BK87:BK107" si="60">D87+H87+J87+L87+N87+P87+R87+T87+V87+X87+Z87+AB87+AD87+AF87+AH87+AJ87+AL87+AN87+AP87+AR87+AT87+AV87+AX87+AZ87</f>
        <v>65766</v>
      </c>
      <c r="BL87" s="172"/>
      <c r="BM87" s="13"/>
      <c r="BN87" s="231"/>
      <c r="BO87" s="231"/>
      <c r="BP87" s="231"/>
    </row>
    <row r="88" spans="1:1165">
      <c r="A88" s="206" t="s">
        <v>213</v>
      </c>
      <c r="B88" s="207" t="s">
        <v>160</v>
      </c>
      <c r="C88" s="268">
        <v>29990</v>
      </c>
      <c r="D88" s="268">
        <v>36495</v>
      </c>
      <c r="E88" s="208">
        <v>1269</v>
      </c>
      <c r="F88" s="208">
        <v>6247</v>
      </c>
      <c r="G88" s="208">
        <v>898</v>
      </c>
      <c r="H88" s="208">
        <v>4490</v>
      </c>
      <c r="I88" s="208">
        <v>5456</v>
      </c>
      <c r="J88" s="208">
        <v>38963</v>
      </c>
      <c r="K88" s="208">
        <v>15463</v>
      </c>
      <c r="L88" s="208">
        <v>73751</v>
      </c>
      <c r="M88" s="208">
        <v>13676</v>
      </c>
      <c r="N88" s="208">
        <v>60193</v>
      </c>
      <c r="O88" s="208">
        <v>59896</v>
      </c>
      <c r="P88" s="208">
        <v>90368</v>
      </c>
      <c r="Q88" s="208">
        <v>8988</v>
      </c>
      <c r="R88" s="208">
        <v>50716</v>
      </c>
      <c r="S88" s="208">
        <v>51000</v>
      </c>
      <c r="T88" s="208">
        <v>195500</v>
      </c>
      <c r="U88" s="219">
        <v>70464</v>
      </c>
      <c r="V88" s="219">
        <v>285926</v>
      </c>
      <c r="W88" s="219">
        <v>34000</v>
      </c>
      <c r="X88" s="219">
        <v>172667</v>
      </c>
      <c r="Y88" s="219">
        <v>2194</v>
      </c>
      <c r="Z88" s="219">
        <v>3291</v>
      </c>
      <c r="AA88" s="230">
        <v>24617</v>
      </c>
      <c r="AB88" s="230">
        <v>131426</v>
      </c>
      <c r="AC88" s="208">
        <v>17659</v>
      </c>
      <c r="AD88" s="208">
        <v>127910</v>
      </c>
      <c r="AE88" s="200">
        <v>25352</v>
      </c>
      <c r="AF88" s="200">
        <v>308045</v>
      </c>
      <c r="AG88" s="200">
        <v>0</v>
      </c>
      <c r="AH88" s="200">
        <v>0</v>
      </c>
      <c r="AI88" s="200">
        <v>0</v>
      </c>
      <c r="AJ88" s="200">
        <v>0</v>
      </c>
      <c r="AK88" s="270">
        <v>0</v>
      </c>
      <c r="AL88" s="270">
        <v>0</v>
      </c>
      <c r="AM88" s="273">
        <v>0</v>
      </c>
      <c r="AN88" s="273">
        <v>0</v>
      </c>
      <c r="AO88" s="200">
        <v>0</v>
      </c>
      <c r="AP88" s="200">
        <v>0</v>
      </c>
      <c r="AQ88" s="200">
        <v>0</v>
      </c>
      <c r="AR88" s="200">
        <v>0</v>
      </c>
      <c r="AS88" s="200">
        <v>0</v>
      </c>
      <c r="AT88" s="200">
        <v>0</v>
      </c>
      <c r="AU88" s="230">
        <v>0</v>
      </c>
      <c r="AV88" s="230">
        <v>0</v>
      </c>
      <c r="AW88" s="219"/>
      <c r="AX88" s="219"/>
      <c r="AY88" s="277"/>
      <c r="AZ88" s="277"/>
      <c r="BA88" s="200"/>
      <c r="BB88" s="219"/>
      <c r="BC88" s="219"/>
      <c r="BD88" s="219"/>
      <c r="BE88" s="219"/>
      <c r="BF88" s="219"/>
      <c r="BG88" s="219"/>
      <c r="BH88" s="219"/>
      <c r="BI88" s="200"/>
      <c r="BJ88" s="219">
        <f t="shared" si="59"/>
        <v>359653</v>
      </c>
      <c r="BK88" s="219">
        <f t="shared" si="60"/>
        <v>1579741</v>
      </c>
      <c r="BL88" s="172"/>
      <c r="BM88" s="13"/>
      <c r="BN88" s="231"/>
      <c r="BO88" s="231"/>
      <c r="BP88" s="231"/>
    </row>
    <row r="89" spans="1:1165">
      <c r="A89" s="206" t="s">
        <v>202</v>
      </c>
      <c r="B89" s="207" t="s">
        <v>160</v>
      </c>
      <c r="C89" s="268">
        <v>141</v>
      </c>
      <c r="D89" s="268">
        <v>729</v>
      </c>
      <c r="E89" s="208">
        <v>0</v>
      </c>
      <c r="F89" s="208">
        <v>0</v>
      </c>
      <c r="G89" s="208">
        <v>0</v>
      </c>
      <c r="H89" s="208">
        <v>0</v>
      </c>
      <c r="I89" s="208">
        <v>0</v>
      </c>
      <c r="J89" s="208">
        <v>0</v>
      </c>
      <c r="K89" s="208">
        <v>0</v>
      </c>
      <c r="L89" s="208">
        <v>0</v>
      </c>
      <c r="M89" s="208">
        <v>0</v>
      </c>
      <c r="N89" s="208">
        <v>0</v>
      </c>
      <c r="O89" s="208">
        <v>0</v>
      </c>
      <c r="P89" s="208">
        <v>0</v>
      </c>
      <c r="Q89" s="208">
        <v>0</v>
      </c>
      <c r="R89" s="208">
        <v>0</v>
      </c>
      <c r="S89" s="208">
        <v>0</v>
      </c>
      <c r="T89" s="208">
        <v>0</v>
      </c>
      <c r="U89" s="208">
        <v>0</v>
      </c>
      <c r="V89" s="208">
        <v>0</v>
      </c>
      <c r="W89" s="208">
        <v>0</v>
      </c>
      <c r="X89" s="208">
        <v>0</v>
      </c>
      <c r="Y89" s="208">
        <v>0</v>
      </c>
      <c r="Z89" s="208">
        <v>0</v>
      </c>
      <c r="AA89" s="208">
        <v>0</v>
      </c>
      <c r="AB89" s="208">
        <v>0</v>
      </c>
      <c r="AC89" s="208">
        <v>0</v>
      </c>
      <c r="AD89" s="208">
        <v>0</v>
      </c>
      <c r="AE89" s="208">
        <v>0</v>
      </c>
      <c r="AF89" s="208">
        <v>0</v>
      </c>
      <c r="AG89" s="208">
        <v>0</v>
      </c>
      <c r="AH89" s="208">
        <v>0</v>
      </c>
      <c r="AI89" s="208">
        <v>0</v>
      </c>
      <c r="AJ89" s="208">
        <v>0</v>
      </c>
      <c r="AK89" s="208">
        <v>0</v>
      </c>
      <c r="AL89" s="208">
        <v>0</v>
      </c>
      <c r="AM89" s="208">
        <v>0</v>
      </c>
      <c r="AN89" s="208">
        <v>0</v>
      </c>
      <c r="AO89" s="208">
        <v>0</v>
      </c>
      <c r="AP89" s="208">
        <v>0</v>
      </c>
      <c r="AQ89" s="208">
        <v>0</v>
      </c>
      <c r="AR89" s="208">
        <v>0</v>
      </c>
      <c r="AS89" s="208">
        <v>0</v>
      </c>
      <c r="AT89" s="208">
        <v>0</v>
      </c>
      <c r="AU89" s="208">
        <v>0</v>
      </c>
      <c r="AV89" s="208">
        <v>0</v>
      </c>
      <c r="AW89" s="208"/>
      <c r="AX89" s="208"/>
      <c r="AY89" s="275"/>
      <c r="AZ89" s="275"/>
      <c r="BA89" s="207"/>
      <c r="BB89" s="216"/>
      <c r="BC89" s="216"/>
      <c r="BD89" s="216"/>
      <c r="BE89" s="216"/>
      <c r="BF89" s="216"/>
      <c r="BG89" s="216"/>
      <c r="BH89" s="216"/>
      <c r="BI89" s="207"/>
      <c r="BJ89" s="216">
        <f t="shared" si="59"/>
        <v>141</v>
      </c>
      <c r="BK89" s="219">
        <f t="shared" si="60"/>
        <v>729</v>
      </c>
      <c r="BL89" s="172"/>
      <c r="BM89" s="13"/>
      <c r="BN89" s="231"/>
      <c r="BO89" s="231"/>
      <c r="BP89" s="231"/>
    </row>
    <row r="90" spans="1:1165">
      <c r="A90" s="206" t="s">
        <v>214</v>
      </c>
      <c r="B90" s="207" t="s">
        <v>160</v>
      </c>
      <c r="C90" s="268">
        <v>89135</v>
      </c>
      <c r="D90" s="268">
        <v>39514</v>
      </c>
      <c r="E90" s="208">
        <v>12</v>
      </c>
      <c r="F90" s="208">
        <v>13</v>
      </c>
      <c r="G90" s="208">
        <v>20</v>
      </c>
      <c r="H90" s="208">
        <v>20</v>
      </c>
      <c r="I90" s="208">
        <v>20</v>
      </c>
      <c r="J90" s="208">
        <v>22</v>
      </c>
      <c r="K90" s="208">
        <v>0</v>
      </c>
      <c r="L90" s="208">
        <v>0</v>
      </c>
      <c r="M90" s="208">
        <v>0</v>
      </c>
      <c r="N90" s="208">
        <v>0</v>
      </c>
      <c r="O90" s="208">
        <v>0</v>
      </c>
      <c r="P90" s="208">
        <v>0</v>
      </c>
      <c r="Q90" s="208">
        <v>0</v>
      </c>
      <c r="R90" s="208">
        <v>0</v>
      </c>
      <c r="S90" s="208">
        <v>0</v>
      </c>
      <c r="T90" s="208">
        <v>0</v>
      </c>
      <c r="U90" s="208">
        <v>0</v>
      </c>
      <c r="V90" s="208">
        <v>0</v>
      </c>
      <c r="W90" s="208">
        <v>0</v>
      </c>
      <c r="X90" s="208">
        <v>0</v>
      </c>
      <c r="Y90" s="230">
        <v>0</v>
      </c>
      <c r="Z90" s="230">
        <v>0</v>
      </c>
      <c r="AA90" s="230">
        <v>0</v>
      </c>
      <c r="AB90" s="230">
        <v>0</v>
      </c>
      <c r="AC90" s="208">
        <v>0</v>
      </c>
      <c r="AD90" s="208">
        <v>0</v>
      </c>
      <c r="AE90" s="200">
        <v>36775</v>
      </c>
      <c r="AF90" s="200">
        <v>28137</v>
      </c>
      <c r="AG90" s="200">
        <v>0</v>
      </c>
      <c r="AH90" s="200">
        <v>0</v>
      </c>
      <c r="AI90" s="230">
        <v>0</v>
      </c>
      <c r="AJ90" s="200">
        <v>0</v>
      </c>
      <c r="AK90" s="270">
        <v>41</v>
      </c>
      <c r="AL90" s="270">
        <v>20680</v>
      </c>
      <c r="AM90" s="273">
        <v>0</v>
      </c>
      <c r="AN90" s="273">
        <v>0</v>
      </c>
      <c r="AO90" s="200">
        <v>8053</v>
      </c>
      <c r="AP90" s="200">
        <v>4027</v>
      </c>
      <c r="AQ90" s="200">
        <v>0</v>
      </c>
      <c r="AR90" s="200">
        <v>0</v>
      </c>
      <c r="AS90" s="200">
        <v>0</v>
      </c>
      <c r="AT90" s="200">
        <v>0</v>
      </c>
      <c r="AU90" s="230">
        <v>6344</v>
      </c>
      <c r="AV90" s="230">
        <v>3172</v>
      </c>
      <c r="AW90" s="279"/>
      <c r="AX90" s="279"/>
      <c r="AY90" s="292"/>
      <c r="AZ90" s="292"/>
      <c r="BA90" s="232"/>
      <c r="BB90" s="279"/>
      <c r="BC90" s="279"/>
      <c r="BD90" s="279"/>
      <c r="BE90" s="279"/>
      <c r="BF90" s="279"/>
      <c r="BG90" s="279"/>
      <c r="BH90" s="279"/>
      <c r="BI90" s="232"/>
      <c r="BJ90" s="279">
        <f t="shared" si="59"/>
        <v>140388</v>
      </c>
      <c r="BK90" s="219">
        <f t="shared" si="60"/>
        <v>95572</v>
      </c>
      <c r="BL90" s="172"/>
      <c r="BM90" s="13"/>
      <c r="BN90" s="231"/>
      <c r="BO90" s="231"/>
      <c r="BP90" s="231"/>
    </row>
    <row r="91" spans="1:1165">
      <c r="A91" s="206" t="s">
        <v>215</v>
      </c>
      <c r="B91" s="207" t="s">
        <v>160</v>
      </c>
      <c r="C91" s="268">
        <v>123552</v>
      </c>
      <c r="D91" s="268">
        <v>125642</v>
      </c>
      <c r="E91" s="208">
        <v>0</v>
      </c>
      <c r="F91" s="208">
        <v>0</v>
      </c>
      <c r="G91" s="208">
        <v>0</v>
      </c>
      <c r="H91" s="208">
        <v>0</v>
      </c>
      <c r="I91" s="208">
        <v>0</v>
      </c>
      <c r="J91" s="208">
        <v>0</v>
      </c>
      <c r="K91" s="208">
        <v>0</v>
      </c>
      <c r="L91" s="208">
        <v>0</v>
      </c>
      <c r="M91" s="208">
        <v>0</v>
      </c>
      <c r="N91" s="208">
        <v>0</v>
      </c>
      <c r="O91" s="208">
        <v>0</v>
      </c>
      <c r="P91" s="208">
        <v>0</v>
      </c>
      <c r="Q91" s="208">
        <v>0</v>
      </c>
      <c r="R91" s="208">
        <v>0</v>
      </c>
      <c r="S91" s="208">
        <v>0</v>
      </c>
      <c r="T91" s="208">
        <v>0</v>
      </c>
      <c r="U91" s="208">
        <v>0</v>
      </c>
      <c r="V91" s="208">
        <v>0</v>
      </c>
      <c r="W91" s="208">
        <v>0</v>
      </c>
      <c r="X91" s="208">
        <v>0</v>
      </c>
      <c r="Y91" s="230">
        <v>0</v>
      </c>
      <c r="Z91" s="230">
        <v>0</v>
      </c>
      <c r="AA91" s="230">
        <v>1800</v>
      </c>
      <c r="AB91" s="230">
        <v>32500</v>
      </c>
      <c r="AC91" s="208">
        <v>37048</v>
      </c>
      <c r="AD91" s="208">
        <v>1163695</v>
      </c>
      <c r="AE91" s="200">
        <v>27344</v>
      </c>
      <c r="AF91" s="200">
        <v>795872</v>
      </c>
      <c r="AG91" s="200">
        <v>280586</v>
      </c>
      <c r="AH91" s="200">
        <v>1582037</v>
      </c>
      <c r="AI91" s="200">
        <v>92503</v>
      </c>
      <c r="AJ91" s="200">
        <v>660920</v>
      </c>
      <c r="AK91" s="270">
        <v>20</v>
      </c>
      <c r="AL91" s="270">
        <v>4000</v>
      </c>
      <c r="AM91" s="273">
        <v>21536</v>
      </c>
      <c r="AN91" s="273">
        <v>8936</v>
      </c>
      <c r="AO91" s="200">
        <v>0</v>
      </c>
      <c r="AP91" s="200">
        <v>0</v>
      </c>
      <c r="AQ91" s="200">
        <v>53.35</v>
      </c>
      <c r="AR91" s="200">
        <v>3986</v>
      </c>
      <c r="AS91" s="200">
        <v>125</v>
      </c>
      <c r="AT91" s="200">
        <v>383</v>
      </c>
      <c r="AU91" s="230">
        <v>16171</v>
      </c>
      <c r="AV91" s="230">
        <v>36315</v>
      </c>
      <c r="AW91" s="249"/>
      <c r="AX91" s="249"/>
      <c r="AY91" s="248"/>
      <c r="AZ91" s="248"/>
      <c r="BA91" s="283"/>
      <c r="BB91" s="249"/>
      <c r="BC91" s="249"/>
      <c r="BD91" s="249"/>
      <c r="BE91" s="249"/>
      <c r="BF91" s="249"/>
      <c r="BG91" s="249"/>
      <c r="BH91" s="249"/>
      <c r="BI91" s="283"/>
      <c r="BJ91" s="219">
        <f t="shared" si="59"/>
        <v>600738.35</v>
      </c>
      <c r="BK91" s="219">
        <f t="shared" si="60"/>
        <v>4414286</v>
      </c>
      <c r="BL91" s="172"/>
      <c r="BM91" s="13"/>
      <c r="BN91" s="231"/>
      <c r="BO91" s="231"/>
      <c r="BP91" s="231"/>
    </row>
    <row r="92" spans="1:1165">
      <c r="A92" s="206" t="s">
        <v>216</v>
      </c>
      <c r="B92" s="207" t="s">
        <v>160</v>
      </c>
      <c r="C92" s="268">
        <v>8640</v>
      </c>
      <c r="D92" s="268">
        <v>15594</v>
      </c>
      <c r="E92" s="208">
        <v>0</v>
      </c>
      <c r="F92" s="208">
        <v>0</v>
      </c>
      <c r="G92" s="208">
        <v>0</v>
      </c>
      <c r="H92" s="208">
        <v>0</v>
      </c>
      <c r="I92" s="208">
        <v>0</v>
      </c>
      <c r="J92" s="208">
        <v>0</v>
      </c>
      <c r="K92" s="208">
        <v>0</v>
      </c>
      <c r="L92" s="208">
        <v>0</v>
      </c>
      <c r="M92" s="208">
        <v>0</v>
      </c>
      <c r="N92" s="208">
        <v>0</v>
      </c>
      <c r="O92" s="208">
        <v>0</v>
      </c>
      <c r="P92" s="208">
        <v>0</v>
      </c>
      <c r="Q92" s="208">
        <v>0</v>
      </c>
      <c r="R92" s="208">
        <v>0</v>
      </c>
      <c r="S92" s="208">
        <v>0</v>
      </c>
      <c r="T92" s="208">
        <v>0</v>
      </c>
      <c r="U92" s="208">
        <v>0</v>
      </c>
      <c r="V92" s="208">
        <v>0</v>
      </c>
      <c r="W92" s="208">
        <v>0</v>
      </c>
      <c r="X92" s="208">
        <v>0</v>
      </c>
      <c r="Y92" s="208">
        <v>0</v>
      </c>
      <c r="Z92" s="208">
        <v>0</v>
      </c>
      <c r="AA92" s="208">
        <v>0</v>
      </c>
      <c r="AB92" s="208">
        <v>0</v>
      </c>
      <c r="AC92" s="208">
        <v>0</v>
      </c>
      <c r="AD92" s="208">
        <v>0</v>
      </c>
      <c r="AE92" s="208">
        <v>0</v>
      </c>
      <c r="AF92" s="208">
        <v>0</v>
      </c>
      <c r="AG92" s="208">
        <v>0</v>
      </c>
      <c r="AH92" s="208">
        <v>0</v>
      </c>
      <c r="AI92" s="208">
        <v>0</v>
      </c>
      <c r="AJ92" s="208">
        <v>0</v>
      </c>
      <c r="AK92" s="208">
        <v>0</v>
      </c>
      <c r="AL92" s="208">
        <v>0</v>
      </c>
      <c r="AM92" s="208">
        <v>0</v>
      </c>
      <c r="AN92" s="208">
        <v>0</v>
      </c>
      <c r="AO92" s="208">
        <v>0</v>
      </c>
      <c r="AP92" s="208">
        <v>0</v>
      </c>
      <c r="AQ92" s="208">
        <v>0</v>
      </c>
      <c r="AR92" s="208">
        <v>0</v>
      </c>
      <c r="AS92" s="208">
        <v>0</v>
      </c>
      <c r="AT92" s="208">
        <v>0</v>
      </c>
      <c r="AU92" s="208">
        <v>0</v>
      </c>
      <c r="AV92" s="208">
        <v>0</v>
      </c>
      <c r="AW92" s="249"/>
      <c r="AX92" s="249"/>
      <c r="AY92" s="248"/>
      <c r="AZ92" s="248"/>
      <c r="BA92" s="283"/>
      <c r="BB92" s="249"/>
      <c r="BC92" s="249"/>
      <c r="BD92" s="249"/>
      <c r="BE92" s="249"/>
      <c r="BF92" s="249"/>
      <c r="BG92" s="249"/>
      <c r="BH92" s="249"/>
      <c r="BI92" s="283"/>
      <c r="BJ92" s="219">
        <f t="shared" si="59"/>
        <v>8640</v>
      </c>
      <c r="BK92" s="219">
        <f t="shared" si="60"/>
        <v>15594</v>
      </c>
      <c r="BL92" s="172"/>
      <c r="BM92" s="13"/>
      <c r="BN92" s="231"/>
      <c r="BO92" s="231"/>
      <c r="BP92" s="231"/>
    </row>
    <row r="93" spans="1:1165">
      <c r="A93" s="206" t="s">
        <v>217</v>
      </c>
      <c r="B93" s="207" t="s">
        <v>160</v>
      </c>
      <c r="C93" s="268">
        <v>1.407</v>
      </c>
      <c r="D93" s="268">
        <v>11149</v>
      </c>
      <c r="E93" s="208">
        <v>0</v>
      </c>
      <c r="F93" s="208">
        <v>0</v>
      </c>
      <c r="G93" s="208">
        <v>0</v>
      </c>
      <c r="H93" s="208">
        <v>0</v>
      </c>
      <c r="I93" s="208">
        <v>0</v>
      </c>
      <c r="J93" s="208">
        <v>0</v>
      </c>
      <c r="K93" s="208">
        <v>0</v>
      </c>
      <c r="L93" s="208">
        <v>0</v>
      </c>
      <c r="M93" s="208">
        <v>0</v>
      </c>
      <c r="N93" s="208">
        <v>0</v>
      </c>
      <c r="O93" s="208">
        <v>0</v>
      </c>
      <c r="P93" s="208">
        <v>0</v>
      </c>
      <c r="Q93" s="293">
        <v>0.42499999999999999</v>
      </c>
      <c r="R93" s="208">
        <v>3469</v>
      </c>
      <c r="S93" s="208">
        <v>0</v>
      </c>
      <c r="T93" s="208">
        <v>0</v>
      </c>
      <c r="U93" s="293">
        <v>0.193</v>
      </c>
      <c r="V93" s="208">
        <v>2200</v>
      </c>
      <c r="W93" s="294">
        <v>0.55000000000000004</v>
      </c>
      <c r="X93" s="219">
        <v>2020</v>
      </c>
      <c r="Y93" s="208">
        <v>0</v>
      </c>
      <c r="Z93" s="208">
        <v>0</v>
      </c>
      <c r="AA93" s="230">
        <v>0</v>
      </c>
      <c r="AB93" s="230">
        <v>0</v>
      </c>
      <c r="AC93" s="219">
        <v>0</v>
      </c>
      <c r="AD93" s="219">
        <v>0</v>
      </c>
      <c r="AE93" s="200">
        <v>0</v>
      </c>
      <c r="AF93" s="200">
        <v>0</v>
      </c>
      <c r="AG93" s="200">
        <v>0</v>
      </c>
      <c r="AH93" s="200">
        <v>0</v>
      </c>
      <c r="AI93" s="200">
        <v>0</v>
      </c>
      <c r="AJ93" s="200">
        <v>0</v>
      </c>
      <c r="AK93" s="208">
        <v>0</v>
      </c>
      <c r="AL93" s="208">
        <v>0</v>
      </c>
      <c r="AM93" s="200">
        <v>0</v>
      </c>
      <c r="AN93" s="200">
        <v>0</v>
      </c>
      <c r="AO93" s="200">
        <v>0</v>
      </c>
      <c r="AP93" s="200">
        <v>0</v>
      </c>
      <c r="AQ93" s="295">
        <v>4.1240000000000001E-3</v>
      </c>
      <c r="AR93" s="200">
        <v>10420</v>
      </c>
      <c r="AS93" s="200">
        <v>0</v>
      </c>
      <c r="AT93" s="200">
        <v>0</v>
      </c>
      <c r="AU93" s="296">
        <v>11.5</v>
      </c>
      <c r="AV93" s="230">
        <v>20000</v>
      </c>
      <c r="AW93" s="279"/>
      <c r="AX93" s="279"/>
      <c r="AY93" s="292"/>
      <c r="AZ93" s="292"/>
      <c r="BA93" s="232"/>
      <c r="BB93" s="279"/>
      <c r="BC93" s="279"/>
      <c r="BD93" s="279"/>
      <c r="BE93" s="279"/>
      <c r="BF93" s="279"/>
      <c r="BG93" s="279"/>
      <c r="BH93" s="279"/>
      <c r="BI93" s="232"/>
      <c r="BJ93" s="279">
        <f t="shared" si="59"/>
        <v>14.079124</v>
      </c>
      <c r="BK93" s="219">
        <f t="shared" si="60"/>
        <v>49258</v>
      </c>
      <c r="BL93" s="172"/>
      <c r="BM93" s="13"/>
      <c r="BN93" s="231"/>
      <c r="BO93" s="231"/>
      <c r="BP93" s="231"/>
    </row>
    <row r="94" spans="1:1165">
      <c r="A94" s="206" t="s">
        <v>218</v>
      </c>
      <c r="B94" s="207" t="s">
        <v>199</v>
      </c>
      <c r="C94" s="268">
        <v>48165</v>
      </c>
      <c r="D94" s="268">
        <v>109570</v>
      </c>
      <c r="E94" s="208">
        <v>13001</v>
      </c>
      <c r="F94" s="208">
        <v>78001</v>
      </c>
      <c r="G94" s="208">
        <v>0</v>
      </c>
      <c r="H94" s="208">
        <v>0</v>
      </c>
      <c r="I94" s="208">
        <v>0</v>
      </c>
      <c r="J94" s="208">
        <v>0</v>
      </c>
      <c r="K94" s="208">
        <v>0</v>
      </c>
      <c r="L94" s="208">
        <v>0</v>
      </c>
      <c r="M94" s="208">
        <v>0</v>
      </c>
      <c r="N94" s="208">
        <v>0</v>
      </c>
      <c r="O94" s="208">
        <v>0</v>
      </c>
      <c r="P94" s="208">
        <v>0</v>
      </c>
      <c r="Q94" s="208">
        <v>0</v>
      </c>
      <c r="R94" s="208">
        <v>0</v>
      </c>
      <c r="S94" s="208">
        <v>0</v>
      </c>
      <c r="T94" s="208">
        <v>0</v>
      </c>
      <c r="U94" s="208">
        <v>0</v>
      </c>
      <c r="V94" s="208">
        <v>0</v>
      </c>
      <c r="W94" s="208">
        <v>0</v>
      </c>
      <c r="X94" s="208">
        <v>0</v>
      </c>
      <c r="Y94" s="208">
        <v>0</v>
      </c>
      <c r="Z94" s="208">
        <v>0</v>
      </c>
      <c r="AA94" s="208">
        <v>0</v>
      </c>
      <c r="AB94" s="208">
        <v>0</v>
      </c>
      <c r="AC94" s="208">
        <v>0</v>
      </c>
      <c r="AD94" s="208">
        <v>0</v>
      </c>
      <c r="AE94" s="208">
        <v>0</v>
      </c>
      <c r="AF94" s="208">
        <v>0</v>
      </c>
      <c r="AG94" s="208">
        <v>0</v>
      </c>
      <c r="AH94" s="208">
        <v>0</v>
      </c>
      <c r="AI94" s="208">
        <v>0</v>
      </c>
      <c r="AJ94" s="208">
        <v>0</v>
      </c>
      <c r="AK94" s="208">
        <v>0</v>
      </c>
      <c r="AL94" s="208">
        <v>0</v>
      </c>
      <c r="AM94" s="208">
        <v>0</v>
      </c>
      <c r="AN94" s="208">
        <v>0</v>
      </c>
      <c r="AO94" s="208">
        <v>0</v>
      </c>
      <c r="AP94" s="208">
        <v>0</v>
      </c>
      <c r="AQ94" s="208">
        <v>0</v>
      </c>
      <c r="AR94" s="208">
        <v>0</v>
      </c>
      <c r="AS94" s="208">
        <v>0</v>
      </c>
      <c r="AT94" s="208">
        <v>0</v>
      </c>
      <c r="AU94" s="208">
        <v>0</v>
      </c>
      <c r="AV94" s="208">
        <v>0</v>
      </c>
      <c r="AW94" s="208"/>
      <c r="AX94" s="208"/>
      <c r="AY94" s="274"/>
      <c r="AZ94" s="274"/>
      <c r="BA94" s="269"/>
      <c r="BB94" s="208"/>
      <c r="BC94" s="208"/>
      <c r="BD94" s="208"/>
      <c r="BE94" s="208"/>
      <c r="BF94" s="208"/>
      <c r="BG94" s="208"/>
      <c r="BH94" s="208"/>
      <c r="BI94" s="269"/>
      <c r="BJ94" s="208">
        <f t="shared" si="59"/>
        <v>48165</v>
      </c>
      <c r="BK94" s="219">
        <f t="shared" si="60"/>
        <v>109570</v>
      </c>
      <c r="BL94" s="172"/>
      <c r="BM94" s="13"/>
      <c r="BN94" s="231"/>
      <c r="BO94" s="231"/>
      <c r="BP94" s="231"/>
    </row>
    <row r="95" spans="1:1165">
      <c r="A95" s="206" t="s">
        <v>205</v>
      </c>
      <c r="B95" s="207" t="s">
        <v>160</v>
      </c>
      <c r="C95" s="208">
        <v>0</v>
      </c>
      <c r="D95" s="208">
        <v>0</v>
      </c>
      <c r="E95" s="208">
        <v>0</v>
      </c>
      <c r="F95" s="208">
        <v>0</v>
      </c>
      <c r="G95" s="208">
        <v>0</v>
      </c>
      <c r="H95" s="208">
        <v>0</v>
      </c>
      <c r="I95" s="208">
        <v>0</v>
      </c>
      <c r="J95" s="208">
        <v>0</v>
      </c>
      <c r="K95" s="208">
        <v>0</v>
      </c>
      <c r="L95" s="208">
        <v>0</v>
      </c>
      <c r="M95" s="208">
        <v>0</v>
      </c>
      <c r="N95" s="208">
        <v>0</v>
      </c>
      <c r="O95" s="208">
        <v>0</v>
      </c>
      <c r="P95" s="208">
        <v>0</v>
      </c>
      <c r="Q95" s="208">
        <v>0</v>
      </c>
      <c r="R95" s="208">
        <v>0</v>
      </c>
      <c r="S95" s="208">
        <v>0</v>
      </c>
      <c r="T95" s="208">
        <v>0</v>
      </c>
      <c r="U95" s="208">
        <v>0</v>
      </c>
      <c r="V95" s="208">
        <v>0</v>
      </c>
      <c r="W95" s="208">
        <v>0</v>
      </c>
      <c r="X95" s="208">
        <v>0</v>
      </c>
      <c r="Y95" s="230">
        <v>0</v>
      </c>
      <c r="Z95" s="230">
        <v>0</v>
      </c>
      <c r="AA95" s="230">
        <v>0</v>
      </c>
      <c r="AB95" s="230">
        <v>0</v>
      </c>
      <c r="AC95" s="219">
        <v>8844</v>
      </c>
      <c r="AD95" s="219">
        <v>7499</v>
      </c>
      <c r="AE95" s="200">
        <v>70819</v>
      </c>
      <c r="AF95" s="200">
        <v>45116</v>
      </c>
      <c r="AG95" s="200">
        <v>0</v>
      </c>
      <c r="AH95" s="200">
        <v>0</v>
      </c>
      <c r="AI95" s="200">
        <v>39220</v>
      </c>
      <c r="AJ95" s="200">
        <v>47136</v>
      </c>
      <c r="AK95" s="270">
        <v>1155</v>
      </c>
      <c r="AL95" s="270">
        <v>1213</v>
      </c>
      <c r="AM95" s="273">
        <v>38796</v>
      </c>
      <c r="AN95" s="273">
        <v>22585</v>
      </c>
      <c r="AO95" s="200">
        <v>0</v>
      </c>
      <c r="AP95" s="200">
        <v>0</v>
      </c>
      <c r="AQ95" s="200">
        <v>6</v>
      </c>
      <c r="AR95" s="200">
        <v>3600</v>
      </c>
      <c r="AS95" s="200">
        <v>20742</v>
      </c>
      <c r="AT95" s="200">
        <v>12445</v>
      </c>
      <c r="AU95" s="230">
        <v>14430</v>
      </c>
      <c r="AV95" s="230">
        <v>8658</v>
      </c>
      <c r="AW95" s="279"/>
      <c r="AX95" s="279"/>
      <c r="AY95" s="292"/>
      <c r="AZ95" s="292"/>
      <c r="BA95" s="232"/>
      <c r="BB95" s="279"/>
      <c r="BC95" s="279"/>
      <c r="BD95" s="279"/>
      <c r="BE95" s="279"/>
      <c r="BF95" s="279"/>
      <c r="BG95" s="279"/>
      <c r="BH95" s="279"/>
      <c r="BI95" s="232"/>
      <c r="BJ95" s="279">
        <f t="shared" si="59"/>
        <v>194012</v>
      </c>
      <c r="BK95" s="219">
        <f t="shared" si="60"/>
        <v>148252</v>
      </c>
      <c r="BL95" s="172"/>
      <c r="BM95" s="13"/>
      <c r="BN95" s="231"/>
      <c r="BO95" s="231"/>
      <c r="BP95" s="231"/>
    </row>
    <row r="96" spans="1:1165">
      <c r="A96" s="206" t="s">
        <v>219</v>
      </c>
      <c r="B96" s="207" t="s">
        <v>160</v>
      </c>
      <c r="C96" s="268">
        <v>5073</v>
      </c>
      <c r="D96" s="268">
        <v>2780</v>
      </c>
      <c r="E96" s="208">
        <v>0</v>
      </c>
      <c r="F96" s="208">
        <v>0</v>
      </c>
      <c r="G96" s="208">
        <v>0</v>
      </c>
      <c r="H96" s="208">
        <v>0</v>
      </c>
      <c r="I96" s="208">
        <v>0</v>
      </c>
      <c r="J96" s="208">
        <v>0</v>
      </c>
      <c r="K96" s="208">
        <v>0</v>
      </c>
      <c r="L96" s="208">
        <v>0</v>
      </c>
      <c r="M96" s="208">
        <v>0</v>
      </c>
      <c r="N96" s="208">
        <v>0</v>
      </c>
      <c r="O96" s="208">
        <v>0</v>
      </c>
      <c r="P96" s="208">
        <v>0</v>
      </c>
      <c r="Q96" s="208">
        <v>0</v>
      </c>
      <c r="R96" s="208">
        <v>0</v>
      </c>
      <c r="S96" s="208">
        <v>0</v>
      </c>
      <c r="T96" s="208">
        <v>0</v>
      </c>
      <c r="U96" s="208">
        <v>0</v>
      </c>
      <c r="V96" s="208">
        <v>0</v>
      </c>
      <c r="W96" s="208">
        <v>0</v>
      </c>
      <c r="X96" s="208">
        <v>0</v>
      </c>
      <c r="Y96" s="208">
        <v>0</v>
      </c>
      <c r="Z96" s="208">
        <v>0</v>
      </c>
      <c r="AA96" s="208">
        <v>0</v>
      </c>
      <c r="AB96" s="208">
        <v>0</v>
      </c>
      <c r="AC96" s="208">
        <v>0</v>
      </c>
      <c r="AD96" s="208">
        <v>0</v>
      </c>
      <c r="AE96" s="208">
        <v>0</v>
      </c>
      <c r="AF96" s="208">
        <v>0</v>
      </c>
      <c r="AG96" s="208">
        <v>0</v>
      </c>
      <c r="AH96" s="208">
        <v>0</v>
      </c>
      <c r="AI96" s="208">
        <v>0</v>
      </c>
      <c r="AJ96" s="208">
        <v>0</v>
      </c>
      <c r="AK96" s="208">
        <v>0</v>
      </c>
      <c r="AL96" s="208">
        <v>0</v>
      </c>
      <c r="AM96" s="208">
        <v>0</v>
      </c>
      <c r="AN96" s="208">
        <v>0</v>
      </c>
      <c r="AO96" s="208">
        <v>0</v>
      </c>
      <c r="AP96" s="208">
        <v>0</v>
      </c>
      <c r="AQ96" s="208">
        <v>0</v>
      </c>
      <c r="AR96" s="208">
        <v>0</v>
      </c>
      <c r="AS96" s="208">
        <v>0</v>
      </c>
      <c r="AT96" s="208">
        <v>0</v>
      </c>
      <c r="AU96" s="208">
        <v>0</v>
      </c>
      <c r="AV96" s="208">
        <v>0</v>
      </c>
      <c r="AW96" s="279"/>
      <c r="AX96" s="279"/>
      <c r="AY96" s="292"/>
      <c r="AZ96" s="292"/>
      <c r="BA96" s="232"/>
      <c r="BB96" s="279"/>
      <c r="BC96" s="279"/>
      <c r="BD96" s="279"/>
      <c r="BE96" s="279"/>
      <c r="BF96" s="279"/>
      <c r="BG96" s="279"/>
      <c r="BH96" s="279"/>
      <c r="BI96" s="232"/>
      <c r="BJ96" s="279">
        <f t="shared" si="59"/>
        <v>5073</v>
      </c>
      <c r="BK96" s="219">
        <f t="shared" si="60"/>
        <v>2780</v>
      </c>
      <c r="BL96" s="172"/>
      <c r="BM96" s="13"/>
      <c r="BN96" s="231"/>
      <c r="BO96" s="231"/>
      <c r="BP96" s="231"/>
    </row>
    <row r="97" spans="1:1165">
      <c r="A97" s="206" t="s">
        <v>220</v>
      </c>
      <c r="B97" s="207" t="s">
        <v>160</v>
      </c>
      <c r="C97" s="208">
        <v>0</v>
      </c>
      <c r="D97" s="208">
        <v>0</v>
      </c>
      <c r="E97" s="208">
        <v>0</v>
      </c>
      <c r="F97" s="208">
        <v>0</v>
      </c>
      <c r="G97" s="208">
        <v>0</v>
      </c>
      <c r="H97" s="208">
        <v>0</v>
      </c>
      <c r="I97" s="208">
        <v>0</v>
      </c>
      <c r="J97" s="208">
        <v>0</v>
      </c>
      <c r="K97" s="208">
        <v>0</v>
      </c>
      <c r="L97" s="208">
        <v>0</v>
      </c>
      <c r="M97" s="208">
        <v>0</v>
      </c>
      <c r="N97" s="208">
        <v>0</v>
      </c>
      <c r="O97" s="208">
        <v>0</v>
      </c>
      <c r="P97" s="208">
        <v>0</v>
      </c>
      <c r="Q97" s="208">
        <v>0</v>
      </c>
      <c r="R97" s="208">
        <v>0</v>
      </c>
      <c r="S97" s="208">
        <v>0</v>
      </c>
      <c r="T97" s="208">
        <v>0</v>
      </c>
      <c r="U97" s="208">
        <v>0</v>
      </c>
      <c r="V97" s="208">
        <v>0</v>
      </c>
      <c r="W97" s="208">
        <v>0</v>
      </c>
      <c r="X97" s="208">
        <v>0</v>
      </c>
      <c r="Y97" s="230">
        <v>0</v>
      </c>
      <c r="Z97" s="230">
        <v>0</v>
      </c>
      <c r="AA97" s="230">
        <v>0</v>
      </c>
      <c r="AB97" s="230">
        <v>0</v>
      </c>
      <c r="AC97" s="219">
        <v>0</v>
      </c>
      <c r="AD97" s="219">
        <v>0</v>
      </c>
      <c r="AE97" s="200">
        <v>2245</v>
      </c>
      <c r="AF97" s="200">
        <v>8392</v>
      </c>
      <c r="AG97" s="200">
        <v>5561</v>
      </c>
      <c r="AH97" s="200">
        <v>19639</v>
      </c>
      <c r="AI97" s="200">
        <v>0</v>
      </c>
      <c r="AJ97" s="200">
        <v>0</v>
      </c>
      <c r="AK97" s="208">
        <v>0</v>
      </c>
      <c r="AL97" s="208">
        <v>0</v>
      </c>
      <c r="AM97" s="230">
        <v>0</v>
      </c>
      <c r="AN97" s="200">
        <v>0</v>
      </c>
      <c r="AO97" s="230">
        <v>0</v>
      </c>
      <c r="AP97" s="200">
        <v>0</v>
      </c>
      <c r="AQ97" s="230">
        <v>0</v>
      </c>
      <c r="AR97" s="200">
        <v>0</v>
      </c>
      <c r="AS97" s="208">
        <v>0</v>
      </c>
      <c r="AT97" s="208">
        <v>0</v>
      </c>
      <c r="AU97" s="230">
        <v>0</v>
      </c>
      <c r="AV97" s="200">
        <v>0</v>
      </c>
      <c r="AW97" s="219"/>
      <c r="AX97" s="219"/>
      <c r="AY97" s="277"/>
      <c r="AZ97" s="277"/>
      <c r="BA97" s="200"/>
      <c r="BB97" s="219"/>
      <c r="BC97" s="219"/>
      <c r="BD97" s="219"/>
      <c r="BE97" s="219"/>
      <c r="BF97" s="219"/>
      <c r="BG97" s="219"/>
      <c r="BH97" s="219"/>
      <c r="BI97" s="200"/>
      <c r="BJ97" s="219">
        <f t="shared" si="59"/>
        <v>7806</v>
      </c>
      <c r="BK97" s="219">
        <f t="shared" si="60"/>
        <v>28031</v>
      </c>
      <c r="BL97" s="172"/>
      <c r="BM97" s="13"/>
      <c r="BN97" s="231"/>
      <c r="BO97" s="231"/>
      <c r="BP97" s="231"/>
    </row>
    <row r="98" spans="1:1165">
      <c r="A98" s="206" t="s">
        <v>221</v>
      </c>
      <c r="B98" s="207" t="s">
        <v>160</v>
      </c>
      <c r="C98" s="268">
        <v>118117</v>
      </c>
      <c r="D98" s="268">
        <v>50606</v>
      </c>
      <c r="E98" s="208">
        <v>1116</v>
      </c>
      <c r="F98" s="208">
        <v>572</v>
      </c>
      <c r="G98" s="208">
        <v>3040</v>
      </c>
      <c r="H98" s="208">
        <v>1524</v>
      </c>
      <c r="I98" s="208">
        <v>1200</v>
      </c>
      <c r="J98" s="208">
        <v>922</v>
      </c>
      <c r="K98" s="208">
        <v>51</v>
      </c>
      <c r="L98" s="208">
        <v>33</v>
      </c>
      <c r="M98" s="208">
        <v>792</v>
      </c>
      <c r="N98" s="208">
        <v>511</v>
      </c>
      <c r="O98" s="208">
        <v>0</v>
      </c>
      <c r="P98" s="208">
        <v>0</v>
      </c>
      <c r="Q98" s="208">
        <v>21</v>
      </c>
      <c r="R98" s="208">
        <v>14</v>
      </c>
      <c r="S98" s="208">
        <v>0</v>
      </c>
      <c r="T98" s="208">
        <v>0</v>
      </c>
      <c r="U98" s="208">
        <v>0</v>
      </c>
      <c r="V98" s="208">
        <v>0</v>
      </c>
      <c r="W98" s="208">
        <v>0</v>
      </c>
      <c r="X98" s="208">
        <v>0</v>
      </c>
      <c r="Y98" s="208">
        <v>0</v>
      </c>
      <c r="Z98" s="208">
        <v>0</v>
      </c>
      <c r="AA98" s="208">
        <v>0</v>
      </c>
      <c r="AB98" s="208">
        <v>0</v>
      </c>
      <c r="AC98" s="208">
        <v>0</v>
      </c>
      <c r="AD98" s="208">
        <v>0</v>
      </c>
      <c r="AE98" s="208">
        <v>0</v>
      </c>
      <c r="AF98" s="208">
        <v>0</v>
      </c>
      <c r="AG98" s="208">
        <v>0</v>
      </c>
      <c r="AH98" s="208">
        <v>0</v>
      </c>
      <c r="AI98" s="208">
        <v>0</v>
      </c>
      <c r="AJ98" s="208">
        <v>0</v>
      </c>
      <c r="AK98" s="208">
        <v>0</v>
      </c>
      <c r="AL98" s="208">
        <v>0</v>
      </c>
      <c r="AM98" s="208">
        <v>0</v>
      </c>
      <c r="AN98" s="208">
        <v>0</v>
      </c>
      <c r="AO98" s="208">
        <v>0</v>
      </c>
      <c r="AP98" s="208">
        <v>0</v>
      </c>
      <c r="AQ98" s="208">
        <v>0</v>
      </c>
      <c r="AR98" s="208">
        <v>0</v>
      </c>
      <c r="AS98" s="208">
        <v>0</v>
      </c>
      <c r="AT98" s="208">
        <v>0</v>
      </c>
      <c r="AU98" s="208">
        <v>0</v>
      </c>
      <c r="AV98" s="208">
        <v>0</v>
      </c>
      <c r="AW98" s="208"/>
      <c r="AX98" s="208"/>
      <c r="AY98" s="274"/>
      <c r="AZ98" s="274"/>
      <c r="BA98" s="208"/>
      <c r="BB98" s="208"/>
      <c r="BC98" s="208"/>
      <c r="BD98" s="208"/>
      <c r="BE98" s="208"/>
      <c r="BF98" s="208"/>
      <c r="BG98" s="208"/>
      <c r="BH98" s="208"/>
      <c r="BI98" s="208"/>
      <c r="BJ98" s="208">
        <f t="shared" si="59"/>
        <v>123221</v>
      </c>
      <c r="BK98" s="219">
        <f t="shared" si="60"/>
        <v>53610</v>
      </c>
      <c r="BL98" s="172"/>
      <c r="BM98" s="13"/>
      <c r="BN98" s="231"/>
      <c r="BO98" s="231"/>
      <c r="BP98" s="231"/>
    </row>
    <row r="99" spans="1:1165">
      <c r="A99" s="206" t="s">
        <v>222</v>
      </c>
      <c r="B99" s="207" t="s">
        <v>160</v>
      </c>
      <c r="C99" s="268">
        <v>4</v>
      </c>
      <c r="D99" s="268">
        <v>16994</v>
      </c>
      <c r="E99" s="208">
        <v>0</v>
      </c>
      <c r="F99" s="208">
        <v>0</v>
      </c>
      <c r="G99" s="208">
        <v>0</v>
      </c>
      <c r="H99" s="208">
        <v>0</v>
      </c>
      <c r="I99" s="208">
        <v>0</v>
      </c>
      <c r="J99" s="208">
        <v>0</v>
      </c>
      <c r="K99" s="208">
        <v>0</v>
      </c>
      <c r="L99" s="208">
        <v>0</v>
      </c>
      <c r="M99" s="208">
        <v>0</v>
      </c>
      <c r="N99" s="208">
        <v>0</v>
      </c>
      <c r="O99" s="208">
        <v>0</v>
      </c>
      <c r="P99" s="208">
        <v>0</v>
      </c>
      <c r="Q99" s="208">
        <v>0</v>
      </c>
      <c r="R99" s="208">
        <v>0</v>
      </c>
      <c r="S99" s="208">
        <v>0</v>
      </c>
      <c r="T99" s="208">
        <v>0</v>
      </c>
      <c r="U99" s="208">
        <v>0</v>
      </c>
      <c r="V99" s="208">
        <v>0</v>
      </c>
      <c r="W99" s="208">
        <v>0</v>
      </c>
      <c r="X99" s="208">
        <v>0</v>
      </c>
      <c r="Y99" s="208">
        <v>0</v>
      </c>
      <c r="Z99" s="208">
        <v>0</v>
      </c>
      <c r="AA99" s="208">
        <v>0</v>
      </c>
      <c r="AB99" s="208">
        <v>0</v>
      </c>
      <c r="AC99" s="208">
        <v>0</v>
      </c>
      <c r="AD99" s="208">
        <v>0</v>
      </c>
      <c r="AE99" s="208">
        <v>0</v>
      </c>
      <c r="AF99" s="208">
        <v>0</v>
      </c>
      <c r="AG99" s="208">
        <v>0</v>
      </c>
      <c r="AH99" s="208">
        <v>0</v>
      </c>
      <c r="AI99" s="208">
        <v>0</v>
      </c>
      <c r="AJ99" s="208">
        <v>0</v>
      </c>
      <c r="AK99" s="208">
        <v>0</v>
      </c>
      <c r="AL99" s="208">
        <v>0</v>
      </c>
      <c r="AM99" s="208">
        <v>0</v>
      </c>
      <c r="AN99" s="208">
        <v>0</v>
      </c>
      <c r="AO99" s="208">
        <v>0</v>
      </c>
      <c r="AP99" s="208">
        <v>0</v>
      </c>
      <c r="AQ99" s="208">
        <v>0</v>
      </c>
      <c r="AR99" s="208">
        <v>0</v>
      </c>
      <c r="AS99" s="208">
        <v>0</v>
      </c>
      <c r="AT99" s="208">
        <v>0</v>
      </c>
      <c r="AU99" s="208">
        <v>0</v>
      </c>
      <c r="AV99" s="208">
        <v>0</v>
      </c>
      <c r="AW99" s="208"/>
      <c r="AX99" s="208"/>
      <c r="AY99" s="275"/>
      <c r="AZ99" s="275"/>
      <c r="BA99" s="207"/>
      <c r="BB99" s="216"/>
      <c r="BC99" s="216"/>
      <c r="BD99" s="216"/>
      <c r="BE99" s="216"/>
      <c r="BF99" s="216"/>
      <c r="BG99" s="216"/>
      <c r="BH99" s="216"/>
      <c r="BI99" s="207"/>
      <c r="BJ99" s="216">
        <f t="shared" si="59"/>
        <v>4</v>
      </c>
      <c r="BK99" s="219">
        <f t="shared" si="60"/>
        <v>16994</v>
      </c>
      <c r="BL99" s="172"/>
      <c r="BM99" s="13"/>
      <c r="BN99" s="231"/>
      <c r="BO99" s="231"/>
      <c r="BP99" s="231"/>
    </row>
    <row r="100" spans="1:1165">
      <c r="A100" s="206" t="s">
        <v>223</v>
      </c>
      <c r="B100" s="207" t="s">
        <v>160</v>
      </c>
      <c r="C100" s="268">
        <v>1020</v>
      </c>
      <c r="D100" s="268">
        <v>400</v>
      </c>
      <c r="E100" s="208">
        <v>0</v>
      </c>
      <c r="F100" s="208">
        <v>0</v>
      </c>
      <c r="G100" s="208">
        <v>0</v>
      </c>
      <c r="H100" s="208">
        <v>0</v>
      </c>
      <c r="I100" s="208">
        <v>0</v>
      </c>
      <c r="J100" s="208">
        <v>0</v>
      </c>
      <c r="K100" s="208">
        <v>0</v>
      </c>
      <c r="L100" s="208">
        <v>0</v>
      </c>
      <c r="M100" s="208">
        <v>0</v>
      </c>
      <c r="N100" s="208">
        <v>0</v>
      </c>
      <c r="O100" s="208">
        <v>0</v>
      </c>
      <c r="P100" s="208">
        <v>0</v>
      </c>
      <c r="Q100" s="208">
        <v>0</v>
      </c>
      <c r="R100" s="208">
        <v>0</v>
      </c>
      <c r="S100" s="208">
        <v>0</v>
      </c>
      <c r="T100" s="208">
        <v>0</v>
      </c>
      <c r="U100" s="208">
        <v>0</v>
      </c>
      <c r="V100" s="208">
        <v>0</v>
      </c>
      <c r="W100" s="208">
        <v>0</v>
      </c>
      <c r="X100" s="208">
        <v>0</v>
      </c>
      <c r="Y100" s="208">
        <v>0</v>
      </c>
      <c r="Z100" s="208">
        <v>0</v>
      </c>
      <c r="AA100" s="208">
        <v>0</v>
      </c>
      <c r="AB100" s="208">
        <v>0</v>
      </c>
      <c r="AC100" s="208">
        <v>0</v>
      </c>
      <c r="AD100" s="208">
        <v>0</v>
      </c>
      <c r="AE100" s="208">
        <v>0</v>
      </c>
      <c r="AF100" s="208">
        <v>0</v>
      </c>
      <c r="AG100" s="208">
        <v>0</v>
      </c>
      <c r="AH100" s="208">
        <v>0</v>
      </c>
      <c r="AI100" s="208">
        <v>0</v>
      </c>
      <c r="AJ100" s="208">
        <v>0</v>
      </c>
      <c r="AK100" s="208">
        <v>0</v>
      </c>
      <c r="AL100" s="208">
        <v>0</v>
      </c>
      <c r="AM100" s="208">
        <v>0</v>
      </c>
      <c r="AN100" s="208">
        <v>0</v>
      </c>
      <c r="AO100" s="208">
        <v>0</v>
      </c>
      <c r="AP100" s="208">
        <v>0</v>
      </c>
      <c r="AQ100" s="208">
        <v>0</v>
      </c>
      <c r="AR100" s="208">
        <v>0</v>
      </c>
      <c r="AS100" s="208">
        <v>0</v>
      </c>
      <c r="AT100" s="208">
        <v>0</v>
      </c>
      <c r="AU100" s="208">
        <v>0</v>
      </c>
      <c r="AV100" s="208">
        <v>0</v>
      </c>
      <c r="AW100" s="208"/>
      <c r="AX100" s="208"/>
      <c r="AY100" s="275"/>
      <c r="AZ100" s="275"/>
      <c r="BA100" s="207"/>
      <c r="BB100" s="216"/>
      <c r="BC100" s="216"/>
      <c r="BD100" s="216"/>
      <c r="BE100" s="216"/>
      <c r="BF100" s="216"/>
      <c r="BG100" s="216"/>
      <c r="BH100" s="216"/>
      <c r="BI100" s="207"/>
      <c r="BJ100" s="216">
        <f t="shared" si="59"/>
        <v>1020</v>
      </c>
      <c r="BK100" s="219">
        <f t="shared" si="60"/>
        <v>400</v>
      </c>
      <c r="BL100" s="172"/>
      <c r="BM100" s="13"/>
      <c r="BN100" s="231"/>
      <c r="BO100" s="231"/>
      <c r="BP100" s="231"/>
    </row>
    <row r="101" spans="1:1165">
      <c r="A101" s="206" t="s">
        <v>224</v>
      </c>
      <c r="B101" s="207" t="s">
        <v>160</v>
      </c>
      <c r="C101" s="268">
        <v>3.9550000000000001</v>
      </c>
      <c r="D101" s="268">
        <v>730</v>
      </c>
      <c r="E101" s="208">
        <v>0</v>
      </c>
      <c r="F101" s="208">
        <v>0</v>
      </c>
      <c r="G101" s="208">
        <v>0</v>
      </c>
      <c r="H101" s="208">
        <v>0</v>
      </c>
      <c r="I101" s="208">
        <v>0</v>
      </c>
      <c r="J101" s="208">
        <v>0</v>
      </c>
      <c r="K101" s="208">
        <v>0</v>
      </c>
      <c r="L101" s="208">
        <v>0</v>
      </c>
      <c r="M101" s="208">
        <v>0</v>
      </c>
      <c r="N101" s="208">
        <v>0</v>
      </c>
      <c r="O101" s="208">
        <v>0</v>
      </c>
      <c r="P101" s="208">
        <v>0</v>
      </c>
      <c r="Q101" s="208">
        <v>0</v>
      </c>
      <c r="R101" s="208">
        <v>0</v>
      </c>
      <c r="S101" s="208">
        <v>0</v>
      </c>
      <c r="T101" s="208">
        <v>0</v>
      </c>
      <c r="U101" s="208">
        <v>0</v>
      </c>
      <c r="V101" s="208">
        <v>0</v>
      </c>
      <c r="W101" s="208">
        <v>0</v>
      </c>
      <c r="X101" s="208">
        <v>0</v>
      </c>
      <c r="Y101" s="208">
        <v>0</v>
      </c>
      <c r="Z101" s="208">
        <v>0</v>
      </c>
      <c r="AA101" s="208">
        <v>0</v>
      </c>
      <c r="AB101" s="208">
        <v>0</v>
      </c>
      <c r="AC101" s="208">
        <v>0</v>
      </c>
      <c r="AD101" s="208">
        <v>0</v>
      </c>
      <c r="AE101" s="208">
        <v>0</v>
      </c>
      <c r="AF101" s="208">
        <v>0</v>
      </c>
      <c r="AG101" s="208">
        <v>0</v>
      </c>
      <c r="AH101" s="208">
        <v>0</v>
      </c>
      <c r="AI101" s="208">
        <v>0</v>
      </c>
      <c r="AJ101" s="208">
        <v>0</v>
      </c>
      <c r="AK101" s="208">
        <v>0</v>
      </c>
      <c r="AL101" s="208">
        <v>0</v>
      </c>
      <c r="AM101" s="208">
        <v>0</v>
      </c>
      <c r="AN101" s="208">
        <v>0</v>
      </c>
      <c r="AO101" s="208">
        <v>0</v>
      </c>
      <c r="AP101" s="208">
        <v>0</v>
      </c>
      <c r="AQ101" s="208">
        <v>0</v>
      </c>
      <c r="AR101" s="208">
        <v>0</v>
      </c>
      <c r="AS101" s="208">
        <v>0</v>
      </c>
      <c r="AT101" s="208">
        <v>0</v>
      </c>
      <c r="AU101" s="208">
        <v>0</v>
      </c>
      <c r="AV101" s="208">
        <v>0</v>
      </c>
      <c r="AW101" s="208"/>
      <c r="AX101" s="208"/>
      <c r="AY101" s="275"/>
      <c r="AZ101" s="275"/>
      <c r="BA101" s="207"/>
      <c r="BB101" s="216"/>
      <c r="BC101" s="216"/>
      <c r="BD101" s="216"/>
      <c r="BE101" s="216"/>
      <c r="BF101" s="216"/>
      <c r="BG101" s="216"/>
      <c r="BH101" s="216"/>
      <c r="BI101" s="207"/>
      <c r="BJ101" s="216">
        <f t="shared" si="59"/>
        <v>3.9550000000000001</v>
      </c>
      <c r="BK101" s="219">
        <f t="shared" si="60"/>
        <v>730</v>
      </c>
      <c r="BL101" s="172"/>
      <c r="BM101" s="13"/>
      <c r="BN101" s="231"/>
      <c r="BO101" s="231"/>
      <c r="BP101" s="231"/>
    </row>
    <row r="102" spans="1:1165">
      <c r="A102" s="206" t="s">
        <v>208</v>
      </c>
      <c r="B102" s="207" t="s">
        <v>160</v>
      </c>
      <c r="C102" s="268">
        <v>33484</v>
      </c>
      <c r="D102" s="268">
        <v>13545</v>
      </c>
      <c r="E102" s="208">
        <v>0</v>
      </c>
      <c r="F102" s="208">
        <v>0</v>
      </c>
      <c r="G102" s="208">
        <v>0</v>
      </c>
      <c r="H102" s="208">
        <v>0</v>
      </c>
      <c r="I102" s="208">
        <v>0</v>
      </c>
      <c r="J102" s="208">
        <v>0</v>
      </c>
      <c r="K102" s="208">
        <v>0</v>
      </c>
      <c r="L102" s="208">
        <v>0</v>
      </c>
      <c r="M102" s="208">
        <v>0</v>
      </c>
      <c r="N102" s="208">
        <v>0</v>
      </c>
      <c r="O102" s="208">
        <v>0</v>
      </c>
      <c r="P102" s="208">
        <v>0</v>
      </c>
      <c r="Q102" s="208">
        <v>0</v>
      </c>
      <c r="R102" s="208">
        <v>0</v>
      </c>
      <c r="S102" s="208">
        <v>0</v>
      </c>
      <c r="T102" s="208">
        <v>0</v>
      </c>
      <c r="U102" s="208">
        <v>0</v>
      </c>
      <c r="V102" s="208">
        <v>0</v>
      </c>
      <c r="W102" s="208">
        <v>0</v>
      </c>
      <c r="X102" s="208">
        <v>0</v>
      </c>
      <c r="Y102" s="208">
        <v>0</v>
      </c>
      <c r="Z102" s="208">
        <v>0</v>
      </c>
      <c r="AA102" s="208">
        <v>0</v>
      </c>
      <c r="AB102" s="208">
        <v>0</v>
      </c>
      <c r="AC102" s="208">
        <v>0</v>
      </c>
      <c r="AD102" s="208">
        <v>0</v>
      </c>
      <c r="AE102" s="208">
        <v>0</v>
      </c>
      <c r="AF102" s="208">
        <v>0</v>
      </c>
      <c r="AG102" s="208">
        <v>0</v>
      </c>
      <c r="AH102" s="208">
        <v>0</v>
      </c>
      <c r="AI102" s="208">
        <v>0</v>
      </c>
      <c r="AJ102" s="208">
        <v>0</v>
      </c>
      <c r="AK102" s="208">
        <v>0</v>
      </c>
      <c r="AL102" s="208">
        <v>0</v>
      </c>
      <c r="AM102" s="208">
        <v>0</v>
      </c>
      <c r="AN102" s="208">
        <v>0</v>
      </c>
      <c r="AO102" s="208">
        <v>0</v>
      </c>
      <c r="AP102" s="208">
        <v>0</v>
      </c>
      <c r="AQ102" s="208">
        <v>0</v>
      </c>
      <c r="AR102" s="208">
        <v>0</v>
      </c>
      <c r="AS102" s="208">
        <v>0</v>
      </c>
      <c r="AT102" s="208">
        <v>0</v>
      </c>
      <c r="AU102" s="208">
        <v>0</v>
      </c>
      <c r="AV102" s="208">
        <v>0</v>
      </c>
      <c r="AW102" s="208"/>
      <c r="AX102" s="208"/>
      <c r="AY102" s="275"/>
      <c r="AZ102" s="275"/>
      <c r="BA102" s="207"/>
      <c r="BB102" s="216"/>
      <c r="BC102" s="216"/>
      <c r="BD102" s="216"/>
      <c r="BE102" s="216"/>
      <c r="BF102" s="216"/>
      <c r="BG102" s="216"/>
      <c r="BH102" s="216"/>
      <c r="BI102" s="207"/>
      <c r="BJ102" s="216">
        <f t="shared" si="59"/>
        <v>33484</v>
      </c>
      <c r="BK102" s="219">
        <f t="shared" si="60"/>
        <v>13545</v>
      </c>
      <c r="BL102" s="172"/>
      <c r="BM102" s="13"/>
      <c r="BN102" s="231"/>
      <c r="BO102" s="231"/>
      <c r="BP102" s="231"/>
    </row>
    <row r="103" spans="1:1165">
      <c r="A103" s="206" t="s">
        <v>225</v>
      </c>
      <c r="B103" s="207" t="s">
        <v>160</v>
      </c>
      <c r="C103" s="268">
        <v>1422</v>
      </c>
      <c r="D103" s="268">
        <v>5378</v>
      </c>
      <c r="E103" s="208">
        <v>615</v>
      </c>
      <c r="F103" s="208">
        <v>2150</v>
      </c>
      <c r="G103" s="208">
        <v>270</v>
      </c>
      <c r="H103" s="208">
        <v>1080</v>
      </c>
      <c r="I103" s="208">
        <v>0</v>
      </c>
      <c r="J103" s="208">
        <v>0</v>
      </c>
      <c r="K103" s="208">
        <v>0</v>
      </c>
      <c r="L103" s="208">
        <v>0</v>
      </c>
      <c r="M103" s="208">
        <v>0</v>
      </c>
      <c r="N103" s="208">
        <v>0</v>
      </c>
      <c r="O103" s="208">
        <v>0</v>
      </c>
      <c r="P103" s="208">
        <v>0</v>
      </c>
      <c r="Q103" s="208">
        <v>0</v>
      </c>
      <c r="R103" s="208">
        <v>0</v>
      </c>
      <c r="S103" s="208">
        <v>0</v>
      </c>
      <c r="T103" s="208">
        <v>0</v>
      </c>
      <c r="U103" s="208">
        <v>0</v>
      </c>
      <c r="V103" s="208">
        <v>0</v>
      </c>
      <c r="W103" s="208">
        <v>0</v>
      </c>
      <c r="X103" s="208">
        <v>0</v>
      </c>
      <c r="Y103" s="208">
        <v>0</v>
      </c>
      <c r="Z103" s="208">
        <v>0</v>
      </c>
      <c r="AA103" s="208">
        <v>0</v>
      </c>
      <c r="AB103" s="208">
        <v>0</v>
      </c>
      <c r="AC103" s="208">
        <v>0</v>
      </c>
      <c r="AD103" s="208">
        <v>0</v>
      </c>
      <c r="AE103" s="208">
        <v>0</v>
      </c>
      <c r="AF103" s="208">
        <v>0</v>
      </c>
      <c r="AG103" s="208">
        <v>0</v>
      </c>
      <c r="AH103" s="208">
        <v>0</v>
      </c>
      <c r="AI103" s="208">
        <v>0</v>
      </c>
      <c r="AJ103" s="208">
        <v>0</v>
      </c>
      <c r="AK103" s="208">
        <v>0</v>
      </c>
      <c r="AL103" s="208">
        <v>0</v>
      </c>
      <c r="AM103" s="208">
        <v>0</v>
      </c>
      <c r="AN103" s="208">
        <v>0</v>
      </c>
      <c r="AO103" s="208">
        <v>0</v>
      </c>
      <c r="AP103" s="208">
        <v>0</v>
      </c>
      <c r="AQ103" s="208">
        <v>0</v>
      </c>
      <c r="AR103" s="208">
        <v>0</v>
      </c>
      <c r="AS103" s="208">
        <v>0</v>
      </c>
      <c r="AT103" s="208">
        <v>0</v>
      </c>
      <c r="AU103" s="208">
        <v>0</v>
      </c>
      <c r="AV103" s="208">
        <v>0</v>
      </c>
      <c r="AW103" s="208"/>
      <c r="AX103" s="208"/>
      <c r="AY103" s="274"/>
      <c r="AZ103" s="274"/>
      <c r="BA103" s="269"/>
      <c r="BB103" s="208"/>
      <c r="BC103" s="208"/>
      <c r="BD103" s="208"/>
      <c r="BE103" s="208"/>
      <c r="BF103" s="208"/>
      <c r="BG103" s="208"/>
      <c r="BH103" s="208"/>
      <c r="BI103" s="269"/>
      <c r="BJ103" s="208">
        <f t="shared" si="59"/>
        <v>1692</v>
      </c>
      <c r="BK103" s="219">
        <f t="shared" si="60"/>
        <v>6458</v>
      </c>
      <c r="BL103" s="172"/>
      <c r="BM103" s="13"/>
      <c r="BN103" s="231"/>
      <c r="BP103" s="231"/>
    </row>
    <row r="104" spans="1:1165">
      <c r="A104" s="206" t="s">
        <v>226</v>
      </c>
      <c r="B104" s="207" t="s">
        <v>160</v>
      </c>
      <c r="C104" s="268">
        <v>20447</v>
      </c>
      <c r="D104" s="268">
        <v>14412</v>
      </c>
      <c r="E104" s="208">
        <v>0</v>
      </c>
      <c r="F104" s="208">
        <v>0</v>
      </c>
      <c r="G104" s="208">
        <v>0</v>
      </c>
      <c r="H104" s="208">
        <v>0</v>
      </c>
      <c r="I104" s="208">
        <v>0</v>
      </c>
      <c r="J104" s="208">
        <v>0</v>
      </c>
      <c r="K104" s="208">
        <v>0</v>
      </c>
      <c r="L104" s="208">
        <v>0</v>
      </c>
      <c r="M104" s="208">
        <v>0</v>
      </c>
      <c r="N104" s="208">
        <v>0</v>
      </c>
      <c r="O104" s="208">
        <v>54</v>
      </c>
      <c r="P104" s="208">
        <v>50214</v>
      </c>
      <c r="Q104" s="208">
        <v>0</v>
      </c>
      <c r="R104" s="208">
        <v>0</v>
      </c>
      <c r="S104" s="208">
        <v>0</v>
      </c>
      <c r="T104" s="208">
        <v>0</v>
      </c>
      <c r="U104" s="208">
        <v>0</v>
      </c>
      <c r="V104" s="208">
        <v>0</v>
      </c>
      <c r="W104" s="208">
        <v>0</v>
      </c>
      <c r="X104" s="208">
        <v>0</v>
      </c>
      <c r="Y104" s="208">
        <v>0</v>
      </c>
      <c r="Z104" s="208">
        <v>0</v>
      </c>
      <c r="AA104" s="208">
        <v>0</v>
      </c>
      <c r="AB104" s="208">
        <v>0</v>
      </c>
      <c r="AC104" s="208">
        <v>0</v>
      </c>
      <c r="AD104" s="208">
        <v>0</v>
      </c>
      <c r="AE104" s="208">
        <v>0</v>
      </c>
      <c r="AF104" s="208">
        <v>0</v>
      </c>
      <c r="AG104" s="208">
        <v>0</v>
      </c>
      <c r="AH104" s="208">
        <v>0</v>
      </c>
      <c r="AI104" s="208">
        <v>0</v>
      </c>
      <c r="AJ104" s="208">
        <v>0</v>
      </c>
      <c r="AK104" s="208">
        <v>0</v>
      </c>
      <c r="AL104" s="208">
        <v>0</v>
      </c>
      <c r="AM104" s="208">
        <v>0</v>
      </c>
      <c r="AN104" s="208">
        <v>0</v>
      </c>
      <c r="AO104" s="208">
        <v>0</v>
      </c>
      <c r="AP104" s="208">
        <v>0</v>
      </c>
      <c r="AQ104" s="208">
        <v>0</v>
      </c>
      <c r="AR104" s="208">
        <v>0</v>
      </c>
      <c r="AS104" s="208">
        <v>0</v>
      </c>
      <c r="AT104" s="208">
        <v>0</v>
      </c>
      <c r="AU104" s="208">
        <v>0</v>
      </c>
      <c r="AV104" s="208">
        <v>0</v>
      </c>
      <c r="AW104" s="208"/>
      <c r="AX104" s="208"/>
      <c r="AY104" s="274"/>
      <c r="AZ104" s="274"/>
      <c r="BA104" s="208"/>
      <c r="BB104" s="208"/>
      <c r="BC104" s="208"/>
      <c r="BD104" s="208"/>
      <c r="BE104" s="208"/>
      <c r="BF104" s="208"/>
      <c r="BG104" s="208"/>
      <c r="BH104" s="208"/>
      <c r="BI104" s="208"/>
      <c r="BJ104" s="208">
        <f t="shared" si="59"/>
        <v>20501</v>
      </c>
      <c r="BK104" s="219">
        <f t="shared" si="60"/>
        <v>64626</v>
      </c>
      <c r="BL104" s="172"/>
      <c r="BM104" s="13"/>
      <c r="BN104" s="231"/>
      <c r="BO104" s="231"/>
      <c r="BP104" s="231"/>
    </row>
    <row r="105" spans="1:1165">
      <c r="A105" s="206" t="s">
        <v>227</v>
      </c>
      <c r="B105" s="207" t="s">
        <v>160</v>
      </c>
      <c r="C105" s="268">
        <v>1035</v>
      </c>
      <c r="D105" s="268">
        <v>2124</v>
      </c>
      <c r="E105" s="208">
        <v>0</v>
      </c>
      <c r="F105" s="208">
        <v>0</v>
      </c>
      <c r="G105" s="208">
        <v>0</v>
      </c>
      <c r="H105" s="208">
        <v>0</v>
      </c>
      <c r="I105" s="208">
        <v>0</v>
      </c>
      <c r="J105" s="208">
        <v>0</v>
      </c>
      <c r="K105" s="208">
        <v>0</v>
      </c>
      <c r="L105" s="208">
        <v>0</v>
      </c>
      <c r="M105" s="208">
        <v>0</v>
      </c>
      <c r="N105" s="208">
        <v>0</v>
      </c>
      <c r="O105" s="208">
        <v>0</v>
      </c>
      <c r="P105" s="208">
        <v>0</v>
      </c>
      <c r="Q105" s="208">
        <v>0</v>
      </c>
      <c r="R105" s="208">
        <v>0</v>
      </c>
      <c r="S105" s="208">
        <v>0</v>
      </c>
      <c r="T105" s="208">
        <v>0</v>
      </c>
      <c r="U105" s="208">
        <v>0</v>
      </c>
      <c r="V105" s="208">
        <v>0</v>
      </c>
      <c r="W105" s="208">
        <v>0</v>
      </c>
      <c r="X105" s="208">
        <v>0</v>
      </c>
      <c r="Y105" s="230">
        <v>0</v>
      </c>
      <c r="Z105" s="230">
        <v>0</v>
      </c>
      <c r="AA105" s="230">
        <v>0</v>
      </c>
      <c r="AB105" s="230">
        <v>0</v>
      </c>
      <c r="AC105" s="219">
        <v>81</v>
      </c>
      <c r="AD105" s="219">
        <v>15713</v>
      </c>
      <c r="AE105" s="200">
        <v>7</v>
      </c>
      <c r="AF105" s="200">
        <v>1425</v>
      </c>
      <c r="AG105" s="200">
        <v>0</v>
      </c>
      <c r="AH105" s="200">
        <v>0</v>
      </c>
      <c r="AI105" s="200">
        <v>0</v>
      </c>
      <c r="AJ105" s="200">
        <v>0</v>
      </c>
      <c r="AK105" s="200">
        <v>0</v>
      </c>
      <c r="AL105" s="200">
        <v>0</v>
      </c>
      <c r="AM105" s="200">
        <v>0</v>
      </c>
      <c r="AN105" s="200">
        <v>0</v>
      </c>
      <c r="AO105" s="200">
        <v>0</v>
      </c>
      <c r="AP105" s="200">
        <v>0</v>
      </c>
      <c r="AQ105" s="200">
        <v>0</v>
      </c>
      <c r="AR105" s="200">
        <v>0</v>
      </c>
      <c r="AS105" s="200">
        <v>0</v>
      </c>
      <c r="AT105" s="200">
        <v>0</v>
      </c>
      <c r="AU105" s="208">
        <v>0</v>
      </c>
      <c r="AV105" s="208">
        <v>0</v>
      </c>
      <c r="AW105" s="219"/>
      <c r="AX105" s="219"/>
      <c r="AY105" s="277"/>
      <c r="AZ105" s="277"/>
      <c r="BA105" s="200"/>
      <c r="BB105" s="219"/>
      <c r="BC105" s="219"/>
      <c r="BD105" s="219"/>
      <c r="BE105" s="219"/>
      <c r="BF105" s="219"/>
      <c r="BG105" s="219"/>
      <c r="BH105" s="219"/>
      <c r="BI105" s="200"/>
      <c r="BJ105" s="219">
        <f t="shared" si="59"/>
        <v>1123</v>
      </c>
      <c r="BK105" s="219">
        <f t="shared" si="60"/>
        <v>19262</v>
      </c>
      <c r="BL105" s="172"/>
      <c r="BM105" s="13"/>
      <c r="BN105" s="231"/>
      <c r="BO105" s="231"/>
      <c r="BP105" s="231"/>
    </row>
    <row r="106" spans="1:1165">
      <c r="A106" s="206" t="s">
        <v>228</v>
      </c>
      <c r="B106" s="207" t="s">
        <v>160</v>
      </c>
      <c r="C106" s="208">
        <v>0</v>
      </c>
      <c r="D106" s="208">
        <v>0</v>
      </c>
      <c r="E106" s="208">
        <v>0</v>
      </c>
      <c r="F106" s="208">
        <v>0</v>
      </c>
      <c r="G106" s="208">
        <v>0</v>
      </c>
      <c r="H106" s="208">
        <v>0</v>
      </c>
      <c r="I106" s="208">
        <v>0</v>
      </c>
      <c r="J106" s="208">
        <v>0</v>
      </c>
      <c r="K106" s="208">
        <v>0</v>
      </c>
      <c r="L106" s="208">
        <v>0</v>
      </c>
      <c r="M106" s="208">
        <v>0</v>
      </c>
      <c r="N106" s="208">
        <v>0</v>
      </c>
      <c r="O106" s="208">
        <v>0</v>
      </c>
      <c r="P106" s="208">
        <v>0</v>
      </c>
      <c r="Q106" s="208">
        <v>0</v>
      </c>
      <c r="R106" s="208">
        <v>0</v>
      </c>
      <c r="S106" s="208">
        <v>0</v>
      </c>
      <c r="T106" s="208">
        <v>0</v>
      </c>
      <c r="U106" s="208">
        <v>0</v>
      </c>
      <c r="V106" s="208">
        <v>0</v>
      </c>
      <c r="W106" s="208">
        <v>0</v>
      </c>
      <c r="X106" s="208">
        <v>0</v>
      </c>
      <c r="Y106" s="230">
        <v>0</v>
      </c>
      <c r="Z106" s="230">
        <v>0</v>
      </c>
      <c r="AA106" s="230">
        <v>0</v>
      </c>
      <c r="AB106" s="230">
        <v>0</v>
      </c>
      <c r="AC106" s="208">
        <v>1143</v>
      </c>
      <c r="AD106" s="208">
        <v>6680</v>
      </c>
      <c r="AE106" s="200">
        <v>720</v>
      </c>
      <c r="AF106" s="200">
        <v>870</v>
      </c>
      <c r="AG106" s="200">
        <v>0</v>
      </c>
      <c r="AH106" s="200">
        <v>0</v>
      </c>
      <c r="AI106" s="200">
        <v>25701</v>
      </c>
      <c r="AJ106" s="200">
        <v>35990</v>
      </c>
      <c r="AK106" s="208">
        <v>0</v>
      </c>
      <c r="AL106" s="208">
        <v>0</v>
      </c>
      <c r="AM106" s="273">
        <v>28730</v>
      </c>
      <c r="AN106" s="273">
        <v>17238</v>
      </c>
      <c r="AO106" s="200">
        <v>0</v>
      </c>
      <c r="AP106" s="200">
        <v>0</v>
      </c>
      <c r="AQ106" s="200">
        <v>60</v>
      </c>
      <c r="AR106" s="200">
        <v>36000</v>
      </c>
      <c r="AS106" s="200">
        <v>40.090000000000003</v>
      </c>
      <c r="AT106" s="200">
        <v>24054</v>
      </c>
      <c r="AU106" s="230">
        <v>111830</v>
      </c>
      <c r="AV106" s="230">
        <v>67098</v>
      </c>
      <c r="AW106" s="279"/>
      <c r="AX106" s="279"/>
      <c r="AY106" s="292"/>
      <c r="AZ106" s="292"/>
      <c r="BA106" s="232"/>
      <c r="BB106" s="279"/>
      <c r="BC106" s="279"/>
      <c r="BD106" s="279"/>
      <c r="BE106" s="279"/>
      <c r="BF106" s="279"/>
      <c r="BG106" s="279"/>
      <c r="BH106" s="279"/>
      <c r="BI106" s="232"/>
      <c r="BJ106" s="279">
        <f t="shared" si="59"/>
        <v>168224.09</v>
      </c>
      <c r="BK106" s="219">
        <f t="shared" si="60"/>
        <v>187930</v>
      </c>
      <c r="BL106" s="172"/>
      <c r="BM106" s="13"/>
      <c r="BP106" s="231"/>
    </row>
    <row r="107" spans="1:1165">
      <c r="A107" s="206" t="s">
        <v>229</v>
      </c>
      <c r="B107" s="207" t="s">
        <v>160</v>
      </c>
      <c r="C107" s="208">
        <v>0</v>
      </c>
      <c r="D107" s="208">
        <v>0</v>
      </c>
      <c r="E107" s="208">
        <v>0</v>
      </c>
      <c r="F107" s="208">
        <v>0</v>
      </c>
      <c r="G107" s="208">
        <v>0</v>
      </c>
      <c r="H107" s="208">
        <v>0</v>
      </c>
      <c r="I107" s="208">
        <v>0</v>
      </c>
      <c r="J107" s="208">
        <v>0</v>
      </c>
      <c r="K107" s="208">
        <v>0</v>
      </c>
      <c r="L107" s="208">
        <v>0</v>
      </c>
      <c r="M107" s="208">
        <v>0</v>
      </c>
      <c r="N107" s="208">
        <v>0</v>
      </c>
      <c r="O107" s="208">
        <v>0</v>
      </c>
      <c r="P107" s="208">
        <v>0</v>
      </c>
      <c r="Q107" s="208">
        <v>0</v>
      </c>
      <c r="R107" s="208">
        <v>0</v>
      </c>
      <c r="S107" s="208">
        <v>0</v>
      </c>
      <c r="T107" s="208">
        <v>0</v>
      </c>
      <c r="U107" s="208">
        <v>0</v>
      </c>
      <c r="V107" s="208">
        <v>0</v>
      </c>
      <c r="W107" s="219">
        <v>1260</v>
      </c>
      <c r="X107" s="219">
        <v>12600</v>
      </c>
      <c r="Y107" s="230">
        <v>0</v>
      </c>
      <c r="Z107" s="230">
        <v>0</v>
      </c>
      <c r="AA107" s="230">
        <v>0</v>
      </c>
      <c r="AB107" s="230">
        <v>0</v>
      </c>
      <c r="AC107" s="230">
        <v>0</v>
      </c>
      <c r="AD107" s="230">
        <v>0</v>
      </c>
      <c r="AE107" s="230">
        <v>0</v>
      </c>
      <c r="AF107" s="230">
        <v>0</v>
      </c>
      <c r="AG107" s="230">
        <v>0</v>
      </c>
      <c r="AH107" s="230">
        <v>0</v>
      </c>
      <c r="AI107" s="230">
        <v>0</v>
      </c>
      <c r="AJ107" s="230">
        <v>0</v>
      </c>
      <c r="AK107" s="230">
        <v>0</v>
      </c>
      <c r="AL107" s="230">
        <v>0</v>
      </c>
      <c r="AM107" s="230">
        <v>0</v>
      </c>
      <c r="AN107" s="230">
        <v>0</v>
      </c>
      <c r="AO107" s="230">
        <v>0</v>
      </c>
      <c r="AP107" s="230">
        <v>0</v>
      </c>
      <c r="AQ107" s="230">
        <v>0</v>
      </c>
      <c r="AR107" s="230">
        <v>0</v>
      </c>
      <c r="AS107" s="230">
        <v>0</v>
      </c>
      <c r="AT107" s="230">
        <v>0</v>
      </c>
      <c r="AU107" s="230">
        <v>0</v>
      </c>
      <c r="AV107" s="230">
        <v>0</v>
      </c>
      <c r="AW107" s="219"/>
      <c r="AX107" s="219"/>
      <c r="AY107" s="277"/>
      <c r="AZ107" s="277"/>
      <c r="BA107" s="200"/>
      <c r="BB107" s="219"/>
      <c r="BC107" s="219"/>
      <c r="BD107" s="219"/>
      <c r="BE107" s="219"/>
      <c r="BF107" s="219"/>
      <c r="BG107" s="219"/>
      <c r="BH107" s="219"/>
      <c r="BI107" s="200"/>
      <c r="BJ107" s="219">
        <f t="shared" si="59"/>
        <v>1260</v>
      </c>
      <c r="BK107" s="219">
        <f t="shared" si="60"/>
        <v>12600</v>
      </c>
      <c r="BL107" s="172"/>
      <c r="BM107" s="231"/>
      <c r="BN107" s="231"/>
      <c r="BP107" s="231"/>
    </row>
    <row r="108" spans="1:1165">
      <c r="A108" s="209" t="s">
        <v>230</v>
      </c>
      <c r="B108" s="139"/>
      <c r="C108" s="281"/>
      <c r="D108" s="281">
        <f>SUM(D87:D107)</f>
        <v>450462</v>
      </c>
      <c r="E108" s="219"/>
      <c r="F108" s="219">
        <f>SUM(F87:F107)</f>
        <v>86983</v>
      </c>
      <c r="G108" s="219"/>
      <c r="H108" s="219">
        <f>SUM(H87:H107)</f>
        <v>7114</v>
      </c>
      <c r="I108" s="219"/>
      <c r="J108" s="219">
        <f>SUM(J87:J107)</f>
        <v>39907</v>
      </c>
      <c r="K108" s="219"/>
      <c r="L108" s="219">
        <f>SUM(L87:L107)</f>
        <v>73784</v>
      </c>
      <c r="M108" s="219"/>
      <c r="N108" s="219">
        <f>SUM(N87:N107)</f>
        <v>60704</v>
      </c>
      <c r="O108" s="219"/>
      <c r="P108" s="219">
        <f>SUM(P87:P107)</f>
        <v>140582</v>
      </c>
      <c r="Q108" s="219"/>
      <c r="R108" s="219">
        <f>SUM(R87:R107)</f>
        <v>54199</v>
      </c>
      <c r="S108" s="219"/>
      <c r="T108" s="219">
        <f>SUM(T87:T107)</f>
        <v>195500</v>
      </c>
      <c r="U108" s="200"/>
      <c r="V108" s="200">
        <f>SUM(V87:V107)</f>
        <v>288126</v>
      </c>
      <c r="W108" s="269"/>
      <c r="X108" s="208">
        <f>SUM(X87:X107)</f>
        <v>187287</v>
      </c>
      <c r="Y108" s="200"/>
      <c r="Z108" s="200">
        <f>SUM(Z87:Z107)</f>
        <v>3291</v>
      </c>
      <c r="AA108" s="200"/>
      <c r="AB108" s="230">
        <f>SUM(AB87:AB107)</f>
        <v>163926</v>
      </c>
      <c r="AC108" s="208"/>
      <c r="AD108" s="208">
        <f>SUM(AD87:AD107)</f>
        <v>1332783</v>
      </c>
      <c r="AE108" s="200"/>
      <c r="AF108" s="230">
        <f>SUM(AF87:AF107)</f>
        <v>1215324</v>
      </c>
      <c r="AG108" s="200"/>
      <c r="AH108" s="200">
        <f>SUM(AH87:AH107)</f>
        <v>1610808</v>
      </c>
      <c r="AI108" s="200"/>
      <c r="AJ108" s="200">
        <f>SUM(AJ87:AJ107)</f>
        <v>749726</v>
      </c>
      <c r="AK108" s="200"/>
      <c r="AL108" s="270">
        <f>SUM(AL87:AL107)</f>
        <v>25893</v>
      </c>
      <c r="AM108" s="200"/>
      <c r="AN108" s="200">
        <f>SUM(AN87:AN106)</f>
        <v>51848</v>
      </c>
      <c r="AO108" s="283"/>
      <c r="AP108" s="200">
        <f>SUM(AP87:AP107)</f>
        <v>4027</v>
      </c>
      <c r="AQ108" s="200"/>
      <c r="AR108" s="200">
        <f>SUM(AR87:AR107)</f>
        <v>54006</v>
      </c>
      <c r="AS108" s="200"/>
      <c r="AT108" s="200">
        <f>SUM(AT87:AT107)</f>
        <v>41194</v>
      </c>
      <c r="AU108" s="200"/>
      <c r="AV108" s="200">
        <f>SUM(AV87:AV107)</f>
        <v>135243</v>
      </c>
      <c r="AW108" s="230">
        <v>540965</v>
      </c>
      <c r="AX108" s="230">
        <v>546807</v>
      </c>
      <c r="AY108" s="208">
        <v>180669</v>
      </c>
      <c r="AZ108" s="208">
        <v>219320.33</v>
      </c>
      <c r="BA108" s="208"/>
      <c r="BB108" s="208"/>
      <c r="BC108" s="200"/>
      <c r="BD108" s="208"/>
      <c r="BE108" s="200"/>
      <c r="BF108" s="231"/>
      <c r="BG108" s="200"/>
      <c r="BH108" s="231"/>
      <c r="BI108" s="200"/>
      <c r="BJ108" s="208"/>
      <c r="BK108" s="219">
        <f>D108+H108+J108+L108+N108+P108+R108+T108+V108+X108+Z108+AB108+AD108+AF108+AH108+AJ108+AL108+AN108+AP108+AR108+AT108+AV108+AX108+AZ108+BD108+BH108</f>
        <v>7651861.3300000001</v>
      </c>
      <c r="BL108" s="172"/>
      <c r="BM108" s="231"/>
      <c r="BN108" s="231"/>
      <c r="BP108" s="231"/>
    </row>
    <row r="109" spans="1:1165">
      <c r="A109" s="209"/>
      <c r="B109" s="139"/>
      <c r="C109" s="281"/>
      <c r="D109" s="281"/>
      <c r="E109" s="219"/>
      <c r="F109" s="219"/>
      <c r="G109" s="219"/>
      <c r="H109" s="219"/>
      <c r="I109" s="219"/>
      <c r="J109" s="219"/>
      <c r="K109" s="219"/>
      <c r="L109" s="219"/>
      <c r="M109" s="219"/>
      <c r="N109" s="219"/>
      <c r="O109" s="219"/>
      <c r="P109" s="219"/>
      <c r="Q109" s="219"/>
      <c r="R109" s="219"/>
      <c r="S109" s="219"/>
      <c r="T109" s="219"/>
      <c r="U109" s="200"/>
      <c r="V109" s="200"/>
      <c r="W109" s="269"/>
      <c r="X109" s="208"/>
      <c r="Y109" s="200"/>
      <c r="Z109" s="200"/>
      <c r="AA109" s="200"/>
      <c r="AB109" s="230"/>
      <c r="AC109" s="208"/>
      <c r="AD109" s="208"/>
      <c r="AE109" s="200"/>
      <c r="AF109" s="230"/>
      <c r="AG109" s="200"/>
      <c r="AH109" s="200"/>
      <c r="AI109" s="200"/>
      <c r="AJ109" s="200"/>
      <c r="AK109" s="200"/>
      <c r="AL109" s="270"/>
      <c r="AM109" s="200"/>
      <c r="AN109" s="200"/>
      <c r="AO109" s="283"/>
      <c r="AP109" s="200"/>
      <c r="AQ109" s="200"/>
      <c r="AR109" s="200"/>
      <c r="AS109" s="200"/>
      <c r="AT109" s="200"/>
      <c r="AU109" s="200"/>
      <c r="AV109" s="200"/>
      <c r="AW109" s="249"/>
      <c r="AX109" s="249"/>
      <c r="AY109" s="248"/>
      <c r="AZ109" s="248"/>
      <c r="BA109" s="283"/>
      <c r="BB109" s="249"/>
      <c r="BC109" s="249"/>
      <c r="BD109" s="249"/>
      <c r="BE109" s="249"/>
      <c r="BF109" s="249"/>
      <c r="BG109" s="249"/>
      <c r="BH109" s="249"/>
      <c r="BI109" s="283"/>
      <c r="BJ109" s="249"/>
      <c r="BK109" s="249"/>
      <c r="BL109" s="172"/>
      <c r="BP109" s="231"/>
    </row>
    <row r="110" spans="1:1165" s="257" customFormat="1">
      <c r="A110" s="194" t="s">
        <v>231</v>
      </c>
      <c r="B110" s="195" t="s">
        <v>87</v>
      </c>
      <c r="C110" s="258">
        <v>6571</v>
      </c>
      <c r="D110" s="258">
        <v>300679</v>
      </c>
      <c r="E110" s="258">
        <v>0</v>
      </c>
      <c r="F110" s="258">
        <v>0</v>
      </c>
      <c r="G110" s="258">
        <v>0</v>
      </c>
      <c r="H110" s="258">
        <v>0</v>
      </c>
      <c r="I110" s="258">
        <v>0</v>
      </c>
      <c r="J110" s="258">
        <v>0</v>
      </c>
      <c r="K110" s="258">
        <v>0</v>
      </c>
      <c r="L110" s="258">
        <v>0</v>
      </c>
      <c r="M110" s="258">
        <v>0</v>
      </c>
      <c r="N110" s="258">
        <v>0</v>
      </c>
      <c r="O110" s="258">
        <v>0</v>
      </c>
      <c r="P110" s="258">
        <v>0</v>
      </c>
      <c r="Q110" s="258">
        <v>0</v>
      </c>
      <c r="R110" s="258">
        <v>0</v>
      </c>
      <c r="S110" s="258">
        <v>0</v>
      </c>
      <c r="T110" s="258">
        <v>0</v>
      </c>
      <c r="U110" s="258">
        <v>0</v>
      </c>
      <c r="V110" s="258">
        <v>0</v>
      </c>
      <c r="W110" s="258">
        <v>0</v>
      </c>
      <c r="X110" s="258">
        <v>0</v>
      </c>
      <c r="Y110" s="258">
        <v>0</v>
      </c>
      <c r="Z110" s="258">
        <v>0</v>
      </c>
      <c r="AA110" s="258">
        <v>0</v>
      </c>
      <c r="AB110" s="258">
        <v>0</v>
      </c>
      <c r="AC110" s="258">
        <v>0</v>
      </c>
      <c r="AD110" s="258">
        <v>0</v>
      </c>
      <c r="AE110" s="258">
        <v>0</v>
      </c>
      <c r="AF110" s="258">
        <v>0</v>
      </c>
      <c r="AG110" s="258">
        <v>0</v>
      </c>
      <c r="AH110" s="258">
        <v>0</v>
      </c>
      <c r="AI110" s="258">
        <v>0</v>
      </c>
      <c r="AJ110" s="258">
        <v>0</v>
      </c>
      <c r="AK110" s="258">
        <v>0</v>
      </c>
      <c r="AL110" s="258">
        <v>0</v>
      </c>
      <c r="AM110" s="258">
        <v>0</v>
      </c>
      <c r="AN110" s="258">
        <v>0</v>
      </c>
      <c r="AO110" s="258">
        <v>0</v>
      </c>
      <c r="AP110" s="258">
        <v>0</v>
      </c>
      <c r="AQ110" s="258">
        <v>0</v>
      </c>
      <c r="AR110" s="258">
        <v>0</v>
      </c>
      <c r="AS110" s="258">
        <v>0</v>
      </c>
      <c r="AT110" s="258">
        <v>0</v>
      </c>
      <c r="AU110" s="258">
        <v>0</v>
      </c>
      <c r="AV110" s="258">
        <v>0</v>
      </c>
      <c r="AW110" s="258">
        <v>0</v>
      </c>
      <c r="AX110" s="258">
        <v>0</v>
      </c>
      <c r="AY110" s="258">
        <v>0</v>
      </c>
      <c r="AZ110" s="258">
        <v>0</v>
      </c>
      <c r="BA110" s="195"/>
      <c r="BB110" s="258"/>
      <c r="BC110" s="258"/>
      <c r="BD110" s="258"/>
      <c r="BE110" s="224"/>
      <c r="BF110" s="258"/>
      <c r="BG110" s="258"/>
      <c r="BH110" s="258"/>
      <c r="BI110" s="224"/>
      <c r="BJ110" s="250">
        <f>C110+G110+I110+K110+M110+O110+Q110+S110+U110+W110+Y110+AA110+AC110+AE110+AG110+AI110+AK110+AM110+AO110+AQ110+AS110+AU110+AW110+AY110+BB110+BF110</f>
        <v>6571</v>
      </c>
      <c r="BK110" s="258">
        <f>D110+H110+J110+L110+N110+P110+R110+T110+V110+X110+Z110+AB110+AD110+AF110+AH110+AJ110+AL110+AN110+AP110+AR110+AT110+AV110+AX110+AZ110+BD110+BH110</f>
        <v>300679</v>
      </c>
      <c r="BL110" s="172"/>
      <c r="BM110" s="231"/>
      <c r="BN110" s="172"/>
      <c r="BO110" s="172"/>
      <c r="BP110" s="231"/>
      <c r="BQ110" s="172"/>
      <c r="BR110" s="172"/>
      <c r="BS110" s="172"/>
      <c r="BT110" s="172"/>
      <c r="BU110" s="172"/>
      <c r="BV110" s="172"/>
      <c r="BW110" s="172"/>
      <c r="BX110" s="172"/>
      <c r="BY110" s="172"/>
      <c r="BZ110" s="172"/>
      <c r="CA110" s="172"/>
      <c r="CB110" s="172"/>
      <c r="CC110" s="172"/>
      <c r="CD110" s="172"/>
      <c r="CE110" s="172"/>
      <c r="CF110" s="172"/>
      <c r="CG110" s="172"/>
      <c r="CH110" s="172"/>
      <c r="CI110" s="172"/>
      <c r="CJ110" s="172"/>
      <c r="CK110" s="172"/>
      <c r="CL110" s="172"/>
      <c r="CM110" s="172"/>
      <c r="CN110" s="172"/>
      <c r="CO110" s="172"/>
      <c r="CP110" s="172"/>
      <c r="CQ110" s="172"/>
      <c r="CR110" s="172"/>
      <c r="CS110" s="172"/>
      <c r="CT110" s="172"/>
      <c r="CU110" s="172"/>
      <c r="CV110" s="172"/>
      <c r="CW110" s="172"/>
      <c r="CX110" s="172"/>
      <c r="CY110" s="172"/>
      <c r="CZ110" s="172"/>
      <c r="DA110" s="172"/>
      <c r="DB110" s="172"/>
      <c r="DC110" s="172"/>
      <c r="DD110" s="172"/>
      <c r="DE110" s="172"/>
      <c r="DF110" s="172"/>
      <c r="DG110" s="172"/>
      <c r="DH110" s="172"/>
      <c r="DI110" s="172"/>
      <c r="DJ110" s="172"/>
      <c r="DK110" s="172"/>
      <c r="DL110" s="172"/>
      <c r="DM110" s="172"/>
      <c r="DN110" s="172"/>
      <c r="DO110" s="172"/>
      <c r="DP110" s="172"/>
      <c r="DQ110" s="172"/>
      <c r="DR110" s="172"/>
      <c r="DS110" s="172"/>
      <c r="DT110" s="172"/>
      <c r="DU110" s="172"/>
      <c r="DV110" s="172"/>
      <c r="DW110" s="172"/>
      <c r="DX110" s="172"/>
      <c r="DY110" s="172"/>
      <c r="DZ110" s="172"/>
      <c r="EA110" s="172"/>
      <c r="EB110" s="172"/>
      <c r="EC110" s="172"/>
      <c r="ED110" s="172"/>
      <c r="EE110" s="172"/>
      <c r="EF110" s="172"/>
      <c r="EG110" s="172"/>
      <c r="EH110" s="172"/>
      <c r="EI110" s="172"/>
      <c r="EJ110" s="172"/>
      <c r="EK110" s="172"/>
      <c r="EL110" s="172"/>
      <c r="EM110" s="172"/>
      <c r="EN110" s="172"/>
      <c r="EO110" s="172"/>
      <c r="EP110" s="172"/>
      <c r="EQ110" s="172"/>
      <c r="ER110" s="172"/>
      <c r="ES110" s="172"/>
      <c r="ET110" s="172"/>
      <c r="EU110" s="172"/>
      <c r="EV110" s="172"/>
      <c r="EW110" s="172"/>
      <c r="EX110" s="172"/>
      <c r="EY110" s="172"/>
      <c r="EZ110" s="172"/>
      <c r="FA110" s="172"/>
      <c r="FB110" s="172"/>
      <c r="FC110" s="172"/>
      <c r="FD110" s="172"/>
      <c r="FE110" s="172"/>
      <c r="FF110" s="172"/>
      <c r="FG110" s="172"/>
      <c r="FH110" s="172"/>
      <c r="FI110" s="172"/>
      <c r="FJ110" s="172"/>
      <c r="FK110" s="172"/>
      <c r="FL110" s="172"/>
      <c r="FM110" s="172"/>
      <c r="FN110" s="172"/>
      <c r="FO110" s="172"/>
      <c r="FP110" s="172"/>
      <c r="FQ110" s="172"/>
      <c r="FR110" s="172"/>
      <c r="FS110" s="172"/>
      <c r="FT110" s="172"/>
      <c r="FU110" s="172"/>
      <c r="FV110" s="172"/>
      <c r="FW110" s="172"/>
      <c r="FX110" s="172"/>
      <c r="FY110" s="172"/>
      <c r="FZ110" s="172"/>
      <c r="GA110" s="172"/>
      <c r="GB110" s="172"/>
      <c r="GC110" s="172"/>
      <c r="GD110" s="172"/>
      <c r="GE110" s="172"/>
      <c r="GF110" s="172"/>
      <c r="GG110" s="172"/>
      <c r="GH110" s="172"/>
      <c r="GI110" s="172"/>
      <c r="GJ110" s="172"/>
      <c r="GK110" s="172"/>
      <c r="GL110" s="172"/>
      <c r="GM110" s="172"/>
      <c r="GN110" s="172"/>
      <c r="GO110" s="172"/>
      <c r="GP110" s="172"/>
      <c r="GQ110" s="172"/>
      <c r="GR110" s="172"/>
      <c r="GS110" s="172"/>
      <c r="GT110" s="172"/>
      <c r="GU110" s="172"/>
      <c r="GV110" s="172"/>
      <c r="GW110" s="172"/>
      <c r="GX110" s="172"/>
      <c r="GY110" s="172"/>
      <c r="GZ110" s="172"/>
      <c r="HA110" s="172"/>
      <c r="HB110" s="172"/>
      <c r="HC110" s="172"/>
      <c r="HD110" s="172"/>
      <c r="HE110" s="172"/>
      <c r="HF110" s="172"/>
      <c r="HG110" s="172"/>
      <c r="HH110" s="172"/>
      <c r="HI110" s="172"/>
      <c r="HJ110" s="172"/>
      <c r="HK110" s="172"/>
      <c r="HL110" s="172"/>
      <c r="HM110" s="172"/>
      <c r="HN110" s="172"/>
      <c r="HO110" s="172"/>
      <c r="HP110" s="172"/>
      <c r="HQ110" s="172"/>
      <c r="HR110" s="172"/>
      <c r="HS110" s="172"/>
      <c r="HT110" s="172"/>
      <c r="HU110" s="172"/>
      <c r="HV110" s="172"/>
      <c r="HW110" s="172"/>
      <c r="HX110" s="172"/>
      <c r="HY110" s="172"/>
      <c r="HZ110" s="172"/>
      <c r="IA110" s="172"/>
      <c r="IB110" s="172"/>
      <c r="IC110" s="172"/>
      <c r="ID110" s="172"/>
      <c r="IE110" s="172"/>
      <c r="IF110" s="172"/>
      <c r="IG110" s="172"/>
      <c r="IH110" s="172"/>
      <c r="II110" s="172"/>
      <c r="IJ110" s="172"/>
      <c r="IK110" s="172"/>
      <c r="IL110" s="172"/>
      <c r="IM110" s="172"/>
      <c r="IN110" s="172"/>
      <c r="IO110" s="172"/>
      <c r="IP110" s="172"/>
      <c r="IQ110" s="172"/>
      <c r="IR110" s="172"/>
      <c r="IS110" s="172"/>
      <c r="IT110" s="172"/>
      <c r="IU110" s="172"/>
      <c r="IV110" s="172"/>
      <c r="IW110" s="172"/>
      <c r="IX110" s="172"/>
      <c r="IY110" s="172"/>
      <c r="IZ110" s="172"/>
      <c r="JA110" s="172"/>
      <c r="JB110" s="172"/>
      <c r="JC110" s="172"/>
      <c r="JD110" s="172"/>
      <c r="JE110" s="172"/>
      <c r="JF110" s="172"/>
      <c r="JG110" s="172"/>
      <c r="JH110" s="172"/>
      <c r="JI110" s="172"/>
      <c r="JJ110" s="172"/>
      <c r="JK110" s="172"/>
      <c r="JL110" s="172"/>
      <c r="JM110" s="172"/>
      <c r="JN110" s="172"/>
      <c r="JO110" s="172"/>
      <c r="JP110" s="172"/>
      <c r="JQ110" s="172"/>
      <c r="JR110" s="172"/>
      <c r="JS110" s="172"/>
      <c r="JT110" s="172"/>
      <c r="JU110" s="172"/>
      <c r="JV110" s="172"/>
      <c r="JW110" s="172"/>
      <c r="JX110" s="172"/>
      <c r="JY110" s="172"/>
      <c r="JZ110" s="172"/>
      <c r="KA110" s="172"/>
      <c r="KB110" s="172"/>
      <c r="KC110" s="172"/>
      <c r="KD110" s="172"/>
      <c r="KE110" s="172"/>
      <c r="KF110" s="172"/>
      <c r="KG110" s="172"/>
      <c r="KH110" s="172"/>
      <c r="KI110" s="172"/>
      <c r="KJ110" s="172"/>
      <c r="KK110" s="172"/>
      <c r="KL110" s="172"/>
      <c r="KM110" s="172"/>
      <c r="KN110" s="172"/>
      <c r="KO110" s="172"/>
      <c r="KP110" s="172"/>
      <c r="KQ110" s="172"/>
      <c r="KR110" s="172"/>
      <c r="KS110" s="172"/>
      <c r="KT110" s="172"/>
      <c r="KU110" s="172"/>
      <c r="KV110" s="172"/>
      <c r="KW110" s="172"/>
      <c r="KX110" s="172"/>
      <c r="KY110" s="172"/>
      <c r="KZ110" s="172"/>
      <c r="LA110" s="172"/>
      <c r="LB110" s="172"/>
      <c r="LC110" s="172"/>
      <c r="LD110" s="172"/>
      <c r="LE110" s="172"/>
      <c r="LF110" s="172"/>
      <c r="LG110" s="172"/>
      <c r="LH110" s="172"/>
      <c r="LI110" s="172"/>
      <c r="LJ110" s="172"/>
      <c r="LK110" s="172"/>
      <c r="LL110" s="172"/>
      <c r="LM110" s="172"/>
      <c r="LN110" s="172"/>
      <c r="LO110" s="172"/>
      <c r="LP110" s="172"/>
      <c r="LQ110" s="172"/>
      <c r="LR110" s="172"/>
      <c r="LS110" s="172"/>
      <c r="LT110" s="172"/>
      <c r="LU110" s="172"/>
      <c r="LV110" s="172"/>
      <c r="LW110" s="172"/>
      <c r="LX110" s="172"/>
      <c r="LY110" s="172"/>
      <c r="LZ110" s="172"/>
      <c r="MA110" s="172"/>
      <c r="MB110" s="172"/>
      <c r="MC110" s="172"/>
      <c r="MD110" s="172"/>
      <c r="ME110" s="172"/>
      <c r="MF110" s="172"/>
      <c r="MG110" s="172"/>
      <c r="MH110" s="172"/>
      <c r="MI110" s="172"/>
      <c r="MJ110" s="172"/>
      <c r="MK110" s="172"/>
      <c r="ML110" s="172"/>
      <c r="MM110" s="172"/>
      <c r="MN110" s="172"/>
      <c r="MO110" s="172"/>
      <c r="MP110" s="172"/>
      <c r="MQ110" s="172"/>
      <c r="MR110" s="172"/>
      <c r="MS110" s="172"/>
      <c r="MT110" s="172"/>
      <c r="MU110" s="172"/>
      <c r="MV110" s="172"/>
      <c r="MW110" s="172"/>
      <c r="MX110" s="172"/>
      <c r="MY110" s="172"/>
      <c r="MZ110" s="172"/>
      <c r="NA110" s="172"/>
      <c r="NB110" s="172"/>
      <c r="NC110" s="172"/>
      <c r="ND110" s="172"/>
      <c r="NE110" s="172"/>
      <c r="NF110" s="172"/>
      <c r="NG110" s="172"/>
      <c r="NH110" s="172"/>
      <c r="NI110" s="172"/>
      <c r="NJ110" s="172"/>
      <c r="NK110" s="172"/>
      <c r="NL110" s="172"/>
      <c r="NM110" s="172"/>
      <c r="NN110" s="172"/>
      <c r="NO110" s="172"/>
      <c r="NP110" s="172"/>
      <c r="NQ110" s="172"/>
      <c r="NR110" s="172"/>
      <c r="NS110" s="172"/>
      <c r="NT110" s="172"/>
      <c r="NU110" s="172"/>
      <c r="NV110" s="172"/>
      <c r="NW110" s="172"/>
      <c r="NX110" s="172"/>
      <c r="NY110" s="172"/>
      <c r="NZ110" s="172"/>
      <c r="OA110" s="172"/>
      <c r="OB110" s="172"/>
      <c r="OC110" s="172"/>
      <c r="OD110" s="172"/>
      <c r="OE110" s="172"/>
      <c r="OF110" s="172"/>
      <c r="OG110" s="172"/>
      <c r="OH110" s="172"/>
      <c r="OI110" s="172"/>
      <c r="OJ110" s="172"/>
      <c r="OK110" s="172"/>
      <c r="OL110" s="172"/>
      <c r="OM110" s="172"/>
      <c r="ON110" s="172"/>
      <c r="OO110" s="172"/>
      <c r="OP110" s="172"/>
      <c r="OQ110" s="172"/>
      <c r="OR110" s="172"/>
      <c r="OS110" s="172"/>
      <c r="OT110" s="172"/>
      <c r="OU110" s="172"/>
      <c r="OV110" s="172"/>
      <c r="OW110" s="172"/>
      <c r="OX110" s="172"/>
      <c r="OY110" s="172"/>
      <c r="OZ110" s="172"/>
      <c r="PA110" s="172"/>
      <c r="PB110" s="172"/>
      <c r="PC110" s="172"/>
      <c r="PD110" s="172"/>
      <c r="PE110" s="172"/>
      <c r="PF110" s="172"/>
      <c r="PG110" s="172"/>
      <c r="PH110" s="172"/>
      <c r="PI110" s="172"/>
      <c r="PJ110" s="172"/>
      <c r="PK110" s="172"/>
      <c r="PL110" s="172"/>
      <c r="PM110" s="172"/>
      <c r="PN110" s="172"/>
      <c r="PO110" s="172"/>
      <c r="PP110" s="172"/>
      <c r="PQ110" s="172"/>
      <c r="PR110" s="172"/>
      <c r="PS110" s="172"/>
      <c r="PT110" s="172"/>
      <c r="PU110" s="172"/>
      <c r="PV110" s="172"/>
      <c r="PW110" s="172"/>
      <c r="PX110" s="172"/>
      <c r="PY110" s="172"/>
      <c r="PZ110" s="172"/>
      <c r="QA110" s="172"/>
      <c r="QB110" s="172"/>
      <c r="QC110" s="172"/>
      <c r="QD110" s="172"/>
      <c r="QE110" s="172"/>
      <c r="QF110" s="172"/>
      <c r="QG110" s="172"/>
      <c r="QH110" s="172"/>
      <c r="QI110" s="172"/>
      <c r="QJ110" s="172"/>
      <c r="QK110" s="172"/>
      <c r="QL110" s="172"/>
      <c r="QM110" s="172"/>
      <c r="QN110" s="172"/>
      <c r="QO110" s="172"/>
      <c r="QP110" s="172"/>
      <c r="QQ110" s="172"/>
      <c r="QR110" s="172"/>
      <c r="QS110" s="172"/>
      <c r="QT110" s="172"/>
      <c r="QU110" s="172"/>
      <c r="QV110" s="172"/>
      <c r="QW110" s="172"/>
      <c r="QX110" s="172"/>
      <c r="QY110" s="172"/>
      <c r="QZ110" s="172"/>
      <c r="RA110" s="172"/>
      <c r="RB110" s="172"/>
      <c r="RC110" s="172"/>
      <c r="RD110" s="172"/>
      <c r="RE110" s="172"/>
      <c r="RF110" s="172"/>
      <c r="RG110" s="172"/>
      <c r="RH110" s="172"/>
      <c r="RI110" s="172"/>
      <c r="RJ110" s="172"/>
      <c r="RK110" s="172"/>
      <c r="RL110" s="172"/>
      <c r="RM110" s="172"/>
      <c r="RN110" s="172"/>
      <c r="RO110" s="172"/>
      <c r="RP110" s="172"/>
      <c r="RQ110" s="172"/>
      <c r="RR110" s="172"/>
      <c r="RS110" s="172"/>
      <c r="RT110" s="172"/>
      <c r="RU110" s="172"/>
      <c r="RV110" s="172"/>
      <c r="RW110" s="172"/>
      <c r="RX110" s="172"/>
      <c r="RY110" s="172"/>
      <c r="RZ110" s="172"/>
      <c r="SA110" s="172"/>
      <c r="SB110" s="172"/>
      <c r="SC110" s="172"/>
      <c r="SD110" s="172"/>
      <c r="SE110" s="172"/>
      <c r="SF110" s="172"/>
      <c r="SG110" s="172"/>
      <c r="SH110" s="172"/>
      <c r="SI110" s="172"/>
      <c r="SJ110" s="172"/>
      <c r="SK110" s="172"/>
      <c r="SL110" s="172"/>
      <c r="SM110" s="172"/>
      <c r="SN110" s="172"/>
      <c r="SO110" s="172"/>
      <c r="SP110" s="172"/>
      <c r="SQ110" s="172"/>
      <c r="SR110" s="172"/>
      <c r="SS110" s="172"/>
      <c r="ST110" s="172"/>
      <c r="SU110" s="172"/>
      <c r="SV110" s="172"/>
      <c r="SW110" s="172"/>
      <c r="SX110" s="172"/>
      <c r="SY110" s="172"/>
      <c r="SZ110" s="172"/>
      <c r="TA110" s="172"/>
      <c r="TB110" s="172"/>
      <c r="TC110" s="172"/>
      <c r="TD110" s="172"/>
      <c r="TE110" s="172"/>
      <c r="TF110" s="172"/>
      <c r="TG110" s="172"/>
      <c r="TH110" s="172"/>
      <c r="TI110" s="172"/>
      <c r="TJ110" s="172"/>
      <c r="TK110" s="172"/>
      <c r="TL110" s="172"/>
      <c r="TM110" s="172"/>
      <c r="TN110" s="172"/>
      <c r="TO110" s="172"/>
      <c r="TP110" s="172"/>
      <c r="TQ110" s="172"/>
      <c r="TR110" s="172"/>
      <c r="TS110" s="172"/>
      <c r="TT110" s="172"/>
      <c r="TU110" s="172"/>
      <c r="TV110" s="172"/>
      <c r="TW110" s="172"/>
      <c r="TX110" s="172"/>
      <c r="TY110" s="172"/>
      <c r="TZ110" s="172"/>
      <c r="UA110" s="172"/>
      <c r="UB110" s="172"/>
      <c r="UC110" s="172"/>
      <c r="UD110" s="172"/>
      <c r="UE110" s="172"/>
      <c r="UF110" s="172"/>
      <c r="UG110" s="172"/>
      <c r="UH110" s="172"/>
      <c r="UI110" s="172"/>
      <c r="UJ110" s="172"/>
      <c r="UK110" s="172"/>
      <c r="UL110" s="172"/>
      <c r="UM110" s="172"/>
      <c r="UN110" s="172"/>
      <c r="UO110" s="172"/>
      <c r="UP110" s="172"/>
      <c r="UQ110" s="172"/>
      <c r="UR110" s="172"/>
      <c r="US110" s="172"/>
      <c r="UT110" s="172"/>
      <c r="UU110" s="172"/>
      <c r="UV110" s="172"/>
      <c r="UW110" s="172"/>
      <c r="UX110" s="172"/>
      <c r="UY110" s="172"/>
      <c r="UZ110" s="172"/>
      <c r="VA110" s="172"/>
      <c r="VB110" s="172"/>
      <c r="VC110" s="172"/>
      <c r="VD110" s="172"/>
      <c r="VE110" s="172"/>
      <c r="VF110" s="172"/>
      <c r="VG110" s="172"/>
      <c r="VH110" s="172"/>
      <c r="VI110" s="172"/>
      <c r="VJ110" s="172"/>
      <c r="VK110" s="172"/>
      <c r="VL110" s="172"/>
      <c r="VM110" s="172"/>
      <c r="VN110" s="172"/>
      <c r="VO110" s="172"/>
      <c r="VP110" s="172"/>
      <c r="VQ110" s="172"/>
      <c r="VR110" s="172"/>
      <c r="VS110" s="172"/>
      <c r="VT110" s="172"/>
      <c r="VU110" s="172"/>
      <c r="VV110" s="172"/>
      <c r="VW110" s="172"/>
      <c r="VX110" s="172"/>
      <c r="VY110" s="172"/>
      <c r="VZ110" s="172"/>
      <c r="WA110" s="172"/>
      <c r="WB110" s="172"/>
      <c r="WC110" s="172"/>
      <c r="WD110" s="172"/>
      <c r="WE110" s="172"/>
      <c r="WF110" s="172"/>
      <c r="WG110" s="172"/>
      <c r="WH110" s="172"/>
      <c r="WI110" s="172"/>
      <c r="WJ110" s="172"/>
      <c r="WK110" s="172"/>
      <c r="WL110" s="172"/>
      <c r="WM110" s="172"/>
      <c r="WN110" s="172"/>
      <c r="WO110" s="172"/>
      <c r="WP110" s="172"/>
      <c r="WQ110" s="172"/>
      <c r="WR110" s="172"/>
      <c r="WS110" s="172"/>
      <c r="WT110" s="172"/>
      <c r="WU110" s="172"/>
      <c r="WV110" s="172"/>
      <c r="WW110" s="172"/>
      <c r="WX110" s="172"/>
      <c r="WY110" s="172"/>
      <c r="WZ110" s="172"/>
      <c r="XA110" s="172"/>
      <c r="XB110" s="172"/>
      <c r="XC110" s="172"/>
      <c r="XD110" s="172"/>
      <c r="XE110" s="172"/>
      <c r="XF110" s="172"/>
      <c r="XG110" s="172"/>
      <c r="XH110" s="172"/>
      <c r="XI110" s="172"/>
      <c r="XJ110" s="172"/>
      <c r="XK110" s="172"/>
      <c r="XL110" s="172"/>
      <c r="XM110" s="172"/>
      <c r="XN110" s="172"/>
      <c r="XO110" s="172"/>
      <c r="XP110" s="172"/>
      <c r="XQ110" s="172"/>
      <c r="XR110" s="172"/>
      <c r="XS110" s="172"/>
      <c r="XT110" s="172"/>
      <c r="XU110" s="172"/>
      <c r="XV110" s="172"/>
      <c r="XW110" s="172"/>
      <c r="XX110" s="172"/>
      <c r="XY110" s="172"/>
      <c r="XZ110" s="172"/>
      <c r="YA110" s="172"/>
      <c r="YB110" s="172"/>
      <c r="YC110" s="172"/>
      <c r="YD110" s="172"/>
      <c r="YE110" s="172"/>
      <c r="YF110" s="172"/>
      <c r="YG110" s="172"/>
      <c r="YH110" s="172"/>
      <c r="YI110" s="172"/>
      <c r="YJ110" s="172"/>
      <c r="YK110" s="172"/>
      <c r="YL110" s="172"/>
      <c r="YM110" s="172"/>
      <c r="YN110" s="172"/>
      <c r="YO110" s="172"/>
      <c r="YP110" s="172"/>
      <c r="YQ110" s="172"/>
      <c r="YR110" s="172"/>
      <c r="YS110" s="172"/>
      <c r="YT110" s="172"/>
      <c r="YU110" s="172"/>
      <c r="YV110" s="172"/>
      <c r="YW110" s="172"/>
      <c r="YX110" s="172"/>
      <c r="YY110" s="172"/>
      <c r="YZ110" s="172"/>
      <c r="ZA110" s="172"/>
      <c r="ZB110" s="172"/>
      <c r="ZC110" s="172"/>
      <c r="ZD110" s="172"/>
      <c r="ZE110" s="172"/>
      <c r="ZF110" s="172"/>
      <c r="ZG110" s="172"/>
      <c r="ZH110" s="172"/>
      <c r="ZI110" s="172"/>
      <c r="ZJ110" s="172"/>
      <c r="ZK110" s="172"/>
      <c r="ZL110" s="172"/>
      <c r="ZM110" s="172"/>
      <c r="ZN110" s="172"/>
      <c r="ZO110" s="172"/>
      <c r="ZP110" s="172"/>
      <c r="ZQ110" s="172"/>
      <c r="ZR110" s="172"/>
      <c r="ZS110" s="172"/>
      <c r="ZT110" s="172"/>
      <c r="ZU110" s="172"/>
      <c r="ZV110" s="172"/>
      <c r="ZW110" s="172"/>
      <c r="ZX110" s="172"/>
      <c r="ZY110" s="172"/>
      <c r="ZZ110" s="172"/>
      <c r="AAA110" s="172"/>
      <c r="AAB110" s="172"/>
      <c r="AAC110" s="172"/>
      <c r="AAD110" s="172"/>
      <c r="AAE110" s="172"/>
      <c r="AAF110" s="172"/>
      <c r="AAG110" s="172"/>
      <c r="AAH110" s="172"/>
      <c r="AAI110" s="172"/>
      <c r="AAJ110" s="172"/>
      <c r="AAK110" s="172"/>
      <c r="AAL110" s="172"/>
      <c r="AAM110" s="172"/>
      <c r="AAN110" s="172"/>
      <c r="AAO110" s="172"/>
      <c r="AAP110" s="172"/>
      <c r="AAQ110" s="172"/>
      <c r="AAR110" s="172"/>
      <c r="AAS110" s="172"/>
      <c r="AAT110" s="172"/>
      <c r="AAU110" s="172"/>
      <c r="AAV110" s="172"/>
      <c r="AAW110" s="172"/>
      <c r="AAX110" s="172"/>
      <c r="AAY110" s="172"/>
      <c r="AAZ110" s="172"/>
      <c r="ABA110" s="172"/>
      <c r="ABB110" s="172"/>
      <c r="ABC110" s="172"/>
      <c r="ABD110" s="172"/>
      <c r="ABE110" s="172"/>
      <c r="ABF110" s="172"/>
      <c r="ABG110" s="172"/>
      <c r="ABH110" s="172"/>
      <c r="ABI110" s="172"/>
      <c r="ABJ110" s="172"/>
      <c r="ABK110" s="172"/>
      <c r="ABL110" s="172"/>
      <c r="ABM110" s="172"/>
      <c r="ABN110" s="172"/>
      <c r="ABO110" s="172"/>
      <c r="ABP110" s="172"/>
      <c r="ABQ110" s="172"/>
      <c r="ABR110" s="172"/>
      <c r="ABS110" s="172"/>
      <c r="ABT110" s="172"/>
      <c r="ABU110" s="172"/>
      <c r="ABV110" s="172"/>
      <c r="ABW110" s="172"/>
      <c r="ABX110" s="172"/>
      <c r="ABY110" s="172"/>
      <c r="ABZ110" s="172"/>
      <c r="ACA110" s="172"/>
      <c r="ACB110" s="172"/>
      <c r="ACC110" s="172"/>
      <c r="ACD110" s="172"/>
      <c r="ACE110" s="172"/>
      <c r="ACF110" s="172"/>
      <c r="ACG110" s="172"/>
      <c r="ACH110" s="172"/>
      <c r="ACI110" s="172"/>
      <c r="ACJ110" s="172"/>
      <c r="ACK110" s="172"/>
      <c r="ACL110" s="172"/>
      <c r="ACM110" s="172"/>
      <c r="ACN110" s="172"/>
      <c r="ACO110" s="172"/>
      <c r="ACP110" s="172"/>
      <c r="ACQ110" s="172"/>
      <c r="ACR110" s="172"/>
      <c r="ACS110" s="172"/>
      <c r="ACT110" s="172"/>
      <c r="ACU110" s="172"/>
      <c r="ACV110" s="172"/>
      <c r="ACW110" s="172"/>
      <c r="ACX110" s="172"/>
      <c r="ACY110" s="172"/>
      <c r="ACZ110" s="172"/>
      <c r="ADA110" s="172"/>
      <c r="ADB110" s="172"/>
      <c r="ADC110" s="172"/>
      <c r="ADD110" s="172"/>
      <c r="ADE110" s="172"/>
      <c r="ADF110" s="172"/>
      <c r="ADG110" s="172"/>
      <c r="ADH110" s="172"/>
      <c r="ADI110" s="172"/>
      <c r="ADJ110" s="172"/>
      <c r="ADK110" s="172"/>
      <c r="ADL110" s="172"/>
      <c r="ADM110" s="172"/>
      <c r="ADN110" s="172"/>
      <c r="ADO110" s="172"/>
      <c r="ADP110" s="172"/>
      <c r="ADQ110" s="172"/>
      <c r="ADR110" s="172"/>
      <c r="ADS110" s="172"/>
      <c r="ADT110" s="172"/>
      <c r="ADU110" s="172"/>
      <c r="ADV110" s="172"/>
      <c r="ADW110" s="172"/>
      <c r="ADX110" s="172"/>
      <c r="ADY110" s="172"/>
      <c r="ADZ110" s="172"/>
      <c r="AEA110" s="172"/>
      <c r="AEB110" s="172"/>
      <c r="AEC110" s="172"/>
      <c r="AED110" s="172"/>
      <c r="AEE110" s="172"/>
      <c r="AEF110" s="172"/>
      <c r="AEG110" s="172"/>
      <c r="AEH110" s="172"/>
      <c r="AEI110" s="172"/>
      <c r="AEJ110" s="172"/>
      <c r="AEK110" s="172"/>
      <c r="AEL110" s="172"/>
      <c r="AEM110" s="172"/>
      <c r="AEN110" s="172"/>
      <c r="AEO110" s="172"/>
      <c r="AEP110" s="172"/>
      <c r="AEQ110" s="172"/>
      <c r="AER110" s="172"/>
      <c r="AES110" s="172"/>
      <c r="AET110" s="172"/>
      <c r="AEU110" s="172"/>
      <c r="AEV110" s="172"/>
      <c r="AEW110" s="172"/>
      <c r="AEX110" s="172"/>
      <c r="AEY110" s="172"/>
      <c r="AEZ110" s="172"/>
      <c r="AFA110" s="172"/>
      <c r="AFB110" s="172"/>
      <c r="AFC110" s="172"/>
      <c r="AFD110" s="172"/>
      <c r="AFE110" s="172"/>
      <c r="AFF110" s="172"/>
      <c r="AFG110" s="172"/>
      <c r="AFH110" s="172"/>
      <c r="AFI110" s="172"/>
      <c r="AFJ110" s="172"/>
      <c r="AFK110" s="172"/>
      <c r="AFL110" s="172"/>
      <c r="AFM110" s="172"/>
      <c r="AFN110" s="172"/>
      <c r="AFO110" s="172"/>
      <c r="AFP110" s="172"/>
      <c r="AFQ110" s="172"/>
      <c r="AFR110" s="172"/>
      <c r="AFS110" s="172"/>
      <c r="AFT110" s="172"/>
      <c r="AFU110" s="172"/>
      <c r="AFV110" s="172"/>
      <c r="AFW110" s="172"/>
      <c r="AFX110" s="172"/>
      <c r="AFY110" s="172"/>
      <c r="AFZ110" s="172"/>
      <c r="AGA110" s="172"/>
      <c r="AGB110" s="172"/>
      <c r="AGC110" s="172"/>
      <c r="AGD110" s="172"/>
      <c r="AGE110" s="172"/>
      <c r="AGF110" s="172"/>
      <c r="AGG110" s="172"/>
      <c r="AGH110" s="172"/>
      <c r="AGI110" s="172"/>
      <c r="AGJ110" s="172"/>
      <c r="AGK110" s="172"/>
      <c r="AGL110" s="172"/>
      <c r="AGM110" s="172"/>
      <c r="AGN110" s="172"/>
      <c r="AGO110" s="172"/>
      <c r="AGP110" s="172"/>
      <c r="AGQ110" s="172"/>
      <c r="AGR110" s="172"/>
      <c r="AGS110" s="172"/>
      <c r="AGT110" s="172"/>
      <c r="AGU110" s="172"/>
      <c r="AGV110" s="172"/>
      <c r="AGW110" s="172"/>
      <c r="AGX110" s="172"/>
      <c r="AGY110" s="172"/>
      <c r="AGZ110" s="172"/>
      <c r="AHA110" s="172"/>
      <c r="AHB110" s="172"/>
      <c r="AHC110" s="172"/>
      <c r="AHD110" s="172"/>
      <c r="AHE110" s="172"/>
      <c r="AHF110" s="172"/>
      <c r="AHG110" s="172"/>
      <c r="AHH110" s="172"/>
      <c r="AHI110" s="172"/>
      <c r="AHJ110" s="172"/>
      <c r="AHK110" s="172"/>
      <c r="AHL110" s="172"/>
      <c r="AHM110" s="172"/>
      <c r="AHN110" s="172"/>
      <c r="AHO110" s="172"/>
      <c r="AHP110" s="172"/>
      <c r="AHQ110" s="172"/>
      <c r="AHR110" s="172"/>
      <c r="AHS110" s="172"/>
      <c r="AHT110" s="172"/>
      <c r="AHU110" s="172"/>
      <c r="AHV110" s="172"/>
      <c r="AHW110" s="172"/>
      <c r="AHX110" s="172"/>
      <c r="AHY110" s="172"/>
      <c r="AHZ110" s="172"/>
      <c r="AIA110" s="172"/>
      <c r="AIB110" s="172"/>
      <c r="AIC110" s="172"/>
      <c r="AID110" s="172"/>
      <c r="AIE110" s="172"/>
      <c r="AIF110" s="172"/>
      <c r="AIG110" s="172"/>
      <c r="AIH110" s="172"/>
      <c r="AII110" s="172"/>
      <c r="AIJ110" s="172"/>
      <c r="AIK110" s="172"/>
      <c r="AIL110" s="172"/>
      <c r="AIM110" s="172"/>
      <c r="AIN110" s="172"/>
      <c r="AIO110" s="172"/>
      <c r="AIP110" s="172"/>
      <c r="AIQ110" s="172"/>
      <c r="AIR110" s="172"/>
      <c r="AIS110" s="172"/>
      <c r="AIT110" s="172"/>
      <c r="AIU110" s="172"/>
      <c r="AIV110" s="172"/>
      <c r="AIW110" s="172"/>
      <c r="AIX110" s="172"/>
      <c r="AIY110" s="172"/>
      <c r="AIZ110" s="172"/>
      <c r="AJA110" s="172"/>
      <c r="AJB110" s="172"/>
      <c r="AJC110" s="172"/>
      <c r="AJD110" s="172"/>
      <c r="AJE110" s="172"/>
      <c r="AJF110" s="172"/>
      <c r="AJG110" s="172"/>
      <c r="AJH110" s="172"/>
      <c r="AJI110" s="172"/>
      <c r="AJJ110" s="172"/>
      <c r="AJK110" s="172"/>
      <c r="AJL110" s="172"/>
      <c r="AJM110" s="172"/>
      <c r="AJN110" s="172"/>
      <c r="AJO110" s="172"/>
      <c r="AJP110" s="172"/>
      <c r="AJQ110" s="172"/>
      <c r="AJR110" s="172"/>
      <c r="AJS110" s="172"/>
      <c r="AJT110" s="172"/>
      <c r="AJU110" s="172"/>
      <c r="AJV110" s="172"/>
      <c r="AJW110" s="172"/>
      <c r="AJX110" s="172"/>
      <c r="AJY110" s="172"/>
      <c r="AJZ110" s="172"/>
      <c r="AKA110" s="172"/>
      <c r="AKB110" s="172"/>
      <c r="AKC110" s="172"/>
      <c r="AKD110" s="172"/>
      <c r="AKE110" s="172"/>
      <c r="AKF110" s="172"/>
      <c r="AKG110" s="172"/>
      <c r="AKH110" s="172"/>
      <c r="AKI110" s="172"/>
      <c r="AKJ110" s="172"/>
      <c r="AKK110" s="172"/>
      <c r="AKL110" s="172"/>
      <c r="AKM110" s="172"/>
      <c r="AKN110" s="172"/>
      <c r="AKO110" s="172"/>
      <c r="AKP110" s="172"/>
      <c r="AKQ110" s="172"/>
      <c r="AKR110" s="172"/>
      <c r="AKS110" s="172"/>
      <c r="AKT110" s="172"/>
      <c r="AKU110" s="172"/>
      <c r="AKV110" s="172"/>
      <c r="AKW110" s="172"/>
      <c r="AKX110" s="172"/>
      <c r="AKY110" s="172"/>
      <c r="AKZ110" s="172"/>
      <c r="ALA110" s="172"/>
      <c r="ALB110" s="172"/>
      <c r="ALC110" s="172"/>
      <c r="ALD110" s="172"/>
      <c r="ALE110" s="172"/>
      <c r="ALF110" s="172"/>
      <c r="ALG110" s="172"/>
      <c r="ALH110" s="172"/>
      <c r="ALI110" s="172"/>
      <c r="ALJ110" s="172"/>
      <c r="ALK110" s="172"/>
      <c r="ALL110" s="172"/>
      <c r="ALM110" s="172"/>
      <c r="ALN110" s="172"/>
      <c r="ALO110" s="172"/>
      <c r="ALP110" s="172"/>
      <c r="ALQ110" s="172"/>
      <c r="ALR110" s="172"/>
      <c r="ALS110" s="172"/>
      <c r="ALT110" s="172"/>
      <c r="ALU110" s="172"/>
      <c r="ALV110" s="172"/>
      <c r="ALW110" s="172"/>
      <c r="ALX110" s="172"/>
      <c r="ALY110" s="172"/>
      <c r="ALZ110" s="172"/>
      <c r="AMA110" s="172"/>
      <c r="AMB110" s="172"/>
      <c r="AMC110" s="172"/>
      <c r="AMD110" s="172"/>
      <c r="AME110" s="172"/>
      <c r="AMF110" s="172"/>
      <c r="AMG110" s="172"/>
      <c r="AMH110" s="172"/>
      <c r="AMI110" s="172"/>
      <c r="AMJ110" s="172"/>
      <c r="AMK110" s="172"/>
      <c r="AML110" s="172"/>
      <c r="AMM110" s="172"/>
      <c r="AMN110" s="172"/>
      <c r="AMO110" s="172"/>
      <c r="AMP110" s="172"/>
      <c r="AMQ110" s="172"/>
      <c r="AMR110" s="172"/>
      <c r="AMS110" s="172"/>
      <c r="AMT110" s="172"/>
      <c r="AMU110" s="172"/>
      <c r="AMV110" s="172"/>
      <c r="AMW110" s="172"/>
      <c r="AMX110" s="172"/>
      <c r="AMY110" s="172"/>
      <c r="AMZ110" s="172"/>
      <c r="ANA110" s="172"/>
      <c r="ANB110" s="172"/>
      <c r="ANC110" s="172"/>
      <c r="AND110" s="172"/>
      <c r="ANE110" s="172"/>
      <c r="ANF110" s="172"/>
      <c r="ANG110" s="172"/>
      <c r="ANH110" s="172"/>
      <c r="ANI110" s="172"/>
      <c r="ANJ110" s="172"/>
      <c r="ANK110" s="172"/>
      <c r="ANL110" s="172"/>
      <c r="ANM110" s="172"/>
      <c r="ANN110" s="172"/>
      <c r="ANO110" s="172"/>
      <c r="ANP110" s="172"/>
      <c r="ANQ110" s="172"/>
      <c r="ANR110" s="172"/>
      <c r="ANS110" s="172"/>
      <c r="ANT110" s="172"/>
      <c r="ANU110" s="172"/>
      <c r="ANV110" s="172"/>
      <c r="ANW110" s="172"/>
      <c r="ANX110" s="172"/>
      <c r="ANY110" s="172"/>
      <c r="ANZ110" s="172"/>
      <c r="AOA110" s="172"/>
      <c r="AOB110" s="172"/>
      <c r="AOC110" s="172"/>
      <c r="AOD110" s="172"/>
      <c r="AOE110" s="172"/>
      <c r="AOF110" s="172"/>
      <c r="AOG110" s="172"/>
      <c r="AOH110" s="172"/>
      <c r="AOI110" s="172"/>
      <c r="AOJ110" s="172"/>
      <c r="AOK110" s="172"/>
      <c r="AOL110" s="172"/>
      <c r="AOM110" s="172"/>
      <c r="AON110" s="172"/>
      <c r="AOO110" s="172"/>
      <c r="AOP110" s="172"/>
      <c r="AOQ110" s="172"/>
      <c r="AOR110" s="172"/>
      <c r="AOS110" s="172"/>
      <c r="AOT110" s="172"/>
      <c r="AOU110" s="172"/>
      <c r="AOV110" s="172"/>
      <c r="AOW110" s="172"/>
      <c r="AOX110" s="172"/>
      <c r="AOY110" s="172"/>
      <c r="AOZ110" s="172"/>
      <c r="APA110" s="172"/>
      <c r="APB110" s="172"/>
      <c r="APC110" s="172"/>
      <c r="APD110" s="172"/>
      <c r="APE110" s="172"/>
      <c r="APF110" s="172"/>
      <c r="APG110" s="172"/>
      <c r="APH110" s="172"/>
      <c r="API110" s="172"/>
      <c r="APJ110" s="172"/>
      <c r="APK110" s="172"/>
      <c r="APL110" s="172"/>
      <c r="APM110" s="172"/>
      <c r="APN110" s="172"/>
      <c r="APO110" s="172"/>
      <c r="APP110" s="172"/>
      <c r="APQ110" s="172"/>
      <c r="APR110" s="172"/>
      <c r="APS110" s="172"/>
      <c r="APT110" s="172"/>
      <c r="APU110" s="172"/>
      <c r="APV110" s="172"/>
      <c r="APW110" s="172"/>
      <c r="APX110" s="172"/>
      <c r="APY110" s="172"/>
      <c r="APZ110" s="172"/>
      <c r="AQA110" s="172"/>
      <c r="AQB110" s="172"/>
      <c r="AQC110" s="172"/>
      <c r="AQD110" s="172"/>
      <c r="AQE110" s="172"/>
      <c r="AQF110" s="172"/>
      <c r="AQG110" s="172"/>
      <c r="AQH110" s="172"/>
      <c r="AQI110" s="172"/>
      <c r="AQJ110" s="172"/>
      <c r="AQK110" s="172"/>
      <c r="AQL110" s="172"/>
      <c r="AQM110" s="172"/>
      <c r="AQN110" s="172"/>
      <c r="AQO110" s="172"/>
      <c r="AQP110" s="172"/>
      <c r="AQQ110" s="172"/>
      <c r="AQR110" s="172"/>
      <c r="AQS110" s="172"/>
      <c r="AQT110" s="172"/>
      <c r="AQU110" s="172"/>
      <c r="AQV110" s="172"/>
      <c r="AQW110" s="172"/>
      <c r="AQX110" s="172"/>
      <c r="AQY110" s="172"/>
      <c r="AQZ110" s="172"/>
      <c r="ARA110" s="172"/>
      <c r="ARB110" s="172"/>
      <c r="ARC110" s="172"/>
      <c r="ARD110" s="172"/>
      <c r="ARE110" s="172"/>
      <c r="ARF110" s="172"/>
      <c r="ARG110" s="172"/>
      <c r="ARH110" s="172"/>
      <c r="ARI110" s="172"/>
      <c r="ARJ110" s="172"/>
      <c r="ARK110" s="172"/>
      <c r="ARL110" s="172"/>
      <c r="ARM110" s="172"/>
      <c r="ARN110" s="172"/>
      <c r="ARO110" s="172"/>
      <c r="ARP110" s="172"/>
      <c r="ARQ110" s="172"/>
      <c r="ARR110" s="172"/>
      <c r="ARS110" s="172"/>
      <c r="ART110" s="172"/>
      <c r="ARU110" s="172"/>
    </row>
    <row r="111" spans="1:1165">
      <c r="A111" s="214"/>
      <c r="B111" s="215"/>
      <c r="C111" s="284"/>
      <c r="D111" s="284"/>
      <c r="E111" s="284"/>
      <c r="F111" s="284"/>
      <c r="G111" s="284"/>
      <c r="H111" s="284"/>
      <c r="I111" s="284"/>
      <c r="J111" s="284"/>
      <c r="K111" s="284"/>
      <c r="L111" s="284"/>
      <c r="M111" s="284"/>
      <c r="N111" s="284"/>
      <c r="O111" s="284"/>
      <c r="P111" s="284"/>
      <c r="Q111" s="284"/>
      <c r="R111" s="284"/>
      <c r="S111" s="284"/>
      <c r="T111" s="284"/>
      <c r="U111" s="288"/>
      <c r="V111" s="288"/>
      <c r="W111" s="227"/>
      <c r="X111" s="227"/>
      <c r="Y111" s="227"/>
      <c r="Z111" s="227"/>
      <c r="AA111" s="302"/>
      <c r="AB111" s="302"/>
      <c r="AC111" s="258"/>
      <c r="AD111" s="258"/>
      <c r="AE111" s="288"/>
      <c r="AF111" s="302"/>
      <c r="AG111" s="288"/>
      <c r="AH111" s="302"/>
      <c r="AI111" s="288"/>
      <c r="AJ111" s="302"/>
      <c r="AK111" s="288"/>
      <c r="AL111" s="302"/>
      <c r="AM111" s="288"/>
      <c r="AN111" s="288"/>
      <c r="AO111" s="262"/>
      <c r="AP111" s="288"/>
      <c r="AQ111" s="288"/>
      <c r="AR111" s="288"/>
      <c r="AS111" s="288"/>
      <c r="AT111" s="288"/>
      <c r="AU111" s="288"/>
      <c r="AV111" s="302"/>
      <c r="AW111" s="256"/>
      <c r="AX111" s="256"/>
      <c r="AY111" s="255"/>
      <c r="AZ111" s="255"/>
      <c r="BA111" s="262"/>
      <c r="BB111" s="256"/>
      <c r="BC111" s="256"/>
      <c r="BD111" s="256"/>
      <c r="BE111" s="256"/>
      <c r="BF111" s="256"/>
      <c r="BG111" s="256"/>
      <c r="BH111" s="256"/>
      <c r="BI111" s="262"/>
      <c r="BJ111" s="256"/>
      <c r="BK111" s="256"/>
      <c r="BL111" s="172"/>
      <c r="BP111" s="231"/>
    </row>
    <row r="112" spans="1:1165">
      <c r="A112" s="204" t="s">
        <v>232</v>
      </c>
      <c r="B112" s="207" t="s">
        <v>160</v>
      </c>
      <c r="C112" s="268">
        <v>2213212</v>
      </c>
      <c r="D112" s="268">
        <v>1620890747</v>
      </c>
      <c r="E112" s="208">
        <v>11233</v>
      </c>
      <c r="F112" s="208">
        <v>179314357</v>
      </c>
      <c r="G112" s="208">
        <v>12047</v>
      </c>
      <c r="H112" s="208">
        <v>153313613</v>
      </c>
      <c r="I112" s="208">
        <v>20757</v>
      </c>
      <c r="J112" s="208">
        <v>247418210</v>
      </c>
      <c r="K112" s="208">
        <v>23881</v>
      </c>
      <c r="L112" s="208">
        <v>359374810</v>
      </c>
      <c r="M112" s="208">
        <v>32111</v>
      </c>
      <c r="N112" s="208">
        <v>422248335</v>
      </c>
      <c r="O112" s="208">
        <v>41196</v>
      </c>
      <c r="P112" s="208">
        <v>605618349</v>
      </c>
      <c r="Q112" s="208">
        <v>53639</v>
      </c>
      <c r="R112" s="208">
        <v>974017155</v>
      </c>
      <c r="S112" s="208">
        <v>79164</v>
      </c>
      <c r="T112" s="208">
        <f>2545194*639.3</f>
        <v>1627142524.1999998</v>
      </c>
      <c r="U112" s="219">
        <v>108133</v>
      </c>
      <c r="V112" s="219">
        <f>3476570*563</f>
        <v>1957308910</v>
      </c>
      <c r="W112" s="219">
        <v>150459</v>
      </c>
      <c r="X112" s="219">
        <f>4843269*483.8</f>
        <v>2343173542.2000003</v>
      </c>
      <c r="Y112" s="219">
        <v>187744</v>
      </c>
      <c r="Z112" s="219">
        <f>6036110*493.3</f>
        <v>2977613063</v>
      </c>
      <c r="AA112" s="230">
        <v>184410</v>
      </c>
      <c r="AB112" s="230">
        <f>5928931*467.4</f>
        <v>2771182349.4000001</v>
      </c>
      <c r="AC112" s="208">
        <v>182450</v>
      </c>
      <c r="AD112" s="208">
        <v>2763465836</v>
      </c>
      <c r="AE112" s="200">
        <v>182154</v>
      </c>
      <c r="AF112" s="200">
        <v>3116213103</v>
      </c>
      <c r="AG112" s="200">
        <v>191709</v>
      </c>
      <c r="AH112" s="200">
        <v>3264710204</v>
      </c>
      <c r="AI112" s="200">
        <v>189753</v>
      </c>
      <c r="AJ112" s="200">
        <v>3285966920</v>
      </c>
      <c r="AK112" s="270">
        <v>221184</v>
      </c>
      <c r="AL112" s="270">
        <v>3636954139</v>
      </c>
      <c r="AM112" s="200">
        <v>238335</v>
      </c>
      <c r="AN112" s="200">
        <v>3522233274</v>
      </c>
      <c r="AO112" s="200">
        <v>231379</v>
      </c>
      <c r="AP112" s="200">
        <v>3477119729</v>
      </c>
      <c r="AQ112" s="200">
        <v>211761</v>
      </c>
      <c r="AR112" s="200">
        <v>2942274771</v>
      </c>
      <c r="AS112" s="200">
        <v>199496</v>
      </c>
      <c r="AT112" s="200">
        <v>3087279157</v>
      </c>
      <c r="AU112" s="230">
        <v>192204</v>
      </c>
      <c r="AV112" s="230">
        <v>3236195818</v>
      </c>
      <c r="AW112" s="230">
        <v>188859</v>
      </c>
      <c r="AX112" s="230">
        <v>3460872364</v>
      </c>
      <c r="AY112" s="208">
        <v>187498</v>
      </c>
      <c r="AZ112" s="208">
        <v>3364962855</v>
      </c>
      <c r="BA112" s="208"/>
      <c r="BB112" s="208"/>
      <c r="BC112" s="200"/>
      <c r="BD112" s="208"/>
      <c r="BE112" s="200"/>
      <c r="BF112" s="231"/>
      <c r="BG112" s="200"/>
      <c r="BH112" s="231"/>
      <c r="BI112" s="200"/>
      <c r="BJ112" s="219">
        <f>C112+G112+I112+K112+M112+O112+Q112+S112+U112+W112+Y112+AA112+AC112+AE112+AG112+AI112+AK112+AM112+AO112+AQ112+AS112+AU112+AW112+AY112+BB112+BF112</f>
        <v>5523535</v>
      </c>
      <c r="BK112" s="208">
        <f>D112+H112+J112+L112+N112+P112+R112+T112+V112+X112+Z112+AB112+AD112+AF112+AH112+AJ112+AL112+AN112+AP112+AR112+AT112+AV112+AX112+AZ112+BD112+BH112</f>
        <v>55217549777.800003</v>
      </c>
      <c r="BL112" s="172"/>
      <c r="BM112" s="231"/>
      <c r="BP112" s="231"/>
    </row>
    <row r="113" spans="1:1165">
      <c r="A113" s="204"/>
      <c r="B113" s="207"/>
      <c r="C113" s="268"/>
      <c r="D113" s="268"/>
      <c r="E113" s="208"/>
      <c r="F113" s="208"/>
      <c r="G113" s="208"/>
      <c r="H113" s="208"/>
      <c r="I113" s="208"/>
      <c r="J113" s="208"/>
      <c r="K113" s="208"/>
      <c r="L113" s="208"/>
      <c r="M113" s="208"/>
      <c r="N113" s="208"/>
      <c r="O113" s="208"/>
      <c r="P113" s="208"/>
      <c r="Q113" s="208"/>
      <c r="R113" s="208"/>
      <c r="S113" s="208"/>
      <c r="T113" s="208"/>
      <c r="U113" s="219"/>
      <c r="V113" s="219"/>
      <c r="W113" s="219"/>
      <c r="X113" s="219"/>
      <c r="Y113" s="219"/>
      <c r="Z113" s="219"/>
      <c r="AA113" s="230"/>
      <c r="AB113" s="230"/>
      <c r="AC113" s="208"/>
      <c r="AD113" s="208"/>
      <c r="AE113" s="200"/>
      <c r="AF113" s="200"/>
      <c r="AG113" s="200"/>
      <c r="AH113" s="200"/>
      <c r="AI113" s="200"/>
      <c r="AJ113" s="200"/>
      <c r="AK113" s="270"/>
      <c r="AL113" s="270"/>
      <c r="AM113" s="200"/>
      <c r="AN113" s="200"/>
      <c r="AO113" s="200"/>
      <c r="AP113" s="200"/>
      <c r="AQ113" s="200"/>
      <c r="AR113" s="200"/>
      <c r="AS113" s="200"/>
      <c r="AT113" s="200"/>
      <c r="AU113" s="230"/>
      <c r="AV113" s="230"/>
      <c r="AW113" s="208"/>
      <c r="AX113" s="208"/>
      <c r="AY113" s="274"/>
      <c r="AZ113" s="274"/>
      <c r="BA113" s="276"/>
      <c r="BB113" s="208"/>
      <c r="BC113" s="208"/>
      <c r="BD113" s="208"/>
      <c r="BE113" s="208"/>
      <c r="BF113" s="208"/>
      <c r="BG113" s="208"/>
      <c r="BH113" s="208"/>
      <c r="BI113" s="276"/>
      <c r="BJ113" s="208"/>
      <c r="BK113" s="208"/>
      <c r="BL113" s="172"/>
      <c r="BM113" s="231"/>
      <c r="BP113" s="231"/>
    </row>
    <row r="114" spans="1:1165" s="257" customFormat="1">
      <c r="A114" s="194" t="s">
        <v>233</v>
      </c>
      <c r="B114" s="195" t="s">
        <v>87</v>
      </c>
      <c r="C114" s="258">
        <v>156</v>
      </c>
      <c r="D114" s="258">
        <v>2608</v>
      </c>
      <c r="E114" s="258">
        <v>0</v>
      </c>
      <c r="F114" s="258">
        <v>0</v>
      </c>
      <c r="G114" s="258">
        <v>0</v>
      </c>
      <c r="H114" s="258">
        <v>0</v>
      </c>
      <c r="I114" s="258">
        <v>0</v>
      </c>
      <c r="J114" s="258">
        <v>0</v>
      </c>
      <c r="K114" s="258">
        <v>0</v>
      </c>
      <c r="L114" s="258">
        <v>0</v>
      </c>
      <c r="M114" s="258">
        <v>0</v>
      </c>
      <c r="N114" s="258">
        <v>0</v>
      </c>
      <c r="O114" s="258">
        <v>0</v>
      </c>
      <c r="P114" s="258">
        <v>0</v>
      </c>
      <c r="Q114" s="258">
        <v>0</v>
      </c>
      <c r="R114" s="258">
        <v>0</v>
      </c>
      <c r="S114" s="258">
        <v>0</v>
      </c>
      <c r="T114" s="258">
        <v>0</v>
      </c>
      <c r="U114" s="258">
        <v>0</v>
      </c>
      <c r="V114" s="258">
        <v>0</v>
      </c>
      <c r="W114" s="258">
        <v>0</v>
      </c>
      <c r="X114" s="258">
        <v>0</v>
      </c>
      <c r="Y114" s="258">
        <v>0</v>
      </c>
      <c r="Z114" s="258">
        <v>0</v>
      </c>
      <c r="AA114" s="258">
        <v>0</v>
      </c>
      <c r="AB114" s="258">
        <v>0</v>
      </c>
      <c r="AC114" s="258">
        <v>0</v>
      </c>
      <c r="AD114" s="258">
        <v>0</v>
      </c>
      <c r="AE114" s="258">
        <v>0</v>
      </c>
      <c r="AF114" s="258">
        <v>0</v>
      </c>
      <c r="AG114" s="258">
        <v>0</v>
      </c>
      <c r="AH114" s="258">
        <v>0</v>
      </c>
      <c r="AI114" s="258">
        <v>0</v>
      </c>
      <c r="AJ114" s="258">
        <v>0</v>
      </c>
      <c r="AK114" s="258">
        <v>0</v>
      </c>
      <c r="AL114" s="258">
        <v>0</v>
      </c>
      <c r="AM114" s="258">
        <v>0</v>
      </c>
      <c r="AN114" s="258">
        <v>0</v>
      </c>
      <c r="AO114" s="258">
        <v>0</v>
      </c>
      <c r="AP114" s="258">
        <v>0</v>
      </c>
      <c r="AQ114" s="258">
        <v>0</v>
      </c>
      <c r="AR114" s="258">
        <v>0</v>
      </c>
      <c r="AS114" s="258">
        <v>0</v>
      </c>
      <c r="AT114" s="258">
        <v>0</v>
      </c>
      <c r="AU114" s="258">
        <v>0</v>
      </c>
      <c r="AV114" s="258">
        <v>0</v>
      </c>
      <c r="AW114" s="258">
        <v>0</v>
      </c>
      <c r="AX114" s="258">
        <v>0</v>
      </c>
      <c r="AY114" s="224">
        <v>0</v>
      </c>
      <c r="AZ114" s="224">
        <v>0</v>
      </c>
      <c r="BA114" s="224"/>
      <c r="BB114" s="224"/>
      <c r="BC114" s="224"/>
      <c r="BD114" s="224"/>
      <c r="BE114" s="224"/>
      <c r="BF114" s="224"/>
      <c r="BG114" s="224"/>
      <c r="BH114" s="224"/>
      <c r="BI114" s="195"/>
      <c r="BJ114" s="224">
        <f>C114+G114+I114+K114+M114+O114+Q114+S114+U114+W114+Y114+AA114+AC114+AE114+AG114+AI114+AK114+AM114+AO114+AQ114+AS114+AU114+AW114+AY114+BB114+BF114</f>
        <v>156</v>
      </c>
      <c r="BK114" s="258">
        <f>D114+H114+J114+L114+N114+P114+R114+T114+V114+X114+Z114+AB114+AD114+AF114+AH114+AJ114+AL114+AN114+AP114+AR114+AT114+AV114+AX114+AZ114+BD114+BH114</f>
        <v>2608</v>
      </c>
      <c r="BL114" s="172"/>
      <c r="BM114" s="172"/>
      <c r="BN114" s="172"/>
      <c r="BO114" s="172"/>
      <c r="BP114" s="231"/>
      <c r="BQ114" s="172"/>
      <c r="BR114" s="172"/>
      <c r="BS114" s="172"/>
      <c r="BT114" s="172"/>
      <c r="BU114" s="172"/>
      <c r="BV114" s="172"/>
      <c r="BW114" s="172"/>
      <c r="BX114" s="172"/>
      <c r="BY114" s="172"/>
      <c r="BZ114" s="172"/>
      <c r="CA114" s="172"/>
      <c r="CB114" s="172"/>
      <c r="CC114" s="172"/>
      <c r="CD114" s="172"/>
      <c r="CE114" s="172"/>
      <c r="CF114" s="172"/>
      <c r="CG114" s="172"/>
      <c r="CH114" s="172"/>
      <c r="CI114" s="172"/>
      <c r="CJ114" s="172"/>
      <c r="CK114" s="172"/>
      <c r="CL114" s="172"/>
      <c r="CM114" s="172"/>
      <c r="CN114" s="172"/>
      <c r="CO114" s="172"/>
      <c r="CP114" s="172"/>
      <c r="CQ114" s="172"/>
      <c r="CR114" s="172"/>
      <c r="CS114" s="172"/>
      <c r="CT114" s="172"/>
      <c r="CU114" s="172"/>
      <c r="CV114" s="172"/>
      <c r="CW114" s="172"/>
      <c r="CX114" s="172"/>
      <c r="CY114" s="172"/>
      <c r="CZ114" s="172"/>
      <c r="DA114" s="172"/>
      <c r="DB114" s="172"/>
      <c r="DC114" s="172"/>
      <c r="DD114" s="172"/>
      <c r="DE114" s="172"/>
      <c r="DF114" s="172"/>
      <c r="DG114" s="172"/>
      <c r="DH114" s="172"/>
      <c r="DI114" s="172"/>
      <c r="DJ114" s="172"/>
      <c r="DK114" s="172"/>
      <c r="DL114" s="172"/>
      <c r="DM114" s="172"/>
      <c r="DN114" s="172"/>
      <c r="DO114" s="172"/>
      <c r="DP114" s="172"/>
      <c r="DQ114" s="172"/>
      <c r="DR114" s="172"/>
      <c r="DS114" s="172"/>
      <c r="DT114" s="172"/>
      <c r="DU114" s="172"/>
      <c r="DV114" s="172"/>
      <c r="DW114" s="172"/>
      <c r="DX114" s="172"/>
      <c r="DY114" s="172"/>
      <c r="DZ114" s="172"/>
      <c r="EA114" s="172"/>
      <c r="EB114" s="172"/>
      <c r="EC114" s="172"/>
      <c r="ED114" s="172"/>
      <c r="EE114" s="172"/>
      <c r="EF114" s="172"/>
      <c r="EG114" s="172"/>
      <c r="EH114" s="172"/>
      <c r="EI114" s="172"/>
      <c r="EJ114" s="172"/>
      <c r="EK114" s="172"/>
      <c r="EL114" s="172"/>
      <c r="EM114" s="172"/>
      <c r="EN114" s="172"/>
      <c r="EO114" s="172"/>
      <c r="EP114" s="172"/>
      <c r="EQ114" s="172"/>
      <c r="ER114" s="172"/>
      <c r="ES114" s="172"/>
      <c r="ET114" s="172"/>
      <c r="EU114" s="172"/>
      <c r="EV114" s="172"/>
      <c r="EW114" s="172"/>
      <c r="EX114" s="172"/>
      <c r="EY114" s="172"/>
      <c r="EZ114" s="172"/>
      <c r="FA114" s="172"/>
      <c r="FB114" s="172"/>
      <c r="FC114" s="172"/>
      <c r="FD114" s="172"/>
      <c r="FE114" s="172"/>
      <c r="FF114" s="172"/>
      <c r="FG114" s="172"/>
      <c r="FH114" s="172"/>
      <c r="FI114" s="172"/>
      <c r="FJ114" s="172"/>
      <c r="FK114" s="172"/>
      <c r="FL114" s="172"/>
      <c r="FM114" s="172"/>
      <c r="FN114" s="172"/>
      <c r="FO114" s="172"/>
      <c r="FP114" s="172"/>
      <c r="FQ114" s="172"/>
      <c r="FR114" s="172"/>
      <c r="FS114" s="172"/>
      <c r="FT114" s="172"/>
      <c r="FU114" s="172"/>
      <c r="FV114" s="172"/>
      <c r="FW114" s="172"/>
      <c r="FX114" s="172"/>
      <c r="FY114" s="172"/>
      <c r="FZ114" s="172"/>
      <c r="GA114" s="172"/>
      <c r="GB114" s="172"/>
      <c r="GC114" s="172"/>
      <c r="GD114" s="172"/>
      <c r="GE114" s="172"/>
      <c r="GF114" s="172"/>
      <c r="GG114" s="172"/>
      <c r="GH114" s="172"/>
      <c r="GI114" s="172"/>
      <c r="GJ114" s="172"/>
      <c r="GK114" s="172"/>
      <c r="GL114" s="172"/>
      <c r="GM114" s="172"/>
      <c r="GN114" s="172"/>
      <c r="GO114" s="172"/>
      <c r="GP114" s="172"/>
      <c r="GQ114" s="172"/>
      <c r="GR114" s="172"/>
      <c r="GS114" s="172"/>
      <c r="GT114" s="172"/>
      <c r="GU114" s="172"/>
      <c r="GV114" s="172"/>
      <c r="GW114" s="172"/>
      <c r="GX114" s="172"/>
      <c r="GY114" s="172"/>
      <c r="GZ114" s="172"/>
      <c r="HA114" s="172"/>
      <c r="HB114" s="172"/>
      <c r="HC114" s="172"/>
      <c r="HD114" s="172"/>
      <c r="HE114" s="172"/>
      <c r="HF114" s="172"/>
      <c r="HG114" s="172"/>
      <c r="HH114" s="172"/>
      <c r="HI114" s="172"/>
      <c r="HJ114" s="172"/>
      <c r="HK114" s="172"/>
      <c r="HL114" s="172"/>
      <c r="HM114" s="172"/>
      <c r="HN114" s="172"/>
      <c r="HO114" s="172"/>
      <c r="HP114" s="172"/>
      <c r="HQ114" s="172"/>
      <c r="HR114" s="172"/>
      <c r="HS114" s="172"/>
      <c r="HT114" s="172"/>
      <c r="HU114" s="172"/>
      <c r="HV114" s="172"/>
      <c r="HW114" s="172"/>
      <c r="HX114" s="172"/>
      <c r="HY114" s="172"/>
      <c r="HZ114" s="172"/>
      <c r="IA114" s="172"/>
      <c r="IB114" s="172"/>
      <c r="IC114" s="172"/>
      <c r="ID114" s="172"/>
      <c r="IE114" s="172"/>
      <c r="IF114" s="172"/>
      <c r="IG114" s="172"/>
      <c r="IH114" s="172"/>
      <c r="II114" s="172"/>
      <c r="IJ114" s="172"/>
      <c r="IK114" s="172"/>
      <c r="IL114" s="172"/>
      <c r="IM114" s="172"/>
      <c r="IN114" s="172"/>
      <c r="IO114" s="172"/>
      <c r="IP114" s="172"/>
      <c r="IQ114" s="172"/>
      <c r="IR114" s="172"/>
      <c r="IS114" s="172"/>
      <c r="IT114" s="172"/>
      <c r="IU114" s="172"/>
      <c r="IV114" s="172"/>
      <c r="IW114" s="172"/>
      <c r="IX114" s="172"/>
      <c r="IY114" s="172"/>
      <c r="IZ114" s="172"/>
      <c r="JA114" s="172"/>
      <c r="JB114" s="172"/>
      <c r="JC114" s="172"/>
      <c r="JD114" s="172"/>
      <c r="JE114" s="172"/>
      <c r="JF114" s="172"/>
      <c r="JG114" s="172"/>
      <c r="JH114" s="172"/>
      <c r="JI114" s="172"/>
      <c r="JJ114" s="172"/>
      <c r="JK114" s="172"/>
      <c r="JL114" s="172"/>
      <c r="JM114" s="172"/>
      <c r="JN114" s="172"/>
      <c r="JO114" s="172"/>
      <c r="JP114" s="172"/>
      <c r="JQ114" s="172"/>
      <c r="JR114" s="172"/>
      <c r="JS114" s="172"/>
      <c r="JT114" s="172"/>
      <c r="JU114" s="172"/>
      <c r="JV114" s="172"/>
      <c r="JW114" s="172"/>
      <c r="JX114" s="172"/>
      <c r="JY114" s="172"/>
      <c r="JZ114" s="172"/>
      <c r="KA114" s="172"/>
      <c r="KB114" s="172"/>
      <c r="KC114" s="172"/>
      <c r="KD114" s="172"/>
      <c r="KE114" s="172"/>
      <c r="KF114" s="172"/>
      <c r="KG114" s="172"/>
      <c r="KH114" s="172"/>
      <c r="KI114" s="172"/>
      <c r="KJ114" s="172"/>
      <c r="KK114" s="172"/>
      <c r="KL114" s="172"/>
      <c r="KM114" s="172"/>
      <c r="KN114" s="172"/>
      <c r="KO114" s="172"/>
      <c r="KP114" s="172"/>
      <c r="KQ114" s="172"/>
      <c r="KR114" s="172"/>
      <c r="KS114" s="172"/>
      <c r="KT114" s="172"/>
      <c r="KU114" s="172"/>
      <c r="KV114" s="172"/>
      <c r="KW114" s="172"/>
      <c r="KX114" s="172"/>
      <c r="KY114" s="172"/>
      <c r="KZ114" s="172"/>
      <c r="LA114" s="172"/>
      <c r="LB114" s="172"/>
      <c r="LC114" s="172"/>
      <c r="LD114" s="172"/>
      <c r="LE114" s="172"/>
      <c r="LF114" s="172"/>
      <c r="LG114" s="172"/>
      <c r="LH114" s="172"/>
      <c r="LI114" s="172"/>
      <c r="LJ114" s="172"/>
      <c r="LK114" s="172"/>
      <c r="LL114" s="172"/>
      <c r="LM114" s="172"/>
      <c r="LN114" s="172"/>
      <c r="LO114" s="172"/>
      <c r="LP114" s="172"/>
      <c r="LQ114" s="172"/>
      <c r="LR114" s="172"/>
      <c r="LS114" s="172"/>
      <c r="LT114" s="172"/>
      <c r="LU114" s="172"/>
      <c r="LV114" s="172"/>
      <c r="LW114" s="172"/>
      <c r="LX114" s="172"/>
      <c r="LY114" s="172"/>
      <c r="LZ114" s="172"/>
      <c r="MA114" s="172"/>
      <c r="MB114" s="172"/>
      <c r="MC114" s="172"/>
      <c r="MD114" s="172"/>
      <c r="ME114" s="172"/>
      <c r="MF114" s="172"/>
      <c r="MG114" s="172"/>
      <c r="MH114" s="172"/>
      <c r="MI114" s="172"/>
      <c r="MJ114" s="172"/>
      <c r="MK114" s="172"/>
      <c r="ML114" s="172"/>
      <c r="MM114" s="172"/>
      <c r="MN114" s="172"/>
      <c r="MO114" s="172"/>
      <c r="MP114" s="172"/>
      <c r="MQ114" s="172"/>
      <c r="MR114" s="172"/>
      <c r="MS114" s="172"/>
      <c r="MT114" s="172"/>
      <c r="MU114" s="172"/>
      <c r="MV114" s="172"/>
      <c r="MW114" s="172"/>
      <c r="MX114" s="172"/>
      <c r="MY114" s="172"/>
      <c r="MZ114" s="172"/>
      <c r="NA114" s="172"/>
      <c r="NB114" s="172"/>
      <c r="NC114" s="172"/>
      <c r="ND114" s="172"/>
      <c r="NE114" s="172"/>
      <c r="NF114" s="172"/>
      <c r="NG114" s="172"/>
      <c r="NH114" s="172"/>
      <c r="NI114" s="172"/>
      <c r="NJ114" s="172"/>
      <c r="NK114" s="172"/>
      <c r="NL114" s="172"/>
      <c r="NM114" s="172"/>
      <c r="NN114" s="172"/>
      <c r="NO114" s="172"/>
      <c r="NP114" s="172"/>
      <c r="NQ114" s="172"/>
      <c r="NR114" s="172"/>
      <c r="NS114" s="172"/>
      <c r="NT114" s="172"/>
      <c r="NU114" s="172"/>
      <c r="NV114" s="172"/>
      <c r="NW114" s="172"/>
      <c r="NX114" s="172"/>
      <c r="NY114" s="172"/>
      <c r="NZ114" s="172"/>
      <c r="OA114" s="172"/>
      <c r="OB114" s="172"/>
      <c r="OC114" s="172"/>
      <c r="OD114" s="172"/>
      <c r="OE114" s="172"/>
      <c r="OF114" s="172"/>
      <c r="OG114" s="172"/>
      <c r="OH114" s="172"/>
      <c r="OI114" s="172"/>
      <c r="OJ114" s="172"/>
      <c r="OK114" s="172"/>
      <c r="OL114" s="172"/>
      <c r="OM114" s="172"/>
      <c r="ON114" s="172"/>
      <c r="OO114" s="172"/>
      <c r="OP114" s="172"/>
      <c r="OQ114" s="172"/>
      <c r="OR114" s="172"/>
      <c r="OS114" s="172"/>
      <c r="OT114" s="172"/>
      <c r="OU114" s="172"/>
      <c r="OV114" s="172"/>
      <c r="OW114" s="172"/>
      <c r="OX114" s="172"/>
      <c r="OY114" s="172"/>
      <c r="OZ114" s="172"/>
      <c r="PA114" s="172"/>
      <c r="PB114" s="172"/>
      <c r="PC114" s="172"/>
      <c r="PD114" s="172"/>
      <c r="PE114" s="172"/>
      <c r="PF114" s="172"/>
      <c r="PG114" s="172"/>
      <c r="PH114" s="172"/>
      <c r="PI114" s="172"/>
      <c r="PJ114" s="172"/>
      <c r="PK114" s="172"/>
      <c r="PL114" s="172"/>
      <c r="PM114" s="172"/>
      <c r="PN114" s="172"/>
      <c r="PO114" s="172"/>
      <c r="PP114" s="172"/>
      <c r="PQ114" s="172"/>
      <c r="PR114" s="172"/>
      <c r="PS114" s="172"/>
      <c r="PT114" s="172"/>
      <c r="PU114" s="172"/>
      <c r="PV114" s="172"/>
      <c r="PW114" s="172"/>
      <c r="PX114" s="172"/>
      <c r="PY114" s="172"/>
      <c r="PZ114" s="172"/>
      <c r="QA114" s="172"/>
      <c r="QB114" s="172"/>
      <c r="QC114" s="172"/>
      <c r="QD114" s="172"/>
      <c r="QE114" s="172"/>
      <c r="QF114" s="172"/>
      <c r="QG114" s="172"/>
      <c r="QH114" s="172"/>
      <c r="QI114" s="172"/>
      <c r="QJ114" s="172"/>
      <c r="QK114" s="172"/>
      <c r="QL114" s="172"/>
      <c r="QM114" s="172"/>
      <c r="QN114" s="172"/>
      <c r="QO114" s="172"/>
      <c r="QP114" s="172"/>
      <c r="QQ114" s="172"/>
      <c r="QR114" s="172"/>
      <c r="QS114" s="172"/>
      <c r="QT114" s="172"/>
      <c r="QU114" s="172"/>
      <c r="QV114" s="172"/>
      <c r="QW114" s="172"/>
      <c r="QX114" s="172"/>
      <c r="QY114" s="172"/>
      <c r="QZ114" s="172"/>
      <c r="RA114" s="172"/>
      <c r="RB114" s="172"/>
      <c r="RC114" s="172"/>
      <c r="RD114" s="172"/>
      <c r="RE114" s="172"/>
      <c r="RF114" s="172"/>
      <c r="RG114" s="172"/>
      <c r="RH114" s="172"/>
      <c r="RI114" s="172"/>
      <c r="RJ114" s="172"/>
      <c r="RK114" s="172"/>
      <c r="RL114" s="172"/>
      <c r="RM114" s="172"/>
      <c r="RN114" s="172"/>
      <c r="RO114" s="172"/>
      <c r="RP114" s="172"/>
      <c r="RQ114" s="172"/>
      <c r="RR114" s="172"/>
      <c r="RS114" s="172"/>
      <c r="RT114" s="172"/>
      <c r="RU114" s="172"/>
      <c r="RV114" s="172"/>
      <c r="RW114" s="172"/>
      <c r="RX114" s="172"/>
      <c r="RY114" s="172"/>
      <c r="RZ114" s="172"/>
      <c r="SA114" s="172"/>
      <c r="SB114" s="172"/>
      <c r="SC114" s="172"/>
      <c r="SD114" s="172"/>
      <c r="SE114" s="172"/>
      <c r="SF114" s="172"/>
      <c r="SG114" s="172"/>
      <c r="SH114" s="172"/>
      <c r="SI114" s="172"/>
      <c r="SJ114" s="172"/>
      <c r="SK114" s="172"/>
      <c r="SL114" s="172"/>
      <c r="SM114" s="172"/>
      <c r="SN114" s="172"/>
      <c r="SO114" s="172"/>
      <c r="SP114" s="172"/>
      <c r="SQ114" s="172"/>
      <c r="SR114" s="172"/>
      <c r="SS114" s="172"/>
      <c r="ST114" s="172"/>
      <c r="SU114" s="172"/>
      <c r="SV114" s="172"/>
      <c r="SW114" s="172"/>
      <c r="SX114" s="172"/>
      <c r="SY114" s="172"/>
      <c r="SZ114" s="172"/>
      <c r="TA114" s="172"/>
      <c r="TB114" s="172"/>
      <c r="TC114" s="172"/>
      <c r="TD114" s="172"/>
      <c r="TE114" s="172"/>
      <c r="TF114" s="172"/>
      <c r="TG114" s="172"/>
      <c r="TH114" s="172"/>
      <c r="TI114" s="172"/>
      <c r="TJ114" s="172"/>
      <c r="TK114" s="172"/>
      <c r="TL114" s="172"/>
      <c r="TM114" s="172"/>
      <c r="TN114" s="172"/>
      <c r="TO114" s="172"/>
      <c r="TP114" s="172"/>
      <c r="TQ114" s="172"/>
      <c r="TR114" s="172"/>
      <c r="TS114" s="172"/>
      <c r="TT114" s="172"/>
      <c r="TU114" s="172"/>
      <c r="TV114" s="172"/>
      <c r="TW114" s="172"/>
      <c r="TX114" s="172"/>
      <c r="TY114" s="172"/>
      <c r="TZ114" s="172"/>
      <c r="UA114" s="172"/>
      <c r="UB114" s="172"/>
      <c r="UC114" s="172"/>
      <c r="UD114" s="172"/>
      <c r="UE114" s="172"/>
      <c r="UF114" s="172"/>
      <c r="UG114" s="172"/>
      <c r="UH114" s="172"/>
      <c r="UI114" s="172"/>
      <c r="UJ114" s="172"/>
      <c r="UK114" s="172"/>
      <c r="UL114" s="172"/>
      <c r="UM114" s="172"/>
      <c r="UN114" s="172"/>
      <c r="UO114" s="172"/>
      <c r="UP114" s="172"/>
      <c r="UQ114" s="172"/>
      <c r="UR114" s="172"/>
      <c r="US114" s="172"/>
      <c r="UT114" s="172"/>
      <c r="UU114" s="172"/>
      <c r="UV114" s="172"/>
      <c r="UW114" s="172"/>
      <c r="UX114" s="172"/>
      <c r="UY114" s="172"/>
      <c r="UZ114" s="172"/>
      <c r="VA114" s="172"/>
      <c r="VB114" s="172"/>
      <c r="VC114" s="172"/>
      <c r="VD114" s="172"/>
      <c r="VE114" s="172"/>
      <c r="VF114" s="172"/>
      <c r="VG114" s="172"/>
      <c r="VH114" s="172"/>
      <c r="VI114" s="172"/>
      <c r="VJ114" s="172"/>
      <c r="VK114" s="172"/>
      <c r="VL114" s="172"/>
      <c r="VM114" s="172"/>
      <c r="VN114" s="172"/>
      <c r="VO114" s="172"/>
      <c r="VP114" s="172"/>
      <c r="VQ114" s="172"/>
      <c r="VR114" s="172"/>
      <c r="VS114" s="172"/>
      <c r="VT114" s="172"/>
      <c r="VU114" s="172"/>
      <c r="VV114" s="172"/>
      <c r="VW114" s="172"/>
      <c r="VX114" s="172"/>
      <c r="VY114" s="172"/>
      <c r="VZ114" s="172"/>
      <c r="WA114" s="172"/>
      <c r="WB114" s="172"/>
      <c r="WC114" s="172"/>
      <c r="WD114" s="172"/>
      <c r="WE114" s="172"/>
      <c r="WF114" s="172"/>
      <c r="WG114" s="172"/>
      <c r="WH114" s="172"/>
      <c r="WI114" s="172"/>
      <c r="WJ114" s="172"/>
      <c r="WK114" s="172"/>
      <c r="WL114" s="172"/>
      <c r="WM114" s="172"/>
      <c r="WN114" s="172"/>
      <c r="WO114" s="172"/>
      <c r="WP114" s="172"/>
      <c r="WQ114" s="172"/>
      <c r="WR114" s="172"/>
      <c r="WS114" s="172"/>
      <c r="WT114" s="172"/>
      <c r="WU114" s="172"/>
      <c r="WV114" s="172"/>
      <c r="WW114" s="172"/>
      <c r="WX114" s="172"/>
      <c r="WY114" s="172"/>
      <c r="WZ114" s="172"/>
      <c r="XA114" s="172"/>
      <c r="XB114" s="172"/>
      <c r="XC114" s="172"/>
      <c r="XD114" s="172"/>
      <c r="XE114" s="172"/>
      <c r="XF114" s="172"/>
      <c r="XG114" s="172"/>
      <c r="XH114" s="172"/>
      <c r="XI114" s="172"/>
      <c r="XJ114" s="172"/>
      <c r="XK114" s="172"/>
      <c r="XL114" s="172"/>
      <c r="XM114" s="172"/>
      <c r="XN114" s="172"/>
      <c r="XO114" s="172"/>
      <c r="XP114" s="172"/>
      <c r="XQ114" s="172"/>
      <c r="XR114" s="172"/>
      <c r="XS114" s="172"/>
      <c r="XT114" s="172"/>
      <c r="XU114" s="172"/>
      <c r="XV114" s="172"/>
      <c r="XW114" s="172"/>
      <c r="XX114" s="172"/>
      <c r="XY114" s="172"/>
      <c r="XZ114" s="172"/>
      <c r="YA114" s="172"/>
      <c r="YB114" s="172"/>
      <c r="YC114" s="172"/>
      <c r="YD114" s="172"/>
      <c r="YE114" s="172"/>
      <c r="YF114" s="172"/>
      <c r="YG114" s="172"/>
      <c r="YH114" s="172"/>
      <c r="YI114" s="172"/>
      <c r="YJ114" s="172"/>
      <c r="YK114" s="172"/>
      <c r="YL114" s="172"/>
      <c r="YM114" s="172"/>
      <c r="YN114" s="172"/>
      <c r="YO114" s="172"/>
      <c r="YP114" s="172"/>
      <c r="YQ114" s="172"/>
      <c r="YR114" s="172"/>
      <c r="YS114" s="172"/>
      <c r="YT114" s="172"/>
      <c r="YU114" s="172"/>
      <c r="YV114" s="172"/>
      <c r="YW114" s="172"/>
      <c r="YX114" s="172"/>
      <c r="YY114" s="172"/>
      <c r="YZ114" s="172"/>
      <c r="ZA114" s="172"/>
      <c r="ZB114" s="172"/>
      <c r="ZC114" s="172"/>
      <c r="ZD114" s="172"/>
      <c r="ZE114" s="172"/>
      <c r="ZF114" s="172"/>
      <c r="ZG114" s="172"/>
      <c r="ZH114" s="172"/>
      <c r="ZI114" s="172"/>
      <c r="ZJ114" s="172"/>
      <c r="ZK114" s="172"/>
      <c r="ZL114" s="172"/>
      <c r="ZM114" s="172"/>
      <c r="ZN114" s="172"/>
      <c r="ZO114" s="172"/>
      <c r="ZP114" s="172"/>
      <c r="ZQ114" s="172"/>
      <c r="ZR114" s="172"/>
      <c r="ZS114" s="172"/>
      <c r="ZT114" s="172"/>
      <c r="ZU114" s="172"/>
      <c r="ZV114" s="172"/>
      <c r="ZW114" s="172"/>
      <c r="ZX114" s="172"/>
      <c r="ZY114" s="172"/>
      <c r="ZZ114" s="172"/>
      <c r="AAA114" s="172"/>
      <c r="AAB114" s="172"/>
      <c r="AAC114" s="172"/>
      <c r="AAD114" s="172"/>
      <c r="AAE114" s="172"/>
      <c r="AAF114" s="172"/>
      <c r="AAG114" s="172"/>
      <c r="AAH114" s="172"/>
      <c r="AAI114" s="172"/>
      <c r="AAJ114" s="172"/>
      <c r="AAK114" s="172"/>
      <c r="AAL114" s="172"/>
      <c r="AAM114" s="172"/>
      <c r="AAN114" s="172"/>
      <c r="AAO114" s="172"/>
      <c r="AAP114" s="172"/>
      <c r="AAQ114" s="172"/>
      <c r="AAR114" s="172"/>
      <c r="AAS114" s="172"/>
      <c r="AAT114" s="172"/>
      <c r="AAU114" s="172"/>
      <c r="AAV114" s="172"/>
      <c r="AAW114" s="172"/>
      <c r="AAX114" s="172"/>
      <c r="AAY114" s="172"/>
      <c r="AAZ114" s="172"/>
      <c r="ABA114" s="172"/>
      <c r="ABB114" s="172"/>
      <c r="ABC114" s="172"/>
      <c r="ABD114" s="172"/>
      <c r="ABE114" s="172"/>
      <c r="ABF114" s="172"/>
      <c r="ABG114" s="172"/>
      <c r="ABH114" s="172"/>
      <c r="ABI114" s="172"/>
      <c r="ABJ114" s="172"/>
      <c r="ABK114" s="172"/>
      <c r="ABL114" s="172"/>
      <c r="ABM114" s="172"/>
      <c r="ABN114" s="172"/>
      <c r="ABO114" s="172"/>
      <c r="ABP114" s="172"/>
      <c r="ABQ114" s="172"/>
      <c r="ABR114" s="172"/>
      <c r="ABS114" s="172"/>
      <c r="ABT114" s="172"/>
      <c r="ABU114" s="172"/>
      <c r="ABV114" s="172"/>
      <c r="ABW114" s="172"/>
      <c r="ABX114" s="172"/>
      <c r="ABY114" s="172"/>
      <c r="ABZ114" s="172"/>
      <c r="ACA114" s="172"/>
      <c r="ACB114" s="172"/>
      <c r="ACC114" s="172"/>
      <c r="ACD114" s="172"/>
      <c r="ACE114" s="172"/>
      <c r="ACF114" s="172"/>
      <c r="ACG114" s="172"/>
      <c r="ACH114" s="172"/>
      <c r="ACI114" s="172"/>
      <c r="ACJ114" s="172"/>
      <c r="ACK114" s="172"/>
      <c r="ACL114" s="172"/>
      <c r="ACM114" s="172"/>
      <c r="ACN114" s="172"/>
      <c r="ACO114" s="172"/>
      <c r="ACP114" s="172"/>
      <c r="ACQ114" s="172"/>
      <c r="ACR114" s="172"/>
      <c r="ACS114" s="172"/>
      <c r="ACT114" s="172"/>
      <c r="ACU114" s="172"/>
      <c r="ACV114" s="172"/>
      <c r="ACW114" s="172"/>
      <c r="ACX114" s="172"/>
      <c r="ACY114" s="172"/>
      <c r="ACZ114" s="172"/>
      <c r="ADA114" s="172"/>
      <c r="ADB114" s="172"/>
      <c r="ADC114" s="172"/>
      <c r="ADD114" s="172"/>
      <c r="ADE114" s="172"/>
      <c r="ADF114" s="172"/>
      <c r="ADG114" s="172"/>
      <c r="ADH114" s="172"/>
      <c r="ADI114" s="172"/>
      <c r="ADJ114" s="172"/>
      <c r="ADK114" s="172"/>
      <c r="ADL114" s="172"/>
      <c r="ADM114" s="172"/>
      <c r="ADN114" s="172"/>
      <c r="ADO114" s="172"/>
      <c r="ADP114" s="172"/>
      <c r="ADQ114" s="172"/>
      <c r="ADR114" s="172"/>
      <c r="ADS114" s="172"/>
      <c r="ADT114" s="172"/>
      <c r="ADU114" s="172"/>
      <c r="ADV114" s="172"/>
      <c r="ADW114" s="172"/>
      <c r="ADX114" s="172"/>
      <c r="ADY114" s="172"/>
      <c r="ADZ114" s="172"/>
      <c r="AEA114" s="172"/>
      <c r="AEB114" s="172"/>
      <c r="AEC114" s="172"/>
      <c r="AED114" s="172"/>
      <c r="AEE114" s="172"/>
      <c r="AEF114" s="172"/>
      <c r="AEG114" s="172"/>
      <c r="AEH114" s="172"/>
      <c r="AEI114" s="172"/>
      <c r="AEJ114" s="172"/>
      <c r="AEK114" s="172"/>
      <c r="AEL114" s="172"/>
      <c r="AEM114" s="172"/>
      <c r="AEN114" s="172"/>
      <c r="AEO114" s="172"/>
      <c r="AEP114" s="172"/>
      <c r="AEQ114" s="172"/>
      <c r="AER114" s="172"/>
      <c r="AES114" s="172"/>
      <c r="AET114" s="172"/>
      <c r="AEU114" s="172"/>
      <c r="AEV114" s="172"/>
      <c r="AEW114" s="172"/>
      <c r="AEX114" s="172"/>
      <c r="AEY114" s="172"/>
      <c r="AEZ114" s="172"/>
      <c r="AFA114" s="172"/>
      <c r="AFB114" s="172"/>
      <c r="AFC114" s="172"/>
      <c r="AFD114" s="172"/>
      <c r="AFE114" s="172"/>
      <c r="AFF114" s="172"/>
      <c r="AFG114" s="172"/>
      <c r="AFH114" s="172"/>
      <c r="AFI114" s="172"/>
      <c r="AFJ114" s="172"/>
      <c r="AFK114" s="172"/>
      <c r="AFL114" s="172"/>
      <c r="AFM114" s="172"/>
      <c r="AFN114" s="172"/>
      <c r="AFO114" s="172"/>
      <c r="AFP114" s="172"/>
      <c r="AFQ114" s="172"/>
      <c r="AFR114" s="172"/>
      <c r="AFS114" s="172"/>
      <c r="AFT114" s="172"/>
      <c r="AFU114" s="172"/>
      <c r="AFV114" s="172"/>
      <c r="AFW114" s="172"/>
      <c r="AFX114" s="172"/>
      <c r="AFY114" s="172"/>
      <c r="AFZ114" s="172"/>
      <c r="AGA114" s="172"/>
      <c r="AGB114" s="172"/>
      <c r="AGC114" s="172"/>
      <c r="AGD114" s="172"/>
      <c r="AGE114" s="172"/>
      <c r="AGF114" s="172"/>
      <c r="AGG114" s="172"/>
      <c r="AGH114" s="172"/>
      <c r="AGI114" s="172"/>
      <c r="AGJ114" s="172"/>
      <c r="AGK114" s="172"/>
      <c r="AGL114" s="172"/>
      <c r="AGM114" s="172"/>
      <c r="AGN114" s="172"/>
      <c r="AGO114" s="172"/>
      <c r="AGP114" s="172"/>
      <c r="AGQ114" s="172"/>
      <c r="AGR114" s="172"/>
      <c r="AGS114" s="172"/>
      <c r="AGT114" s="172"/>
      <c r="AGU114" s="172"/>
      <c r="AGV114" s="172"/>
      <c r="AGW114" s="172"/>
      <c r="AGX114" s="172"/>
      <c r="AGY114" s="172"/>
      <c r="AGZ114" s="172"/>
      <c r="AHA114" s="172"/>
      <c r="AHB114" s="172"/>
      <c r="AHC114" s="172"/>
      <c r="AHD114" s="172"/>
      <c r="AHE114" s="172"/>
      <c r="AHF114" s="172"/>
      <c r="AHG114" s="172"/>
      <c r="AHH114" s="172"/>
      <c r="AHI114" s="172"/>
      <c r="AHJ114" s="172"/>
      <c r="AHK114" s="172"/>
      <c r="AHL114" s="172"/>
      <c r="AHM114" s="172"/>
      <c r="AHN114" s="172"/>
      <c r="AHO114" s="172"/>
      <c r="AHP114" s="172"/>
      <c r="AHQ114" s="172"/>
      <c r="AHR114" s="172"/>
      <c r="AHS114" s="172"/>
      <c r="AHT114" s="172"/>
      <c r="AHU114" s="172"/>
      <c r="AHV114" s="172"/>
      <c r="AHW114" s="172"/>
      <c r="AHX114" s="172"/>
      <c r="AHY114" s="172"/>
      <c r="AHZ114" s="172"/>
      <c r="AIA114" s="172"/>
      <c r="AIB114" s="172"/>
      <c r="AIC114" s="172"/>
      <c r="AID114" s="172"/>
      <c r="AIE114" s="172"/>
      <c r="AIF114" s="172"/>
      <c r="AIG114" s="172"/>
      <c r="AIH114" s="172"/>
      <c r="AII114" s="172"/>
      <c r="AIJ114" s="172"/>
      <c r="AIK114" s="172"/>
      <c r="AIL114" s="172"/>
      <c r="AIM114" s="172"/>
      <c r="AIN114" s="172"/>
      <c r="AIO114" s="172"/>
      <c r="AIP114" s="172"/>
      <c r="AIQ114" s="172"/>
      <c r="AIR114" s="172"/>
      <c r="AIS114" s="172"/>
      <c r="AIT114" s="172"/>
      <c r="AIU114" s="172"/>
      <c r="AIV114" s="172"/>
      <c r="AIW114" s="172"/>
      <c r="AIX114" s="172"/>
      <c r="AIY114" s="172"/>
      <c r="AIZ114" s="172"/>
      <c r="AJA114" s="172"/>
      <c r="AJB114" s="172"/>
      <c r="AJC114" s="172"/>
      <c r="AJD114" s="172"/>
      <c r="AJE114" s="172"/>
      <c r="AJF114" s="172"/>
      <c r="AJG114" s="172"/>
      <c r="AJH114" s="172"/>
      <c r="AJI114" s="172"/>
      <c r="AJJ114" s="172"/>
      <c r="AJK114" s="172"/>
      <c r="AJL114" s="172"/>
      <c r="AJM114" s="172"/>
      <c r="AJN114" s="172"/>
      <c r="AJO114" s="172"/>
      <c r="AJP114" s="172"/>
      <c r="AJQ114" s="172"/>
      <c r="AJR114" s="172"/>
      <c r="AJS114" s="172"/>
      <c r="AJT114" s="172"/>
      <c r="AJU114" s="172"/>
      <c r="AJV114" s="172"/>
      <c r="AJW114" s="172"/>
      <c r="AJX114" s="172"/>
      <c r="AJY114" s="172"/>
      <c r="AJZ114" s="172"/>
      <c r="AKA114" s="172"/>
      <c r="AKB114" s="172"/>
      <c r="AKC114" s="172"/>
      <c r="AKD114" s="172"/>
      <c r="AKE114" s="172"/>
      <c r="AKF114" s="172"/>
      <c r="AKG114" s="172"/>
      <c r="AKH114" s="172"/>
      <c r="AKI114" s="172"/>
      <c r="AKJ114" s="172"/>
      <c r="AKK114" s="172"/>
      <c r="AKL114" s="172"/>
      <c r="AKM114" s="172"/>
      <c r="AKN114" s="172"/>
      <c r="AKO114" s="172"/>
      <c r="AKP114" s="172"/>
      <c r="AKQ114" s="172"/>
      <c r="AKR114" s="172"/>
      <c r="AKS114" s="172"/>
      <c r="AKT114" s="172"/>
      <c r="AKU114" s="172"/>
      <c r="AKV114" s="172"/>
      <c r="AKW114" s="172"/>
      <c r="AKX114" s="172"/>
      <c r="AKY114" s="172"/>
      <c r="AKZ114" s="172"/>
      <c r="ALA114" s="172"/>
      <c r="ALB114" s="172"/>
      <c r="ALC114" s="172"/>
      <c r="ALD114" s="172"/>
      <c r="ALE114" s="172"/>
      <c r="ALF114" s="172"/>
      <c r="ALG114" s="172"/>
      <c r="ALH114" s="172"/>
      <c r="ALI114" s="172"/>
      <c r="ALJ114" s="172"/>
      <c r="ALK114" s="172"/>
      <c r="ALL114" s="172"/>
      <c r="ALM114" s="172"/>
      <c r="ALN114" s="172"/>
      <c r="ALO114" s="172"/>
      <c r="ALP114" s="172"/>
      <c r="ALQ114" s="172"/>
      <c r="ALR114" s="172"/>
      <c r="ALS114" s="172"/>
      <c r="ALT114" s="172"/>
      <c r="ALU114" s="172"/>
      <c r="ALV114" s="172"/>
      <c r="ALW114" s="172"/>
      <c r="ALX114" s="172"/>
      <c r="ALY114" s="172"/>
      <c r="ALZ114" s="172"/>
      <c r="AMA114" s="172"/>
      <c r="AMB114" s="172"/>
      <c r="AMC114" s="172"/>
      <c r="AMD114" s="172"/>
      <c r="AME114" s="172"/>
      <c r="AMF114" s="172"/>
      <c r="AMG114" s="172"/>
      <c r="AMH114" s="172"/>
      <c r="AMI114" s="172"/>
      <c r="AMJ114" s="172"/>
      <c r="AMK114" s="172"/>
      <c r="AML114" s="172"/>
      <c r="AMM114" s="172"/>
      <c r="AMN114" s="172"/>
      <c r="AMO114" s="172"/>
      <c r="AMP114" s="172"/>
      <c r="AMQ114" s="172"/>
      <c r="AMR114" s="172"/>
      <c r="AMS114" s="172"/>
      <c r="AMT114" s="172"/>
      <c r="AMU114" s="172"/>
      <c r="AMV114" s="172"/>
      <c r="AMW114" s="172"/>
      <c r="AMX114" s="172"/>
      <c r="AMY114" s="172"/>
      <c r="AMZ114" s="172"/>
      <c r="ANA114" s="172"/>
      <c r="ANB114" s="172"/>
      <c r="ANC114" s="172"/>
      <c r="AND114" s="172"/>
      <c r="ANE114" s="172"/>
      <c r="ANF114" s="172"/>
      <c r="ANG114" s="172"/>
      <c r="ANH114" s="172"/>
      <c r="ANI114" s="172"/>
      <c r="ANJ114" s="172"/>
      <c r="ANK114" s="172"/>
      <c r="ANL114" s="172"/>
      <c r="ANM114" s="172"/>
      <c r="ANN114" s="172"/>
      <c r="ANO114" s="172"/>
      <c r="ANP114" s="172"/>
      <c r="ANQ114" s="172"/>
      <c r="ANR114" s="172"/>
      <c r="ANS114" s="172"/>
      <c r="ANT114" s="172"/>
      <c r="ANU114" s="172"/>
      <c r="ANV114" s="172"/>
      <c r="ANW114" s="172"/>
      <c r="ANX114" s="172"/>
      <c r="ANY114" s="172"/>
      <c r="ANZ114" s="172"/>
      <c r="AOA114" s="172"/>
      <c r="AOB114" s="172"/>
      <c r="AOC114" s="172"/>
      <c r="AOD114" s="172"/>
      <c r="AOE114" s="172"/>
      <c r="AOF114" s="172"/>
      <c r="AOG114" s="172"/>
      <c r="AOH114" s="172"/>
      <c r="AOI114" s="172"/>
      <c r="AOJ114" s="172"/>
      <c r="AOK114" s="172"/>
      <c r="AOL114" s="172"/>
      <c r="AOM114" s="172"/>
      <c r="AON114" s="172"/>
      <c r="AOO114" s="172"/>
      <c r="AOP114" s="172"/>
      <c r="AOQ114" s="172"/>
      <c r="AOR114" s="172"/>
      <c r="AOS114" s="172"/>
      <c r="AOT114" s="172"/>
      <c r="AOU114" s="172"/>
      <c r="AOV114" s="172"/>
      <c r="AOW114" s="172"/>
      <c r="AOX114" s="172"/>
      <c r="AOY114" s="172"/>
      <c r="AOZ114" s="172"/>
      <c r="APA114" s="172"/>
      <c r="APB114" s="172"/>
      <c r="APC114" s="172"/>
      <c r="APD114" s="172"/>
      <c r="APE114" s="172"/>
      <c r="APF114" s="172"/>
      <c r="APG114" s="172"/>
      <c r="APH114" s="172"/>
      <c r="API114" s="172"/>
      <c r="APJ114" s="172"/>
      <c r="APK114" s="172"/>
      <c r="APL114" s="172"/>
      <c r="APM114" s="172"/>
      <c r="APN114" s="172"/>
      <c r="APO114" s="172"/>
      <c r="APP114" s="172"/>
      <c r="APQ114" s="172"/>
      <c r="APR114" s="172"/>
      <c r="APS114" s="172"/>
      <c r="APT114" s="172"/>
      <c r="APU114" s="172"/>
      <c r="APV114" s="172"/>
      <c r="APW114" s="172"/>
      <c r="APX114" s="172"/>
      <c r="APY114" s="172"/>
      <c r="APZ114" s="172"/>
      <c r="AQA114" s="172"/>
      <c r="AQB114" s="172"/>
      <c r="AQC114" s="172"/>
      <c r="AQD114" s="172"/>
      <c r="AQE114" s="172"/>
      <c r="AQF114" s="172"/>
      <c r="AQG114" s="172"/>
      <c r="AQH114" s="172"/>
      <c r="AQI114" s="172"/>
      <c r="AQJ114" s="172"/>
      <c r="AQK114" s="172"/>
      <c r="AQL114" s="172"/>
      <c r="AQM114" s="172"/>
      <c r="AQN114" s="172"/>
      <c r="AQO114" s="172"/>
      <c r="AQP114" s="172"/>
      <c r="AQQ114" s="172"/>
      <c r="AQR114" s="172"/>
      <c r="AQS114" s="172"/>
      <c r="AQT114" s="172"/>
      <c r="AQU114" s="172"/>
      <c r="AQV114" s="172"/>
      <c r="AQW114" s="172"/>
      <c r="AQX114" s="172"/>
      <c r="AQY114" s="172"/>
      <c r="AQZ114" s="172"/>
      <c r="ARA114" s="172"/>
      <c r="ARB114" s="172"/>
      <c r="ARC114" s="172"/>
      <c r="ARD114" s="172"/>
      <c r="ARE114" s="172"/>
      <c r="ARF114" s="172"/>
      <c r="ARG114" s="172"/>
      <c r="ARH114" s="172"/>
      <c r="ARI114" s="172"/>
      <c r="ARJ114" s="172"/>
      <c r="ARK114" s="172"/>
      <c r="ARL114" s="172"/>
      <c r="ARM114" s="172"/>
      <c r="ARN114" s="172"/>
      <c r="ARO114" s="172"/>
      <c r="ARP114" s="172"/>
      <c r="ARQ114" s="172"/>
      <c r="ARR114" s="172"/>
      <c r="ARS114" s="172"/>
      <c r="ART114" s="172"/>
      <c r="ARU114" s="172"/>
    </row>
    <row r="115" spans="1:1165">
      <c r="A115" s="214"/>
      <c r="B115" s="195"/>
      <c r="C115" s="258"/>
      <c r="D115" s="258"/>
      <c r="E115" s="258"/>
      <c r="F115" s="258"/>
      <c r="G115" s="258"/>
      <c r="H115" s="258"/>
      <c r="I115" s="258"/>
      <c r="J115" s="258"/>
      <c r="K115" s="258"/>
      <c r="L115" s="258"/>
      <c r="M115" s="258"/>
      <c r="N115" s="258"/>
      <c r="O115" s="258"/>
      <c r="P115" s="258"/>
      <c r="Q115" s="258"/>
      <c r="R115" s="258"/>
      <c r="S115" s="258"/>
      <c r="T115" s="258"/>
      <c r="U115" s="227"/>
      <c r="V115" s="227"/>
      <c r="W115" s="284"/>
      <c r="X115" s="284"/>
      <c r="Y115" s="284"/>
      <c r="Z115" s="284"/>
      <c r="AA115" s="302"/>
      <c r="AB115" s="302"/>
      <c r="AC115" s="258"/>
      <c r="AD115" s="258"/>
      <c r="AE115" s="302"/>
      <c r="AF115" s="302"/>
      <c r="AG115" s="302"/>
      <c r="AH115" s="302"/>
      <c r="AI115" s="302"/>
      <c r="AJ115" s="302"/>
      <c r="AK115" s="302"/>
      <c r="AL115" s="302"/>
      <c r="AM115" s="288"/>
      <c r="AN115" s="288"/>
      <c r="AO115" s="288"/>
      <c r="AP115" s="288"/>
      <c r="AQ115" s="288"/>
      <c r="AR115" s="288"/>
      <c r="AS115" s="288"/>
      <c r="AT115" s="288"/>
      <c r="AU115" s="302"/>
      <c r="AV115" s="302"/>
      <c r="AW115" s="286"/>
      <c r="AX115" s="286"/>
      <c r="AY115" s="1186"/>
      <c r="AZ115" s="1186"/>
      <c r="BA115" s="285"/>
      <c r="BB115" s="286"/>
      <c r="BC115" s="286"/>
      <c r="BD115" s="286"/>
      <c r="BE115" s="286"/>
      <c r="BF115" s="286"/>
      <c r="BG115" s="286"/>
      <c r="BH115" s="286"/>
      <c r="BI115" s="285"/>
      <c r="BJ115" s="286"/>
      <c r="BK115" s="286"/>
      <c r="BL115" s="172"/>
      <c r="BO115" s="231"/>
      <c r="BP115" s="231"/>
    </row>
    <row r="116" spans="1:1165">
      <c r="A116" s="204" t="s">
        <v>234</v>
      </c>
      <c r="B116" s="207" t="s">
        <v>87</v>
      </c>
      <c r="C116" s="268">
        <v>2917884</v>
      </c>
      <c r="D116" s="268">
        <v>8203256</v>
      </c>
      <c r="E116" s="208">
        <v>293370</v>
      </c>
      <c r="F116" s="208">
        <v>1126629</v>
      </c>
      <c r="G116" s="208">
        <v>354836</v>
      </c>
      <c r="H116" s="208">
        <v>1444659</v>
      </c>
      <c r="I116" s="208">
        <v>526543</v>
      </c>
      <c r="J116" s="208">
        <v>4070915</v>
      </c>
      <c r="K116" s="208">
        <v>439444</v>
      </c>
      <c r="L116" s="208">
        <v>5500499</v>
      </c>
      <c r="M116" s="208">
        <v>637683</v>
      </c>
      <c r="N116" s="208">
        <v>7152245</v>
      </c>
      <c r="O116" s="208">
        <v>451765</v>
      </c>
      <c r="P116" s="208">
        <v>5126645</v>
      </c>
      <c r="Q116" s="208">
        <v>314481</v>
      </c>
      <c r="R116" s="208">
        <v>3771201</v>
      </c>
      <c r="S116" s="208">
        <v>136045</v>
      </c>
      <c r="T116" s="208">
        <v>1333818</v>
      </c>
      <c r="U116" s="219">
        <v>112017</v>
      </c>
      <c r="V116" s="219">
        <v>1005163</v>
      </c>
      <c r="W116" s="219">
        <v>163900</v>
      </c>
      <c r="X116" s="219">
        <v>1147662</v>
      </c>
      <c r="Y116" s="219">
        <v>146811</v>
      </c>
      <c r="Z116" s="219">
        <v>1061190</v>
      </c>
      <c r="AA116" s="230">
        <v>75750</v>
      </c>
      <c r="AB116" s="230">
        <v>635499</v>
      </c>
      <c r="AC116" s="208">
        <v>102105</v>
      </c>
      <c r="AD116" s="208">
        <v>1008920</v>
      </c>
      <c r="AE116" s="200">
        <v>145205</v>
      </c>
      <c r="AF116" s="230">
        <v>1329400</v>
      </c>
      <c r="AG116" s="200">
        <v>209912</v>
      </c>
      <c r="AH116" s="230">
        <v>2561194</v>
      </c>
      <c r="AI116" s="200">
        <v>217867</v>
      </c>
      <c r="AJ116" s="200">
        <v>2447709</v>
      </c>
      <c r="AK116" s="270">
        <v>260520</v>
      </c>
      <c r="AL116" s="270">
        <v>2352729</v>
      </c>
      <c r="AM116" s="273">
        <v>315363</v>
      </c>
      <c r="AN116" s="273">
        <v>3934459</v>
      </c>
      <c r="AO116" s="200">
        <v>1074742</v>
      </c>
      <c r="AP116" s="200">
        <v>18342182</v>
      </c>
      <c r="AQ116" s="200">
        <v>1342504.57</v>
      </c>
      <c r="AR116" s="200">
        <v>23279629</v>
      </c>
      <c r="AS116" s="200">
        <v>1058801.3600000001</v>
      </c>
      <c r="AT116" s="200">
        <v>19248834</v>
      </c>
      <c r="AU116" s="230">
        <v>1092060</v>
      </c>
      <c r="AV116" s="230">
        <v>23070405</v>
      </c>
      <c r="AW116" s="230">
        <v>1505817</v>
      </c>
      <c r="AX116" s="219">
        <v>25320815</v>
      </c>
      <c r="AY116" s="208">
        <v>1570660</v>
      </c>
      <c r="AZ116" s="208">
        <v>25312796</v>
      </c>
      <c r="BA116" s="208"/>
      <c r="BB116" s="208"/>
      <c r="BC116" s="200"/>
      <c r="BD116" s="208"/>
      <c r="BE116" s="200"/>
      <c r="BF116" s="231"/>
      <c r="BG116" s="200"/>
      <c r="BH116" s="231"/>
      <c r="BI116" s="200"/>
      <c r="BJ116" s="219">
        <f>C116+G116+I116+K116+M116+O116+Q116+S116+U116+W116+Y116+AA116+AC116+AE116+AG116+AI116+AK116+AM116+AO116+AQ116+AS116+AU116+AW116+AY116+BB116+BF116</f>
        <v>15172715.93</v>
      </c>
      <c r="BK116" s="208">
        <f>D116+H116+J116+L116+N116+P116+R116+T116+V116+X116+Z116+AB116+AD116+AF116+AH116+AJ116+AL116+AN116+AP116+AR116+AT116+AV116+AX116+AZ116+BD116+BH116</f>
        <v>188661824</v>
      </c>
      <c r="BL116" s="172"/>
      <c r="BO116" s="231"/>
      <c r="BP116" s="231"/>
    </row>
    <row r="117" spans="1:1165">
      <c r="A117" s="204"/>
      <c r="B117" s="207"/>
      <c r="C117" s="268"/>
      <c r="D117" s="268"/>
      <c r="E117" s="208"/>
      <c r="F117" s="208"/>
      <c r="G117" s="208"/>
      <c r="H117" s="208"/>
      <c r="I117" s="208"/>
      <c r="J117" s="208"/>
      <c r="K117" s="208"/>
      <c r="L117" s="208"/>
      <c r="M117" s="208"/>
      <c r="N117" s="208"/>
      <c r="O117" s="208"/>
      <c r="P117" s="208"/>
      <c r="Q117" s="208"/>
      <c r="R117" s="208"/>
      <c r="S117" s="208"/>
      <c r="T117" s="208"/>
      <c r="U117" s="269"/>
      <c r="V117" s="269"/>
      <c r="W117" s="200"/>
      <c r="X117" s="200"/>
      <c r="Y117" s="200"/>
      <c r="Z117" s="200"/>
      <c r="AA117" s="230"/>
      <c r="AB117" s="230"/>
      <c r="AC117" s="208"/>
      <c r="AD117" s="208"/>
      <c r="AE117" s="230"/>
      <c r="AF117" s="230"/>
      <c r="AG117" s="230"/>
      <c r="AH117" s="230"/>
      <c r="AI117" s="230"/>
      <c r="AJ117" s="230"/>
      <c r="AK117" s="230"/>
      <c r="AL117" s="230"/>
      <c r="AM117" s="200"/>
      <c r="AN117" s="200"/>
      <c r="AO117" s="200"/>
      <c r="AP117" s="200"/>
      <c r="AQ117" s="200"/>
      <c r="AR117" s="200"/>
      <c r="AS117" s="200"/>
      <c r="AT117" s="200"/>
      <c r="AU117" s="230"/>
      <c r="AV117" s="230"/>
      <c r="AW117" s="249"/>
      <c r="AX117" s="249"/>
      <c r="AY117" s="248"/>
      <c r="AZ117" s="248"/>
      <c r="BA117" s="283"/>
      <c r="BB117" s="249"/>
      <c r="BC117" s="249"/>
      <c r="BD117" s="249"/>
      <c r="BE117" s="249"/>
      <c r="BF117" s="249"/>
      <c r="BG117" s="249"/>
      <c r="BH117" s="249"/>
      <c r="BI117" s="283"/>
      <c r="BJ117" s="249"/>
      <c r="BK117" s="249"/>
      <c r="BL117" s="172"/>
      <c r="BM117" s="231"/>
      <c r="BO117" s="231"/>
      <c r="BP117" s="231"/>
    </row>
    <row r="118" spans="1:1165" s="257" customFormat="1">
      <c r="A118" s="194" t="s">
        <v>235</v>
      </c>
      <c r="B118" s="215"/>
      <c r="C118" s="284"/>
      <c r="D118" s="284"/>
      <c r="E118" s="211"/>
      <c r="F118" s="211"/>
      <c r="G118" s="211"/>
      <c r="H118" s="211"/>
      <c r="I118" s="211"/>
      <c r="J118" s="211"/>
      <c r="K118" s="211"/>
      <c r="L118" s="211"/>
      <c r="M118" s="211"/>
      <c r="N118" s="211"/>
      <c r="O118" s="211"/>
      <c r="P118" s="211"/>
      <c r="Q118" s="211"/>
      <c r="R118" s="211"/>
      <c r="S118" s="211"/>
      <c r="T118" s="211"/>
      <c r="U118" s="196"/>
      <c r="V118" s="196"/>
      <c r="W118" s="196"/>
      <c r="X118" s="196"/>
      <c r="Y118" s="196"/>
      <c r="Z118" s="196"/>
      <c r="AA118" s="226"/>
      <c r="AB118" s="226"/>
      <c r="AC118" s="198"/>
      <c r="AD118" s="198"/>
      <c r="AE118" s="226"/>
      <c r="AF118" s="226"/>
      <c r="AG118" s="226"/>
      <c r="AH118" s="226"/>
      <c r="AI118" s="226"/>
      <c r="AJ118" s="226"/>
      <c r="AK118" s="226"/>
      <c r="AL118" s="226"/>
      <c r="AM118" s="196"/>
      <c r="AN118" s="196"/>
      <c r="AO118" s="196"/>
      <c r="AP118" s="196"/>
      <c r="AQ118" s="196"/>
      <c r="AR118" s="196"/>
      <c r="AS118" s="196"/>
      <c r="AT118" s="196"/>
      <c r="AU118" s="226"/>
      <c r="AV118" s="226"/>
      <c r="AW118" s="256"/>
      <c r="AX118" s="256"/>
      <c r="AY118" s="297"/>
      <c r="AZ118" s="255"/>
      <c r="BA118" s="262"/>
      <c r="BB118" s="256"/>
      <c r="BC118" s="256"/>
      <c r="BD118" s="256"/>
      <c r="BE118" s="256"/>
      <c r="BF118" s="256"/>
      <c r="BG118" s="256"/>
      <c r="BH118" s="256"/>
      <c r="BI118" s="262"/>
      <c r="BJ118" s="256"/>
      <c r="BK118" s="256"/>
      <c r="BL118" s="172"/>
      <c r="BM118" s="231"/>
      <c r="BN118" s="231"/>
      <c r="BO118" s="231"/>
      <c r="BP118" s="231"/>
      <c r="BQ118" s="172"/>
      <c r="BR118" s="172"/>
      <c r="BS118" s="172"/>
      <c r="BT118" s="172"/>
      <c r="BU118" s="172"/>
      <c r="BV118" s="172"/>
      <c r="BW118" s="172"/>
      <c r="BX118" s="172"/>
      <c r="BY118" s="172"/>
      <c r="BZ118" s="172"/>
      <c r="CA118" s="172"/>
      <c r="CB118" s="172"/>
      <c r="CC118" s="172"/>
      <c r="CD118" s="172"/>
      <c r="CE118" s="172"/>
      <c r="CF118" s="172"/>
      <c r="CG118" s="172"/>
      <c r="CH118" s="172"/>
      <c r="CI118" s="172"/>
      <c r="CJ118" s="172"/>
      <c r="CK118" s="172"/>
      <c r="CL118" s="172"/>
      <c r="CM118" s="172"/>
      <c r="CN118" s="172"/>
      <c r="CO118" s="172"/>
      <c r="CP118" s="172"/>
      <c r="CQ118" s="172"/>
      <c r="CR118" s="172"/>
      <c r="CS118" s="172"/>
      <c r="CT118" s="172"/>
      <c r="CU118" s="172"/>
      <c r="CV118" s="172"/>
      <c r="CW118" s="172"/>
      <c r="CX118" s="172"/>
      <c r="CY118" s="172"/>
      <c r="CZ118" s="172"/>
      <c r="DA118" s="172"/>
      <c r="DB118" s="172"/>
      <c r="DC118" s="172"/>
      <c r="DD118" s="172"/>
      <c r="DE118" s="172"/>
      <c r="DF118" s="172"/>
      <c r="DG118" s="172"/>
      <c r="DH118" s="172"/>
      <c r="DI118" s="172"/>
      <c r="DJ118" s="172"/>
      <c r="DK118" s="172"/>
      <c r="DL118" s="172"/>
      <c r="DM118" s="172"/>
      <c r="DN118" s="172"/>
      <c r="DO118" s="172"/>
      <c r="DP118" s="172"/>
      <c r="DQ118" s="172"/>
      <c r="DR118" s="172"/>
      <c r="DS118" s="172"/>
      <c r="DT118" s="172"/>
      <c r="DU118" s="172"/>
      <c r="DV118" s="172"/>
      <c r="DW118" s="172"/>
      <c r="DX118" s="172"/>
      <c r="DY118" s="172"/>
      <c r="DZ118" s="172"/>
      <c r="EA118" s="172"/>
      <c r="EB118" s="172"/>
      <c r="EC118" s="172"/>
      <c r="ED118" s="172"/>
      <c r="EE118" s="172"/>
      <c r="EF118" s="172"/>
      <c r="EG118" s="172"/>
      <c r="EH118" s="172"/>
      <c r="EI118" s="172"/>
      <c r="EJ118" s="172"/>
      <c r="EK118" s="172"/>
      <c r="EL118" s="172"/>
      <c r="EM118" s="172"/>
      <c r="EN118" s="172"/>
      <c r="EO118" s="172"/>
      <c r="EP118" s="172"/>
      <c r="EQ118" s="172"/>
      <c r="ER118" s="172"/>
      <c r="ES118" s="172"/>
      <c r="ET118" s="172"/>
      <c r="EU118" s="172"/>
      <c r="EV118" s="172"/>
      <c r="EW118" s="172"/>
      <c r="EX118" s="172"/>
      <c r="EY118" s="172"/>
      <c r="EZ118" s="172"/>
      <c r="FA118" s="172"/>
      <c r="FB118" s="172"/>
      <c r="FC118" s="172"/>
      <c r="FD118" s="172"/>
      <c r="FE118" s="172"/>
      <c r="FF118" s="172"/>
      <c r="FG118" s="172"/>
      <c r="FH118" s="172"/>
      <c r="FI118" s="172"/>
      <c r="FJ118" s="172"/>
      <c r="FK118" s="172"/>
      <c r="FL118" s="172"/>
      <c r="FM118" s="172"/>
      <c r="FN118" s="172"/>
      <c r="FO118" s="172"/>
      <c r="FP118" s="172"/>
      <c r="FQ118" s="172"/>
      <c r="FR118" s="172"/>
      <c r="FS118" s="172"/>
      <c r="FT118" s="172"/>
      <c r="FU118" s="172"/>
      <c r="FV118" s="172"/>
      <c r="FW118" s="172"/>
      <c r="FX118" s="172"/>
      <c r="FY118" s="172"/>
      <c r="FZ118" s="172"/>
      <c r="GA118" s="172"/>
      <c r="GB118" s="172"/>
      <c r="GC118" s="172"/>
      <c r="GD118" s="172"/>
      <c r="GE118" s="172"/>
      <c r="GF118" s="172"/>
      <c r="GG118" s="172"/>
      <c r="GH118" s="172"/>
      <c r="GI118" s="172"/>
      <c r="GJ118" s="172"/>
      <c r="GK118" s="172"/>
      <c r="GL118" s="172"/>
      <c r="GM118" s="172"/>
      <c r="GN118" s="172"/>
      <c r="GO118" s="172"/>
      <c r="GP118" s="172"/>
      <c r="GQ118" s="172"/>
      <c r="GR118" s="172"/>
      <c r="GS118" s="172"/>
      <c r="GT118" s="172"/>
      <c r="GU118" s="172"/>
      <c r="GV118" s="172"/>
      <c r="GW118" s="172"/>
      <c r="GX118" s="172"/>
      <c r="GY118" s="172"/>
      <c r="GZ118" s="172"/>
      <c r="HA118" s="172"/>
      <c r="HB118" s="172"/>
      <c r="HC118" s="172"/>
      <c r="HD118" s="172"/>
      <c r="HE118" s="172"/>
      <c r="HF118" s="172"/>
      <c r="HG118" s="172"/>
      <c r="HH118" s="172"/>
      <c r="HI118" s="172"/>
      <c r="HJ118" s="172"/>
      <c r="HK118" s="172"/>
      <c r="HL118" s="172"/>
      <c r="HM118" s="172"/>
      <c r="HN118" s="172"/>
      <c r="HO118" s="172"/>
      <c r="HP118" s="172"/>
      <c r="HQ118" s="172"/>
      <c r="HR118" s="172"/>
      <c r="HS118" s="172"/>
      <c r="HT118" s="172"/>
      <c r="HU118" s="172"/>
      <c r="HV118" s="172"/>
      <c r="HW118" s="172"/>
      <c r="HX118" s="172"/>
      <c r="HY118" s="172"/>
      <c r="HZ118" s="172"/>
      <c r="IA118" s="172"/>
      <c r="IB118" s="172"/>
      <c r="IC118" s="172"/>
      <c r="ID118" s="172"/>
      <c r="IE118" s="172"/>
      <c r="IF118" s="172"/>
      <c r="IG118" s="172"/>
      <c r="IH118" s="172"/>
      <c r="II118" s="172"/>
      <c r="IJ118" s="172"/>
      <c r="IK118" s="172"/>
      <c r="IL118" s="172"/>
      <c r="IM118" s="172"/>
      <c r="IN118" s="172"/>
      <c r="IO118" s="172"/>
      <c r="IP118" s="172"/>
      <c r="IQ118" s="172"/>
      <c r="IR118" s="172"/>
      <c r="IS118" s="172"/>
      <c r="IT118" s="172"/>
      <c r="IU118" s="172"/>
      <c r="IV118" s="172"/>
      <c r="IW118" s="172"/>
      <c r="IX118" s="172"/>
      <c r="IY118" s="172"/>
      <c r="IZ118" s="172"/>
      <c r="JA118" s="172"/>
      <c r="JB118" s="172"/>
      <c r="JC118" s="172"/>
      <c r="JD118" s="172"/>
      <c r="JE118" s="172"/>
      <c r="JF118" s="172"/>
      <c r="JG118" s="172"/>
      <c r="JH118" s="172"/>
      <c r="JI118" s="172"/>
      <c r="JJ118" s="172"/>
      <c r="JK118" s="172"/>
      <c r="JL118" s="172"/>
      <c r="JM118" s="172"/>
      <c r="JN118" s="172"/>
      <c r="JO118" s="172"/>
      <c r="JP118" s="172"/>
      <c r="JQ118" s="172"/>
      <c r="JR118" s="172"/>
      <c r="JS118" s="172"/>
      <c r="JT118" s="172"/>
      <c r="JU118" s="172"/>
      <c r="JV118" s="172"/>
      <c r="JW118" s="172"/>
      <c r="JX118" s="172"/>
      <c r="JY118" s="172"/>
      <c r="JZ118" s="172"/>
      <c r="KA118" s="172"/>
      <c r="KB118" s="172"/>
      <c r="KC118" s="172"/>
      <c r="KD118" s="172"/>
      <c r="KE118" s="172"/>
      <c r="KF118" s="172"/>
      <c r="KG118" s="172"/>
      <c r="KH118" s="172"/>
      <c r="KI118" s="172"/>
      <c r="KJ118" s="172"/>
      <c r="KK118" s="172"/>
      <c r="KL118" s="172"/>
      <c r="KM118" s="172"/>
      <c r="KN118" s="172"/>
      <c r="KO118" s="172"/>
      <c r="KP118" s="172"/>
      <c r="KQ118" s="172"/>
      <c r="KR118" s="172"/>
      <c r="KS118" s="172"/>
      <c r="KT118" s="172"/>
      <c r="KU118" s="172"/>
      <c r="KV118" s="172"/>
      <c r="KW118" s="172"/>
      <c r="KX118" s="172"/>
      <c r="KY118" s="172"/>
      <c r="KZ118" s="172"/>
      <c r="LA118" s="172"/>
      <c r="LB118" s="172"/>
      <c r="LC118" s="172"/>
      <c r="LD118" s="172"/>
      <c r="LE118" s="172"/>
      <c r="LF118" s="172"/>
      <c r="LG118" s="172"/>
      <c r="LH118" s="172"/>
      <c r="LI118" s="172"/>
      <c r="LJ118" s="172"/>
      <c r="LK118" s="172"/>
      <c r="LL118" s="172"/>
      <c r="LM118" s="172"/>
      <c r="LN118" s="172"/>
      <c r="LO118" s="172"/>
      <c r="LP118" s="172"/>
      <c r="LQ118" s="172"/>
      <c r="LR118" s="172"/>
      <c r="LS118" s="172"/>
      <c r="LT118" s="172"/>
      <c r="LU118" s="172"/>
      <c r="LV118" s="172"/>
      <c r="LW118" s="172"/>
      <c r="LX118" s="172"/>
      <c r="LY118" s="172"/>
      <c r="LZ118" s="172"/>
      <c r="MA118" s="172"/>
      <c r="MB118" s="172"/>
      <c r="MC118" s="172"/>
      <c r="MD118" s="172"/>
      <c r="ME118" s="172"/>
      <c r="MF118" s="172"/>
      <c r="MG118" s="172"/>
      <c r="MH118" s="172"/>
      <c r="MI118" s="172"/>
      <c r="MJ118" s="172"/>
      <c r="MK118" s="172"/>
      <c r="ML118" s="172"/>
      <c r="MM118" s="172"/>
      <c r="MN118" s="172"/>
      <c r="MO118" s="172"/>
      <c r="MP118" s="172"/>
      <c r="MQ118" s="172"/>
      <c r="MR118" s="172"/>
      <c r="MS118" s="172"/>
      <c r="MT118" s="172"/>
      <c r="MU118" s="172"/>
      <c r="MV118" s="172"/>
      <c r="MW118" s="172"/>
      <c r="MX118" s="172"/>
      <c r="MY118" s="172"/>
      <c r="MZ118" s="172"/>
      <c r="NA118" s="172"/>
      <c r="NB118" s="172"/>
      <c r="NC118" s="172"/>
      <c r="ND118" s="172"/>
      <c r="NE118" s="172"/>
      <c r="NF118" s="172"/>
      <c r="NG118" s="172"/>
      <c r="NH118" s="172"/>
      <c r="NI118" s="172"/>
      <c r="NJ118" s="172"/>
      <c r="NK118" s="172"/>
      <c r="NL118" s="172"/>
      <c r="NM118" s="172"/>
      <c r="NN118" s="172"/>
      <c r="NO118" s="172"/>
      <c r="NP118" s="172"/>
      <c r="NQ118" s="172"/>
      <c r="NR118" s="172"/>
      <c r="NS118" s="172"/>
      <c r="NT118" s="172"/>
      <c r="NU118" s="172"/>
      <c r="NV118" s="172"/>
      <c r="NW118" s="172"/>
      <c r="NX118" s="172"/>
      <c r="NY118" s="172"/>
      <c r="NZ118" s="172"/>
      <c r="OA118" s="172"/>
      <c r="OB118" s="172"/>
      <c r="OC118" s="172"/>
      <c r="OD118" s="172"/>
      <c r="OE118" s="172"/>
      <c r="OF118" s="172"/>
      <c r="OG118" s="172"/>
      <c r="OH118" s="172"/>
      <c r="OI118" s="172"/>
      <c r="OJ118" s="172"/>
      <c r="OK118" s="172"/>
      <c r="OL118" s="172"/>
      <c r="OM118" s="172"/>
      <c r="ON118" s="172"/>
      <c r="OO118" s="172"/>
      <c r="OP118" s="172"/>
      <c r="OQ118" s="172"/>
      <c r="OR118" s="172"/>
      <c r="OS118" s="172"/>
      <c r="OT118" s="172"/>
      <c r="OU118" s="172"/>
      <c r="OV118" s="172"/>
      <c r="OW118" s="172"/>
      <c r="OX118" s="172"/>
      <c r="OY118" s="172"/>
      <c r="OZ118" s="172"/>
      <c r="PA118" s="172"/>
      <c r="PB118" s="172"/>
      <c r="PC118" s="172"/>
      <c r="PD118" s="172"/>
      <c r="PE118" s="172"/>
      <c r="PF118" s="172"/>
      <c r="PG118" s="172"/>
      <c r="PH118" s="172"/>
      <c r="PI118" s="172"/>
      <c r="PJ118" s="172"/>
      <c r="PK118" s="172"/>
      <c r="PL118" s="172"/>
      <c r="PM118" s="172"/>
      <c r="PN118" s="172"/>
      <c r="PO118" s="172"/>
      <c r="PP118" s="172"/>
      <c r="PQ118" s="172"/>
      <c r="PR118" s="172"/>
      <c r="PS118" s="172"/>
      <c r="PT118" s="172"/>
      <c r="PU118" s="172"/>
      <c r="PV118" s="172"/>
      <c r="PW118" s="172"/>
      <c r="PX118" s="172"/>
      <c r="PY118" s="172"/>
      <c r="PZ118" s="172"/>
      <c r="QA118" s="172"/>
      <c r="QB118" s="172"/>
      <c r="QC118" s="172"/>
      <c r="QD118" s="172"/>
      <c r="QE118" s="172"/>
      <c r="QF118" s="172"/>
      <c r="QG118" s="172"/>
      <c r="QH118" s="172"/>
      <c r="QI118" s="172"/>
      <c r="QJ118" s="172"/>
      <c r="QK118" s="172"/>
      <c r="QL118" s="172"/>
      <c r="QM118" s="172"/>
      <c r="QN118" s="172"/>
      <c r="QO118" s="172"/>
      <c r="QP118" s="172"/>
      <c r="QQ118" s="172"/>
      <c r="QR118" s="172"/>
      <c r="QS118" s="172"/>
      <c r="QT118" s="172"/>
      <c r="QU118" s="172"/>
      <c r="QV118" s="172"/>
      <c r="QW118" s="172"/>
      <c r="QX118" s="172"/>
      <c r="QY118" s="172"/>
      <c r="QZ118" s="172"/>
      <c r="RA118" s="172"/>
      <c r="RB118" s="172"/>
      <c r="RC118" s="172"/>
      <c r="RD118" s="172"/>
      <c r="RE118" s="172"/>
      <c r="RF118" s="172"/>
      <c r="RG118" s="172"/>
      <c r="RH118" s="172"/>
      <c r="RI118" s="172"/>
      <c r="RJ118" s="172"/>
      <c r="RK118" s="172"/>
      <c r="RL118" s="172"/>
      <c r="RM118" s="172"/>
      <c r="RN118" s="172"/>
      <c r="RO118" s="172"/>
      <c r="RP118" s="172"/>
      <c r="RQ118" s="172"/>
      <c r="RR118" s="172"/>
      <c r="RS118" s="172"/>
      <c r="RT118" s="172"/>
      <c r="RU118" s="172"/>
      <c r="RV118" s="172"/>
      <c r="RW118" s="172"/>
      <c r="RX118" s="172"/>
      <c r="RY118" s="172"/>
      <c r="RZ118" s="172"/>
      <c r="SA118" s="172"/>
      <c r="SB118" s="172"/>
      <c r="SC118" s="172"/>
      <c r="SD118" s="172"/>
      <c r="SE118" s="172"/>
      <c r="SF118" s="172"/>
      <c r="SG118" s="172"/>
      <c r="SH118" s="172"/>
      <c r="SI118" s="172"/>
      <c r="SJ118" s="172"/>
      <c r="SK118" s="172"/>
      <c r="SL118" s="172"/>
      <c r="SM118" s="172"/>
      <c r="SN118" s="172"/>
      <c r="SO118" s="172"/>
      <c r="SP118" s="172"/>
      <c r="SQ118" s="172"/>
      <c r="SR118" s="172"/>
      <c r="SS118" s="172"/>
      <c r="ST118" s="172"/>
      <c r="SU118" s="172"/>
      <c r="SV118" s="172"/>
      <c r="SW118" s="172"/>
      <c r="SX118" s="172"/>
      <c r="SY118" s="172"/>
      <c r="SZ118" s="172"/>
      <c r="TA118" s="172"/>
      <c r="TB118" s="172"/>
      <c r="TC118" s="172"/>
      <c r="TD118" s="172"/>
      <c r="TE118" s="172"/>
      <c r="TF118" s="172"/>
      <c r="TG118" s="172"/>
      <c r="TH118" s="172"/>
      <c r="TI118" s="172"/>
      <c r="TJ118" s="172"/>
      <c r="TK118" s="172"/>
      <c r="TL118" s="172"/>
      <c r="TM118" s="172"/>
      <c r="TN118" s="172"/>
      <c r="TO118" s="172"/>
      <c r="TP118" s="172"/>
      <c r="TQ118" s="172"/>
      <c r="TR118" s="172"/>
      <c r="TS118" s="172"/>
      <c r="TT118" s="172"/>
      <c r="TU118" s="172"/>
      <c r="TV118" s="172"/>
      <c r="TW118" s="172"/>
      <c r="TX118" s="172"/>
      <c r="TY118" s="172"/>
      <c r="TZ118" s="172"/>
      <c r="UA118" s="172"/>
      <c r="UB118" s="172"/>
      <c r="UC118" s="172"/>
      <c r="UD118" s="172"/>
      <c r="UE118" s="172"/>
      <c r="UF118" s="172"/>
      <c r="UG118" s="172"/>
      <c r="UH118" s="172"/>
      <c r="UI118" s="172"/>
      <c r="UJ118" s="172"/>
      <c r="UK118" s="172"/>
      <c r="UL118" s="172"/>
      <c r="UM118" s="172"/>
      <c r="UN118" s="172"/>
      <c r="UO118" s="172"/>
      <c r="UP118" s="172"/>
      <c r="UQ118" s="172"/>
      <c r="UR118" s="172"/>
      <c r="US118" s="172"/>
      <c r="UT118" s="172"/>
      <c r="UU118" s="172"/>
      <c r="UV118" s="172"/>
      <c r="UW118" s="172"/>
      <c r="UX118" s="172"/>
      <c r="UY118" s="172"/>
      <c r="UZ118" s="172"/>
      <c r="VA118" s="172"/>
      <c r="VB118" s="172"/>
      <c r="VC118" s="172"/>
      <c r="VD118" s="172"/>
      <c r="VE118" s="172"/>
      <c r="VF118" s="172"/>
      <c r="VG118" s="172"/>
      <c r="VH118" s="172"/>
      <c r="VI118" s="172"/>
      <c r="VJ118" s="172"/>
      <c r="VK118" s="172"/>
      <c r="VL118" s="172"/>
      <c r="VM118" s="172"/>
      <c r="VN118" s="172"/>
      <c r="VO118" s="172"/>
      <c r="VP118" s="172"/>
      <c r="VQ118" s="172"/>
      <c r="VR118" s="172"/>
      <c r="VS118" s="172"/>
      <c r="VT118" s="172"/>
      <c r="VU118" s="172"/>
      <c r="VV118" s="172"/>
      <c r="VW118" s="172"/>
      <c r="VX118" s="172"/>
      <c r="VY118" s="172"/>
      <c r="VZ118" s="172"/>
      <c r="WA118" s="172"/>
      <c r="WB118" s="172"/>
      <c r="WC118" s="172"/>
      <c r="WD118" s="172"/>
      <c r="WE118" s="172"/>
      <c r="WF118" s="172"/>
      <c r="WG118" s="172"/>
      <c r="WH118" s="172"/>
      <c r="WI118" s="172"/>
      <c r="WJ118" s="172"/>
      <c r="WK118" s="172"/>
      <c r="WL118" s="172"/>
      <c r="WM118" s="172"/>
      <c r="WN118" s="172"/>
      <c r="WO118" s="172"/>
      <c r="WP118" s="172"/>
      <c r="WQ118" s="172"/>
      <c r="WR118" s="172"/>
      <c r="WS118" s="172"/>
      <c r="WT118" s="172"/>
      <c r="WU118" s="172"/>
      <c r="WV118" s="172"/>
      <c r="WW118" s="172"/>
      <c r="WX118" s="172"/>
      <c r="WY118" s="172"/>
      <c r="WZ118" s="172"/>
      <c r="XA118" s="172"/>
      <c r="XB118" s="172"/>
      <c r="XC118" s="172"/>
      <c r="XD118" s="172"/>
      <c r="XE118" s="172"/>
      <c r="XF118" s="172"/>
      <c r="XG118" s="172"/>
      <c r="XH118" s="172"/>
      <c r="XI118" s="172"/>
      <c r="XJ118" s="172"/>
      <c r="XK118" s="172"/>
      <c r="XL118" s="172"/>
      <c r="XM118" s="172"/>
      <c r="XN118" s="172"/>
      <c r="XO118" s="172"/>
      <c r="XP118" s="172"/>
      <c r="XQ118" s="172"/>
      <c r="XR118" s="172"/>
      <c r="XS118" s="172"/>
      <c r="XT118" s="172"/>
      <c r="XU118" s="172"/>
      <c r="XV118" s="172"/>
      <c r="XW118" s="172"/>
      <c r="XX118" s="172"/>
      <c r="XY118" s="172"/>
      <c r="XZ118" s="172"/>
      <c r="YA118" s="172"/>
      <c r="YB118" s="172"/>
      <c r="YC118" s="172"/>
      <c r="YD118" s="172"/>
      <c r="YE118" s="172"/>
      <c r="YF118" s="172"/>
      <c r="YG118" s="172"/>
      <c r="YH118" s="172"/>
      <c r="YI118" s="172"/>
      <c r="YJ118" s="172"/>
      <c r="YK118" s="172"/>
      <c r="YL118" s="172"/>
      <c r="YM118" s="172"/>
      <c r="YN118" s="172"/>
      <c r="YO118" s="172"/>
      <c r="YP118" s="172"/>
      <c r="YQ118" s="172"/>
      <c r="YR118" s="172"/>
      <c r="YS118" s="172"/>
      <c r="YT118" s="172"/>
      <c r="YU118" s="172"/>
      <c r="YV118" s="172"/>
      <c r="YW118" s="172"/>
      <c r="YX118" s="172"/>
      <c r="YY118" s="172"/>
      <c r="YZ118" s="172"/>
      <c r="ZA118" s="172"/>
      <c r="ZB118" s="172"/>
      <c r="ZC118" s="172"/>
      <c r="ZD118" s="172"/>
      <c r="ZE118" s="172"/>
      <c r="ZF118" s="172"/>
      <c r="ZG118" s="172"/>
      <c r="ZH118" s="172"/>
      <c r="ZI118" s="172"/>
      <c r="ZJ118" s="172"/>
      <c r="ZK118" s="172"/>
      <c r="ZL118" s="172"/>
      <c r="ZM118" s="172"/>
      <c r="ZN118" s="172"/>
      <c r="ZO118" s="172"/>
      <c r="ZP118" s="172"/>
      <c r="ZQ118" s="172"/>
      <c r="ZR118" s="172"/>
      <c r="ZS118" s="172"/>
      <c r="ZT118" s="172"/>
      <c r="ZU118" s="172"/>
      <c r="ZV118" s="172"/>
      <c r="ZW118" s="172"/>
      <c r="ZX118" s="172"/>
      <c r="ZY118" s="172"/>
      <c r="ZZ118" s="172"/>
      <c r="AAA118" s="172"/>
      <c r="AAB118" s="172"/>
      <c r="AAC118" s="172"/>
      <c r="AAD118" s="172"/>
      <c r="AAE118" s="172"/>
      <c r="AAF118" s="172"/>
      <c r="AAG118" s="172"/>
      <c r="AAH118" s="172"/>
      <c r="AAI118" s="172"/>
      <c r="AAJ118" s="172"/>
      <c r="AAK118" s="172"/>
      <c r="AAL118" s="172"/>
      <c r="AAM118" s="172"/>
      <c r="AAN118" s="172"/>
      <c r="AAO118" s="172"/>
      <c r="AAP118" s="172"/>
      <c r="AAQ118" s="172"/>
      <c r="AAR118" s="172"/>
      <c r="AAS118" s="172"/>
      <c r="AAT118" s="172"/>
      <c r="AAU118" s="172"/>
      <c r="AAV118" s="172"/>
      <c r="AAW118" s="172"/>
      <c r="AAX118" s="172"/>
      <c r="AAY118" s="172"/>
      <c r="AAZ118" s="172"/>
      <c r="ABA118" s="172"/>
      <c r="ABB118" s="172"/>
      <c r="ABC118" s="172"/>
      <c r="ABD118" s="172"/>
      <c r="ABE118" s="172"/>
      <c r="ABF118" s="172"/>
      <c r="ABG118" s="172"/>
      <c r="ABH118" s="172"/>
      <c r="ABI118" s="172"/>
      <c r="ABJ118" s="172"/>
      <c r="ABK118" s="172"/>
      <c r="ABL118" s="172"/>
      <c r="ABM118" s="172"/>
      <c r="ABN118" s="172"/>
      <c r="ABO118" s="172"/>
      <c r="ABP118" s="172"/>
      <c r="ABQ118" s="172"/>
      <c r="ABR118" s="172"/>
      <c r="ABS118" s="172"/>
      <c r="ABT118" s="172"/>
      <c r="ABU118" s="172"/>
      <c r="ABV118" s="172"/>
      <c r="ABW118" s="172"/>
      <c r="ABX118" s="172"/>
      <c r="ABY118" s="172"/>
      <c r="ABZ118" s="172"/>
      <c r="ACA118" s="172"/>
      <c r="ACB118" s="172"/>
      <c r="ACC118" s="172"/>
      <c r="ACD118" s="172"/>
      <c r="ACE118" s="172"/>
      <c r="ACF118" s="172"/>
      <c r="ACG118" s="172"/>
      <c r="ACH118" s="172"/>
      <c r="ACI118" s="172"/>
      <c r="ACJ118" s="172"/>
      <c r="ACK118" s="172"/>
      <c r="ACL118" s="172"/>
      <c r="ACM118" s="172"/>
      <c r="ACN118" s="172"/>
      <c r="ACO118" s="172"/>
      <c r="ACP118" s="172"/>
      <c r="ACQ118" s="172"/>
      <c r="ACR118" s="172"/>
      <c r="ACS118" s="172"/>
      <c r="ACT118" s="172"/>
      <c r="ACU118" s="172"/>
      <c r="ACV118" s="172"/>
      <c r="ACW118" s="172"/>
      <c r="ACX118" s="172"/>
      <c r="ACY118" s="172"/>
      <c r="ACZ118" s="172"/>
      <c r="ADA118" s="172"/>
      <c r="ADB118" s="172"/>
      <c r="ADC118" s="172"/>
      <c r="ADD118" s="172"/>
      <c r="ADE118" s="172"/>
      <c r="ADF118" s="172"/>
      <c r="ADG118" s="172"/>
      <c r="ADH118" s="172"/>
      <c r="ADI118" s="172"/>
      <c r="ADJ118" s="172"/>
      <c r="ADK118" s="172"/>
      <c r="ADL118" s="172"/>
      <c r="ADM118" s="172"/>
      <c r="ADN118" s="172"/>
      <c r="ADO118" s="172"/>
      <c r="ADP118" s="172"/>
      <c r="ADQ118" s="172"/>
      <c r="ADR118" s="172"/>
      <c r="ADS118" s="172"/>
      <c r="ADT118" s="172"/>
      <c r="ADU118" s="172"/>
      <c r="ADV118" s="172"/>
      <c r="ADW118" s="172"/>
      <c r="ADX118" s="172"/>
      <c r="ADY118" s="172"/>
      <c r="ADZ118" s="172"/>
      <c r="AEA118" s="172"/>
      <c r="AEB118" s="172"/>
      <c r="AEC118" s="172"/>
      <c r="AED118" s="172"/>
      <c r="AEE118" s="172"/>
      <c r="AEF118" s="172"/>
      <c r="AEG118" s="172"/>
      <c r="AEH118" s="172"/>
      <c r="AEI118" s="172"/>
      <c r="AEJ118" s="172"/>
      <c r="AEK118" s="172"/>
      <c r="AEL118" s="172"/>
      <c r="AEM118" s="172"/>
      <c r="AEN118" s="172"/>
      <c r="AEO118" s="172"/>
      <c r="AEP118" s="172"/>
      <c r="AEQ118" s="172"/>
      <c r="AER118" s="172"/>
      <c r="AES118" s="172"/>
      <c r="AET118" s="172"/>
      <c r="AEU118" s="172"/>
      <c r="AEV118" s="172"/>
      <c r="AEW118" s="172"/>
      <c r="AEX118" s="172"/>
      <c r="AEY118" s="172"/>
      <c r="AEZ118" s="172"/>
      <c r="AFA118" s="172"/>
      <c r="AFB118" s="172"/>
      <c r="AFC118" s="172"/>
      <c r="AFD118" s="172"/>
      <c r="AFE118" s="172"/>
      <c r="AFF118" s="172"/>
      <c r="AFG118" s="172"/>
      <c r="AFH118" s="172"/>
      <c r="AFI118" s="172"/>
      <c r="AFJ118" s="172"/>
      <c r="AFK118" s="172"/>
      <c r="AFL118" s="172"/>
      <c r="AFM118" s="172"/>
      <c r="AFN118" s="172"/>
      <c r="AFO118" s="172"/>
      <c r="AFP118" s="172"/>
      <c r="AFQ118" s="172"/>
      <c r="AFR118" s="172"/>
      <c r="AFS118" s="172"/>
      <c r="AFT118" s="172"/>
      <c r="AFU118" s="172"/>
      <c r="AFV118" s="172"/>
      <c r="AFW118" s="172"/>
      <c r="AFX118" s="172"/>
      <c r="AFY118" s="172"/>
      <c r="AFZ118" s="172"/>
      <c r="AGA118" s="172"/>
      <c r="AGB118" s="172"/>
      <c r="AGC118" s="172"/>
      <c r="AGD118" s="172"/>
      <c r="AGE118" s="172"/>
      <c r="AGF118" s="172"/>
      <c r="AGG118" s="172"/>
      <c r="AGH118" s="172"/>
      <c r="AGI118" s="172"/>
      <c r="AGJ118" s="172"/>
      <c r="AGK118" s="172"/>
      <c r="AGL118" s="172"/>
      <c r="AGM118" s="172"/>
      <c r="AGN118" s="172"/>
      <c r="AGO118" s="172"/>
      <c r="AGP118" s="172"/>
      <c r="AGQ118" s="172"/>
      <c r="AGR118" s="172"/>
      <c r="AGS118" s="172"/>
      <c r="AGT118" s="172"/>
      <c r="AGU118" s="172"/>
      <c r="AGV118" s="172"/>
      <c r="AGW118" s="172"/>
      <c r="AGX118" s="172"/>
      <c r="AGY118" s="172"/>
      <c r="AGZ118" s="172"/>
      <c r="AHA118" s="172"/>
      <c r="AHB118" s="172"/>
      <c r="AHC118" s="172"/>
      <c r="AHD118" s="172"/>
      <c r="AHE118" s="172"/>
      <c r="AHF118" s="172"/>
      <c r="AHG118" s="172"/>
      <c r="AHH118" s="172"/>
      <c r="AHI118" s="172"/>
      <c r="AHJ118" s="172"/>
      <c r="AHK118" s="172"/>
      <c r="AHL118" s="172"/>
      <c r="AHM118" s="172"/>
      <c r="AHN118" s="172"/>
      <c r="AHO118" s="172"/>
      <c r="AHP118" s="172"/>
      <c r="AHQ118" s="172"/>
      <c r="AHR118" s="172"/>
      <c r="AHS118" s="172"/>
      <c r="AHT118" s="172"/>
      <c r="AHU118" s="172"/>
      <c r="AHV118" s="172"/>
      <c r="AHW118" s="172"/>
      <c r="AHX118" s="172"/>
      <c r="AHY118" s="172"/>
      <c r="AHZ118" s="172"/>
      <c r="AIA118" s="172"/>
      <c r="AIB118" s="172"/>
      <c r="AIC118" s="172"/>
      <c r="AID118" s="172"/>
      <c r="AIE118" s="172"/>
      <c r="AIF118" s="172"/>
      <c r="AIG118" s="172"/>
      <c r="AIH118" s="172"/>
      <c r="AII118" s="172"/>
      <c r="AIJ118" s="172"/>
      <c r="AIK118" s="172"/>
      <c r="AIL118" s="172"/>
      <c r="AIM118" s="172"/>
      <c r="AIN118" s="172"/>
      <c r="AIO118" s="172"/>
      <c r="AIP118" s="172"/>
      <c r="AIQ118" s="172"/>
      <c r="AIR118" s="172"/>
      <c r="AIS118" s="172"/>
      <c r="AIT118" s="172"/>
      <c r="AIU118" s="172"/>
      <c r="AIV118" s="172"/>
      <c r="AIW118" s="172"/>
      <c r="AIX118" s="172"/>
      <c r="AIY118" s="172"/>
      <c r="AIZ118" s="172"/>
      <c r="AJA118" s="172"/>
      <c r="AJB118" s="172"/>
      <c r="AJC118" s="172"/>
      <c r="AJD118" s="172"/>
      <c r="AJE118" s="172"/>
      <c r="AJF118" s="172"/>
      <c r="AJG118" s="172"/>
      <c r="AJH118" s="172"/>
      <c r="AJI118" s="172"/>
      <c r="AJJ118" s="172"/>
      <c r="AJK118" s="172"/>
      <c r="AJL118" s="172"/>
      <c r="AJM118" s="172"/>
      <c r="AJN118" s="172"/>
      <c r="AJO118" s="172"/>
      <c r="AJP118" s="172"/>
      <c r="AJQ118" s="172"/>
      <c r="AJR118" s="172"/>
      <c r="AJS118" s="172"/>
      <c r="AJT118" s="172"/>
      <c r="AJU118" s="172"/>
      <c r="AJV118" s="172"/>
      <c r="AJW118" s="172"/>
      <c r="AJX118" s="172"/>
      <c r="AJY118" s="172"/>
      <c r="AJZ118" s="172"/>
      <c r="AKA118" s="172"/>
      <c r="AKB118" s="172"/>
      <c r="AKC118" s="172"/>
      <c r="AKD118" s="172"/>
      <c r="AKE118" s="172"/>
      <c r="AKF118" s="172"/>
      <c r="AKG118" s="172"/>
      <c r="AKH118" s="172"/>
      <c r="AKI118" s="172"/>
      <c r="AKJ118" s="172"/>
      <c r="AKK118" s="172"/>
      <c r="AKL118" s="172"/>
      <c r="AKM118" s="172"/>
      <c r="AKN118" s="172"/>
      <c r="AKO118" s="172"/>
      <c r="AKP118" s="172"/>
      <c r="AKQ118" s="172"/>
      <c r="AKR118" s="172"/>
      <c r="AKS118" s="172"/>
      <c r="AKT118" s="172"/>
      <c r="AKU118" s="172"/>
      <c r="AKV118" s="172"/>
      <c r="AKW118" s="172"/>
      <c r="AKX118" s="172"/>
      <c r="AKY118" s="172"/>
      <c r="AKZ118" s="172"/>
      <c r="ALA118" s="172"/>
      <c r="ALB118" s="172"/>
      <c r="ALC118" s="172"/>
      <c r="ALD118" s="172"/>
      <c r="ALE118" s="172"/>
      <c r="ALF118" s="172"/>
      <c r="ALG118" s="172"/>
      <c r="ALH118" s="172"/>
      <c r="ALI118" s="172"/>
      <c r="ALJ118" s="172"/>
      <c r="ALK118" s="172"/>
      <c r="ALL118" s="172"/>
      <c r="ALM118" s="172"/>
      <c r="ALN118" s="172"/>
      <c r="ALO118" s="172"/>
      <c r="ALP118" s="172"/>
      <c r="ALQ118" s="172"/>
      <c r="ALR118" s="172"/>
      <c r="ALS118" s="172"/>
      <c r="ALT118" s="172"/>
      <c r="ALU118" s="172"/>
      <c r="ALV118" s="172"/>
      <c r="ALW118" s="172"/>
      <c r="ALX118" s="172"/>
      <c r="ALY118" s="172"/>
      <c r="ALZ118" s="172"/>
      <c r="AMA118" s="172"/>
      <c r="AMB118" s="172"/>
      <c r="AMC118" s="172"/>
      <c r="AMD118" s="172"/>
      <c r="AME118" s="172"/>
      <c r="AMF118" s="172"/>
      <c r="AMG118" s="172"/>
      <c r="AMH118" s="172"/>
      <c r="AMI118" s="172"/>
      <c r="AMJ118" s="172"/>
      <c r="AMK118" s="172"/>
      <c r="AML118" s="172"/>
      <c r="AMM118" s="172"/>
      <c r="AMN118" s="172"/>
      <c r="AMO118" s="172"/>
      <c r="AMP118" s="172"/>
      <c r="AMQ118" s="172"/>
      <c r="AMR118" s="172"/>
      <c r="AMS118" s="172"/>
      <c r="AMT118" s="172"/>
      <c r="AMU118" s="172"/>
      <c r="AMV118" s="172"/>
      <c r="AMW118" s="172"/>
      <c r="AMX118" s="172"/>
      <c r="AMY118" s="172"/>
      <c r="AMZ118" s="172"/>
      <c r="ANA118" s="172"/>
      <c r="ANB118" s="172"/>
      <c r="ANC118" s="172"/>
      <c r="AND118" s="172"/>
      <c r="ANE118" s="172"/>
      <c r="ANF118" s="172"/>
      <c r="ANG118" s="172"/>
      <c r="ANH118" s="172"/>
      <c r="ANI118" s="172"/>
      <c r="ANJ118" s="172"/>
      <c r="ANK118" s="172"/>
      <c r="ANL118" s="172"/>
      <c r="ANM118" s="172"/>
      <c r="ANN118" s="172"/>
      <c r="ANO118" s="172"/>
      <c r="ANP118" s="172"/>
      <c r="ANQ118" s="172"/>
      <c r="ANR118" s="172"/>
      <c r="ANS118" s="172"/>
      <c r="ANT118" s="172"/>
      <c r="ANU118" s="172"/>
      <c r="ANV118" s="172"/>
      <c r="ANW118" s="172"/>
      <c r="ANX118" s="172"/>
      <c r="ANY118" s="172"/>
      <c r="ANZ118" s="172"/>
      <c r="AOA118" s="172"/>
      <c r="AOB118" s="172"/>
      <c r="AOC118" s="172"/>
      <c r="AOD118" s="172"/>
      <c r="AOE118" s="172"/>
      <c r="AOF118" s="172"/>
      <c r="AOG118" s="172"/>
      <c r="AOH118" s="172"/>
      <c r="AOI118" s="172"/>
      <c r="AOJ118" s="172"/>
      <c r="AOK118" s="172"/>
      <c r="AOL118" s="172"/>
      <c r="AOM118" s="172"/>
      <c r="AON118" s="172"/>
      <c r="AOO118" s="172"/>
      <c r="AOP118" s="172"/>
      <c r="AOQ118" s="172"/>
      <c r="AOR118" s="172"/>
      <c r="AOS118" s="172"/>
      <c r="AOT118" s="172"/>
      <c r="AOU118" s="172"/>
      <c r="AOV118" s="172"/>
      <c r="AOW118" s="172"/>
      <c r="AOX118" s="172"/>
      <c r="AOY118" s="172"/>
      <c r="AOZ118" s="172"/>
      <c r="APA118" s="172"/>
      <c r="APB118" s="172"/>
      <c r="APC118" s="172"/>
      <c r="APD118" s="172"/>
      <c r="APE118" s="172"/>
      <c r="APF118" s="172"/>
      <c r="APG118" s="172"/>
      <c r="APH118" s="172"/>
      <c r="API118" s="172"/>
      <c r="APJ118" s="172"/>
      <c r="APK118" s="172"/>
      <c r="APL118" s="172"/>
      <c r="APM118" s="172"/>
      <c r="APN118" s="172"/>
      <c r="APO118" s="172"/>
      <c r="APP118" s="172"/>
      <c r="APQ118" s="172"/>
      <c r="APR118" s="172"/>
      <c r="APS118" s="172"/>
      <c r="APT118" s="172"/>
      <c r="APU118" s="172"/>
      <c r="APV118" s="172"/>
      <c r="APW118" s="172"/>
      <c r="APX118" s="172"/>
      <c r="APY118" s="172"/>
      <c r="APZ118" s="172"/>
      <c r="AQA118" s="172"/>
      <c r="AQB118" s="172"/>
      <c r="AQC118" s="172"/>
      <c r="AQD118" s="172"/>
      <c r="AQE118" s="172"/>
      <c r="AQF118" s="172"/>
      <c r="AQG118" s="172"/>
      <c r="AQH118" s="172"/>
      <c r="AQI118" s="172"/>
      <c r="AQJ118" s="172"/>
      <c r="AQK118" s="172"/>
      <c r="AQL118" s="172"/>
      <c r="AQM118" s="172"/>
      <c r="AQN118" s="172"/>
      <c r="AQO118" s="172"/>
      <c r="AQP118" s="172"/>
      <c r="AQQ118" s="172"/>
      <c r="AQR118" s="172"/>
      <c r="AQS118" s="172"/>
      <c r="AQT118" s="172"/>
      <c r="AQU118" s="172"/>
      <c r="AQV118" s="172"/>
      <c r="AQW118" s="172"/>
      <c r="AQX118" s="172"/>
      <c r="AQY118" s="172"/>
      <c r="AQZ118" s="172"/>
      <c r="ARA118" s="172"/>
      <c r="ARB118" s="172"/>
      <c r="ARC118" s="172"/>
      <c r="ARD118" s="172"/>
      <c r="ARE118" s="172"/>
      <c r="ARF118" s="172"/>
      <c r="ARG118" s="172"/>
      <c r="ARH118" s="172"/>
      <c r="ARI118" s="172"/>
      <c r="ARJ118" s="172"/>
      <c r="ARK118" s="172"/>
      <c r="ARL118" s="172"/>
      <c r="ARM118" s="172"/>
      <c r="ARN118" s="172"/>
      <c r="ARO118" s="172"/>
      <c r="ARP118" s="172"/>
      <c r="ARQ118" s="172"/>
      <c r="ARR118" s="172"/>
      <c r="ARS118" s="172"/>
      <c r="ART118" s="172"/>
      <c r="ARU118" s="172"/>
    </row>
    <row r="119" spans="1:1165" s="257" customFormat="1">
      <c r="A119" s="222" t="s">
        <v>297</v>
      </c>
      <c r="B119" s="195" t="s">
        <v>87</v>
      </c>
      <c r="C119" s="198">
        <v>761</v>
      </c>
      <c r="D119" s="198">
        <v>56974</v>
      </c>
      <c r="E119" s="198">
        <v>76</v>
      </c>
      <c r="F119" s="198">
        <v>7540</v>
      </c>
      <c r="G119" s="198">
        <v>1344</v>
      </c>
      <c r="H119" s="198">
        <v>151517</v>
      </c>
      <c r="I119" s="198">
        <v>3266</v>
      </c>
      <c r="J119" s="198">
        <v>222726</v>
      </c>
      <c r="K119" s="198">
        <v>2657</v>
      </c>
      <c r="L119" s="198">
        <v>92967</v>
      </c>
      <c r="M119" s="198">
        <v>3287</v>
      </c>
      <c r="N119" s="198">
        <v>115080</v>
      </c>
      <c r="O119" s="198">
        <v>5835</v>
      </c>
      <c r="P119" s="198">
        <v>204252</v>
      </c>
      <c r="Q119" s="198">
        <v>9724</v>
      </c>
      <c r="R119" s="198">
        <v>340340</v>
      </c>
      <c r="S119" s="198">
        <v>16837</v>
      </c>
      <c r="T119" s="198">
        <v>593043</v>
      </c>
      <c r="U119" s="211">
        <v>19758</v>
      </c>
      <c r="V119" s="211">
        <v>693761</v>
      </c>
      <c r="W119" s="211">
        <v>29905</v>
      </c>
      <c r="X119" s="211">
        <v>1211433</v>
      </c>
      <c r="Y119" s="211">
        <v>23367</v>
      </c>
      <c r="Z119" s="211">
        <v>1535315</v>
      </c>
      <c r="AA119" s="226">
        <v>30732</v>
      </c>
      <c r="AB119" s="226">
        <v>2880905</v>
      </c>
      <c r="AC119" s="198">
        <v>38140</v>
      </c>
      <c r="AD119" s="198">
        <v>3611274</v>
      </c>
      <c r="AE119" s="196">
        <v>48202</v>
      </c>
      <c r="AF119" s="196">
        <v>4582615</v>
      </c>
      <c r="AG119" s="196">
        <v>60382</v>
      </c>
      <c r="AH119" s="196">
        <v>5738224</v>
      </c>
      <c r="AI119" s="196">
        <v>84909</v>
      </c>
      <c r="AJ119" s="196">
        <v>8067752</v>
      </c>
      <c r="AK119" s="260">
        <v>88493</v>
      </c>
      <c r="AL119" s="260">
        <v>9415064</v>
      </c>
      <c r="AM119" s="261">
        <v>97109</v>
      </c>
      <c r="AN119" s="261">
        <v>11168442</v>
      </c>
      <c r="AO119" s="196">
        <v>117397</v>
      </c>
      <c r="AP119" s="196">
        <v>14447079</v>
      </c>
      <c r="AQ119" s="196">
        <v>95623.375</v>
      </c>
      <c r="AR119" s="196">
        <v>12241014.26</v>
      </c>
      <c r="AS119" s="196">
        <v>97442.97</v>
      </c>
      <c r="AT119" s="196">
        <v>10723191</v>
      </c>
      <c r="AU119" s="226">
        <v>108698</v>
      </c>
      <c r="AV119" s="198" t="s">
        <v>785</v>
      </c>
      <c r="AW119" s="211">
        <v>101845</v>
      </c>
      <c r="AX119" s="211" t="s">
        <v>785</v>
      </c>
      <c r="AY119" s="198">
        <v>127975</v>
      </c>
      <c r="AZ119" s="198" t="s">
        <v>785</v>
      </c>
      <c r="BA119" s="226"/>
      <c r="BB119" s="198"/>
      <c r="BC119" s="263"/>
      <c r="BD119" s="198"/>
      <c r="BE119" s="198"/>
      <c r="BF119" s="198"/>
      <c r="BG119" s="263"/>
      <c r="BH119" s="198"/>
      <c r="BI119" s="226"/>
      <c r="BJ119" s="250">
        <f t="shared" ref="BJ119:BJ130" si="61">C119+G119+I119+K119+M119+O119+Q119+S119+U119+W119+Y119+AA119+AC119+AE119+AG119+AI119+AK119+AM119+AO119+AQ119+AS119+AU119+AW119+AY119+BB119+BF119</f>
        <v>1213689.345</v>
      </c>
      <c r="BK119" s="250">
        <f>D119+H119+J119+L119+N119+P119+R119+T119+V119+X119+Z119+AB119+AD119+AF119+AH119+AJ119+AL119+AN119+AP119+AR119+AT119</f>
        <v>88092968.260000005</v>
      </c>
      <c r="BL119" s="172"/>
      <c r="BM119" s="231"/>
      <c r="BN119" s="231"/>
      <c r="BO119" s="231"/>
      <c r="BP119" s="231"/>
      <c r="BQ119" s="172"/>
      <c r="BR119" s="172"/>
      <c r="BS119" s="172"/>
      <c r="BT119" s="172"/>
      <c r="BU119" s="172"/>
      <c r="BV119" s="172"/>
      <c r="BW119" s="172"/>
      <c r="BX119" s="172"/>
      <c r="BY119" s="172"/>
      <c r="BZ119" s="172"/>
      <c r="CA119" s="172"/>
      <c r="CB119" s="172"/>
      <c r="CC119" s="172"/>
      <c r="CD119" s="172"/>
      <c r="CE119" s="172"/>
      <c r="CF119" s="172"/>
      <c r="CG119" s="172"/>
      <c r="CH119" s="172"/>
      <c r="CI119" s="172"/>
      <c r="CJ119" s="172"/>
      <c r="CK119" s="172"/>
      <c r="CL119" s="172"/>
      <c r="CM119" s="172"/>
      <c r="CN119" s="172"/>
      <c r="CO119" s="172"/>
      <c r="CP119" s="172"/>
      <c r="CQ119" s="172"/>
      <c r="CR119" s="172"/>
      <c r="CS119" s="172"/>
      <c r="CT119" s="172"/>
      <c r="CU119" s="172"/>
      <c r="CV119" s="172"/>
      <c r="CW119" s="172"/>
      <c r="CX119" s="172"/>
      <c r="CY119" s="172"/>
      <c r="CZ119" s="172"/>
      <c r="DA119" s="172"/>
      <c r="DB119" s="172"/>
      <c r="DC119" s="172"/>
      <c r="DD119" s="172"/>
      <c r="DE119" s="172"/>
      <c r="DF119" s="172"/>
      <c r="DG119" s="172"/>
      <c r="DH119" s="172"/>
      <c r="DI119" s="172"/>
      <c r="DJ119" s="172"/>
      <c r="DK119" s="172"/>
      <c r="DL119" s="172"/>
      <c r="DM119" s="172"/>
      <c r="DN119" s="172"/>
      <c r="DO119" s="172"/>
      <c r="DP119" s="172"/>
      <c r="DQ119" s="172"/>
      <c r="DR119" s="172"/>
      <c r="DS119" s="172"/>
      <c r="DT119" s="172"/>
      <c r="DU119" s="172"/>
      <c r="DV119" s="172"/>
      <c r="DW119" s="172"/>
      <c r="DX119" s="172"/>
      <c r="DY119" s="172"/>
      <c r="DZ119" s="172"/>
      <c r="EA119" s="172"/>
      <c r="EB119" s="172"/>
      <c r="EC119" s="172"/>
      <c r="ED119" s="172"/>
      <c r="EE119" s="172"/>
      <c r="EF119" s="172"/>
      <c r="EG119" s="172"/>
      <c r="EH119" s="172"/>
      <c r="EI119" s="172"/>
      <c r="EJ119" s="172"/>
      <c r="EK119" s="172"/>
      <c r="EL119" s="172"/>
      <c r="EM119" s="172"/>
      <c r="EN119" s="172"/>
      <c r="EO119" s="172"/>
      <c r="EP119" s="172"/>
      <c r="EQ119" s="172"/>
      <c r="ER119" s="172"/>
      <c r="ES119" s="172"/>
      <c r="ET119" s="172"/>
      <c r="EU119" s="172"/>
      <c r="EV119" s="172"/>
      <c r="EW119" s="172"/>
      <c r="EX119" s="172"/>
      <c r="EY119" s="172"/>
      <c r="EZ119" s="172"/>
      <c r="FA119" s="172"/>
      <c r="FB119" s="172"/>
      <c r="FC119" s="172"/>
      <c r="FD119" s="172"/>
      <c r="FE119" s="172"/>
      <c r="FF119" s="172"/>
      <c r="FG119" s="172"/>
      <c r="FH119" s="172"/>
      <c r="FI119" s="172"/>
      <c r="FJ119" s="172"/>
      <c r="FK119" s="172"/>
      <c r="FL119" s="172"/>
      <c r="FM119" s="172"/>
      <c r="FN119" s="172"/>
      <c r="FO119" s="172"/>
      <c r="FP119" s="172"/>
      <c r="FQ119" s="172"/>
      <c r="FR119" s="172"/>
      <c r="FS119" s="172"/>
      <c r="FT119" s="172"/>
      <c r="FU119" s="172"/>
      <c r="FV119" s="172"/>
      <c r="FW119" s="172"/>
      <c r="FX119" s="172"/>
      <c r="FY119" s="172"/>
      <c r="FZ119" s="172"/>
      <c r="GA119" s="172"/>
      <c r="GB119" s="172"/>
      <c r="GC119" s="172"/>
      <c r="GD119" s="172"/>
      <c r="GE119" s="172"/>
      <c r="GF119" s="172"/>
      <c r="GG119" s="172"/>
      <c r="GH119" s="172"/>
      <c r="GI119" s="172"/>
      <c r="GJ119" s="172"/>
      <c r="GK119" s="172"/>
      <c r="GL119" s="172"/>
      <c r="GM119" s="172"/>
      <c r="GN119" s="172"/>
      <c r="GO119" s="172"/>
      <c r="GP119" s="172"/>
      <c r="GQ119" s="172"/>
      <c r="GR119" s="172"/>
      <c r="GS119" s="172"/>
      <c r="GT119" s="172"/>
      <c r="GU119" s="172"/>
      <c r="GV119" s="172"/>
      <c r="GW119" s="172"/>
      <c r="GX119" s="172"/>
      <c r="GY119" s="172"/>
      <c r="GZ119" s="172"/>
      <c r="HA119" s="172"/>
      <c r="HB119" s="172"/>
      <c r="HC119" s="172"/>
      <c r="HD119" s="172"/>
      <c r="HE119" s="172"/>
      <c r="HF119" s="172"/>
      <c r="HG119" s="172"/>
      <c r="HH119" s="172"/>
      <c r="HI119" s="172"/>
      <c r="HJ119" s="172"/>
      <c r="HK119" s="172"/>
      <c r="HL119" s="172"/>
      <c r="HM119" s="172"/>
      <c r="HN119" s="172"/>
      <c r="HO119" s="172"/>
      <c r="HP119" s="172"/>
      <c r="HQ119" s="172"/>
      <c r="HR119" s="172"/>
      <c r="HS119" s="172"/>
      <c r="HT119" s="172"/>
      <c r="HU119" s="172"/>
      <c r="HV119" s="172"/>
      <c r="HW119" s="172"/>
      <c r="HX119" s="172"/>
      <c r="HY119" s="172"/>
      <c r="HZ119" s="172"/>
      <c r="IA119" s="172"/>
      <c r="IB119" s="172"/>
      <c r="IC119" s="172"/>
      <c r="ID119" s="172"/>
      <c r="IE119" s="172"/>
      <c r="IF119" s="172"/>
      <c r="IG119" s="172"/>
      <c r="IH119" s="172"/>
      <c r="II119" s="172"/>
      <c r="IJ119" s="172"/>
      <c r="IK119" s="172"/>
      <c r="IL119" s="172"/>
      <c r="IM119" s="172"/>
      <c r="IN119" s="172"/>
      <c r="IO119" s="172"/>
      <c r="IP119" s="172"/>
      <c r="IQ119" s="172"/>
      <c r="IR119" s="172"/>
      <c r="IS119" s="172"/>
      <c r="IT119" s="172"/>
      <c r="IU119" s="172"/>
      <c r="IV119" s="172"/>
      <c r="IW119" s="172"/>
      <c r="IX119" s="172"/>
      <c r="IY119" s="172"/>
      <c r="IZ119" s="172"/>
      <c r="JA119" s="172"/>
      <c r="JB119" s="172"/>
      <c r="JC119" s="172"/>
      <c r="JD119" s="172"/>
      <c r="JE119" s="172"/>
      <c r="JF119" s="172"/>
      <c r="JG119" s="172"/>
      <c r="JH119" s="172"/>
      <c r="JI119" s="172"/>
      <c r="JJ119" s="172"/>
      <c r="JK119" s="172"/>
      <c r="JL119" s="172"/>
      <c r="JM119" s="172"/>
      <c r="JN119" s="172"/>
      <c r="JO119" s="172"/>
      <c r="JP119" s="172"/>
      <c r="JQ119" s="172"/>
      <c r="JR119" s="172"/>
      <c r="JS119" s="172"/>
      <c r="JT119" s="172"/>
      <c r="JU119" s="172"/>
      <c r="JV119" s="172"/>
      <c r="JW119" s="172"/>
      <c r="JX119" s="172"/>
      <c r="JY119" s="172"/>
      <c r="JZ119" s="172"/>
      <c r="KA119" s="172"/>
      <c r="KB119" s="172"/>
      <c r="KC119" s="172"/>
      <c r="KD119" s="172"/>
      <c r="KE119" s="172"/>
      <c r="KF119" s="172"/>
      <c r="KG119" s="172"/>
      <c r="KH119" s="172"/>
      <c r="KI119" s="172"/>
      <c r="KJ119" s="172"/>
      <c r="KK119" s="172"/>
      <c r="KL119" s="172"/>
      <c r="KM119" s="172"/>
      <c r="KN119" s="172"/>
      <c r="KO119" s="172"/>
      <c r="KP119" s="172"/>
      <c r="KQ119" s="172"/>
      <c r="KR119" s="172"/>
      <c r="KS119" s="172"/>
      <c r="KT119" s="172"/>
      <c r="KU119" s="172"/>
      <c r="KV119" s="172"/>
      <c r="KW119" s="172"/>
      <c r="KX119" s="172"/>
      <c r="KY119" s="172"/>
      <c r="KZ119" s="172"/>
      <c r="LA119" s="172"/>
      <c r="LB119" s="172"/>
      <c r="LC119" s="172"/>
      <c r="LD119" s="172"/>
      <c r="LE119" s="172"/>
      <c r="LF119" s="172"/>
      <c r="LG119" s="172"/>
      <c r="LH119" s="172"/>
      <c r="LI119" s="172"/>
      <c r="LJ119" s="172"/>
      <c r="LK119" s="172"/>
      <c r="LL119" s="172"/>
      <c r="LM119" s="172"/>
      <c r="LN119" s="172"/>
      <c r="LO119" s="172"/>
      <c r="LP119" s="172"/>
      <c r="LQ119" s="172"/>
      <c r="LR119" s="172"/>
      <c r="LS119" s="172"/>
      <c r="LT119" s="172"/>
      <c r="LU119" s="172"/>
      <c r="LV119" s="172"/>
      <c r="LW119" s="172"/>
      <c r="LX119" s="172"/>
      <c r="LY119" s="172"/>
      <c r="LZ119" s="172"/>
      <c r="MA119" s="172"/>
      <c r="MB119" s="172"/>
      <c r="MC119" s="172"/>
      <c r="MD119" s="172"/>
      <c r="ME119" s="172"/>
      <c r="MF119" s="172"/>
      <c r="MG119" s="172"/>
      <c r="MH119" s="172"/>
      <c r="MI119" s="172"/>
      <c r="MJ119" s="172"/>
      <c r="MK119" s="172"/>
      <c r="ML119" s="172"/>
      <c r="MM119" s="172"/>
      <c r="MN119" s="172"/>
      <c r="MO119" s="172"/>
      <c r="MP119" s="172"/>
      <c r="MQ119" s="172"/>
      <c r="MR119" s="172"/>
      <c r="MS119" s="172"/>
      <c r="MT119" s="172"/>
      <c r="MU119" s="172"/>
      <c r="MV119" s="172"/>
      <c r="MW119" s="172"/>
      <c r="MX119" s="172"/>
      <c r="MY119" s="172"/>
      <c r="MZ119" s="172"/>
      <c r="NA119" s="172"/>
      <c r="NB119" s="172"/>
      <c r="NC119" s="172"/>
      <c r="ND119" s="172"/>
      <c r="NE119" s="172"/>
      <c r="NF119" s="172"/>
      <c r="NG119" s="172"/>
      <c r="NH119" s="172"/>
      <c r="NI119" s="172"/>
      <c r="NJ119" s="172"/>
      <c r="NK119" s="172"/>
      <c r="NL119" s="172"/>
      <c r="NM119" s="172"/>
      <c r="NN119" s="172"/>
      <c r="NO119" s="172"/>
      <c r="NP119" s="172"/>
      <c r="NQ119" s="172"/>
      <c r="NR119" s="172"/>
      <c r="NS119" s="172"/>
      <c r="NT119" s="172"/>
      <c r="NU119" s="172"/>
      <c r="NV119" s="172"/>
      <c r="NW119" s="172"/>
      <c r="NX119" s="172"/>
      <c r="NY119" s="172"/>
      <c r="NZ119" s="172"/>
      <c r="OA119" s="172"/>
      <c r="OB119" s="172"/>
      <c r="OC119" s="172"/>
      <c r="OD119" s="172"/>
      <c r="OE119" s="172"/>
      <c r="OF119" s="172"/>
      <c r="OG119" s="172"/>
      <c r="OH119" s="172"/>
      <c r="OI119" s="172"/>
      <c r="OJ119" s="172"/>
      <c r="OK119" s="172"/>
      <c r="OL119" s="172"/>
      <c r="OM119" s="172"/>
      <c r="ON119" s="172"/>
      <c r="OO119" s="172"/>
      <c r="OP119" s="172"/>
      <c r="OQ119" s="172"/>
      <c r="OR119" s="172"/>
      <c r="OS119" s="172"/>
      <c r="OT119" s="172"/>
      <c r="OU119" s="172"/>
      <c r="OV119" s="172"/>
      <c r="OW119" s="172"/>
      <c r="OX119" s="172"/>
      <c r="OY119" s="172"/>
      <c r="OZ119" s="172"/>
      <c r="PA119" s="172"/>
      <c r="PB119" s="172"/>
      <c r="PC119" s="172"/>
      <c r="PD119" s="172"/>
      <c r="PE119" s="172"/>
      <c r="PF119" s="172"/>
      <c r="PG119" s="172"/>
      <c r="PH119" s="172"/>
      <c r="PI119" s="172"/>
      <c r="PJ119" s="172"/>
      <c r="PK119" s="172"/>
      <c r="PL119" s="172"/>
      <c r="PM119" s="172"/>
      <c r="PN119" s="172"/>
      <c r="PO119" s="172"/>
      <c r="PP119" s="172"/>
      <c r="PQ119" s="172"/>
      <c r="PR119" s="172"/>
      <c r="PS119" s="172"/>
      <c r="PT119" s="172"/>
      <c r="PU119" s="172"/>
      <c r="PV119" s="172"/>
      <c r="PW119" s="172"/>
      <c r="PX119" s="172"/>
      <c r="PY119" s="172"/>
      <c r="PZ119" s="172"/>
      <c r="QA119" s="172"/>
      <c r="QB119" s="172"/>
      <c r="QC119" s="172"/>
      <c r="QD119" s="172"/>
      <c r="QE119" s="172"/>
      <c r="QF119" s="172"/>
      <c r="QG119" s="172"/>
      <c r="QH119" s="172"/>
      <c r="QI119" s="172"/>
      <c r="QJ119" s="172"/>
      <c r="QK119" s="172"/>
      <c r="QL119" s="172"/>
      <c r="QM119" s="172"/>
      <c r="QN119" s="172"/>
      <c r="QO119" s="172"/>
      <c r="QP119" s="172"/>
      <c r="QQ119" s="172"/>
      <c r="QR119" s="172"/>
      <c r="QS119" s="172"/>
      <c r="QT119" s="172"/>
      <c r="QU119" s="172"/>
      <c r="QV119" s="172"/>
      <c r="QW119" s="172"/>
      <c r="QX119" s="172"/>
      <c r="QY119" s="172"/>
      <c r="QZ119" s="172"/>
      <c r="RA119" s="172"/>
      <c r="RB119" s="172"/>
      <c r="RC119" s="172"/>
      <c r="RD119" s="172"/>
      <c r="RE119" s="172"/>
      <c r="RF119" s="172"/>
      <c r="RG119" s="172"/>
      <c r="RH119" s="172"/>
      <c r="RI119" s="172"/>
      <c r="RJ119" s="172"/>
      <c r="RK119" s="172"/>
      <c r="RL119" s="172"/>
      <c r="RM119" s="172"/>
      <c r="RN119" s="172"/>
      <c r="RO119" s="172"/>
      <c r="RP119" s="172"/>
      <c r="RQ119" s="172"/>
      <c r="RR119" s="172"/>
      <c r="RS119" s="172"/>
      <c r="RT119" s="172"/>
      <c r="RU119" s="172"/>
      <c r="RV119" s="172"/>
      <c r="RW119" s="172"/>
      <c r="RX119" s="172"/>
      <c r="RY119" s="172"/>
      <c r="RZ119" s="172"/>
      <c r="SA119" s="172"/>
      <c r="SB119" s="172"/>
      <c r="SC119" s="172"/>
      <c r="SD119" s="172"/>
      <c r="SE119" s="172"/>
      <c r="SF119" s="172"/>
      <c r="SG119" s="172"/>
      <c r="SH119" s="172"/>
      <c r="SI119" s="172"/>
      <c r="SJ119" s="172"/>
      <c r="SK119" s="172"/>
      <c r="SL119" s="172"/>
      <c r="SM119" s="172"/>
      <c r="SN119" s="172"/>
      <c r="SO119" s="172"/>
      <c r="SP119" s="172"/>
      <c r="SQ119" s="172"/>
      <c r="SR119" s="172"/>
      <c r="SS119" s="172"/>
      <c r="ST119" s="172"/>
      <c r="SU119" s="172"/>
      <c r="SV119" s="172"/>
      <c r="SW119" s="172"/>
      <c r="SX119" s="172"/>
      <c r="SY119" s="172"/>
      <c r="SZ119" s="172"/>
      <c r="TA119" s="172"/>
      <c r="TB119" s="172"/>
      <c r="TC119" s="172"/>
      <c r="TD119" s="172"/>
      <c r="TE119" s="172"/>
      <c r="TF119" s="172"/>
      <c r="TG119" s="172"/>
      <c r="TH119" s="172"/>
      <c r="TI119" s="172"/>
      <c r="TJ119" s="172"/>
      <c r="TK119" s="172"/>
      <c r="TL119" s="172"/>
      <c r="TM119" s="172"/>
      <c r="TN119" s="172"/>
      <c r="TO119" s="172"/>
      <c r="TP119" s="172"/>
      <c r="TQ119" s="172"/>
      <c r="TR119" s="172"/>
      <c r="TS119" s="172"/>
      <c r="TT119" s="172"/>
      <c r="TU119" s="172"/>
      <c r="TV119" s="172"/>
      <c r="TW119" s="172"/>
      <c r="TX119" s="172"/>
      <c r="TY119" s="172"/>
      <c r="TZ119" s="172"/>
      <c r="UA119" s="172"/>
      <c r="UB119" s="172"/>
      <c r="UC119" s="172"/>
      <c r="UD119" s="172"/>
      <c r="UE119" s="172"/>
      <c r="UF119" s="172"/>
      <c r="UG119" s="172"/>
      <c r="UH119" s="172"/>
      <c r="UI119" s="172"/>
      <c r="UJ119" s="172"/>
      <c r="UK119" s="172"/>
      <c r="UL119" s="172"/>
      <c r="UM119" s="172"/>
      <c r="UN119" s="172"/>
      <c r="UO119" s="172"/>
      <c r="UP119" s="172"/>
      <c r="UQ119" s="172"/>
      <c r="UR119" s="172"/>
      <c r="US119" s="172"/>
      <c r="UT119" s="172"/>
      <c r="UU119" s="172"/>
      <c r="UV119" s="172"/>
      <c r="UW119" s="172"/>
      <c r="UX119" s="172"/>
      <c r="UY119" s="172"/>
      <c r="UZ119" s="172"/>
      <c r="VA119" s="172"/>
      <c r="VB119" s="172"/>
      <c r="VC119" s="172"/>
      <c r="VD119" s="172"/>
      <c r="VE119" s="172"/>
      <c r="VF119" s="172"/>
      <c r="VG119" s="172"/>
      <c r="VH119" s="172"/>
      <c r="VI119" s="172"/>
      <c r="VJ119" s="172"/>
      <c r="VK119" s="172"/>
      <c r="VL119" s="172"/>
      <c r="VM119" s="172"/>
      <c r="VN119" s="172"/>
      <c r="VO119" s="172"/>
      <c r="VP119" s="172"/>
      <c r="VQ119" s="172"/>
      <c r="VR119" s="172"/>
      <c r="VS119" s="172"/>
      <c r="VT119" s="172"/>
      <c r="VU119" s="172"/>
      <c r="VV119" s="172"/>
      <c r="VW119" s="172"/>
      <c r="VX119" s="172"/>
      <c r="VY119" s="172"/>
      <c r="VZ119" s="172"/>
      <c r="WA119" s="172"/>
      <c r="WB119" s="172"/>
      <c r="WC119" s="172"/>
      <c r="WD119" s="172"/>
      <c r="WE119" s="172"/>
      <c r="WF119" s="172"/>
      <c r="WG119" s="172"/>
      <c r="WH119" s="172"/>
      <c r="WI119" s="172"/>
      <c r="WJ119" s="172"/>
      <c r="WK119" s="172"/>
      <c r="WL119" s="172"/>
      <c r="WM119" s="172"/>
      <c r="WN119" s="172"/>
      <c r="WO119" s="172"/>
      <c r="WP119" s="172"/>
      <c r="WQ119" s="172"/>
      <c r="WR119" s="172"/>
      <c r="WS119" s="172"/>
      <c r="WT119" s="172"/>
      <c r="WU119" s="172"/>
      <c r="WV119" s="172"/>
      <c r="WW119" s="172"/>
      <c r="WX119" s="172"/>
      <c r="WY119" s="172"/>
      <c r="WZ119" s="172"/>
      <c r="XA119" s="172"/>
      <c r="XB119" s="172"/>
      <c r="XC119" s="172"/>
      <c r="XD119" s="172"/>
      <c r="XE119" s="172"/>
      <c r="XF119" s="172"/>
      <c r="XG119" s="172"/>
      <c r="XH119" s="172"/>
      <c r="XI119" s="172"/>
      <c r="XJ119" s="172"/>
      <c r="XK119" s="172"/>
      <c r="XL119" s="172"/>
      <c r="XM119" s="172"/>
      <c r="XN119" s="172"/>
      <c r="XO119" s="172"/>
      <c r="XP119" s="172"/>
      <c r="XQ119" s="172"/>
      <c r="XR119" s="172"/>
      <c r="XS119" s="172"/>
      <c r="XT119" s="172"/>
      <c r="XU119" s="172"/>
      <c r="XV119" s="172"/>
      <c r="XW119" s="172"/>
      <c r="XX119" s="172"/>
      <c r="XY119" s="172"/>
      <c r="XZ119" s="172"/>
      <c r="YA119" s="172"/>
      <c r="YB119" s="172"/>
      <c r="YC119" s="172"/>
      <c r="YD119" s="172"/>
      <c r="YE119" s="172"/>
      <c r="YF119" s="172"/>
      <c r="YG119" s="172"/>
      <c r="YH119" s="172"/>
      <c r="YI119" s="172"/>
      <c r="YJ119" s="172"/>
      <c r="YK119" s="172"/>
      <c r="YL119" s="172"/>
      <c r="YM119" s="172"/>
      <c r="YN119" s="172"/>
      <c r="YO119" s="172"/>
      <c r="YP119" s="172"/>
      <c r="YQ119" s="172"/>
      <c r="YR119" s="172"/>
      <c r="YS119" s="172"/>
      <c r="YT119" s="172"/>
      <c r="YU119" s="172"/>
      <c r="YV119" s="172"/>
      <c r="YW119" s="172"/>
      <c r="YX119" s="172"/>
      <c r="YY119" s="172"/>
      <c r="YZ119" s="172"/>
      <c r="ZA119" s="172"/>
      <c r="ZB119" s="172"/>
      <c r="ZC119" s="172"/>
      <c r="ZD119" s="172"/>
      <c r="ZE119" s="172"/>
      <c r="ZF119" s="172"/>
      <c r="ZG119" s="172"/>
      <c r="ZH119" s="172"/>
      <c r="ZI119" s="172"/>
      <c r="ZJ119" s="172"/>
      <c r="ZK119" s="172"/>
      <c r="ZL119" s="172"/>
      <c r="ZM119" s="172"/>
      <c r="ZN119" s="172"/>
      <c r="ZO119" s="172"/>
      <c r="ZP119" s="172"/>
      <c r="ZQ119" s="172"/>
      <c r="ZR119" s="172"/>
      <c r="ZS119" s="172"/>
      <c r="ZT119" s="172"/>
      <c r="ZU119" s="172"/>
      <c r="ZV119" s="172"/>
      <c r="ZW119" s="172"/>
      <c r="ZX119" s="172"/>
      <c r="ZY119" s="172"/>
      <c r="ZZ119" s="172"/>
      <c r="AAA119" s="172"/>
      <c r="AAB119" s="172"/>
      <c r="AAC119" s="172"/>
      <c r="AAD119" s="172"/>
      <c r="AAE119" s="172"/>
      <c r="AAF119" s="172"/>
      <c r="AAG119" s="172"/>
      <c r="AAH119" s="172"/>
      <c r="AAI119" s="172"/>
      <c r="AAJ119" s="172"/>
      <c r="AAK119" s="172"/>
      <c r="AAL119" s="172"/>
      <c r="AAM119" s="172"/>
      <c r="AAN119" s="172"/>
      <c r="AAO119" s="172"/>
      <c r="AAP119" s="172"/>
      <c r="AAQ119" s="172"/>
      <c r="AAR119" s="172"/>
      <c r="AAS119" s="172"/>
      <c r="AAT119" s="172"/>
      <c r="AAU119" s="172"/>
      <c r="AAV119" s="172"/>
      <c r="AAW119" s="172"/>
      <c r="AAX119" s="172"/>
      <c r="AAY119" s="172"/>
      <c r="AAZ119" s="172"/>
      <c r="ABA119" s="172"/>
      <c r="ABB119" s="172"/>
      <c r="ABC119" s="172"/>
      <c r="ABD119" s="172"/>
      <c r="ABE119" s="172"/>
      <c r="ABF119" s="172"/>
      <c r="ABG119" s="172"/>
      <c r="ABH119" s="172"/>
      <c r="ABI119" s="172"/>
      <c r="ABJ119" s="172"/>
      <c r="ABK119" s="172"/>
      <c r="ABL119" s="172"/>
      <c r="ABM119" s="172"/>
      <c r="ABN119" s="172"/>
      <c r="ABO119" s="172"/>
      <c r="ABP119" s="172"/>
      <c r="ABQ119" s="172"/>
      <c r="ABR119" s="172"/>
      <c r="ABS119" s="172"/>
      <c r="ABT119" s="172"/>
      <c r="ABU119" s="172"/>
      <c r="ABV119" s="172"/>
      <c r="ABW119" s="172"/>
      <c r="ABX119" s="172"/>
      <c r="ABY119" s="172"/>
      <c r="ABZ119" s="172"/>
      <c r="ACA119" s="172"/>
      <c r="ACB119" s="172"/>
      <c r="ACC119" s="172"/>
      <c r="ACD119" s="172"/>
      <c r="ACE119" s="172"/>
      <c r="ACF119" s="172"/>
      <c r="ACG119" s="172"/>
      <c r="ACH119" s="172"/>
      <c r="ACI119" s="172"/>
      <c r="ACJ119" s="172"/>
      <c r="ACK119" s="172"/>
      <c r="ACL119" s="172"/>
      <c r="ACM119" s="172"/>
      <c r="ACN119" s="172"/>
      <c r="ACO119" s="172"/>
      <c r="ACP119" s="172"/>
      <c r="ACQ119" s="172"/>
      <c r="ACR119" s="172"/>
      <c r="ACS119" s="172"/>
      <c r="ACT119" s="172"/>
      <c r="ACU119" s="172"/>
      <c r="ACV119" s="172"/>
      <c r="ACW119" s="172"/>
      <c r="ACX119" s="172"/>
      <c r="ACY119" s="172"/>
      <c r="ACZ119" s="172"/>
      <c r="ADA119" s="172"/>
      <c r="ADB119" s="172"/>
      <c r="ADC119" s="172"/>
      <c r="ADD119" s="172"/>
      <c r="ADE119" s="172"/>
      <c r="ADF119" s="172"/>
      <c r="ADG119" s="172"/>
      <c r="ADH119" s="172"/>
      <c r="ADI119" s="172"/>
      <c r="ADJ119" s="172"/>
      <c r="ADK119" s="172"/>
      <c r="ADL119" s="172"/>
      <c r="ADM119" s="172"/>
      <c r="ADN119" s="172"/>
      <c r="ADO119" s="172"/>
      <c r="ADP119" s="172"/>
      <c r="ADQ119" s="172"/>
      <c r="ADR119" s="172"/>
      <c r="ADS119" s="172"/>
      <c r="ADT119" s="172"/>
      <c r="ADU119" s="172"/>
      <c r="ADV119" s="172"/>
      <c r="ADW119" s="172"/>
      <c r="ADX119" s="172"/>
      <c r="ADY119" s="172"/>
      <c r="ADZ119" s="172"/>
      <c r="AEA119" s="172"/>
      <c r="AEB119" s="172"/>
      <c r="AEC119" s="172"/>
      <c r="AED119" s="172"/>
      <c r="AEE119" s="172"/>
      <c r="AEF119" s="172"/>
      <c r="AEG119" s="172"/>
      <c r="AEH119" s="172"/>
      <c r="AEI119" s="172"/>
      <c r="AEJ119" s="172"/>
      <c r="AEK119" s="172"/>
      <c r="AEL119" s="172"/>
      <c r="AEM119" s="172"/>
      <c r="AEN119" s="172"/>
      <c r="AEO119" s="172"/>
      <c r="AEP119" s="172"/>
      <c r="AEQ119" s="172"/>
      <c r="AER119" s="172"/>
      <c r="AES119" s="172"/>
      <c r="AET119" s="172"/>
      <c r="AEU119" s="172"/>
      <c r="AEV119" s="172"/>
      <c r="AEW119" s="172"/>
      <c r="AEX119" s="172"/>
      <c r="AEY119" s="172"/>
      <c r="AEZ119" s="172"/>
      <c r="AFA119" s="172"/>
      <c r="AFB119" s="172"/>
      <c r="AFC119" s="172"/>
      <c r="AFD119" s="172"/>
      <c r="AFE119" s="172"/>
      <c r="AFF119" s="172"/>
      <c r="AFG119" s="172"/>
      <c r="AFH119" s="172"/>
      <c r="AFI119" s="172"/>
      <c r="AFJ119" s="172"/>
      <c r="AFK119" s="172"/>
      <c r="AFL119" s="172"/>
      <c r="AFM119" s="172"/>
      <c r="AFN119" s="172"/>
      <c r="AFO119" s="172"/>
      <c r="AFP119" s="172"/>
      <c r="AFQ119" s="172"/>
      <c r="AFR119" s="172"/>
      <c r="AFS119" s="172"/>
      <c r="AFT119" s="172"/>
      <c r="AFU119" s="172"/>
      <c r="AFV119" s="172"/>
      <c r="AFW119" s="172"/>
      <c r="AFX119" s="172"/>
      <c r="AFY119" s="172"/>
      <c r="AFZ119" s="172"/>
      <c r="AGA119" s="172"/>
      <c r="AGB119" s="172"/>
      <c r="AGC119" s="172"/>
      <c r="AGD119" s="172"/>
      <c r="AGE119" s="172"/>
      <c r="AGF119" s="172"/>
      <c r="AGG119" s="172"/>
      <c r="AGH119" s="172"/>
      <c r="AGI119" s="172"/>
      <c r="AGJ119" s="172"/>
      <c r="AGK119" s="172"/>
      <c r="AGL119" s="172"/>
      <c r="AGM119" s="172"/>
      <c r="AGN119" s="172"/>
      <c r="AGO119" s="172"/>
      <c r="AGP119" s="172"/>
      <c r="AGQ119" s="172"/>
      <c r="AGR119" s="172"/>
      <c r="AGS119" s="172"/>
      <c r="AGT119" s="172"/>
      <c r="AGU119" s="172"/>
      <c r="AGV119" s="172"/>
      <c r="AGW119" s="172"/>
      <c r="AGX119" s="172"/>
      <c r="AGY119" s="172"/>
      <c r="AGZ119" s="172"/>
      <c r="AHA119" s="172"/>
      <c r="AHB119" s="172"/>
      <c r="AHC119" s="172"/>
      <c r="AHD119" s="172"/>
      <c r="AHE119" s="172"/>
      <c r="AHF119" s="172"/>
      <c r="AHG119" s="172"/>
      <c r="AHH119" s="172"/>
      <c r="AHI119" s="172"/>
      <c r="AHJ119" s="172"/>
      <c r="AHK119" s="172"/>
      <c r="AHL119" s="172"/>
      <c r="AHM119" s="172"/>
      <c r="AHN119" s="172"/>
      <c r="AHO119" s="172"/>
      <c r="AHP119" s="172"/>
      <c r="AHQ119" s="172"/>
      <c r="AHR119" s="172"/>
      <c r="AHS119" s="172"/>
      <c r="AHT119" s="172"/>
      <c r="AHU119" s="172"/>
      <c r="AHV119" s="172"/>
      <c r="AHW119" s="172"/>
      <c r="AHX119" s="172"/>
      <c r="AHY119" s="172"/>
      <c r="AHZ119" s="172"/>
      <c r="AIA119" s="172"/>
      <c r="AIB119" s="172"/>
      <c r="AIC119" s="172"/>
      <c r="AID119" s="172"/>
      <c r="AIE119" s="172"/>
      <c r="AIF119" s="172"/>
      <c r="AIG119" s="172"/>
      <c r="AIH119" s="172"/>
      <c r="AII119" s="172"/>
      <c r="AIJ119" s="172"/>
      <c r="AIK119" s="172"/>
      <c r="AIL119" s="172"/>
      <c r="AIM119" s="172"/>
      <c r="AIN119" s="172"/>
      <c r="AIO119" s="172"/>
      <c r="AIP119" s="172"/>
      <c r="AIQ119" s="172"/>
      <c r="AIR119" s="172"/>
      <c r="AIS119" s="172"/>
      <c r="AIT119" s="172"/>
      <c r="AIU119" s="172"/>
      <c r="AIV119" s="172"/>
      <c r="AIW119" s="172"/>
      <c r="AIX119" s="172"/>
      <c r="AIY119" s="172"/>
      <c r="AIZ119" s="172"/>
      <c r="AJA119" s="172"/>
      <c r="AJB119" s="172"/>
      <c r="AJC119" s="172"/>
      <c r="AJD119" s="172"/>
      <c r="AJE119" s="172"/>
      <c r="AJF119" s="172"/>
      <c r="AJG119" s="172"/>
      <c r="AJH119" s="172"/>
      <c r="AJI119" s="172"/>
      <c r="AJJ119" s="172"/>
      <c r="AJK119" s="172"/>
      <c r="AJL119" s="172"/>
      <c r="AJM119" s="172"/>
      <c r="AJN119" s="172"/>
      <c r="AJO119" s="172"/>
      <c r="AJP119" s="172"/>
      <c r="AJQ119" s="172"/>
      <c r="AJR119" s="172"/>
      <c r="AJS119" s="172"/>
      <c r="AJT119" s="172"/>
      <c r="AJU119" s="172"/>
      <c r="AJV119" s="172"/>
      <c r="AJW119" s="172"/>
      <c r="AJX119" s="172"/>
      <c r="AJY119" s="172"/>
      <c r="AJZ119" s="172"/>
      <c r="AKA119" s="172"/>
      <c r="AKB119" s="172"/>
      <c r="AKC119" s="172"/>
      <c r="AKD119" s="172"/>
      <c r="AKE119" s="172"/>
      <c r="AKF119" s="172"/>
      <c r="AKG119" s="172"/>
      <c r="AKH119" s="172"/>
      <c r="AKI119" s="172"/>
      <c r="AKJ119" s="172"/>
      <c r="AKK119" s="172"/>
      <c r="AKL119" s="172"/>
      <c r="AKM119" s="172"/>
      <c r="AKN119" s="172"/>
      <c r="AKO119" s="172"/>
      <c r="AKP119" s="172"/>
      <c r="AKQ119" s="172"/>
      <c r="AKR119" s="172"/>
      <c r="AKS119" s="172"/>
      <c r="AKT119" s="172"/>
      <c r="AKU119" s="172"/>
      <c r="AKV119" s="172"/>
      <c r="AKW119" s="172"/>
      <c r="AKX119" s="172"/>
      <c r="AKY119" s="172"/>
      <c r="AKZ119" s="172"/>
      <c r="ALA119" s="172"/>
      <c r="ALB119" s="172"/>
      <c r="ALC119" s="172"/>
      <c r="ALD119" s="172"/>
      <c r="ALE119" s="172"/>
      <c r="ALF119" s="172"/>
      <c r="ALG119" s="172"/>
      <c r="ALH119" s="172"/>
      <c r="ALI119" s="172"/>
      <c r="ALJ119" s="172"/>
      <c r="ALK119" s="172"/>
      <c r="ALL119" s="172"/>
      <c r="ALM119" s="172"/>
      <c r="ALN119" s="172"/>
      <c r="ALO119" s="172"/>
      <c r="ALP119" s="172"/>
      <c r="ALQ119" s="172"/>
      <c r="ALR119" s="172"/>
      <c r="ALS119" s="172"/>
      <c r="ALT119" s="172"/>
      <c r="ALU119" s="172"/>
      <c r="ALV119" s="172"/>
      <c r="ALW119" s="172"/>
      <c r="ALX119" s="172"/>
      <c r="ALY119" s="172"/>
      <c r="ALZ119" s="172"/>
      <c r="AMA119" s="172"/>
      <c r="AMB119" s="172"/>
      <c r="AMC119" s="172"/>
      <c r="AMD119" s="172"/>
      <c r="AME119" s="172"/>
      <c r="AMF119" s="172"/>
      <c r="AMG119" s="172"/>
      <c r="AMH119" s="172"/>
      <c r="AMI119" s="172"/>
      <c r="AMJ119" s="172"/>
      <c r="AMK119" s="172"/>
      <c r="AML119" s="172"/>
      <c r="AMM119" s="172"/>
      <c r="AMN119" s="172"/>
      <c r="AMO119" s="172"/>
      <c r="AMP119" s="172"/>
      <c r="AMQ119" s="172"/>
      <c r="AMR119" s="172"/>
      <c r="AMS119" s="172"/>
      <c r="AMT119" s="172"/>
      <c r="AMU119" s="172"/>
      <c r="AMV119" s="172"/>
      <c r="AMW119" s="172"/>
      <c r="AMX119" s="172"/>
      <c r="AMY119" s="172"/>
      <c r="AMZ119" s="172"/>
      <c r="ANA119" s="172"/>
      <c r="ANB119" s="172"/>
      <c r="ANC119" s="172"/>
      <c r="AND119" s="172"/>
      <c r="ANE119" s="172"/>
      <c r="ANF119" s="172"/>
      <c r="ANG119" s="172"/>
      <c r="ANH119" s="172"/>
      <c r="ANI119" s="172"/>
      <c r="ANJ119" s="172"/>
      <c r="ANK119" s="172"/>
      <c r="ANL119" s="172"/>
      <c r="ANM119" s="172"/>
      <c r="ANN119" s="172"/>
      <c r="ANO119" s="172"/>
      <c r="ANP119" s="172"/>
      <c r="ANQ119" s="172"/>
      <c r="ANR119" s="172"/>
      <c r="ANS119" s="172"/>
      <c r="ANT119" s="172"/>
      <c r="ANU119" s="172"/>
      <c r="ANV119" s="172"/>
      <c r="ANW119" s="172"/>
      <c r="ANX119" s="172"/>
      <c r="ANY119" s="172"/>
      <c r="ANZ119" s="172"/>
      <c r="AOA119" s="172"/>
      <c r="AOB119" s="172"/>
      <c r="AOC119" s="172"/>
      <c r="AOD119" s="172"/>
      <c r="AOE119" s="172"/>
      <c r="AOF119" s="172"/>
      <c r="AOG119" s="172"/>
      <c r="AOH119" s="172"/>
      <c r="AOI119" s="172"/>
      <c r="AOJ119" s="172"/>
      <c r="AOK119" s="172"/>
      <c r="AOL119" s="172"/>
      <c r="AOM119" s="172"/>
      <c r="AON119" s="172"/>
      <c r="AOO119" s="172"/>
      <c r="AOP119" s="172"/>
      <c r="AOQ119" s="172"/>
      <c r="AOR119" s="172"/>
      <c r="AOS119" s="172"/>
      <c r="AOT119" s="172"/>
      <c r="AOU119" s="172"/>
      <c r="AOV119" s="172"/>
      <c r="AOW119" s="172"/>
      <c r="AOX119" s="172"/>
      <c r="AOY119" s="172"/>
      <c r="AOZ119" s="172"/>
      <c r="APA119" s="172"/>
      <c r="APB119" s="172"/>
      <c r="APC119" s="172"/>
      <c r="APD119" s="172"/>
      <c r="APE119" s="172"/>
      <c r="APF119" s="172"/>
      <c r="APG119" s="172"/>
      <c r="APH119" s="172"/>
      <c r="API119" s="172"/>
      <c r="APJ119" s="172"/>
      <c r="APK119" s="172"/>
      <c r="APL119" s="172"/>
      <c r="APM119" s="172"/>
      <c r="APN119" s="172"/>
      <c r="APO119" s="172"/>
      <c r="APP119" s="172"/>
      <c r="APQ119" s="172"/>
      <c r="APR119" s="172"/>
      <c r="APS119" s="172"/>
      <c r="APT119" s="172"/>
      <c r="APU119" s="172"/>
      <c r="APV119" s="172"/>
      <c r="APW119" s="172"/>
      <c r="APX119" s="172"/>
      <c r="APY119" s="172"/>
      <c r="APZ119" s="172"/>
      <c r="AQA119" s="172"/>
      <c r="AQB119" s="172"/>
      <c r="AQC119" s="172"/>
      <c r="AQD119" s="172"/>
      <c r="AQE119" s="172"/>
      <c r="AQF119" s="172"/>
      <c r="AQG119" s="172"/>
      <c r="AQH119" s="172"/>
      <c r="AQI119" s="172"/>
      <c r="AQJ119" s="172"/>
      <c r="AQK119" s="172"/>
      <c r="AQL119" s="172"/>
      <c r="AQM119" s="172"/>
      <c r="AQN119" s="172"/>
      <c r="AQO119" s="172"/>
      <c r="AQP119" s="172"/>
      <c r="AQQ119" s="172"/>
      <c r="AQR119" s="172"/>
      <c r="AQS119" s="172"/>
      <c r="AQT119" s="172"/>
      <c r="AQU119" s="172"/>
      <c r="AQV119" s="172"/>
      <c r="AQW119" s="172"/>
      <c r="AQX119" s="172"/>
      <c r="AQY119" s="172"/>
      <c r="AQZ119" s="172"/>
      <c r="ARA119" s="172"/>
      <c r="ARB119" s="172"/>
      <c r="ARC119" s="172"/>
      <c r="ARD119" s="172"/>
      <c r="ARE119" s="172"/>
      <c r="ARF119" s="172"/>
      <c r="ARG119" s="172"/>
      <c r="ARH119" s="172"/>
      <c r="ARI119" s="172"/>
      <c r="ARJ119" s="172"/>
      <c r="ARK119" s="172"/>
      <c r="ARL119" s="172"/>
      <c r="ARM119" s="172"/>
      <c r="ARN119" s="172"/>
      <c r="ARO119" s="172"/>
      <c r="ARP119" s="172"/>
      <c r="ARQ119" s="172"/>
      <c r="ARR119" s="172"/>
      <c r="ARS119" s="172"/>
      <c r="ART119" s="172"/>
      <c r="ARU119" s="172"/>
    </row>
    <row r="120" spans="1:1165" s="257" customFormat="1">
      <c r="A120" s="222" t="s">
        <v>298</v>
      </c>
      <c r="B120" s="195" t="s">
        <v>87</v>
      </c>
      <c r="C120" s="258">
        <f>13279841+158</f>
        <v>13279999</v>
      </c>
      <c r="D120" s="258">
        <f>210198878+1553</f>
        <v>210200431</v>
      </c>
      <c r="E120" s="198">
        <v>1207728</v>
      </c>
      <c r="F120" s="198">
        <v>0</v>
      </c>
      <c r="G120" s="198">
        <v>922821</v>
      </c>
      <c r="H120" s="198"/>
      <c r="I120" s="198">
        <v>1040106</v>
      </c>
      <c r="J120" s="198"/>
      <c r="K120" s="198">
        <v>871302</v>
      </c>
      <c r="L120" s="196"/>
      <c r="M120" s="198">
        <v>1336332</v>
      </c>
      <c r="N120" s="198"/>
      <c r="O120" s="198">
        <v>1163987</v>
      </c>
      <c r="P120" s="198"/>
      <c r="Q120" s="198">
        <v>946315</v>
      </c>
      <c r="R120" s="196"/>
      <c r="S120" s="198">
        <v>996074</v>
      </c>
      <c r="T120" s="198">
        <v>62183292</v>
      </c>
      <c r="U120" s="211">
        <v>939139</v>
      </c>
      <c r="V120" s="211">
        <v>68289943</v>
      </c>
      <c r="W120" s="211">
        <v>964031</v>
      </c>
      <c r="X120" s="211">
        <v>77073056</v>
      </c>
      <c r="Y120" s="211">
        <v>988251</v>
      </c>
      <c r="Z120" s="211">
        <v>86203153</v>
      </c>
      <c r="AA120" s="226">
        <v>936778</v>
      </c>
      <c r="AB120" s="226">
        <v>81499614</v>
      </c>
      <c r="AC120" s="198">
        <v>1044856</v>
      </c>
      <c r="AD120" s="198">
        <v>87296010</v>
      </c>
      <c r="AE120" s="196">
        <v>1008377</v>
      </c>
      <c r="AF120" s="196">
        <v>85398002</v>
      </c>
      <c r="AG120" s="196">
        <v>1079227</v>
      </c>
      <c r="AH120" s="196">
        <v>93520617</v>
      </c>
      <c r="AI120" s="196">
        <v>998152</v>
      </c>
      <c r="AJ120" s="196">
        <v>96265511</v>
      </c>
      <c r="AK120" s="260">
        <v>1077028</v>
      </c>
      <c r="AL120" s="260">
        <v>114289225</v>
      </c>
      <c r="AM120" s="261">
        <v>1233849</v>
      </c>
      <c r="AN120" s="261">
        <v>133592283</v>
      </c>
      <c r="AO120" s="196">
        <v>1287196</v>
      </c>
      <c r="AP120" s="196">
        <v>150848771</v>
      </c>
      <c r="AQ120" s="196">
        <v>1237484.76</v>
      </c>
      <c r="AR120" s="196">
        <v>152947445.05000001</v>
      </c>
      <c r="AS120" s="196">
        <v>1296485</v>
      </c>
      <c r="AT120" s="196">
        <v>185466127</v>
      </c>
      <c r="AU120" s="226">
        <v>834385</v>
      </c>
      <c r="AV120" s="226">
        <v>137315560</v>
      </c>
      <c r="AW120" s="211">
        <v>852550</v>
      </c>
      <c r="AX120" s="211">
        <v>131259688</v>
      </c>
      <c r="AY120" s="198">
        <v>862391</v>
      </c>
      <c r="AZ120" s="198">
        <v>110463553</v>
      </c>
      <c r="BA120" s="263"/>
      <c r="BB120" s="198"/>
      <c r="BC120" s="263"/>
      <c r="BD120" s="198"/>
      <c r="BE120" s="263"/>
      <c r="BF120" s="198"/>
      <c r="BG120" s="263"/>
      <c r="BH120" s="198"/>
      <c r="BI120" s="263"/>
      <c r="BJ120" s="250">
        <f t="shared" si="61"/>
        <v>37197115.760000005</v>
      </c>
      <c r="BK120" s="250">
        <f t="shared" ref="BK120:BK131" si="62">D120+H120+J120+L120+N120+P120+R120+T120+V120+X120+Z120+AB120+AD120+AF120+AH120+AJ120+AL120+AN120+AP120+AR120+AT120+AV120+AX120+AZ120+BD120+BH120</f>
        <v>2064112281.05</v>
      </c>
      <c r="BL120" s="172"/>
      <c r="BM120" s="231"/>
      <c r="BN120" s="231"/>
      <c r="BO120" s="231"/>
      <c r="BP120" s="231"/>
      <c r="BQ120" s="172"/>
      <c r="BR120" s="172"/>
      <c r="BS120" s="172"/>
      <c r="BT120" s="172"/>
      <c r="BU120" s="172"/>
      <c r="BV120" s="172"/>
      <c r="BW120" s="172"/>
      <c r="BX120" s="172"/>
      <c r="BY120" s="172"/>
      <c r="BZ120" s="172"/>
      <c r="CA120" s="172"/>
      <c r="CB120" s="172"/>
      <c r="CC120" s="172"/>
      <c r="CD120" s="172"/>
      <c r="CE120" s="172"/>
      <c r="CF120" s="172"/>
      <c r="CG120" s="172"/>
      <c r="CH120" s="172"/>
      <c r="CI120" s="172"/>
      <c r="CJ120" s="172"/>
      <c r="CK120" s="172"/>
      <c r="CL120" s="172"/>
      <c r="CM120" s="172"/>
      <c r="CN120" s="172"/>
      <c r="CO120" s="172"/>
      <c r="CP120" s="172"/>
      <c r="CQ120" s="172"/>
      <c r="CR120" s="172"/>
      <c r="CS120" s="172"/>
      <c r="CT120" s="172"/>
      <c r="CU120" s="172"/>
      <c r="CV120" s="172"/>
      <c r="CW120" s="172"/>
      <c r="CX120" s="172"/>
      <c r="CY120" s="172"/>
      <c r="CZ120" s="172"/>
      <c r="DA120" s="172"/>
      <c r="DB120" s="172"/>
      <c r="DC120" s="172"/>
      <c r="DD120" s="172"/>
      <c r="DE120" s="172"/>
      <c r="DF120" s="172"/>
      <c r="DG120" s="172"/>
      <c r="DH120" s="172"/>
      <c r="DI120" s="172"/>
      <c r="DJ120" s="172"/>
      <c r="DK120" s="172"/>
      <c r="DL120" s="172"/>
      <c r="DM120" s="172"/>
      <c r="DN120" s="172"/>
      <c r="DO120" s="172"/>
      <c r="DP120" s="172"/>
      <c r="DQ120" s="172"/>
      <c r="DR120" s="172"/>
      <c r="DS120" s="172"/>
      <c r="DT120" s="172"/>
      <c r="DU120" s="172"/>
      <c r="DV120" s="172"/>
      <c r="DW120" s="172"/>
      <c r="DX120" s="172"/>
      <c r="DY120" s="172"/>
      <c r="DZ120" s="172"/>
      <c r="EA120" s="172"/>
      <c r="EB120" s="172"/>
      <c r="EC120" s="172"/>
      <c r="ED120" s="172"/>
      <c r="EE120" s="172"/>
      <c r="EF120" s="172"/>
      <c r="EG120" s="172"/>
      <c r="EH120" s="172"/>
      <c r="EI120" s="172"/>
      <c r="EJ120" s="172"/>
      <c r="EK120" s="172"/>
      <c r="EL120" s="172"/>
      <c r="EM120" s="172"/>
      <c r="EN120" s="172"/>
      <c r="EO120" s="172"/>
      <c r="EP120" s="172"/>
      <c r="EQ120" s="172"/>
      <c r="ER120" s="172"/>
      <c r="ES120" s="172"/>
      <c r="ET120" s="172"/>
      <c r="EU120" s="172"/>
      <c r="EV120" s="172"/>
      <c r="EW120" s="172"/>
      <c r="EX120" s="172"/>
      <c r="EY120" s="172"/>
      <c r="EZ120" s="172"/>
      <c r="FA120" s="172"/>
      <c r="FB120" s="172"/>
      <c r="FC120" s="172"/>
      <c r="FD120" s="172"/>
      <c r="FE120" s="172"/>
      <c r="FF120" s="172"/>
      <c r="FG120" s="172"/>
      <c r="FH120" s="172"/>
      <c r="FI120" s="172"/>
      <c r="FJ120" s="172"/>
      <c r="FK120" s="172"/>
      <c r="FL120" s="172"/>
      <c r="FM120" s="172"/>
      <c r="FN120" s="172"/>
      <c r="FO120" s="172"/>
      <c r="FP120" s="172"/>
      <c r="FQ120" s="172"/>
      <c r="FR120" s="172"/>
      <c r="FS120" s="172"/>
      <c r="FT120" s="172"/>
      <c r="FU120" s="172"/>
      <c r="FV120" s="172"/>
      <c r="FW120" s="172"/>
      <c r="FX120" s="172"/>
      <c r="FY120" s="172"/>
      <c r="FZ120" s="172"/>
      <c r="GA120" s="172"/>
      <c r="GB120" s="172"/>
      <c r="GC120" s="172"/>
      <c r="GD120" s="172"/>
      <c r="GE120" s="172"/>
      <c r="GF120" s="172"/>
      <c r="GG120" s="172"/>
      <c r="GH120" s="172"/>
      <c r="GI120" s="172"/>
      <c r="GJ120" s="172"/>
      <c r="GK120" s="172"/>
      <c r="GL120" s="172"/>
      <c r="GM120" s="172"/>
      <c r="GN120" s="172"/>
      <c r="GO120" s="172"/>
      <c r="GP120" s="172"/>
      <c r="GQ120" s="172"/>
      <c r="GR120" s="172"/>
      <c r="GS120" s="172"/>
      <c r="GT120" s="172"/>
      <c r="GU120" s="172"/>
      <c r="GV120" s="172"/>
      <c r="GW120" s="172"/>
      <c r="GX120" s="172"/>
      <c r="GY120" s="172"/>
      <c r="GZ120" s="172"/>
      <c r="HA120" s="172"/>
      <c r="HB120" s="172"/>
      <c r="HC120" s="172"/>
      <c r="HD120" s="172"/>
      <c r="HE120" s="172"/>
      <c r="HF120" s="172"/>
      <c r="HG120" s="172"/>
      <c r="HH120" s="172"/>
      <c r="HI120" s="172"/>
      <c r="HJ120" s="172"/>
      <c r="HK120" s="172"/>
      <c r="HL120" s="172"/>
      <c r="HM120" s="172"/>
      <c r="HN120" s="172"/>
      <c r="HO120" s="172"/>
      <c r="HP120" s="172"/>
      <c r="HQ120" s="172"/>
      <c r="HR120" s="172"/>
      <c r="HS120" s="172"/>
      <c r="HT120" s="172"/>
      <c r="HU120" s="172"/>
      <c r="HV120" s="172"/>
      <c r="HW120" s="172"/>
      <c r="HX120" s="172"/>
      <c r="HY120" s="172"/>
      <c r="HZ120" s="172"/>
      <c r="IA120" s="172"/>
      <c r="IB120" s="172"/>
      <c r="IC120" s="172"/>
      <c r="ID120" s="172"/>
      <c r="IE120" s="172"/>
      <c r="IF120" s="172"/>
      <c r="IG120" s="172"/>
      <c r="IH120" s="172"/>
      <c r="II120" s="172"/>
      <c r="IJ120" s="172"/>
      <c r="IK120" s="172"/>
      <c r="IL120" s="172"/>
      <c r="IM120" s="172"/>
      <c r="IN120" s="172"/>
      <c r="IO120" s="172"/>
      <c r="IP120" s="172"/>
      <c r="IQ120" s="172"/>
      <c r="IR120" s="172"/>
      <c r="IS120" s="172"/>
      <c r="IT120" s="172"/>
      <c r="IU120" s="172"/>
      <c r="IV120" s="172"/>
      <c r="IW120" s="172"/>
      <c r="IX120" s="172"/>
      <c r="IY120" s="172"/>
      <c r="IZ120" s="172"/>
      <c r="JA120" s="172"/>
      <c r="JB120" s="172"/>
      <c r="JC120" s="172"/>
      <c r="JD120" s="172"/>
      <c r="JE120" s="172"/>
      <c r="JF120" s="172"/>
      <c r="JG120" s="172"/>
      <c r="JH120" s="172"/>
      <c r="JI120" s="172"/>
      <c r="JJ120" s="172"/>
      <c r="JK120" s="172"/>
      <c r="JL120" s="172"/>
      <c r="JM120" s="172"/>
      <c r="JN120" s="172"/>
      <c r="JO120" s="172"/>
      <c r="JP120" s="172"/>
      <c r="JQ120" s="172"/>
      <c r="JR120" s="172"/>
      <c r="JS120" s="172"/>
      <c r="JT120" s="172"/>
      <c r="JU120" s="172"/>
      <c r="JV120" s="172"/>
      <c r="JW120" s="172"/>
      <c r="JX120" s="172"/>
      <c r="JY120" s="172"/>
      <c r="JZ120" s="172"/>
      <c r="KA120" s="172"/>
      <c r="KB120" s="172"/>
      <c r="KC120" s="172"/>
      <c r="KD120" s="172"/>
      <c r="KE120" s="172"/>
      <c r="KF120" s="172"/>
      <c r="KG120" s="172"/>
      <c r="KH120" s="172"/>
      <c r="KI120" s="172"/>
      <c r="KJ120" s="172"/>
      <c r="KK120" s="172"/>
      <c r="KL120" s="172"/>
      <c r="KM120" s="172"/>
      <c r="KN120" s="172"/>
      <c r="KO120" s="172"/>
      <c r="KP120" s="172"/>
      <c r="KQ120" s="172"/>
      <c r="KR120" s="172"/>
      <c r="KS120" s="172"/>
      <c r="KT120" s="172"/>
      <c r="KU120" s="172"/>
      <c r="KV120" s="172"/>
      <c r="KW120" s="172"/>
      <c r="KX120" s="172"/>
      <c r="KY120" s="172"/>
      <c r="KZ120" s="172"/>
      <c r="LA120" s="172"/>
      <c r="LB120" s="172"/>
      <c r="LC120" s="172"/>
      <c r="LD120" s="172"/>
      <c r="LE120" s="172"/>
      <c r="LF120" s="172"/>
      <c r="LG120" s="172"/>
      <c r="LH120" s="172"/>
      <c r="LI120" s="172"/>
      <c r="LJ120" s="172"/>
      <c r="LK120" s="172"/>
      <c r="LL120" s="172"/>
      <c r="LM120" s="172"/>
      <c r="LN120" s="172"/>
      <c r="LO120" s="172"/>
      <c r="LP120" s="172"/>
      <c r="LQ120" s="172"/>
      <c r="LR120" s="172"/>
      <c r="LS120" s="172"/>
      <c r="LT120" s="172"/>
      <c r="LU120" s="172"/>
      <c r="LV120" s="172"/>
      <c r="LW120" s="172"/>
      <c r="LX120" s="172"/>
      <c r="LY120" s="172"/>
      <c r="LZ120" s="172"/>
      <c r="MA120" s="172"/>
      <c r="MB120" s="172"/>
      <c r="MC120" s="172"/>
      <c r="MD120" s="172"/>
      <c r="ME120" s="172"/>
      <c r="MF120" s="172"/>
      <c r="MG120" s="172"/>
      <c r="MH120" s="172"/>
      <c r="MI120" s="172"/>
      <c r="MJ120" s="172"/>
      <c r="MK120" s="172"/>
      <c r="ML120" s="172"/>
      <c r="MM120" s="172"/>
      <c r="MN120" s="172"/>
      <c r="MO120" s="172"/>
      <c r="MP120" s="172"/>
      <c r="MQ120" s="172"/>
      <c r="MR120" s="172"/>
      <c r="MS120" s="172"/>
      <c r="MT120" s="172"/>
      <c r="MU120" s="172"/>
      <c r="MV120" s="172"/>
      <c r="MW120" s="172"/>
      <c r="MX120" s="172"/>
      <c r="MY120" s="172"/>
      <c r="MZ120" s="172"/>
      <c r="NA120" s="172"/>
      <c r="NB120" s="172"/>
      <c r="NC120" s="172"/>
      <c r="ND120" s="172"/>
      <c r="NE120" s="172"/>
      <c r="NF120" s="172"/>
      <c r="NG120" s="172"/>
      <c r="NH120" s="172"/>
      <c r="NI120" s="172"/>
      <c r="NJ120" s="172"/>
      <c r="NK120" s="172"/>
      <c r="NL120" s="172"/>
      <c r="NM120" s="172"/>
      <c r="NN120" s="172"/>
      <c r="NO120" s="172"/>
      <c r="NP120" s="172"/>
      <c r="NQ120" s="172"/>
      <c r="NR120" s="172"/>
      <c r="NS120" s="172"/>
      <c r="NT120" s="172"/>
      <c r="NU120" s="172"/>
      <c r="NV120" s="172"/>
      <c r="NW120" s="172"/>
      <c r="NX120" s="172"/>
      <c r="NY120" s="172"/>
      <c r="NZ120" s="172"/>
      <c r="OA120" s="172"/>
      <c r="OB120" s="172"/>
      <c r="OC120" s="172"/>
      <c r="OD120" s="172"/>
      <c r="OE120" s="172"/>
      <c r="OF120" s="172"/>
      <c r="OG120" s="172"/>
      <c r="OH120" s="172"/>
      <c r="OI120" s="172"/>
      <c r="OJ120" s="172"/>
      <c r="OK120" s="172"/>
      <c r="OL120" s="172"/>
      <c r="OM120" s="172"/>
      <c r="ON120" s="172"/>
      <c r="OO120" s="172"/>
      <c r="OP120" s="172"/>
      <c r="OQ120" s="172"/>
      <c r="OR120" s="172"/>
      <c r="OS120" s="172"/>
      <c r="OT120" s="172"/>
      <c r="OU120" s="172"/>
      <c r="OV120" s="172"/>
      <c r="OW120" s="172"/>
      <c r="OX120" s="172"/>
      <c r="OY120" s="172"/>
      <c r="OZ120" s="172"/>
      <c r="PA120" s="172"/>
      <c r="PB120" s="172"/>
      <c r="PC120" s="172"/>
      <c r="PD120" s="172"/>
      <c r="PE120" s="172"/>
      <c r="PF120" s="172"/>
      <c r="PG120" s="172"/>
      <c r="PH120" s="172"/>
      <c r="PI120" s="172"/>
      <c r="PJ120" s="172"/>
      <c r="PK120" s="172"/>
      <c r="PL120" s="172"/>
      <c r="PM120" s="172"/>
      <c r="PN120" s="172"/>
      <c r="PO120" s="172"/>
      <c r="PP120" s="172"/>
      <c r="PQ120" s="172"/>
      <c r="PR120" s="172"/>
      <c r="PS120" s="172"/>
      <c r="PT120" s="172"/>
      <c r="PU120" s="172"/>
      <c r="PV120" s="172"/>
      <c r="PW120" s="172"/>
      <c r="PX120" s="172"/>
      <c r="PY120" s="172"/>
      <c r="PZ120" s="172"/>
      <c r="QA120" s="172"/>
      <c r="QB120" s="172"/>
      <c r="QC120" s="172"/>
      <c r="QD120" s="172"/>
      <c r="QE120" s="172"/>
      <c r="QF120" s="172"/>
      <c r="QG120" s="172"/>
      <c r="QH120" s="172"/>
      <c r="QI120" s="172"/>
      <c r="QJ120" s="172"/>
      <c r="QK120" s="172"/>
      <c r="QL120" s="172"/>
      <c r="QM120" s="172"/>
      <c r="QN120" s="172"/>
      <c r="QO120" s="172"/>
      <c r="QP120" s="172"/>
      <c r="QQ120" s="172"/>
      <c r="QR120" s="172"/>
      <c r="QS120" s="172"/>
      <c r="QT120" s="172"/>
      <c r="QU120" s="172"/>
      <c r="QV120" s="172"/>
      <c r="QW120" s="172"/>
      <c r="QX120" s="172"/>
      <c r="QY120" s="172"/>
      <c r="QZ120" s="172"/>
      <c r="RA120" s="172"/>
      <c r="RB120" s="172"/>
      <c r="RC120" s="172"/>
      <c r="RD120" s="172"/>
      <c r="RE120" s="172"/>
      <c r="RF120" s="172"/>
      <c r="RG120" s="172"/>
      <c r="RH120" s="172"/>
      <c r="RI120" s="172"/>
      <c r="RJ120" s="172"/>
      <c r="RK120" s="172"/>
      <c r="RL120" s="172"/>
      <c r="RM120" s="172"/>
      <c r="RN120" s="172"/>
      <c r="RO120" s="172"/>
      <c r="RP120" s="172"/>
      <c r="RQ120" s="172"/>
      <c r="RR120" s="172"/>
      <c r="RS120" s="172"/>
      <c r="RT120" s="172"/>
      <c r="RU120" s="172"/>
      <c r="RV120" s="172"/>
      <c r="RW120" s="172"/>
      <c r="RX120" s="172"/>
      <c r="RY120" s="172"/>
      <c r="RZ120" s="172"/>
      <c r="SA120" s="172"/>
      <c r="SB120" s="172"/>
      <c r="SC120" s="172"/>
      <c r="SD120" s="172"/>
      <c r="SE120" s="172"/>
      <c r="SF120" s="172"/>
      <c r="SG120" s="172"/>
      <c r="SH120" s="172"/>
      <c r="SI120" s="172"/>
      <c r="SJ120" s="172"/>
      <c r="SK120" s="172"/>
      <c r="SL120" s="172"/>
      <c r="SM120" s="172"/>
      <c r="SN120" s="172"/>
      <c r="SO120" s="172"/>
      <c r="SP120" s="172"/>
      <c r="SQ120" s="172"/>
      <c r="SR120" s="172"/>
      <c r="SS120" s="172"/>
      <c r="ST120" s="172"/>
      <c r="SU120" s="172"/>
      <c r="SV120" s="172"/>
      <c r="SW120" s="172"/>
      <c r="SX120" s="172"/>
      <c r="SY120" s="172"/>
      <c r="SZ120" s="172"/>
      <c r="TA120" s="172"/>
      <c r="TB120" s="172"/>
      <c r="TC120" s="172"/>
      <c r="TD120" s="172"/>
      <c r="TE120" s="172"/>
      <c r="TF120" s="172"/>
      <c r="TG120" s="172"/>
      <c r="TH120" s="172"/>
      <c r="TI120" s="172"/>
      <c r="TJ120" s="172"/>
      <c r="TK120" s="172"/>
      <c r="TL120" s="172"/>
      <c r="TM120" s="172"/>
      <c r="TN120" s="172"/>
      <c r="TO120" s="172"/>
      <c r="TP120" s="172"/>
      <c r="TQ120" s="172"/>
      <c r="TR120" s="172"/>
      <c r="TS120" s="172"/>
      <c r="TT120" s="172"/>
      <c r="TU120" s="172"/>
      <c r="TV120" s="172"/>
      <c r="TW120" s="172"/>
      <c r="TX120" s="172"/>
      <c r="TY120" s="172"/>
      <c r="TZ120" s="172"/>
      <c r="UA120" s="172"/>
      <c r="UB120" s="172"/>
      <c r="UC120" s="172"/>
      <c r="UD120" s="172"/>
      <c r="UE120" s="172"/>
      <c r="UF120" s="172"/>
      <c r="UG120" s="172"/>
      <c r="UH120" s="172"/>
      <c r="UI120" s="172"/>
      <c r="UJ120" s="172"/>
      <c r="UK120" s="172"/>
      <c r="UL120" s="172"/>
      <c r="UM120" s="172"/>
      <c r="UN120" s="172"/>
      <c r="UO120" s="172"/>
      <c r="UP120" s="172"/>
      <c r="UQ120" s="172"/>
      <c r="UR120" s="172"/>
      <c r="US120" s="172"/>
      <c r="UT120" s="172"/>
      <c r="UU120" s="172"/>
      <c r="UV120" s="172"/>
      <c r="UW120" s="172"/>
      <c r="UX120" s="172"/>
      <c r="UY120" s="172"/>
      <c r="UZ120" s="172"/>
      <c r="VA120" s="172"/>
      <c r="VB120" s="172"/>
      <c r="VC120" s="172"/>
      <c r="VD120" s="172"/>
      <c r="VE120" s="172"/>
      <c r="VF120" s="172"/>
      <c r="VG120" s="172"/>
      <c r="VH120" s="172"/>
      <c r="VI120" s="172"/>
      <c r="VJ120" s="172"/>
      <c r="VK120" s="172"/>
      <c r="VL120" s="172"/>
      <c r="VM120" s="172"/>
      <c r="VN120" s="172"/>
      <c r="VO120" s="172"/>
      <c r="VP120" s="172"/>
      <c r="VQ120" s="172"/>
      <c r="VR120" s="172"/>
      <c r="VS120" s="172"/>
      <c r="VT120" s="172"/>
      <c r="VU120" s="172"/>
      <c r="VV120" s="172"/>
      <c r="VW120" s="172"/>
      <c r="VX120" s="172"/>
      <c r="VY120" s="172"/>
      <c r="VZ120" s="172"/>
      <c r="WA120" s="172"/>
      <c r="WB120" s="172"/>
      <c r="WC120" s="172"/>
      <c r="WD120" s="172"/>
      <c r="WE120" s="172"/>
      <c r="WF120" s="172"/>
      <c r="WG120" s="172"/>
      <c r="WH120" s="172"/>
      <c r="WI120" s="172"/>
      <c r="WJ120" s="172"/>
      <c r="WK120" s="172"/>
      <c r="WL120" s="172"/>
      <c r="WM120" s="172"/>
      <c r="WN120" s="172"/>
      <c r="WO120" s="172"/>
      <c r="WP120" s="172"/>
      <c r="WQ120" s="172"/>
      <c r="WR120" s="172"/>
      <c r="WS120" s="172"/>
      <c r="WT120" s="172"/>
      <c r="WU120" s="172"/>
      <c r="WV120" s="172"/>
      <c r="WW120" s="172"/>
      <c r="WX120" s="172"/>
      <c r="WY120" s="172"/>
      <c r="WZ120" s="172"/>
      <c r="XA120" s="172"/>
      <c r="XB120" s="172"/>
      <c r="XC120" s="172"/>
      <c r="XD120" s="172"/>
      <c r="XE120" s="172"/>
      <c r="XF120" s="172"/>
      <c r="XG120" s="172"/>
      <c r="XH120" s="172"/>
      <c r="XI120" s="172"/>
      <c r="XJ120" s="172"/>
      <c r="XK120" s="172"/>
      <c r="XL120" s="172"/>
      <c r="XM120" s="172"/>
      <c r="XN120" s="172"/>
      <c r="XO120" s="172"/>
      <c r="XP120" s="172"/>
      <c r="XQ120" s="172"/>
      <c r="XR120" s="172"/>
      <c r="XS120" s="172"/>
      <c r="XT120" s="172"/>
      <c r="XU120" s="172"/>
      <c r="XV120" s="172"/>
      <c r="XW120" s="172"/>
      <c r="XX120" s="172"/>
      <c r="XY120" s="172"/>
      <c r="XZ120" s="172"/>
      <c r="YA120" s="172"/>
      <c r="YB120" s="172"/>
      <c r="YC120" s="172"/>
      <c r="YD120" s="172"/>
      <c r="YE120" s="172"/>
      <c r="YF120" s="172"/>
      <c r="YG120" s="172"/>
      <c r="YH120" s="172"/>
      <c r="YI120" s="172"/>
      <c r="YJ120" s="172"/>
      <c r="YK120" s="172"/>
      <c r="YL120" s="172"/>
      <c r="YM120" s="172"/>
      <c r="YN120" s="172"/>
      <c r="YO120" s="172"/>
      <c r="YP120" s="172"/>
      <c r="YQ120" s="172"/>
      <c r="YR120" s="172"/>
      <c r="YS120" s="172"/>
      <c r="YT120" s="172"/>
      <c r="YU120" s="172"/>
      <c r="YV120" s="172"/>
      <c r="YW120" s="172"/>
      <c r="YX120" s="172"/>
      <c r="YY120" s="172"/>
      <c r="YZ120" s="172"/>
      <c r="ZA120" s="172"/>
      <c r="ZB120" s="172"/>
      <c r="ZC120" s="172"/>
      <c r="ZD120" s="172"/>
      <c r="ZE120" s="172"/>
      <c r="ZF120" s="172"/>
      <c r="ZG120" s="172"/>
      <c r="ZH120" s="172"/>
      <c r="ZI120" s="172"/>
      <c r="ZJ120" s="172"/>
      <c r="ZK120" s="172"/>
      <c r="ZL120" s="172"/>
      <c r="ZM120" s="172"/>
      <c r="ZN120" s="172"/>
      <c r="ZO120" s="172"/>
      <c r="ZP120" s="172"/>
      <c r="ZQ120" s="172"/>
      <c r="ZR120" s="172"/>
      <c r="ZS120" s="172"/>
      <c r="ZT120" s="172"/>
      <c r="ZU120" s="172"/>
      <c r="ZV120" s="172"/>
      <c r="ZW120" s="172"/>
      <c r="ZX120" s="172"/>
      <c r="ZY120" s="172"/>
      <c r="ZZ120" s="172"/>
      <c r="AAA120" s="172"/>
      <c r="AAB120" s="172"/>
      <c r="AAC120" s="172"/>
      <c r="AAD120" s="172"/>
      <c r="AAE120" s="172"/>
      <c r="AAF120" s="172"/>
      <c r="AAG120" s="172"/>
      <c r="AAH120" s="172"/>
      <c r="AAI120" s="172"/>
      <c r="AAJ120" s="172"/>
      <c r="AAK120" s="172"/>
      <c r="AAL120" s="172"/>
      <c r="AAM120" s="172"/>
      <c r="AAN120" s="172"/>
      <c r="AAO120" s="172"/>
      <c r="AAP120" s="172"/>
      <c r="AAQ120" s="172"/>
      <c r="AAR120" s="172"/>
      <c r="AAS120" s="172"/>
      <c r="AAT120" s="172"/>
      <c r="AAU120" s="172"/>
      <c r="AAV120" s="172"/>
      <c r="AAW120" s="172"/>
      <c r="AAX120" s="172"/>
      <c r="AAY120" s="172"/>
      <c r="AAZ120" s="172"/>
      <c r="ABA120" s="172"/>
      <c r="ABB120" s="172"/>
      <c r="ABC120" s="172"/>
      <c r="ABD120" s="172"/>
      <c r="ABE120" s="172"/>
      <c r="ABF120" s="172"/>
      <c r="ABG120" s="172"/>
      <c r="ABH120" s="172"/>
      <c r="ABI120" s="172"/>
      <c r="ABJ120" s="172"/>
      <c r="ABK120" s="172"/>
      <c r="ABL120" s="172"/>
      <c r="ABM120" s="172"/>
      <c r="ABN120" s="172"/>
      <c r="ABO120" s="172"/>
      <c r="ABP120" s="172"/>
      <c r="ABQ120" s="172"/>
      <c r="ABR120" s="172"/>
      <c r="ABS120" s="172"/>
      <c r="ABT120" s="172"/>
      <c r="ABU120" s="172"/>
      <c r="ABV120" s="172"/>
      <c r="ABW120" s="172"/>
      <c r="ABX120" s="172"/>
      <c r="ABY120" s="172"/>
      <c r="ABZ120" s="172"/>
      <c r="ACA120" s="172"/>
      <c r="ACB120" s="172"/>
      <c r="ACC120" s="172"/>
      <c r="ACD120" s="172"/>
      <c r="ACE120" s="172"/>
      <c r="ACF120" s="172"/>
      <c r="ACG120" s="172"/>
      <c r="ACH120" s="172"/>
      <c r="ACI120" s="172"/>
      <c r="ACJ120" s="172"/>
      <c r="ACK120" s="172"/>
      <c r="ACL120" s="172"/>
      <c r="ACM120" s="172"/>
      <c r="ACN120" s="172"/>
      <c r="ACO120" s="172"/>
      <c r="ACP120" s="172"/>
      <c r="ACQ120" s="172"/>
      <c r="ACR120" s="172"/>
      <c r="ACS120" s="172"/>
      <c r="ACT120" s="172"/>
      <c r="ACU120" s="172"/>
      <c r="ACV120" s="172"/>
      <c r="ACW120" s="172"/>
      <c r="ACX120" s="172"/>
      <c r="ACY120" s="172"/>
      <c r="ACZ120" s="172"/>
      <c r="ADA120" s="172"/>
      <c r="ADB120" s="172"/>
      <c r="ADC120" s="172"/>
      <c r="ADD120" s="172"/>
      <c r="ADE120" s="172"/>
      <c r="ADF120" s="172"/>
      <c r="ADG120" s="172"/>
      <c r="ADH120" s="172"/>
      <c r="ADI120" s="172"/>
      <c r="ADJ120" s="172"/>
      <c r="ADK120" s="172"/>
      <c r="ADL120" s="172"/>
      <c r="ADM120" s="172"/>
      <c r="ADN120" s="172"/>
      <c r="ADO120" s="172"/>
      <c r="ADP120" s="172"/>
      <c r="ADQ120" s="172"/>
      <c r="ADR120" s="172"/>
      <c r="ADS120" s="172"/>
      <c r="ADT120" s="172"/>
      <c r="ADU120" s="172"/>
      <c r="ADV120" s="172"/>
      <c r="ADW120" s="172"/>
      <c r="ADX120" s="172"/>
      <c r="ADY120" s="172"/>
      <c r="ADZ120" s="172"/>
      <c r="AEA120" s="172"/>
      <c r="AEB120" s="172"/>
      <c r="AEC120" s="172"/>
      <c r="AED120" s="172"/>
      <c r="AEE120" s="172"/>
      <c r="AEF120" s="172"/>
      <c r="AEG120" s="172"/>
      <c r="AEH120" s="172"/>
      <c r="AEI120" s="172"/>
      <c r="AEJ120" s="172"/>
      <c r="AEK120" s="172"/>
      <c r="AEL120" s="172"/>
      <c r="AEM120" s="172"/>
      <c r="AEN120" s="172"/>
      <c r="AEO120" s="172"/>
      <c r="AEP120" s="172"/>
      <c r="AEQ120" s="172"/>
      <c r="AER120" s="172"/>
      <c r="AES120" s="172"/>
      <c r="AET120" s="172"/>
      <c r="AEU120" s="172"/>
      <c r="AEV120" s="172"/>
      <c r="AEW120" s="172"/>
      <c r="AEX120" s="172"/>
      <c r="AEY120" s="172"/>
      <c r="AEZ120" s="172"/>
      <c r="AFA120" s="172"/>
      <c r="AFB120" s="172"/>
      <c r="AFC120" s="172"/>
      <c r="AFD120" s="172"/>
      <c r="AFE120" s="172"/>
      <c r="AFF120" s="172"/>
      <c r="AFG120" s="172"/>
      <c r="AFH120" s="172"/>
      <c r="AFI120" s="172"/>
      <c r="AFJ120" s="172"/>
      <c r="AFK120" s="172"/>
      <c r="AFL120" s="172"/>
      <c r="AFM120" s="172"/>
      <c r="AFN120" s="172"/>
      <c r="AFO120" s="172"/>
      <c r="AFP120" s="172"/>
      <c r="AFQ120" s="172"/>
      <c r="AFR120" s="172"/>
      <c r="AFS120" s="172"/>
      <c r="AFT120" s="172"/>
      <c r="AFU120" s="172"/>
      <c r="AFV120" s="172"/>
      <c r="AFW120" s="172"/>
      <c r="AFX120" s="172"/>
      <c r="AFY120" s="172"/>
      <c r="AFZ120" s="172"/>
      <c r="AGA120" s="172"/>
      <c r="AGB120" s="172"/>
      <c r="AGC120" s="172"/>
      <c r="AGD120" s="172"/>
      <c r="AGE120" s="172"/>
      <c r="AGF120" s="172"/>
      <c r="AGG120" s="172"/>
      <c r="AGH120" s="172"/>
      <c r="AGI120" s="172"/>
      <c r="AGJ120" s="172"/>
      <c r="AGK120" s="172"/>
      <c r="AGL120" s="172"/>
      <c r="AGM120" s="172"/>
      <c r="AGN120" s="172"/>
      <c r="AGO120" s="172"/>
      <c r="AGP120" s="172"/>
      <c r="AGQ120" s="172"/>
      <c r="AGR120" s="172"/>
      <c r="AGS120" s="172"/>
      <c r="AGT120" s="172"/>
      <c r="AGU120" s="172"/>
      <c r="AGV120" s="172"/>
      <c r="AGW120" s="172"/>
      <c r="AGX120" s="172"/>
      <c r="AGY120" s="172"/>
      <c r="AGZ120" s="172"/>
      <c r="AHA120" s="172"/>
      <c r="AHB120" s="172"/>
      <c r="AHC120" s="172"/>
      <c r="AHD120" s="172"/>
      <c r="AHE120" s="172"/>
      <c r="AHF120" s="172"/>
      <c r="AHG120" s="172"/>
      <c r="AHH120" s="172"/>
      <c r="AHI120" s="172"/>
      <c r="AHJ120" s="172"/>
      <c r="AHK120" s="172"/>
      <c r="AHL120" s="172"/>
      <c r="AHM120" s="172"/>
      <c r="AHN120" s="172"/>
      <c r="AHO120" s="172"/>
      <c r="AHP120" s="172"/>
      <c r="AHQ120" s="172"/>
      <c r="AHR120" s="172"/>
      <c r="AHS120" s="172"/>
      <c r="AHT120" s="172"/>
      <c r="AHU120" s="172"/>
      <c r="AHV120" s="172"/>
      <c r="AHW120" s="172"/>
      <c r="AHX120" s="172"/>
      <c r="AHY120" s="172"/>
      <c r="AHZ120" s="172"/>
      <c r="AIA120" s="172"/>
      <c r="AIB120" s="172"/>
      <c r="AIC120" s="172"/>
      <c r="AID120" s="172"/>
      <c r="AIE120" s="172"/>
      <c r="AIF120" s="172"/>
      <c r="AIG120" s="172"/>
      <c r="AIH120" s="172"/>
      <c r="AII120" s="172"/>
      <c r="AIJ120" s="172"/>
      <c r="AIK120" s="172"/>
      <c r="AIL120" s="172"/>
      <c r="AIM120" s="172"/>
      <c r="AIN120" s="172"/>
      <c r="AIO120" s="172"/>
      <c r="AIP120" s="172"/>
      <c r="AIQ120" s="172"/>
      <c r="AIR120" s="172"/>
      <c r="AIS120" s="172"/>
      <c r="AIT120" s="172"/>
      <c r="AIU120" s="172"/>
      <c r="AIV120" s="172"/>
      <c r="AIW120" s="172"/>
      <c r="AIX120" s="172"/>
      <c r="AIY120" s="172"/>
      <c r="AIZ120" s="172"/>
      <c r="AJA120" s="172"/>
      <c r="AJB120" s="172"/>
      <c r="AJC120" s="172"/>
      <c r="AJD120" s="172"/>
      <c r="AJE120" s="172"/>
      <c r="AJF120" s="172"/>
      <c r="AJG120" s="172"/>
      <c r="AJH120" s="172"/>
      <c r="AJI120" s="172"/>
      <c r="AJJ120" s="172"/>
      <c r="AJK120" s="172"/>
      <c r="AJL120" s="172"/>
      <c r="AJM120" s="172"/>
      <c r="AJN120" s="172"/>
      <c r="AJO120" s="172"/>
      <c r="AJP120" s="172"/>
      <c r="AJQ120" s="172"/>
      <c r="AJR120" s="172"/>
      <c r="AJS120" s="172"/>
      <c r="AJT120" s="172"/>
      <c r="AJU120" s="172"/>
      <c r="AJV120" s="172"/>
      <c r="AJW120" s="172"/>
      <c r="AJX120" s="172"/>
      <c r="AJY120" s="172"/>
      <c r="AJZ120" s="172"/>
      <c r="AKA120" s="172"/>
      <c r="AKB120" s="172"/>
      <c r="AKC120" s="172"/>
      <c r="AKD120" s="172"/>
      <c r="AKE120" s="172"/>
      <c r="AKF120" s="172"/>
      <c r="AKG120" s="172"/>
      <c r="AKH120" s="172"/>
      <c r="AKI120" s="172"/>
      <c r="AKJ120" s="172"/>
      <c r="AKK120" s="172"/>
      <c r="AKL120" s="172"/>
      <c r="AKM120" s="172"/>
      <c r="AKN120" s="172"/>
      <c r="AKO120" s="172"/>
      <c r="AKP120" s="172"/>
      <c r="AKQ120" s="172"/>
      <c r="AKR120" s="172"/>
      <c r="AKS120" s="172"/>
      <c r="AKT120" s="172"/>
      <c r="AKU120" s="172"/>
      <c r="AKV120" s="172"/>
      <c r="AKW120" s="172"/>
      <c r="AKX120" s="172"/>
      <c r="AKY120" s="172"/>
      <c r="AKZ120" s="172"/>
      <c r="ALA120" s="172"/>
      <c r="ALB120" s="172"/>
      <c r="ALC120" s="172"/>
      <c r="ALD120" s="172"/>
      <c r="ALE120" s="172"/>
      <c r="ALF120" s="172"/>
      <c r="ALG120" s="172"/>
      <c r="ALH120" s="172"/>
      <c r="ALI120" s="172"/>
      <c r="ALJ120" s="172"/>
      <c r="ALK120" s="172"/>
      <c r="ALL120" s="172"/>
      <c r="ALM120" s="172"/>
      <c r="ALN120" s="172"/>
      <c r="ALO120" s="172"/>
      <c r="ALP120" s="172"/>
      <c r="ALQ120" s="172"/>
      <c r="ALR120" s="172"/>
      <c r="ALS120" s="172"/>
      <c r="ALT120" s="172"/>
      <c r="ALU120" s="172"/>
      <c r="ALV120" s="172"/>
      <c r="ALW120" s="172"/>
      <c r="ALX120" s="172"/>
      <c r="ALY120" s="172"/>
      <c r="ALZ120" s="172"/>
      <c r="AMA120" s="172"/>
      <c r="AMB120" s="172"/>
      <c r="AMC120" s="172"/>
      <c r="AMD120" s="172"/>
      <c r="AME120" s="172"/>
      <c r="AMF120" s="172"/>
      <c r="AMG120" s="172"/>
      <c r="AMH120" s="172"/>
      <c r="AMI120" s="172"/>
      <c r="AMJ120" s="172"/>
      <c r="AMK120" s="172"/>
      <c r="AML120" s="172"/>
      <c r="AMM120" s="172"/>
      <c r="AMN120" s="172"/>
      <c r="AMO120" s="172"/>
      <c r="AMP120" s="172"/>
      <c r="AMQ120" s="172"/>
      <c r="AMR120" s="172"/>
      <c r="AMS120" s="172"/>
      <c r="AMT120" s="172"/>
      <c r="AMU120" s="172"/>
      <c r="AMV120" s="172"/>
      <c r="AMW120" s="172"/>
      <c r="AMX120" s="172"/>
      <c r="AMY120" s="172"/>
      <c r="AMZ120" s="172"/>
      <c r="ANA120" s="172"/>
      <c r="ANB120" s="172"/>
      <c r="ANC120" s="172"/>
      <c r="AND120" s="172"/>
      <c r="ANE120" s="172"/>
      <c r="ANF120" s="172"/>
      <c r="ANG120" s="172"/>
      <c r="ANH120" s="172"/>
      <c r="ANI120" s="172"/>
      <c r="ANJ120" s="172"/>
      <c r="ANK120" s="172"/>
      <c r="ANL120" s="172"/>
      <c r="ANM120" s="172"/>
      <c r="ANN120" s="172"/>
      <c r="ANO120" s="172"/>
      <c r="ANP120" s="172"/>
      <c r="ANQ120" s="172"/>
      <c r="ANR120" s="172"/>
      <c r="ANS120" s="172"/>
      <c r="ANT120" s="172"/>
      <c r="ANU120" s="172"/>
      <c r="ANV120" s="172"/>
      <c r="ANW120" s="172"/>
      <c r="ANX120" s="172"/>
      <c r="ANY120" s="172"/>
      <c r="ANZ120" s="172"/>
      <c r="AOA120" s="172"/>
      <c r="AOB120" s="172"/>
      <c r="AOC120" s="172"/>
      <c r="AOD120" s="172"/>
      <c r="AOE120" s="172"/>
      <c r="AOF120" s="172"/>
      <c r="AOG120" s="172"/>
      <c r="AOH120" s="172"/>
      <c r="AOI120" s="172"/>
      <c r="AOJ120" s="172"/>
      <c r="AOK120" s="172"/>
      <c r="AOL120" s="172"/>
      <c r="AOM120" s="172"/>
      <c r="AON120" s="172"/>
      <c r="AOO120" s="172"/>
      <c r="AOP120" s="172"/>
      <c r="AOQ120" s="172"/>
      <c r="AOR120" s="172"/>
      <c r="AOS120" s="172"/>
      <c r="AOT120" s="172"/>
      <c r="AOU120" s="172"/>
      <c r="AOV120" s="172"/>
      <c r="AOW120" s="172"/>
      <c r="AOX120" s="172"/>
      <c r="AOY120" s="172"/>
      <c r="AOZ120" s="172"/>
      <c r="APA120" s="172"/>
      <c r="APB120" s="172"/>
      <c r="APC120" s="172"/>
      <c r="APD120" s="172"/>
      <c r="APE120" s="172"/>
      <c r="APF120" s="172"/>
      <c r="APG120" s="172"/>
      <c r="APH120" s="172"/>
      <c r="API120" s="172"/>
      <c r="APJ120" s="172"/>
      <c r="APK120" s="172"/>
      <c r="APL120" s="172"/>
      <c r="APM120" s="172"/>
      <c r="APN120" s="172"/>
      <c r="APO120" s="172"/>
      <c r="APP120" s="172"/>
      <c r="APQ120" s="172"/>
      <c r="APR120" s="172"/>
      <c r="APS120" s="172"/>
      <c r="APT120" s="172"/>
      <c r="APU120" s="172"/>
      <c r="APV120" s="172"/>
      <c r="APW120" s="172"/>
      <c r="APX120" s="172"/>
      <c r="APY120" s="172"/>
      <c r="APZ120" s="172"/>
      <c r="AQA120" s="172"/>
      <c r="AQB120" s="172"/>
      <c r="AQC120" s="172"/>
      <c r="AQD120" s="172"/>
      <c r="AQE120" s="172"/>
      <c r="AQF120" s="172"/>
      <c r="AQG120" s="172"/>
      <c r="AQH120" s="172"/>
      <c r="AQI120" s="172"/>
      <c r="AQJ120" s="172"/>
      <c r="AQK120" s="172"/>
      <c r="AQL120" s="172"/>
      <c r="AQM120" s="172"/>
      <c r="AQN120" s="172"/>
      <c r="AQO120" s="172"/>
      <c r="AQP120" s="172"/>
      <c r="AQQ120" s="172"/>
      <c r="AQR120" s="172"/>
      <c r="AQS120" s="172"/>
      <c r="AQT120" s="172"/>
      <c r="AQU120" s="172"/>
      <c r="AQV120" s="172"/>
      <c r="AQW120" s="172"/>
      <c r="AQX120" s="172"/>
      <c r="AQY120" s="172"/>
      <c r="AQZ120" s="172"/>
      <c r="ARA120" s="172"/>
      <c r="ARB120" s="172"/>
      <c r="ARC120" s="172"/>
      <c r="ARD120" s="172"/>
      <c r="ARE120" s="172"/>
      <c r="ARF120" s="172"/>
      <c r="ARG120" s="172"/>
      <c r="ARH120" s="172"/>
      <c r="ARI120" s="172"/>
      <c r="ARJ120" s="172"/>
      <c r="ARK120" s="172"/>
      <c r="ARL120" s="172"/>
      <c r="ARM120" s="172"/>
      <c r="ARN120" s="172"/>
      <c r="ARO120" s="172"/>
      <c r="ARP120" s="172"/>
      <c r="ARQ120" s="172"/>
      <c r="ARR120" s="172"/>
      <c r="ARS120" s="172"/>
      <c r="ART120" s="172"/>
      <c r="ARU120" s="172"/>
    </row>
    <row r="121" spans="1:1165" s="257" customFormat="1">
      <c r="A121" s="222" t="s">
        <v>237</v>
      </c>
      <c r="B121" s="195" t="s">
        <v>87</v>
      </c>
      <c r="C121" s="258"/>
      <c r="D121" s="258"/>
      <c r="E121" s="198">
        <v>0</v>
      </c>
      <c r="F121" s="198">
        <v>30084556</v>
      </c>
      <c r="G121" s="198">
        <v>0</v>
      </c>
      <c r="H121" s="198">
        <v>29636688</v>
      </c>
      <c r="I121" s="198">
        <v>51</v>
      </c>
      <c r="J121" s="198">
        <v>34285775</v>
      </c>
      <c r="K121" s="198">
        <v>0</v>
      </c>
      <c r="L121" s="198">
        <v>25149796</v>
      </c>
      <c r="M121" s="198">
        <v>140</v>
      </c>
      <c r="N121" s="198">
        <v>53989350</v>
      </c>
      <c r="O121" s="198">
        <v>0</v>
      </c>
      <c r="P121" s="198">
        <v>60358281</v>
      </c>
      <c r="Q121" s="196">
        <v>53</v>
      </c>
      <c r="R121" s="198">
        <v>65581056</v>
      </c>
      <c r="S121" s="211">
        <v>0</v>
      </c>
      <c r="T121" s="211">
        <v>0</v>
      </c>
      <c r="U121" s="211">
        <v>0</v>
      </c>
      <c r="V121" s="211">
        <v>0</v>
      </c>
      <c r="W121" s="211">
        <v>0</v>
      </c>
      <c r="X121" s="211">
        <v>0</v>
      </c>
      <c r="Y121" s="211">
        <v>0</v>
      </c>
      <c r="Z121" s="211">
        <v>0</v>
      </c>
      <c r="AA121" s="211">
        <v>0</v>
      </c>
      <c r="AB121" s="211">
        <v>0</v>
      </c>
      <c r="AC121" s="211">
        <v>0</v>
      </c>
      <c r="AD121" s="211">
        <v>0</v>
      </c>
      <c r="AE121" s="211">
        <v>0</v>
      </c>
      <c r="AF121" s="211">
        <v>0</v>
      </c>
      <c r="AG121" s="211">
        <v>0</v>
      </c>
      <c r="AH121" s="211">
        <v>0</v>
      </c>
      <c r="AI121" s="211">
        <v>0</v>
      </c>
      <c r="AJ121" s="211">
        <v>0</v>
      </c>
      <c r="AK121" s="211">
        <v>0</v>
      </c>
      <c r="AL121" s="211">
        <v>0</v>
      </c>
      <c r="AM121" s="211">
        <v>0</v>
      </c>
      <c r="AN121" s="211">
        <v>0</v>
      </c>
      <c r="AO121" s="211">
        <v>0</v>
      </c>
      <c r="AP121" s="211">
        <v>0</v>
      </c>
      <c r="AQ121" s="211">
        <v>0</v>
      </c>
      <c r="AR121" s="211">
        <v>0</v>
      </c>
      <c r="AS121" s="211">
        <v>0</v>
      </c>
      <c r="AT121" s="211">
        <v>0</v>
      </c>
      <c r="AU121" s="211">
        <v>0</v>
      </c>
      <c r="AV121" s="211">
        <v>0</v>
      </c>
      <c r="AW121" s="211">
        <v>0</v>
      </c>
      <c r="AX121" s="211">
        <v>0</v>
      </c>
      <c r="AY121" s="198">
        <v>0</v>
      </c>
      <c r="AZ121" s="198">
        <v>0</v>
      </c>
      <c r="BA121" s="227"/>
      <c r="BB121" s="198"/>
      <c r="BC121" s="198"/>
      <c r="BD121" s="198"/>
      <c r="BE121" s="198"/>
      <c r="BF121" s="198"/>
      <c r="BG121" s="198"/>
      <c r="BH121" s="198"/>
      <c r="BI121" s="227"/>
      <c r="BJ121" s="250">
        <f t="shared" si="61"/>
        <v>244</v>
      </c>
      <c r="BK121" s="250">
        <f t="shared" si="62"/>
        <v>269000946</v>
      </c>
      <c r="BL121" s="172"/>
      <c r="BM121" s="231"/>
      <c r="BN121" s="231"/>
      <c r="BO121" s="231"/>
      <c r="BP121" s="231"/>
      <c r="BQ121" s="172"/>
      <c r="BR121" s="172"/>
      <c r="BS121" s="172"/>
      <c r="BT121" s="172"/>
      <c r="BU121" s="172"/>
      <c r="BV121" s="172"/>
      <c r="BW121" s="172"/>
      <c r="BX121" s="172"/>
      <c r="BY121" s="172"/>
      <c r="BZ121" s="172"/>
      <c r="CA121" s="172"/>
      <c r="CB121" s="172"/>
      <c r="CC121" s="172"/>
      <c r="CD121" s="172"/>
      <c r="CE121" s="172"/>
      <c r="CF121" s="172"/>
      <c r="CG121" s="172"/>
      <c r="CH121" s="172"/>
      <c r="CI121" s="172"/>
      <c r="CJ121" s="172"/>
      <c r="CK121" s="172"/>
      <c r="CL121" s="172"/>
      <c r="CM121" s="172"/>
      <c r="CN121" s="172"/>
      <c r="CO121" s="172"/>
      <c r="CP121" s="172"/>
      <c r="CQ121" s="172"/>
      <c r="CR121" s="172"/>
      <c r="CS121" s="172"/>
      <c r="CT121" s="172"/>
      <c r="CU121" s="172"/>
      <c r="CV121" s="172"/>
      <c r="CW121" s="172"/>
      <c r="CX121" s="172"/>
      <c r="CY121" s="172"/>
      <c r="CZ121" s="172"/>
      <c r="DA121" s="172"/>
      <c r="DB121" s="172"/>
      <c r="DC121" s="172"/>
      <c r="DD121" s="172"/>
      <c r="DE121" s="172"/>
      <c r="DF121" s="172"/>
      <c r="DG121" s="172"/>
      <c r="DH121" s="172"/>
      <c r="DI121" s="172"/>
      <c r="DJ121" s="172"/>
      <c r="DK121" s="172"/>
      <c r="DL121" s="172"/>
      <c r="DM121" s="172"/>
      <c r="DN121" s="172"/>
      <c r="DO121" s="172"/>
      <c r="DP121" s="172"/>
      <c r="DQ121" s="172"/>
      <c r="DR121" s="172"/>
      <c r="DS121" s="172"/>
      <c r="DT121" s="172"/>
      <c r="DU121" s="172"/>
      <c r="DV121" s="172"/>
      <c r="DW121" s="172"/>
      <c r="DX121" s="172"/>
      <c r="DY121" s="172"/>
      <c r="DZ121" s="172"/>
      <c r="EA121" s="172"/>
      <c r="EB121" s="172"/>
      <c r="EC121" s="172"/>
      <c r="ED121" s="172"/>
      <c r="EE121" s="172"/>
      <c r="EF121" s="172"/>
      <c r="EG121" s="172"/>
      <c r="EH121" s="172"/>
      <c r="EI121" s="172"/>
      <c r="EJ121" s="172"/>
      <c r="EK121" s="172"/>
      <c r="EL121" s="172"/>
      <c r="EM121" s="172"/>
      <c r="EN121" s="172"/>
      <c r="EO121" s="172"/>
      <c r="EP121" s="172"/>
      <c r="EQ121" s="172"/>
      <c r="ER121" s="172"/>
      <c r="ES121" s="172"/>
      <c r="ET121" s="172"/>
      <c r="EU121" s="172"/>
      <c r="EV121" s="172"/>
      <c r="EW121" s="172"/>
      <c r="EX121" s="172"/>
      <c r="EY121" s="172"/>
      <c r="EZ121" s="172"/>
      <c r="FA121" s="172"/>
      <c r="FB121" s="172"/>
      <c r="FC121" s="172"/>
      <c r="FD121" s="172"/>
      <c r="FE121" s="172"/>
      <c r="FF121" s="172"/>
      <c r="FG121" s="172"/>
      <c r="FH121" s="172"/>
      <c r="FI121" s="172"/>
      <c r="FJ121" s="172"/>
      <c r="FK121" s="172"/>
      <c r="FL121" s="172"/>
      <c r="FM121" s="172"/>
      <c r="FN121" s="172"/>
      <c r="FO121" s="172"/>
      <c r="FP121" s="172"/>
      <c r="FQ121" s="172"/>
      <c r="FR121" s="172"/>
      <c r="FS121" s="172"/>
      <c r="FT121" s="172"/>
      <c r="FU121" s="172"/>
      <c r="FV121" s="172"/>
      <c r="FW121" s="172"/>
      <c r="FX121" s="172"/>
      <c r="FY121" s="172"/>
      <c r="FZ121" s="172"/>
      <c r="GA121" s="172"/>
      <c r="GB121" s="172"/>
      <c r="GC121" s="172"/>
      <c r="GD121" s="172"/>
      <c r="GE121" s="172"/>
      <c r="GF121" s="172"/>
      <c r="GG121" s="172"/>
      <c r="GH121" s="172"/>
      <c r="GI121" s="172"/>
      <c r="GJ121" s="172"/>
      <c r="GK121" s="172"/>
      <c r="GL121" s="172"/>
      <c r="GM121" s="172"/>
      <c r="GN121" s="172"/>
      <c r="GO121" s="172"/>
      <c r="GP121" s="172"/>
      <c r="GQ121" s="172"/>
      <c r="GR121" s="172"/>
      <c r="GS121" s="172"/>
      <c r="GT121" s="172"/>
      <c r="GU121" s="172"/>
      <c r="GV121" s="172"/>
      <c r="GW121" s="172"/>
      <c r="GX121" s="172"/>
      <c r="GY121" s="172"/>
      <c r="GZ121" s="172"/>
      <c r="HA121" s="172"/>
      <c r="HB121" s="172"/>
      <c r="HC121" s="172"/>
      <c r="HD121" s="172"/>
      <c r="HE121" s="172"/>
      <c r="HF121" s="172"/>
      <c r="HG121" s="172"/>
      <c r="HH121" s="172"/>
      <c r="HI121" s="172"/>
      <c r="HJ121" s="172"/>
      <c r="HK121" s="172"/>
      <c r="HL121" s="172"/>
      <c r="HM121" s="172"/>
      <c r="HN121" s="172"/>
      <c r="HO121" s="172"/>
      <c r="HP121" s="172"/>
      <c r="HQ121" s="172"/>
      <c r="HR121" s="172"/>
      <c r="HS121" s="172"/>
      <c r="HT121" s="172"/>
      <c r="HU121" s="172"/>
      <c r="HV121" s="172"/>
      <c r="HW121" s="172"/>
      <c r="HX121" s="172"/>
      <c r="HY121" s="172"/>
      <c r="HZ121" s="172"/>
      <c r="IA121" s="172"/>
      <c r="IB121" s="172"/>
      <c r="IC121" s="172"/>
      <c r="ID121" s="172"/>
      <c r="IE121" s="172"/>
      <c r="IF121" s="172"/>
      <c r="IG121" s="172"/>
      <c r="IH121" s="172"/>
      <c r="II121" s="172"/>
      <c r="IJ121" s="172"/>
      <c r="IK121" s="172"/>
      <c r="IL121" s="172"/>
      <c r="IM121" s="172"/>
      <c r="IN121" s="172"/>
      <c r="IO121" s="172"/>
      <c r="IP121" s="172"/>
      <c r="IQ121" s="172"/>
      <c r="IR121" s="172"/>
      <c r="IS121" s="172"/>
      <c r="IT121" s="172"/>
      <c r="IU121" s="172"/>
      <c r="IV121" s="172"/>
      <c r="IW121" s="172"/>
      <c r="IX121" s="172"/>
      <c r="IY121" s="172"/>
      <c r="IZ121" s="172"/>
      <c r="JA121" s="172"/>
      <c r="JB121" s="172"/>
      <c r="JC121" s="172"/>
      <c r="JD121" s="172"/>
      <c r="JE121" s="172"/>
      <c r="JF121" s="172"/>
      <c r="JG121" s="172"/>
      <c r="JH121" s="172"/>
      <c r="JI121" s="172"/>
      <c r="JJ121" s="172"/>
      <c r="JK121" s="172"/>
      <c r="JL121" s="172"/>
      <c r="JM121" s="172"/>
      <c r="JN121" s="172"/>
      <c r="JO121" s="172"/>
      <c r="JP121" s="172"/>
      <c r="JQ121" s="172"/>
      <c r="JR121" s="172"/>
      <c r="JS121" s="172"/>
      <c r="JT121" s="172"/>
      <c r="JU121" s="172"/>
      <c r="JV121" s="172"/>
      <c r="JW121" s="172"/>
      <c r="JX121" s="172"/>
      <c r="JY121" s="172"/>
      <c r="JZ121" s="172"/>
      <c r="KA121" s="172"/>
      <c r="KB121" s="172"/>
      <c r="KC121" s="172"/>
      <c r="KD121" s="172"/>
      <c r="KE121" s="172"/>
      <c r="KF121" s="172"/>
      <c r="KG121" s="172"/>
      <c r="KH121" s="172"/>
      <c r="KI121" s="172"/>
      <c r="KJ121" s="172"/>
      <c r="KK121" s="172"/>
      <c r="KL121" s="172"/>
      <c r="KM121" s="172"/>
      <c r="KN121" s="172"/>
      <c r="KO121" s="172"/>
      <c r="KP121" s="172"/>
      <c r="KQ121" s="172"/>
      <c r="KR121" s="172"/>
      <c r="KS121" s="172"/>
      <c r="KT121" s="172"/>
      <c r="KU121" s="172"/>
      <c r="KV121" s="172"/>
      <c r="KW121" s="172"/>
      <c r="KX121" s="172"/>
      <c r="KY121" s="172"/>
      <c r="KZ121" s="172"/>
      <c r="LA121" s="172"/>
      <c r="LB121" s="172"/>
      <c r="LC121" s="172"/>
      <c r="LD121" s="172"/>
      <c r="LE121" s="172"/>
      <c r="LF121" s="172"/>
      <c r="LG121" s="172"/>
      <c r="LH121" s="172"/>
      <c r="LI121" s="172"/>
      <c r="LJ121" s="172"/>
      <c r="LK121" s="172"/>
      <c r="LL121" s="172"/>
      <c r="LM121" s="172"/>
      <c r="LN121" s="172"/>
      <c r="LO121" s="172"/>
      <c r="LP121" s="172"/>
      <c r="LQ121" s="172"/>
      <c r="LR121" s="172"/>
      <c r="LS121" s="172"/>
      <c r="LT121" s="172"/>
      <c r="LU121" s="172"/>
      <c r="LV121" s="172"/>
      <c r="LW121" s="172"/>
      <c r="LX121" s="172"/>
      <c r="LY121" s="172"/>
      <c r="LZ121" s="172"/>
      <c r="MA121" s="172"/>
      <c r="MB121" s="172"/>
      <c r="MC121" s="172"/>
      <c r="MD121" s="172"/>
      <c r="ME121" s="172"/>
      <c r="MF121" s="172"/>
      <c r="MG121" s="172"/>
      <c r="MH121" s="172"/>
      <c r="MI121" s="172"/>
      <c r="MJ121" s="172"/>
      <c r="MK121" s="172"/>
      <c r="ML121" s="172"/>
      <c r="MM121" s="172"/>
      <c r="MN121" s="172"/>
      <c r="MO121" s="172"/>
      <c r="MP121" s="172"/>
      <c r="MQ121" s="172"/>
      <c r="MR121" s="172"/>
      <c r="MS121" s="172"/>
      <c r="MT121" s="172"/>
      <c r="MU121" s="172"/>
      <c r="MV121" s="172"/>
      <c r="MW121" s="172"/>
      <c r="MX121" s="172"/>
      <c r="MY121" s="172"/>
      <c r="MZ121" s="172"/>
      <c r="NA121" s="172"/>
      <c r="NB121" s="172"/>
      <c r="NC121" s="172"/>
      <c r="ND121" s="172"/>
      <c r="NE121" s="172"/>
      <c r="NF121" s="172"/>
      <c r="NG121" s="172"/>
      <c r="NH121" s="172"/>
      <c r="NI121" s="172"/>
      <c r="NJ121" s="172"/>
      <c r="NK121" s="172"/>
      <c r="NL121" s="172"/>
      <c r="NM121" s="172"/>
      <c r="NN121" s="172"/>
      <c r="NO121" s="172"/>
      <c r="NP121" s="172"/>
      <c r="NQ121" s="172"/>
      <c r="NR121" s="172"/>
      <c r="NS121" s="172"/>
      <c r="NT121" s="172"/>
      <c r="NU121" s="172"/>
      <c r="NV121" s="172"/>
      <c r="NW121" s="172"/>
      <c r="NX121" s="172"/>
      <c r="NY121" s="172"/>
      <c r="NZ121" s="172"/>
      <c r="OA121" s="172"/>
      <c r="OB121" s="172"/>
      <c r="OC121" s="172"/>
      <c r="OD121" s="172"/>
      <c r="OE121" s="172"/>
      <c r="OF121" s="172"/>
      <c r="OG121" s="172"/>
      <c r="OH121" s="172"/>
      <c r="OI121" s="172"/>
      <c r="OJ121" s="172"/>
      <c r="OK121" s="172"/>
      <c r="OL121" s="172"/>
      <c r="OM121" s="172"/>
      <c r="ON121" s="172"/>
      <c r="OO121" s="172"/>
      <c r="OP121" s="172"/>
      <c r="OQ121" s="172"/>
      <c r="OR121" s="172"/>
      <c r="OS121" s="172"/>
      <c r="OT121" s="172"/>
      <c r="OU121" s="172"/>
      <c r="OV121" s="172"/>
      <c r="OW121" s="172"/>
      <c r="OX121" s="172"/>
      <c r="OY121" s="172"/>
      <c r="OZ121" s="172"/>
      <c r="PA121" s="172"/>
      <c r="PB121" s="172"/>
      <c r="PC121" s="172"/>
      <c r="PD121" s="172"/>
      <c r="PE121" s="172"/>
      <c r="PF121" s="172"/>
      <c r="PG121" s="172"/>
      <c r="PH121" s="172"/>
      <c r="PI121" s="172"/>
      <c r="PJ121" s="172"/>
      <c r="PK121" s="172"/>
      <c r="PL121" s="172"/>
      <c r="PM121" s="172"/>
      <c r="PN121" s="172"/>
      <c r="PO121" s="172"/>
      <c r="PP121" s="172"/>
      <c r="PQ121" s="172"/>
      <c r="PR121" s="172"/>
      <c r="PS121" s="172"/>
      <c r="PT121" s="172"/>
      <c r="PU121" s="172"/>
      <c r="PV121" s="172"/>
      <c r="PW121" s="172"/>
      <c r="PX121" s="172"/>
      <c r="PY121" s="172"/>
      <c r="PZ121" s="172"/>
      <c r="QA121" s="172"/>
      <c r="QB121" s="172"/>
      <c r="QC121" s="172"/>
      <c r="QD121" s="172"/>
      <c r="QE121" s="172"/>
      <c r="QF121" s="172"/>
      <c r="QG121" s="172"/>
      <c r="QH121" s="172"/>
      <c r="QI121" s="172"/>
      <c r="QJ121" s="172"/>
      <c r="QK121" s="172"/>
      <c r="QL121" s="172"/>
      <c r="QM121" s="172"/>
      <c r="QN121" s="172"/>
      <c r="QO121" s="172"/>
      <c r="QP121" s="172"/>
      <c r="QQ121" s="172"/>
      <c r="QR121" s="172"/>
      <c r="QS121" s="172"/>
      <c r="QT121" s="172"/>
      <c r="QU121" s="172"/>
      <c r="QV121" s="172"/>
      <c r="QW121" s="172"/>
      <c r="QX121" s="172"/>
      <c r="QY121" s="172"/>
      <c r="QZ121" s="172"/>
      <c r="RA121" s="172"/>
      <c r="RB121" s="172"/>
      <c r="RC121" s="172"/>
      <c r="RD121" s="172"/>
      <c r="RE121" s="172"/>
      <c r="RF121" s="172"/>
      <c r="RG121" s="172"/>
      <c r="RH121" s="172"/>
      <c r="RI121" s="172"/>
      <c r="RJ121" s="172"/>
      <c r="RK121" s="172"/>
      <c r="RL121" s="172"/>
      <c r="RM121" s="172"/>
      <c r="RN121" s="172"/>
      <c r="RO121" s="172"/>
      <c r="RP121" s="172"/>
      <c r="RQ121" s="172"/>
      <c r="RR121" s="172"/>
      <c r="RS121" s="172"/>
      <c r="RT121" s="172"/>
      <c r="RU121" s="172"/>
      <c r="RV121" s="172"/>
      <c r="RW121" s="172"/>
      <c r="RX121" s="172"/>
      <c r="RY121" s="172"/>
      <c r="RZ121" s="172"/>
      <c r="SA121" s="172"/>
      <c r="SB121" s="172"/>
      <c r="SC121" s="172"/>
      <c r="SD121" s="172"/>
      <c r="SE121" s="172"/>
      <c r="SF121" s="172"/>
      <c r="SG121" s="172"/>
      <c r="SH121" s="172"/>
      <c r="SI121" s="172"/>
      <c r="SJ121" s="172"/>
      <c r="SK121" s="172"/>
      <c r="SL121" s="172"/>
      <c r="SM121" s="172"/>
      <c r="SN121" s="172"/>
      <c r="SO121" s="172"/>
      <c r="SP121" s="172"/>
      <c r="SQ121" s="172"/>
      <c r="SR121" s="172"/>
      <c r="SS121" s="172"/>
      <c r="ST121" s="172"/>
      <c r="SU121" s="172"/>
      <c r="SV121" s="172"/>
      <c r="SW121" s="172"/>
      <c r="SX121" s="172"/>
      <c r="SY121" s="172"/>
      <c r="SZ121" s="172"/>
      <c r="TA121" s="172"/>
      <c r="TB121" s="172"/>
      <c r="TC121" s="172"/>
      <c r="TD121" s="172"/>
      <c r="TE121" s="172"/>
      <c r="TF121" s="172"/>
      <c r="TG121" s="172"/>
      <c r="TH121" s="172"/>
      <c r="TI121" s="172"/>
      <c r="TJ121" s="172"/>
      <c r="TK121" s="172"/>
      <c r="TL121" s="172"/>
      <c r="TM121" s="172"/>
      <c r="TN121" s="172"/>
      <c r="TO121" s="172"/>
      <c r="TP121" s="172"/>
      <c r="TQ121" s="172"/>
      <c r="TR121" s="172"/>
      <c r="TS121" s="172"/>
      <c r="TT121" s="172"/>
      <c r="TU121" s="172"/>
      <c r="TV121" s="172"/>
      <c r="TW121" s="172"/>
      <c r="TX121" s="172"/>
      <c r="TY121" s="172"/>
      <c r="TZ121" s="172"/>
      <c r="UA121" s="172"/>
      <c r="UB121" s="172"/>
      <c r="UC121" s="172"/>
      <c r="UD121" s="172"/>
      <c r="UE121" s="172"/>
      <c r="UF121" s="172"/>
      <c r="UG121" s="172"/>
      <c r="UH121" s="172"/>
      <c r="UI121" s="172"/>
      <c r="UJ121" s="172"/>
      <c r="UK121" s="172"/>
      <c r="UL121" s="172"/>
      <c r="UM121" s="172"/>
      <c r="UN121" s="172"/>
      <c r="UO121" s="172"/>
      <c r="UP121" s="172"/>
      <c r="UQ121" s="172"/>
      <c r="UR121" s="172"/>
      <c r="US121" s="172"/>
      <c r="UT121" s="172"/>
      <c r="UU121" s="172"/>
      <c r="UV121" s="172"/>
      <c r="UW121" s="172"/>
      <c r="UX121" s="172"/>
      <c r="UY121" s="172"/>
      <c r="UZ121" s="172"/>
      <c r="VA121" s="172"/>
      <c r="VB121" s="172"/>
      <c r="VC121" s="172"/>
      <c r="VD121" s="172"/>
      <c r="VE121" s="172"/>
      <c r="VF121" s="172"/>
      <c r="VG121" s="172"/>
      <c r="VH121" s="172"/>
      <c r="VI121" s="172"/>
      <c r="VJ121" s="172"/>
      <c r="VK121" s="172"/>
      <c r="VL121" s="172"/>
      <c r="VM121" s="172"/>
      <c r="VN121" s="172"/>
      <c r="VO121" s="172"/>
      <c r="VP121" s="172"/>
      <c r="VQ121" s="172"/>
      <c r="VR121" s="172"/>
      <c r="VS121" s="172"/>
      <c r="VT121" s="172"/>
      <c r="VU121" s="172"/>
      <c r="VV121" s="172"/>
      <c r="VW121" s="172"/>
      <c r="VX121" s="172"/>
      <c r="VY121" s="172"/>
      <c r="VZ121" s="172"/>
      <c r="WA121" s="172"/>
      <c r="WB121" s="172"/>
      <c r="WC121" s="172"/>
      <c r="WD121" s="172"/>
      <c r="WE121" s="172"/>
      <c r="WF121" s="172"/>
      <c r="WG121" s="172"/>
      <c r="WH121" s="172"/>
      <c r="WI121" s="172"/>
      <c r="WJ121" s="172"/>
      <c r="WK121" s="172"/>
      <c r="WL121" s="172"/>
      <c r="WM121" s="172"/>
      <c r="WN121" s="172"/>
      <c r="WO121" s="172"/>
      <c r="WP121" s="172"/>
      <c r="WQ121" s="172"/>
      <c r="WR121" s="172"/>
      <c r="WS121" s="172"/>
      <c r="WT121" s="172"/>
      <c r="WU121" s="172"/>
      <c r="WV121" s="172"/>
      <c r="WW121" s="172"/>
      <c r="WX121" s="172"/>
      <c r="WY121" s="172"/>
      <c r="WZ121" s="172"/>
      <c r="XA121" s="172"/>
      <c r="XB121" s="172"/>
      <c r="XC121" s="172"/>
      <c r="XD121" s="172"/>
      <c r="XE121" s="172"/>
      <c r="XF121" s="172"/>
      <c r="XG121" s="172"/>
      <c r="XH121" s="172"/>
      <c r="XI121" s="172"/>
      <c r="XJ121" s="172"/>
      <c r="XK121" s="172"/>
      <c r="XL121" s="172"/>
      <c r="XM121" s="172"/>
      <c r="XN121" s="172"/>
      <c r="XO121" s="172"/>
      <c r="XP121" s="172"/>
      <c r="XQ121" s="172"/>
      <c r="XR121" s="172"/>
      <c r="XS121" s="172"/>
      <c r="XT121" s="172"/>
      <c r="XU121" s="172"/>
      <c r="XV121" s="172"/>
      <c r="XW121" s="172"/>
      <c r="XX121" s="172"/>
      <c r="XY121" s="172"/>
      <c r="XZ121" s="172"/>
      <c r="YA121" s="172"/>
      <c r="YB121" s="172"/>
      <c r="YC121" s="172"/>
      <c r="YD121" s="172"/>
      <c r="YE121" s="172"/>
      <c r="YF121" s="172"/>
      <c r="YG121" s="172"/>
      <c r="YH121" s="172"/>
      <c r="YI121" s="172"/>
      <c r="YJ121" s="172"/>
      <c r="YK121" s="172"/>
      <c r="YL121" s="172"/>
      <c r="YM121" s="172"/>
      <c r="YN121" s="172"/>
      <c r="YO121" s="172"/>
      <c r="YP121" s="172"/>
      <c r="YQ121" s="172"/>
      <c r="YR121" s="172"/>
      <c r="YS121" s="172"/>
      <c r="YT121" s="172"/>
      <c r="YU121" s="172"/>
      <c r="YV121" s="172"/>
      <c r="YW121" s="172"/>
      <c r="YX121" s="172"/>
      <c r="YY121" s="172"/>
      <c r="YZ121" s="172"/>
      <c r="ZA121" s="172"/>
      <c r="ZB121" s="172"/>
      <c r="ZC121" s="172"/>
      <c r="ZD121" s="172"/>
      <c r="ZE121" s="172"/>
      <c r="ZF121" s="172"/>
      <c r="ZG121" s="172"/>
      <c r="ZH121" s="172"/>
      <c r="ZI121" s="172"/>
      <c r="ZJ121" s="172"/>
      <c r="ZK121" s="172"/>
      <c r="ZL121" s="172"/>
      <c r="ZM121" s="172"/>
      <c r="ZN121" s="172"/>
      <c r="ZO121" s="172"/>
      <c r="ZP121" s="172"/>
      <c r="ZQ121" s="172"/>
      <c r="ZR121" s="172"/>
      <c r="ZS121" s="172"/>
      <c r="ZT121" s="172"/>
      <c r="ZU121" s="172"/>
      <c r="ZV121" s="172"/>
      <c r="ZW121" s="172"/>
      <c r="ZX121" s="172"/>
      <c r="ZY121" s="172"/>
      <c r="ZZ121" s="172"/>
      <c r="AAA121" s="172"/>
      <c r="AAB121" s="172"/>
      <c r="AAC121" s="172"/>
      <c r="AAD121" s="172"/>
      <c r="AAE121" s="172"/>
      <c r="AAF121" s="172"/>
      <c r="AAG121" s="172"/>
      <c r="AAH121" s="172"/>
      <c r="AAI121" s="172"/>
      <c r="AAJ121" s="172"/>
      <c r="AAK121" s="172"/>
      <c r="AAL121" s="172"/>
      <c r="AAM121" s="172"/>
      <c r="AAN121" s="172"/>
      <c r="AAO121" s="172"/>
      <c r="AAP121" s="172"/>
      <c r="AAQ121" s="172"/>
      <c r="AAR121" s="172"/>
      <c r="AAS121" s="172"/>
      <c r="AAT121" s="172"/>
      <c r="AAU121" s="172"/>
      <c r="AAV121" s="172"/>
      <c r="AAW121" s="172"/>
      <c r="AAX121" s="172"/>
      <c r="AAY121" s="172"/>
      <c r="AAZ121" s="172"/>
      <c r="ABA121" s="172"/>
      <c r="ABB121" s="172"/>
      <c r="ABC121" s="172"/>
      <c r="ABD121" s="172"/>
      <c r="ABE121" s="172"/>
      <c r="ABF121" s="172"/>
      <c r="ABG121" s="172"/>
      <c r="ABH121" s="172"/>
      <c r="ABI121" s="172"/>
      <c r="ABJ121" s="172"/>
      <c r="ABK121" s="172"/>
      <c r="ABL121" s="172"/>
      <c r="ABM121" s="172"/>
      <c r="ABN121" s="172"/>
      <c r="ABO121" s="172"/>
      <c r="ABP121" s="172"/>
      <c r="ABQ121" s="172"/>
      <c r="ABR121" s="172"/>
      <c r="ABS121" s="172"/>
      <c r="ABT121" s="172"/>
      <c r="ABU121" s="172"/>
      <c r="ABV121" s="172"/>
      <c r="ABW121" s="172"/>
      <c r="ABX121" s="172"/>
      <c r="ABY121" s="172"/>
      <c r="ABZ121" s="172"/>
      <c r="ACA121" s="172"/>
      <c r="ACB121" s="172"/>
      <c r="ACC121" s="172"/>
      <c r="ACD121" s="172"/>
      <c r="ACE121" s="172"/>
      <c r="ACF121" s="172"/>
      <c r="ACG121" s="172"/>
      <c r="ACH121" s="172"/>
      <c r="ACI121" s="172"/>
      <c r="ACJ121" s="172"/>
      <c r="ACK121" s="172"/>
      <c r="ACL121" s="172"/>
      <c r="ACM121" s="172"/>
      <c r="ACN121" s="172"/>
      <c r="ACO121" s="172"/>
      <c r="ACP121" s="172"/>
      <c r="ACQ121" s="172"/>
      <c r="ACR121" s="172"/>
      <c r="ACS121" s="172"/>
      <c r="ACT121" s="172"/>
      <c r="ACU121" s="172"/>
      <c r="ACV121" s="172"/>
      <c r="ACW121" s="172"/>
      <c r="ACX121" s="172"/>
      <c r="ACY121" s="172"/>
      <c r="ACZ121" s="172"/>
      <c r="ADA121" s="172"/>
      <c r="ADB121" s="172"/>
      <c r="ADC121" s="172"/>
      <c r="ADD121" s="172"/>
      <c r="ADE121" s="172"/>
      <c r="ADF121" s="172"/>
      <c r="ADG121" s="172"/>
      <c r="ADH121" s="172"/>
      <c r="ADI121" s="172"/>
      <c r="ADJ121" s="172"/>
      <c r="ADK121" s="172"/>
      <c r="ADL121" s="172"/>
      <c r="ADM121" s="172"/>
      <c r="ADN121" s="172"/>
      <c r="ADO121" s="172"/>
      <c r="ADP121" s="172"/>
      <c r="ADQ121" s="172"/>
      <c r="ADR121" s="172"/>
      <c r="ADS121" s="172"/>
      <c r="ADT121" s="172"/>
      <c r="ADU121" s="172"/>
      <c r="ADV121" s="172"/>
      <c r="ADW121" s="172"/>
      <c r="ADX121" s="172"/>
      <c r="ADY121" s="172"/>
      <c r="ADZ121" s="172"/>
      <c r="AEA121" s="172"/>
      <c r="AEB121" s="172"/>
      <c r="AEC121" s="172"/>
      <c r="AED121" s="172"/>
      <c r="AEE121" s="172"/>
      <c r="AEF121" s="172"/>
      <c r="AEG121" s="172"/>
      <c r="AEH121" s="172"/>
      <c r="AEI121" s="172"/>
      <c r="AEJ121" s="172"/>
      <c r="AEK121" s="172"/>
      <c r="AEL121" s="172"/>
      <c r="AEM121" s="172"/>
      <c r="AEN121" s="172"/>
      <c r="AEO121" s="172"/>
      <c r="AEP121" s="172"/>
      <c r="AEQ121" s="172"/>
      <c r="AER121" s="172"/>
      <c r="AES121" s="172"/>
      <c r="AET121" s="172"/>
      <c r="AEU121" s="172"/>
      <c r="AEV121" s="172"/>
      <c r="AEW121" s="172"/>
      <c r="AEX121" s="172"/>
      <c r="AEY121" s="172"/>
      <c r="AEZ121" s="172"/>
      <c r="AFA121" s="172"/>
      <c r="AFB121" s="172"/>
      <c r="AFC121" s="172"/>
      <c r="AFD121" s="172"/>
      <c r="AFE121" s="172"/>
      <c r="AFF121" s="172"/>
      <c r="AFG121" s="172"/>
      <c r="AFH121" s="172"/>
      <c r="AFI121" s="172"/>
      <c r="AFJ121" s="172"/>
      <c r="AFK121" s="172"/>
      <c r="AFL121" s="172"/>
      <c r="AFM121" s="172"/>
      <c r="AFN121" s="172"/>
      <c r="AFO121" s="172"/>
      <c r="AFP121" s="172"/>
      <c r="AFQ121" s="172"/>
      <c r="AFR121" s="172"/>
      <c r="AFS121" s="172"/>
      <c r="AFT121" s="172"/>
      <c r="AFU121" s="172"/>
      <c r="AFV121" s="172"/>
      <c r="AFW121" s="172"/>
      <c r="AFX121" s="172"/>
      <c r="AFY121" s="172"/>
      <c r="AFZ121" s="172"/>
      <c r="AGA121" s="172"/>
      <c r="AGB121" s="172"/>
      <c r="AGC121" s="172"/>
      <c r="AGD121" s="172"/>
      <c r="AGE121" s="172"/>
      <c r="AGF121" s="172"/>
      <c r="AGG121" s="172"/>
      <c r="AGH121" s="172"/>
      <c r="AGI121" s="172"/>
      <c r="AGJ121" s="172"/>
      <c r="AGK121" s="172"/>
      <c r="AGL121" s="172"/>
      <c r="AGM121" s="172"/>
      <c r="AGN121" s="172"/>
      <c r="AGO121" s="172"/>
      <c r="AGP121" s="172"/>
      <c r="AGQ121" s="172"/>
      <c r="AGR121" s="172"/>
      <c r="AGS121" s="172"/>
      <c r="AGT121" s="172"/>
      <c r="AGU121" s="172"/>
      <c r="AGV121" s="172"/>
      <c r="AGW121" s="172"/>
      <c r="AGX121" s="172"/>
      <c r="AGY121" s="172"/>
      <c r="AGZ121" s="172"/>
      <c r="AHA121" s="172"/>
      <c r="AHB121" s="172"/>
      <c r="AHC121" s="172"/>
      <c r="AHD121" s="172"/>
      <c r="AHE121" s="172"/>
      <c r="AHF121" s="172"/>
      <c r="AHG121" s="172"/>
      <c r="AHH121" s="172"/>
      <c r="AHI121" s="172"/>
      <c r="AHJ121" s="172"/>
      <c r="AHK121" s="172"/>
      <c r="AHL121" s="172"/>
      <c r="AHM121" s="172"/>
      <c r="AHN121" s="172"/>
      <c r="AHO121" s="172"/>
      <c r="AHP121" s="172"/>
      <c r="AHQ121" s="172"/>
      <c r="AHR121" s="172"/>
      <c r="AHS121" s="172"/>
      <c r="AHT121" s="172"/>
      <c r="AHU121" s="172"/>
      <c r="AHV121" s="172"/>
      <c r="AHW121" s="172"/>
      <c r="AHX121" s="172"/>
      <c r="AHY121" s="172"/>
      <c r="AHZ121" s="172"/>
      <c r="AIA121" s="172"/>
      <c r="AIB121" s="172"/>
      <c r="AIC121" s="172"/>
      <c r="AID121" s="172"/>
      <c r="AIE121" s="172"/>
      <c r="AIF121" s="172"/>
      <c r="AIG121" s="172"/>
      <c r="AIH121" s="172"/>
      <c r="AII121" s="172"/>
      <c r="AIJ121" s="172"/>
      <c r="AIK121" s="172"/>
      <c r="AIL121" s="172"/>
      <c r="AIM121" s="172"/>
      <c r="AIN121" s="172"/>
      <c r="AIO121" s="172"/>
      <c r="AIP121" s="172"/>
      <c r="AIQ121" s="172"/>
      <c r="AIR121" s="172"/>
      <c r="AIS121" s="172"/>
      <c r="AIT121" s="172"/>
      <c r="AIU121" s="172"/>
      <c r="AIV121" s="172"/>
      <c r="AIW121" s="172"/>
      <c r="AIX121" s="172"/>
      <c r="AIY121" s="172"/>
      <c r="AIZ121" s="172"/>
      <c r="AJA121" s="172"/>
      <c r="AJB121" s="172"/>
      <c r="AJC121" s="172"/>
      <c r="AJD121" s="172"/>
      <c r="AJE121" s="172"/>
      <c r="AJF121" s="172"/>
      <c r="AJG121" s="172"/>
      <c r="AJH121" s="172"/>
      <c r="AJI121" s="172"/>
      <c r="AJJ121" s="172"/>
      <c r="AJK121" s="172"/>
      <c r="AJL121" s="172"/>
      <c r="AJM121" s="172"/>
      <c r="AJN121" s="172"/>
      <c r="AJO121" s="172"/>
      <c r="AJP121" s="172"/>
      <c r="AJQ121" s="172"/>
      <c r="AJR121" s="172"/>
      <c r="AJS121" s="172"/>
      <c r="AJT121" s="172"/>
      <c r="AJU121" s="172"/>
      <c r="AJV121" s="172"/>
      <c r="AJW121" s="172"/>
      <c r="AJX121" s="172"/>
      <c r="AJY121" s="172"/>
      <c r="AJZ121" s="172"/>
      <c r="AKA121" s="172"/>
      <c r="AKB121" s="172"/>
      <c r="AKC121" s="172"/>
      <c r="AKD121" s="172"/>
      <c r="AKE121" s="172"/>
      <c r="AKF121" s="172"/>
      <c r="AKG121" s="172"/>
      <c r="AKH121" s="172"/>
      <c r="AKI121" s="172"/>
      <c r="AKJ121" s="172"/>
      <c r="AKK121" s="172"/>
      <c r="AKL121" s="172"/>
      <c r="AKM121" s="172"/>
      <c r="AKN121" s="172"/>
      <c r="AKO121" s="172"/>
      <c r="AKP121" s="172"/>
      <c r="AKQ121" s="172"/>
      <c r="AKR121" s="172"/>
      <c r="AKS121" s="172"/>
      <c r="AKT121" s="172"/>
      <c r="AKU121" s="172"/>
      <c r="AKV121" s="172"/>
      <c r="AKW121" s="172"/>
      <c r="AKX121" s="172"/>
      <c r="AKY121" s="172"/>
      <c r="AKZ121" s="172"/>
      <c r="ALA121" s="172"/>
      <c r="ALB121" s="172"/>
      <c r="ALC121" s="172"/>
      <c r="ALD121" s="172"/>
      <c r="ALE121" s="172"/>
      <c r="ALF121" s="172"/>
      <c r="ALG121" s="172"/>
      <c r="ALH121" s="172"/>
      <c r="ALI121" s="172"/>
      <c r="ALJ121" s="172"/>
      <c r="ALK121" s="172"/>
      <c r="ALL121" s="172"/>
      <c r="ALM121" s="172"/>
      <c r="ALN121" s="172"/>
      <c r="ALO121" s="172"/>
      <c r="ALP121" s="172"/>
      <c r="ALQ121" s="172"/>
      <c r="ALR121" s="172"/>
      <c r="ALS121" s="172"/>
      <c r="ALT121" s="172"/>
      <c r="ALU121" s="172"/>
      <c r="ALV121" s="172"/>
      <c r="ALW121" s="172"/>
      <c r="ALX121" s="172"/>
      <c r="ALY121" s="172"/>
      <c r="ALZ121" s="172"/>
      <c r="AMA121" s="172"/>
      <c r="AMB121" s="172"/>
      <c r="AMC121" s="172"/>
      <c r="AMD121" s="172"/>
      <c r="AME121" s="172"/>
      <c r="AMF121" s="172"/>
      <c r="AMG121" s="172"/>
      <c r="AMH121" s="172"/>
      <c r="AMI121" s="172"/>
      <c r="AMJ121" s="172"/>
      <c r="AMK121" s="172"/>
      <c r="AML121" s="172"/>
      <c r="AMM121" s="172"/>
      <c r="AMN121" s="172"/>
      <c r="AMO121" s="172"/>
      <c r="AMP121" s="172"/>
      <c r="AMQ121" s="172"/>
      <c r="AMR121" s="172"/>
      <c r="AMS121" s="172"/>
      <c r="AMT121" s="172"/>
      <c r="AMU121" s="172"/>
      <c r="AMV121" s="172"/>
      <c r="AMW121" s="172"/>
      <c r="AMX121" s="172"/>
      <c r="AMY121" s="172"/>
      <c r="AMZ121" s="172"/>
      <c r="ANA121" s="172"/>
      <c r="ANB121" s="172"/>
      <c r="ANC121" s="172"/>
      <c r="AND121" s="172"/>
      <c r="ANE121" s="172"/>
      <c r="ANF121" s="172"/>
      <c r="ANG121" s="172"/>
      <c r="ANH121" s="172"/>
      <c r="ANI121" s="172"/>
      <c r="ANJ121" s="172"/>
      <c r="ANK121" s="172"/>
      <c r="ANL121" s="172"/>
      <c r="ANM121" s="172"/>
      <c r="ANN121" s="172"/>
      <c r="ANO121" s="172"/>
      <c r="ANP121" s="172"/>
      <c r="ANQ121" s="172"/>
      <c r="ANR121" s="172"/>
      <c r="ANS121" s="172"/>
      <c r="ANT121" s="172"/>
      <c r="ANU121" s="172"/>
      <c r="ANV121" s="172"/>
      <c r="ANW121" s="172"/>
      <c r="ANX121" s="172"/>
      <c r="ANY121" s="172"/>
      <c r="ANZ121" s="172"/>
      <c r="AOA121" s="172"/>
      <c r="AOB121" s="172"/>
      <c r="AOC121" s="172"/>
      <c r="AOD121" s="172"/>
      <c r="AOE121" s="172"/>
      <c r="AOF121" s="172"/>
      <c r="AOG121" s="172"/>
      <c r="AOH121" s="172"/>
      <c r="AOI121" s="172"/>
      <c r="AOJ121" s="172"/>
      <c r="AOK121" s="172"/>
      <c r="AOL121" s="172"/>
      <c r="AOM121" s="172"/>
      <c r="AON121" s="172"/>
      <c r="AOO121" s="172"/>
      <c r="AOP121" s="172"/>
      <c r="AOQ121" s="172"/>
      <c r="AOR121" s="172"/>
      <c r="AOS121" s="172"/>
      <c r="AOT121" s="172"/>
      <c r="AOU121" s="172"/>
      <c r="AOV121" s="172"/>
      <c r="AOW121" s="172"/>
      <c r="AOX121" s="172"/>
      <c r="AOY121" s="172"/>
      <c r="AOZ121" s="172"/>
      <c r="APA121" s="172"/>
      <c r="APB121" s="172"/>
      <c r="APC121" s="172"/>
      <c r="APD121" s="172"/>
      <c r="APE121" s="172"/>
      <c r="APF121" s="172"/>
      <c r="APG121" s="172"/>
      <c r="APH121" s="172"/>
      <c r="API121" s="172"/>
      <c r="APJ121" s="172"/>
      <c r="APK121" s="172"/>
      <c r="APL121" s="172"/>
      <c r="APM121" s="172"/>
      <c r="APN121" s="172"/>
      <c r="APO121" s="172"/>
      <c r="APP121" s="172"/>
      <c r="APQ121" s="172"/>
      <c r="APR121" s="172"/>
      <c r="APS121" s="172"/>
      <c r="APT121" s="172"/>
      <c r="APU121" s="172"/>
      <c r="APV121" s="172"/>
      <c r="APW121" s="172"/>
      <c r="APX121" s="172"/>
      <c r="APY121" s="172"/>
      <c r="APZ121" s="172"/>
      <c r="AQA121" s="172"/>
      <c r="AQB121" s="172"/>
      <c r="AQC121" s="172"/>
      <c r="AQD121" s="172"/>
      <c r="AQE121" s="172"/>
      <c r="AQF121" s="172"/>
      <c r="AQG121" s="172"/>
      <c r="AQH121" s="172"/>
      <c r="AQI121" s="172"/>
      <c r="AQJ121" s="172"/>
      <c r="AQK121" s="172"/>
      <c r="AQL121" s="172"/>
      <c r="AQM121" s="172"/>
      <c r="AQN121" s="172"/>
      <c r="AQO121" s="172"/>
      <c r="AQP121" s="172"/>
      <c r="AQQ121" s="172"/>
      <c r="AQR121" s="172"/>
      <c r="AQS121" s="172"/>
      <c r="AQT121" s="172"/>
      <c r="AQU121" s="172"/>
      <c r="AQV121" s="172"/>
      <c r="AQW121" s="172"/>
      <c r="AQX121" s="172"/>
      <c r="AQY121" s="172"/>
      <c r="AQZ121" s="172"/>
      <c r="ARA121" s="172"/>
      <c r="ARB121" s="172"/>
      <c r="ARC121" s="172"/>
      <c r="ARD121" s="172"/>
      <c r="ARE121" s="172"/>
      <c r="ARF121" s="172"/>
      <c r="ARG121" s="172"/>
      <c r="ARH121" s="172"/>
      <c r="ARI121" s="172"/>
      <c r="ARJ121" s="172"/>
      <c r="ARK121" s="172"/>
      <c r="ARL121" s="172"/>
      <c r="ARM121" s="172"/>
      <c r="ARN121" s="172"/>
      <c r="ARO121" s="172"/>
      <c r="ARP121" s="172"/>
      <c r="ARQ121" s="172"/>
      <c r="ARR121" s="172"/>
      <c r="ARS121" s="172"/>
      <c r="ART121" s="172"/>
      <c r="ARU121" s="172"/>
    </row>
    <row r="122" spans="1:1165" s="257" customFormat="1">
      <c r="A122" s="222" t="s">
        <v>421</v>
      </c>
      <c r="B122" s="195" t="s">
        <v>87</v>
      </c>
      <c r="C122" s="198">
        <v>0</v>
      </c>
      <c r="D122" s="198">
        <v>0</v>
      </c>
      <c r="E122" s="198">
        <v>48992</v>
      </c>
      <c r="F122" s="198">
        <v>0</v>
      </c>
      <c r="G122" s="198">
        <v>40307</v>
      </c>
      <c r="H122" s="198"/>
      <c r="I122" s="198">
        <v>35704</v>
      </c>
      <c r="J122" s="198"/>
      <c r="K122" s="198">
        <v>10044</v>
      </c>
      <c r="L122" s="198"/>
      <c r="M122" s="198">
        <v>72133</v>
      </c>
      <c r="N122" s="198"/>
      <c r="O122" s="198">
        <v>71618</v>
      </c>
      <c r="P122" s="198"/>
      <c r="Q122" s="198">
        <v>58874</v>
      </c>
      <c r="R122" s="198"/>
      <c r="S122" s="198">
        <v>134866</v>
      </c>
      <c r="T122" s="198">
        <v>49990491</v>
      </c>
      <c r="U122" s="211">
        <v>183499</v>
      </c>
      <c r="V122" s="211">
        <v>69153310</v>
      </c>
      <c r="W122" s="211">
        <v>261603</v>
      </c>
      <c r="X122" s="211">
        <v>115530022</v>
      </c>
      <c r="Y122" s="211">
        <v>249265</v>
      </c>
      <c r="Z122" s="211">
        <v>120772694</v>
      </c>
      <c r="AA122" s="226">
        <v>317958</v>
      </c>
      <c r="AB122" s="226">
        <v>162169871</v>
      </c>
      <c r="AC122" s="211">
        <v>334480</v>
      </c>
      <c r="AD122" s="211">
        <v>157877255</v>
      </c>
      <c r="AE122" s="196">
        <v>308601</v>
      </c>
      <c r="AF122" s="196">
        <v>143534559</v>
      </c>
      <c r="AG122" s="196">
        <v>357528</v>
      </c>
      <c r="AH122" s="196">
        <v>164534101</v>
      </c>
      <c r="AI122" s="196">
        <v>452736</v>
      </c>
      <c r="AJ122" s="196">
        <v>215433965</v>
      </c>
      <c r="AK122" s="260">
        <v>367525</v>
      </c>
      <c r="AL122" s="260">
        <v>181809730</v>
      </c>
      <c r="AM122" s="261">
        <v>471866</v>
      </c>
      <c r="AN122" s="261">
        <v>237850873</v>
      </c>
      <c r="AO122" s="196">
        <v>529484</v>
      </c>
      <c r="AP122" s="196">
        <v>289787359</v>
      </c>
      <c r="AQ122" s="196">
        <v>522933</v>
      </c>
      <c r="AR122" s="196">
        <v>288013089.63850319</v>
      </c>
      <c r="AS122" s="196">
        <v>617533.93939393933</v>
      </c>
      <c r="AT122" s="196">
        <v>377504480.30203307</v>
      </c>
      <c r="AU122" s="226">
        <v>646458.78787878784</v>
      </c>
      <c r="AV122" s="226">
        <v>418660054.64841866</v>
      </c>
      <c r="AW122" s="211">
        <v>586993.33333333337</v>
      </c>
      <c r="AX122" s="211">
        <v>353672268</v>
      </c>
      <c r="AY122" s="198">
        <v>556253.33333333337</v>
      </c>
      <c r="AZ122" s="198">
        <v>310349363</v>
      </c>
      <c r="BA122" s="263"/>
      <c r="BB122" s="198"/>
      <c r="BC122" s="263"/>
      <c r="BD122" s="198"/>
      <c r="BE122" s="263"/>
      <c r="BF122" s="198"/>
      <c r="BG122" s="263"/>
      <c r="BH122" s="198"/>
      <c r="BI122" s="263"/>
      <c r="BJ122" s="250">
        <f t="shared" si="61"/>
        <v>7188263.3939393936</v>
      </c>
      <c r="BK122" s="250">
        <f t="shared" si="62"/>
        <v>3656643485.5889549</v>
      </c>
      <c r="BL122" s="172"/>
      <c r="BM122" s="231"/>
      <c r="BN122" s="231"/>
      <c r="BO122" s="231"/>
      <c r="BP122" s="231"/>
      <c r="BQ122" s="172"/>
      <c r="BR122" s="172"/>
      <c r="BS122" s="172"/>
      <c r="BT122" s="172"/>
      <c r="BU122" s="172"/>
      <c r="BV122" s="172"/>
      <c r="BW122" s="172"/>
      <c r="BX122" s="172"/>
      <c r="BY122" s="172"/>
      <c r="BZ122" s="172"/>
      <c r="CA122" s="172"/>
      <c r="CB122" s="172"/>
      <c r="CC122" s="172"/>
      <c r="CD122" s="172"/>
      <c r="CE122" s="172"/>
      <c r="CF122" s="172"/>
      <c r="CG122" s="172"/>
      <c r="CH122" s="172"/>
      <c r="CI122" s="172"/>
      <c r="CJ122" s="172"/>
      <c r="CK122" s="172"/>
      <c r="CL122" s="172"/>
      <c r="CM122" s="172"/>
      <c r="CN122" s="172"/>
      <c r="CO122" s="172"/>
      <c r="CP122" s="172"/>
      <c r="CQ122" s="172"/>
      <c r="CR122" s="172"/>
      <c r="CS122" s="172"/>
      <c r="CT122" s="172"/>
      <c r="CU122" s="172"/>
      <c r="CV122" s="172"/>
      <c r="CW122" s="172"/>
      <c r="CX122" s="172"/>
      <c r="CY122" s="172"/>
      <c r="CZ122" s="172"/>
      <c r="DA122" s="172"/>
      <c r="DB122" s="172"/>
      <c r="DC122" s="172"/>
      <c r="DD122" s="172"/>
      <c r="DE122" s="172"/>
      <c r="DF122" s="172"/>
      <c r="DG122" s="172"/>
      <c r="DH122" s="172"/>
      <c r="DI122" s="172"/>
      <c r="DJ122" s="172"/>
      <c r="DK122" s="172"/>
      <c r="DL122" s="172"/>
      <c r="DM122" s="172"/>
      <c r="DN122" s="172"/>
      <c r="DO122" s="172"/>
      <c r="DP122" s="172"/>
      <c r="DQ122" s="172"/>
      <c r="DR122" s="172"/>
      <c r="DS122" s="172"/>
      <c r="DT122" s="172"/>
      <c r="DU122" s="172"/>
      <c r="DV122" s="172"/>
      <c r="DW122" s="172"/>
      <c r="DX122" s="172"/>
      <c r="DY122" s="172"/>
      <c r="DZ122" s="172"/>
      <c r="EA122" s="172"/>
      <c r="EB122" s="172"/>
      <c r="EC122" s="172"/>
      <c r="ED122" s="172"/>
      <c r="EE122" s="172"/>
      <c r="EF122" s="172"/>
      <c r="EG122" s="172"/>
      <c r="EH122" s="172"/>
      <c r="EI122" s="172"/>
      <c r="EJ122" s="172"/>
      <c r="EK122" s="172"/>
      <c r="EL122" s="172"/>
      <c r="EM122" s="172"/>
      <c r="EN122" s="172"/>
      <c r="EO122" s="172"/>
      <c r="EP122" s="172"/>
      <c r="EQ122" s="172"/>
      <c r="ER122" s="172"/>
      <c r="ES122" s="172"/>
      <c r="ET122" s="172"/>
      <c r="EU122" s="172"/>
      <c r="EV122" s="172"/>
      <c r="EW122" s="172"/>
      <c r="EX122" s="172"/>
      <c r="EY122" s="172"/>
      <c r="EZ122" s="172"/>
      <c r="FA122" s="172"/>
      <c r="FB122" s="172"/>
      <c r="FC122" s="172"/>
      <c r="FD122" s="172"/>
      <c r="FE122" s="172"/>
      <c r="FF122" s="172"/>
      <c r="FG122" s="172"/>
      <c r="FH122" s="172"/>
      <c r="FI122" s="172"/>
      <c r="FJ122" s="172"/>
      <c r="FK122" s="172"/>
      <c r="FL122" s="172"/>
      <c r="FM122" s="172"/>
      <c r="FN122" s="172"/>
      <c r="FO122" s="172"/>
      <c r="FP122" s="172"/>
      <c r="FQ122" s="172"/>
      <c r="FR122" s="172"/>
      <c r="FS122" s="172"/>
      <c r="FT122" s="172"/>
      <c r="FU122" s="172"/>
      <c r="FV122" s="172"/>
      <c r="FW122" s="172"/>
      <c r="FX122" s="172"/>
      <c r="FY122" s="172"/>
      <c r="FZ122" s="172"/>
      <c r="GA122" s="172"/>
      <c r="GB122" s="172"/>
      <c r="GC122" s="172"/>
      <c r="GD122" s="172"/>
      <c r="GE122" s="172"/>
      <c r="GF122" s="172"/>
      <c r="GG122" s="172"/>
      <c r="GH122" s="172"/>
      <c r="GI122" s="172"/>
      <c r="GJ122" s="172"/>
      <c r="GK122" s="172"/>
      <c r="GL122" s="172"/>
      <c r="GM122" s="172"/>
      <c r="GN122" s="172"/>
      <c r="GO122" s="172"/>
      <c r="GP122" s="172"/>
      <c r="GQ122" s="172"/>
      <c r="GR122" s="172"/>
      <c r="GS122" s="172"/>
      <c r="GT122" s="172"/>
      <c r="GU122" s="172"/>
      <c r="GV122" s="172"/>
      <c r="GW122" s="172"/>
      <c r="GX122" s="172"/>
      <c r="GY122" s="172"/>
      <c r="GZ122" s="172"/>
      <c r="HA122" s="172"/>
      <c r="HB122" s="172"/>
      <c r="HC122" s="172"/>
      <c r="HD122" s="172"/>
      <c r="HE122" s="172"/>
      <c r="HF122" s="172"/>
      <c r="HG122" s="172"/>
      <c r="HH122" s="172"/>
      <c r="HI122" s="172"/>
      <c r="HJ122" s="172"/>
      <c r="HK122" s="172"/>
      <c r="HL122" s="172"/>
      <c r="HM122" s="172"/>
      <c r="HN122" s="172"/>
      <c r="HO122" s="172"/>
      <c r="HP122" s="172"/>
      <c r="HQ122" s="172"/>
      <c r="HR122" s="172"/>
      <c r="HS122" s="172"/>
      <c r="HT122" s="172"/>
      <c r="HU122" s="172"/>
      <c r="HV122" s="172"/>
      <c r="HW122" s="172"/>
      <c r="HX122" s="172"/>
      <c r="HY122" s="172"/>
      <c r="HZ122" s="172"/>
      <c r="IA122" s="172"/>
      <c r="IB122" s="172"/>
      <c r="IC122" s="172"/>
      <c r="ID122" s="172"/>
      <c r="IE122" s="172"/>
      <c r="IF122" s="172"/>
      <c r="IG122" s="172"/>
      <c r="IH122" s="172"/>
      <c r="II122" s="172"/>
      <c r="IJ122" s="172"/>
      <c r="IK122" s="172"/>
      <c r="IL122" s="172"/>
      <c r="IM122" s="172"/>
      <c r="IN122" s="172"/>
      <c r="IO122" s="172"/>
      <c r="IP122" s="172"/>
      <c r="IQ122" s="172"/>
      <c r="IR122" s="172"/>
      <c r="IS122" s="172"/>
      <c r="IT122" s="172"/>
      <c r="IU122" s="172"/>
      <c r="IV122" s="172"/>
      <c r="IW122" s="172"/>
      <c r="IX122" s="172"/>
      <c r="IY122" s="172"/>
      <c r="IZ122" s="172"/>
      <c r="JA122" s="172"/>
      <c r="JB122" s="172"/>
      <c r="JC122" s="172"/>
      <c r="JD122" s="172"/>
      <c r="JE122" s="172"/>
      <c r="JF122" s="172"/>
      <c r="JG122" s="172"/>
      <c r="JH122" s="172"/>
      <c r="JI122" s="172"/>
      <c r="JJ122" s="172"/>
      <c r="JK122" s="172"/>
      <c r="JL122" s="172"/>
      <c r="JM122" s="172"/>
      <c r="JN122" s="172"/>
      <c r="JO122" s="172"/>
      <c r="JP122" s="172"/>
      <c r="JQ122" s="172"/>
      <c r="JR122" s="172"/>
      <c r="JS122" s="172"/>
      <c r="JT122" s="172"/>
      <c r="JU122" s="172"/>
      <c r="JV122" s="172"/>
      <c r="JW122" s="172"/>
      <c r="JX122" s="172"/>
      <c r="JY122" s="172"/>
      <c r="JZ122" s="172"/>
      <c r="KA122" s="172"/>
      <c r="KB122" s="172"/>
      <c r="KC122" s="172"/>
      <c r="KD122" s="172"/>
      <c r="KE122" s="172"/>
      <c r="KF122" s="172"/>
      <c r="KG122" s="172"/>
      <c r="KH122" s="172"/>
      <c r="KI122" s="172"/>
      <c r="KJ122" s="172"/>
      <c r="KK122" s="172"/>
      <c r="KL122" s="172"/>
      <c r="KM122" s="172"/>
      <c r="KN122" s="172"/>
      <c r="KO122" s="172"/>
      <c r="KP122" s="172"/>
      <c r="KQ122" s="172"/>
      <c r="KR122" s="172"/>
      <c r="KS122" s="172"/>
      <c r="KT122" s="172"/>
      <c r="KU122" s="172"/>
      <c r="KV122" s="172"/>
      <c r="KW122" s="172"/>
      <c r="KX122" s="172"/>
      <c r="KY122" s="172"/>
      <c r="KZ122" s="172"/>
      <c r="LA122" s="172"/>
      <c r="LB122" s="172"/>
      <c r="LC122" s="172"/>
      <c r="LD122" s="172"/>
      <c r="LE122" s="172"/>
      <c r="LF122" s="172"/>
      <c r="LG122" s="172"/>
      <c r="LH122" s="172"/>
      <c r="LI122" s="172"/>
      <c r="LJ122" s="172"/>
      <c r="LK122" s="172"/>
      <c r="LL122" s="172"/>
      <c r="LM122" s="172"/>
      <c r="LN122" s="172"/>
      <c r="LO122" s="172"/>
      <c r="LP122" s="172"/>
      <c r="LQ122" s="172"/>
      <c r="LR122" s="172"/>
      <c r="LS122" s="172"/>
      <c r="LT122" s="172"/>
      <c r="LU122" s="172"/>
      <c r="LV122" s="172"/>
      <c r="LW122" s="172"/>
      <c r="LX122" s="172"/>
      <c r="LY122" s="172"/>
      <c r="LZ122" s="172"/>
      <c r="MA122" s="172"/>
      <c r="MB122" s="172"/>
      <c r="MC122" s="172"/>
      <c r="MD122" s="172"/>
      <c r="ME122" s="172"/>
      <c r="MF122" s="172"/>
      <c r="MG122" s="172"/>
      <c r="MH122" s="172"/>
      <c r="MI122" s="172"/>
      <c r="MJ122" s="172"/>
      <c r="MK122" s="172"/>
      <c r="ML122" s="172"/>
      <c r="MM122" s="172"/>
      <c r="MN122" s="172"/>
      <c r="MO122" s="172"/>
      <c r="MP122" s="172"/>
      <c r="MQ122" s="172"/>
      <c r="MR122" s="172"/>
      <c r="MS122" s="172"/>
      <c r="MT122" s="172"/>
      <c r="MU122" s="172"/>
      <c r="MV122" s="172"/>
      <c r="MW122" s="172"/>
      <c r="MX122" s="172"/>
      <c r="MY122" s="172"/>
      <c r="MZ122" s="172"/>
      <c r="NA122" s="172"/>
      <c r="NB122" s="172"/>
      <c r="NC122" s="172"/>
      <c r="ND122" s="172"/>
      <c r="NE122" s="172"/>
      <c r="NF122" s="172"/>
      <c r="NG122" s="172"/>
      <c r="NH122" s="172"/>
      <c r="NI122" s="172"/>
      <c r="NJ122" s="172"/>
      <c r="NK122" s="172"/>
      <c r="NL122" s="172"/>
      <c r="NM122" s="172"/>
      <c r="NN122" s="172"/>
      <c r="NO122" s="172"/>
      <c r="NP122" s="172"/>
      <c r="NQ122" s="172"/>
      <c r="NR122" s="172"/>
      <c r="NS122" s="172"/>
      <c r="NT122" s="172"/>
      <c r="NU122" s="172"/>
      <c r="NV122" s="172"/>
      <c r="NW122" s="172"/>
      <c r="NX122" s="172"/>
      <c r="NY122" s="172"/>
      <c r="NZ122" s="172"/>
      <c r="OA122" s="172"/>
      <c r="OB122" s="172"/>
      <c r="OC122" s="172"/>
      <c r="OD122" s="172"/>
      <c r="OE122" s="172"/>
      <c r="OF122" s="172"/>
      <c r="OG122" s="172"/>
      <c r="OH122" s="172"/>
      <c r="OI122" s="172"/>
      <c r="OJ122" s="172"/>
      <c r="OK122" s="172"/>
      <c r="OL122" s="172"/>
      <c r="OM122" s="172"/>
      <c r="ON122" s="172"/>
      <c r="OO122" s="172"/>
      <c r="OP122" s="172"/>
      <c r="OQ122" s="172"/>
      <c r="OR122" s="172"/>
      <c r="OS122" s="172"/>
      <c r="OT122" s="172"/>
      <c r="OU122" s="172"/>
      <c r="OV122" s="172"/>
      <c r="OW122" s="172"/>
      <c r="OX122" s="172"/>
      <c r="OY122" s="172"/>
      <c r="OZ122" s="172"/>
      <c r="PA122" s="172"/>
      <c r="PB122" s="172"/>
      <c r="PC122" s="172"/>
      <c r="PD122" s="172"/>
      <c r="PE122" s="172"/>
      <c r="PF122" s="172"/>
      <c r="PG122" s="172"/>
      <c r="PH122" s="172"/>
      <c r="PI122" s="172"/>
      <c r="PJ122" s="172"/>
      <c r="PK122" s="172"/>
      <c r="PL122" s="172"/>
      <c r="PM122" s="172"/>
      <c r="PN122" s="172"/>
      <c r="PO122" s="172"/>
      <c r="PP122" s="172"/>
      <c r="PQ122" s="172"/>
      <c r="PR122" s="172"/>
      <c r="PS122" s="172"/>
      <c r="PT122" s="172"/>
      <c r="PU122" s="172"/>
      <c r="PV122" s="172"/>
      <c r="PW122" s="172"/>
      <c r="PX122" s="172"/>
      <c r="PY122" s="172"/>
      <c r="PZ122" s="172"/>
      <c r="QA122" s="172"/>
      <c r="QB122" s="172"/>
      <c r="QC122" s="172"/>
      <c r="QD122" s="172"/>
      <c r="QE122" s="172"/>
      <c r="QF122" s="172"/>
      <c r="QG122" s="172"/>
      <c r="QH122" s="172"/>
      <c r="QI122" s="172"/>
      <c r="QJ122" s="172"/>
      <c r="QK122" s="172"/>
      <c r="QL122" s="172"/>
      <c r="QM122" s="172"/>
      <c r="QN122" s="172"/>
      <c r="QO122" s="172"/>
      <c r="QP122" s="172"/>
      <c r="QQ122" s="172"/>
      <c r="QR122" s="172"/>
      <c r="QS122" s="172"/>
      <c r="QT122" s="172"/>
      <c r="QU122" s="172"/>
      <c r="QV122" s="172"/>
      <c r="QW122" s="172"/>
      <c r="QX122" s="172"/>
      <c r="QY122" s="172"/>
      <c r="QZ122" s="172"/>
      <c r="RA122" s="172"/>
      <c r="RB122" s="172"/>
      <c r="RC122" s="172"/>
      <c r="RD122" s="172"/>
      <c r="RE122" s="172"/>
      <c r="RF122" s="172"/>
      <c r="RG122" s="172"/>
      <c r="RH122" s="172"/>
      <c r="RI122" s="172"/>
      <c r="RJ122" s="172"/>
      <c r="RK122" s="172"/>
      <c r="RL122" s="172"/>
      <c r="RM122" s="172"/>
      <c r="RN122" s="172"/>
      <c r="RO122" s="172"/>
      <c r="RP122" s="172"/>
      <c r="RQ122" s="172"/>
      <c r="RR122" s="172"/>
      <c r="RS122" s="172"/>
      <c r="RT122" s="172"/>
      <c r="RU122" s="172"/>
      <c r="RV122" s="172"/>
      <c r="RW122" s="172"/>
      <c r="RX122" s="172"/>
      <c r="RY122" s="172"/>
      <c r="RZ122" s="172"/>
      <c r="SA122" s="172"/>
      <c r="SB122" s="172"/>
      <c r="SC122" s="172"/>
      <c r="SD122" s="172"/>
      <c r="SE122" s="172"/>
      <c r="SF122" s="172"/>
      <c r="SG122" s="172"/>
      <c r="SH122" s="172"/>
      <c r="SI122" s="172"/>
      <c r="SJ122" s="172"/>
      <c r="SK122" s="172"/>
      <c r="SL122" s="172"/>
      <c r="SM122" s="172"/>
      <c r="SN122" s="172"/>
      <c r="SO122" s="172"/>
      <c r="SP122" s="172"/>
      <c r="SQ122" s="172"/>
      <c r="SR122" s="172"/>
      <c r="SS122" s="172"/>
      <c r="ST122" s="172"/>
      <c r="SU122" s="172"/>
      <c r="SV122" s="172"/>
      <c r="SW122" s="172"/>
      <c r="SX122" s="172"/>
      <c r="SY122" s="172"/>
      <c r="SZ122" s="172"/>
      <c r="TA122" s="172"/>
      <c r="TB122" s="172"/>
      <c r="TC122" s="172"/>
      <c r="TD122" s="172"/>
      <c r="TE122" s="172"/>
      <c r="TF122" s="172"/>
      <c r="TG122" s="172"/>
      <c r="TH122" s="172"/>
      <c r="TI122" s="172"/>
      <c r="TJ122" s="172"/>
      <c r="TK122" s="172"/>
      <c r="TL122" s="172"/>
      <c r="TM122" s="172"/>
      <c r="TN122" s="172"/>
      <c r="TO122" s="172"/>
      <c r="TP122" s="172"/>
      <c r="TQ122" s="172"/>
      <c r="TR122" s="172"/>
      <c r="TS122" s="172"/>
      <c r="TT122" s="172"/>
      <c r="TU122" s="172"/>
      <c r="TV122" s="172"/>
      <c r="TW122" s="172"/>
      <c r="TX122" s="172"/>
      <c r="TY122" s="172"/>
      <c r="TZ122" s="172"/>
      <c r="UA122" s="172"/>
      <c r="UB122" s="172"/>
      <c r="UC122" s="172"/>
      <c r="UD122" s="172"/>
      <c r="UE122" s="172"/>
      <c r="UF122" s="172"/>
      <c r="UG122" s="172"/>
      <c r="UH122" s="172"/>
      <c r="UI122" s="172"/>
      <c r="UJ122" s="172"/>
      <c r="UK122" s="172"/>
      <c r="UL122" s="172"/>
      <c r="UM122" s="172"/>
      <c r="UN122" s="172"/>
      <c r="UO122" s="172"/>
      <c r="UP122" s="172"/>
      <c r="UQ122" s="172"/>
      <c r="UR122" s="172"/>
      <c r="US122" s="172"/>
      <c r="UT122" s="172"/>
      <c r="UU122" s="172"/>
      <c r="UV122" s="172"/>
      <c r="UW122" s="172"/>
      <c r="UX122" s="172"/>
      <c r="UY122" s="172"/>
      <c r="UZ122" s="172"/>
      <c r="VA122" s="172"/>
      <c r="VB122" s="172"/>
      <c r="VC122" s="172"/>
      <c r="VD122" s="172"/>
      <c r="VE122" s="172"/>
      <c r="VF122" s="172"/>
      <c r="VG122" s="172"/>
      <c r="VH122" s="172"/>
      <c r="VI122" s="172"/>
      <c r="VJ122" s="172"/>
      <c r="VK122" s="172"/>
      <c r="VL122" s="172"/>
      <c r="VM122" s="172"/>
      <c r="VN122" s="172"/>
      <c r="VO122" s="172"/>
      <c r="VP122" s="172"/>
      <c r="VQ122" s="172"/>
      <c r="VR122" s="172"/>
      <c r="VS122" s="172"/>
      <c r="VT122" s="172"/>
      <c r="VU122" s="172"/>
      <c r="VV122" s="172"/>
      <c r="VW122" s="172"/>
      <c r="VX122" s="172"/>
      <c r="VY122" s="172"/>
      <c r="VZ122" s="172"/>
      <c r="WA122" s="172"/>
      <c r="WB122" s="172"/>
      <c r="WC122" s="172"/>
      <c r="WD122" s="172"/>
      <c r="WE122" s="172"/>
      <c r="WF122" s="172"/>
      <c r="WG122" s="172"/>
      <c r="WH122" s="172"/>
      <c r="WI122" s="172"/>
      <c r="WJ122" s="172"/>
      <c r="WK122" s="172"/>
      <c r="WL122" s="172"/>
      <c r="WM122" s="172"/>
      <c r="WN122" s="172"/>
      <c r="WO122" s="172"/>
      <c r="WP122" s="172"/>
      <c r="WQ122" s="172"/>
      <c r="WR122" s="172"/>
      <c r="WS122" s="172"/>
      <c r="WT122" s="172"/>
      <c r="WU122" s="172"/>
      <c r="WV122" s="172"/>
      <c r="WW122" s="172"/>
      <c r="WX122" s="172"/>
      <c r="WY122" s="172"/>
      <c r="WZ122" s="172"/>
      <c r="XA122" s="172"/>
      <c r="XB122" s="172"/>
      <c r="XC122" s="172"/>
      <c r="XD122" s="172"/>
      <c r="XE122" s="172"/>
      <c r="XF122" s="172"/>
      <c r="XG122" s="172"/>
      <c r="XH122" s="172"/>
      <c r="XI122" s="172"/>
      <c r="XJ122" s="172"/>
      <c r="XK122" s="172"/>
      <c r="XL122" s="172"/>
      <c r="XM122" s="172"/>
      <c r="XN122" s="172"/>
      <c r="XO122" s="172"/>
      <c r="XP122" s="172"/>
      <c r="XQ122" s="172"/>
      <c r="XR122" s="172"/>
      <c r="XS122" s="172"/>
      <c r="XT122" s="172"/>
      <c r="XU122" s="172"/>
      <c r="XV122" s="172"/>
      <c r="XW122" s="172"/>
      <c r="XX122" s="172"/>
      <c r="XY122" s="172"/>
      <c r="XZ122" s="172"/>
      <c r="YA122" s="172"/>
      <c r="YB122" s="172"/>
      <c r="YC122" s="172"/>
      <c r="YD122" s="172"/>
      <c r="YE122" s="172"/>
      <c r="YF122" s="172"/>
      <c r="YG122" s="172"/>
      <c r="YH122" s="172"/>
      <c r="YI122" s="172"/>
      <c r="YJ122" s="172"/>
      <c r="YK122" s="172"/>
      <c r="YL122" s="172"/>
      <c r="YM122" s="172"/>
      <c r="YN122" s="172"/>
      <c r="YO122" s="172"/>
      <c r="YP122" s="172"/>
      <c r="YQ122" s="172"/>
      <c r="YR122" s="172"/>
      <c r="YS122" s="172"/>
      <c r="YT122" s="172"/>
      <c r="YU122" s="172"/>
      <c r="YV122" s="172"/>
      <c r="YW122" s="172"/>
      <c r="YX122" s="172"/>
      <c r="YY122" s="172"/>
      <c r="YZ122" s="172"/>
      <c r="ZA122" s="172"/>
      <c r="ZB122" s="172"/>
      <c r="ZC122" s="172"/>
      <c r="ZD122" s="172"/>
      <c r="ZE122" s="172"/>
      <c r="ZF122" s="172"/>
      <c r="ZG122" s="172"/>
      <c r="ZH122" s="172"/>
      <c r="ZI122" s="172"/>
      <c r="ZJ122" s="172"/>
      <c r="ZK122" s="172"/>
      <c r="ZL122" s="172"/>
      <c r="ZM122" s="172"/>
      <c r="ZN122" s="172"/>
      <c r="ZO122" s="172"/>
      <c r="ZP122" s="172"/>
      <c r="ZQ122" s="172"/>
      <c r="ZR122" s="172"/>
      <c r="ZS122" s="172"/>
      <c r="ZT122" s="172"/>
      <c r="ZU122" s="172"/>
      <c r="ZV122" s="172"/>
      <c r="ZW122" s="172"/>
      <c r="ZX122" s="172"/>
      <c r="ZY122" s="172"/>
      <c r="ZZ122" s="172"/>
      <c r="AAA122" s="172"/>
      <c r="AAB122" s="172"/>
      <c r="AAC122" s="172"/>
      <c r="AAD122" s="172"/>
      <c r="AAE122" s="172"/>
      <c r="AAF122" s="172"/>
      <c r="AAG122" s="172"/>
      <c r="AAH122" s="172"/>
      <c r="AAI122" s="172"/>
      <c r="AAJ122" s="172"/>
      <c r="AAK122" s="172"/>
      <c r="AAL122" s="172"/>
      <c r="AAM122" s="172"/>
      <c r="AAN122" s="172"/>
      <c r="AAO122" s="172"/>
      <c r="AAP122" s="172"/>
      <c r="AAQ122" s="172"/>
      <c r="AAR122" s="172"/>
      <c r="AAS122" s="172"/>
      <c r="AAT122" s="172"/>
      <c r="AAU122" s="172"/>
      <c r="AAV122" s="172"/>
      <c r="AAW122" s="172"/>
      <c r="AAX122" s="172"/>
      <c r="AAY122" s="172"/>
      <c r="AAZ122" s="172"/>
      <c r="ABA122" s="172"/>
      <c r="ABB122" s="172"/>
      <c r="ABC122" s="172"/>
      <c r="ABD122" s="172"/>
      <c r="ABE122" s="172"/>
      <c r="ABF122" s="172"/>
      <c r="ABG122" s="172"/>
      <c r="ABH122" s="172"/>
      <c r="ABI122" s="172"/>
      <c r="ABJ122" s="172"/>
      <c r="ABK122" s="172"/>
      <c r="ABL122" s="172"/>
      <c r="ABM122" s="172"/>
      <c r="ABN122" s="172"/>
      <c r="ABO122" s="172"/>
      <c r="ABP122" s="172"/>
      <c r="ABQ122" s="172"/>
      <c r="ABR122" s="172"/>
      <c r="ABS122" s="172"/>
      <c r="ABT122" s="172"/>
      <c r="ABU122" s="172"/>
      <c r="ABV122" s="172"/>
      <c r="ABW122" s="172"/>
      <c r="ABX122" s="172"/>
      <c r="ABY122" s="172"/>
      <c r="ABZ122" s="172"/>
      <c r="ACA122" s="172"/>
      <c r="ACB122" s="172"/>
      <c r="ACC122" s="172"/>
      <c r="ACD122" s="172"/>
      <c r="ACE122" s="172"/>
      <c r="ACF122" s="172"/>
      <c r="ACG122" s="172"/>
      <c r="ACH122" s="172"/>
      <c r="ACI122" s="172"/>
      <c r="ACJ122" s="172"/>
      <c r="ACK122" s="172"/>
      <c r="ACL122" s="172"/>
      <c r="ACM122" s="172"/>
      <c r="ACN122" s="172"/>
      <c r="ACO122" s="172"/>
      <c r="ACP122" s="172"/>
      <c r="ACQ122" s="172"/>
      <c r="ACR122" s="172"/>
      <c r="ACS122" s="172"/>
      <c r="ACT122" s="172"/>
      <c r="ACU122" s="172"/>
      <c r="ACV122" s="172"/>
      <c r="ACW122" s="172"/>
      <c r="ACX122" s="172"/>
      <c r="ACY122" s="172"/>
      <c r="ACZ122" s="172"/>
      <c r="ADA122" s="172"/>
      <c r="ADB122" s="172"/>
      <c r="ADC122" s="172"/>
      <c r="ADD122" s="172"/>
      <c r="ADE122" s="172"/>
      <c r="ADF122" s="172"/>
      <c r="ADG122" s="172"/>
      <c r="ADH122" s="172"/>
      <c r="ADI122" s="172"/>
      <c r="ADJ122" s="172"/>
      <c r="ADK122" s="172"/>
      <c r="ADL122" s="172"/>
      <c r="ADM122" s="172"/>
      <c r="ADN122" s="172"/>
      <c r="ADO122" s="172"/>
      <c r="ADP122" s="172"/>
      <c r="ADQ122" s="172"/>
      <c r="ADR122" s="172"/>
      <c r="ADS122" s="172"/>
      <c r="ADT122" s="172"/>
      <c r="ADU122" s="172"/>
      <c r="ADV122" s="172"/>
      <c r="ADW122" s="172"/>
      <c r="ADX122" s="172"/>
      <c r="ADY122" s="172"/>
      <c r="ADZ122" s="172"/>
      <c r="AEA122" s="172"/>
      <c r="AEB122" s="172"/>
      <c r="AEC122" s="172"/>
      <c r="AED122" s="172"/>
      <c r="AEE122" s="172"/>
      <c r="AEF122" s="172"/>
      <c r="AEG122" s="172"/>
      <c r="AEH122" s="172"/>
      <c r="AEI122" s="172"/>
      <c r="AEJ122" s="172"/>
      <c r="AEK122" s="172"/>
      <c r="AEL122" s="172"/>
      <c r="AEM122" s="172"/>
      <c r="AEN122" s="172"/>
      <c r="AEO122" s="172"/>
      <c r="AEP122" s="172"/>
      <c r="AEQ122" s="172"/>
      <c r="AER122" s="172"/>
      <c r="AES122" s="172"/>
      <c r="AET122" s="172"/>
      <c r="AEU122" s="172"/>
      <c r="AEV122" s="172"/>
      <c r="AEW122" s="172"/>
      <c r="AEX122" s="172"/>
      <c r="AEY122" s="172"/>
      <c r="AEZ122" s="172"/>
      <c r="AFA122" s="172"/>
      <c r="AFB122" s="172"/>
      <c r="AFC122" s="172"/>
      <c r="AFD122" s="172"/>
      <c r="AFE122" s="172"/>
      <c r="AFF122" s="172"/>
      <c r="AFG122" s="172"/>
      <c r="AFH122" s="172"/>
      <c r="AFI122" s="172"/>
      <c r="AFJ122" s="172"/>
      <c r="AFK122" s="172"/>
      <c r="AFL122" s="172"/>
      <c r="AFM122" s="172"/>
      <c r="AFN122" s="172"/>
      <c r="AFO122" s="172"/>
      <c r="AFP122" s="172"/>
      <c r="AFQ122" s="172"/>
      <c r="AFR122" s="172"/>
      <c r="AFS122" s="172"/>
      <c r="AFT122" s="172"/>
      <c r="AFU122" s="172"/>
      <c r="AFV122" s="172"/>
      <c r="AFW122" s="172"/>
      <c r="AFX122" s="172"/>
      <c r="AFY122" s="172"/>
      <c r="AFZ122" s="172"/>
      <c r="AGA122" s="172"/>
      <c r="AGB122" s="172"/>
      <c r="AGC122" s="172"/>
      <c r="AGD122" s="172"/>
      <c r="AGE122" s="172"/>
      <c r="AGF122" s="172"/>
      <c r="AGG122" s="172"/>
      <c r="AGH122" s="172"/>
      <c r="AGI122" s="172"/>
      <c r="AGJ122" s="172"/>
      <c r="AGK122" s="172"/>
      <c r="AGL122" s="172"/>
      <c r="AGM122" s="172"/>
      <c r="AGN122" s="172"/>
      <c r="AGO122" s="172"/>
      <c r="AGP122" s="172"/>
      <c r="AGQ122" s="172"/>
      <c r="AGR122" s="172"/>
      <c r="AGS122" s="172"/>
      <c r="AGT122" s="172"/>
      <c r="AGU122" s="172"/>
      <c r="AGV122" s="172"/>
      <c r="AGW122" s="172"/>
      <c r="AGX122" s="172"/>
      <c r="AGY122" s="172"/>
      <c r="AGZ122" s="172"/>
      <c r="AHA122" s="172"/>
      <c r="AHB122" s="172"/>
      <c r="AHC122" s="172"/>
      <c r="AHD122" s="172"/>
      <c r="AHE122" s="172"/>
      <c r="AHF122" s="172"/>
      <c r="AHG122" s="172"/>
      <c r="AHH122" s="172"/>
      <c r="AHI122" s="172"/>
      <c r="AHJ122" s="172"/>
      <c r="AHK122" s="172"/>
      <c r="AHL122" s="172"/>
      <c r="AHM122" s="172"/>
      <c r="AHN122" s="172"/>
      <c r="AHO122" s="172"/>
      <c r="AHP122" s="172"/>
      <c r="AHQ122" s="172"/>
      <c r="AHR122" s="172"/>
      <c r="AHS122" s="172"/>
      <c r="AHT122" s="172"/>
      <c r="AHU122" s="172"/>
      <c r="AHV122" s="172"/>
      <c r="AHW122" s="172"/>
      <c r="AHX122" s="172"/>
      <c r="AHY122" s="172"/>
      <c r="AHZ122" s="172"/>
      <c r="AIA122" s="172"/>
      <c r="AIB122" s="172"/>
      <c r="AIC122" s="172"/>
      <c r="AID122" s="172"/>
      <c r="AIE122" s="172"/>
      <c r="AIF122" s="172"/>
      <c r="AIG122" s="172"/>
      <c r="AIH122" s="172"/>
      <c r="AII122" s="172"/>
      <c r="AIJ122" s="172"/>
      <c r="AIK122" s="172"/>
      <c r="AIL122" s="172"/>
      <c r="AIM122" s="172"/>
      <c r="AIN122" s="172"/>
      <c r="AIO122" s="172"/>
      <c r="AIP122" s="172"/>
      <c r="AIQ122" s="172"/>
      <c r="AIR122" s="172"/>
      <c r="AIS122" s="172"/>
      <c r="AIT122" s="172"/>
      <c r="AIU122" s="172"/>
      <c r="AIV122" s="172"/>
      <c r="AIW122" s="172"/>
      <c r="AIX122" s="172"/>
      <c r="AIY122" s="172"/>
      <c r="AIZ122" s="172"/>
      <c r="AJA122" s="172"/>
      <c r="AJB122" s="172"/>
      <c r="AJC122" s="172"/>
      <c r="AJD122" s="172"/>
      <c r="AJE122" s="172"/>
      <c r="AJF122" s="172"/>
      <c r="AJG122" s="172"/>
      <c r="AJH122" s="172"/>
      <c r="AJI122" s="172"/>
      <c r="AJJ122" s="172"/>
      <c r="AJK122" s="172"/>
      <c r="AJL122" s="172"/>
      <c r="AJM122" s="172"/>
      <c r="AJN122" s="172"/>
      <c r="AJO122" s="172"/>
      <c r="AJP122" s="172"/>
      <c r="AJQ122" s="172"/>
      <c r="AJR122" s="172"/>
      <c r="AJS122" s="172"/>
      <c r="AJT122" s="172"/>
      <c r="AJU122" s="172"/>
      <c r="AJV122" s="172"/>
      <c r="AJW122" s="172"/>
      <c r="AJX122" s="172"/>
      <c r="AJY122" s="172"/>
      <c r="AJZ122" s="172"/>
      <c r="AKA122" s="172"/>
      <c r="AKB122" s="172"/>
      <c r="AKC122" s="172"/>
      <c r="AKD122" s="172"/>
      <c r="AKE122" s="172"/>
      <c r="AKF122" s="172"/>
      <c r="AKG122" s="172"/>
      <c r="AKH122" s="172"/>
      <c r="AKI122" s="172"/>
      <c r="AKJ122" s="172"/>
      <c r="AKK122" s="172"/>
      <c r="AKL122" s="172"/>
      <c r="AKM122" s="172"/>
      <c r="AKN122" s="172"/>
      <c r="AKO122" s="172"/>
      <c r="AKP122" s="172"/>
      <c r="AKQ122" s="172"/>
      <c r="AKR122" s="172"/>
      <c r="AKS122" s="172"/>
      <c r="AKT122" s="172"/>
      <c r="AKU122" s="172"/>
      <c r="AKV122" s="172"/>
      <c r="AKW122" s="172"/>
      <c r="AKX122" s="172"/>
      <c r="AKY122" s="172"/>
      <c r="AKZ122" s="172"/>
      <c r="ALA122" s="172"/>
      <c r="ALB122" s="172"/>
      <c r="ALC122" s="172"/>
      <c r="ALD122" s="172"/>
      <c r="ALE122" s="172"/>
      <c r="ALF122" s="172"/>
      <c r="ALG122" s="172"/>
      <c r="ALH122" s="172"/>
      <c r="ALI122" s="172"/>
      <c r="ALJ122" s="172"/>
      <c r="ALK122" s="172"/>
      <c r="ALL122" s="172"/>
      <c r="ALM122" s="172"/>
      <c r="ALN122" s="172"/>
      <c r="ALO122" s="172"/>
      <c r="ALP122" s="172"/>
      <c r="ALQ122" s="172"/>
      <c r="ALR122" s="172"/>
      <c r="ALS122" s="172"/>
      <c r="ALT122" s="172"/>
      <c r="ALU122" s="172"/>
      <c r="ALV122" s="172"/>
      <c r="ALW122" s="172"/>
      <c r="ALX122" s="172"/>
      <c r="ALY122" s="172"/>
      <c r="ALZ122" s="172"/>
      <c r="AMA122" s="172"/>
      <c r="AMB122" s="172"/>
      <c r="AMC122" s="172"/>
      <c r="AMD122" s="172"/>
      <c r="AME122" s="172"/>
      <c r="AMF122" s="172"/>
      <c r="AMG122" s="172"/>
      <c r="AMH122" s="172"/>
      <c r="AMI122" s="172"/>
      <c r="AMJ122" s="172"/>
      <c r="AMK122" s="172"/>
      <c r="AML122" s="172"/>
      <c r="AMM122" s="172"/>
      <c r="AMN122" s="172"/>
      <c r="AMO122" s="172"/>
      <c r="AMP122" s="172"/>
      <c r="AMQ122" s="172"/>
      <c r="AMR122" s="172"/>
      <c r="AMS122" s="172"/>
      <c r="AMT122" s="172"/>
      <c r="AMU122" s="172"/>
      <c r="AMV122" s="172"/>
      <c r="AMW122" s="172"/>
      <c r="AMX122" s="172"/>
      <c r="AMY122" s="172"/>
      <c r="AMZ122" s="172"/>
      <c r="ANA122" s="172"/>
      <c r="ANB122" s="172"/>
      <c r="ANC122" s="172"/>
      <c r="AND122" s="172"/>
      <c r="ANE122" s="172"/>
      <c r="ANF122" s="172"/>
      <c r="ANG122" s="172"/>
      <c r="ANH122" s="172"/>
      <c r="ANI122" s="172"/>
      <c r="ANJ122" s="172"/>
      <c r="ANK122" s="172"/>
      <c r="ANL122" s="172"/>
      <c r="ANM122" s="172"/>
      <c r="ANN122" s="172"/>
      <c r="ANO122" s="172"/>
      <c r="ANP122" s="172"/>
      <c r="ANQ122" s="172"/>
      <c r="ANR122" s="172"/>
      <c r="ANS122" s="172"/>
      <c r="ANT122" s="172"/>
      <c r="ANU122" s="172"/>
      <c r="ANV122" s="172"/>
      <c r="ANW122" s="172"/>
      <c r="ANX122" s="172"/>
      <c r="ANY122" s="172"/>
      <c r="ANZ122" s="172"/>
      <c r="AOA122" s="172"/>
      <c r="AOB122" s="172"/>
      <c r="AOC122" s="172"/>
      <c r="AOD122" s="172"/>
      <c r="AOE122" s="172"/>
      <c r="AOF122" s="172"/>
      <c r="AOG122" s="172"/>
      <c r="AOH122" s="172"/>
      <c r="AOI122" s="172"/>
      <c r="AOJ122" s="172"/>
      <c r="AOK122" s="172"/>
      <c r="AOL122" s="172"/>
      <c r="AOM122" s="172"/>
      <c r="AON122" s="172"/>
      <c r="AOO122" s="172"/>
      <c r="AOP122" s="172"/>
      <c r="AOQ122" s="172"/>
      <c r="AOR122" s="172"/>
      <c r="AOS122" s="172"/>
      <c r="AOT122" s="172"/>
      <c r="AOU122" s="172"/>
      <c r="AOV122" s="172"/>
      <c r="AOW122" s="172"/>
      <c r="AOX122" s="172"/>
      <c r="AOY122" s="172"/>
      <c r="AOZ122" s="172"/>
      <c r="APA122" s="172"/>
      <c r="APB122" s="172"/>
      <c r="APC122" s="172"/>
      <c r="APD122" s="172"/>
      <c r="APE122" s="172"/>
      <c r="APF122" s="172"/>
      <c r="APG122" s="172"/>
      <c r="APH122" s="172"/>
      <c r="API122" s="172"/>
      <c r="APJ122" s="172"/>
      <c r="APK122" s="172"/>
      <c r="APL122" s="172"/>
      <c r="APM122" s="172"/>
      <c r="APN122" s="172"/>
      <c r="APO122" s="172"/>
      <c r="APP122" s="172"/>
      <c r="APQ122" s="172"/>
      <c r="APR122" s="172"/>
      <c r="APS122" s="172"/>
      <c r="APT122" s="172"/>
      <c r="APU122" s="172"/>
      <c r="APV122" s="172"/>
      <c r="APW122" s="172"/>
      <c r="APX122" s="172"/>
      <c r="APY122" s="172"/>
      <c r="APZ122" s="172"/>
      <c r="AQA122" s="172"/>
      <c r="AQB122" s="172"/>
      <c r="AQC122" s="172"/>
      <c r="AQD122" s="172"/>
      <c r="AQE122" s="172"/>
      <c r="AQF122" s="172"/>
      <c r="AQG122" s="172"/>
      <c r="AQH122" s="172"/>
      <c r="AQI122" s="172"/>
      <c r="AQJ122" s="172"/>
      <c r="AQK122" s="172"/>
      <c r="AQL122" s="172"/>
      <c r="AQM122" s="172"/>
      <c r="AQN122" s="172"/>
      <c r="AQO122" s="172"/>
      <c r="AQP122" s="172"/>
      <c r="AQQ122" s="172"/>
      <c r="AQR122" s="172"/>
      <c r="AQS122" s="172"/>
      <c r="AQT122" s="172"/>
      <c r="AQU122" s="172"/>
      <c r="AQV122" s="172"/>
      <c r="AQW122" s="172"/>
      <c r="AQX122" s="172"/>
      <c r="AQY122" s="172"/>
      <c r="AQZ122" s="172"/>
      <c r="ARA122" s="172"/>
      <c r="ARB122" s="172"/>
      <c r="ARC122" s="172"/>
      <c r="ARD122" s="172"/>
      <c r="ARE122" s="172"/>
      <c r="ARF122" s="172"/>
      <c r="ARG122" s="172"/>
      <c r="ARH122" s="172"/>
      <c r="ARI122" s="172"/>
      <c r="ARJ122" s="172"/>
      <c r="ARK122" s="172"/>
      <c r="ARL122" s="172"/>
      <c r="ARM122" s="172"/>
      <c r="ARN122" s="172"/>
      <c r="ARO122" s="172"/>
      <c r="ARP122" s="172"/>
      <c r="ARQ122" s="172"/>
      <c r="ARR122" s="172"/>
      <c r="ARS122" s="172"/>
      <c r="ART122" s="172"/>
      <c r="ARU122" s="172"/>
    </row>
    <row r="123" spans="1:1165" s="257" customFormat="1">
      <c r="A123" s="222" t="s">
        <v>238</v>
      </c>
      <c r="B123" s="195" t="s">
        <v>87</v>
      </c>
      <c r="C123" s="198">
        <v>4283</v>
      </c>
      <c r="D123" s="198">
        <v>43562</v>
      </c>
      <c r="E123" s="198">
        <v>0</v>
      </c>
      <c r="F123" s="198">
        <v>0</v>
      </c>
      <c r="G123" s="198">
        <v>0</v>
      </c>
      <c r="H123" s="198">
        <v>0</v>
      </c>
      <c r="I123" s="198">
        <v>0</v>
      </c>
      <c r="J123" s="198">
        <v>0</v>
      </c>
      <c r="K123" s="198">
        <v>0</v>
      </c>
      <c r="L123" s="198">
        <v>0</v>
      </c>
      <c r="M123" s="198">
        <v>0</v>
      </c>
      <c r="N123" s="198">
        <v>0</v>
      </c>
      <c r="O123" s="198">
        <v>222</v>
      </c>
      <c r="P123" s="198">
        <v>25709</v>
      </c>
      <c r="Q123" s="198">
        <v>768</v>
      </c>
      <c r="R123" s="198">
        <v>113637</v>
      </c>
      <c r="S123" s="198">
        <v>1079</v>
      </c>
      <c r="T123" s="198">
        <v>162108</v>
      </c>
      <c r="U123" s="196">
        <v>0</v>
      </c>
      <c r="V123" s="196">
        <v>0</v>
      </c>
      <c r="W123" s="196">
        <v>0</v>
      </c>
      <c r="X123" s="196">
        <v>0</v>
      </c>
      <c r="Y123" s="196">
        <v>0</v>
      </c>
      <c r="Z123" s="196">
        <v>0</v>
      </c>
      <c r="AA123" s="196">
        <v>0</v>
      </c>
      <c r="AB123" s="196">
        <v>0</v>
      </c>
      <c r="AC123" s="196">
        <v>0</v>
      </c>
      <c r="AD123" s="196">
        <v>0</v>
      </c>
      <c r="AE123" s="196">
        <v>0</v>
      </c>
      <c r="AF123" s="196">
        <v>0</v>
      </c>
      <c r="AG123" s="196">
        <v>0</v>
      </c>
      <c r="AH123" s="196">
        <v>0</v>
      </c>
      <c r="AI123" s="196">
        <v>0</v>
      </c>
      <c r="AJ123" s="196">
        <v>0</v>
      </c>
      <c r="AK123" s="211">
        <v>0</v>
      </c>
      <c r="AL123" s="211">
        <v>0</v>
      </c>
      <c r="AM123" s="211">
        <v>0</v>
      </c>
      <c r="AN123" s="211">
        <v>0</v>
      </c>
      <c r="AO123" s="196">
        <v>0</v>
      </c>
      <c r="AP123" s="196">
        <v>0</v>
      </c>
      <c r="AQ123" s="196">
        <v>0</v>
      </c>
      <c r="AR123" s="196">
        <v>0</v>
      </c>
      <c r="AS123" s="196">
        <v>0</v>
      </c>
      <c r="AT123" s="196">
        <v>0</v>
      </c>
      <c r="AU123" s="196">
        <v>0</v>
      </c>
      <c r="AV123" s="196">
        <v>0</v>
      </c>
      <c r="AW123" s="211">
        <v>0</v>
      </c>
      <c r="AX123" s="211">
        <v>0</v>
      </c>
      <c r="AY123" s="198">
        <v>0</v>
      </c>
      <c r="AZ123" s="198">
        <v>0</v>
      </c>
      <c r="BA123" s="227"/>
      <c r="BB123" s="198"/>
      <c r="BC123" s="198"/>
      <c r="BD123" s="198"/>
      <c r="BE123" s="198"/>
      <c r="BF123" s="198"/>
      <c r="BG123" s="198"/>
      <c r="BH123" s="198"/>
      <c r="BI123" s="227"/>
      <c r="BJ123" s="250">
        <f t="shared" si="61"/>
        <v>6352</v>
      </c>
      <c r="BK123" s="250">
        <f t="shared" si="62"/>
        <v>345016</v>
      </c>
      <c r="BL123" s="172"/>
      <c r="BM123" s="231"/>
      <c r="BN123" s="231"/>
      <c r="BO123" s="231"/>
      <c r="BP123" s="231"/>
      <c r="BQ123" s="172"/>
      <c r="BR123" s="172"/>
      <c r="BS123" s="172"/>
      <c r="BT123" s="172"/>
      <c r="BU123" s="172"/>
      <c r="BV123" s="172"/>
      <c r="BW123" s="172"/>
      <c r="BX123" s="172"/>
      <c r="BY123" s="172"/>
      <c r="BZ123" s="172"/>
      <c r="CA123" s="172"/>
      <c r="CB123" s="172"/>
      <c r="CC123" s="172"/>
      <c r="CD123" s="172"/>
      <c r="CE123" s="172"/>
      <c r="CF123" s="172"/>
      <c r="CG123" s="172"/>
      <c r="CH123" s="172"/>
      <c r="CI123" s="172"/>
      <c r="CJ123" s="172"/>
      <c r="CK123" s="172"/>
      <c r="CL123" s="172"/>
      <c r="CM123" s="172"/>
      <c r="CN123" s="172"/>
      <c r="CO123" s="172"/>
      <c r="CP123" s="172"/>
      <c r="CQ123" s="172"/>
      <c r="CR123" s="172"/>
      <c r="CS123" s="172"/>
      <c r="CT123" s="172"/>
      <c r="CU123" s="172"/>
      <c r="CV123" s="172"/>
      <c r="CW123" s="172"/>
      <c r="CX123" s="172"/>
      <c r="CY123" s="172"/>
      <c r="CZ123" s="172"/>
      <c r="DA123" s="172"/>
      <c r="DB123" s="172"/>
      <c r="DC123" s="172"/>
      <c r="DD123" s="172"/>
      <c r="DE123" s="172"/>
      <c r="DF123" s="172"/>
      <c r="DG123" s="172"/>
      <c r="DH123" s="172"/>
      <c r="DI123" s="172"/>
      <c r="DJ123" s="172"/>
      <c r="DK123" s="172"/>
      <c r="DL123" s="172"/>
      <c r="DM123" s="172"/>
      <c r="DN123" s="172"/>
      <c r="DO123" s="172"/>
      <c r="DP123" s="172"/>
      <c r="DQ123" s="172"/>
      <c r="DR123" s="172"/>
      <c r="DS123" s="172"/>
      <c r="DT123" s="172"/>
      <c r="DU123" s="172"/>
      <c r="DV123" s="172"/>
      <c r="DW123" s="172"/>
      <c r="DX123" s="172"/>
      <c r="DY123" s="172"/>
      <c r="DZ123" s="172"/>
      <c r="EA123" s="172"/>
      <c r="EB123" s="172"/>
      <c r="EC123" s="172"/>
      <c r="ED123" s="172"/>
      <c r="EE123" s="172"/>
      <c r="EF123" s="172"/>
      <c r="EG123" s="172"/>
      <c r="EH123" s="172"/>
      <c r="EI123" s="172"/>
      <c r="EJ123" s="172"/>
      <c r="EK123" s="172"/>
      <c r="EL123" s="172"/>
      <c r="EM123" s="172"/>
      <c r="EN123" s="172"/>
      <c r="EO123" s="172"/>
      <c r="EP123" s="172"/>
      <c r="EQ123" s="172"/>
      <c r="ER123" s="172"/>
      <c r="ES123" s="172"/>
      <c r="ET123" s="172"/>
      <c r="EU123" s="172"/>
      <c r="EV123" s="172"/>
      <c r="EW123" s="172"/>
      <c r="EX123" s="172"/>
      <c r="EY123" s="172"/>
      <c r="EZ123" s="172"/>
      <c r="FA123" s="172"/>
      <c r="FB123" s="172"/>
      <c r="FC123" s="172"/>
      <c r="FD123" s="172"/>
      <c r="FE123" s="172"/>
      <c r="FF123" s="172"/>
      <c r="FG123" s="172"/>
      <c r="FH123" s="172"/>
      <c r="FI123" s="172"/>
      <c r="FJ123" s="172"/>
      <c r="FK123" s="172"/>
      <c r="FL123" s="172"/>
      <c r="FM123" s="172"/>
      <c r="FN123" s="172"/>
      <c r="FO123" s="172"/>
      <c r="FP123" s="172"/>
      <c r="FQ123" s="172"/>
      <c r="FR123" s="172"/>
      <c r="FS123" s="172"/>
      <c r="FT123" s="172"/>
      <c r="FU123" s="172"/>
      <c r="FV123" s="172"/>
      <c r="FW123" s="172"/>
      <c r="FX123" s="172"/>
      <c r="FY123" s="172"/>
      <c r="FZ123" s="172"/>
      <c r="GA123" s="172"/>
      <c r="GB123" s="172"/>
      <c r="GC123" s="172"/>
      <c r="GD123" s="172"/>
      <c r="GE123" s="172"/>
      <c r="GF123" s="172"/>
      <c r="GG123" s="172"/>
      <c r="GH123" s="172"/>
      <c r="GI123" s="172"/>
      <c r="GJ123" s="172"/>
      <c r="GK123" s="172"/>
      <c r="GL123" s="172"/>
      <c r="GM123" s="172"/>
      <c r="GN123" s="172"/>
      <c r="GO123" s="172"/>
      <c r="GP123" s="172"/>
      <c r="GQ123" s="172"/>
      <c r="GR123" s="172"/>
      <c r="GS123" s="172"/>
      <c r="GT123" s="172"/>
      <c r="GU123" s="172"/>
      <c r="GV123" s="172"/>
      <c r="GW123" s="172"/>
      <c r="GX123" s="172"/>
      <c r="GY123" s="172"/>
      <c r="GZ123" s="172"/>
      <c r="HA123" s="172"/>
      <c r="HB123" s="172"/>
      <c r="HC123" s="172"/>
      <c r="HD123" s="172"/>
      <c r="HE123" s="172"/>
      <c r="HF123" s="172"/>
      <c r="HG123" s="172"/>
      <c r="HH123" s="172"/>
      <c r="HI123" s="172"/>
      <c r="HJ123" s="172"/>
      <c r="HK123" s="172"/>
      <c r="HL123" s="172"/>
      <c r="HM123" s="172"/>
      <c r="HN123" s="172"/>
      <c r="HO123" s="172"/>
      <c r="HP123" s="172"/>
      <c r="HQ123" s="172"/>
      <c r="HR123" s="172"/>
      <c r="HS123" s="172"/>
      <c r="HT123" s="172"/>
      <c r="HU123" s="172"/>
      <c r="HV123" s="172"/>
      <c r="HW123" s="172"/>
      <c r="HX123" s="172"/>
      <c r="HY123" s="172"/>
      <c r="HZ123" s="172"/>
      <c r="IA123" s="172"/>
      <c r="IB123" s="172"/>
      <c r="IC123" s="172"/>
      <c r="ID123" s="172"/>
      <c r="IE123" s="172"/>
      <c r="IF123" s="172"/>
      <c r="IG123" s="172"/>
      <c r="IH123" s="172"/>
      <c r="II123" s="172"/>
      <c r="IJ123" s="172"/>
      <c r="IK123" s="172"/>
      <c r="IL123" s="172"/>
      <c r="IM123" s="172"/>
      <c r="IN123" s="172"/>
      <c r="IO123" s="172"/>
      <c r="IP123" s="172"/>
      <c r="IQ123" s="172"/>
      <c r="IR123" s="172"/>
      <c r="IS123" s="172"/>
      <c r="IT123" s="172"/>
      <c r="IU123" s="172"/>
      <c r="IV123" s="172"/>
      <c r="IW123" s="172"/>
      <c r="IX123" s="172"/>
      <c r="IY123" s="172"/>
      <c r="IZ123" s="172"/>
      <c r="JA123" s="172"/>
      <c r="JB123" s="172"/>
      <c r="JC123" s="172"/>
      <c r="JD123" s="172"/>
      <c r="JE123" s="172"/>
      <c r="JF123" s="172"/>
      <c r="JG123" s="172"/>
      <c r="JH123" s="172"/>
      <c r="JI123" s="172"/>
      <c r="JJ123" s="172"/>
      <c r="JK123" s="172"/>
      <c r="JL123" s="172"/>
      <c r="JM123" s="172"/>
      <c r="JN123" s="172"/>
      <c r="JO123" s="172"/>
      <c r="JP123" s="172"/>
      <c r="JQ123" s="172"/>
      <c r="JR123" s="172"/>
      <c r="JS123" s="172"/>
      <c r="JT123" s="172"/>
      <c r="JU123" s="172"/>
      <c r="JV123" s="172"/>
      <c r="JW123" s="172"/>
      <c r="JX123" s="172"/>
      <c r="JY123" s="172"/>
      <c r="JZ123" s="172"/>
      <c r="KA123" s="172"/>
      <c r="KB123" s="172"/>
      <c r="KC123" s="172"/>
      <c r="KD123" s="172"/>
      <c r="KE123" s="172"/>
      <c r="KF123" s="172"/>
      <c r="KG123" s="172"/>
      <c r="KH123" s="172"/>
      <c r="KI123" s="172"/>
      <c r="KJ123" s="172"/>
      <c r="KK123" s="172"/>
      <c r="KL123" s="172"/>
      <c r="KM123" s="172"/>
      <c r="KN123" s="172"/>
      <c r="KO123" s="172"/>
      <c r="KP123" s="172"/>
      <c r="KQ123" s="172"/>
      <c r="KR123" s="172"/>
      <c r="KS123" s="172"/>
      <c r="KT123" s="172"/>
      <c r="KU123" s="172"/>
      <c r="KV123" s="172"/>
      <c r="KW123" s="172"/>
      <c r="KX123" s="172"/>
      <c r="KY123" s="172"/>
      <c r="KZ123" s="172"/>
      <c r="LA123" s="172"/>
      <c r="LB123" s="172"/>
      <c r="LC123" s="172"/>
      <c r="LD123" s="172"/>
      <c r="LE123" s="172"/>
      <c r="LF123" s="172"/>
      <c r="LG123" s="172"/>
      <c r="LH123" s="172"/>
      <c r="LI123" s="172"/>
      <c r="LJ123" s="172"/>
      <c r="LK123" s="172"/>
      <c r="LL123" s="172"/>
      <c r="LM123" s="172"/>
      <c r="LN123" s="172"/>
      <c r="LO123" s="172"/>
      <c r="LP123" s="172"/>
      <c r="LQ123" s="172"/>
      <c r="LR123" s="172"/>
      <c r="LS123" s="172"/>
      <c r="LT123" s="172"/>
      <c r="LU123" s="172"/>
      <c r="LV123" s="172"/>
      <c r="LW123" s="172"/>
      <c r="LX123" s="172"/>
      <c r="LY123" s="172"/>
      <c r="LZ123" s="172"/>
      <c r="MA123" s="172"/>
      <c r="MB123" s="172"/>
      <c r="MC123" s="172"/>
      <c r="MD123" s="172"/>
      <c r="ME123" s="172"/>
      <c r="MF123" s="172"/>
      <c r="MG123" s="172"/>
      <c r="MH123" s="172"/>
      <c r="MI123" s="172"/>
      <c r="MJ123" s="172"/>
      <c r="MK123" s="172"/>
      <c r="ML123" s="172"/>
      <c r="MM123" s="172"/>
      <c r="MN123" s="172"/>
      <c r="MO123" s="172"/>
      <c r="MP123" s="172"/>
      <c r="MQ123" s="172"/>
      <c r="MR123" s="172"/>
      <c r="MS123" s="172"/>
      <c r="MT123" s="172"/>
      <c r="MU123" s="172"/>
      <c r="MV123" s="172"/>
      <c r="MW123" s="172"/>
      <c r="MX123" s="172"/>
      <c r="MY123" s="172"/>
      <c r="MZ123" s="172"/>
      <c r="NA123" s="172"/>
      <c r="NB123" s="172"/>
      <c r="NC123" s="172"/>
      <c r="ND123" s="172"/>
      <c r="NE123" s="172"/>
      <c r="NF123" s="172"/>
      <c r="NG123" s="172"/>
      <c r="NH123" s="172"/>
      <c r="NI123" s="172"/>
      <c r="NJ123" s="172"/>
      <c r="NK123" s="172"/>
      <c r="NL123" s="172"/>
      <c r="NM123" s="172"/>
      <c r="NN123" s="172"/>
      <c r="NO123" s="172"/>
      <c r="NP123" s="172"/>
      <c r="NQ123" s="172"/>
      <c r="NR123" s="172"/>
      <c r="NS123" s="172"/>
      <c r="NT123" s="172"/>
      <c r="NU123" s="172"/>
      <c r="NV123" s="172"/>
      <c r="NW123" s="172"/>
      <c r="NX123" s="172"/>
      <c r="NY123" s="172"/>
      <c r="NZ123" s="172"/>
      <c r="OA123" s="172"/>
      <c r="OB123" s="172"/>
      <c r="OC123" s="172"/>
      <c r="OD123" s="172"/>
      <c r="OE123" s="172"/>
      <c r="OF123" s="172"/>
      <c r="OG123" s="172"/>
      <c r="OH123" s="172"/>
      <c r="OI123" s="172"/>
      <c r="OJ123" s="172"/>
      <c r="OK123" s="172"/>
      <c r="OL123" s="172"/>
      <c r="OM123" s="172"/>
      <c r="ON123" s="172"/>
      <c r="OO123" s="172"/>
      <c r="OP123" s="172"/>
      <c r="OQ123" s="172"/>
      <c r="OR123" s="172"/>
      <c r="OS123" s="172"/>
      <c r="OT123" s="172"/>
      <c r="OU123" s="172"/>
      <c r="OV123" s="172"/>
      <c r="OW123" s="172"/>
      <c r="OX123" s="172"/>
      <c r="OY123" s="172"/>
      <c r="OZ123" s="172"/>
      <c r="PA123" s="172"/>
      <c r="PB123" s="172"/>
      <c r="PC123" s="172"/>
      <c r="PD123" s="172"/>
      <c r="PE123" s="172"/>
      <c r="PF123" s="172"/>
      <c r="PG123" s="172"/>
      <c r="PH123" s="172"/>
      <c r="PI123" s="172"/>
      <c r="PJ123" s="172"/>
      <c r="PK123" s="172"/>
      <c r="PL123" s="172"/>
      <c r="PM123" s="172"/>
      <c r="PN123" s="172"/>
      <c r="PO123" s="172"/>
      <c r="PP123" s="172"/>
      <c r="PQ123" s="172"/>
      <c r="PR123" s="172"/>
      <c r="PS123" s="172"/>
      <c r="PT123" s="172"/>
      <c r="PU123" s="172"/>
      <c r="PV123" s="172"/>
      <c r="PW123" s="172"/>
      <c r="PX123" s="172"/>
      <c r="PY123" s="172"/>
      <c r="PZ123" s="172"/>
      <c r="QA123" s="172"/>
      <c r="QB123" s="172"/>
      <c r="QC123" s="172"/>
      <c r="QD123" s="172"/>
      <c r="QE123" s="172"/>
      <c r="QF123" s="172"/>
      <c r="QG123" s="172"/>
      <c r="QH123" s="172"/>
      <c r="QI123" s="172"/>
      <c r="QJ123" s="172"/>
      <c r="QK123" s="172"/>
      <c r="QL123" s="172"/>
      <c r="QM123" s="172"/>
      <c r="QN123" s="172"/>
      <c r="QO123" s="172"/>
      <c r="QP123" s="172"/>
      <c r="QQ123" s="172"/>
      <c r="QR123" s="172"/>
      <c r="QS123" s="172"/>
      <c r="QT123" s="172"/>
      <c r="QU123" s="172"/>
      <c r="QV123" s="172"/>
      <c r="QW123" s="172"/>
      <c r="QX123" s="172"/>
      <c r="QY123" s="172"/>
      <c r="QZ123" s="172"/>
      <c r="RA123" s="172"/>
      <c r="RB123" s="172"/>
      <c r="RC123" s="172"/>
      <c r="RD123" s="172"/>
      <c r="RE123" s="172"/>
      <c r="RF123" s="172"/>
      <c r="RG123" s="172"/>
      <c r="RH123" s="172"/>
      <c r="RI123" s="172"/>
      <c r="RJ123" s="172"/>
      <c r="RK123" s="172"/>
      <c r="RL123" s="172"/>
      <c r="RM123" s="172"/>
      <c r="RN123" s="172"/>
      <c r="RO123" s="172"/>
      <c r="RP123" s="172"/>
      <c r="RQ123" s="172"/>
      <c r="RR123" s="172"/>
      <c r="RS123" s="172"/>
      <c r="RT123" s="172"/>
      <c r="RU123" s="172"/>
      <c r="RV123" s="172"/>
      <c r="RW123" s="172"/>
      <c r="RX123" s="172"/>
      <c r="RY123" s="172"/>
      <c r="RZ123" s="172"/>
      <c r="SA123" s="172"/>
      <c r="SB123" s="172"/>
      <c r="SC123" s="172"/>
      <c r="SD123" s="172"/>
      <c r="SE123" s="172"/>
      <c r="SF123" s="172"/>
      <c r="SG123" s="172"/>
      <c r="SH123" s="172"/>
      <c r="SI123" s="172"/>
      <c r="SJ123" s="172"/>
      <c r="SK123" s="172"/>
      <c r="SL123" s="172"/>
      <c r="SM123" s="172"/>
      <c r="SN123" s="172"/>
      <c r="SO123" s="172"/>
      <c r="SP123" s="172"/>
      <c r="SQ123" s="172"/>
      <c r="SR123" s="172"/>
      <c r="SS123" s="172"/>
      <c r="ST123" s="172"/>
      <c r="SU123" s="172"/>
      <c r="SV123" s="172"/>
      <c r="SW123" s="172"/>
      <c r="SX123" s="172"/>
      <c r="SY123" s="172"/>
      <c r="SZ123" s="172"/>
      <c r="TA123" s="172"/>
      <c r="TB123" s="172"/>
      <c r="TC123" s="172"/>
      <c r="TD123" s="172"/>
      <c r="TE123" s="172"/>
      <c r="TF123" s="172"/>
      <c r="TG123" s="172"/>
      <c r="TH123" s="172"/>
      <c r="TI123" s="172"/>
      <c r="TJ123" s="172"/>
      <c r="TK123" s="172"/>
      <c r="TL123" s="172"/>
      <c r="TM123" s="172"/>
      <c r="TN123" s="172"/>
      <c r="TO123" s="172"/>
      <c r="TP123" s="172"/>
      <c r="TQ123" s="172"/>
      <c r="TR123" s="172"/>
      <c r="TS123" s="172"/>
      <c r="TT123" s="172"/>
      <c r="TU123" s="172"/>
      <c r="TV123" s="172"/>
      <c r="TW123" s="172"/>
      <c r="TX123" s="172"/>
      <c r="TY123" s="172"/>
      <c r="TZ123" s="172"/>
      <c r="UA123" s="172"/>
      <c r="UB123" s="172"/>
      <c r="UC123" s="172"/>
      <c r="UD123" s="172"/>
      <c r="UE123" s="172"/>
      <c r="UF123" s="172"/>
      <c r="UG123" s="172"/>
      <c r="UH123" s="172"/>
      <c r="UI123" s="172"/>
      <c r="UJ123" s="172"/>
      <c r="UK123" s="172"/>
      <c r="UL123" s="172"/>
      <c r="UM123" s="172"/>
      <c r="UN123" s="172"/>
      <c r="UO123" s="172"/>
      <c r="UP123" s="172"/>
      <c r="UQ123" s="172"/>
      <c r="UR123" s="172"/>
      <c r="US123" s="172"/>
      <c r="UT123" s="172"/>
      <c r="UU123" s="172"/>
      <c r="UV123" s="172"/>
      <c r="UW123" s="172"/>
      <c r="UX123" s="172"/>
      <c r="UY123" s="172"/>
      <c r="UZ123" s="172"/>
      <c r="VA123" s="172"/>
      <c r="VB123" s="172"/>
      <c r="VC123" s="172"/>
      <c r="VD123" s="172"/>
      <c r="VE123" s="172"/>
      <c r="VF123" s="172"/>
      <c r="VG123" s="172"/>
      <c r="VH123" s="172"/>
      <c r="VI123" s="172"/>
      <c r="VJ123" s="172"/>
      <c r="VK123" s="172"/>
      <c r="VL123" s="172"/>
      <c r="VM123" s="172"/>
      <c r="VN123" s="172"/>
      <c r="VO123" s="172"/>
      <c r="VP123" s="172"/>
      <c r="VQ123" s="172"/>
      <c r="VR123" s="172"/>
      <c r="VS123" s="172"/>
      <c r="VT123" s="172"/>
      <c r="VU123" s="172"/>
      <c r="VV123" s="172"/>
      <c r="VW123" s="172"/>
      <c r="VX123" s="172"/>
      <c r="VY123" s="172"/>
      <c r="VZ123" s="172"/>
      <c r="WA123" s="172"/>
      <c r="WB123" s="172"/>
      <c r="WC123" s="172"/>
      <c r="WD123" s="172"/>
      <c r="WE123" s="172"/>
      <c r="WF123" s="172"/>
      <c r="WG123" s="172"/>
      <c r="WH123" s="172"/>
      <c r="WI123" s="172"/>
      <c r="WJ123" s="172"/>
      <c r="WK123" s="172"/>
      <c r="WL123" s="172"/>
      <c r="WM123" s="172"/>
      <c r="WN123" s="172"/>
      <c r="WO123" s="172"/>
      <c r="WP123" s="172"/>
      <c r="WQ123" s="172"/>
      <c r="WR123" s="172"/>
      <c r="WS123" s="172"/>
      <c r="WT123" s="172"/>
      <c r="WU123" s="172"/>
      <c r="WV123" s="172"/>
      <c r="WW123" s="172"/>
      <c r="WX123" s="172"/>
      <c r="WY123" s="172"/>
      <c r="WZ123" s="172"/>
      <c r="XA123" s="172"/>
      <c r="XB123" s="172"/>
      <c r="XC123" s="172"/>
      <c r="XD123" s="172"/>
      <c r="XE123" s="172"/>
      <c r="XF123" s="172"/>
      <c r="XG123" s="172"/>
      <c r="XH123" s="172"/>
      <c r="XI123" s="172"/>
      <c r="XJ123" s="172"/>
      <c r="XK123" s="172"/>
      <c r="XL123" s="172"/>
      <c r="XM123" s="172"/>
      <c r="XN123" s="172"/>
      <c r="XO123" s="172"/>
      <c r="XP123" s="172"/>
      <c r="XQ123" s="172"/>
      <c r="XR123" s="172"/>
      <c r="XS123" s="172"/>
      <c r="XT123" s="172"/>
      <c r="XU123" s="172"/>
      <c r="XV123" s="172"/>
      <c r="XW123" s="172"/>
      <c r="XX123" s="172"/>
      <c r="XY123" s="172"/>
      <c r="XZ123" s="172"/>
      <c r="YA123" s="172"/>
      <c r="YB123" s="172"/>
      <c r="YC123" s="172"/>
      <c r="YD123" s="172"/>
      <c r="YE123" s="172"/>
      <c r="YF123" s="172"/>
      <c r="YG123" s="172"/>
      <c r="YH123" s="172"/>
      <c r="YI123" s="172"/>
      <c r="YJ123" s="172"/>
      <c r="YK123" s="172"/>
      <c r="YL123" s="172"/>
      <c r="YM123" s="172"/>
      <c r="YN123" s="172"/>
      <c r="YO123" s="172"/>
      <c r="YP123" s="172"/>
      <c r="YQ123" s="172"/>
      <c r="YR123" s="172"/>
      <c r="YS123" s="172"/>
      <c r="YT123" s="172"/>
      <c r="YU123" s="172"/>
      <c r="YV123" s="172"/>
      <c r="YW123" s="172"/>
      <c r="YX123" s="172"/>
      <c r="YY123" s="172"/>
      <c r="YZ123" s="172"/>
      <c r="ZA123" s="172"/>
      <c r="ZB123" s="172"/>
      <c r="ZC123" s="172"/>
      <c r="ZD123" s="172"/>
      <c r="ZE123" s="172"/>
      <c r="ZF123" s="172"/>
      <c r="ZG123" s="172"/>
      <c r="ZH123" s="172"/>
      <c r="ZI123" s="172"/>
      <c r="ZJ123" s="172"/>
      <c r="ZK123" s="172"/>
      <c r="ZL123" s="172"/>
      <c r="ZM123" s="172"/>
      <c r="ZN123" s="172"/>
      <c r="ZO123" s="172"/>
      <c r="ZP123" s="172"/>
      <c r="ZQ123" s="172"/>
      <c r="ZR123" s="172"/>
      <c r="ZS123" s="172"/>
      <c r="ZT123" s="172"/>
      <c r="ZU123" s="172"/>
      <c r="ZV123" s="172"/>
      <c r="ZW123" s="172"/>
      <c r="ZX123" s="172"/>
      <c r="ZY123" s="172"/>
      <c r="ZZ123" s="172"/>
      <c r="AAA123" s="172"/>
      <c r="AAB123" s="172"/>
      <c r="AAC123" s="172"/>
      <c r="AAD123" s="172"/>
      <c r="AAE123" s="172"/>
      <c r="AAF123" s="172"/>
      <c r="AAG123" s="172"/>
      <c r="AAH123" s="172"/>
      <c r="AAI123" s="172"/>
      <c r="AAJ123" s="172"/>
      <c r="AAK123" s="172"/>
      <c r="AAL123" s="172"/>
      <c r="AAM123" s="172"/>
      <c r="AAN123" s="172"/>
      <c r="AAO123" s="172"/>
      <c r="AAP123" s="172"/>
      <c r="AAQ123" s="172"/>
      <c r="AAR123" s="172"/>
      <c r="AAS123" s="172"/>
      <c r="AAT123" s="172"/>
      <c r="AAU123" s="172"/>
      <c r="AAV123" s="172"/>
      <c r="AAW123" s="172"/>
      <c r="AAX123" s="172"/>
      <c r="AAY123" s="172"/>
      <c r="AAZ123" s="172"/>
      <c r="ABA123" s="172"/>
      <c r="ABB123" s="172"/>
      <c r="ABC123" s="172"/>
      <c r="ABD123" s="172"/>
      <c r="ABE123" s="172"/>
      <c r="ABF123" s="172"/>
      <c r="ABG123" s="172"/>
      <c r="ABH123" s="172"/>
      <c r="ABI123" s="172"/>
      <c r="ABJ123" s="172"/>
      <c r="ABK123" s="172"/>
      <c r="ABL123" s="172"/>
      <c r="ABM123" s="172"/>
      <c r="ABN123" s="172"/>
      <c r="ABO123" s="172"/>
      <c r="ABP123" s="172"/>
      <c r="ABQ123" s="172"/>
      <c r="ABR123" s="172"/>
      <c r="ABS123" s="172"/>
      <c r="ABT123" s="172"/>
      <c r="ABU123" s="172"/>
      <c r="ABV123" s="172"/>
      <c r="ABW123" s="172"/>
      <c r="ABX123" s="172"/>
      <c r="ABY123" s="172"/>
      <c r="ABZ123" s="172"/>
      <c r="ACA123" s="172"/>
      <c r="ACB123" s="172"/>
      <c r="ACC123" s="172"/>
      <c r="ACD123" s="172"/>
      <c r="ACE123" s="172"/>
      <c r="ACF123" s="172"/>
      <c r="ACG123" s="172"/>
      <c r="ACH123" s="172"/>
      <c r="ACI123" s="172"/>
      <c r="ACJ123" s="172"/>
      <c r="ACK123" s="172"/>
      <c r="ACL123" s="172"/>
      <c r="ACM123" s="172"/>
      <c r="ACN123" s="172"/>
      <c r="ACO123" s="172"/>
      <c r="ACP123" s="172"/>
      <c r="ACQ123" s="172"/>
      <c r="ACR123" s="172"/>
      <c r="ACS123" s="172"/>
      <c r="ACT123" s="172"/>
      <c r="ACU123" s="172"/>
      <c r="ACV123" s="172"/>
      <c r="ACW123" s="172"/>
      <c r="ACX123" s="172"/>
      <c r="ACY123" s="172"/>
      <c r="ACZ123" s="172"/>
      <c r="ADA123" s="172"/>
      <c r="ADB123" s="172"/>
      <c r="ADC123" s="172"/>
      <c r="ADD123" s="172"/>
      <c r="ADE123" s="172"/>
      <c r="ADF123" s="172"/>
      <c r="ADG123" s="172"/>
      <c r="ADH123" s="172"/>
      <c r="ADI123" s="172"/>
      <c r="ADJ123" s="172"/>
      <c r="ADK123" s="172"/>
      <c r="ADL123" s="172"/>
      <c r="ADM123" s="172"/>
      <c r="ADN123" s="172"/>
      <c r="ADO123" s="172"/>
      <c r="ADP123" s="172"/>
      <c r="ADQ123" s="172"/>
      <c r="ADR123" s="172"/>
      <c r="ADS123" s="172"/>
      <c r="ADT123" s="172"/>
      <c r="ADU123" s="172"/>
      <c r="ADV123" s="172"/>
      <c r="ADW123" s="172"/>
      <c r="ADX123" s="172"/>
      <c r="ADY123" s="172"/>
      <c r="ADZ123" s="172"/>
      <c r="AEA123" s="172"/>
      <c r="AEB123" s="172"/>
      <c r="AEC123" s="172"/>
      <c r="AED123" s="172"/>
      <c r="AEE123" s="172"/>
      <c r="AEF123" s="172"/>
      <c r="AEG123" s="172"/>
      <c r="AEH123" s="172"/>
      <c r="AEI123" s="172"/>
      <c r="AEJ123" s="172"/>
      <c r="AEK123" s="172"/>
      <c r="AEL123" s="172"/>
      <c r="AEM123" s="172"/>
      <c r="AEN123" s="172"/>
      <c r="AEO123" s="172"/>
      <c r="AEP123" s="172"/>
      <c r="AEQ123" s="172"/>
      <c r="AER123" s="172"/>
      <c r="AES123" s="172"/>
      <c r="AET123" s="172"/>
      <c r="AEU123" s="172"/>
      <c r="AEV123" s="172"/>
      <c r="AEW123" s="172"/>
      <c r="AEX123" s="172"/>
      <c r="AEY123" s="172"/>
      <c r="AEZ123" s="172"/>
      <c r="AFA123" s="172"/>
      <c r="AFB123" s="172"/>
      <c r="AFC123" s="172"/>
      <c r="AFD123" s="172"/>
      <c r="AFE123" s="172"/>
      <c r="AFF123" s="172"/>
      <c r="AFG123" s="172"/>
      <c r="AFH123" s="172"/>
      <c r="AFI123" s="172"/>
      <c r="AFJ123" s="172"/>
      <c r="AFK123" s="172"/>
      <c r="AFL123" s="172"/>
      <c r="AFM123" s="172"/>
      <c r="AFN123" s="172"/>
      <c r="AFO123" s="172"/>
      <c r="AFP123" s="172"/>
      <c r="AFQ123" s="172"/>
      <c r="AFR123" s="172"/>
      <c r="AFS123" s="172"/>
      <c r="AFT123" s="172"/>
      <c r="AFU123" s="172"/>
      <c r="AFV123" s="172"/>
      <c r="AFW123" s="172"/>
      <c r="AFX123" s="172"/>
      <c r="AFY123" s="172"/>
      <c r="AFZ123" s="172"/>
      <c r="AGA123" s="172"/>
      <c r="AGB123" s="172"/>
      <c r="AGC123" s="172"/>
      <c r="AGD123" s="172"/>
      <c r="AGE123" s="172"/>
      <c r="AGF123" s="172"/>
      <c r="AGG123" s="172"/>
      <c r="AGH123" s="172"/>
      <c r="AGI123" s="172"/>
      <c r="AGJ123" s="172"/>
      <c r="AGK123" s="172"/>
      <c r="AGL123" s="172"/>
      <c r="AGM123" s="172"/>
      <c r="AGN123" s="172"/>
      <c r="AGO123" s="172"/>
      <c r="AGP123" s="172"/>
      <c r="AGQ123" s="172"/>
      <c r="AGR123" s="172"/>
      <c r="AGS123" s="172"/>
      <c r="AGT123" s="172"/>
      <c r="AGU123" s="172"/>
      <c r="AGV123" s="172"/>
      <c r="AGW123" s="172"/>
      <c r="AGX123" s="172"/>
      <c r="AGY123" s="172"/>
      <c r="AGZ123" s="172"/>
      <c r="AHA123" s="172"/>
      <c r="AHB123" s="172"/>
      <c r="AHC123" s="172"/>
      <c r="AHD123" s="172"/>
      <c r="AHE123" s="172"/>
      <c r="AHF123" s="172"/>
      <c r="AHG123" s="172"/>
      <c r="AHH123" s="172"/>
      <c r="AHI123" s="172"/>
      <c r="AHJ123" s="172"/>
      <c r="AHK123" s="172"/>
      <c r="AHL123" s="172"/>
      <c r="AHM123" s="172"/>
      <c r="AHN123" s="172"/>
      <c r="AHO123" s="172"/>
      <c r="AHP123" s="172"/>
      <c r="AHQ123" s="172"/>
      <c r="AHR123" s="172"/>
      <c r="AHS123" s="172"/>
      <c r="AHT123" s="172"/>
      <c r="AHU123" s="172"/>
      <c r="AHV123" s="172"/>
      <c r="AHW123" s="172"/>
      <c r="AHX123" s="172"/>
      <c r="AHY123" s="172"/>
      <c r="AHZ123" s="172"/>
      <c r="AIA123" s="172"/>
      <c r="AIB123" s="172"/>
      <c r="AIC123" s="172"/>
      <c r="AID123" s="172"/>
      <c r="AIE123" s="172"/>
      <c r="AIF123" s="172"/>
      <c r="AIG123" s="172"/>
      <c r="AIH123" s="172"/>
      <c r="AII123" s="172"/>
      <c r="AIJ123" s="172"/>
      <c r="AIK123" s="172"/>
      <c r="AIL123" s="172"/>
      <c r="AIM123" s="172"/>
      <c r="AIN123" s="172"/>
      <c r="AIO123" s="172"/>
      <c r="AIP123" s="172"/>
      <c r="AIQ123" s="172"/>
      <c r="AIR123" s="172"/>
      <c r="AIS123" s="172"/>
      <c r="AIT123" s="172"/>
      <c r="AIU123" s="172"/>
      <c r="AIV123" s="172"/>
      <c r="AIW123" s="172"/>
      <c r="AIX123" s="172"/>
      <c r="AIY123" s="172"/>
      <c r="AIZ123" s="172"/>
      <c r="AJA123" s="172"/>
      <c r="AJB123" s="172"/>
      <c r="AJC123" s="172"/>
      <c r="AJD123" s="172"/>
      <c r="AJE123" s="172"/>
      <c r="AJF123" s="172"/>
      <c r="AJG123" s="172"/>
      <c r="AJH123" s="172"/>
      <c r="AJI123" s="172"/>
      <c r="AJJ123" s="172"/>
      <c r="AJK123" s="172"/>
      <c r="AJL123" s="172"/>
      <c r="AJM123" s="172"/>
      <c r="AJN123" s="172"/>
      <c r="AJO123" s="172"/>
      <c r="AJP123" s="172"/>
      <c r="AJQ123" s="172"/>
      <c r="AJR123" s="172"/>
      <c r="AJS123" s="172"/>
      <c r="AJT123" s="172"/>
      <c r="AJU123" s="172"/>
      <c r="AJV123" s="172"/>
      <c r="AJW123" s="172"/>
      <c r="AJX123" s="172"/>
      <c r="AJY123" s="172"/>
      <c r="AJZ123" s="172"/>
      <c r="AKA123" s="172"/>
      <c r="AKB123" s="172"/>
      <c r="AKC123" s="172"/>
      <c r="AKD123" s="172"/>
      <c r="AKE123" s="172"/>
      <c r="AKF123" s="172"/>
      <c r="AKG123" s="172"/>
      <c r="AKH123" s="172"/>
      <c r="AKI123" s="172"/>
      <c r="AKJ123" s="172"/>
      <c r="AKK123" s="172"/>
      <c r="AKL123" s="172"/>
      <c r="AKM123" s="172"/>
      <c r="AKN123" s="172"/>
      <c r="AKO123" s="172"/>
      <c r="AKP123" s="172"/>
      <c r="AKQ123" s="172"/>
      <c r="AKR123" s="172"/>
      <c r="AKS123" s="172"/>
      <c r="AKT123" s="172"/>
      <c r="AKU123" s="172"/>
      <c r="AKV123" s="172"/>
      <c r="AKW123" s="172"/>
      <c r="AKX123" s="172"/>
      <c r="AKY123" s="172"/>
      <c r="AKZ123" s="172"/>
      <c r="ALA123" s="172"/>
      <c r="ALB123" s="172"/>
      <c r="ALC123" s="172"/>
      <c r="ALD123" s="172"/>
      <c r="ALE123" s="172"/>
      <c r="ALF123" s="172"/>
      <c r="ALG123" s="172"/>
      <c r="ALH123" s="172"/>
      <c r="ALI123" s="172"/>
      <c r="ALJ123" s="172"/>
      <c r="ALK123" s="172"/>
      <c r="ALL123" s="172"/>
      <c r="ALM123" s="172"/>
      <c r="ALN123" s="172"/>
      <c r="ALO123" s="172"/>
      <c r="ALP123" s="172"/>
      <c r="ALQ123" s="172"/>
      <c r="ALR123" s="172"/>
      <c r="ALS123" s="172"/>
      <c r="ALT123" s="172"/>
      <c r="ALU123" s="172"/>
      <c r="ALV123" s="172"/>
      <c r="ALW123" s="172"/>
      <c r="ALX123" s="172"/>
      <c r="ALY123" s="172"/>
      <c r="ALZ123" s="172"/>
      <c r="AMA123" s="172"/>
      <c r="AMB123" s="172"/>
      <c r="AMC123" s="172"/>
      <c r="AMD123" s="172"/>
      <c r="AME123" s="172"/>
      <c r="AMF123" s="172"/>
      <c r="AMG123" s="172"/>
      <c r="AMH123" s="172"/>
      <c r="AMI123" s="172"/>
      <c r="AMJ123" s="172"/>
      <c r="AMK123" s="172"/>
      <c r="AML123" s="172"/>
      <c r="AMM123" s="172"/>
      <c r="AMN123" s="172"/>
      <c r="AMO123" s="172"/>
      <c r="AMP123" s="172"/>
      <c r="AMQ123" s="172"/>
      <c r="AMR123" s="172"/>
      <c r="AMS123" s="172"/>
      <c r="AMT123" s="172"/>
      <c r="AMU123" s="172"/>
      <c r="AMV123" s="172"/>
      <c r="AMW123" s="172"/>
      <c r="AMX123" s="172"/>
      <c r="AMY123" s="172"/>
      <c r="AMZ123" s="172"/>
      <c r="ANA123" s="172"/>
      <c r="ANB123" s="172"/>
      <c r="ANC123" s="172"/>
      <c r="AND123" s="172"/>
      <c r="ANE123" s="172"/>
      <c r="ANF123" s="172"/>
      <c r="ANG123" s="172"/>
      <c r="ANH123" s="172"/>
      <c r="ANI123" s="172"/>
      <c r="ANJ123" s="172"/>
      <c r="ANK123" s="172"/>
      <c r="ANL123" s="172"/>
      <c r="ANM123" s="172"/>
      <c r="ANN123" s="172"/>
      <c r="ANO123" s="172"/>
      <c r="ANP123" s="172"/>
      <c r="ANQ123" s="172"/>
      <c r="ANR123" s="172"/>
      <c r="ANS123" s="172"/>
      <c r="ANT123" s="172"/>
      <c r="ANU123" s="172"/>
      <c r="ANV123" s="172"/>
      <c r="ANW123" s="172"/>
      <c r="ANX123" s="172"/>
      <c r="ANY123" s="172"/>
      <c r="ANZ123" s="172"/>
      <c r="AOA123" s="172"/>
      <c r="AOB123" s="172"/>
      <c r="AOC123" s="172"/>
      <c r="AOD123" s="172"/>
      <c r="AOE123" s="172"/>
      <c r="AOF123" s="172"/>
      <c r="AOG123" s="172"/>
      <c r="AOH123" s="172"/>
      <c r="AOI123" s="172"/>
      <c r="AOJ123" s="172"/>
      <c r="AOK123" s="172"/>
      <c r="AOL123" s="172"/>
      <c r="AOM123" s="172"/>
      <c r="AON123" s="172"/>
      <c r="AOO123" s="172"/>
      <c r="AOP123" s="172"/>
      <c r="AOQ123" s="172"/>
      <c r="AOR123" s="172"/>
      <c r="AOS123" s="172"/>
      <c r="AOT123" s="172"/>
      <c r="AOU123" s="172"/>
      <c r="AOV123" s="172"/>
      <c r="AOW123" s="172"/>
      <c r="AOX123" s="172"/>
      <c r="AOY123" s="172"/>
      <c r="AOZ123" s="172"/>
      <c r="APA123" s="172"/>
      <c r="APB123" s="172"/>
      <c r="APC123" s="172"/>
      <c r="APD123" s="172"/>
      <c r="APE123" s="172"/>
      <c r="APF123" s="172"/>
      <c r="APG123" s="172"/>
      <c r="APH123" s="172"/>
      <c r="API123" s="172"/>
      <c r="APJ123" s="172"/>
      <c r="APK123" s="172"/>
      <c r="APL123" s="172"/>
      <c r="APM123" s="172"/>
      <c r="APN123" s="172"/>
      <c r="APO123" s="172"/>
      <c r="APP123" s="172"/>
      <c r="APQ123" s="172"/>
      <c r="APR123" s="172"/>
      <c r="APS123" s="172"/>
      <c r="APT123" s="172"/>
      <c r="APU123" s="172"/>
      <c r="APV123" s="172"/>
      <c r="APW123" s="172"/>
      <c r="APX123" s="172"/>
      <c r="APY123" s="172"/>
      <c r="APZ123" s="172"/>
      <c r="AQA123" s="172"/>
      <c r="AQB123" s="172"/>
      <c r="AQC123" s="172"/>
      <c r="AQD123" s="172"/>
      <c r="AQE123" s="172"/>
      <c r="AQF123" s="172"/>
      <c r="AQG123" s="172"/>
      <c r="AQH123" s="172"/>
      <c r="AQI123" s="172"/>
      <c r="AQJ123" s="172"/>
      <c r="AQK123" s="172"/>
      <c r="AQL123" s="172"/>
      <c r="AQM123" s="172"/>
      <c r="AQN123" s="172"/>
      <c r="AQO123" s="172"/>
      <c r="AQP123" s="172"/>
      <c r="AQQ123" s="172"/>
      <c r="AQR123" s="172"/>
      <c r="AQS123" s="172"/>
      <c r="AQT123" s="172"/>
      <c r="AQU123" s="172"/>
      <c r="AQV123" s="172"/>
      <c r="AQW123" s="172"/>
      <c r="AQX123" s="172"/>
      <c r="AQY123" s="172"/>
      <c r="AQZ123" s="172"/>
      <c r="ARA123" s="172"/>
      <c r="ARB123" s="172"/>
      <c r="ARC123" s="172"/>
      <c r="ARD123" s="172"/>
      <c r="ARE123" s="172"/>
      <c r="ARF123" s="172"/>
      <c r="ARG123" s="172"/>
      <c r="ARH123" s="172"/>
      <c r="ARI123" s="172"/>
      <c r="ARJ123" s="172"/>
      <c r="ARK123" s="172"/>
      <c r="ARL123" s="172"/>
      <c r="ARM123" s="172"/>
      <c r="ARN123" s="172"/>
      <c r="ARO123" s="172"/>
      <c r="ARP123" s="172"/>
      <c r="ARQ123" s="172"/>
      <c r="ARR123" s="172"/>
      <c r="ARS123" s="172"/>
      <c r="ART123" s="172"/>
      <c r="ARU123" s="172"/>
    </row>
    <row r="124" spans="1:1165" s="257" customFormat="1">
      <c r="A124" s="222" t="s">
        <v>299</v>
      </c>
      <c r="B124" s="195" t="s">
        <v>87</v>
      </c>
      <c r="C124" s="258">
        <v>178695</v>
      </c>
      <c r="D124" s="258">
        <v>20721196</v>
      </c>
      <c r="E124" s="198">
        <v>26911</v>
      </c>
      <c r="F124" s="198">
        <v>5545374</v>
      </c>
      <c r="G124" s="198">
        <v>15786</v>
      </c>
      <c r="H124" s="198">
        <v>3202746</v>
      </c>
      <c r="I124" s="198">
        <v>15318</v>
      </c>
      <c r="J124" s="198">
        <v>3047564</v>
      </c>
      <c r="K124" s="198">
        <v>10193</v>
      </c>
      <c r="L124" s="198">
        <v>1842513</v>
      </c>
      <c r="M124" s="198">
        <v>32110</v>
      </c>
      <c r="N124" s="198">
        <v>6951500</v>
      </c>
      <c r="O124" s="198">
        <v>13809</v>
      </c>
      <c r="P124" s="198">
        <v>4003028</v>
      </c>
      <c r="Q124" s="198">
        <v>14143</v>
      </c>
      <c r="R124" s="198">
        <v>5315181</v>
      </c>
      <c r="S124" s="198">
        <v>11290</v>
      </c>
      <c r="T124" s="198">
        <v>4663700</v>
      </c>
      <c r="U124" s="211">
        <v>12946</v>
      </c>
      <c r="V124" s="211">
        <v>5297600</v>
      </c>
      <c r="W124" s="211">
        <v>22498</v>
      </c>
      <c r="X124" s="211">
        <v>10336566</v>
      </c>
      <c r="Y124" s="211">
        <v>20839</v>
      </c>
      <c r="Z124" s="211">
        <v>11511265</v>
      </c>
      <c r="AA124" s="226">
        <v>12944</v>
      </c>
      <c r="AB124" s="226">
        <v>8064715</v>
      </c>
      <c r="AC124" s="211">
        <v>11463</v>
      </c>
      <c r="AD124" s="211">
        <v>5204073</v>
      </c>
      <c r="AE124" s="196">
        <v>12689</v>
      </c>
      <c r="AF124" s="196">
        <v>4850531</v>
      </c>
      <c r="AG124" s="196">
        <v>21677</v>
      </c>
      <c r="AH124" s="196">
        <v>8149179</v>
      </c>
      <c r="AI124" s="196">
        <v>20283</v>
      </c>
      <c r="AJ124" s="196">
        <v>8011826</v>
      </c>
      <c r="AK124" s="260">
        <v>33170</v>
      </c>
      <c r="AL124" s="260">
        <v>15849797</v>
      </c>
      <c r="AM124" s="261">
        <v>22482</v>
      </c>
      <c r="AN124" s="261">
        <v>11687280</v>
      </c>
      <c r="AO124" s="196">
        <v>28971</v>
      </c>
      <c r="AP124" s="196">
        <v>11680489</v>
      </c>
      <c r="AQ124" s="196">
        <v>31527.75</v>
      </c>
      <c r="AR124" s="196">
        <v>13887829.9</v>
      </c>
      <c r="AS124" s="196">
        <v>37849</v>
      </c>
      <c r="AT124" s="196">
        <v>16550625</v>
      </c>
      <c r="AU124" s="226">
        <v>24792</v>
      </c>
      <c r="AV124" s="226">
        <v>12149759</v>
      </c>
      <c r="AW124" s="211">
        <v>43750</v>
      </c>
      <c r="AX124" s="211">
        <v>21205504</v>
      </c>
      <c r="AY124" s="198">
        <v>46673</v>
      </c>
      <c r="AZ124" s="198">
        <v>17280177</v>
      </c>
      <c r="BA124" s="262"/>
      <c r="BB124" s="211"/>
      <c r="BC124" s="263"/>
      <c r="BD124" s="211"/>
      <c r="BE124" s="263"/>
      <c r="BF124" s="211"/>
      <c r="BG124" s="263"/>
      <c r="BH124" s="211"/>
      <c r="BI124" s="263"/>
      <c r="BJ124" s="250">
        <f t="shared" si="61"/>
        <v>695897.75</v>
      </c>
      <c r="BK124" s="250">
        <f t="shared" si="62"/>
        <v>231464643.90000001</v>
      </c>
      <c r="BL124" s="172"/>
      <c r="BM124" s="231"/>
      <c r="BN124" s="231"/>
      <c r="BO124" s="231"/>
      <c r="BP124" s="231"/>
      <c r="BQ124" s="172"/>
      <c r="BR124" s="172"/>
      <c r="BS124" s="172"/>
      <c r="BT124" s="172"/>
      <c r="BU124" s="172"/>
      <c r="BV124" s="172"/>
      <c r="BW124" s="172"/>
      <c r="BX124" s="172"/>
      <c r="BY124" s="172"/>
      <c r="BZ124" s="172"/>
      <c r="CA124" s="172"/>
      <c r="CB124" s="172"/>
      <c r="CC124" s="172"/>
      <c r="CD124" s="172"/>
      <c r="CE124" s="172"/>
      <c r="CF124" s="172"/>
      <c r="CG124" s="172"/>
      <c r="CH124" s="172"/>
      <c r="CI124" s="172"/>
      <c r="CJ124" s="172"/>
      <c r="CK124" s="172"/>
      <c r="CL124" s="172"/>
      <c r="CM124" s="172"/>
      <c r="CN124" s="172"/>
      <c r="CO124" s="172"/>
      <c r="CP124" s="172"/>
      <c r="CQ124" s="172"/>
      <c r="CR124" s="172"/>
      <c r="CS124" s="172"/>
      <c r="CT124" s="172"/>
      <c r="CU124" s="172"/>
      <c r="CV124" s="172"/>
      <c r="CW124" s="172"/>
      <c r="CX124" s="172"/>
      <c r="CY124" s="172"/>
      <c r="CZ124" s="172"/>
      <c r="DA124" s="172"/>
      <c r="DB124" s="172"/>
      <c r="DC124" s="172"/>
      <c r="DD124" s="172"/>
      <c r="DE124" s="172"/>
      <c r="DF124" s="172"/>
      <c r="DG124" s="172"/>
      <c r="DH124" s="172"/>
      <c r="DI124" s="172"/>
      <c r="DJ124" s="172"/>
      <c r="DK124" s="172"/>
      <c r="DL124" s="172"/>
      <c r="DM124" s="172"/>
      <c r="DN124" s="172"/>
      <c r="DO124" s="172"/>
      <c r="DP124" s="172"/>
      <c r="DQ124" s="172"/>
      <c r="DR124" s="172"/>
      <c r="DS124" s="172"/>
      <c r="DT124" s="172"/>
      <c r="DU124" s="172"/>
      <c r="DV124" s="172"/>
      <c r="DW124" s="172"/>
      <c r="DX124" s="172"/>
      <c r="DY124" s="172"/>
      <c r="DZ124" s="172"/>
      <c r="EA124" s="172"/>
      <c r="EB124" s="172"/>
      <c r="EC124" s="172"/>
      <c r="ED124" s="172"/>
      <c r="EE124" s="172"/>
      <c r="EF124" s="172"/>
      <c r="EG124" s="172"/>
      <c r="EH124" s="172"/>
      <c r="EI124" s="172"/>
      <c r="EJ124" s="172"/>
      <c r="EK124" s="172"/>
      <c r="EL124" s="172"/>
      <c r="EM124" s="172"/>
      <c r="EN124" s="172"/>
      <c r="EO124" s="172"/>
      <c r="EP124" s="172"/>
      <c r="EQ124" s="172"/>
      <c r="ER124" s="172"/>
      <c r="ES124" s="172"/>
      <c r="ET124" s="172"/>
      <c r="EU124" s="172"/>
      <c r="EV124" s="172"/>
      <c r="EW124" s="172"/>
      <c r="EX124" s="172"/>
      <c r="EY124" s="172"/>
      <c r="EZ124" s="172"/>
      <c r="FA124" s="172"/>
      <c r="FB124" s="172"/>
      <c r="FC124" s="172"/>
      <c r="FD124" s="172"/>
      <c r="FE124" s="172"/>
      <c r="FF124" s="172"/>
      <c r="FG124" s="172"/>
      <c r="FH124" s="172"/>
      <c r="FI124" s="172"/>
      <c r="FJ124" s="172"/>
      <c r="FK124" s="172"/>
      <c r="FL124" s="172"/>
      <c r="FM124" s="172"/>
      <c r="FN124" s="172"/>
      <c r="FO124" s="172"/>
      <c r="FP124" s="172"/>
      <c r="FQ124" s="172"/>
      <c r="FR124" s="172"/>
      <c r="FS124" s="172"/>
      <c r="FT124" s="172"/>
      <c r="FU124" s="172"/>
      <c r="FV124" s="172"/>
      <c r="FW124" s="172"/>
      <c r="FX124" s="172"/>
      <c r="FY124" s="172"/>
      <c r="FZ124" s="172"/>
      <c r="GA124" s="172"/>
      <c r="GB124" s="172"/>
      <c r="GC124" s="172"/>
      <c r="GD124" s="172"/>
      <c r="GE124" s="172"/>
      <c r="GF124" s="172"/>
      <c r="GG124" s="172"/>
      <c r="GH124" s="172"/>
      <c r="GI124" s="172"/>
      <c r="GJ124" s="172"/>
      <c r="GK124" s="172"/>
      <c r="GL124" s="172"/>
      <c r="GM124" s="172"/>
      <c r="GN124" s="172"/>
      <c r="GO124" s="172"/>
      <c r="GP124" s="172"/>
      <c r="GQ124" s="172"/>
      <c r="GR124" s="172"/>
      <c r="GS124" s="172"/>
      <c r="GT124" s="172"/>
      <c r="GU124" s="172"/>
      <c r="GV124" s="172"/>
      <c r="GW124" s="172"/>
      <c r="GX124" s="172"/>
      <c r="GY124" s="172"/>
      <c r="GZ124" s="172"/>
      <c r="HA124" s="172"/>
      <c r="HB124" s="172"/>
      <c r="HC124" s="172"/>
      <c r="HD124" s="172"/>
      <c r="HE124" s="172"/>
      <c r="HF124" s="172"/>
      <c r="HG124" s="172"/>
      <c r="HH124" s="172"/>
      <c r="HI124" s="172"/>
      <c r="HJ124" s="172"/>
      <c r="HK124" s="172"/>
      <c r="HL124" s="172"/>
      <c r="HM124" s="172"/>
      <c r="HN124" s="172"/>
      <c r="HO124" s="172"/>
      <c r="HP124" s="172"/>
      <c r="HQ124" s="172"/>
      <c r="HR124" s="172"/>
      <c r="HS124" s="172"/>
      <c r="HT124" s="172"/>
      <c r="HU124" s="172"/>
      <c r="HV124" s="172"/>
      <c r="HW124" s="172"/>
      <c r="HX124" s="172"/>
      <c r="HY124" s="172"/>
      <c r="HZ124" s="172"/>
      <c r="IA124" s="172"/>
      <c r="IB124" s="172"/>
      <c r="IC124" s="172"/>
      <c r="ID124" s="172"/>
      <c r="IE124" s="172"/>
      <c r="IF124" s="172"/>
      <c r="IG124" s="172"/>
      <c r="IH124" s="172"/>
      <c r="II124" s="172"/>
      <c r="IJ124" s="172"/>
      <c r="IK124" s="172"/>
      <c r="IL124" s="172"/>
      <c r="IM124" s="172"/>
      <c r="IN124" s="172"/>
      <c r="IO124" s="172"/>
      <c r="IP124" s="172"/>
      <c r="IQ124" s="172"/>
      <c r="IR124" s="172"/>
      <c r="IS124" s="172"/>
      <c r="IT124" s="172"/>
      <c r="IU124" s="172"/>
      <c r="IV124" s="172"/>
      <c r="IW124" s="172"/>
      <c r="IX124" s="172"/>
      <c r="IY124" s="172"/>
      <c r="IZ124" s="172"/>
      <c r="JA124" s="172"/>
      <c r="JB124" s="172"/>
      <c r="JC124" s="172"/>
      <c r="JD124" s="172"/>
      <c r="JE124" s="172"/>
      <c r="JF124" s="172"/>
      <c r="JG124" s="172"/>
      <c r="JH124" s="172"/>
      <c r="JI124" s="172"/>
      <c r="JJ124" s="172"/>
      <c r="JK124" s="172"/>
      <c r="JL124" s="172"/>
      <c r="JM124" s="172"/>
      <c r="JN124" s="172"/>
      <c r="JO124" s="172"/>
      <c r="JP124" s="172"/>
      <c r="JQ124" s="172"/>
      <c r="JR124" s="172"/>
      <c r="JS124" s="172"/>
      <c r="JT124" s="172"/>
      <c r="JU124" s="172"/>
      <c r="JV124" s="172"/>
      <c r="JW124" s="172"/>
      <c r="JX124" s="172"/>
      <c r="JY124" s="172"/>
      <c r="JZ124" s="172"/>
      <c r="KA124" s="172"/>
      <c r="KB124" s="172"/>
      <c r="KC124" s="172"/>
      <c r="KD124" s="172"/>
      <c r="KE124" s="172"/>
      <c r="KF124" s="172"/>
      <c r="KG124" s="172"/>
      <c r="KH124" s="172"/>
      <c r="KI124" s="172"/>
      <c r="KJ124" s="172"/>
      <c r="KK124" s="172"/>
      <c r="KL124" s="172"/>
      <c r="KM124" s="172"/>
      <c r="KN124" s="172"/>
      <c r="KO124" s="172"/>
      <c r="KP124" s="172"/>
      <c r="KQ124" s="172"/>
      <c r="KR124" s="172"/>
      <c r="KS124" s="172"/>
      <c r="KT124" s="172"/>
      <c r="KU124" s="172"/>
      <c r="KV124" s="172"/>
      <c r="KW124" s="172"/>
      <c r="KX124" s="172"/>
      <c r="KY124" s="172"/>
      <c r="KZ124" s="172"/>
      <c r="LA124" s="172"/>
      <c r="LB124" s="172"/>
      <c r="LC124" s="172"/>
      <c r="LD124" s="172"/>
      <c r="LE124" s="172"/>
      <c r="LF124" s="172"/>
      <c r="LG124" s="172"/>
      <c r="LH124" s="172"/>
      <c r="LI124" s="172"/>
      <c r="LJ124" s="172"/>
      <c r="LK124" s="172"/>
      <c r="LL124" s="172"/>
      <c r="LM124" s="172"/>
      <c r="LN124" s="172"/>
      <c r="LO124" s="172"/>
      <c r="LP124" s="172"/>
      <c r="LQ124" s="172"/>
      <c r="LR124" s="172"/>
      <c r="LS124" s="172"/>
      <c r="LT124" s="172"/>
      <c r="LU124" s="172"/>
      <c r="LV124" s="172"/>
      <c r="LW124" s="172"/>
      <c r="LX124" s="172"/>
      <c r="LY124" s="172"/>
      <c r="LZ124" s="172"/>
      <c r="MA124" s="172"/>
      <c r="MB124" s="172"/>
      <c r="MC124" s="172"/>
      <c r="MD124" s="172"/>
      <c r="ME124" s="172"/>
      <c r="MF124" s="172"/>
      <c r="MG124" s="172"/>
      <c r="MH124" s="172"/>
      <c r="MI124" s="172"/>
      <c r="MJ124" s="172"/>
      <c r="MK124" s="172"/>
      <c r="ML124" s="172"/>
      <c r="MM124" s="172"/>
      <c r="MN124" s="172"/>
      <c r="MO124" s="172"/>
      <c r="MP124" s="172"/>
      <c r="MQ124" s="172"/>
      <c r="MR124" s="172"/>
      <c r="MS124" s="172"/>
      <c r="MT124" s="172"/>
      <c r="MU124" s="172"/>
      <c r="MV124" s="172"/>
      <c r="MW124" s="172"/>
      <c r="MX124" s="172"/>
      <c r="MY124" s="172"/>
      <c r="MZ124" s="172"/>
      <c r="NA124" s="172"/>
      <c r="NB124" s="172"/>
      <c r="NC124" s="172"/>
      <c r="ND124" s="172"/>
      <c r="NE124" s="172"/>
      <c r="NF124" s="172"/>
      <c r="NG124" s="172"/>
      <c r="NH124" s="172"/>
      <c r="NI124" s="172"/>
      <c r="NJ124" s="172"/>
      <c r="NK124" s="172"/>
      <c r="NL124" s="172"/>
      <c r="NM124" s="172"/>
      <c r="NN124" s="172"/>
      <c r="NO124" s="172"/>
      <c r="NP124" s="172"/>
      <c r="NQ124" s="172"/>
      <c r="NR124" s="172"/>
      <c r="NS124" s="172"/>
      <c r="NT124" s="172"/>
      <c r="NU124" s="172"/>
      <c r="NV124" s="172"/>
      <c r="NW124" s="172"/>
      <c r="NX124" s="172"/>
      <c r="NY124" s="172"/>
      <c r="NZ124" s="172"/>
      <c r="OA124" s="172"/>
      <c r="OB124" s="172"/>
      <c r="OC124" s="172"/>
      <c r="OD124" s="172"/>
      <c r="OE124" s="172"/>
      <c r="OF124" s="172"/>
      <c r="OG124" s="172"/>
      <c r="OH124" s="172"/>
      <c r="OI124" s="172"/>
      <c r="OJ124" s="172"/>
      <c r="OK124" s="172"/>
      <c r="OL124" s="172"/>
      <c r="OM124" s="172"/>
      <c r="ON124" s="172"/>
      <c r="OO124" s="172"/>
      <c r="OP124" s="172"/>
      <c r="OQ124" s="172"/>
      <c r="OR124" s="172"/>
      <c r="OS124" s="172"/>
      <c r="OT124" s="172"/>
      <c r="OU124" s="172"/>
      <c r="OV124" s="172"/>
      <c r="OW124" s="172"/>
      <c r="OX124" s="172"/>
      <c r="OY124" s="172"/>
      <c r="OZ124" s="172"/>
      <c r="PA124" s="172"/>
      <c r="PB124" s="172"/>
      <c r="PC124" s="172"/>
      <c r="PD124" s="172"/>
      <c r="PE124" s="172"/>
      <c r="PF124" s="172"/>
      <c r="PG124" s="172"/>
      <c r="PH124" s="172"/>
      <c r="PI124" s="172"/>
      <c r="PJ124" s="172"/>
      <c r="PK124" s="172"/>
      <c r="PL124" s="172"/>
      <c r="PM124" s="172"/>
      <c r="PN124" s="172"/>
      <c r="PO124" s="172"/>
      <c r="PP124" s="172"/>
      <c r="PQ124" s="172"/>
      <c r="PR124" s="172"/>
      <c r="PS124" s="172"/>
      <c r="PT124" s="172"/>
      <c r="PU124" s="172"/>
      <c r="PV124" s="172"/>
      <c r="PW124" s="172"/>
      <c r="PX124" s="172"/>
      <c r="PY124" s="172"/>
      <c r="PZ124" s="172"/>
      <c r="QA124" s="172"/>
      <c r="QB124" s="172"/>
      <c r="QC124" s="172"/>
      <c r="QD124" s="172"/>
      <c r="QE124" s="172"/>
      <c r="QF124" s="172"/>
      <c r="QG124" s="172"/>
      <c r="QH124" s="172"/>
      <c r="QI124" s="172"/>
      <c r="QJ124" s="172"/>
      <c r="QK124" s="172"/>
      <c r="QL124" s="172"/>
      <c r="QM124" s="172"/>
      <c r="QN124" s="172"/>
      <c r="QO124" s="172"/>
      <c r="QP124" s="172"/>
      <c r="QQ124" s="172"/>
      <c r="QR124" s="172"/>
      <c r="QS124" s="172"/>
      <c r="QT124" s="172"/>
      <c r="QU124" s="172"/>
      <c r="QV124" s="172"/>
      <c r="QW124" s="172"/>
      <c r="QX124" s="172"/>
      <c r="QY124" s="172"/>
      <c r="QZ124" s="172"/>
      <c r="RA124" s="172"/>
      <c r="RB124" s="172"/>
      <c r="RC124" s="172"/>
      <c r="RD124" s="172"/>
      <c r="RE124" s="172"/>
      <c r="RF124" s="172"/>
      <c r="RG124" s="172"/>
      <c r="RH124" s="172"/>
      <c r="RI124" s="172"/>
      <c r="RJ124" s="172"/>
      <c r="RK124" s="172"/>
      <c r="RL124" s="172"/>
      <c r="RM124" s="172"/>
      <c r="RN124" s="172"/>
      <c r="RO124" s="172"/>
      <c r="RP124" s="172"/>
      <c r="RQ124" s="172"/>
      <c r="RR124" s="172"/>
      <c r="RS124" s="172"/>
      <c r="RT124" s="172"/>
      <c r="RU124" s="172"/>
      <c r="RV124" s="172"/>
      <c r="RW124" s="172"/>
      <c r="RX124" s="172"/>
      <c r="RY124" s="172"/>
      <c r="RZ124" s="172"/>
      <c r="SA124" s="172"/>
      <c r="SB124" s="172"/>
      <c r="SC124" s="172"/>
      <c r="SD124" s="172"/>
      <c r="SE124" s="172"/>
      <c r="SF124" s="172"/>
      <c r="SG124" s="172"/>
      <c r="SH124" s="172"/>
      <c r="SI124" s="172"/>
      <c r="SJ124" s="172"/>
      <c r="SK124" s="172"/>
      <c r="SL124" s="172"/>
      <c r="SM124" s="172"/>
      <c r="SN124" s="172"/>
      <c r="SO124" s="172"/>
      <c r="SP124" s="172"/>
      <c r="SQ124" s="172"/>
      <c r="SR124" s="172"/>
      <c r="SS124" s="172"/>
      <c r="ST124" s="172"/>
      <c r="SU124" s="172"/>
      <c r="SV124" s="172"/>
      <c r="SW124" s="172"/>
      <c r="SX124" s="172"/>
      <c r="SY124" s="172"/>
      <c r="SZ124" s="172"/>
      <c r="TA124" s="172"/>
      <c r="TB124" s="172"/>
      <c r="TC124" s="172"/>
      <c r="TD124" s="172"/>
      <c r="TE124" s="172"/>
      <c r="TF124" s="172"/>
      <c r="TG124" s="172"/>
      <c r="TH124" s="172"/>
      <c r="TI124" s="172"/>
      <c r="TJ124" s="172"/>
      <c r="TK124" s="172"/>
      <c r="TL124" s="172"/>
      <c r="TM124" s="172"/>
      <c r="TN124" s="172"/>
      <c r="TO124" s="172"/>
      <c r="TP124" s="172"/>
      <c r="TQ124" s="172"/>
      <c r="TR124" s="172"/>
      <c r="TS124" s="172"/>
      <c r="TT124" s="172"/>
      <c r="TU124" s="172"/>
      <c r="TV124" s="172"/>
      <c r="TW124" s="172"/>
      <c r="TX124" s="172"/>
      <c r="TY124" s="172"/>
      <c r="TZ124" s="172"/>
      <c r="UA124" s="172"/>
      <c r="UB124" s="172"/>
      <c r="UC124" s="172"/>
      <c r="UD124" s="172"/>
      <c r="UE124" s="172"/>
      <c r="UF124" s="172"/>
      <c r="UG124" s="172"/>
      <c r="UH124" s="172"/>
      <c r="UI124" s="172"/>
      <c r="UJ124" s="172"/>
      <c r="UK124" s="172"/>
      <c r="UL124" s="172"/>
      <c r="UM124" s="172"/>
      <c r="UN124" s="172"/>
      <c r="UO124" s="172"/>
      <c r="UP124" s="172"/>
      <c r="UQ124" s="172"/>
      <c r="UR124" s="172"/>
      <c r="US124" s="172"/>
      <c r="UT124" s="172"/>
      <c r="UU124" s="172"/>
      <c r="UV124" s="172"/>
      <c r="UW124" s="172"/>
      <c r="UX124" s="172"/>
      <c r="UY124" s="172"/>
      <c r="UZ124" s="172"/>
      <c r="VA124" s="172"/>
      <c r="VB124" s="172"/>
      <c r="VC124" s="172"/>
      <c r="VD124" s="172"/>
      <c r="VE124" s="172"/>
      <c r="VF124" s="172"/>
      <c r="VG124" s="172"/>
      <c r="VH124" s="172"/>
      <c r="VI124" s="172"/>
      <c r="VJ124" s="172"/>
      <c r="VK124" s="172"/>
      <c r="VL124" s="172"/>
      <c r="VM124" s="172"/>
      <c r="VN124" s="172"/>
      <c r="VO124" s="172"/>
      <c r="VP124" s="172"/>
      <c r="VQ124" s="172"/>
      <c r="VR124" s="172"/>
      <c r="VS124" s="172"/>
      <c r="VT124" s="172"/>
      <c r="VU124" s="172"/>
      <c r="VV124" s="172"/>
      <c r="VW124" s="172"/>
      <c r="VX124" s="172"/>
      <c r="VY124" s="172"/>
      <c r="VZ124" s="172"/>
      <c r="WA124" s="172"/>
      <c r="WB124" s="172"/>
      <c r="WC124" s="172"/>
      <c r="WD124" s="172"/>
      <c r="WE124" s="172"/>
      <c r="WF124" s="172"/>
      <c r="WG124" s="172"/>
      <c r="WH124" s="172"/>
      <c r="WI124" s="172"/>
      <c r="WJ124" s="172"/>
      <c r="WK124" s="172"/>
      <c r="WL124" s="172"/>
      <c r="WM124" s="172"/>
      <c r="WN124" s="172"/>
      <c r="WO124" s="172"/>
      <c r="WP124" s="172"/>
      <c r="WQ124" s="172"/>
      <c r="WR124" s="172"/>
      <c r="WS124" s="172"/>
      <c r="WT124" s="172"/>
      <c r="WU124" s="172"/>
      <c r="WV124" s="172"/>
      <c r="WW124" s="172"/>
      <c r="WX124" s="172"/>
      <c r="WY124" s="172"/>
      <c r="WZ124" s="172"/>
      <c r="XA124" s="172"/>
      <c r="XB124" s="172"/>
      <c r="XC124" s="172"/>
      <c r="XD124" s="172"/>
      <c r="XE124" s="172"/>
      <c r="XF124" s="172"/>
      <c r="XG124" s="172"/>
      <c r="XH124" s="172"/>
      <c r="XI124" s="172"/>
      <c r="XJ124" s="172"/>
      <c r="XK124" s="172"/>
      <c r="XL124" s="172"/>
      <c r="XM124" s="172"/>
      <c r="XN124" s="172"/>
      <c r="XO124" s="172"/>
      <c r="XP124" s="172"/>
      <c r="XQ124" s="172"/>
      <c r="XR124" s="172"/>
      <c r="XS124" s="172"/>
      <c r="XT124" s="172"/>
      <c r="XU124" s="172"/>
      <c r="XV124" s="172"/>
      <c r="XW124" s="172"/>
      <c r="XX124" s="172"/>
      <c r="XY124" s="172"/>
      <c r="XZ124" s="172"/>
      <c r="YA124" s="172"/>
      <c r="YB124" s="172"/>
      <c r="YC124" s="172"/>
      <c r="YD124" s="172"/>
      <c r="YE124" s="172"/>
      <c r="YF124" s="172"/>
      <c r="YG124" s="172"/>
      <c r="YH124" s="172"/>
      <c r="YI124" s="172"/>
      <c r="YJ124" s="172"/>
      <c r="YK124" s="172"/>
      <c r="YL124" s="172"/>
      <c r="YM124" s="172"/>
      <c r="YN124" s="172"/>
      <c r="YO124" s="172"/>
      <c r="YP124" s="172"/>
      <c r="YQ124" s="172"/>
      <c r="YR124" s="172"/>
      <c r="YS124" s="172"/>
      <c r="YT124" s="172"/>
      <c r="YU124" s="172"/>
      <c r="YV124" s="172"/>
      <c r="YW124" s="172"/>
      <c r="YX124" s="172"/>
      <c r="YY124" s="172"/>
      <c r="YZ124" s="172"/>
      <c r="ZA124" s="172"/>
      <c r="ZB124" s="172"/>
      <c r="ZC124" s="172"/>
      <c r="ZD124" s="172"/>
      <c r="ZE124" s="172"/>
      <c r="ZF124" s="172"/>
      <c r="ZG124" s="172"/>
      <c r="ZH124" s="172"/>
      <c r="ZI124" s="172"/>
      <c r="ZJ124" s="172"/>
      <c r="ZK124" s="172"/>
      <c r="ZL124" s="172"/>
      <c r="ZM124" s="172"/>
      <c r="ZN124" s="172"/>
      <c r="ZO124" s="172"/>
      <c r="ZP124" s="172"/>
      <c r="ZQ124" s="172"/>
      <c r="ZR124" s="172"/>
      <c r="ZS124" s="172"/>
      <c r="ZT124" s="172"/>
      <c r="ZU124" s="172"/>
      <c r="ZV124" s="172"/>
      <c r="ZW124" s="172"/>
      <c r="ZX124" s="172"/>
      <c r="ZY124" s="172"/>
      <c r="ZZ124" s="172"/>
      <c r="AAA124" s="172"/>
      <c r="AAB124" s="172"/>
      <c r="AAC124" s="172"/>
      <c r="AAD124" s="172"/>
      <c r="AAE124" s="172"/>
      <c r="AAF124" s="172"/>
      <c r="AAG124" s="172"/>
      <c r="AAH124" s="172"/>
      <c r="AAI124" s="172"/>
      <c r="AAJ124" s="172"/>
      <c r="AAK124" s="172"/>
      <c r="AAL124" s="172"/>
      <c r="AAM124" s="172"/>
      <c r="AAN124" s="172"/>
      <c r="AAO124" s="172"/>
      <c r="AAP124" s="172"/>
      <c r="AAQ124" s="172"/>
      <c r="AAR124" s="172"/>
      <c r="AAS124" s="172"/>
      <c r="AAT124" s="172"/>
      <c r="AAU124" s="172"/>
      <c r="AAV124" s="172"/>
      <c r="AAW124" s="172"/>
      <c r="AAX124" s="172"/>
      <c r="AAY124" s="172"/>
      <c r="AAZ124" s="172"/>
      <c r="ABA124" s="172"/>
      <c r="ABB124" s="172"/>
      <c r="ABC124" s="172"/>
      <c r="ABD124" s="172"/>
      <c r="ABE124" s="172"/>
      <c r="ABF124" s="172"/>
      <c r="ABG124" s="172"/>
      <c r="ABH124" s="172"/>
      <c r="ABI124" s="172"/>
      <c r="ABJ124" s="172"/>
      <c r="ABK124" s="172"/>
      <c r="ABL124" s="172"/>
      <c r="ABM124" s="172"/>
      <c r="ABN124" s="172"/>
      <c r="ABO124" s="172"/>
      <c r="ABP124" s="172"/>
      <c r="ABQ124" s="172"/>
      <c r="ABR124" s="172"/>
      <c r="ABS124" s="172"/>
      <c r="ABT124" s="172"/>
      <c r="ABU124" s="172"/>
      <c r="ABV124" s="172"/>
      <c r="ABW124" s="172"/>
      <c r="ABX124" s="172"/>
      <c r="ABY124" s="172"/>
      <c r="ABZ124" s="172"/>
      <c r="ACA124" s="172"/>
      <c r="ACB124" s="172"/>
      <c r="ACC124" s="172"/>
      <c r="ACD124" s="172"/>
      <c r="ACE124" s="172"/>
      <c r="ACF124" s="172"/>
      <c r="ACG124" s="172"/>
      <c r="ACH124" s="172"/>
      <c r="ACI124" s="172"/>
      <c r="ACJ124" s="172"/>
      <c r="ACK124" s="172"/>
      <c r="ACL124" s="172"/>
      <c r="ACM124" s="172"/>
      <c r="ACN124" s="172"/>
      <c r="ACO124" s="172"/>
      <c r="ACP124" s="172"/>
      <c r="ACQ124" s="172"/>
      <c r="ACR124" s="172"/>
      <c r="ACS124" s="172"/>
      <c r="ACT124" s="172"/>
      <c r="ACU124" s="172"/>
      <c r="ACV124" s="172"/>
      <c r="ACW124" s="172"/>
      <c r="ACX124" s="172"/>
      <c r="ACY124" s="172"/>
      <c r="ACZ124" s="172"/>
      <c r="ADA124" s="172"/>
      <c r="ADB124" s="172"/>
      <c r="ADC124" s="172"/>
      <c r="ADD124" s="172"/>
      <c r="ADE124" s="172"/>
      <c r="ADF124" s="172"/>
      <c r="ADG124" s="172"/>
      <c r="ADH124" s="172"/>
      <c r="ADI124" s="172"/>
      <c r="ADJ124" s="172"/>
      <c r="ADK124" s="172"/>
      <c r="ADL124" s="172"/>
      <c r="ADM124" s="172"/>
      <c r="ADN124" s="172"/>
      <c r="ADO124" s="172"/>
      <c r="ADP124" s="172"/>
      <c r="ADQ124" s="172"/>
      <c r="ADR124" s="172"/>
      <c r="ADS124" s="172"/>
      <c r="ADT124" s="172"/>
      <c r="ADU124" s="172"/>
      <c r="ADV124" s="172"/>
      <c r="ADW124" s="172"/>
      <c r="ADX124" s="172"/>
      <c r="ADY124" s="172"/>
      <c r="ADZ124" s="172"/>
      <c r="AEA124" s="172"/>
      <c r="AEB124" s="172"/>
      <c r="AEC124" s="172"/>
      <c r="AED124" s="172"/>
      <c r="AEE124" s="172"/>
      <c r="AEF124" s="172"/>
      <c r="AEG124" s="172"/>
      <c r="AEH124" s="172"/>
      <c r="AEI124" s="172"/>
      <c r="AEJ124" s="172"/>
      <c r="AEK124" s="172"/>
      <c r="AEL124" s="172"/>
      <c r="AEM124" s="172"/>
      <c r="AEN124" s="172"/>
      <c r="AEO124" s="172"/>
      <c r="AEP124" s="172"/>
      <c r="AEQ124" s="172"/>
      <c r="AER124" s="172"/>
      <c r="AES124" s="172"/>
      <c r="AET124" s="172"/>
      <c r="AEU124" s="172"/>
      <c r="AEV124" s="172"/>
      <c r="AEW124" s="172"/>
      <c r="AEX124" s="172"/>
      <c r="AEY124" s="172"/>
      <c r="AEZ124" s="172"/>
      <c r="AFA124" s="172"/>
      <c r="AFB124" s="172"/>
      <c r="AFC124" s="172"/>
      <c r="AFD124" s="172"/>
      <c r="AFE124" s="172"/>
      <c r="AFF124" s="172"/>
      <c r="AFG124" s="172"/>
      <c r="AFH124" s="172"/>
      <c r="AFI124" s="172"/>
      <c r="AFJ124" s="172"/>
      <c r="AFK124" s="172"/>
      <c r="AFL124" s="172"/>
      <c r="AFM124" s="172"/>
      <c r="AFN124" s="172"/>
      <c r="AFO124" s="172"/>
      <c r="AFP124" s="172"/>
      <c r="AFQ124" s="172"/>
      <c r="AFR124" s="172"/>
      <c r="AFS124" s="172"/>
      <c r="AFT124" s="172"/>
      <c r="AFU124" s="172"/>
      <c r="AFV124" s="172"/>
      <c r="AFW124" s="172"/>
      <c r="AFX124" s="172"/>
      <c r="AFY124" s="172"/>
      <c r="AFZ124" s="172"/>
      <c r="AGA124" s="172"/>
      <c r="AGB124" s="172"/>
      <c r="AGC124" s="172"/>
      <c r="AGD124" s="172"/>
      <c r="AGE124" s="172"/>
      <c r="AGF124" s="172"/>
      <c r="AGG124" s="172"/>
      <c r="AGH124" s="172"/>
      <c r="AGI124" s="172"/>
      <c r="AGJ124" s="172"/>
      <c r="AGK124" s="172"/>
      <c r="AGL124" s="172"/>
      <c r="AGM124" s="172"/>
      <c r="AGN124" s="172"/>
      <c r="AGO124" s="172"/>
      <c r="AGP124" s="172"/>
      <c r="AGQ124" s="172"/>
      <c r="AGR124" s="172"/>
      <c r="AGS124" s="172"/>
      <c r="AGT124" s="172"/>
      <c r="AGU124" s="172"/>
      <c r="AGV124" s="172"/>
      <c r="AGW124" s="172"/>
      <c r="AGX124" s="172"/>
      <c r="AGY124" s="172"/>
      <c r="AGZ124" s="172"/>
      <c r="AHA124" s="172"/>
      <c r="AHB124" s="172"/>
      <c r="AHC124" s="172"/>
      <c r="AHD124" s="172"/>
      <c r="AHE124" s="172"/>
      <c r="AHF124" s="172"/>
      <c r="AHG124" s="172"/>
      <c r="AHH124" s="172"/>
      <c r="AHI124" s="172"/>
      <c r="AHJ124" s="172"/>
      <c r="AHK124" s="172"/>
      <c r="AHL124" s="172"/>
      <c r="AHM124" s="172"/>
      <c r="AHN124" s="172"/>
      <c r="AHO124" s="172"/>
      <c r="AHP124" s="172"/>
      <c r="AHQ124" s="172"/>
      <c r="AHR124" s="172"/>
      <c r="AHS124" s="172"/>
      <c r="AHT124" s="172"/>
      <c r="AHU124" s="172"/>
      <c r="AHV124" s="172"/>
      <c r="AHW124" s="172"/>
      <c r="AHX124" s="172"/>
      <c r="AHY124" s="172"/>
      <c r="AHZ124" s="172"/>
      <c r="AIA124" s="172"/>
      <c r="AIB124" s="172"/>
      <c r="AIC124" s="172"/>
      <c r="AID124" s="172"/>
      <c r="AIE124" s="172"/>
      <c r="AIF124" s="172"/>
      <c r="AIG124" s="172"/>
      <c r="AIH124" s="172"/>
      <c r="AII124" s="172"/>
      <c r="AIJ124" s="172"/>
      <c r="AIK124" s="172"/>
      <c r="AIL124" s="172"/>
      <c r="AIM124" s="172"/>
      <c r="AIN124" s="172"/>
      <c r="AIO124" s="172"/>
      <c r="AIP124" s="172"/>
      <c r="AIQ124" s="172"/>
      <c r="AIR124" s="172"/>
      <c r="AIS124" s="172"/>
      <c r="AIT124" s="172"/>
      <c r="AIU124" s="172"/>
      <c r="AIV124" s="172"/>
      <c r="AIW124" s="172"/>
      <c r="AIX124" s="172"/>
      <c r="AIY124" s="172"/>
      <c r="AIZ124" s="172"/>
      <c r="AJA124" s="172"/>
      <c r="AJB124" s="172"/>
      <c r="AJC124" s="172"/>
      <c r="AJD124" s="172"/>
      <c r="AJE124" s="172"/>
      <c r="AJF124" s="172"/>
      <c r="AJG124" s="172"/>
      <c r="AJH124" s="172"/>
      <c r="AJI124" s="172"/>
      <c r="AJJ124" s="172"/>
      <c r="AJK124" s="172"/>
      <c r="AJL124" s="172"/>
      <c r="AJM124" s="172"/>
      <c r="AJN124" s="172"/>
      <c r="AJO124" s="172"/>
      <c r="AJP124" s="172"/>
      <c r="AJQ124" s="172"/>
      <c r="AJR124" s="172"/>
      <c r="AJS124" s="172"/>
      <c r="AJT124" s="172"/>
      <c r="AJU124" s="172"/>
      <c r="AJV124" s="172"/>
      <c r="AJW124" s="172"/>
      <c r="AJX124" s="172"/>
      <c r="AJY124" s="172"/>
      <c r="AJZ124" s="172"/>
      <c r="AKA124" s="172"/>
      <c r="AKB124" s="172"/>
      <c r="AKC124" s="172"/>
      <c r="AKD124" s="172"/>
      <c r="AKE124" s="172"/>
      <c r="AKF124" s="172"/>
      <c r="AKG124" s="172"/>
      <c r="AKH124" s="172"/>
      <c r="AKI124" s="172"/>
      <c r="AKJ124" s="172"/>
      <c r="AKK124" s="172"/>
      <c r="AKL124" s="172"/>
      <c r="AKM124" s="172"/>
      <c r="AKN124" s="172"/>
      <c r="AKO124" s="172"/>
      <c r="AKP124" s="172"/>
      <c r="AKQ124" s="172"/>
      <c r="AKR124" s="172"/>
      <c r="AKS124" s="172"/>
      <c r="AKT124" s="172"/>
      <c r="AKU124" s="172"/>
      <c r="AKV124" s="172"/>
      <c r="AKW124" s="172"/>
      <c r="AKX124" s="172"/>
      <c r="AKY124" s="172"/>
      <c r="AKZ124" s="172"/>
      <c r="ALA124" s="172"/>
      <c r="ALB124" s="172"/>
      <c r="ALC124" s="172"/>
      <c r="ALD124" s="172"/>
      <c r="ALE124" s="172"/>
      <c r="ALF124" s="172"/>
      <c r="ALG124" s="172"/>
      <c r="ALH124" s="172"/>
      <c r="ALI124" s="172"/>
      <c r="ALJ124" s="172"/>
      <c r="ALK124" s="172"/>
      <c r="ALL124" s="172"/>
      <c r="ALM124" s="172"/>
      <c r="ALN124" s="172"/>
      <c r="ALO124" s="172"/>
      <c r="ALP124" s="172"/>
      <c r="ALQ124" s="172"/>
      <c r="ALR124" s="172"/>
      <c r="ALS124" s="172"/>
      <c r="ALT124" s="172"/>
      <c r="ALU124" s="172"/>
      <c r="ALV124" s="172"/>
      <c r="ALW124" s="172"/>
      <c r="ALX124" s="172"/>
      <c r="ALY124" s="172"/>
      <c r="ALZ124" s="172"/>
      <c r="AMA124" s="172"/>
      <c r="AMB124" s="172"/>
      <c r="AMC124" s="172"/>
      <c r="AMD124" s="172"/>
      <c r="AME124" s="172"/>
      <c r="AMF124" s="172"/>
      <c r="AMG124" s="172"/>
      <c r="AMH124" s="172"/>
      <c r="AMI124" s="172"/>
      <c r="AMJ124" s="172"/>
      <c r="AMK124" s="172"/>
      <c r="AML124" s="172"/>
      <c r="AMM124" s="172"/>
      <c r="AMN124" s="172"/>
      <c r="AMO124" s="172"/>
      <c r="AMP124" s="172"/>
      <c r="AMQ124" s="172"/>
      <c r="AMR124" s="172"/>
      <c r="AMS124" s="172"/>
      <c r="AMT124" s="172"/>
      <c r="AMU124" s="172"/>
      <c r="AMV124" s="172"/>
      <c r="AMW124" s="172"/>
      <c r="AMX124" s="172"/>
      <c r="AMY124" s="172"/>
      <c r="AMZ124" s="172"/>
      <c r="ANA124" s="172"/>
      <c r="ANB124" s="172"/>
      <c r="ANC124" s="172"/>
      <c r="AND124" s="172"/>
      <c r="ANE124" s="172"/>
      <c r="ANF124" s="172"/>
      <c r="ANG124" s="172"/>
      <c r="ANH124" s="172"/>
      <c r="ANI124" s="172"/>
      <c r="ANJ124" s="172"/>
      <c r="ANK124" s="172"/>
      <c r="ANL124" s="172"/>
      <c r="ANM124" s="172"/>
      <c r="ANN124" s="172"/>
      <c r="ANO124" s="172"/>
      <c r="ANP124" s="172"/>
      <c r="ANQ124" s="172"/>
      <c r="ANR124" s="172"/>
      <c r="ANS124" s="172"/>
      <c r="ANT124" s="172"/>
      <c r="ANU124" s="172"/>
      <c r="ANV124" s="172"/>
      <c r="ANW124" s="172"/>
      <c r="ANX124" s="172"/>
      <c r="ANY124" s="172"/>
      <c r="ANZ124" s="172"/>
      <c r="AOA124" s="172"/>
      <c r="AOB124" s="172"/>
      <c r="AOC124" s="172"/>
      <c r="AOD124" s="172"/>
      <c r="AOE124" s="172"/>
      <c r="AOF124" s="172"/>
      <c r="AOG124" s="172"/>
      <c r="AOH124" s="172"/>
      <c r="AOI124" s="172"/>
      <c r="AOJ124" s="172"/>
      <c r="AOK124" s="172"/>
      <c r="AOL124" s="172"/>
      <c r="AOM124" s="172"/>
      <c r="AON124" s="172"/>
      <c r="AOO124" s="172"/>
      <c r="AOP124" s="172"/>
      <c r="AOQ124" s="172"/>
      <c r="AOR124" s="172"/>
      <c r="AOS124" s="172"/>
      <c r="AOT124" s="172"/>
      <c r="AOU124" s="172"/>
      <c r="AOV124" s="172"/>
      <c r="AOW124" s="172"/>
      <c r="AOX124" s="172"/>
      <c r="AOY124" s="172"/>
      <c r="AOZ124" s="172"/>
      <c r="APA124" s="172"/>
      <c r="APB124" s="172"/>
      <c r="APC124" s="172"/>
      <c r="APD124" s="172"/>
      <c r="APE124" s="172"/>
      <c r="APF124" s="172"/>
      <c r="APG124" s="172"/>
      <c r="APH124" s="172"/>
      <c r="API124" s="172"/>
      <c r="APJ124" s="172"/>
      <c r="APK124" s="172"/>
      <c r="APL124" s="172"/>
      <c r="APM124" s="172"/>
      <c r="APN124" s="172"/>
      <c r="APO124" s="172"/>
      <c r="APP124" s="172"/>
      <c r="APQ124" s="172"/>
      <c r="APR124" s="172"/>
      <c r="APS124" s="172"/>
      <c r="APT124" s="172"/>
      <c r="APU124" s="172"/>
      <c r="APV124" s="172"/>
      <c r="APW124" s="172"/>
      <c r="APX124" s="172"/>
      <c r="APY124" s="172"/>
      <c r="APZ124" s="172"/>
      <c r="AQA124" s="172"/>
      <c r="AQB124" s="172"/>
      <c r="AQC124" s="172"/>
      <c r="AQD124" s="172"/>
      <c r="AQE124" s="172"/>
      <c r="AQF124" s="172"/>
      <c r="AQG124" s="172"/>
      <c r="AQH124" s="172"/>
      <c r="AQI124" s="172"/>
      <c r="AQJ124" s="172"/>
      <c r="AQK124" s="172"/>
      <c r="AQL124" s="172"/>
      <c r="AQM124" s="172"/>
      <c r="AQN124" s="172"/>
      <c r="AQO124" s="172"/>
      <c r="AQP124" s="172"/>
      <c r="AQQ124" s="172"/>
      <c r="AQR124" s="172"/>
      <c r="AQS124" s="172"/>
      <c r="AQT124" s="172"/>
      <c r="AQU124" s="172"/>
      <c r="AQV124" s="172"/>
      <c r="AQW124" s="172"/>
      <c r="AQX124" s="172"/>
      <c r="AQY124" s="172"/>
      <c r="AQZ124" s="172"/>
      <c r="ARA124" s="172"/>
      <c r="ARB124" s="172"/>
      <c r="ARC124" s="172"/>
      <c r="ARD124" s="172"/>
      <c r="ARE124" s="172"/>
      <c r="ARF124" s="172"/>
      <c r="ARG124" s="172"/>
      <c r="ARH124" s="172"/>
      <c r="ARI124" s="172"/>
      <c r="ARJ124" s="172"/>
      <c r="ARK124" s="172"/>
      <c r="ARL124" s="172"/>
      <c r="ARM124" s="172"/>
      <c r="ARN124" s="172"/>
      <c r="ARO124" s="172"/>
      <c r="ARP124" s="172"/>
      <c r="ARQ124" s="172"/>
      <c r="ARR124" s="172"/>
      <c r="ARS124" s="172"/>
      <c r="ART124" s="172"/>
      <c r="ARU124" s="172"/>
    </row>
    <row r="125" spans="1:1165" s="257" customFormat="1">
      <c r="A125" s="222" t="s">
        <v>239</v>
      </c>
      <c r="B125" s="195" t="s">
        <v>87</v>
      </c>
      <c r="C125" s="196">
        <v>0</v>
      </c>
      <c r="D125" s="196">
        <v>0</v>
      </c>
      <c r="E125" s="196">
        <v>0</v>
      </c>
      <c r="F125" s="196">
        <v>0</v>
      </c>
      <c r="G125" s="196">
        <v>0</v>
      </c>
      <c r="H125" s="196">
        <v>0</v>
      </c>
      <c r="I125" s="196">
        <v>0</v>
      </c>
      <c r="J125" s="196">
        <v>0</v>
      </c>
      <c r="K125" s="196">
        <v>0</v>
      </c>
      <c r="L125" s="196">
        <v>0</v>
      </c>
      <c r="M125" s="196">
        <v>0</v>
      </c>
      <c r="N125" s="196">
        <v>0</v>
      </c>
      <c r="O125" s="196">
        <v>0</v>
      </c>
      <c r="P125" s="196">
        <v>0</v>
      </c>
      <c r="Q125" s="196">
        <v>0</v>
      </c>
      <c r="R125" s="196">
        <v>0</v>
      </c>
      <c r="S125" s="196">
        <v>0</v>
      </c>
      <c r="T125" s="196">
        <v>0</v>
      </c>
      <c r="U125" s="196">
        <v>0</v>
      </c>
      <c r="V125" s="196">
        <v>0</v>
      </c>
      <c r="W125" s="196">
        <v>0</v>
      </c>
      <c r="X125" s="196">
        <v>0</v>
      </c>
      <c r="Y125" s="196">
        <v>0</v>
      </c>
      <c r="Z125" s="196">
        <v>0</v>
      </c>
      <c r="AA125" s="196">
        <v>0</v>
      </c>
      <c r="AB125" s="196">
        <v>0</v>
      </c>
      <c r="AC125" s="196">
        <v>0</v>
      </c>
      <c r="AD125" s="196">
        <v>0</v>
      </c>
      <c r="AE125" s="196">
        <v>0</v>
      </c>
      <c r="AF125" s="196">
        <v>0</v>
      </c>
      <c r="AG125" s="196">
        <v>0</v>
      </c>
      <c r="AH125" s="196">
        <v>0</v>
      </c>
      <c r="AI125" s="196">
        <v>0</v>
      </c>
      <c r="AJ125" s="196">
        <v>0</v>
      </c>
      <c r="AK125" s="196">
        <v>0</v>
      </c>
      <c r="AL125" s="196">
        <v>0</v>
      </c>
      <c r="AM125" s="196">
        <v>0</v>
      </c>
      <c r="AN125" s="196">
        <v>0</v>
      </c>
      <c r="AO125" s="196">
        <v>0</v>
      </c>
      <c r="AP125" s="196">
        <v>0</v>
      </c>
      <c r="AQ125" s="196">
        <v>0</v>
      </c>
      <c r="AR125" s="196">
        <v>0</v>
      </c>
      <c r="AS125" s="196">
        <v>0</v>
      </c>
      <c r="AT125" s="196">
        <v>0</v>
      </c>
      <c r="AU125" s="196">
        <v>0</v>
      </c>
      <c r="AV125" s="196">
        <v>0</v>
      </c>
      <c r="AW125" s="196">
        <v>0</v>
      </c>
      <c r="AX125" s="196">
        <v>0</v>
      </c>
      <c r="AY125" s="198">
        <v>0</v>
      </c>
      <c r="AZ125" s="198">
        <v>0</v>
      </c>
      <c r="BA125" s="262"/>
      <c r="BB125" s="211"/>
      <c r="BC125" s="211"/>
      <c r="BD125" s="211"/>
      <c r="BE125" s="211"/>
      <c r="BF125" s="211"/>
      <c r="BG125" s="211"/>
      <c r="BH125" s="211"/>
      <c r="BI125" s="262"/>
      <c r="BJ125" s="1601">
        <f>C125+G125+I125+K125+M125+O125+Q125+S125+U125+W125+Y125+AA125+AC125+AE125+AG125+AI125+AK125+AM125+AO125+AQ125+AS125+AU125+AW125+AY125+BB125+BF125</f>
        <v>0</v>
      </c>
      <c r="BK125" s="1601">
        <f t="shared" si="62"/>
        <v>0</v>
      </c>
      <c r="BL125" s="172"/>
      <c r="BM125" s="231"/>
      <c r="BN125" s="231"/>
      <c r="BO125" s="231"/>
      <c r="BP125" s="231"/>
      <c r="BQ125" s="172"/>
      <c r="BR125" s="172"/>
      <c r="BS125" s="172"/>
      <c r="BT125" s="172"/>
      <c r="BU125" s="172"/>
      <c r="BV125" s="172"/>
      <c r="BW125" s="172"/>
      <c r="BX125" s="172"/>
      <c r="BY125" s="172"/>
      <c r="BZ125" s="172"/>
      <c r="CA125" s="172"/>
      <c r="CB125" s="172"/>
      <c r="CC125" s="172"/>
      <c r="CD125" s="172"/>
      <c r="CE125" s="172"/>
      <c r="CF125" s="172"/>
      <c r="CG125" s="172"/>
      <c r="CH125" s="172"/>
      <c r="CI125" s="172"/>
      <c r="CJ125" s="172"/>
      <c r="CK125" s="172"/>
      <c r="CL125" s="172"/>
      <c r="CM125" s="172"/>
      <c r="CN125" s="172"/>
      <c r="CO125" s="172"/>
      <c r="CP125" s="172"/>
      <c r="CQ125" s="172"/>
      <c r="CR125" s="172"/>
      <c r="CS125" s="172"/>
      <c r="CT125" s="172"/>
      <c r="CU125" s="172"/>
      <c r="CV125" s="172"/>
      <c r="CW125" s="172"/>
      <c r="CX125" s="172"/>
      <c r="CY125" s="172"/>
      <c r="CZ125" s="172"/>
      <c r="DA125" s="172"/>
      <c r="DB125" s="172"/>
      <c r="DC125" s="172"/>
      <c r="DD125" s="172"/>
      <c r="DE125" s="172"/>
      <c r="DF125" s="172"/>
      <c r="DG125" s="172"/>
      <c r="DH125" s="172"/>
      <c r="DI125" s="172"/>
      <c r="DJ125" s="172"/>
      <c r="DK125" s="172"/>
      <c r="DL125" s="172"/>
      <c r="DM125" s="172"/>
      <c r="DN125" s="172"/>
      <c r="DO125" s="172"/>
      <c r="DP125" s="172"/>
      <c r="DQ125" s="172"/>
      <c r="DR125" s="172"/>
      <c r="DS125" s="172"/>
      <c r="DT125" s="172"/>
      <c r="DU125" s="172"/>
      <c r="DV125" s="172"/>
      <c r="DW125" s="172"/>
      <c r="DX125" s="172"/>
      <c r="DY125" s="172"/>
      <c r="DZ125" s="172"/>
      <c r="EA125" s="172"/>
      <c r="EB125" s="172"/>
      <c r="EC125" s="172"/>
      <c r="ED125" s="172"/>
      <c r="EE125" s="172"/>
      <c r="EF125" s="172"/>
      <c r="EG125" s="172"/>
      <c r="EH125" s="172"/>
      <c r="EI125" s="172"/>
      <c r="EJ125" s="172"/>
      <c r="EK125" s="172"/>
      <c r="EL125" s="172"/>
      <c r="EM125" s="172"/>
      <c r="EN125" s="172"/>
      <c r="EO125" s="172"/>
      <c r="EP125" s="172"/>
      <c r="EQ125" s="172"/>
      <c r="ER125" s="172"/>
      <c r="ES125" s="172"/>
      <c r="ET125" s="172"/>
      <c r="EU125" s="172"/>
      <c r="EV125" s="172"/>
      <c r="EW125" s="172"/>
      <c r="EX125" s="172"/>
      <c r="EY125" s="172"/>
      <c r="EZ125" s="172"/>
      <c r="FA125" s="172"/>
      <c r="FB125" s="172"/>
      <c r="FC125" s="172"/>
      <c r="FD125" s="172"/>
      <c r="FE125" s="172"/>
      <c r="FF125" s="172"/>
      <c r="FG125" s="172"/>
      <c r="FH125" s="172"/>
      <c r="FI125" s="172"/>
      <c r="FJ125" s="172"/>
      <c r="FK125" s="172"/>
      <c r="FL125" s="172"/>
      <c r="FM125" s="172"/>
      <c r="FN125" s="172"/>
      <c r="FO125" s="172"/>
      <c r="FP125" s="172"/>
      <c r="FQ125" s="172"/>
      <c r="FR125" s="172"/>
      <c r="FS125" s="172"/>
      <c r="FT125" s="172"/>
      <c r="FU125" s="172"/>
      <c r="FV125" s="172"/>
      <c r="FW125" s="172"/>
      <c r="FX125" s="172"/>
      <c r="FY125" s="172"/>
      <c r="FZ125" s="172"/>
      <c r="GA125" s="172"/>
      <c r="GB125" s="172"/>
      <c r="GC125" s="172"/>
      <c r="GD125" s="172"/>
      <c r="GE125" s="172"/>
      <c r="GF125" s="172"/>
      <c r="GG125" s="172"/>
      <c r="GH125" s="172"/>
      <c r="GI125" s="172"/>
      <c r="GJ125" s="172"/>
      <c r="GK125" s="172"/>
      <c r="GL125" s="172"/>
      <c r="GM125" s="172"/>
      <c r="GN125" s="172"/>
      <c r="GO125" s="172"/>
      <c r="GP125" s="172"/>
      <c r="GQ125" s="172"/>
      <c r="GR125" s="172"/>
      <c r="GS125" s="172"/>
      <c r="GT125" s="172"/>
      <c r="GU125" s="172"/>
      <c r="GV125" s="172"/>
      <c r="GW125" s="172"/>
      <c r="GX125" s="172"/>
      <c r="GY125" s="172"/>
      <c r="GZ125" s="172"/>
      <c r="HA125" s="172"/>
      <c r="HB125" s="172"/>
      <c r="HC125" s="172"/>
      <c r="HD125" s="172"/>
      <c r="HE125" s="172"/>
      <c r="HF125" s="172"/>
      <c r="HG125" s="172"/>
      <c r="HH125" s="172"/>
      <c r="HI125" s="172"/>
      <c r="HJ125" s="172"/>
      <c r="HK125" s="172"/>
      <c r="HL125" s="172"/>
      <c r="HM125" s="172"/>
      <c r="HN125" s="172"/>
      <c r="HO125" s="172"/>
      <c r="HP125" s="172"/>
      <c r="HQ125" s="172"/>
      <c r="HR125" s="172"/>
      <c r="HS125" s="172"/>
      <c r="HT125" s="172"/>
      <c r="HU125" s="172"/>
      <c r="HV125" s="172"/>
      <c r="HW125" s="172"/>
      <c r="HX125" s="172"/>
      <c r="HY125" s="172"/>
      <c r="HZ125" s="172"/>
      <c r="IA125" s="172"/>
      <c r="IB125" s="172"/>
      <c r="IC125" s="172"/>
      <c r="ID125" s="172"/>
      <c r="IE125" s="172"/>
      <c r="IF125" s="172"/>
      <c r="IG125" s="172"/>
      <c r="IH125" s="172"/>
      <c r="II125" s="172"/>
      <c r="IJ125" s="172"/>
      <c r="IK125" s="172"/>
      <c r="IL125" s="172"/>
      <c r="IM125" s="172"/>
      <c r="IN125" s="172"/>
      <c r="IO125" s="172"/>
      <c r="IP125" s="172"/>
      <c r="IQ125" s="172"/>
      <c r="IR125" s="172"/>
      <c r="IS125" s="172"/>
      <c r="IT125" s="172"/>
      <c r="IU125" s="172"/>
      <c r="IV125" s="172"/>
      <c r="IW125" s="172"/>
      <c r="IX125" s="172"/>
      <c r="IY125" s="172"/>
      <c r="IZ125" s="172"/>
      <c r="JA125" s="172"/>
      <c r="JB125" s="172"/>
      <c r="JC125" s="172"/>
      <c r="JD125" s="172"/>
      <c r="JE125" s="172"/>
      <c r="JF125" s="172"/>
      <c r="JG125" s="172"/>
      <c r="JH125" s="172"/>
      <c r="JI125" s="172"/>
      <c r="JJ125" s="172"/>
      <c r="JK125" s="172"/>
      <c r="JL125" s="172"/>
      <c r="JM125" s="172"/>
      <c r="JN125" s="172"/>
      <c r="JO125" s="172"/>
      <c r="JP125" s="172"/>
      <c r="JQ125" s="172"/>
      <c r="JR125" s="172"/>
      <c r="JS125" s="172"/>
      <c r="JT125" s="172"/>
      <c r="JU125" s="172"/>
      <c r="JV125" s="172"/>
      <c r="JW125" s="172"/>
      <c r="JX125" s="172"/>
      <c r="JY125" s="172"/>
      <c r="JZ125" s="172"/>
      <c r="KA125" s="172"/>
      <c r="KB125" s="172"/>
      <c r="KC125" s="172"/>
      <c r="KD125" s="172"/>
      <c r="KE125" s="172"/>
      <c r="KF125" s="172"/>
      <c r="KG125" s="172"/>
      <c r="KH125" s="172"/>
      <c r="KI125" s="172"/>
      <c r="KJ125" s="172"/>
      <c r="KK125" s="172"/>
      <c r="KL125" s="172"/>
      <c r="KM125" s="172"/>
      <c r="KN125" s="172"/>
      <c r="KO125" s="172"/>
      <c r="KP125" s="172"/>
      <c r="KQ125" s="172"/>
      <c r="KR125" s="172"/>
      <c r="KS125" s="172"/>
      <c r="KT125" s="172"/>
      <c r="KU125" s="172"/>
      <c r="KV125" s="172"/>
      <c r="KW125" s="172"/>
      <c r="KX125" s="172"/>
      <c r="KY125" s="172"/>
      <c r="KZ125" s="172"/>
      <c r="LA125" s="172"/>
      <c r="LB125" s="172"/>
      <c r="LC125" s="172"/>
      <c r="LD125" s="172"/>
      <c r="LE125" s="172"/>
      <c r="LF125" s="172"/>
      <c r="LG125" s="172"/>
      <c r="LH125" s="172"/>
      <c r="LI125" s="172"/>
      <c r="LJ125" s="172"/>
      <c r="LK125" s="172"/>
      <c r="LL125" s="172"/>
      <c r="LM125" s="172"/>
      <c r="LN125" s="172"/>
      <c r="LO125" s="172"/>
      <c r="LP125" s="172"/>
      <c r="LQ125" s="172"/>
      <c r="LR125" s="172"/>
      <c r="LS125" s="172"/>
      <c r="LT125" s="172"/>
      <c r="LU125" s="172"/>
      <c r="LV125" s="172"/>
      <c r="LW125" s="172"/>
      <c r="LX125" s="172"/>
      <c r="LY125" s="172"/>
      <c r="LZ125" s="172"/>
      <c r="MA125" s="172"/>
      <c r="MB125" s="172"/>
      <c r="MC125" s="172"/>
      <c r="MD125" s="172"/>
      <c r="ME125" s="172"/>
      <c r="MF125" s="172"/>
      <c r="MG125" s="172"/>
      <c r="MH125" s="172"/>
      <c r="MI125" s="172"/>
      <c r="MJ125" s="172"/>
      <c r="MK125" s="172"/>
      <c r="ML125" s="172"/>
      <c r="MM125" s="172"/>
      <c r="MN125" s="172"/>
      <c r="MO125" s="172"/>
      <c r="MP125" s="172"/>
      <c r="MQ125" s="172"/>
      <c r="MR125" s="172"/>
      <c r="MS125" s="172"/>
      <c r="MT125" s="172"/>
      <c r="MU125" s="172"/>
      <c r="MV125" s="172"/>
      <c r="MW125" s="172"/>
      <c r="MX125" s="172"/>
      <c r="MY125" s="172"/>
      <c r="MZ125" s="172"/>
      <c r="NA125" s="172"/>
      <c r="NB125" s="172"/>
      <c r="NC125" s="172"/>
      <c r="ND125" s="172"/>
      <c r="NE125" s="172"/>
      <c r="NF125" s="172"/>
      <c r="NG125" s="172"/>
      <c r="NH125" s="172"/>
      <c r="NI125" s="172"/>
      <c r="NJ125" s="172"/>
      <c r="NK125" s="172"/>
      <c r="NL125" s="172"/>
      <c r="NM125" s="172"/>
      <c r="NN125" s="172"/>
      <c r="NO125" s="172"/>
      <c r="NP125" s="172"/>
      <c r="NQ125" s="172"/>
      <c r="NR125" s="172"/>
      <c r="NS125" s="172"/>
      <c r="NT125" s="172"/>
      <c r="NU125" s="172"/>
      <c r="NV125" s="172"/>
      <c r="NW125" s="172"/>
      <c r="NX125" s="172"/>
      <c r="NY125" s="172"/>
      <c r="NZ125" s="172"/>
      <c r="OA125" s="172"/>
      <c r="OB125" s="172"/>
      <c r="OC125" s="172"/>
      <c r="OD125" s="172"/>
      <c r="OE125" s="172"/>
      <c r="OF125" s="172"/>
      <c r="OG125" s="172"/>
      <c r="OH125" s="172"/>
      <c r="OI125" s="172"/>
      <c r="OJ125" s="172"/>
      <c r="OK125" s="172"/>
      <c r="OL125" s="172"/>
      <c r="OM125" s="172"/>
      <c r="ON125" s="172"/>
      <c r="OO125" s="172"/>
      <c r="OP125" s="172"/>
      <c r="OQ125" s="172"/>
      <c r="OR125" s="172"/>
      <c r="OS125" s="172"/>
      <c r="OT125" s="172"/>
      <c r="OU125" s="172"/>
      <c r="OV125" s="172"/>
      <c r="OW125" s="172"/>
      <c r="OX125" s="172"/>
      <c r="OY125" s="172"/>
      <c r="OZ125" s="172"/>
      <c r="PA125" s="172"/>
      <c r="PB125" s="172"/>
      <c r="PC125" s="172"/>
      <c r="PD125" s="172"/>
      <c r="PE125" s="172"/>
      <c r="PF125" s="172"/>
      <c r="PG125" s="172"/>
      <c r="PH125" s="172"/>
      <c r="PI125" s="172"/>
      <c r="PJ125" s="172"/>
      <c r="PK125" s="172"/>
      <c r="PL125" s="172"/>
      <c r="PM125" s="172"/>
      <c r="PN125" s="172"/>
      <c r="PO125" s="172"/>
      <c r="PP125" s="172"/>
      <c r="PQ125" s="172"/>
      <c r="PR125" s="172"/>
      <c r="PS125" s="172"/>
      <c r="PT125" s="172"/>
      <c r="PU125" s="172"/>
      <c r="PV125" s="172"/>
      <c r="PW125" s="172"/>
      <c r="PX125" s="172"/>
      <c r="PY125" s="172"/>
      <c r="PZ125" s="172"/>
      <c r="QA125" s="172"/>
      <c r="QB125" s="172"/>
      <c r="QC125" s="172"/>
      <c r="QD125" s="172"/>
      <c r="QE125" s="172"/>
      <c r="QF125" s="172"/>
      <c r="QG125" s="172"/>
      <c r="QH125" s="172"/>
      <c r="QI125" s="172"/>
      <c r="QJ125" s="172"/>
      <c r="QK125" s="172"/>
      <c r="QL125" s="172"/>
      <c r="QM125" s="172"/>
      <c r="QN125" s="172"/>
      <c r="QO125" s="172"/>
      <c r="QP125" s="172"/>
      <c r="QQ125" s="172"/>
      <c r="QR125" s="172"/>
      <c r="QS125" s="172"/>
      <c r="QT125" s="172"/>
      <c r="QU125" s="172"/>
      <c r="QV125" s="172"/>
      <c r="QW125" s="172"/>
      <c r="QX125" s="172"/>
      <c r="QY125" s="172"/>
      <c r="QZ125" s="172"/>
      <c r="RA125" s="172"/>
      <c r="RB125" s="172"/>
      <c r="RC125" s="172"/>
      <c r="RD125" s="172"/>
      <c r="RE125" s="172"/>
      <c r="RF125" s="172"/>
      <c r="RG125" s="172"/>
      <c r="RH125" s="172"/>
      <c r="RI125" s="172"/>
      <c r="RJ125" s="172"/>
      <c r="RK125" s="172"/>
      <c r="RL125" s="172"/>
      <c r="RM125" s="172"/>
      <c r="RN125" s="172"/>
      <c r="RO125" s="172"/>
      <c r="RP125" s="172"/>
      <c r="RQ125" s="172"/>
      <c r="RR125" s="172"/>
      <c r="RS125" s="172"/>
      <c r="RT125" s="172"/>
      <c r="RU125" s="172"/>
      <c r="RV125" s="172"/>
      <c r="RW125" s="172"/>
      <c r="RX125" s="172"/>
      <c r="RY125" s="172"/>
      <c r="RZ125" s="172"/>
      <c r="SA125" s="172"/>
      <c r="SB125" s="172"/>
      <c r="SC125" s="172"/>
      <c r="SD125" s="172"/>
      <c r="SE125" s="172"/>
      <c r="SF125" s="172"/>
      <c r="SG125" s="172"/>
      <c r="SH125" s="172"/>
      <c r="SI125" s="172"/>
      <c r="SJ125" s="172"/>
      <c r="SK125" s="172"/>
      <c r="SL125" s="172"/>
      <c r="SM125" s="172"/>
      <c r="SN125" s="172"/>
      <c r="SO125" s="172"/>
      <c r="SP125" s="172"/>
      <c r="SQ125" s="172"/>
      <c r="SR125" s="172"/>
      <c r="SS125" s="172"/>
      <c r="ST125" s="172"/>
      <c r="SU125" s="172"/>
      <c r="SV125" s="172"/>
      <c r="SW125" s="172"/>
      <c r="SX125" s="172"/>
      <c r="SY125" s="172"/>
      <c r="SZ125" s="172"/>
      <c r="TA125" s="172"/>
      <c r="TB125" s="172"/>
      <c r="TC125" s="172"/>
      <c r="TD125" s="172"/>
      <c r="TE125" s="172"/>
      <c r="TF125" s="172"/>
      <c r="TG125" s="172"/>
      <c r="TH125" s="172"/>
      <c r="TI125" s="172"/>
      <c r="TJ125" s="172"/>
      <c r="TK125" s="172"/>
      <c r="TL125" s="172"/>
      <c r="TM125" s="172"/>
      <c r="TN125" s="172"/>
      <c r="TO125" s="172"/>
      <c r="TP125" s="172"/>
      <c r="TQ125" s="172"/>
      <c r="TR125" s="172"/>
      <c r="TS125" s="172"/>
      <c r="TT125" s="172"/>
      <c r="TU125" s="172"/>
      <c r="TV125" s="172"/>
      <c r="TW125" s="172"/>
      <c r="TX125" s="172"/>
      <c r="TY125" s="172"/>
      <c r="TZ125" s="172"/>
      <c r="UA125" s="172"/>
      <c r="UB125" s="172"/>
      <c r="UC125" s="172"/>
      <c r="UD125" s="172"/>
      <c r="UE125" s="172"/>
      <c r="UF125" s="172"/>
      <c r="UG125" s="172"/>
      <c r="UH125" s="172"/>
      <c r="UI125" s="172"/>
      <c r="UJ125" s="172"/>
      <c r="UK125" s="172"/>
      <c r="UL125" s="172"/>
      <c r="UM125" s="172"/>
      <c r="UN125" s="172"/>
      <c r="UO125" s="172"/>
      <c r="UP125" s="172"/>
      <c r="UQ125" s="172"/>
      <c r="UR125" s="172"/>
      <c r="US125" s="172"/>
      <c r="UT125" s="172"/>
      <c r="UU125" s="172"/>
      <c r="UV125" s="172"/>
      <c r="UW125" s="172"/>
      <c r="UX125" s="172"/>
      <c r="UY125" s="172"/>
      <c r="UZ125" s="172"/>
      <c r="VA125" s="172"/>
      <c r="VB125" s="172"/>
      <c r="VC125" s="172"/>
      <c r="VD125" s="172"/>
      <c r="VE125" s="172"/>
      <c r="VF125" s="172"/>
      <c r="VG125" s="172"/>
      <c r="VH125" s="172"/>
      <c r="VI125" s="172"/>
      <c r="VJ125" s="172"/>
      <c r="VK125" s="172"/>
      <c r="VL125" s="172"/>
      <c r="VM125" s="172"/>
      <c r="VN125" s="172"/>
      <c r="VO125" s="172"/>
      <c r="VP125" s="172"/>
      <c r="VQ125" s="172"/>
      <c r="VR125" s="172"/>
      <c r="VS125" s="172"/>
      <c r="VT125" s="172"/>
      <c r="VU125" s="172"/>
      <c r="VV125" s="172"/>
      <c r="VW125" s="172"/>
      <c r="VX125" s="172"/>
      <c r="VY125" s="172"/>
      <c r="VZ125" s="172"/>
      <c r="WA125" s="172"/>
      <c r="WB125" s="172"/>
      <c r="WC125" s="172"/>
      <c r="WD125" s="172"/>
      <c r="WE125" s="172"/>
      <c r="WF125" s="172"/>
      <c r="WG125" s="172"/>
      <c r="WH125" s="172"/>
      <c r="WI125" s="172"/>
      <c r="WJ125" s="172"/>
      <c r="WK125" s="172"/>
      <c r="WL125" s="172"/>
      <c r="WM125" s="172"/>
      <c r="WN125" s="172"/>
      <c r="WO125" s="172"/>
      <c r="WP125" s="172"/>
      <c r="WQ125" s="172"/>
      <c r="WR125" s="172"/>
      <c r="WS125" s="172"/>
      <c r="WT125" s="172"/>
      <c r="WU125" s="172"/>
      <c r="WV125" s="172"/>
      <c r="WW125" s="172"/>
      <c r="WX125" s="172"/>
      <c r="WY125" s="172"/>
      <c r="WZ125" s="172"/>
      <c r="XA125" s="172"/>
      <c r="XB125" s="172"/>
      <c r="XC125" s="172"/>
      <c r="XD125" s="172"/>
      <c r="XE125" s="172"/>
      <c r="XF125" s="172"/>
      <c r="XG125" s="172"/>
      <c r="XH125" s="172"/>
      <c r="XI125" s="172"/>
      <c r="XJ125" s="172"/>
      <c r="XK125" s="172"/>
      <c r="XL125" s="172"/>
      <c r="XM125" s="172"/>
      <c r="XN125" s="172"/>
      <c r="XO125" s="172"/>
      <c r="XP125" s="172"/>
      <c r="XQ125" s="172"/>
      <c r="XR125" s="172"/>
      <c r="XS125" s="172"/>
      <c r="XT125" s="172"/>
      <c r="XU125" s="172"/>
      <c r="XV125" s="172"/>
      <c r="XW125" s="172"/>
      <c r="XX125" s="172"/>
      <c r="XY125" s="172"/>
      <c r="XZ125" s="172"/>
      <c r="YA125" s="172"/>
      <c r="YB125" s="172"/>
      <c r="YC125" s="172"/>
      <c r="YD125" s="172"/>
      <c r="YE125" s="172"/>
      <c r="YF125" s="172"/>
      <c r="YG125" s="172"/>
      <c r="YH125" s="172"/>
      <c r="YI125" s="172"/>
      <c r="YJ125" s="172"/>
      <c r="YK125" s="172"/>
      <c r="YL125" s="172"/>
      <c r="YM125" s="172"/>
      <c r="YN125" s="172"/>
      <c r="YO125" s="172"/>
      <c r="YP125" s="172"/>
      <c r="YQ125" s="172"/>
      <c r="YR125" s="172"/>
      <c r="YS125" s="172"/>
      <c r="YT125" s="172"/>
      <c r="YU125" s="172"/>
      <c r="YV125" s="172"/>
      <c r="YW125" s="172"/>
      <c r="YX125" s="172"/>
      <c r="YY125" s="172"/>
      <c r="YZ125" s="172"/>
      <c r="ZA125" s="172"/>
      <c r="ZB125" s="172"/>
      <c r="ZC125" s="172"/>
      <c r="ZD125" s="172"/>
      <c r="ZE125" s="172"/>
      <c r="ZF125" s="172"/>
      <c r="ZG125" s="172"/>
      <c r="ZH125" s="172"/>
      <c r="ZI125" s="172"/>
      <c r="ZJ125" s="172"/>
      <c r="ZK125" s="172"/>
      <c r="ZL125" s="172"/>
      <c r="ZM125" s="172"/>
      <c r="ZN125" s="172"/>
      <c r="ZO125" s="172"/>
      <c r="ZP125" s="172"/>
      <c r="ZQ125" s="172"/>
      <c r="ZR125" s="172"/>
      <c r="ZS125" s="172"/>
      <c r="ZT125" s="172"/>
      <c r="ZU125" s="172"/>
      <c r="ZV125" s="172"/>
      <c r="ZW125" s="172"/>
      <c r="ZX125" s="172"/>
      <c r="ZY125" s="172"/>
      <c r="ZZ125" s="172"/>
      <c r="AAA125" s="172"/>
      <c r="AAB125" s="172"/>
      <c r="AAC125" s="172"/>
      <c r="AAD125" s="172"/>
      <c r="AAE125" s="172"/>
      <c r="AAF125" s="172"/>
      <c r="AAG125" s="172"/>
      <c r="AAH125" s="172"/>
      <c r="AAI125" s="172"/>
      <c r="AAJ125" s="172"/>
      <c r="AAK125" s="172"/>
      <c r="AAL125" s="172"/>
      <c r="AAM125" s="172"/>
      <c r="AAN125" s="172"/>
      <c r="AAO125" s="172"/>
      <c r="AAP125" s="172"/>
      <c r="AAQ125" s="172"/>
      <c r="AAR125" s="172"/>
      <c r="AAS125" s="172"/>
      <c r="AAT125" s="172"/>
      <c r="AAU125" s="172"/>
      <c r="AAV125" s="172"/>
      <c r="AAW125" s="172"/>
      <c r="AAX125" s="172"/>
      <c r="AAY125" s="172"/>
      <c r="AAZ125" s="172"/>
      <c r="ABA125" s="172"/>
      <c r="ABB125" s="172"/>
      <c r="ABC125" s="172"/>
      <c r="ABD125" s="172"/>
      <c r="ABE125" s="172"/>
      <c r="ABF125" s="172"/>
      <c r="ABG125" s="172"/>
      <c r="ABH125" s="172"/>
      <c r="ABI125" s="172"/>
      <c r="ABJ125" s="172"/>
      <c r="ABK125" s="172"/>
      <c r="ABL125" s="172"/>
      <c r="ABM125" s="172"/>
      <c r="ABN125" s="172"/>
      <c r="ABO125" s="172"/>
      <c r="ABP125" s="172"/>
      <c r="ABQ125" s="172"/>
      <c r="ABR125" s="172"/>
      <c r="ABS125" s="172"/>
      <c r="ABT125" s="172"/>
      <c r="ABU125" s="172"/>
      <c r="ABV125" s="172"/>
      <c r="ABW125" s="172"/>
      <c r="ABX125" s="172"/>
      <c r="ABY125" s="172"/>
      <c r="ABZ125" s="172"/>
      <c r="ACA125" s="172"/>
      <c r="ACB125" s="172"/>
      <c r="ACC125" s="172"/>
      <c r="ACD125" s="172"/>
      <c r="ACE125" s="172"/>
      <c r="ACF125" s="172"/>
      <c r="ACG125" s="172"/>
      <c r="ACH125" s="172"/>
      <c r="ACI125" s="172"/>
      <c r="ACJ125" s="172"/>
      <c r="ACK125" s="172"/>
      <c r="ACL125" s="172"/>
      <c r="ACM125" s="172"/>
      <c r="ACN125" s="172"/>
      <c r="ACO125" s="172"/>
      <c r="ACP125" s="172"/>
      <c r="ACQ125" s="172"/>
      <c r="ACR125" s="172"/>
      <c r="ACS125" s="172"/>
      <c r="ACT125" s="172"/>
      <c r="ACU125" s="172"/>
      <c r="ACV125" s="172"/>
      <c r="ACW125" s="172"/>
      <c r="ACX125" s="172"/>
      <c r="ACY125" s="172"/>
      <c r="ACZ125" s="172"/>
      <c r="ADA125" s="172"/>
      <c r="ADB125" s="172"/>
      <c r="ADC125" s="172"/>
      <c r="ADD125" s="172"/>
      <c r="ADE125" s="172"/>
      <c r="ADF125" s="172"/>
      <c r="ADG125" s="172"/>
      <c r="ADH125" s="172"/>
      <c r="ADI125" s="172"/>
      <c r="ADJ125" s="172"/>
      <c r="ADK125" s="172"/>
      <c r="ADL125" s="172"/>
      <c r="ADM125" s="172"/>
      <c r="ADN125" s="172"/>
      <c r="ADO125" s="172"/>
      <c r="ADP125" s="172"/>
      <c r="ADQ125" s="172"/>
      <c r="ADR125" s="172"/>
      <c r="ADS125" s="172"/>
      <c r="ADT125" s="172"/>
      <c r="ADU125" s="172"/>
      <c r="ADV125" s="172"/>
      <c r="ADW125" s="172"/>
      <c r="ADX125" s="172"/>
      <c r="ADY125" s="172"/>
      <c r="ADZ125" s="172"/>
      <c r="AEA125" s="172"/>
      <c r="AEB125" s="172"/>
      <c r="AEC125" s="172"/>
      <c r="AED125" s="172"/>
      <c r="AEE125" s="172"/>
      <c r="AEF125" s="172"/>
      <c r="AEG125" s="172"/>
      <c r="AEH125" s="172"/>
      <c r="AEI125" s="172"/>
      <c r="AEJ125" s="172"/>
      <c r="AEK125" s="172"/>
      <c r="AEL125" s="172"/>
      <c r="AEM125" s="172"/>
      <c r="AEN125" s="172"/>
      <c r="AEO125" s="172"/>
      <c r="AEP125" s="172"/>
      <c r="AEQ125" s="172"/>
      <c r="AER125" s="172"/>
      <c r="AES125" s="172"/>
      <c r="AET125" s="172"/>
      <c r="AEU125" s="172"/>
      <c r="AEV125" s="172"/>
      <c r="AEW125" s="172"/>
      <c r="AEX125" s="172"/>
      <c r="AEY125" s="172"/>
      <c r="AEZ125" s="172"/>
      <c r="AFA125" s="172"/>
      <c r="AFB125" s="172"/>
      <c r="AFC125" s="172"/>
      <c r="AFD125" s="172"/>
      <c r="AFE125" s="172"/>
      <c r="AFF125" s="172"/>
      <c r="AFG125" s="172"/>
      <c r="AFH125" s="172"/>
      <c r="AFI125" s="172"/>
      <c r="AFJ125" s="172"/>
      <c r="AFK125" s="172"/>
      <c r="AFL125" s="172"/>
      <c r="AFM125" s="172"/>
      <c r="AFN125" s="172"/>
      <c r="AFO125" s="172"/>
      <c r="AFP125" s="172"/>
      <c r="AFQ125" s="172"/>
      <c r="AFR125" s="172"/>
      <c r="AFS125" s="172"/>
      <c r="AFT125" s="172"/>
      <c r="AFU125" s="172"/>
      <c r="AFV125" s="172"/>
      <c r="AFW125" s="172"/>
      <c r="AFX125" s="172"/>
      <c r="AFY125" s="172"/>
      <c r="AFZ125" s="172"/>
      <c r="AGA125" s="172"/>
      <c r="AGB125" s="172"/>
      <c r="AGC125" s="172"/>
      <c r="AGD125" s="172"/>
      <c r="AGE125" s="172"/>
      <c r="AGF125" s="172"/>
      <c r="AGG125" s="172"/>
      <c r="AGH125" s="172"/>
      <c r="AGI125" s="172"/>
      <c r="AGJ125" s="172"/>
      <c r="AGK125" s="172"/>
      <c r="AGL125" s="172"/>
      <c r="AGM125" s="172"/>
      <c r="AGN125" s="172"/>
      <c r="AGO125" s="172"/>
      <c r="AGP125" s="172"/>
      <c r="AGQ125" s="172"/>
      <c r="AGR125" s="172"/>
      <c r="AGS125" s="172"/>
      <c r="AGT125" s="172"/>
      <c r="AGU125" s="172"/>
      <c r="AGV125" s="172"/>
      <c r="AGW125" s="172"/>
      <c r="AGX125" s="172"/>
      <c r="AGY125" s="172"/>
      <c r="AGZ125" s="172"/>
      <c r="AHA125" s="172"/>
      <c r="AHB125" s="172"/>
      <c r="AHC125" s="172"/>
      <c r="AHD125" s="172"/>
      <c r="AHE125" s="172"/>
      <c r="AHF125" s="172"/>
      <c r="AHG125" s="172"/>
      <c r="AHH125" s="172"/>
      <c r="AHI125" s="172"/>
      <c r="AHJ125" s="172"/>
      <c r="AHK125" s="172"/>
      <c r="AHL125" s="172"/>
      <c r="AHM125" s="172"/>
      <c r="AHN125" s="172"/>
      <c r="AHO125" s="172"/>
      <c r="AHP125" s="172"/>
      <c r="AHQ125" s="172"/>
      <c r="AHR125" s="172"/>
      <c r="AHS125" s="172"/>
      <c r="AHT125" s="172"/>
      <c r="AHU125" s="172"/>
      <c r="AHV125" s="172"/>
      <c r="AHW125" s="172"/>
      <c r="AHX125" s="172"/>
      <c r="AHY125" s="172"/>
      <c r="AHZ125" s="172"/>
      <c r="AIA125" s="172"/>
      <c r="AIB125" s="172"/>
      <c r="AIC125" s="172"/>
      <c r="AID125" s="172"/>
      <c r="AIE125" s="172"/>
      <c r="AIF125" s="172"/>
      <c r="AIG125" s="172"/>
      <c r="AIH125" s="172"/>
      <c r="AII125" s="172"/>
      <c r="AIJ125" s="172"/>
      <c r="AIK125" s="172"/>
      <c r="AIL125" s="172"/>
      <c r="AIM125" s="172"/>
      <c r="AIN125" s="172"/>
      <c r="AIO125" s="172"/>
      <c r="AIP125" s="172"/>
      <c r="AIQ125" s="172"/>
      <c r="AIR125" s="172"/>
      <c r="AIS125" s="172"/>
      <c r="AIT125" s="172"/>
      <c r="AIU125" s="172"/>
      <c r="AIV125" s="172"/>
      <c r="AIW125" s="172"/>
      <c r="AIX125" s="172"/>
      <c r="AIY125" s="172"/>
      <c r="AIZ125" s="172"/>
      <c r="AJA125" s="172"/>
      <c r="AJB125" s="172"/>
      <c r="AJC125" s="172"/>
      <c r="AJD125" s="172"/>
      <c r="AJE125" s="172"/>
      <c r="AJF125" s="172"/>
      <c r="AJG125" s="172"/>
      <c r="AJH125" s="172"/>
      <c r="AJI125" s="172"/>
      <c r="AJJ125" s="172"/>
      <c r="AJK125" s="172"/>
      <c r="AJL125" s="172"/>
      <c r="AJM125" s="172"/>
      <c r="AJN125" s="172"/>
      <c r="AJO125" s="172"/>
      <c r="AJP125" s="172"/>
      <c r="AJQ125" s="172"/>
      <c r="AJR125" s="172"/>
      <c r="AJS125" s="172"/>
      <c r="AJT125" s="172"/>
      <c r="AJU125" s="172"/>
      <c r="AJV125" s="172"/>
      <c r="AJW125" s="172"/>
      <c r="AJX125" s="172"/>
      <c r="AJY125" s="172"/>
      <c r="AJZ125" s="172"/>
      <c r="AKA125" s="172"/>
      <c r="AKB125" s="172"/>
      <c r="AKC125" s="172"/>
      <c r="AKD125" s="172"/>
      <c r="AKE125" s="172"/>
      <c r="AKF125" s="172"/>
      <c r="AKG125" s="172"/>
      <c r="AKH125" s="172"/>
      <c r="AKI125" s="172"/>
      <c r="AKJ125" s="172"/>
      <c r="AKK125" s="172"/>
      <c r="AKL125" s="172"/>
      <c r="AKM125" s="172"/>
      <c r="AKN125" s="172"/>
      <c r="AKO125" s="172"/>
      <c r="AKP125" s="172"/>
      <c r="AKQ125" s="172"/>
      <c r="AKR125" s="172"/>
      <c r="AKS125" s="172"/>
      <c r="AKT125" s="172"/>
      <c r="AKU125" s="172"/>
      <c r="AKV125" s="172"/>
      <c r="AKW125" s="172"/>
      <c r="AKX125" s="172"/>
      <c r="AKY125" s="172"/>
      <c r="AKZ125" s="172"/>
      <c r="ALA125" s="172"/>
      <c r="ALB125" s="172"/>
      <c r="ALC125" s="172"/>
      <c r="ALD125" s="172"/>
      <c r="ALE125" s="172"/>
      <c r="ALF125" s="172"/>
      <c r="ALG125" s="172"/>
      <c r="ALH125" s="172"/>
      <c r="ALI125" s="172"/>
      <c r="ALJ125" s="172"/>
      <c r="ALK125" s="172"/>
      <c r="ALL125" s="172"/>
      <c r="ALM125" s="172"/>
      <c r="ALN125" s="172"/>
      <c r="ALO125" s="172"/>
      <c r="ALP125" s="172"/>
      <c r="ALQ125" s="172"/>
      <c r="ALR125" s="172"/>
      <c r="ALS125" s="172"/>
      <c r="ALT125" s="172"/>
      <c r="ALU125" s="172"/>
      <c r="ALV125" s="172"/>
      <c r="ALW125" s="172"/>
      <c r="ALX125" s="172"/>
      <c r="ALY125" s="172"/>
      <c r="ALZ125" s="172"/>
      <c r="AMA125" s="172"/>
      <c r="AMB125" s="172"/>
      <c r="AMC125" s="172"/>
      <c r="AMD125" s="172"/>
      <c r="AME125" s="172"/>
      <c r="AMF125" s="172"/>
      <c r="AMG125" s="172"/>
      <c r="AMH125" s="172"/>
      <c r="AMI125" s="172"/>
      <c r="AMJ125" s="172"/>
      <c r="AMK125" s="172"/>
      <c r="AML125" s="172"/>
      <c r="AMM125" s="172"/>
      <c r="AMN125" s="172"/>
      <c r="AMO125" s="172"/>
      <c r="AMP125" s="172"/>
      <c r="AMQ125" s="172"/>
      <c r="AMR125" s="172"/>
      <c r="AMS125" s="172"/>
      <c r="AMT125" s="172"/>
      <c r="AMU125" s="172"/>
      <c r="AMV125" s="172"/>
      <c r="AMW125" s="172"/>
      <c r="AMX125" s="172"/>
      <c r="AMY125" s="172"/>
      <c r="AMZ125" s="172"/>
      <c r="ANA125" s="172"/>
      <c r="ANB125" s="172"/>
      <c r="ANC125" s="172"/>
      <c r="AND125" s="172"/>
      <c r="ANE125" s="172"/>
      <c r="ANF125" s="172"/>
      <c r="ANG125" s="172"/>
      <c r="ANH125" s="172"/>
      <c r="ANI125" s="172"/>
      <c r="ANJ125" s="172"/>
      <c r="ANK125" s="172"/>
      <c r="ANL125" s="172"/>
      <c r="ANM125" s="172"/>
      <c r="ANN125" s="172"/>
      <c r="ANO125" s="172"/>
      <c r="ANP125" s="172"/>
      <c r="ANQ125" s="172"/>
      <c r="ANR125" s="172"/>
      <c r="ANS125" s="172"/>
      <c r="ANT125" s="172"/>
      <c r="ANU125" s="172"/>
      <c r="ANV125" s="172"/>
      <c r="ANW125" s="172"/>
      <c r="ANX125" s="172"/>
      <c r="ANY125" s="172"/>
      <c r="ANZ125" s="172"/>
      <c r="AOA125" s="172"/>
      <c r="AOB125" s="172"/>
      <c r="AOC125" s="172"/>
      <c r="AOD125" s="172"/>
      <c r="AOE125" s="172"/>
      <c r="AOF125" s="172"/>
      <c r="AOG125" s="172"/>
      <c r="AOH125" s="172"/>
      <c r="AOI125" s="172"/>
      <c r="AOJ125" s="172"/>
      <c r="AOK125" s="172"/>
      <c r="AOL125" s="172"/>
      <c r="AOM125" s="172"/>
      <c r="AON125" s="172"/>
      <c r="AOO125" s="172"/>
      <c r="AOP125" s="172"/>
      <c r="AOQ125" s="172"/>
      <c r="AOR125" s="172"/>
      <c r="AOS125" s="172"/>
      <c r="AOT125" s="172"/>
      <c r="AOU125" s="172"/>
      <c r="AOV125" s="172"/>
      <c r="AOW125" s="172"/>
      <c r="AOX125" s="172"/>
      <c r="AOY125" s="172"/>
      <c r="AOZ125" s="172"/>
      <c r="APA125" s="172"/>
      <c r="APB125" s="172"/>
      <c r="APC125" s="172"/>
      <c r="APD125" s="172"/>
      <c r="APE125" s="172"/>
      <c r="APF125" s="172"/>
      <c r="APG125" s="172"/>
      <c r="APH125" s="172"/>
      <c r="API125" s="172"/>
      <c r="APJ125" s="172"/>
      <c r="APK125" s="172"/>
      <c r="APL125" s="172"/>
      <c r="APM125" s="172"/>
      <c r="APN125" s="172"/>
      <c r="APO125" s="172"/>
      <c r="APP125" s="172"/>
      <c r="APQ125" s="172"/>
      <c r="APR125" s="172"/>
      <c r="APS125" s="172"/>
      <c r="APT125" s="172"/>
      <c r="APU125" s="172"/>
      <c r="APV125" s="172"/>
      <c r="APW125" s="172"/>
      <c r="APX125" s="172"/>
      <c r="APY125" s="172"/>
      <c r="APZ125" s="172"/>
      <c r="AQA125" s="172"/>
      <c r="AQB125" s="172"/>
      <c r="AQC125" s="172"/>
      <c r="AQD125" s="172"/>
      <c r="AQE125" s="172"/>
      <c r="AQF125" s="172"/>
      <c r="AQG125" s="172"/>
      <c r="AQH125" s="172"/>
      <c r="AQI125" s="172"/>
      <c r="AQJ125" s="172"/>
      <c r="AQK125" s="172"/>
      <c r="AQL125" s="172"/>
      <c r="AQM125" s="172"/>
      <c r="AQN125" s="172"/>
      <c r="AQO125" s="172"/>
      <c r="AQP125" s="172"/>
      <c r="AQQ125" s="172"/>
      <c r="AQR125" s="172"/>
      <c r="AQS125" s="172"/>
      <c r="AQT125" s="172"/>
      <c r="AQU125" s="172"/>
      <c r="AQV125" s="172"/>
      <c r="AQW125" s="172"/>
      <c r="AQX125" s="172"/>
      <c r="AQY125" s="172"/>
      <c r="AQZ125" s="172"/>
      <c r="ARA125" s="172"/>
      <c r="ARB125" s="172"/>
      <c r="ARC125" s="172"/>
      <c r="ARD125" s="172"/>
      <c r="ARE125" s="172"/>
      <c r="ARF125" s="172"/>
      <c r="ARG125" s="172"/>
      <c r="ARH125" s="172"/>
      <c r="ARI125" s="172"/>
      <c r="ARJ125" s="172"/>
      <c r="ARK125" s="172"/>
      <c r="ARL125" s="172"/>
      <c r="ARM125" s="172"/>
      <c r="ARN125" s="172"/>
      <c r="ARO125" s="172"/>
      <c r="ARP125" s="172"/>
      <c r="ARQ125" s="172"/>
      <c r="ARR125" s="172"/>
      <c r="ARS125" s="172"/>
      <c r="ART125" s="172"/>
      <c r="ARU125" s="172"/>
    </row>
    <row r="126" spans="1:1165" s="257" customFormat="1">
      <c r="A126" s="222" t="s">
        <v>240</v>
      </c>
      <c r="B126" s="195" t="s">
        <v>87</v>
      </c>
      <c r="C126" s="258">
        <v>78734</v>
      </c>
      <c r="D126" s="258">
        <v>14822327</v>
      </c>
      <c r="E126" s="198">
        <v>10978</v>
      </c>
      <c r="F126" s="198">
        <v>3684252</v>
      </c>
      <c r="G126" s="198">
        <v>10715</v>
      </c>
      <c r="H126" s="198">
        <v>4148454</v>
      </c>
      <c r="I126" s="198">
        <v>16236</v>
      </c>
      <c r="J126" s="198">
        <v>6823064</v>
      </c>
      <c r="K126" s="198">
        <v>12877</v>
      </c>
      <c r="L126" s="198">
        <v>5485523</v>
      </c>
      <c r="M126" s="198">
        <v>15592</v>
      </c>
      <c r="N126" s="198">
        <v>6767117</v>
      </c>
      <c r="O126" s="198">
        <v>17755</v>
      </c>
      <c r="P126" s="198">
        <v>9047127</v>
      </c>
      <c r="Q126" s="198">
        <v>14747</v>
      </c>
      <c r="R126" s="198">
        <v>9470735</v>
      </c>
      <c r="S126" s="198">
        <v>11766</v>
      </c>
      <c r="T126" s="198">
        <v>8501662</v>
      </c>
      <c r="U126" s="211">
        <v>9573</v>
      </c>
      <c r="V126" s="211">
        <v>7221337</v>
      </c>
      <c r="W126" s="211">
        <v>11767</v>
      </c>
      <c r="X126" s="211">
        <v>8802975</v>
      </c>
      <c r="Y126" s="211">
        <v>10514</v>
      </c>
      <c r="Z126" s="211">
        <v>7831157</v>
      </c>
      <c r="AA126" s="226">
        <v>7173</v>
      </c>
      <c r="AB126" s="226">
        <v>2155801</v>
      </c>
      <c r="AC126" s="198">
        <v>5012</v>
      </c>
      <c r="AD126" s="198">
        <v>1452698</v>
      </c>
      <c r="AE126" s="196">
        <v>6654</v>
      </c>
      <c r="AF126" s="196">
        <v>1914960</v>
      </c>
      <c r="AG126" s="196">
        <v>3093</v>
      </c>
      <c r="AH126" s="196">
        <v>876904</v>
      </c>
      <c r="AI126" s="196">
        <v>0</v>
      </c>
      <c r="AJ126" s="196">
        <v>0</v>
      </c>
      <c r="AK126" s="211">
        <v>0</v>
      </c>
      <c r="AL126" s="211">
        <v>0</v>
      </c>
      <c r="AM126" s="211">
        <v>0</v>
      </c>
      <c r="AN126" s="211">
        <v>0</v>
      </c>
      <c r="AO126" s="196">
        <v>0</v>
      </c>
      <c r="AP126" s="196">
        <v>0</v>
      </c>
      <c r="AQ126" s="196">
        <v>0</v>
      </c>
      <c r="AR126" s="196">
        <v>0</v>
      </c>
      <c r="AS126" s="196">
        <v>0</v>
      </c>
      <c r="AT126" s="196">
        <v>0</v>
      </c>
      <c r="AU126" s="196">
        <v>0</v>
      </c>
      <c r="AV126" s="196">
        <v>0</v>
      </c>
      <c r="AW126" s="211">
        <v>0</v>
      </c>
      <c r="AX126" s="211">
        <v>0</v>
      </c>
      <c r="AY126" s="198">
        <v>0</v>
      </c>
      <c r="AZ126" s="198">
        <v>0</v>
      </c>
      <c r="BA126" s="225"/>
      <c r="BB126" s="198"/>
      <c r="BC126" s="198"/>
      <c r="BD126" s="198"/>
      <c r="BE126" s="266"/>
      <c r="BF126" s="198"/>
      <c r="BG126" s="198"/>
      <c r="BH126" s="198"/>
      <c r="BI126" s="225"/>
      <c r="BJ126" s="250">
        <f t="shared" si="61"/>
        <v>232208</v>
      </c>
      <c r="BK126" s="250">
        <f t="shared" si="62"/>
        <v>95321841</v>
      </c>
      <c r="BL126" s="172"/>
      <c r="BM126" s="231"/>
      <c r="BN126" s="231"/>
      <c r="BO126" s="231"/>
      <c r="BP126" s="231"/>
      <c r="BQ126" s="172"/>
      <c r="BR126" s="172"/>
      <c r="BS126" s="172"/>
      <c r="BT126" s="172"/>
      <c r="BU126" s="172"/>
      <c r="BV126" s="172"/>
      <c r="BW126" s="172"/>
      <c r="BX126" s="172"/>
      <c r="BY126" s="172"/>
      <c r="BZ126" s="172"/>
      <c r="CA126" s="172"/>
      <c r="CB126" s="172"/>
      <c r="CC126" s="172"/>
      <c r="CD126" s="172"/>
      <c r="CE126" s="172"/>
      <c r="CF126" s="172"/>
      <c r="CG126" s="172"/>
      <c r="CH126" s="172"/>
      <c r="CI126" s="172"/>
      <c r="CJ126" s="172"/>
      <c r="CK126" s="172"/>
      <c r="CL126" s="172"/>
      <c r="CM126" s="172"/>
      <c r="CN126" s="172"/>
      <c r="CO126" s="172"/>
      <c r="CP126" s="172"/>
      <c r="CQ126" s="172"/>
      <c r="CR126" s="172"/>
      <c r="CS126" s="172"/>
      <c r="CT126" s="172"/>
      <c r="CU126" s="172"/>
      <c r="CV126" s="172"/>
      <c r="CW126" s="172"/>
      <c r="CX126" s="172"/>
      <c r="CY126" s="172"/>
      <c r="CZ126" s="172"/>
      <c r="DA126" s="172"/>
      <c r="DB126" s="172"/>
      <c r="DC126" s="172"/>
      <c r="DD126" s="172"/>
      <c r="DE126" s="172"/>
      <c r="DF126" s="172"/>
      <c r="DG126" s="172"/>
      <c r="DH126" s="172"/>
      <c r="DI126" s="172"/>
      <c r="DJ126" s="172"/>
      <c r="DK126" s="172"/>
      <c r="DL126" s="172"/>
      <c r="DM126" s="172"/>
      <c r="DN126" s="172"/>
      <c r="DO126" s="172"/>
      <c r="DP126" s="172"/>
      <c r="DQ126" s="172"/>
      <c r="DR126" s="172"/>
      <c r="DS126" s="172"/>
      <c r="DT126" s="172"/>
      <c r="DU126" s="172"/>
      <c r="DV126" s="172"/>
      <c r="DW126" s="172"/>
      <c r="DX126" s="172"/>
      <c r="DY126" s="172"/>
      <c r="DZ126" s="172"/>
      <c r="EA126" s="172"/>
      <c r="EB126" s="172"/>
      <c r="EC126" s="172"/>
      <c r="ED126" s="172"/>
      <c r="EE126" s="172"/>
      <c r="EF126" s="172"/>
      <c r="EG126" s="172"/>
      <c r="EH126" s="172"/>
      <c r="EI126" s="172"/>
      <c r="EJ126" s="172"/>
      <c r="EK126" s="172"/>
      <c r="EL126" s="172"/>
      <c r="EM126" s="172"/>
      <c r="EN126" s="172"/>
      <c r="EO126" s="172"/>
      <c r="EP126" s="172"/>
      <c r="EQ126" s="172"/>
      <c r="ER126" s="172"/>
      <c r="ES126" s="172"/>
      <c r="ET126" s="172"/>
      <c r="EU126" s="172"/>
      <c r="EV126" s="172"/>
      <c r="EW126" s="172"/>
      <c r="EX126" s="172"/>
      <c r="EY126" s="172"/>
      <c r="EZ126" s="172"/>
      <c r="FA126" s="172"/>
      <c r="FB126" s="172"/>
      <c r="FC126" s="172"/>
      <c r="FD126" s="172"/>
      <c r="FE126" s="172"/>
      <c r="FF126" s="172"/>
      <c r="FG126" s="172"/>
      <c r="FH126" s="172"/>
      <c r="FI126" s="172"/>
      <c r="FJ126" s="172"/>
      <c r="FK126" s="172"/>
      <c r="FL126" s="172"/>
      <c r="FM126" s="172"/>
      <c r="FN126" s="172"/>
      <c r="FO126" s="172"/>
      <c r="FP126" s="172"/>
      <c r="FQ126" s="172"/>
      <c r="FR126" s="172"/>
      <c r="FS126" s="172"/>
      <c r="FT126" s="172"/>
      <c r="FU126" s="172"/>
      <c r="FV126" s="172"/>
      <c r="FW126" s="172"/>
      <c r="FX126" s="172"/>
      <c r="FY126" s="172"/>
      <c r="FZ126" s="172"/>
      <c r="GA126" s="172"/>
      <c r="GB126" s="172"/>
      <c r="GC126" s="172"/>
      <c r="GD126" s="172"/>
      <c r="GE126" s="172"/>
      <c r="GF126" s="172"/>
      <c r="GG126" s="172"/>
      <c r="GH126" s="172"/>
      <c r="GI126" s="172"/>
      <c r="GJ126" s="172"/>
      <c r="GK126" s="172"/>
      <c r="GL126" s="172"/>
      <c r="GM126" s="172"/>
      <c r="GN126" s="172"/>
      <c r="GO126" s="172"/>
      <c r="GP126" s="172"/>
      <c r="GQ126" s="172"/>
      <c r="GR126" s="172"/>
      <c r="GS126" s="172"/>
      <c r="GT126" s="172"/>
      <c r="GU126" s="172"/>
      <c r="GV126" s="172"/>
      <c r="GW126" s="172"/>
      <c r="GX126" s="172"/>
      <c r="GY126" s="172"/>
      <c r="GZ126" s="172"/>
      <c r="HA126" s="172"/>
      <c r="HB126" s="172"/>
      <c r="HC126" s="172"/>
      <c r="HD126" s="172"/>
      <c r="HE126" s="172"/>
      <c r="HF126" s="172"/>
      <c r="HG126" s="172"/>
      <c r="HH126" s="172"/>
      <c r="HI126" s="172"/>
      <c r="HJ126" s="172"/>
      <c r="HK126" s="172"/>
      <c r="HL126" s="172"/>
      <c r="HM126" s="172"/>
      <c r="HN126" s="172"/>
      <c r="HO126" s="172"/>
      <c r="HP126" s="172"/>
      <c r="HQ126" s="172"/>
      <c r="HR126" s="172"/>
      <c r="HS126" s="172"/>
      <c r="HT126" s="172"/>
      <c r="HU126" s="172"/>
      <c r="HV126" s="172"/>
      <c r="HW126" s="172"/>
      <c r="HX126" s="172"/>
      <c r="HY126" s="172"/>
      <c r="HZ126" s="172"/>
      <c r="IA126" s="172"/>
      <c r="IB126" s="172"/>
      <c r="IC126" s="172"/>
      <c r="ID126" s="172"/>
      <c r="IE126" s="172"/>
      <c r="IF126" s="172"/>
      <c r="IG126" s="172"/>
      <c r="IH126" s="172"/>
      <c r="II126" s="172"/>
      <c r="IJ126" s="172"/>
      <c r="IK126" s="172"/>
      <c r="IL126" s="172"/>
      <c r="IM126" s="172"/>
      <c r="IN126" s="172"/>
      <c r="IO126" s="172"/>
      <c r="IP126" s="172"/>
      <c r="IQ126" s="172"/>
      <c r="IR126" s="172"/>
      <c r="IS126" s="172"/>
      <c r="IT126" s="172"/>
      <c r="IU126" s="172"/>
      <c r="IV126" s="172"/>
      <c r="IW126" s="172"/>
      <c r="IX126" s="172"/>
      <c r="IY126" s="172"/>
      <c r="IZ126" s="172"/>
      <c r="JA126" s="172"/>
      <c r="JB126" s="172"/>
      <c r="JC126" s="172"/>
      <c r="JD126" s="172"/>
      <c r="JE126" s="172"/>
      <c r="JF126" s="172"/>
      <c r="JG126" s="172"/>
      <c r="JH126" s="172"/>
      <c r="JI126" s="172"/>
      <c r="JJ126" s="172"/>
      <c r="JK126" s="172"/>
      <c r="JL126" s="172"/>
      <c r="JM126" s="172"/>
      <c r="JN126" s="172"/>
      <c r="JO126" s="172"/>
      <c r="JP126" s="172"/>
      <c r="JQ126" s="172"/>
      <c r="JR126" s="172"/>
      <c r="JS126" s="172"/>
      <c r="JT126" s="172"/>
      <c r="JU126" s="172"/>
      <c r="JV126" s="172"/>
      <c r="JW126" s="172"/>
      <c r="JX126" s="172"/>
      <c r="JY126" s="172"/>
      <c r="JZ126" s="172"/>
      <c r="KA126" s="172"/>
      <c r="KB126" s="172"/>
      <c r="KC126" s="172"/>
      <c r="KD126" s="172"/>
      <c r="KE126" s="172"/>
      <c r="KF126" s="172"/>
      <c r="KG126" s="172"/>
      <c r="KH126" s="172"/>
      <c r="KI126" s="172"/>
      <c r="KJ126" s="172"/>
      <c r="KK126" s="172"/>
      <c r="KL126" s="172"/>
      <c r="KM126" s="172"/>
      <c r="KN126" s="172"/>
      <c r="KO126" s="172"/>
      <c r="KP126" s="172"/>
      <c r="KQ126" s="172"/>
      <c r="KR126" s="172"/>
      <c r="KS126" s="172"/>
      <c r="KT126" s="172"/>
      <c r="KU126" s="172"/>
      <c r="KV126" s="172"/>
      <c r="KW126" s="172"/>
      <c r="KX126" s="172"/>
      <c r="KY126" s="172"/>
      <c r="KZ126" s="172"/>
      <c r="LA126" s="172"/>
      <c r="LB126" s="172"/>
      <c r="LC126" s="172"/>
      <c r="LD126" s="172"/>
      <c r="LE126" s="172"/>
      <c r="LF126" s="172"/>
      <c r="LG126" s="172"/>
      <c r="LH126" s="172"/>
      <c r="LI126" s="172"/>
      <c r="LJ126" s="172"/>
      <c r="LK126" s="172"/>
      <c r="LL126" s="172"/>
      <c r="LM126" s="172"/>
      <c r="LN126" s="172"/>
      <c r="LO126" s="172"/>
      <c r="LP126" s="172"/>
      <c r="LQ126" s="172"/>
      <c r="LR126" s="172"/>
      <c r="LS126" s="172"/>
      <c r="LT126" s="172"/>
      <c r="LU126" s="172"/>
      <c r="LV126" s="172"/>
      <c r="LW126" s="172"/>
      <c r="LX126" s="172"/>
      <c r="LY126" s="172"/>
      <c r="LZ126" s="172"/>
      <c r="MA126" s="172"/>
      <c r="MB126" s="172"/>
      <c r="MC126" s="172"/>
      <c r="MD126" s="172"/>
      <c r="ME126" s="172"/>
      <c r="MF126" s="172"/>
      <c r="MG126" s="172"/>
      <c r="MH126" s="172"/>
      <c r="MI126" s="172"/>
      <c r="MJ126" s="172"/>
      <c r="MK126" s="172"/>
      <c r="ML126" s="172"/>
      <c r="MM126" s="172"/>
      <c r="MN126" s="172"/>
      <c r="MO126" s="172"/>
      <c r="MP126" s="172"/>
      <c r="MQ126" s="172"/>
      <c r="MR126" s="172"/>
      <c r="MS126" s="172"/>
      <c r="MT126" s="172"/>
      <c r="MU126" s="172"/>
      <c r="MV126" s="172"/>
      <c r="MW126" s="172"/>
      <c r="MX126" s="172"/>
      <c r="MY126" s="172"/>
      <c r="MZ126" s="172"/>
      <c r="NA126" s="172"/>
      <c r="NB126" s="172"/>
      <c r="NC126" s="172"/>
      <c r="ND126" s="172"/>
      <c r="NE126" s="172"/>
      <c r="NF126" s="172"/>
      <c r="NG126" s="172"/>
      <c r="NH126" s="172"/>
      <c r="NI126" s="172"/>
      <c r="NJ126" s="172"/>
      <c r="NK126" s="172"/>
      <c r="NL126" s="172"/>
      <c r="NM126" s="172"/>
      <c r="NN126" s="172"/>
      <c r="NO126" s="172"/>
      <c r="NP126" s="172"/>
      <c r="NQ126" s="172"/>
      <c r="NR126" s="172"/>
      <c r="NS126" s="172"/>
      <c r="NT126" s="172"/>
      <c r="NU126" s="172"/>
      <c r="NV126" s="172"/>
      <c r="NW126" s="172"/>
      <c r="NX126" s="172"/>
      <c r="NY126" s="172"/>
      <c r="NZ126" s="172"/>
      <c r="OA126" s="172"/>
      <c r="OB126" s="172"/>
      <c r="OC126" s="172"/>
      <c r="OD126" s="172"/>
      <c r="OE126" s="172"/>
      <c r="OF126" s="172"/>
      <c r="OG126" s="172"/>
      <c r="OH126" s="172"/>
      <c r="OI126" s="172"/>
      <c r="OJ126" s="172"/>
      <c r="OK126" s="172"/>
      <c r="OL126" s="172"/>
      <c r="OM126" s="172"/>
      <c r="ON126" s="172"/>
      <c r="OO126" s="172"/>
      <c r="OP126" s="172"/>
      <c r="OQ126" s="172"/>
      <c r="OR126" s="172"/>
      <c r="OS126" s="172"/>
      <c r="OT126" s="172"/>
      <c r="OU126" s="172"/>
      <c r="OV126" s="172"/>
      <c r="OW126" s="172"/>
      <c r="OX126" s="172"/>
      <c r="OY126" s="172"/>
      <c r="OZ126" s="172"/>
      <c r="PA126" s="172"/>
      <c r="PB126" s="172"/>
      <c r="PC126" s="172"/>
      <c r="PD126" s="172"/>
      <c r="PE126" s="172"/>
      <c r="PF126" s="172"/>
      <c r="PG126" s="172"/>
      <c r="PH126" s="172"/>
      <c r="PI126" s="172"/>
      <c r="PJ126" s="172"/>
      <c r="PK126" s="172"/>
      <c r="PL126" s="172"/>
      <c r="PM126" s="172"/>
      <c r="PN126" s="172"/>
      <c r="PO126" s="172"/>
      <c r="PP126" s="172"/>
      <c r="PQ126" s="172"/>
      <c r="PR126" s="172"/>
      <c r="PS126" s="172"/>
      <c r="PT126" s="172"/>
      <c r="PU126" s="172"/>
      <c r="PV126" s="172"/>
      <c r="PW126" s="172"/>
      <c r="PX126" s="172"/>
      <c r="PY126" s="172"/>
      <c r="PZ126" s="172"/>
      <c r="QA126" s="172"/>
      <c r="QB126" s="172"/>
      <c r="QC126" s="172"/>
      <c r="QD126" s="172"/>
      <c r="QE126" s="172"/>
      <c r="QF126" s="172"/>
      <c r="QG126" s="172"/>
      <c r="QH126" s="172"/>
      <c r="QI126" s="172"/>
      <c r="QJ126" s="172"/>
      <c r="QK126" s="172"/>
      <c r="QL126" s="172"/>
      <c r="QM126" s="172"/>
      <c r="QN126" s="172"/>
      <c r="QO126" s="172"/>
      <c r="QP126" s="172"/>
      <c r="QQ126" s="172"/>
      <c r="QR126" s="172"/>
      <c r="QS126" s="172"/>
      <c r="QT126" s="172"/>
      <c r="QU126" s="172"/>
      <c r="QV126" s="172"/>
      <c r="QW126" s="172"/>
      <c r="QX126" s="172"/>
      <c r="QY126" s="172"/>
      <c r="QZ126" s="172"/>
      <c r="RA126" s="172"/>
      <c r="RB126" s="172"/>
      <c r="RC126" s="172"/>
      <c r="RD126" s="172"/>
      <c r="RE126" s="172"/>
      <c r="RF126" s="172"/>
      <c r="RG126" s="172"/>
      <c r="RH126" s="172"/>
      <c r="RI126" s="172"/>
      <c r="RJ126" s="172"/>
      <c r="RK126" s="172"/>
      <c r="RL126" s="172"/>
      <c r="RM126" s="172"/>
      <c r="RN126" s="172"/>
      <c r="RO126" s="172"/>
      <c r="RP126" s="172"/>
      <c r="RQ126" s="172"/>
      <c r="RR126" s="172"/>
      <c r="RS126" s="172"/>
      <c r="RT126" s="172"/>
      <c r="RU126" s="172"/>
      <c r="RV126" s="172"/>
      <c r="RW126" s="172"/>
      <c r="RX126" s="172"/>
      <c r="RY126" s="172"/>
      <c r="RZ126" s="172"/>
      <c r="SA126" s="172"/>
      <c r="SB126" s="172"/>
      <c r="SC126" s="172"/>
      <c r="SD126" s="172"/>
      <c r="SE126" s="172"/>
      <c r="SF126" s="172"/>
      <c r="SG126" s="172"/>
      <c r="SH126" s="172"/>
      <c r="SI126" s="172"/>
      <c r="SJ126" s="172"/>
      <c r="SK126" s="172"/>
      <c r="SL126" s="172"/>
      <c r="SM126" s="172"/>
      <c r="SN126" s="172"/>
      <c r="SO126" s="172"/>
      <c r="SP126" s="172"/>
      <c r="SQ126" s="172"/>
      <c r="SR126" s="172"/>
      <c r="SS126" s="172"/>
      <c r="ST126" s="172"/>
      <c r="SU126" s="172"/>
      <c r="SV126" s="172"/>
      <c r="SW126" s="172"/>
      <c r="SX126" s="172"/>
      <c r="SY126" s="172"/>
      <c r="SZ126" s="172"/>
      <c r="TA126" s="172"/>
      <c r="TB126" s="172"/>
      <c r="TC126" s="172"/>
      <c r="TD126" s="172"/>
      <c r="TE126" s="172"/>
      <c r="TF126" s="172"/>
      <c r="TG126" s="172"/>
      <c r="TH126" s="172"/>
      <c r="TI126" s="172"/>
      <c r="TJ126" s="172"/>
      <c r="TK126" s="172"/>
      <c r="TL126" s="172"/>
      <c r="TM126" s="172"/>
      <c r="TN126" s="172"/>
      <c r="TO126" s="172"/>
      <c r="TP126" s="172"/>
      <c r="TQ126" s="172"/>
      <c r="TR126" s="172"/>
      <c r="TS126" s="172"/>
      <c r="TT126" s="172"/>
      <c r="TU126" s="172"/>
      <c r="TV126" s="172"/>
      <c r="TW126" s="172"/>
      <c r="TX126" s="172"/>
      <c r="TY126" s="172"/>
      <c r="TZ126" s="172"/>
      <c r="UA126" s="172"/>
      <c r="UB126" s="172"/>
      <c r="UC126" s="172"/>
      <c r="UD126" s="172"/>
      <c r="UE126" s="172"/>
      <c r="UF126" s="172"/>
      <c r="UG126" s="172"/>
      <c r="UH126" s="172"/>
      <c r="UI126" s="172"/>
      <c r="UJ126" s="172"/>
      <c r="UK126" s="172"/>
      <c r="UL126" s="172"/>
      <c r="UM126" s="172"/>
      <c r="UN126" s="172"/>
      <c r="UO126" s="172"/>
      <c r="UP126" s="172"/>
      <c r="UQ126" s="172"/>
      <c r="UR126" s="172"/>
      <c r="US126" s="172"/>
      <c r="UT126" s="172"/>
      <c r="UU126" s="172"/>
      <c r="UV126" s="172"/>
      <c r="UW126" s="172"/>
      <c r="UX126" s="172"/>
      <c r="UY126" s="172"/>
      <c r="UZ126" s="172"/>
      <c r="VA126" s="172"/>
      <c r="VB126" s="172"/>
      <c r="VC126" s="172"/>
      <c r="VD126" s="172"/>
      <c r="VE126" s="172"/>
      <c r="VF126" s="172"/>
      <c r="VG126" s="172"/>
      <c r="VH126" s="172"/>
      <c r="VI126" s="172"/>
      <c r="VJ126" s="172"/>
      <c r="VK126" s="172"/>
      <c r="VL126" s="172"/>
      <c r="VM126" s="172"/>
      <c r="VN126" s="172"/>
      <c r="VO126" s="172"/>
      <c r="VP126" s="172"/>
      <c r="VQ126" s="172"/>
      <c r="VR126" s="172"/>
      <c r="VS126" s="172"/>
      <c r="VT126" s="172"/>
      <c r="VU126" s="172"/>
      <c r="VV126" s="172"/>
      <c r="VW126" s="172"/>
      <c r="VX126" s="172"/>
      <c r="VY126" s="172"/>
      <c r="VZ126" s="172"/>
      <c r="WA126" s="172"/>
      <c r="WB126" s="172"/>
      <c r="WC126" s="172"/>
      <c r="WD126" s="172"/>
      <c r="WE126" s="172"/>
      <c r="WF126" s="172"/>
      <c r="WG126" s="172"/>
      <c r="WH126" s="172"/>
      <c r="WI126" s="172"/>
      <c r="WJ126" s="172"/>
      <c r="WK126" s="172"/>
      <c r="WL126" s="172"/>
      <c r="WM126" s="172"/>
      <c r="WN126" s="172"/>
      <c r="WO126" s="172"/>
      <c r="WP126" s="172"/>
      <c r="WQ126" s="172"/>
      <c r="WR126" s="172"/>
      <c r="WS126" s="172"/>
      <c r="WT126" s="172"/>
      <c r="WU126" s="172"/>
      <c r="WV126" s="172"/>
      <c r="WW126" s="172"/>
      <c r="WX126" s="172"/>
      <c r="WY126" s="172"/>
      <c r="WZ126" s="172"/>
      <c r="XA126" s="172"/>
      <c r="XB126" s="172"/>
      <c r="XC126" s="172"/>
      <c r="XD126" s="172"/>
      <c r="XE126" s="172"/>
      <c r="XF126" s="172"/>
      <c r="XG126" s="172"/>
      <c r="XH126" s="172"/>
      <c r="XI126" s="172"/>
      <c r="XJ126" s="172"/>
      <c r="XK126" s="172"/>
      <c r="XL126" s="172"/>
      <c r="XM126" s="172"/>
      <c r="XN126" s="172"/>
      <c r="XO126" s="172"/>
      <c r="XP126" s="172"/>
      <c r="XQ126" s="172"/>
      <c r="XR126" s="172"/>
      <c r="XS126" s="172"/>
      <c r="XT126" s="172"/>
      <c r="XU126" s="172"/>
      <c r="XV126" s="172"/>
      <c r="XW126" s="172"/>
      <c r="XX126" s="172"/>
      <c r="XY126" s="172"/>
      <c r="XZ126" s="172"/>
      <c r="YA126" s="172"/>
      <c r="YB126" s="172"/>
      <c r="YC126" s="172"/>
      <c r="YD126" s="172"/>
      <c r="YE126" s="172"/>
      <c r="YF126" s="172"/>
      <c r="YG126" s="172"/>
      <c r="YH126" s="172"/>
      <c r="YI126" s="172"/>
      <c r="YJ126" s="172"/>
      <c r="YK126" s="172"/>
      <c r="YL126" s="172"/>
      <c r="YM126" s="172"/>
      <c r="YN126" s="172"/>
      <c r="YO126" s="172"/>
      <c r="YP126" s="172"/>
      <c r="YQ126" s="172"/>
      <c r="YR126" s="172"/>
      <c r="YS126" s="172"/>
      <c r="YT126" s="172"/>
      <c r="YU126" s="172"/>
      <c r="YV126" s="172"/>
      <c r="YW126" s="172"/>
      <c r="YX126" s="172"/>
      <c r="YY126" s="172"/>
      <c r="YZ126" s="172"/>
      <c r="ZA126" s="172"/>
      <c r="ZB126" s="172"/>
      <c r="ZC126" s="172"/>
      <c r="ZD126" s="172"/>
      <c r="ZE126" s="172"/>
      <c r="ZF126" s="172"/>
      <c r="ZG126" s="172"/>
      <c r="ZH126" s="172"/>
      <c r="ZI126" s="172"/>
      <c r="ZJ126" s="172"/>
      <c r="ZK126" s="172"/>
      <c r="ZL126" s="172"/>
      <c r="ZM126" s="172"/>
      <c r="ZN126" s="172"/>
      <c r="ZO126" s="172"/>
      <c r="ZP126" s="172"/>
      <c r="ZQ126" s="172"/>
      <c r="ZR126" s="172"/>
      <c r="ZS126" s="172"/>
      <c r="ZT126" s="172"/>
      <c r="ZU126" s="172"/>
      <c r="ZV126" s="172"/>
      <c r="ZW126" s="172"/>
      <c r="ZX126" s="172"/>
      <c r="ZY126" s="172"/>
      <c r="ZZ126" s="172"/>
      <c r="AAA126" s="172"/>
      <c r="AAB126" s="172"/>
      <c r="AAC126" s="172"/>
      <c r="AAD126" s="172"/>
      <c r="AAE126" s="172"/>
      <c r="AAF126" s="172"/>
      <c r="AAG126" s="172"/>
      <c r="AAH126" s="172"/>
      <c r="AAI126" s="172"/>
      <c r="AAJ126" s="172"/>
      <c r="AAK126" s="172"/>
      <c r="AAL126" s="172"/>
      <c r="AAM126" s="172"/>
      <c r="AAN126" s="172"/>
      <c r="AAO126" s="172"/>
      <c r="AAP126" s="172"/>
      <c r="AAQ126" s="172"/>
      <c r="AAR126" s="172"/>
      <c r="AAS126" s="172"/>
      <c r="AAT126" s="172"/>
      <c r="AAU126" s="172"/>
      <c r="AAV126" s="172"/>
      <c r="AAW126" s="172"/>
      <c r="AAX126" s="172"/>
      <c r="AAY126" s="172"/>
      <c r="AAZ126" s="172"/>
      <c r="ABA126" s="172"/>
      <c r="ABB126" s="172"/>
      <c r="ABC126" s="172"/>
      <c r="ABD126" s="172"/>
      <c r="ABE126" s="172"/>
      <c r="ABF126" s="172"/>
      <c r="ABG126" s="172"/>
      <c r="ABH126" s="172"/>
      <c r="ABI126" s="172"/>
      <c r="ABJ126" s="172"/>
      <c r="ABK126" s="172"/>
      <c r="ABL126" s="172"/>
      <c r="ABM126" s="172"/>
      <c r="ABN126" s="172"/>
      <c r="ABO126" s="172"/>
      <c r="ABP126" s="172"/>
      <c r="ABQ126" s="172"/>
      <c r="ABR126" s="172"/>
      <c r="ABS126" s="172"/>
      <c r="ABT126" s="172"/>
      <c r="ABU126" s="172"/>
      <c r="ABV126" s="172"/>
      <c r="ABW126" s="172"/>
      <c r="ABX126" s="172"/>
      <c r="ABY126" s="172"/>
      <c r="ABZ126" s="172"/>
      <c r="ACA126" s="172"/>
      <c r="ACB126" s="172"/>
      <c r="ACC126" s="172"/>
      <c r="ACD126" s="172"/>
      <c r="ACE126" s="172"/>
      <c r="ACF126" s="172"/>
      <c r="ACG126" s="172"/>
      <c r="ACH126" s="172"/>
      <c r="ACI126" s="172"/>
      <c r="ACJ126" s="172"/>
      <c r="ACK126" s="172"/>
      <c r="ACL126" s="172"/>
      <c r="ACM126" s="172"/>
      <c r="ACN126" s="172"/>
      <c r="ACO126" s="172"/>
      <c r="ACP126" s="172"/>
      <c r="ACQ126" s="172"/>
      <c r="ACR126" s="172"/>
      <c r="ACS126" s="172"/>
      <c r="ACT126" s="172"/>
      <c r="ACU126" s="172"/>
      <c r="ACV126" s="172"/>
      <c r="ACW126" s="172"/>
      <c r="ACX126" s="172"/>
      <c r="ACY126" s="172"/>
      <c r="ACZ126" s="172"/>
      <c r="ADA126" s="172"/>
      <c r="ADB126" s="172"/>
      <c r="ADC126" s="172"/>
      <c r="ADD126" s="172"/>
      <c r="ADE126" s="172"/>
      <c r="ADF126" s="172"/>
      <c r="ADG126" s="172"/>
      <c r="ADH126" s="172"/>
      <c r="ADI126" s="172"/>
      <c r="ADJ126" s="172"/>
      <c r="ADK126" s="172"/>
      <c r="ADL126" s="172"/>
      <c r="ADM126" s="172"/>
      <c r="ADN126" s="172"/>
      <c r="ADO126" s="172"/>
      <c r="ADP126" s="172"/>
      <c r="ADQ126" s="172"/>
      <c r="ADR126" s="172"/>
      <c r="ADS126" s="172"/>
      <c r="ADT126" s="172"/>
      <c r="ADU126" s="172"/>
      <c r="ADV126" s="172"/>
      <c r="ADW126" s="172"/>
      <c r="ADX126" s="172"/>
      <c r="ADY126" s="172"/>
      <c r="ADZ126" s="172"/>
      <c r="AEA126" s="172"/>
      <c r="AEB126" s="172"/>
      <c r="AEC126" s="172"/>
      <c r="AED126" s="172"/>
      <c r="AEE126" s="172"/>
      <c r="AEF126" s="172"/>
      <c r="AEG126" s="172"/>
      <c r="AEH126" s="172"/>
      <c r="AEI126" s="172"/>
      <c r="AEJ126" s="172"/>
      <c r="AEK126" s="172"/>
      <c r="AEL126" s="172"/>
      <c r="AEM126" s="172"/>
      <c r="AEN126" s="172"/>
      <c r="AEO126" s="172"/>
      <c r="AEP126" s="172"/>
      <c r="AEQ126" s="172"/>
      <c r="AER126" s="172"/>
      <c r="AES126" s="172"/>
      <c r="AET126" s="172"/>
      <c r="AEU126" s="172"/>
      <c r="AEV126" s="172"/>
      <c r="AEW126" s="172"/>
      <c r="AEX126" s="172"/>
      <c r="AEY126" s="172"/>
      <c r="AEZ126" s="172"/>
      <c r="AFA126" s="172"/>
      <c r="AFB126" s="172"/>
      <c r="AFC126" s="172"/>
      <c r="AFD126" s="172"/>
      <c r="AFE126" s="172"/>
      <c r="AFF126" s="172"/>
      <c r="AFG126" s="172"/>
      <c r="AFH126" s="172"/>
      <c r="AFI126" s="172"/>
      <c r="AFJ126" s="172"/>
      <c r="AFK126" s="172"/>
      <c r="AFL126" s="172"/>
      <c r="AFM126" s="172"/>
      <c r="AFN126" s="172"/>
      <c r="AFO126" s="172"/>
      <c r="AFP126" s="172"/>
      <c r="AFQ126" s="172"/>
      <c r="AFR126" s="172"/>
      <c r="AFS126" s="172"/>
      <c r="AFT126" s="172"/>
      <c r="AFU126" s="172"/>
      <c r="AFV126" s="172"/>
      <c r="AFW126" s="172"/>
      <c r="AFX126" s="172"/>
      <c r="AFY126" s="172"/>
      <c r="AFZ126" s="172"/>
      <c r="AGA126" s="172"/>
      <c r="AGB126" s="172"/>
      <c r="AGC126" s="172"/>
      <c r="AGD126" s="172"/>
      <c r="AGE126" s="172"/>
      <c r="AGF126" s="172"/>
      <c r="AGG126" s="172"/>
      <c r="AGH126" s="172"/>
      <c r="AGI126" s="172"/>
      <c r="AGJ126" s="172"/>
      <c r="AGK126" s="172"/>
      <c r="AGL126" s="172"/>
      <c r="AGM126" s="172"/>
      <c r="AGN126" s="172"/>
      <c r="AGO126" s="172"/>
      <c r="AGP126" s="172"/>
      <c r="AGQ126" s="172"/>
      <c r="AGR126" s="172"/>
      <c r="AGS126" s="172"/>
      <c r="AGT126" s="172"/>
      <c r="AGU126" s="172"/>
      <c r="AGV126" s="172"/>
      <c r="AGW126" s="172"/>
      <c r="AGX126" s="172"/>
      <c r="AGY126" s="172"/>
      <c r="AGZ126" s="172"/>
      <c r="AHA126" s="172"/>
      <c r="AHB126" s="172"/>
      <c r="AHC126" s="172"/>
      <c r="AHD126" s="172"/>
      <c r="AHE126" s="172"/>
      <c r="AHF126" s="172"/>
      <c r="AHG126" s="172"/>
      <c r="AHH126" s="172"/>
      <c r="AHI126" s="172"/>
      <c r="AHJ126" s="172"/>
      <c r="AHK126" s="172"/>
      <c r="AHL126" s="172"/>
      <c r="AHM126" s="172"/>
      <c r="AHN126" s="172"/>
      <c r="AHO126" s="172"/>
      <c r="AHP126" s="172"/>
      <c r="AHQ126" s="172"/>
      <c r="AHR126" s="172"/>
      <c r="AHS126" s="172"/>
      <c r="AHT126" s="172"/>
      <c r="AHU126" s="172"/>
      <c r="AHV126" s="172"/>
      <c r="AHW126" s="172"/>
      <c r="AHX126" s="172"/>
      <c r="AHY126" s="172"/>
      <c r="AHZ126" s="172"/>
      <c r="AIA126" s="172"/>
      <c r="AIB126" s="172"/>
      <c r="AIC126" s="172"/>
      <c r="AID126" s="172"/>
      <c r="AIE126" s="172"/>
      <c r="AIF126" s="172"/>
      <c r="AIG126" s="172"/>
      <c r="AIH126" s="172"/>
      <c r="AII126" s="172"/>
      <c r="AIJ126" s="172"/>
      <c r="AIK126" s="172"/>
      <c r="AIL126" s="172"/>
      <c r="AIM126" s="172"/>
      <c r="AIN126" s="172"/>
      <c r="AIO126" s="172"/>
      <c r="AIP126" s="172"/>
      <c r="AIQ126" s="172"/>
      <c r="AIR126" s="172"/>
      <c r="AIS126" s="172"/>
      <c r="AIT126" s="172"/>
      <c r="AIU126" s="172"/>
      <c r="AIV126" s="172"/>
      <c r="AIW126" s="172"/>
      <c r="AIX126" s="172"/>
      <c r="AIY126" s="172"/>
      <c r="AIZ126" s="172"/>
      <c r="AJA126" s="172"/>
      <c r="AJB126" s="172"/>
      <c r="AJC126" s="172"/>
      <c r="AJD126" s="172"/>
      <c r="AJE126" s="172"/>
      <c r="AJF126" s="172"/>
      <c r="AJG126" s="172"/>
      <c r="AJH126" s="172"/>
      <c r="AJI126" s="172"/>
      <c r="AJJ126" s="172"/>
      <c r="AJK126" s="172"/>
      <c r="AJL126" s="172"/>
      <c r="AJM126" s="172"/>
      <c r="AJN126" s="172"/>
      <c r="AJO126" s="172"/>
      <c r="AJP126" s="172"/>
      <c r="AJQ126" s="172"/>
      <c r="AJR126" s="172"/>
      <c r="AJS126" s="172"/>
      <c r="AJT126" s="172"/>
      <c r="AJU126" s="172"/>
      <c r="AJV126" s="172"/>
      <c r="AJW126" s="172"/>
      <c r="AJX126" s="172"/>
      <c r="AJY126" s="172"/>
      <c r="AJZ126" s="172"/>
      <c r="AKA126" s="172"/>
      <c r="AKB126" s="172"/>
      <c r="AKC126" s="172"/>
      <c r="AKD126" s="172"/>
      <c r="AKE126" s="172"/>
      <c r="AKF126" s="172"/>
      <c r="AKG126" s="172"/>
      <c r="AKH126" s="172"/>
      <c r="AKI126" s="172"/>
      <c r="AKJ126" s="172"/>
      <c r="AKK126" s="172"/>
      <c r="AKL126" s="172"/>
      <c r="AKM126" s="172"/>
      <c r="AKN126" s="172"/>
      <c r="AKO126" s="172"/>
      <c r="AKP126" s="172"/>
      <c r="AKQ126" s="172"/>
      <c r="AKR126" s="172"/>
      <c r="AKS126" s="172"/>
      <c r="AKT126" s="172"/>
      <c r="AKU126" s="172"/>
      <c r="AKV126" s="172"/>
      <c r="AKW126" s="172"/>
      <c r="AKX126" s="172"/>
      <c r="AKY126" s="172"/>
      <c r="AKZ126" s="172"/>
      <c r="ALA126" s="172"/>
      <c r="ALB126" s="172"/>
      <c r="ALC126" s="172"/>
      <c r="ALD126" s="172"/>
      <c r="ALE126" s="172"/>
      <c r="ALF126" s="172"/>
      <c r="ALG126" s="172"/>
      <c r="ALH126" s="172"/>
      <c r="ALI126" s="172"/>
      <c r="ALJ126" s="172"/>
      <c r="ALK126" s="172"/>
      <c r="ALL126" s="172"/>
      <c r="ALM126" s="172"/>
      <c r="ALN126" s="172"/>
      <c r="ALO126" s="172"/>
      <c r="ALP126" s="172"/>
      <c r="ALQ126" s="172"/>
      <c r="ALR126" s="172"/>
      <c r="ALS126" s="172"/>
      <c r="ALT126" s="172"/>
      <c r="ALU126" s="172"/>
      <c r="ALV126" s="172"/>
      <c r="ALW126" s="172"/>
      <c r="ALX126" s="172"/>
      <c r="ALY126" s="172"/>
      <c r="ALZ126" s="172"/>
      <c r="AMA126" s="172"/>
      <c r="AMB126" s="172"/>
      <c r="AMC126" s="172"/>
      <c r="AMD126" s="172"/>
      <c r="AME126" s="172"/>
      <c r="AMF126" s="172"/>
      <c r="AMG126" s="172"/>
      <c r="AMH126" s="172"/>
      <c r="AMI126" s="172"/>
      <c r="AMJ126" s="172"/>
      <c r="AMK126" s="172"/>
      <c r="AML126" s="172"/>
      <c r="AMM126" s="172"/>
      <c r="AMN126" s="172"/>
      <c r="AMO126" s="172"/>
      <c r="AMP126" s="172"/>
      <c r="AMQ126" s="172"/>
      <c r="AMR126" s="172"/>
      <c r="AMS126" s="172"/>
      <c r="AMT126" s="172"/>
      <c r="AMU126" s="172"/>
      <c r="AMV126" s="172"/>
      <c r="AMW126" s="172"/>
      <c r="AMX126" s="172"/>
      <c r="AMY126" s="172"/>
      <c r="AMZ126" s="172"/>
      <c r="ANA126" s="172"/>
      <c r="ANB126" s="172"/>
      <c r="ANC126" s="172"/>
      <c r="AND126" s="172"/>
      <c r="ANE126" s="172"/>
      <c r="ANF126" s="172"/>
      <c r="ANG126" s="172"/>
      <c r="ANH126" s="172"/>
      <c r="ANI126" s="172"/>
      <c r="ANJ126" s="172"/>
      <c r="ANK126" s="172"/>
      <c r="ANL126" s="172"/>
      <c r="ANM126" s="172"/>
      <c r="ANN126" s="172"/>
      <c r="ANO126" s="172"/>
      <c r="ANP126" s="172"/>
      <c r="ANQ126" s="172"/>
      <c r="ANR126" s="172"/>
      <c r="ANS126" s="172"/>
      <c r="ANT126" s="172"/>
      <c r="ANU126" s="172"/>
      <c r="ANV126" s="172"/>
      <c r="ANW126" s="172"/>
      <c r="ANX126" s="172"/>
      <c r="ANY126" s="172"/>
      <c r="ANZ126" s="172"/>
      <c r="AOA126" s="172"/>
      <c r="AOB126" s="172"/>
      <c r="AOC126" s="172"/>
      <c r="AOD126" s="172"/>
      <c r="AOE126" s="172"/>
      <c r="AOF126" s="172"/>
      <c r="AOG126" s="172"/>
      <c r="AOH126" s="172"/>
      <c r="AOI126" s="172"/>
      <c r="AOJ126" s="172"/>
      <c r="AOK126" s="172"/>
      <c r="AOL126" s="172"/>
      <c r="AOM126" s="172"/>
      <c r="AON126" s="172"/>
      <c r="AOO126" s="172"/>
      <c r="AOP126" s="172"/>
      <c r="AOQ126" s="172"/>
      <c r="AOR126" s="172"/>
      <c r="AOS126" s="172"/>
      <c r="AOT126" s="172"/>
      <c r="AOU126" s="172"/>
      <c r="AOV126" s="172"/>
      <c r="AOW126" s="172"/>
      <c r="AOX126" s="172"/>
      <c r="AOY126" s="172"/>
      <c r="AOZ126" s="172"/>
      <c r="APA126" s="172"/>
      <c r="APB126" s="172"/>
      <c r="APC126" s="172"/>
      <c r="APD126" s="172"/>
      <c r="APE126" s="172"/>
      <c r="APF126" s="172"/>
      <c r="APG126" s="172"/>
      <c r="APH126" s="172"/>
      <c r="API126" s="172"/>
      <c r="APJ126" s="172"/>
      <c r="APK126" s="172"/>
      <c r="APL126" s="172"/>
      <c r="APM126" s="172"/>
      <c r="APN126" s="172"/>
      <c r="APO126" s="172"/>
      <c r="APP126" s="172"/>
      <c r="APQ126" s="172"/>
      <c r="APR126" s="172"/>
      <c r="APS126" s="172"/>
      <c r="APT126" s="172"/>
      <c r="APU126" s="172"/>
      <c r="APV126" s="172"/>
      <c r="APW126" s="172"/>
      <c r="APX126" s="172"/>
      <c r="APY126" s="172"/>
      <c r="APZ126" s="172"/>
      <c r="AQA126" s="172"/>
      <c r="AQB126" s="172"/>
      <c r="AQC126" s="172"/>
      <c r="AQD126" s="172"/>
      <c r="AQE126" s="172"/>
      <c r="AQF126" s="172"/>
      <c r="AQG126" s="172"/>
      <c r="AQH126" s="172"/>
      <c r="AQI126" s="172"/>
      <c r="AQJ126" s="172"/>
      <c r="AQK126" s="172"/>
      <c r="AQL126" s="172"/>
      <c r="AQM126" s="172"/>
      <c r="AQN126" s="172"/>
      <c r="AQO126" s="172"/>
      <c r="AQP126" s="172"/>
      <c r="AQQ126" s="172"/>
      <c r="AQR126" s="172"/>
      <c r="AQS126" s="172"/>
      <c r="AQT126" s="172"/>
      <c r="AQU126" s="172"/>
      <c r="AQV126" s="172"/>
      <c r="AQW126" s="172"/>
      <c r="AQX126" s="172"/>
      <c r="AQY126" s="172"/>
      <c r="AQZ126" s="172"/>
      <c r="ARA126" s="172"/>
      <c r="ARB126" s="172"/>
      <c r="ARC126" s="172"/>
      <c r="ARD126" s="172"/>
      <c r="ARE126" s="172"/>
      <c r="ARF126" s="172"/>
      <c r="ARG126" s="172"/>
      <c r="ARH126" s="172"/>
      <c r="ARI126" s="172"/>
      <c r="ARJ126" s="172"/>
      <c r="ARK126" s="172"/>
      <c r="ARL126" s="172"/>
      <c r="ARM126" s="172"/>
      <c r="ARN126" s="172"/>
      <c r="ARO126" s="172"/>
      <c r="ARP126" s="172"/>
      <c r="ARQ126" s="172"/>
      <c r="ARR126" s="172"/>
      <c r="ARS126" s="172"/>
      <c r="ART126" s="172"/>
      <c r="ARU126" s="172"/>
    </row>
    <row r="127" spans="1:1165" s="257" customFormat="1">
      <c r="A127" s="222" t="s">
        <v>309</v>
      </c>
      <c r="B127" s="195" t="s">
        <v>87</v>
      </c>
      <c r="C127" s="258">
        <v>537069</v>
      </c>
      <c r="D127" s="258">
        <v>108751359</v>
      </c>
      <c r="E127" s="198">
        <v>91667</v>
      </c>
      <c r="F127" s="198">
        <v>23292830</v>
      </c>
      <c r="G127" s="198">
        <v>61595</v>
      </c>
      <c r="H127" s="198">
        <v>18141673</v>
      </c>
      <c r="I127" s="198">
        <v>80199</v>
      </c>
      <c r="J127" s="198">
        <v>21823610</v>
      </c>
      <c r="K127" s="198">
        <v>86203</v>
      </c>
      <c r="L127" s="198">
        <v>20645888</v>
      </c>
      <c r="M127" s="198">
        <v>60651</v>
      </c>
      <c r="N127" s="198">
        <v>18834203</v>
      </c>
      <c r="O127" s="198">
        <v>79669</v>
      </c>
      <c r="P127" s="198">
        <v>30962497</v>
      </c>
      <c r="Q127" s="198">
        <v>69887</v>
      </c>
      <c r="R127" s="198">
        <v>35289099</v>
      </c>
      <c r="S127" s="198">
        <v>85630</v>
      </c>
      <c r="T127" s="198">
        <v>51056433</v>
      </c>
      <c r="U127" s="211">
        <v>91192</v>
      </c>
      <c r="V127" s="211">
        <v>54011414</v>
      </c>
      <c r="W127" s="211">
        <v>88972</v>
      </c>
      <c r="X127" s="211">
        <v>58363779</v>
      </c>
      <c r="Y127" s="211">
        <v>76065</v>
      </c>
      <c r="Z127" s="211">
        <v>57906645</v>
      </c>
      <c r="AA127" s="226">
        <v>59134</v>
      </c>
      <c r="AB127" s="226">
        <v>39661379</v>
      </c>
      <c r="AC127" s="198">
        <v>68964</v>
      </c>
      <c r="AD127" s="198">
        <v>39051843</v>
      </c>
      <c r="AE127" s="196">
        <v>56596</v>
      </c>
      <c r="AF127" s="196">
        <v>29974170</v>
      </c>
      <c r="AG127" s="196">
        <v>87161</v>
      </c>
      <c r="AH127" s="196">
        <v>44463737</v>
      </c>
      <c r="AI127" s="196">
        <v>124870</v>
      </c>
      <c r="AJ127" s="196">
        <v>68141539</v>
      </c>
      <c r="AK127" s="260">
        <v>110651</v>
      </c>
      <c r="AL127" s="260">
        <v>79167249</v>
      </c>
      <c r="AM127" s="261">
        <v>111779</v>
      </c>
      <c r="AN127" s="261">
        <v>78531838</v>
      </c>
      <c r="AO127" s="196">
        <v>96928</v>
      </c>
      <c r="AP127" s="196">
        <v>76449238</v>
      </c>
      <c r="AQ127" s="196">
        <v>113400.715</v>
      </c>
      <c r="AR127" s="196">
        <v>82261110.629999995</v>
      </c>
      <c r="AS127" s="196">
        <v>122147</v>
      </c>
      <c r="AT127" s="196">
        <v>100575286</v>
      </c>
      <c r="AU127" s="226">
        <v>112926.62</v>
      </c>
      <c r="AV127" s="226">
        <v>99085695</v>
      </c>
      <c r="AW127" s="211">
        <v>125411</v>
      </c>
      <c r="AX127" s="211">
        <v>102663206</v>
      </c>
      <c r="AY127" s="198">
        <v>123633</v>
      </c>
      <c r="AZ127" s="198">
        <v>80279524</v>
      </c>
      <c r="BA127" s="262"/>
      <c r="BB127" s="211"/>
      <c r="BC127" s="263"/>
      <c r="BD127" s="211"/>
      <c r="BE127" s="263"/>
      <c r="BF127" s="211"/>
      <c r="BG127" s="263"/>
      <c r="BH127" s="211"/>
      <c r="BI127" s="263"/>
      <c r="BJ127" s="250">
        <f t="shared" si="61"/>
        <v>2630733.335</v>
      </c>
      <c r="BK127" s="250">
        <f t="shared" si="62"/>
        <v>1396092414.6300001</v>
      </c>
      <c r="BL127" s="172"/>
      <c r="BM127" s="231"/>
      <c r="BN127" s="231"/>
      <c r="BO127" s="231"/>
      <c r="BP127" s="231"/>
      <c r="BQ127" s="172"/>
      <c r="BR127" s="172"/>
      <c r="BS127" s="172"/>
      <c r="BT127" s="172"/>
      <c r="BU127" s="172"/>
      <c r="BV127" s="172"/>
      <c r="BW127" s="172"/>
      <c r="BX127" s="172"/>
      <c r="BY127" s="172"/>
      <c r="BZ127" s="172"/>
      <c r="CA127" s="172"/>
      <c r="CB127" s="172"/>
      <c r="CC127" s="172"/>
      <c r="CD127" s="172"/>
      <c r="CE127" s="172"/>
      <c r="CF127" s="172"/>
      <c r="CG127" s="172"/>
      <c r="CH127" s="172"/>
      <c r="CI127" s="172"/>
      <c r="CJ127" s="172"/>
      <c r="CK127" s="172"/>
      <c r="CL127" s="172"/>
      <c r="CM127" s="172"/>
      <c r="CN127" s="172"/>
      <c r="CO127" s="172"/>
      <c r="CP127" s="172"/>
      <c r="CQ127" s="172"/>
      <c r="CR127" s="172"/>
      <c r="CS127" s="172"/>
      <c r="CT127" s="172"/>
      <c r="CU127" s="172"/>
      <c r="CV127" s="172"/>
      <c r="CW127" s="172"/>
      <c r="CX127" s="172"/>
      <c r="CY127" s="172"/>
      <c r="CZ127" s="172"/>
      <c r="DA127" s="172"/>
      <c r="DB127" s="172"/>
      <c r="DC127" s="172"/>
      <c r="DD127" s="172"/>
      <c r="DE127" s="172"/>
      <c r="DF127" s="172"/>
      <c r="DG127" s="172"/>
      <c r="DH127" s="172"/>
      <c r="DI127" s="172"/>
      <c r="DJ127" s="172"/>
      <c r="DK127" s="172"/>
      <c r="DL127" s="172"/>
      <c r="DM127" s="172"/>
      <c r="DN127" s="172"/>
      <c r="DO127" s="172"/>
      <c r="DP127" s="172"/>
      <c r="DQ127" s="172"/>
      <c r="DR127" s="172"/>
      <c r="DS127" s="172"/>
      <c r="DT127" s="172"/>
      <c r="DU127" s="172"/>
      <c r="DV127" s="172"/>
      <c r="DW127" s="172"/>
      <c r="DX127" s="172"/>
      <c r="DY127" s="172"/>
      <c r="DZ127" s="172"/>
      <c r="EA127" s="172"/>
      <c r="EB127" s="172"/>
      <c r="EC127" s="172"/>
      <c r="ED127" s="172"/>
      <c r="EE127" s="172"/>
      <c r="EF127" s="172"/>
      <c r="EG127" s="172"/>
      <c r="EH127" s="172"/>
      <c r="EI127" s="172"/>
      <c r="EJ127" s="172"/>
      <c r="EK127" s="172"/>
      <c r="EL127" s="172"/>
      <c r="EM127" s="172"/>
      <c r="EN127" s="172"/>
      <c r="EO127" s="172"/>
      <c r="EP127" s="172"/>
      <c r="EQ127" s="172"/>
      <c r="ER127" s="172"/>
      <c r="ES127" s="172"/>
      <c r="ET127" s="172"/>
      <c r="EU127" s="172"/>
      <c r="EV127" s="172"/>
      <c r="EW127" s="172"/>
      <c r="EX127" s="172"/>
      <c r="EY127" s="172"/>
      <c r="EZ127" s="172"/>
      <c r="FA127" s="172"/>
      <c r="FB127" s="172"/>
      <c r="FC127" s="172"/>
      <c r="FD127" s="172"/>
      <c r="FE127" s="172"/>
      <c r="FF127" s="172"/>
      <c r="FG127" s="172"/>
      <c r="FH127" s="172"/>
      <c r="FI127" s="172"/>
      <c r="FJ127" s="172"/>
      <c r="FK127" s="172"/>
      <c r="FL127" s="172"/>
      <c r="FM127" s="172"/>
      <c r="FN127" s="172"/>
      <c r="FO127" s="172"/>
      <c r="FP127" s="172"/>
      <c r="FQ127" s="172"/>
      <c r="FR127" s="172"/>
      <c r="FS127" s="172"/>
      <c r="FT127" s="172"/>
      <c r="FU127" s="172"/>
      <c r="FV127" s="172"/>
      <c r="FW127" s="172"/>
      <c r="FX127" s="172"/>
      <c r="FY127" s="172"/>
      <c r="FZ127" s="172"/>
      <c r="GA127" s="172"/>
      <c r="GB127" s="172"/>
      <c r="GC127" s="172"/>
      <c r="GD127" s="172"/>
      <c r="GE127" s="172"/>
      <c r="GF127" s="172"/>
      <c r="GG127" s="172"/>
      <c r="GH127" s="172"/>
      <c r="GI127" s="172"/>
      <c r="GJ127" s="172"/>
      <c r="GK127" s="172"/>
      <c r="GL127" s="172"/>
      <c r="GM127" s="172"/>
      <c r="GN127" s="172"/>
      <c r="GO127" s="172"/>
      <c r="GP127" s="172"/>
      <c r="GQ127" s="172"/>
      <c r="GR127" s="172"/>
      <c r="GS127" s="172"/>
      <c r="GT127" s="172"/>
      <c r="GU127" s="172"/>
      <c r="GV127" s="172"/>
      <c r="GW127" s="172"/>
      <c r="GX127" s="172"/>
      <c r="GY127" s="172"/>
      <c r="GZ127" s="172"/>
      <c r="HA127" s="172"/>
      <c r="HB127" s="172"/>
      <c r="HC127" s="172"/>
      <c r="HD127" s="172"/>
      <c r="HE127" s="172"/>
      <c r="HF127" s="172"/>
      <c r="HG127" s="172"/>
      <c r="HH127" s="172"/>
      <c r="HI127" s="172"/>
      <c r="HJ127" s="172"/>
      <c r="HK127" s="172"/>
      <c r="HL127" s="172"/>
      <c r="HM127" s="172"/>
      <c r="HN127" s="172"/>
      <c r="HO127" s="172"/>
      <c r="HP127" s="172"/>
      <c r="HQ127" s="172"/>
      <c r="HR127" s="172"/>
      <c r="HS127" s="172"/>
      <c r="HT127" s="172"/>
      <c r="HU127" s="172"/>
      <c r="HV127" s="172"/>
      <c r="HW127" s="172"/>
      <c r="HX127" s="172"/>
      <c r="HY127" s="172"/>
      <c r="HZ127" s="172"/>
      <c r="IA127" s="172"/>
      <c r="IB127" s="172"/>
      <c r="IC127" s="172"/>
      <c r="ID127" s="172"/>
      <c r="IE127" s="172"/>
      <c r="IF127" s="172"/>
      <c r="IG127" s="172"/>
      <c r="IH127" s="172"/>
      <c r="II127" s="172"/>
      <c r="IJ127" s="172"/>
      <c r="IK127" s="172"/>
      <c r="IL127" s="172"/>
      <c r="IM127" s="172"/>
      <c r="IN127" s="172"/>
      <c r="IO127" s="172"/>
      <c r="IP127" s="172"/>
      <c r="IQ127" s="172"/>
      <c r="IR127" s="172"/>
      <c r="IS127" s="172"/>
      <c r="IT127" s="172"/>
      <c r="IU127" s="172"/>
      <c r="IV127" s="172"/>
      <c r="IW127" s="172"/>
      <c r="IX127" s="172"/>
      <c r="IY127" s="172"/>
      <c r="IZ127" s="172"/>
      <c r="JA127" s="172"/>
      <c r="JB127" s="172"/>
      <c r="JC127" s="172"/>
      <c r="JD127" s="172"/>
      <c r="JE127" s="172"/>
      <c r="JF127" s="172"/>
      <c r="JG127" s="172"/>
      <c r="JH127" s="172"/>
      <c r="JI127" s="172"/>
      <c r="JJ127" s="172"/>
      <c r="JK127" s="172"/>
      <c r="JL127" s="172"/>
      <c r="JM127" s="172"/>
      <c r="JN127" s="172"/>
      <c r="JO127" s="172"/>
      <c r="JP127" s="172"/>
      <c r="JQ127" s="172"/>
      <c r="JR127" s="172"/>
      <c r="JS127" s="172"/>
      <c r="JT127" s="172"/>
      <c r="JU127" s="172"/>
      <c r="JV127" s="172"/>
      <c r="JW127" s="172"/>
      <c r="JX127" s="172"/>
      <c r="JY127" s="172"/>
      <c r="JZ127" s="172"/>
      <c r="KA127" s="172"/>
      <c r="KB127" s="172"/>
      <c r="KC127" s="172"/>
      <c r="KD127" s="172"/>
      <c r="KE127" s="172"/>
      <c r="KF127" s="172"/>
      <c r="KG127" s="172"/>
      <c r="KH127" s="172"/>
      <c r="KI127" s="172"/>
      <c r="KJ127" s="172"/>
      <c r="KK127" s="172"/>
      <c r="KL127" s="172"/>
      <c r="KM127" s="172"/>
      <c r="KN127" s="172"/>
      <c r="KO127" s="172"/>
      <c r="KP127" s="172"/>
      <c r="KQ127" s="172"/>
      <c r="KR127" s="172"/>
      <c r="KS127" s="172"/>
      <c r="KT127" s="172"/>
      <c r="KU127" s="172"/>
      <c r="KV127" s="172"/>
      <c r="KW127" s="172"/>
      <c r="KX127" s="172"/>
      <c r="KY127" s="172"/>
      <c r="KZ127" s="172"/>
      <c r="LA127" s="172"/>
      <c r="LB127" s="172"/>
      <c r="LC127" s="172"/>
      <c r="LD127" s="172"/>
      <c r="LE127" s="172"/>
      <c r="LF127" s="172"/>
      <c r="LG127" s="172"/>
      <c r="LH127" s="172"/>
      <c r="LI127" s="172"/>
      <c r="LJ127" s="172"/>
      <c r="LK127" s="172"/>
      <c r="LL127" s="172"/>
      <c r="LM127" s="172"/>
      <c r="LN127" s="172"/>
      <c r="LO127" s="172"/>
      <c r="LP127" s="172"/>
      <c r="LQ127" s="172"/>
      <c r="LR127" s="172"/>
      <c r="LS127" s="172"/>
      <c r="LT127" s="172"/>
      <c r="LU127" s="172"/>
      <c r="LV127" s="172"/>
      <c r="LW127" s="172"/>
      <c r="LX127" s="172"/>
      <c r="LY127" s="172"/>
      <c r="LZ127" s="172"/>
      <c r="MA127" s="172"/>
      <c r="MB127" s="172"/>
      <c r="MC127" s="172"/>
      <c r="MD127" s="172"/>
      <c r="ME127" s="172"/>
      <c r="MF127" s="172"/>
      <c r="MG127" s="172"/>
      <c r="MH127" s="172"/>
      <c r="MI127" s="172"/>
      <c r="MJ127" s="172"/>
      <c r="MK127" s="172"/>
      <c r="ML127" s="172"/>
      <c r="MM127" s="172"/>
      <c r="MN127" s="172"/>
      <c r="MO127" s="172"/>
      <c r="MP127" s="172"/>
      <c r="MQ127" s="172"/>
      <c r="MR127" s="172"/>
      <c r="MS127" s="172"/>
      <c r="MT127" s="172"/>
      <c r="MU127" s="172"/>
      <c r="MV127" s="172"/>
      <c r="MW127" s="172"/>
      <c r="MX127" s="172"/>
      <c r="MY127" s="172"/>
      <c r="MZ127" s="172"/>
      <c r="NA127" s="172"/>
      <c r="NB127" s="172"/>
      <c r="NC127" s="172"/>
      <c r="ND127" s="172"/>
      <c r="NE127" s="172"/>
      <c r="NF127" s="172"/>
      <c r="NG127" s="172"/>
      <c r="NH127" s="172"/>
      <c r="NI127" s="172"/>
      <c r="NJ127" s="172"/>
      <c r="NK127" s="172"/>
      <c r="NL127" s="172"/>
      <c r="NM127" s="172"/>
      <c r="NN127" s="172"/>
      <c r="NO127" s="172"/>
      <c r="NP127" s="172"/>
      <c r="NQ127" s="172"/>
      <c r="NR127" s="172"/>
      <c r="NS127" s="172"/>
      <c r="NT127" s="172"/>
      <c r="NU127" s="172"/>
      <c r="NV127" s="172"/>
      <c r="NW127" s="172"/>
      <c r="NX127" s="172"/>
      <c r="NY127" s="172"/>
      <c r="NZ127" s="172"/>
      <c r="OA127" s="172"/>
      <c r="OB127" s="172"/>
      <c r="OC127" s="172"/>
      <c r="OD127" s="172"/>
      <c r="OE127" s="172"/>
      <c r="OF127" s="172"/>
      <c r="OG127" s="172"/>
      <c r="OH127" s="172"/>
      <c r="OI127" s="172"/>
      <c r="OJ127" s="172"/>
      <c r="OK127" s="172"/>
      <c r="OL127" s="172"/>
      <c r="OM127" s="172"/>
      <c r="ON127" s="172"/>
      <c r="OO127" s="172"/>
      <c r="OP127" s="172"/>
      <c r="OQ127" s="172"/>
      <c r="OR127" s="172"/>
      <c r="OS127" s="172"/>
      <c r="OT127" s="172"/>
      <c r="OU127" s="172"/>
      <c r="OV127" s="172"/>
      <c r="OW127" s="172"/>
      <c r="OX127" s="172"/>
      <c r="OY127" s="172"/>
      <c r="OZ127" s="172"/>
      <c r="PA127" s="172"/>
      <c r="PB127" s="172"/>
      <c r="PC127" s="172"/>
      <c r="PD127" s="172"/>
      <c r="PE127" s="172"/>
      <c r="PF127" s="172"/>
      <c r="PG127" s="172"/>
      <c r="PH127" s="172"/>
      <c r="PI127" s="172"/>
      <c r="PJ127" s="172"/>
      <c r="PK127" s="172"/>
      <c r="PL127" s="172"/>
      <c r="PM127" s="172"/>
      <c r="PN127" s="172"/>
      <c r="PO127" s="172"/>
      <c r="PP127" s="172"/>
      <c r="PQ127" s="172"/>
      <c r="PR127" s="172"/>
      <c r="PS127" s="172"/>
      <c r="PT127" s="172"/>
      <c r="PU127" s="172"/>
      <c r="PV127" s="172"/>
      <c r="PW127" s="172"/>
      <c r="PX127" s="172"/>
      <c r="PY127" s="172"/>
      <c r="PZ127" s="172"/>
      <c r="QA127" s="172"/>
      <c r="QB127" s="172"/>
      <c r="QC127" s="172"/>
      <c r="QD127" s="172"/>
      <c r="QE127" s="172"/>
      <c r="QF127" s="172"/>
      <c r="QG127" s="172"/>
      <c r="QH127" s="172"/>
      <c r="QI127" s="172"/>
      <c r="QJ127" s="172"/>
      <c r="QK127" s="172"/>
      <c r="QL127" s="172"/>
      <c r="QM127" s="172"/>
      <c r="QN127" s="172"/>
      <c r="QO127" s="172"/>
      <c r="QP127" s="172"/>
      <c r="QQ127" s="172"/>
      <c r="QR127" s="172"/>
      <c r="QS127" s="172"/>
      <c r="QT127" s="172"/>
      <c r="QU127" s="172"/>
      <c r="QV127" s="172"/>
      <c r="QW127" s="172"/>
      <c r="QX127" s="172"/>
      <c r="QY127" s="172"/>
      <c r="QZ127" s="172"/>
      <c r="RA127" s="172"/>
      <c r="RB127" s="172"/>
      <c r="RC127" s="172"/>
      <c r="RD127" s="172"/>
      <c r="RE127" s="172"/>
      <c r="RF127" s="172"/>
      <c r="RG127" s="172"/>
      <c r="RH127" s="172"/>
      <c r="RI127" s="172"/>
      <c r="RJ127" s="172"/>
      <c r="RK127" s="172"/>
      <c r="RL127" s="172"/>
      <c r="RM127" s="172"/>
      <c r="RN127" s="172"/>
      <c r="RO127" s="172"/>
      <c r="RP127" s="172"/>
      <c r="RQ127" s="172"/>
      <c r="RR127" s="172"/>
      <c r="RS127" s="172"/>
      <c r="RT127" s="172"/>
      <c r="RU127" s="172"/>
      <c r="RV127" s="172"/>
      <c r="RW127" s="172"/>
      <c r="RX127" s="172"/>
      <c r="RY127" s="172"/>
      <c r="RZ127" s="172"/>
      <c r="SA127" s="172"/>
      <c r="SB127" s="172"/>
      <c r="SC127" s="172"/>
      <c r="SD127" s="172"/>
      <c r="SE127" s="172"/>
      <c r="SF127" s="172"/>
      <c r="SG127" s="172"/>
      <c r="SH127" s="172"/>
      <c r="SI127" s="172"/>
      <c r="SJ127" s="172"/>
      <c r="SK127" s="172"/>
      <c r="SL127" s="172"/>
      <c r="SM127" s="172"/>
      <c r="SN127" s="172"/>
      <c r="SO127" s="172"/>
      <c r="SP127" s="172"/>
      <c r="SQ127" s="172"/>
      <c r="SR127" s="172"/>
      <c r="SS127" s="172"/>
      <c r="ST127" s="172"/>
      <c r="SU127" s="172"/>
      <c r="SV127" s="172"/>
      <c r="SW127" s="172"/>
      <c r="SX127" s="172"/>
      <c r="SY127" s="172"/>
      <c r="SZ127" s="172"/>
      <c r="TA127" s="172"/>
      <c r="TB127" s="172"/>
      <c r="TC127" s="172"/>
      <c r="TD127" s="172"/>
      <c r="TE127" s="172"/>
      <c r="TF127" s="172"/>
      <c r="TG127" s="172"/>
      <c r="TH127" s="172"/>
      <c r="TI127" s="172"/>
      <c r="TJ127" s="172"/>
      <c r="TK127" s="172"/>
      <c r="TL127" s="172"/>
      <c r="TM127" s="172"/>
      <c r="TN127" s="172"/>
      <c r="TO127" s="172"/>
      <c r="TP127" s="172"/>
      <c r="TQ127" s="172"/>
      <c r="TR127" s="172"/>
      <c r="TS127" s="172"/>
      <c r="TT127" s="172"/>
      <c r="TU127" s="172"/>
      <c r="TV127" s="172"/>
      <c r="TW127" s="172"/>
      <c r="TX127" s="172"/>
      <c r="TY127" s="172"/>
      <c r="TZ127" s="172"/>
      <c r="UA127" s="172"/>
      <c r="UB127" s="172"/>
      <c r="UC127" s="172"/>
      <c r="UD127" s="172"/>
      <c r="UE127" s="172"/>
      <c r="UF127" s="172"/>
      <c r="UG127" s="172"/>
      <c r="UH127" s="172"/>
      <c r="UI127" s="172"/>
      <c r="UJ127" s="172"/>
      <c r="UK127" s="172"/>
      <c r="UL127" s="172"/>
      <c r="UM127" s="172"/>
      <c r="UN127" s="172"/>
      <c r="UO127" s="172"/>
      <c r="UP127" s="172"/>
      <c r="UQ127" s="172"/>
      <c r="UR127" s="172"/>
      <c r="US127" s="172"/>
      <c r="UT127" s="172"/>
      <c r="UU127" s="172"/>
      <c r="UV127" s="172"/>
      <c r="UW127" s="172"/>
      <c r="UX127" s="172"/>
      <c r="UY127" s="172"/>
      <c r="UZ127" s="172"/>
      <c r="VA127" s="172"/>
      <c r="VB127" s="172"/>
      <c r="VC127" s="172"/>
      <c r="VD127" s="172"/>
      <c r="VE127" s="172"/>
      <c r="VF127" s="172"/>
      <c r="VG127" s="172"/>
      <c r="VH127" s="172"/>
      <c r="VI127" s="172"/>
      <c r="VJ127" s="172"/>
      <c r="VK127" s="172"/>
      <c r="VL127" s="172"/>
      <c r="VM127" s="172"/>
      <c r="VN127" s="172"/>
      <c r="VO127" s="172"/>
      <c r="VP127" s="172"/>
      <c r="VQ127" s="172"/>
      <c r="VR127" s="172"/>
      <c r="VS127" s="172"/>
      <c r="VT127" s="172"/>
      <c r="VU127" s="172"/>
      <c r="VV127" s="172"/>
      <c r="VW127" s="172"/>
      <c r="VX127" s="172"/>
      <c r="VY127" s="172"/>
      <c r="VZ127" s="172"/>
      <c r="WA127" s="172"/>
      <c r="WB127" s="172"/>
      <c r="WC127" s="172"/>
      <c r="WD127" s="172"/>
      <c r="WE127" s="172"/>
      <c r="WF127" s="172"/>
      <c r="WG127" s="172"/>
      <c r="WH127" s="172"/>
      <c r="WI127" s="172"/>
      <c r="WJ127" s="172"/>
      <c r="WK127" s="172"/>
      <c r="WL127" s="172"/>
      <c r="WM127" s="172"/>
      <c r="WN127" s="172"/>
      <c r="WO127" s="172"/>
      <c r="WP127" s="172"/>
      <c r="WQ127" s="172"/>
      <c r="WR127" s="172"/>
      <c r="WS127" s="172"/>
      <c r="WT127" s="172"/>
      <c r="WU127" s="172"/>
      <c r="WV127" s="172"/>
      <c r="WW127" s="172"/>
      <c r="WX127" s="172"/>
      <c r="WY127" s="172"/>
      <c r="WZ127" s="172"/>
      <c r="XA127" s="172"/>
      <c r="XB127" s="172"/>
      <c r="XC127" s="172"/>
      <c r="XD127" s="172"/>
      <c r="XE127" s="172"/>
      <c r="XF127" s="172"/>
      <c r="XG127" s="172"/>
      <c r="XH127" s="172"/>
      <c r="XI127" s="172"/>
      <c r="XJ127" s="172"/>
      <c r="XK127" s="172"/>
      <c r="XL127" s="172"/>
      <c r="XM127" s="172"/>
      <c r="XN127" s="172"/>
      <c r="XO127" s="172"/>
      <c r="XP127" s="172"/>
      <c r="XQ127" s="172"/>
      <c r="XR127" s="172"/>
      <c r="XS127" s="172"/>
      <c r="XT127" s="172"/>
      <c r="XU127" s="172"/>
      <c r="XV127" s="172"/>
      <c r="XW127" s="172"/>
      <c r="XX127" s="172"/>
      <c r="XY127" s="172"/>
      <c r="XZ127" s="172"/>
      <c r="YA127" s="172"/>
      <c r="YB127" s="172"/>
      <c r="YC127" s="172"/>
      <c r="YD127" s="172"/>
      <c r="YE127" s="172"/>
      <c r="YF127" s="172"/>
      <c r="YG127" s="172"/>
      <c r="YH127" s="172"/>
      <c r="YI127" s="172"/>
      <c r="YJ127" s="172"/>
      <c r="YK127" s="172"/>
      <c r="YL127" s="172"/>
      <c r="YM127" s="172"/>
      <c r="YN127" s="172"/>
      <c r="YO127" s="172"/>
      <c r="YP127" s="172"/>
      <c r="YQ127" s="172"/>
      <c r="YR127" s="172"/>
      <c r="YS127" s="172"/>
      <c r="YT127" s="172"/>
      <c r="YU127" s="172"/>
      <c r="YV127" s="172"/>
      <c r="YW127" s="172"/>
      <c r="YX127" s="172"/>
      <c r="YY127" s="172"/>
      <c r="YZ127" s="172"/>
      <c r="ZA127" s="172"/>
      <c r="ZB127" s="172"/>
      <c r="ZC127" s="172"/>
      <c r="ZD127" s="172"/>
      <c r="ZE127" s="172"/>
      <c r="ZF127" s="172"/>
      <c r="ZG127" s="172"/>
      <c r="ZH127" s="172"/>
      <c r="ZI127" s="172"/>
      <c r="ZJ127" s="172"/>
      <c r="ZK127" s="172"/>
      <c r="ZL127" s="172"/>
      <c r="ZM127" s="172"/>
      <c r="ZN127" s="172"/>
      <c r="ZO127" s="172"/>
      <c r="ZP127" s="172"/>
      <c r="ZQ127" s="172"/>
      <c r="ZR127" s="172"/>
      <c r="ZS127" s="172"/>
      <c r="ZT127" s="172"/>
      <c r="ZU127" s="172"/>
      <c r="ZV127" s="172"/>
      <c r="ZW127" s="172"/>
      <c r="ZX127" s="172"/>
      <c r="ZY127" s="172"/>
      <c r="ZZ127" s="172"/>
      <c r="AAA127" s="172"/>
      <c r="AAB127" s="172"/>
      <c r="AAC127" s="172"/>
      <c r="AAD127" s="172"/>
      <c r="AAE127" s="172"/>
      <c r="AAF127" s="172"/>
      <c r="AAG127" s="172"/>
      <c r="AAH127" s="172"/>
      <c r="AAI127" s="172"/>
      <c r="AAJ127" s="172"/>
      <c r="AAK127" s="172"/>
      <c r="AAL127" s="172"/>
      <c r="AAM127" s="172"/>
      <c r="AAN127" s="172"/>
      <c r="AAO127" s="172"/>
      <c r="AAP127" s="172"/>
      <c r="AAQ127" s="172"/>
      <c r="AAR127" s="172"/>
      <c r="AAS127" s="172"/>
      <c r="AAT127" s="172"/>
      <c r="AAU127" s="172"/>
      <c r="AAV127" s="172"/>
      <c r="AAW127" s="172"/>
      <c r="AAX127" s="172"/>
      <c r="AAY127" s="172"/>
      <c r="AAZ127" s="172"/>
      <c r="ABA127" s="172"/>
      <c r="ABB127" s="172"/>
      <c r="ABC127" s="172"/>
      <c r="ABD127" s="172"/>
      <c r="ABE127" s="172"/>
      <c r="ABF127" s="172"/>
      <c r="ABG127" s="172"/>
      <c r="ABH127" s="172"/>
      <c r="ABI127" s="172"/>
      <c r="ABJ127" s="172"/>
      <c r="ABK127" s="172"/>
      <c r="ABL127" s="172"/>
      <c r="ABM127" s="172"/>
      <c r="ABN127" s="172"/>
      <c r="ABO127" s="172"/>
      <c r="ABP127" s="172"/>
      <c r="ABQ127" s="172"/>
      <c r="ABR127" s="172"/>
      <c r="ABS127" s="172"/>
      <c r="ABT127" s="172"/>
      <c r="ABU127" s="172"/>
      <c r="ABV127" s="172"/>
      <c r="ABW127" s="172"/>
      <c r="ABX127" s="172"/>
      <c r="ABY127" s="172"/>
      <c r="ABZ127" s="172"/>
      <c r="ACA127" s="172"/>
      <c r="ACB127" s="172"/>
      <c r="ACC127" s="172"/>
      <c r="ACD127" s="172"/>
      <c r="ACE127" s="172"/>
      <c r="ACF127" s="172"/>
      <c r="ACG127" s="172"/>
      <c r="ACH127" s="172"/>
      <c r="ACI127" s="172"/>
      <c r="ACJ127" s="172"/>
      <c r="ACK127" s="172"/>
      <c r="ACL127" s="172"/>
      <c r="ACM127" s="172"/>
      <c r="ACN127" s="172"/>
      <c r="ACO127" s="172"/>
      <c r="ACP127" s="172"/>
      <c r="ACQ127" s="172"/>
      <c r="ACR127" s="172"/>
      <c r="ACS127" s="172"/>
      <c r="ACT127" s="172"/>
      <c r="ACU127" s="172"/>
      <c r="ACV127" s="172"/>
      <c r="ACW127" s="172"/>
      <c r="ACX127" s="172"/>
      <c r="ACY127" s="172"/>
      <c r="ACZ127" s="172"/>
      <c r="ADA127" s="172"/>
      <c r="ADB127" s="172"/>
      <c r="ADC127" s="172"/>
      <c r="ADD127" s="172"/>
      <c r="ADE127" s="172"/>
      <c r="ADF127" s="172"/>
      <c r="ADG127" s="172"/>
      <c r="ADH127" s="172"/>
      <c r="ADI127" s="172"/>
      <c r="ADJ127" s="172"/>
      <c r="ADK127" s="172"/>
      <c r="ADL127" s="172"/>
      <c r="ADM127" s="172"/>
      <c r="ADN127" s="172"/>
      <c r="ADO127" s="172"/>
      <c r="ADP127" s="172"/>
      <c r="ADQ127" s="172"/>
      <c r="ADR127" s="172"/>
      <c r="ADS127" s="172"/>
      <c r="ADT127" s="172"/>
      <c r="ADU127" s="172"/>
      <c r="ADV127" s="172"/>
      <c r="ADW127" s="172"/>
      <c r="ADX127" s="172"/>
      <c r="ADY127" s="172"/>
      <c r="ADZ127" s="172"/>
      <c r="AEA127" s="172"/>
      <c r="AEB127" s="172"/>
      <c r="AEC127" s="172"/>
      <c r="AED127" s="172"/>
      <c r="AEE127" s="172"/>
      <c r="AEF127" s="172"/>
      <c r="AEG127" s="172"/>
      <c r="AEH127" s="172"/>
      <c r="AEI127" s="172"/>
      <c r="AEJ127" s="172"/>
      <c r="AEK127" s="172"/>
      <c r="AEL127" s="172"/>
      <c r="AEM127" s="172"/>
      <c r="AEN127" s="172"/>
      <c r="AEO127" s="172"/>
      <c r="AEP127" s="172"/>
      <c r="AEQ127" s="172"/>
      <c r="AER127" s="172"/>
      <c r="AES127" s="172"/>
      <c r="AET127" s="172"/>
      <c r="AEU127" s="172"/>
      <c r="AEV127" s="172"/>
      <c r="AEW127" s="172"/>
      <c r="AEX127" s="172"/>
      <c r="AEY127" s="172"/>
      <c r="AEZ127" s="172"/>
      <c r="AFA127" s="172"/>
      <c r="AFB127" s="172"/>
      <c r="AFC127" s="172"/>
      <c r="AFD127" s="172"/>
      <c r="AFE127" s="172"/>
      <c r="AFF127" s="172"/>
      <c r="AFG127" s="172"/>
      <c r="AFH127" s="172"/>
      <c r="AFI127" s="172"/>
      <c r="AFJ127" s="172"/>
      <c r="AFK127" s="172"/>
      <c r="AFL127" s="172"/>
      <c r="AFM127" s="172"/>
      <c r="AFN127" s="172"/>
      <c r="AFO127" s="172"/>
      <c r="AFP127" s="172"/>
      <c r="AFQ127" s="172"/>
      <c r="AFR127" s="172"/>
      <c r="AFS127" s="172"/>
      <c r="AFT127" s="172"/>
      <c r="AFU127" s="172"/>
      <c r="AFV127" s="172"/>
      <c r="AFW127" s="172"/>
      <c r="AFX127" s="172"/>
      <c r="AFY127" s="172"/>
      <c r="AFZ127" s="172"/>
      <c r="AGA127" s="172"/>
      <c r="AGB127" s="172"/>
      <c r="AGC127" s="172"/>
      <c r="AGD127" s="172"/>
      <c r="AGE127" s="172"/>
      <c r="AGF127" s="172"/>
      <c r="AGG127" s="172"/>
      <c r="AGH127" s="172"/>
      <c r="AGI127" s="172"/>
      <c r="AGJ127" s="172"/>
      <c r="AGK127" s="172"/>
      <c r="AGL127" s="172"/>
      <c r="AGM127" s="172"/>
      <c r="AGN127" s="172"/>
      <c r="AGO127" s="172"/>
      <c r="AGP127" s="172"/>
      <c r="AGQ127" s="172"/>
      <c r="AGR127" s="172"/>
      <c r="AGS127" s="172"/>
      <c r="AGT127" s="172"/>
      <c r="AGU127" s="172"/>
      <c r="AGV127" s="172"/>
      <c r="AGW127" s="172"/>
      <c r="AGX127" s="172"/>
      <c r="AGY127" s="172"/>
      <c r="AGZ127" s="172"/>
      <c r="AHA127" s="172"/>
      <c r="AHB127" s="172"/>
      <c r="AHC127" s="172"/>
      <c r="AHD127" s="172"/>
      <c r="AHE127" s="172"/>
      <c r="AHF127" s="172"/>
      <c r="AHG127" s="172"/>
      <c r="AHH127" s="172"/>
      <c r="AHI127" s="172"/>
      <c r="AHJ127" s="172"/>
      <c r="AHK127" s="172"/>
      <c r="AHL127" s="172"/>
      <c r="AHM127" s="172"/>
      <c r="AHN127" s="172"/>
      <c r="AHO127" s="172"/>
      <c r="AHP127" s="172"/>
      <c r="AHQ127" s="172"/>
      <c r="AHR127" s="172"/>
      <c r="AHS127" s="172"/>
      <c r="AHT127" s="172"/>
      <c r="AHU127" s="172"/>
      <c r="AHV127" s="172"/>
      <c r="AHW127" s="172"/>
      <c r="AHX127" s="172"/>
      <c r="AHY127" s="172"/>
      <c r="AHZ127" s="172"/>
      <c r="AIA127" s="172"/>
      <c r="AIB127" s="172"/>
      <c r="AIC127" s="172"/>
      <c r="AID127" s="172"/>
      <c r="AIE127" s="172"/>
      <c r="AIF127" s="172"/>
      <c r="AIG127" s="172"/>
      <c r="AIH127" s="172"/>
      <c r="AII127" s="172"/>
      <c r="AIJ127" s="172"/>
      <c r="AIK127" s="172"/>
      <c r="AIL127" s="172"/>
      <c r="AIM127" s="172"/>
      <c r="AIN127" s="172"/>
      <c r="AIO127" s="172"/>
      <c r="AIP127" s="172"/>
      <c r="AIQ127" s="172"/>
      <c r="AIR127" s="172"/>
      <c r="AIS127" s="172"/>
      <c r="AIT127" s="172"/>
      <c r="AIU127" s="172"/>
      <c r="AIV127" s="172"/>
      <c r="AIW127" s="172"/>
      <c r="AIX127" s="172"/>
      <c r="AIY127" s="172"/>
      <c r="AIZ127" s="172"/>
      <c r="AJA127" s="172"/>
      <c r="AJB127" s="172"/>
      <c r="AJC127" s="172"/>
      <c r="AJD127" s="172"/>
      <c r="AJE127" s="172"/>
      <c r="AJF127" s="172"/>
      <c r="AJG127" s="172"/>
      <c r="AJH127" s="172"/>
      <c r="AJI127" s="172"/>
      <c r="AJJ127" s="172"/>
      <c r="AJK127" s="172"/>
      <c r="AJL127" s="172"/>
      <c r="AJM127" s="172"/>
      <c r="AJN127" s="172"/>
      <c r="AJO127" s="172"/>
      <c r="AJP127" s="172"/>
      <c r="AJQ127" s="172"/>
      <c r="AJR127" s="172"/>
      <c r="AJS127" s="172"/>
      <c r="AJT127" s="172"/>
      <c r="AJU127" s="172"/>
      <c r="AJV127" s="172"/>
      <c r="AJW127" s="172"/>
      <c r="AJX127" s="172"/>
      <c r="AJY127" s="172"/>
      <c r="AJZ127" s="172"/>
      <c r="AKA127" s="172"/>
      <c r="AKB127" s="172"/>
      <c r="AKC127" s="172"/>
      <c r="AKD127" s="172"/>
      <c r="AKE127" s="172"/>
      <c r="AKF127" s="172"/>
      <c r="AKG127" s="172"/>
      <c r="AKH127" s="172"/>
      <c r="AKI127" s="172"/>
      <c r="AKJ127" s="172"/>
      <c r="AKK127" s="172"/>
      <c r="AKL127" s="172"/>
      <c r="AKM127" s="172"/>
      <c r="AKN127" s="172"/>
      <c r="AKO127" s="172"/>
      <c r="AKP127" s="172"/>
      <c r="AKQ127" s="172"/>
      <c r="AKR127" s="172"/>
      <c r="AKS127" s="172"/>
      <c r="AKT127" s="172"/>
      <c r="AKU127" s="172"/>
      <c r="AKV127" s="172"/>
      <c r="AKW127" s="172"/>
      <c r="AKX127" s="172"/>
      <c r="AKY127" s="172"/>
      <c r="AKZ127" s="172"/>
      <c r="ALA127" s="172"/>
      <c r="ALB127" s="172"/>
      <c r="ALC127" s="172"/>
      <c r="ALD127" s="172"/>
      <c r="ALE127" s="172"/>
      <c r="ALF127" s="172"/>
      <c r="ALG127" s="172"/>
      <c r="ALH127" s="172"/>
      <c r="ALI127" s="172"/>
      <c r="ALJ127" s="172"/>
      <c r="ALK127" s="172"/>
      <c r="ALL127" s="172"/>
      <c r="ALM127" s="172"/>
      <c r="ALN127" s="172"/>
      <c r="ALO127" s="172"/>
      <c r="ALP127" s="172"/>
      <c r="ALQ127" s="172"/>
      <c r="ALR127" s="172"/>
      <c r="ALS127" s="172"/>
      <c r="ALT127" s="172"/>
      <c r="ALU127" s="172"/>
      <c r="ALV127" s="172"/>
      <c r="ALW127" s="172"/>
      <c r="ALX127" s="172"/>
      <c r="ALY127" s="172"/>
      <c r="ALZ127" s="172"/>
      <c r="AMA127" s="172"/>
      <c r="AMB127" s="172"/>
      <c r="AMC127" s="172"/>
      <c r="AMD127" s="172"/>
      <c r="AME127" s="172"/>
      <c r="AMF127" s="172"/>
      <c r="AMG127" s="172"/>
      <c r="AMH127" s="172"/>
      <c r="AMI127" s="172"/>
      <c r="AMJ127" s="172"/>
      <c r="AMK127" s="172"/>
      <c r="AML127" s="172"/>
      <c r="AMM127" s="172"/>
      <c r="AMN127" s="172"/>
      <c r="AMO127" s="172"/>
      <c r="AMP127" s="172"/>
      <c r="AMQ127" s="172"/>
      <c r="AMR127" s="172"/>
      <c r="AMS127" s="172"/>
      <c r="AMT127" s="172"/>
      <c r="AMU127" s="172"/>
      <c r="AMV127" s="172"/>
      <c r="AMW127" s="172"/>
      <c r="AMX127" s="172"/>
      <c r="AMY127" s="172"/>
      <c r="AMZ127" s="172"/>
      <c r="ANA127" s="172"/>
      <c r="ANB127" s="172"/>
      <c r="ANC127" s="172"/>
      <c r="AND127" s="172"/>
      <c r="ANE127" s="172"/>
      <c r="ANF127" s="172"/>
      <c r="ANG127" s="172"/>
      <c r="ANH127" s="172"/>
      <c r="ANI127" s="172"/>
      <c r="ANJ127" s="172"/>
      <c r="ANK127" s="172"/>
      <c r="ANL127" s="172"/>
      <c r="ANM127" s="172"/>
      <c r="ANN127" s="172"/>
      <c r="ANO127" s="172"/>
      <c r="ANP127" s="172"/>
      <c r="ANQ127" s="172"/>
      <c r="ANR127" s="172"/>
      <c r="ANS127" s="172"/>
      <c r="ANT127" s="172"/>
      <c r="ANU127" s="172"/>
      <c r="ANV127" s="172"/>
      <c r="ANW127" s="172"/>
      <c r="ANX127" s="172"/>
      <c r="ANY127" s="172"/>
      <c r="ANZ127" s="172"/>
      <c r="AOA127" s="172"/>
      <c r="AOB127" s="172"/>
      <c r="AOC127" s="172"/>
      <c r="AOD127" s="172"/>
      <c r="AOE127" s="172"/>
      <c r="AOF127" s="172"/>
      <c r="AOG127" s="172"/>
      <c r="AOH127" s="172"/>
      <c r="AOI127" s="172"/>
      <c r="AOJ127" s="172"/>
      <c r="AOK127" s="172"/>
      <c r="AOL127" s="172"/>
      <c r="AOM127" s="172"/>
      <c r="AON127" s="172"/>
      <c r="AOO127" s="172"/>
      <c r="AOP127" s="172"/>
      <c r="AOQ127" s="172"/>
      <c r="AOR127" s="172"/>
      <c r="AOS127" s="172"/>
      <c r="AOT127" s="172"/>
      <c r="AOU127" s="172"/>
      <c r="AOV127" s="172"/>
      <c r="AOW127" s="172"/>
      <c r="AOX127" s="172"/>
      <c r="AOY127" s="172"/>
      <c r="AOZ127" s="172"/>
      <c r="APA127" s="172"/>
      <c r="APB127" s="172"/>
      <c r="APC127" s="172"/>
      <c r="APD127" s="172"/>
      <c r="APE127" s="172"/>
      <c r="APF127" s="172"/>
      <c r="APG127" s="172"/>
      <c r="APH127" s="172"/>
      <c r="API127" s="172"/>
      <c r="APJ127" s="172"/>
      <c r="APK127" s="172"/>
      <c r="APL127" s="172"/>
      <c r="APM127" s="172"/>
      <c r="APN127" s="172"/>
      <c r="APO127" s="172"/>
      <c r="APP127" s="172"/>
      <c r="APQ127" s="172"/>
      <c r="APR127" s="172"/>
      <c r="APS127" s="172"/>
      <c r="APT127" s="172"/>
      <c r="APU127" s="172"/>
      <c r="APV127" s="172"/>
      <c r="APW127" s="172"/>
      <c r="APX127" s="172"/>
      <c r="APY127" s="172"/>
      <c r="APZ127" s="172"/>
      <c r="AQA127" s="172"/>
      <c r="AQB127" s="172"/>
      <c r="AQC127" s="172"/>
      <c r="AQD127" s="172"/>
      <c r="AQE127" s="172"/>
      <c r="AQF127" s="172"/>
      <c r="AQG127" s="172"/>
      <c r="AQH127" s="172"/>
      <c r="AQI127" s="172"/>
      <c r="AQJ127" s="172"/>
      <c r="AQK127" s="172"/>
      <c r="AQL127" s="172"/>
      <c r="AQM127" s="172"/>
      <c r="AQN127" s="172"/>
      <c r="AQO127" s="172"/>
      <c r="AQP127" s="172"/>
      <c r="AQQ127" s="172"/>
      <c r="AQR127" s="172"/>
      <c r="AQS127" s="172"/>
      <c r="AQT127" s="172"/>
      <c r="AQU127" s="172"/>
      <c r="AQV127" s="172"/>
      <c r="AQW127" s="172"/>
      <c r="AQX127" s="172"/>
      <c r="AQY127" s="172"/>
      <c r="AQZ127" s="172"/>
      <c r="ARA127" s="172"/>
      <c r="ARB127" s="172"/>
      <c r="ARC127" s="172"/>
      <c r="ARD127" s="172"/>
      <c r="ARE127" s="172"/>
      <c r="ARF127" s="172"/>
      <c r="ARG127" s="172"/>
      <c r="ARH127" s="172"/>
      <c r="ARI127" s="172"/>
      <c r="ARJ127" s="172"/>
      <c r="ARK127" s="172"/>
      <c r="ARL127" s="172"/>
      <c r="ARM127" s="172"/>
      <c r="ARN127" s="172"/>
      <c r="ARO127" s="172"/>
      <c r="ARP127" s="172"/>
      <c r="ARQ127" s="172"/>
      <c r="ARR127" s="172"/>
      <c r="ARS127" s="172"/>
      <c r="ART127" s="172"/>
      <c r="ARU127" s="172"/>
    </row>
    <row r="128" spans="1:1165" s="257" customFormat="1">
      <c r="A128" s="222" t="s">
        <v>241</v>
      </c>
      <c r="B128" s="195" t="s">
        <v>87</v>
      </c>
      <c r="C128" s="198">
        <v>0</v>
      </c>
      <c r="D128" s="198">
        <v>0</v>
      </c>
      <c r="E128" s="198">
        <v>0</v>
      </c>
      <c r="F128" s="198">
        <v>0</v>
      </c>
      <c r="G128" s="198">
        <v>0</v>
      </c>
      <c r="H128" s="198">
        <v>0</v>
      </c>
      <c r="I128" s="198">
        <v>0</v>
      </c>
      <c r="J128" s="198">
        <v>0</v>
      </c>
      <c r="K128" s="198">
        <v>0</v>
      </c>
      <c r="L128" s="198">
        <v>0</v>
      </c>
      <c r="M128" s="198">
        <v>0</v>
      </c>
      <c r="N128" s="198">
        <v>0</v>
      </c>
      <c r="O128" s="196">
        <v>0</v>
      </c>
      <c r="P128" s="196">
        <v>0</v>
      </c>
      <c r="Q128" s="196">
        <v>0</v>
      </c>
      <c r="R128" s="196">
        <v>0</v>
      </c>
      <c r="S128" s="196">
        <v>0</v>
      </c>
      <c r="T128" s="196">
        <v>0</v>
      </c>
      <c r="U128" s="196">
        <v>0</v>
      </c>
      <c r="V128" s="196">
        <v>0</v>
      </c>
      <c r="W128" s="196">
        <v>0</v>
      </c>
      <c r="X128" s="196">
        <v>0</v>
      </c>
      <c r="Y128" s="196">
        <v>0</v>
      </c>
      <c r="Z128" s="196">
        <v>0</v>
      </c>
      <c r="AA128" s="196">
        <v>0</v>
      </c>
      <c r="AB128" s="196">
        <v>0</v>
      </c>
      <c r="AC128" s="196">
        <v>0</v>
      </c>
      <c r="AD128" s="196">
        <v>0</v>
      </c>
      <c r="AE128" s="196">
        <v>0</v>
      </c>
      <c r="AF128" s="196">
        <v>0</v>
      </c>
      <c r="AG128" s="196">
        <v>0</v>
      </c>
      <c r="AH128" s="196">
        <v>0</v>
      </c>
      <c r="AI128" s="196">
        <v>0</v>
      </c>
      <c r="AJ128" s="196">
        <v>0</v>
      </c>
      <c r="AK128" s="211">
        <v>0</v>
      </c>
      <c r="AL128" s="211">
        <v>0</v>
      </c>
      <c r="AM128" s="196">
        <v>0</v>
      </c>
      <c r="AN128" s="196">
        <v>0</v>
      </c>
      <c r="AO128" s="196">
        <v>0</v>
      </c>
      <c r="AP128" s="196">
        <v>0</v>
      </c>
      <c r="AQ128" s="196">
        <v>0</v>
      </c>
      <c r="AR128" s="196">
        <v>0</v>
      </c>
      <c r="AS128" s="196">
        <v>0</v>
      </c>
      <c r="AT128" s="196">
        <v>0</v>
      </c>
      <c r="AU128" s="226">
        <v>1020.5</v>
      </c>
      <c r="AV128" s="226">
        <v>169505</v>
      </c>
      <c r="AW128" s="211">
        <v>2120</v>
      </c>
      <c r="AX128" s="211">
        <v>330906</v>
      </c>
      <c r="AY128" s="198">
        <v>2129</v>
      </c>
      <c r="AZ128" s="198">
        <v>279802</v>
      </c>
      <c r="BA128" s="262"/>
      <c r="BB128" s="211"/>
      <c r="BC128" s="263"/>
      <c r="BD128" s="211"/>
      <c r="BE128" s="263"/>
      <c r="BF128" s="211"/>
      <c r="BG128" s="263"/>
      <c r="BH128" s="211"/>
      <c r="BI128" s="263"/>
      <c r="BJ128" s="250">
        <f t="shared" si="61"/>
        <v>5269.5</v>
      </c>
      <c r="BK128" s="250">
        <f t="shared" si="62"/>
        <v>780213</v>
      </c>
      <c r="BL128" s="172"/>
      <c r="BM128" s="231"/>
      <c r="BN128" s="231"/>
      <c r="BO128" s="231"/>
      <c r="BP128" s="231"/>
      <c r="BQ128" s="172"/>
      <c r="BR128" s="172"/>
      <c r="BS128" s="172"/>
      <c r="BT128" s="172"/>
      <c r="BU128" s="172"/>
      <c r="BV128" s="172"/>
      <c r="BW128" s="172"/>
      <c r="BX128" s="172"/>
      <c r="BY128" s="172"/>
      <c r="BZ128" s="172"/>
      <c r="CA128" s="172"/>
      <c r="CB128" s="172"/>
      <c r="CC128" s="172"/>
      <c r="CD128" s="172"/>
      <c r="CE128" s="172"/>
      <c r="CF128" s="172"/>
      <c r="CG128" s="172"/>
      <c r="CH128" s="172"/>
      <c r="CI128" s="172"/>
      <c r="CJ128" s="172"/>
      <c r="CK128" s="172"/>
      <c r="CL128" s="172"/>
      <c r="CM128" s="172"/>
      <c r="CN128" s="172"/>
      <c r="CO128" s="172"/>
      <c r="CP128" s="172"/>
      <c r="CQ128" s="172"/>
      <c r="CR128" s="172"/>
      <c r="CS128" s="172"/>
      <c r="CT128" s="172"/>
      <c r="CU128" s="172"/>
      <c r="CV128" s="172"/>
      <c r="CW128" s="172"/>
      <c r="CX128" s="172"/>
      <c r="CY128" s="172"/>
      <c r="CZ128" s="172"/>
      <c r="DA128" s="172"/>
      <c r="DB128" s="172"/>
      <c r="DC128" s="172"/>
      <c r="DD128" s="172"/>
      <c r="DE128" s="172"/>
      <c r="DF128" s="172"/>
      <c r="DG128" s="172"/>
      <c r="DH128" s="172"/>
      <c r="DI128" s="172"/>
      <c r="DJ128" s="172"/>
      <c r="DK128" s="172"/>
      <c r="DL128" s="172"/>
      <c r="DM128" s="172"/>
      <c r="DN128" s="172"/>
      <c r="DO128" s="172"/>
      <c r="DP128" s="172"/>
      <c r="DQ128" s="172"/>
      <c r="DR128" s="172"/>
      <c r="DS128" s="172"/>
      <c r="DT128" s="172"/>
      <c r="DU128" s="172"/>
      <c r="DV128" s="172"/>
      <c r="DW128" s="172"/>
      <c r="DX128" s="172"/>
      <c r="DY128" s="172"/>
      <c r="DZ128" s="172"/>
      <c r="EA128" s="172"/>
      <c r="EB128" s="172"/>
      <c r="EC128" s="172"/>
      <c r="ED128" s="172"/>
      <c r="EE128" s="172"/>
      <c r="EF128" s="172"/>
      <c r="EG128" s="172"/>
      <c r="EH128" s="172"/>
      <c r="EI128" s="172"/>
      <c r="EJ128" s="172"/>
      <c r="EK128" s="172"/>
      <c r="EL128" s="172"/>
      <c r="EM128" s="172"/>
      <c r="EN128" s="172"/>
      <c r="EO128" s="172"/>
      <c r="EP128" s="172"/>
      <c r="EQ128" s="172"/>
      <c r="ER128" s="172"/>
      <c r="ES128" s="172"/>
      <c r="ET128" s="172"/>
      <c r="EU128" s="172"/>
      <c r="EV128" s="172"/>
      <c r="EW128" s="172"/>
      <c r="EX128" s="172"/>
      <c r="EY128" s="172"/>
      <c r="EZ128" s="172"/>
      <c r="FA128" s="172"/>
      <c r="FB128" s="172"/>
      <c r="FC128" s="172"/>
      <c r="FD128" s="172"/>
      <c r="FE128" s="172"/>
      <c r="FF128" s="172"/>
      <c r="FG128" s="172"/>
      <c r="FH128" s="172"/>
      <c r="FI128" s="172"/>
      <c r="FJ128" s="172"/>
      <c r="FK128" s="172"/>
      <c r="FL128" s="172"/>
      <c r="FM128" s="172"/>
      <c r="FN128" s="172"/>
      <c r="FO128" s="172"/>
      <c r="FP128" s="172"/>
      <c r="FQ128" s="172"/>
      <c r="FR128" s="172"/>
      <c r="FS128" s="172"/>
      <c r="FT128" s="172"/>
      <c r="FU128" s="172"/>
      <c r="FV128" s="172"/>
      <c r="FW128" s="172"/>
      <c r="FX128" s="172"/>
      <c r="FY128" s="172"/>
      <c r="FZ128" s="172"/>
      <c r="GA128" s="172"/>
      <c r="GB128" s="172"/>
      <c r="GC128" s="172"/>
      <c r="GD128" s="172"/>
      <c r="GE128" s="172"/>
      <c r="GF128" s="172"/>
      <c r="GG128" s="172"/>
      <c r="GH128" s="172"/>
      <c r="GI128" s="172"/>
      <c r="GJ128" s="172"/>
      <c r="GK128" s="172"/>
      <c r="GL128" s="172"/>
      <c r="GM128" s="172"/>
      <c r="GN128" s="172"/>
      <c r="GO128" s="172"/>
      <c r="GP128" s="172"/>
      <c r="GQ128" s="172"/>
      <c r="GR128" s="172"/>
      <c r="GS128" s="172"/>
      <c r="GT128" s="172"/>
      <c r="GU128" s="172"/>
      <c r="GV128" s="172"/>
      <c r="GW128" s="172"/>
      <c r="GX128" s="172"/>
      <c r="GY128" s="172"/>
      <c r="GZ128" s="172"/>
      <c r="HA128" s="172"/>
      <c r="HB128" s="172"/>
      <c r="HC128" s="172"/>
      <c r="HD128" s="172"/>
      <c r="HE128" s="172"/>
      <c r="HF128" s="172"/>
      <c r="HG128" s="172"/>
      <c r="HH128" s="172"/>
      <c r="HI128" s="172"/>
      <c r="HJ128" s="172"/>
      <c r="HK128" s="172"/>
      <c r="HL128" s="172"/>
      <c r="HM128" s="172"/>
      <c r="HN128" s="172"/>
      <c r="HO128" s="172"/>
      <c r="HP128" s="172"/>
      <c r="HQ128" s="172"/>
      <c r="HR128" s="172"/>
      <c r="HS128" s="172"/>
      <c r="HT128" s="172"/>
      <c r="HU128" s="172"/>
      <c r="HV128" s="172"/>
      <c r="HW128" s="172"/>
      <c r="HX128" s="172"/>
      <c r="HY128" s="172"/>
      <c r="HZ128" s="172"/>
      <c r="IA128" s="172"/>
      <c r="IB128" s="172"/>
      <c r="IC128" s="172"/>
      <c r="ID128" s="172"/>
      <c r="IE128" s="172"/>
      <c r="IF128" s="172"/>
      <c r="IG128" s="172"/>
      <c r="IH128" s="172"/>
      <c r="II128" s="172"/>
      <c r="IJ128" s="172"/>
      <c r="IK128" s="172"/>
      <c r="IL128" s="172"/>
      <c r="IM128" s="172"/>
      <c r="IN128" s="172"/>
      <c r="IO128" s="172"/>
      <c r="IP128" s="172"/>
      <c r="IQ128" s="172"/>
      <c r="IR128" s="172"/>
      <c r="IS128" s="172"/>
      <c r="IT128" s="172"/>
      <c r="IU128" s="172"/>
      <c r="IV128" s="172"/>
      <c r="IW128" s="172"/>
      <c r="IX128" s="172"/>
      <c r="IY128" s="172"/>
      <c r="IZ128" s="172"/>
      <c r="JA128" s="172"/>
      <c r="JB128" s="172"/>
      <c r="JC128" s="172"/>
      <c r="JD128" s="172"/>
      <c r="JE128" s="172"/>
      <c r="JF128" s="172"/>
      <c r="JG128" s="172"/>
      <c r="JH128" s="172"/>
      <c r="JI128" s="172"/>
      <c r="JJ128" s="172"/>
      <c r="JK128" s="172"/>
      <c r="JL128" s="172"/>
      <c r="JM128" s="172"/>
      <c r="JN128" s="172"/>
      <c r="JO128" s="172"/>
      <c r="JP128" s="172"/>
      <c r="JQ128" s="172"/>
      <c r="JR128" s="172"/>
      <c r="JS128" s="172"/>
      <c r="JT128" s="172"/>
      <c r="JU128" s="172"/>
      <c r="JV128" s="172"/>
      <c r="JW128" s="172"/>
      <c r="JX128" s="172"/>
      <c r="JY128" s="172"/>
      <c r="JZ128" s="172"/>
      <c r="KA128" s="172"/>
      <c r="KB128" s="172"/>
      <c r="KC128" s="172"/>
      <c r="KD128" s="172"/>
      <c r="KE128" s="172"/>
      <c r="KF128" s="172"/>
      <c r="KG128" s="172"/>
      <c r="KH128" s="172"/>
      <c r="KI128" s="172"/>
      <c r="KJ128" s="172"/>
      <c r="KK128" s="172"/>
      <c r="KL128" s="172"/>
      <c r="KM128" s="172"/>
      <c r="KN128" s="172"/>
      <c r="KO128" s="172"/>
      <c r="KP128" s="172"/>
      <c r="KQ128" s="172"/>
      <c r="KR128" s="172"/>
      <c r="KS128" s="172"/>
      <c r="KT128" s="172"/>
      <c r="KU128" s="172"/>
      <c r="KV128" s="172"/>
      <c r="KW128" s="172"/>
      <c r="KX128" s="172"/>
      <c r="KY128" s="172"/>
      <c r="KZ128" s="172"/>
      <c r="LA128" s="172"/>
      <c r="LB128" s="172"/>
      <c r="LC128" s="172"/>
      <c r="LD128" s="172"/>
      <c r="LE128" s="172"/>
      <c r="LF128" s="172"/>
      <c r="LG128" s="172"/>
      <c r="LH128" s="172"/>
      <c r="LI128" s="172"/>
      <c r="LJ128" s="172"/>
      <c r="LK128" s="172"/>
      <c r="LL128" s="172"/>
      <c r="LM128" s="172"/>
      <c r="LN128" s="172"/>
      <c r="LO128" s="172"/>
      <c r="LP128" s="172"/>
      <c r="LQ128" s="172"/>
      <c r="LR128" s="172"/>
      <c r="LS128" s="172"/>
      <c r="LT128" s="172"/>
      <c r="LU128" s="172"/>
      <c r="LV128" s="172"/>
      <c r="LW128" s="172"/>
      <c r="LX128" s="172"/>
      <c r="LY128" s="172"/>
      <c r="LZ128" s="172"/>
      <c r="MA128" s="172"/>
      <c r="MB128" s="172"/>
      <c r="MC128" s="172"/>
      <c r="MD128" s="172"/>
      <c r="ME128" s="172"/>
      <c r="MF128" s="172"/>
      <c r="MG128" s="172"/>
      <c r="MH128" s="172"/>
      <c r="MI128" s="172"/>
      <c r="MJ128" s="172"/>
      <c r="MK128" s="172"/>
      <c r="ML128" s="172"/>
      <c r="MM128" s="172"/>
      <c r="MN128" s="172"/>
      <c r="MO128" s="172"/>
      <c r="MP128" s="172"/>
      <c r="MQ128" s="172"/>
      <c r="MR128" s="172"/>
      <c r="MS128" s="172"/>
      <c r="MT128" s="172"/>
      <c r="MU128" s="172"/>
      <c r="MV128" s="172"/>
      <c r="MW128" s="172"/>
      <c r="MX128" s="172"/>
      <c r="MY128" s="172"/>
      <c r="MZ128" s="172"/>
      <c r="NA128" s="172"/>
      <c r="NB128" s="172"/>
      <c r="NC128" s="172"/>
      <c r="ND128" s="172"/>
      <c r="NE128" s="172"/>
      <c r="NF128" s="172"/>
      <c r="NG128" s="172"/>
      <c r="NH128" s="172"/>
      <c r="NI128" s="172"/>
      <c r="NJ128" s="172"/>
      <c r="NK128" s="172"/>
      <c r="NL128" s="172"/>
      <c r="NM128" s="172"/>
      <c r="NN128" s="172"/>
      <c r="NO128" s="172"/>
      <c r="NP128" s="172"/>
      <c r="NQ128" s="172"/>
      <c r="NR128" s="172"/>
      <c r="NS128" s="172"/>
      <c r="NT128" s="172"/>
      <c r="NU128" s="172"/>
      <c r="NV128" s="172"/>
      <c r="NW128" s="172"/>
      <c r="NX128" s="172"/>
      <c r="NY128" s="172"/>
      <c r="NZ128" s="172"/>
      <c r="OA128" s="172"/>
      <c r="OB128" s="172"/>
      <c r="OC128" s="172"/>
      <c r="OD128" s="172"/>
      <c r="OE128" s="172"/>
      <c r="OF128" s="172"/>
      <c r="OG128" s="172"/>
      <c r="OH128" s="172"/>
      <c r="OI128" s="172"/>
      <c r="OJ128" s="172"/>
      <c r="OK128" s="172"/>
      <c r="OL128" s="172"/>
      <c r="OM128" s="172"/>
      <c r="ON128" s="172"/>
      <c r="OO128" s="172"/>
      <c r="OP128" s="172"/>
      <c r="OQ128" s="172"/>
      <c r="OR128" s="172"/>
      <c r="OS128" s="172"/>
      <c r="OT128" s="172"/>
      <c r="OU128" s="172"/>
      <c r="OV128" s="172"/>
      <c r="OW128" s="172"/>
      <c r="OX128" s="172"/>
      <c r="OY128" s="172"/>
      <c r="OZ128" s="172"/>
      <c r="PA128" s="172"/>
      <c r="PB128" s="172"/>
      <c r="PC128" s="172"/>
      <c r="PD128" s="172"/>
      <c r="PE128" s="172"/>
      <c r="PF128" s="172"/>
      <c r="PG128" s="172"/>
      <c r="PH128" s="172"/>
      <c r="PI128" s="172"/>
      <c r="PJ128" s="172"/>
      <c r="PK128" s="172"/>
      <c r="PL128" s="172"/>
      <c r="PM128" s="172"/>
      <c r="PN128" s="172"/>
      <c r="PO128" s="172"/>
      <c r="PP128" s="172"/>
      <c r="PQ128" s="172"/>
      <c r="PR128" s="172"/>
      <c r="PS128" s="172"/>
      <c r="PT128" s="172"/>
      <c r="PU128" s="172"/>
      <c r="PV128" s="172"/>
      <c r="PW128" s="172"/>
      <c r="PX128" s="172"/>
      <c r="PY128" s="172"/>
      <c r="PZ128" s="172"/>
      <c r="QA128" s="172"/>
      <c r="QB128" s="172"/>
      <c r="QC128" s="172"/>
      <c r="QD128" s="172"/>
      <c r="QE128" s="172"/>
      <c r="QF128" s="172"/>
      <c r="QG128" s="172"/>
      <c r="QH128" s="172"/>
      <c r="QI128" s="172"/>
      <c r="QJ128" s="172"/>
      <c r="QK128" s="172"/>
      <c r="QL128" s="172"/>
      <c r="QM128" s="172"/>
      <c r="QN128" s="172"/>
      <c r="QO128" s="172"/>
      <c r="QP128" s="172"/>
      <c r="QQ128" s="172"/>
      <c r="QR128" s="172"/>
      <c r="QS128" s="172"/>
      <c r="QT128" s="172"/>
      <c r="QU128" s="172"/>
      <c r="QV128" s="172"/>
      <c r="QW128" s="172"/>
      <c r="QX128" s="172"/>
      <c r="QY128" s="172"/>
      <c r="QZ128" s="172"/>
      <c r="RA128" s="172"/>
      <c r="RB128" s="172"/>
      <c r="RC128" s="172"/>
      <c r="RD128" s="172"/>
      <c r="RE128" s="172"/>
      <c r="RF128" s="172"/>
      <c r="RG128" s="172"/>
      <c r="RH128" s="172"/>
      <c r="RI128" s="172"/>
      <c r="RJ128" s="172"/>
      <c r="RK128" s="172"/>
      <c r="RL128" s="172"/>
      <c r="RM128" s="172"/>
      <c r="RN128" s="172"/>
      <c r="RO128" s="172"/>
      <c r="RP128" s="172"/>
      <c r="RQ128" s="172"/>
      <c r="RR128" s="172"/>
      <c r="RS128" s="172"/>
      <c r="RT128" s="172"/>
      <c r="RU128" s="172"/>
      <c r="RV128" s="172"/>
      <c r="RW128" s="172"/>
      <c r="RX128" s="172"/>
      <c r="RY128" s="172"/>
      <c r="RZ128" s="172"/>
      <c r="SA128" s="172"/>
      <c r="SB128" s="172"/>
      <c r="SC128" s="172"/>
      <c r="SD128" s="172"/>
      <c r="SE128" s="172"/>
      <c r="SF128" s="172"/>
      <c r="SG128" s="172"/>
      <c r="SH128" s="172"/>
      <c r="SI128" s="172"/>
      <c r="SJ128" s="172"/>
      <c r="SK128" s="172"/>
      <c r="SL128" s="172"/>
      <c r="SM128" s="172"/>
      <c r="SN128" s="172"/>
      <c r="SO128" s="172"/>
      <c r="SP128" s="172"/>
      <c r="SQ128" s="172"/>
      <c r="SR128" s="172"/>
      <c r="SS128" s="172"/>
      <c r="ST128" s="172"/>
      <c r="SU128" s="172"/>
      <c r="SV128" s="172"/>
      <c r="SW128" s="172"/>
      <c r="SX128" s="172"/>
      <c r="SY128" s="172"/>
      <c r="SZ128" s="172"/>
      <c r="TA128" s="172"/>
      <c r="TB128" s="172"/>
      <c r="TC128" s="172"/>
      <c r="TD128" s="172"/>
      <c r="TE128" s="172"/>
      <c r="TF128" s="172"/>
      <c r="TG128" s="172"/>
      <c r="TH128" s="172"/>
      <c r="TI128" s="172"/>
      <c r="TJ128" s="172"/>
      <c r="TK128" s="172"/>
      <c r="TL128" s="172"/>
      <c r="TM128" s="172"/>
      <c r="TN128" s="172"/>
      <c r="TO128" s="172"/>
      <c r="TP128" s="172"/>
      <c r="TQ128" s="172"/>
      <c r="TR128" s="172"/>
      <c r="TS128" s="172"/>
      <c r="TT128" s="172"/>
      <c r="TU128" s="172"/>
      <c r="TV128" s="172"/>
      <c r="TW128" s="172"/>
      <c r="TX128" s="172"/>
      <c r="TY128" s="172"/>
      <c r="TZ128" s="172"/>
      <c r="UA128" s="172"/>
      <c r="UB128" s="172"/>
      <c r="UC128" s="172"/>
      <c r="UD128" s="172"/>
      <c r="UE128" s="172"/>
      <c r="UF128" s="172"/>
      <c r="UG128" s="172"/>
      <c r="UH128" s="172"/>
      <c r="UI128" s="172"/>
      <c r="UJ128" s="172"/>
      <c r="UK128" s="172"/>
      <c r="UL128" s="172"/>
      <c r="UM128" s="172"/>
      <c r="UN128" s="172"/>
      <c r="UO128" s="172"/>
      <c r="UP128" s="172"/>
      <c r="UQ128" s="172"/>
      <c r="UR128" s="172"/>
      <c r="US128" s="172"/>
      <c r="UT128" s="172"/>
      <c r="UU128" s="172"/>
      <c r="UV128" s="172"/>
      <c r="UW128" s="172"/>
      <c r="UX128" s="172"/>
      <c r="UY128" s="172"/>
      <c r="UZ128" s="172"/>
      <c r="VA128" s="172"/>
      <c r="VB128" s="172"/>
      <c r="VC128" s="172"/>
      <c r="VD128" s="172"/>
      <c r="VE128" s="172"/>
      <c r="VF128" s="172"/>
      <c r="VG128" s="172"/>
      <c r="VH128" s="172"/>
      <c r="VI128" s="172"/>
      <c r="VJ128" s="172"/>
      <c r="VK128" s="172"/>
      <c r="VL128" s="172"/>
      <c r="VM128" s="172"/>
      <c r="VN128" s="172"/>
      <c r="VO128" s="172"/>
      <c r="VP128" s="172"/>
      <c r="VQ128" s="172"/>
      <c r="VR128" s="172"/>
      <c r="VS128" s="172"/>
      <c r="VT128" s="172"/>
      <c r="VU128" s="172"/>
      <c r="VV128" s="172"/>
      <c r="VW128" s="172"/>
      <c r="VX128" s="172"/>
      <c r="VY128" s="172"/>
      <c r="VZ128" s="172"/>
      <c r="WA128" s="172"/>
      <c r="WB128" s="172"/>
      <c r="WC128" s="172"/>
      <c r="WD128" s="172"/>
      <c r="WE128" s="172"/>
      <c r="WF128" s="172"/>
      <c r="WG128" s="172"/>
      <c r="WH128" s="172"/>
      <c r="WI128" s="172"/>
      <c r="WJ128" s="172"/>
      <c r="WK128" s="172"/>
      <c r="WL128" s="172"/>
      <c r="WM128" s="172"/>
      <c r="WN128" s="172"/>
      <c r="WO128" s="172"/>
      <c r="WP128" s="172"/>
      <c r="WQ128" s="172"/>
      <c r="WR128" s="172"/>
      <c r="WS128" s="172"/>
      <c r="WT128" s="172"/>
      <c r="WU128" s="172"/>
      <c r="WV128" s="172"/>
      <c r="WW128" s="172"/>
      <c r="WX128" s="172"/>
      <c r="WY128" s="172"/>
      <c r="WZ128" s="172"/>
      <c r="XA128" s="172"/>
      <c r="XB128" s="172"/>
      <c r="XC128" s="172"/>
      <c r="XD128" s="172"/>
      <c r="XE128" s="172"/>
      <c r="XF128" s="172"/>
      <c r="XG128" s="172"/>
      <c r="XH128" s="172"/>
      <c r="XI128" s="172"/>
      <c r="XJ128" s="172"/>
      <c r="XK128" s="172"/>
      <c r="XL128" s="172"/>
      <c r="XM128" s="172"/>
      <c r="XN128" s="172"/>
      <c r="XO128" s="172"/>
      <c r="XP128" s="172"/>
      <c r="XQ128" s="172"/>
      <c r="XR128" s="172"/>
      <c r="XS128" s="172"/>
      <c r="XT128" s="172"/>
      <c r="XU128" s="172"/>
      <c r="XV128" s="172"/>
      <c r="XW128" s="172"/>
      <c r="XX128" s="172"/>
      <c r="XY128" s="172"/>
      <c r="XZ128" s="172"/>
      <c r="YA128" s="172"/>
      <c r="YB128" s="172"/>
      <c r="YC128" s="172"/>
      <c r="YD128" s="172"/>
      <c r="YE128" s="172"/>
      <c r="YF128" s="172"/>
      <c r="YG128" s="172"/>
      <c r="YH128" s="172"/>
      <c r="YI128" s="172"/>
      <c r="YJ128" s="172"/>
      <c r="YK128" s="172"/>
      <c r="YL128" s="172"/>
      <c r="YM128" s="172"/>
      <c r="YN128" s="172"/>
      <c r="YO128" s="172"/>
      <c r="YP128" s="172"/>
      <c r="YQ128" s="172"/>
      <c r="YR128" s="172"/>
      <c r="YS128" s="172"/>
      <c r="YT128" s="172"/>
      <c r="YU128" s="172"/>
      <c r="YV128" s="172"/>
      <c r="YW128" s="172"/>
      <c r="YX128" s="172"/>
      <c r="YY128" s="172"/>
      <c r="YZ128" s="172"/>
      <c r="ZA128" s="172"/>
      <c r="ZB128" s="172"/>
      <c r="ZC128" s="172"/>
      <c r="ZD128" s="172"/>
      <c r="ZE128" s="172"/>
      <c r="ZF128" s="172"/>
      <c r="ZG128" s="172"/>
      <c r="ZH128" s="172"/>
      <c r="ZI128" s="172"/>
      <c r="ZJ128" s="172"/>
      <c r="ZK128" s="172"/>
      <c r="ZL128" s="172"/>
      <c r="ZM128" s="172"/>
      <c r="ZN128" s="172"/>
      <c r="ZO128" s="172"/>
      <c r="ZP128" s="172"/>
      <c r="ZQ128" s="172"/>
      <c r="ZR128" s="172"/>
      <c r="ZS128" s="172"/>
      <c r="ZT128" s="172"/>
      <c r="ZU128" s="172"/>
      <c r="ZV128" s="172"/>
      <c r="ZW128" s="172"/>
      <c r="ZX128" s="172"/>
      <c r="ZY128" s="172"/>
      <c r="ZZ128" s="172"/>
      <c r="AAA128" s="172"/>
      <c r="AAB128" s="172"/>
      <c r="AAC128" s="172"/>
      <c r="AAD128" s="172"/>
      <c r="AAE128" s="172"/>
      <c r="AAF128" s="172"/>
      <c r="AAG128" s="172"/>
      <c r="AAH128" s="172"/>
      <c r="AAI128" s="172"/>
      <c r="AAJ128" s="172"/>
      <c r="AAK128" s="172"/>
      <c r="AAL128" s="172"/>
      <c r="AAM128" s="172"/>
      <c r="AAN128" s="172"/>
      <c r="AAO128" s="172"/>
      <c r="AAP128" s="172"/>
      <c r="AAQ128" s="172"/>
      <c r="AAR128" s="172"/>
      <c r="AAS128" s="172"/>
      <c r="AAT128" s="172"/>
      <c r="AAU128" s="172"/>
      <c r="AAV128" s="172"/>
      <c r="AAW128" s="172"/>
      <c r="AAX128" s="172"/>
      <c r="AAY128" s="172"/>
      <c r="AAZ128" s="172"/>
      <c r="ABA128" s="172"/>
      <c r="ABB128" s="172"/>
      <c r="ABC128" s="172"/>
      <c r="ABD128" s="172"/>
      <c r="ABE128" s="172"/>
      <c r="ABF128" s="172"/>
      <c r="ABG128" s="172"/>
      <c r="ABH128" s="172"/>
      <c r="ABI128" s="172"/>
      <c r="ABJ128" s="172"/>
      <c r="ABK128" s="172"/>
      <c r="ABL128" s="172"/>
      <c r="ABM128" s="172"/>
      <c r="ABN128" s="172"/>
      <c r="ABO128" s="172"/>
      <c r="ABP128" s="172"/>
      <c r="ABQ128" s="172"/>
      <c r="ABR128" s="172"/>
      <c r="ABS128" s="172"/>
      <c r="ABT128" s="172"/>
      <c r="ABU128" s="172"/>
      <c r="ABV128" s="172"/>
      <c r="ABW128" s="172"/>
      <c r="ABX128" s="172"/>
      <c r="ABY128" s="172"/>
      <c r="ABZ128" s="172"/>
      <c r="ACA128" s="172"/>
      <c r="ACB128" s="172"/>
      <c r="ACC128" s="172"/>
      <c r="ACD128" s="172"/>
      <c r="ACE128" s="172"/>
      <c r="ACF128" s="172"/>
      <c r="ACG128" s="172"/>
      <c r="ACH128" s="172"/>
      <c r="ACI128" s="172"/>
      <c r="ACJ128" s="172"/>
      <c r="ACK128" s="172"/>
      <c r="ACL128" s="172"/>
      <c r="ACM128" s="172"/>
      <c r="ACN128" s="172"/>
      <c r="ACO128" s="172"/>
      <c r="ACP128" s="172"/>
      <c r="ACQ128" s="172"/>
      <c r="ACR128" s="172"/>
      <c r="ACS128" s="172"/>
      <c r="ACT128" s="172"/>
      <c r="ACU128" s="172"/>
      <c r="ACV128" s="172"/>
      <c r="ACW128" s="172"/>
      <c r="ACX128" s="172"/>
      <c r="ACY128" s="172"/>
      <c r="ACZ128" s="172"/>
      <c r="ADA128" s="172"/>
      <c r="ADB128" s="172"/>
      <c r="ADC128" s="172"/>
      <c r="ADD128" s="172"/>
      <c r="ADE128" s="172"/>
      <c r="ADF128" s="172"/>
      <c r="ADG128" s="172"/>
      <c r="ADH128" s="172"/>
      <c r="ADI128" s="172"/>
      <c r="ADJ128" s="172"/>
      <c r="ADK128" s="172"/>
      <c r="ADL128" s="172"/>
      <c r="ADM128" s="172"/>
      <c r="ADN128" s="172"/>
      <c r="ADO128" s="172"/>
      <c r="ADP128" s="172"/>
      <c r="ADQ128" s="172"/>
      <c r="ADR128" s="172"/>
      <c r="ADS128" s="172"/>
      <c r="ADT128" s="172"/>
      <c r="ADU128" s="172"/>
      <c r="ADV128" s="172"/>
      <c r="ADW128" s="172"/>
      <c r="ADX128" s="172"/>
      <c r="ADY128" s="172"/>
      <c r="ADZ128" s="172"/>
      <c r="AEA128" s="172"/>
      <c r="AEB128" s="172"/>
      <c r="AEC128" s="172"/>
      <c r="AED128" s="172"/>
      <c r="AEE128" s="172"/>
      <c r="AEF128" s="172"/>
      <c r="AEG128" s="172"/>
      <c r="AEH128" s="172"/>
      <c r="AEI128" s="172"/>
      <c r="AEJ128" s="172"/>
      <c r="AEK128" s="172"/>
      <c r="AEL128" s="172"/>
      <c r="AEM128" s="172"/>
      <c r="AEN128" s="172"/>
      <c r="AEO128" s="172"/>
      <c r="AEP128" s="172"/>
      <c r="AEQ128" s="172"/>
      <c r="AER128" s="172"/>
      <c r="AES128" s="172"/>
      <c r="AET128" s="172"/>
      <c r="AEU128" s="172"/>
      <c r="AEV128" s="172"/>
      <c r="AEW128" s="172"/>
      <c r="AEX128" s="172"/>
      <c r="AEY128" s="172"/>
      <c r="AEZ128" s="172"/>
      <c r="AFA128" s="172"/>
      <c r="AFB128" s="172"/>
      <c r="AFC128" s="172"/>
      <c r="AFD128" s="172"/>
      <c r="AFE128" s="172"/>
      <c r="AFF128" s="172"/>
      <c r="AFG128" s="172"/>
      <c r="AFH128" s="172"/>
      <c r="AFI128" s="172"/>
      <c r="AFJ128" s="172"/>
      <c r="AFK128" s="172"/>
      <c r="AFL128" s="172"/>
      <c r="AFM128" s="172"/>
      <c r="AFN128" s="172"/>
      <c r="AFO128" s="172"/>
      <c r="AFP128" s="172"/>
      <c r="AFQ128" s="172"/>
      <c r="AFR128" s="172"/>
      <c r="AFS128" s="172"/>
      <c r="AFT128" s="172"/>
      <c r="AFU128" s="172"/>
      <c r="AFV128" s="172"/>
      <c r="AFW128" s="172"/>
      <c r="AFX128" s="172"/>
      <c r="AFY128" s="172"/>
      <c r="AFZ128" s="172"/>
      <c r="AGA128" s="172"/>
      <c r="AGB128" s="172"/>
      <c r="AGC128" s="172"/>
      <c r="AGD128" s="172"/>
      <c r="AGE128" s="172"/>
      <c r="AGF128" s="172"/>
      <c r="AGG128" s="172"/>
      <c r="AGH128" s="172"/>
      <c r="AGI128" s="172"/>
      <c r="AGJ128" s="172"/>
      <c r="AGK128" s="172"/>
      <c r="AGL128" s="172"/>
      <c r="AGM128" s="172"/>
      <c r="AGN128" s="172"/>
      <c r="AGO128" s="172"/>
      <c r="AGP128" s="172"/>
      <c r="AGQ128" s="172"/>
      <c r="AGR128" s="172"/>
      <c r="AGS128" s="172"/>
      <c r="AGT128" s="172"/>
      <c r="AGU128" s="172"/>
      <c r="AGV128" s="172"/>
      <c r="AGW128" s="172"/>
      <c r="AGX128" s="172"/>
      <c r="AGY128" s="172"/>
      <c r="AGZ128" s="172"/>
      <c r="AHA128" s="172"/>
      <c r="AHB128" s="172"/>
      <c r="AHC128" s="172"/>
      <c r="AHD128" s="172"/>
      <c r="AHE128" s="172"/>
      <c r="AHF128" s="172"/>
      <c r="AHG128" s="172"/>
      <c r="AHH128" s="172"/>
      <c r="AHI128" s="172"/>
      <c r="AHJ128" s="172"/>
      <c r="AHK128" s="172"/>
      <c r="AHL128" s="172"/>
      <c r="AHM128" s="172"/>
      <c r="AHN128" s="172"/>
      <c r="AHO128" s="172"/>
      <c r="AHP128" s="172"/>
      <c r="AHQ128" s="172"/>
      <c r="AHR128" s="172"/>
      <c r="AHS128" s="172"/>
      <c r="AHT128" s="172"/>
      <c r="AHU128" s="172"/>
      <c r="AHV128" s="172"/>
      <c r="AHW128" s="172"/>
      <c r="AHX128" s="172"/>
      <c r="AHY128" s="172"/>
      <c r="AHZ128" s="172"/>
      <c r="AIA128" s="172"/>
      <c r="AIB128" s="172"/>
      <c r="AIC128" s="172"/>
      <c r="AID128" s="172"/>
      <c r="AIE128" s="172"/>
      <c r="AIF128" s="172"/>
      <c r="AIG128" s="172"/>
      <c r="AIH128" s="172"/>
      <c r="AII128" s="172"/>
      <c r="AIJ128" s="172"/>
      <c r="AIK128" s="172"/>
      <c r="AIL128" s="172"/>
      <c r="AIM128" s="172"/>
      <c r="AIN128" s="172"/>
      <c r="AIO128" s="172"/>
      <c r="AIP128" s="172"/>
      <c r="AIQ128" s="172"/>
      <c r="AIR128" s="172"/>
      <c r="AIS128" s="172"/>
      <c r="AIT128" s="172"/>
      <c r="AIU128" s="172"/>
      <c r="AIV128" s="172"/>
      <c r="AIW128" s="172"/>
      <c r="AIX128" s="172"/>
      <c r="AIY128" s="172"/>
      <c r="AIZ128" s="172"/>
      <c r="AJA128" s="172"/>
      <c r="AJB128" s="172"/>
      <c r="AJC128" s="172"/>
      <c r="AJD128" s="172"/>
      <c r="AJE128" s="172"/>
      <c r="AJF128" s="172"/>
      <c r="AJG128" s="172"/>
      <c r="AJH128" s="172"/>
      <c r="AJI128" s="172"/>
      <c r="AJJ128" s="172"/>
      <c r="AJK128" s="172"/>
      <c r="AJL128" s="172"/>
      <c r="AJM128" s="172"/>
      <c r="AJN128" s="172"/>
      <c r="AJO128" s="172"/>
      <c r="AJP128" s="172"/>
      <c r="AJQ128" s="172"/>
      <c r="AJR128" s="172"/>
      <c r="AJS128" s="172"/>
      <c r="AJT128" s="172"/>
      <c r="AJU128" s="172"/>
      <c r="AJV128" s="172"/>
      <c r="AJW128" s="172"/>
      <c r="AJX128" s="172"/>
      <c r="AJY128" s="172"/>
      <c r="AJZ128" s="172"/>
      <c r="AKA128" s="172"/>
      <c r="AKB128" s="172"/>
      <c r="AKC128" s="172"/>
      <c r="AKD128" s="172"/>
      <c r="AKE128" s="172"/>
      <c r="AKF128" s="172"/>
      <c r="AKG128" s="172"/>
      <c r="AKH128" s="172"/>
      <c r="AKI128" s="172"/>
      <c r="AKJ128" s="172"/>
      <c r="AKK128" s="172"/>
      <c r="AKL128" s="172"/>
      <c r="AKM128" s="172"/>
      <c r="AKN128" s="172"/>
      <c r="AKO128" s="172"/>
      <c r="AKP128" s="172"/>
      <c r="AKQ128" s="172"/>
      <c r="AKR128" s="172"/>
      <c r="AKS128" s="172"/>
      <c r="AKT128" s="172"/>
      <c r="AKU128" s="172"/>
      <c r="AKV128" s="172"/>
      <c r="AKW128" s="172"/>
      <c r="AKX128" s="172"/>
      <c r="AKY128" s="172"/>
      <c r="AKZ128" s="172"/>
      <c r="ALA128" s="172"/>
      <c r="ALB128" s="172"/>
      <c r="ALC128" s="172"/>
      <c r="ALD128" s="172"/>
      <c r="ALE128" s="172"/>
      <c r="ALF128" s="172"/>
      <c r="ALG128" s="172"/>
      <c r="ALH128" s="172"/>
      <c r="ALI128" s="172"/>
      <c r="ALJ128" s="172"/>
      <c r="ALK128" s="172"/>
      <c r="ALL128" s="172"/>
      <c r="ALM128" s="172"/>
      <c r="ALN128" s="172"/>
      <c r="ALO128" s="172"/>
      <c r="ALP128" s="172"/>
      <c r="ALQ128" s="172"/>
      <c r="ALR128" s="172"/>
      <c r="ALS128" s="172"/>
      <c r="ALT128" s="172"/>
      <c r="ALU128" s="172"/>
      <c r="ALV128" s="172"/>
      <c r="ALW128" s="172"/>
      <c r="ALX128" s="172"/>
      <c r="ALY128" s="172"/>
      <c r="ALZ128" s="172"/>
      <c r="AMA128" s="172"/>
      <c r="AMB128" s="172"/>
      <c r="AMC128" s="172"/>
      <c r="AMD128" s="172"/>
      <c r="AME128" s="172"/>
      <c r="AMF128" s="172"/>
      <c r="AMG128" s="172"/>
      <c r="AMH128" s="172"/>
      <c r="AMI128" s="172"/>
      <c r="AMJ128" s="172"/>
      <c r="AMK128" s="172"/>
      <c r="AML128" s="172"/>
      <c r="AMM128" s="172"/>
      <c r="AMN128" s="172"/>
      <c r="AMO128" s="172"/>
      <c r="AMP128" s="172"/>
      <c r="AMQ128" s="172"/>
      <c r="AMR128" s="172"/>
      <c r="AMS128" s="172"/>
      <c r="AMT128" s="172"/>
      <c r="AMU128" s="172"/>
      <c r="AMV128" s="172"/>
      <c r="AMW128" s="172"/>
      <c r="AMX128" s="172"/>
      <c r="AMY128" s="172"/>
      <c r="AMZ128" s="172"/>
      <c r="ANA128" s="172"/>
      <c r="ANB128" s="172"/>
      <c r="ANC128" s="172"/>
      <c r="AND128" s="172"/>
      <c r="ANE128" s="172"/>
      <c r="ANF128" s="172"/>
      <c r="ANG128" s="172"/>
      <c r="ANH128" s="172"/>
      <c r="ANI128" s="172"/>
      <c r="ANJ128" s="172"/>
      <c r="ANK128" s="172"/>
      <c r="ANL128" s="172"/>
      <c r="ANM128" s="172"/>
      <c r="ANN128" s="172"/>
      <c r="ANO128" s="172"/>
      <c r="ANP128" s="172"/>
      <c r="ANQ128" s="172"/>
      <c r="ANR128" s="172"/>
      <c r="ANS128" s="172"/>
      <c r="ANT128" s="172"/>
      <c r="ANU128" s="172"/>
      <c r="ANV128" s="172"/>
      <c r="ANW128" s="172"/>
      <c r="ANX128" s="172"/>
      <c r="ANY128" s="172"/>
      <c r="ANZ128" s="172"/>
      <c r="AOA128" s="172"/>
      <c r="AOB128" s="172"/>
      <c r="AOC128" s="172"/>
      <c r="AOD128" s="172"/>
      <c r="AOE128" s="172"/>
      <c r="AOF128" s="172"/>
      <c r="AOG128" s="172"/>
      <c r="AOH128" s="172"/>
      <c r="AOI128" s="172"/>
      <c r="AOJ128" s="172"/>
      <c r="AOK128" s="172"/>
      <c r="AOL128" s="172"/>
      <c r="AOM128" s="172"/>
      <c r="AON128" s="172"/>
      <c r="AOO128" s="172"/>
      <c r="AOP128" s="172"/>
      <c r="AOQ128" s="172"/>
      <c r="AOR128" s="172"/>
      <c r="AOS128" s="172"/>
      <c r="AOT128" s="172"/>
      <c r="AOU128" s="172"/>
      <c r="AOV128" s="172"/>
      <c r="AOW128" s="172"/>
      <c r="AOX128" s="172"/>
      <c r="AOY128" s="172"/>
      <c r="AOZ128" s="172"/>
      <c r="APA128" s="172"/>
      <c r="APB128" s="172"/>
      <c r="APC128" s="172"/>
      <c r="APD128" s="172"/>
      <c r="APE128" s="172"/>
      <c r="APF128" s="172"/>
      <c r="APG128" s="172"/>
      <c r="APH128" s="172"/>
      <c r="API128" s="172"/>
      <c r="APJ128" s="172"/>
      <c r="APK128" s="172"/>
      <c r="APL128" s="172"/>
      <c r="APM128" s="172"/>
      <c r="APN128" s="172"/>
      <c r="APO128" s="172"/>
      <c r="APP128" s="172"/>
      <c r="APQ128" s="172"/>
      <c r="APR128" s="172"/>
      <c r="APS128" s="172"/>
      <c r="APT128" s="172"/>
      <c r="APU128" s="172"/>
      <c r="APV128" s="172"/>
      <c r="APW128" s="172"/>
      <c r="APX128" s="172"/>
      <c r="APY128" s="172"/>
      <c r="APZ128" s="172"/>
      <c r="AQA128" s="172"/>
      <c r="AQB128" s="172"/>
      <c r="AQC128" s="172"/>
      <c r="AQD128" s="172"/>
      <c r="AQE128" s="172"/>
      <c r="AQF128" s="172"/>
      <c r="AQG128" s="172"/>
      <c r="AQH128" s="172"/>
      <c r="AQI128" s="172"/>
      <c r="AQJ128" s="172"/>
      <c r="AQK128" s="172"/>
      <c r="AQL128" s="172"/>
      <c r="AQM128" s="172"/>
      <c r="AQN128" s="172"/>
      <c r="AQO128" s="172"/>
      <c r="AQP128" s="172"/>
      <c r="AQQ128" s="172"/>
      <c r="AQR128" s="172"/>
      <c r="AQS128" s="172"/>
      <c r="AQT128" s="172"/>
      <c r="AQU128" s="172"/>
      <c r="AQV128" s="172"/>
      <c r="AQW128" s="172"/>
      <c r="AQX128" s="172"/>
      <c r="AQY128" s="172"/>
      <c r="AQZ128" s="172"/>
      <c r="ARA128" s="172"/>
      <c r="ARB128" s="172"/>
      <c r="ARC128" s="172"/>
      <c r="ARD128" s="172"/>
      <c r="ARE128" s="172"/>
      <c r="ARF128" s="172"/>
      <c r="ARG128" s="172"/>
      <c r="ARH128" s="172"/>
      <c r="ARI128" s="172"/>
      <c r="ARJ128" s="172"/>
      <c r="ARK128" s="172"/>
      <c r="ARL128" s="172"/>
      <c r="ARM128" s="172"/>
      <c r="ARN128" s="172"/>
      <c r="ARO128" s="172"/>
      <c r="ARP128" s="172"/>
      <c r="ARQ128" s="172"/>
      <c r="ARR128" s="172"/>
      <c r="ARS128" s="172"/>
      <c r="ART128" s="172"/>
      <c r="ARU128" s="172"/>
    </row>
    <row r="129" spans="1:1165" s="257" customFormat="1">
      <c r="A129" s="222" t="s">
        <v>242</v>
      </c>
      <c r="B129" s="195" t="s">
        <v>87</v>
      </c>
      <c r="C129" s="258">
        <v>328</v>
      </c>
      <c r="D129" s="258">
        <v>343931</v>
      </c>
      <c r="E129" s="198">
        <v>21</v>
      </c>
      <c r="F129" s="198">
        <v>32192</v>
      </c>
      <c r="G129" s="198">
        <v>58</v>
      </c>
      <c r="H129" s="198">
        <v>187219</v>
      </c>
      <c r="I129" s="198">
        <v>0</v>
      </c>
      <c r="J129" s="198">
        <v>0</v>
      </c>
      <c r="K129" s="198">
        <v>0</v>
      </c>
      <c r="L129" s="198">
        <v>0</v>
      </c>
      <c r="M129" s="198">
        <v>66</v>
      </c>
      <c r="N129" s="198">
        <v>358048</v>
      </c>
      <c r="O129" s="198">
        <v>46</v>
      </c>
      <c r="P129" s="198">
        <v>586165</v>
      </c>
      <c r="Q129" s="198">
        <v>41</v>
      </c>
      <c r="R129" s="198">
        <v>335662</v>
      </c>
      <c r="S129" s="198">
        <v>5</v>
      </c>
      <c r="T129" s="198">
        <v>38444</v>
      </c>
      <c r="U129" s="196">
        <v>0</v>
      </c>
      <c r="V129" s="196">
        <v>0</v>
      </c>
      <c r="W129" s="211">
        <v>20</v>
      </c>
      <c r="X129" s="211">
        <v>105840</v>
      </c>
      <c r="Y129" s="196">
        <v>0</v>
      </c>
      <c r="Z129" s="196">
        <v>0</v>
      </c>
      <c r="AA129" s="196">
        <v>0</v>
      </c>
      <c r="AB129" s="196">
        <v>0</v>
      </c>
      <c r="AC129" s="196">
        <v>0</v>
      </c>
      <c r="AD129" s="196">
        <v>0</v>
      </c>
      <c r="AE129" s="196">
        <v>0</v>
      </c>
      <c r="AF129" s="196">
        <v>0</v>
      </c>
      <c r="AG129" s="196">
        <v>0</v>
      </c>
      <c r="AH129" s="196">
        <v>0</v>
      </c>
      <c r="AI129" s="196">
        <v>0</v>
      </c>
      <c r="AJ129" s="196">
        <v>0</v>
      </c>
      <c r="AK129" s="211">
        <v>0</v>
      </c>
      <c r="AL129" s="211">
        <v>0</v>
      </c>
      <c r="AM129" s="196">
        <v>0</v>
      </c>
      <c r="AN129" s="196">
        <v>0</v>
      </c>
      <c r="AO129" s="196">
        <v>0</v>
      </c>
      <c r="AP129" s="196">
        <v>0</v>
      </c>
      <c r="AQ129" s="196">
        <v>0</v>
      </c>
      <c r="AR129" s="196">
        <v>0</v>
      </c>
      <c r="AS129" s="196">
        <v>0</v>
      </c>
      <c r="AT129" s="196">
        <v>0</v>
      </c>
      <c r="AU129" s="196">
        <v>0</v>
      </c>
      <c r="AV129" s="196">
        <v>0</v>
      </c>
      <c r="AW129" s="211">
        <v>0</v>
      </c>
      <c r="AX129" s="211">
        <v>0</v>
      </c>
      <c r="AY129" s="198">
        <v>0</v>
      </c>
      <c r="AZ129" s="198">
        <v>0</v>
      </c>
      <c r="BA129" s="196"/>
      <c r="BB129" s="198"/>
      <c r="BC129" s="198"/>
      <c r="BD129" s="198"/>
      <c r="BE129" s="211"/>
      <c r="BF129" s="198"/>
      <c r="BG129" s="198"/>
      <c r="BH129" s="198"/>
      <c r="BI129" s="196"/>
      <c r="BJ129" s="250">
        <f t="shared" si="61"/>
        <v>564</v>
      </c>
      <c r="BK129" s="250">
        <f t="shared" si="62"/>
        <v>1955309</v>
      </c>
      <c r="BL129" s="172"/>
      <c r="BM129" s="231"/>
      <c r="BN129" s="231"/>
      <c r="BO129" s="231"/>
      <c r="BP129" s="231"/>
      <c r="BQ129" s="172"/>
      <c r="BR129" s="172"/>
      <c r="BS129" s="172"/>
      <c r="BT129" s="172"/>
      <c r="BU129" s="172"/>
      <c r="BV129" s="172"/>
      <c r="BW129" s="172"/>
      <c r="BX129" s="172"/>
      <c r="BY129" s="172"/>
      <c r="BZ129" s="172"/>
      <c r="CA129" s="172"/>
      <c r="CB129" s="172"/>
      <c r="CC129" s="172"/>
      <c r="CD129" s="172"/>
      <c r="CE129" s="172"/>
      <c r="CF129" s="172"/>
      <c r="CG129" s="172"/>
      <c r="CH129" s="172"/>
      <c r="CI129" s="172"/>
      <c r="CJ129" s="172"/>
      <c r="CK129" s="172"/>
      <c r="CL129" s="172"/>
      <c r="CM129" s="172"/>
      <c r="CN129" s="172"/>
      <c r="CO129" s="172"/>
      <c r="CP129" s="172"/>
      <c r="CQ129" s="172"/>
      <c r="CR129" s="172"/>
      <c r="CS129" s="172"/>
      <c r="CT129" s="172"/>
      <c r="CU129" s="172"/>
      <c r="CV129" s="172"/>
      <c r="CW129" s="172"/>
      <c r="CX129" s="172"/>
      <c r="CY129" s="172"/>
      <c r="CZ129" s="172"/>
      <c r="DA129" s="172"/>
      <c r="DB129" s="172"/>
      <c r="DC129" s="172"/>
      <c r="DD129" s="172"/>
      <c r="DE129" s="172"/>
      <c r="DF129" s="172"/>
      <c r="DG129" s="172"/>
      <c r="DH129" s="172"/>
      <c r="DI129" s="172"/>
      <c r="DJ129" s="172"/>
      <c r="DK129" s="172"/>
      <c r="DL129" s="172"/>
      <c r="DM129" s="172"/>
      <c r="DN129" s="172"/>
      <c r="DO129" s="172"/>
      <c r="DP129" s="172"/>
      <c r="DQ129" s="172"/>
      <c r="DR129" s="172"/>
      <c r="DS129" s="172"/>
      <c r="DT129" s="172"/>
      <c r="DU129" s="172"/>
      <c r="DV129" s="172"/>
      <c r="DW129" s="172"/>
      <c r="DX129" s="172"/>
      <c r="DY129" s="172"/>
      <c r="DZ129" s="172"/>
      <c r="EA129" s="172"/>
      <c r="EB129" s="172"/>
      <c r="EC129" s="172"/>
      <c r="ED129" s="172"/>
      <c r="EE129" s="172"/>
      <c r="EF129" s="172"/>
      <c r="EG129" s="172"/>
      <c r="EH129" s="172"/>
      <c r="EI129" s="172"/>
      <c r="EJ129" s="172"/>
      <c r="EK129" s="172"/>
      <c r="EL129" s="172"/>
      <c r="EM129" s="172"/>
      <c r="EN129" s="172"/>
      <c r="EO129" s="172"/>
      <c r="EP129" s="172"/>
      <c r="EQ129" s="172"/>
      <c r="ER129" s="172"/>
      <c r="ES129" s="172"/>
      <c r="ET129" s="172"/>
      <c r="EU129" s="172"/>
      <c r="EV129" s="172"/>
      <c r="EW129" s="172"/>
      <c r="EX129" s="172"/>
      <c r="EY129" s="172"/>
      <c r="EZ129" s="172"/>
      <c r="FA129" s="172"/>
      <c r="FB129" s="172"/>
      <c r="FC129" s="172"/>
      <c r="FD129" s="172"/>
      <c r="FE129" s="172"/>
      <c r="FF129" s="172"/>
      <c r="FG129" s="172"/>
      <c r="FH129" s="172"/>
      <c r="FI129" s="172"/>
      <c r="FJ129" s="172"/>
      <c r="FK129" s="172"/>
      <c r="FL129" s="172"/>
      <c r="FM129" s="172"/>
      <c r="FN129" s="172"/>
      <c r="FO129" s="172"/>
      <c r="FP129" s="172"/>
      <c r="FQ129" s="172"/>
      <c r="FR129" s="172"/>
      <c r="FS129" s="172"/>
      <c r="FT129" s="172"/>
      <c r="FU129" s="172"/>
      <c r="FV129" s="172"/>
      <c r="FW129" s="172"/>
      <c r="FX129" s="172"/>
      <c r="FY129" s="172"/>
      <c r="FZ129" s="172"/>
      <c r="GA129" s="172"/>
      <c r="GB129" s="172"/>
      <c r="GC129" s="172"/>
      <c r="GD129" s="172"/>
      <c r="GE129" s="172"/>
      <c r="GF129" s="172"/>
      <c r="GG129" s="172"/>
      <c r="GH129" s="172"/>
      <c r="GI129" s="172"/>
      <c r="GJ129" s="172"/>
      <c r="GK129" s="172"/>
      <c r="GL129" s="172"/>
      <c r="GM129" s="172"/>
      <c r="GN129" s="172"/>
      <c r="GO129" s="172"/>
      <c r="GP129" s="172"/>
      <c r="GQ129" s="172"/>
      <c r="GR129" s="172"/>
      <c r="GS129" s="172"/>
      <c r="GT129" s="172"/>
      <c r="GU129" s="172"/>
      <c r="GV129" s="172"/>
      <c r="GW129" s="172"/>
      <c r="GX129" s="172"/>
      <c r="GY129" s="172"/>
      <c r="GZ129" s="172"/>
      <c r="HA129" s="172"/>
      <c r="HB129" s="172"/>
      <c r="HC129" s="172"/>
      <c r="HD129" s="172"/>
      <c r="HE129" s="172"/>
      <c r="HF129" s="172"/>
      <c r="HG129" s="172"/>
      <c r="HH129" s="172"/>
      <c r="HI129" s="172"/>
      <c r="HJ129" s="172"/>
      <c r="HK129" s="172"/>
      <c r="HL129" s="172"/>
      <c r="HM129" s="172"/>
      <c r="HN129" s="172"/>
      <c r="HO129" s="172"/>
      <c r="HP129" s="172"/>
      <c r="HQ129" s="172"/>
      <c r="HR129" s="172"/>
      <c r="HS129" s="172"/>
      <c r="HT129" s="172"/>
      <c r="HU129" s="172"/>
      <c r="HV129" s="172"/>
      <c r="HW129" s="172"/>
      <c r="HX129" s="172"/>
      <c r="HY129" s="172"/>
      <c r="HZ129" s="172"/>
      <c r="IA129" s="172"/>
      <c r="IB129" s="172"/>
      <c r="IC129" s="172"/>
      <c r="ID129" s="172"/>
      <c r="IE129" s="172"/>
      <c r="IF129" s="172"/>
      <c r="IG129" s="172"/>
      <c r="IH129" s="172"/>
      <c r="II129" s="172"/>
      <c r="IJ129" s="172"/>
      <c r="IK129" s="172"/>
      <c r="IL129" s="172"/>
      <c r="IM129" s="172"/>
      <c r="IN129" s="172"/>
      <c r="IO129" s="172"/>
      <c r="IP129" s="172"/>
      <c r="IQ129" s="172"/>
      <c r="IR129" s="172"/>
      <c r="IS129" s="172"/>
      <c r="IT129" s="172"/>
      <c r="IU129" s="172"/>
      <c r="IV129" s="172"/>
      <c r="IW129" s="172"/>
      <c r="IX129" s="172"/>
      <c r="IY129" s="172"/>
      <c r="IZ129" s="172"/>
      <c r="JA129" s="172"/>
      <c r="JB129" s="172"/>
      <c r="JC129" s="172"/>
      <c r="JD129" s="172"/>
      <c r="JE129" s="172"/>
      <c r="JF129" s="172"/>
      <c r="JG129" s="172"/>
      <c r="JH129" s="172"/>
      <c r="JI129" s="172"/>
      <c r="JJ129" s="172"/>
      <c r="JK129" s="172"/>
      <c r="JL129" s="172"/>
      <c r="JM129" s="172"/>
      <c r="JN129" s="172"/>
      <c r="JO129" s="172"/>
      <c r="JP129" s="172"/>
      <c r="JQ129" s="172"/>
      <c r="JR129" s="172"/>
      <c r="JS129" s="172"/>
      <c r="JT129" s="172"/>
      <c r="JU129" s="172"/>
      <c r="JV129" s="172"/>
      <c r="JW129" s="172"/>
      <c r="JX129" s="172"/>
      <c r="JY129" s="172"/>
      <c r="JZ129" s="172"/>
      <c r="KA129" s="172"/>
      <c r="KB129" s="172"/>
      <c r="KC129" s="172"/>
      <c r="KD129" s="172"/>
      <c r="KE129" s="172"/>
      <c r="KF129" s="172"/>
      <c r="KG129" s="172"/>
      <c r="KH129" s="172"/>
      <c r="KI129" s="172"/>
      <c r="KJ129" s="172"/>
      <c r="KK129" s="172"/>
      <c r="KL129" s="172"/>
      <c r="KM129" s="172"/>
      <c r="KN129" s="172"/>
      <c r="KO129" s="172"/>
      <c r="KP129" s="172"/>
      <c r="KQ129" s="172"/>
      <c r="KR129" s="172"/>
      <c r="KS129" s="172"/>
      <c r="KT129" s="172"/>
      <c r="KU129" s="172"/>
      <c r="KV129" s="172"/>
      <c r="KW129" s="172"/>
      <c r="KX129" s="172"/>
      <c r="KY129" s="172"/>
      <c r="KZ129" s="172"/>
      <c r="LA129" s="172"/>
      <c r="LB129" s="172"/>
      <c r="LC129" s="172"/>
      <c r="LD129" s="172"/>
      <c r="LE129" s="172"/>
      <c r="LF129" s="172"/>
      <c r="LG129" s="172"/>
      <c r="LH129" s="172"/>
      <c r="LI129" s="172"/>
      <c r="LJ129" s="172"/>
      <c r="LK129" s="172"/>
      <c r="LL129" s="172"/>
      <c r="LM129" s="172"/>
      <c r="LN129" s="172"/>
      <c r="LO129" s="172"/>
      <c r="LP129" s="172"/>
      <c r="LQ129" s="172"/>
      <c r="LR129" s="172"/>
      <c r="LS129" s="172"/>
      <c r="LT129" s="172"/>
      <c r="LU129" s="172"/>
      <c r="LV129" s="172"/>
      <c r="LW129" s="172"/>
      <c r="LX129" s="172"/>
      <c r="LY129" s="172"/>
      <c r="LZ129" s="172"/>
      <c r="MA129" s="172"/>
      <c r="MB129" s="172"/>
      <c r="MC129" s="172"/>
      <c r="MD129" s="172"/>
      <c r="ME129" s="172"/>
      <c r="MF129" s="172"/>
      <c r="MG129" s="172"/>
      <c r="MH129" s="172"/>
      <c r="MI129" s="172"/>
      <c r="MJ129" s="172"/>
      <c r="MK129" s="172"/>
      <c r="ML129" s="172"/>
      <c r="MM129" s="172"/>
      <c r="MN129" s="172"/>
      <c r="MO129" s="172"/>
      <c r="MP129" s="172"/>
      <c r="MQ129" s="172"/>
      <c r="MR129" s="172"/>
      <c r="MS129" s="172"/>
      <c r="MT129" s="172"/>
      <c r="MU129" s="172"/>
      <c r="MV129" s="172"/>
      <c r="MW129" s="172"/>
      <c r="MX129" s="172"/>
      <c r="MY129" s="172"/>
      <c r="MZ129" s="172"/>
      <c r="NA129" s="172"/>
      <c r="NB129" s="172"/>
      <c r="NC129" s="172"/>
      <c r="ND129" s="172"/>
      <c r="NE129" s="172"/>
      <c r="NF129" s="172"/>
      <c r="NG129" s="172"/>
      <c r="NH129" s="172"/>
      <c r="NI129" s="172"/>
      <c r="NJ129" s="172"/>
      <c r="NK129" s="172"/>
      <c r="NL129" s="172"/>
      <c r="NM129" s="172"/>
      <c r="NN129" s="172"/>
      <c r="NO129" s="172"/>
      <c r="NP129" s="172"/>
      <c r="NQ129" s="172"/>
      <c r="NR129" s="172"/>
      <c r="NS129" s="172"/>
      <c r="NT129" s="172"/>
      <c r="NU129" s="172"/>
      <c r="NV129" s="172"/>
      <c r="NW129" s="172"/>
      <c r="NX129" s="172"/>
      <c r="NY129" s="172"/>
      <c r="NZ129" s="172"/>
      <c r="OA129" s="172"/>
      <c r="OB129" s="172"/>
      <c r="OC129" s="172"/>
      <c r="OD129" s="172"/>
      <c r="OE129" s="172"/>
      <c r="OF129" s="172"/>
      <c r="OG129" s="172"/>
      <c r="OH129" s="172"/>
      <c r="OI129" s="172"/>
      <c r="OJ129" s="172"/>
      <c r="OK129" s="172"/>
      <c r="OL129" s="172"/>
      <c r="OM129" s="172"/>
      <c r="ON129" s="172"/>
      <c r="OO129" s="172"/>
      <c r="OP129" s="172"/>
      <c r="OQ129" s="172"/>
      <c r="OR129" s="172"/>
      <c r="OS129" s="172"/>
      <c r="OT129" s="172"/>
      <c r="OU129" s="172"/>
      <c r="OV129" s="172"/>
      <c r="OW129" s="172"/>
      <c r="OX129" s="172"/>
      <c r="OY129" s="172"/>
      <c r="OZ129" s="172"/>
      <c r="PA129" s="172"/>
      <c r="PB129" s="172"/>
      <c r="PC129" s="172"/>
      <c r="PD129" s="172"/>
      <c r="PE129" s="172"/>
      <c r="PF129" s="172"/>
      <c r="PG129" s="172"/>
      <c r="PH129" s="172"/>
      <c r="PI129" s="172"/>
      <c r="PJ129" s="172"/>
      <c r="PK129" s="172"/>
      <c r="PL129" s="172"/>
      <c r="PM129" s="172"/>
      <c r="PN129" s="172"/>
      <c r="PO129" s="172"/>
      <c r="PP129" s="172"/>
      <c r="PQ129" s="172"/>
      <c r="PR129" s="172"/>
      <c r="PS129" s="172"/>
      <c r="PT129" s="172"/>
      <c r="PU129" s="172"/>
      <c r="PV129" s="172"/>
      <c r="PW129" s="172"/>
      <c r="PX129" s="172"/>
      <c r="PY129" s="172"/>
      <c r="PZ129" s="172"/>
      <c r="QA129" s="172"/>
      <c r="QB129" s="172"/>
      <c r="QC129" s="172"/>
      <c r="QD129" s="172"/>
      <c r="QE129" s="172"/>
      <c r="QF129" s="172"/>
      <c r="QG129" s="172"/>
      <c r="QH129" s="172"/>
      <c r="QI129" s="172"/>
      <c r="QJ129" s="172"/>
      <c r="QK129" s="172"/>
      <c r="QL129" s="172"/>
      <c r="QM129" s="172"/>
      <c r="QN129" s="172"/>
      <c r="QO129" s="172"/>
      <c r="QP129" s="172"/>
      <c r="QQ129" s="172"/>
      <c r="QR129" s="172"/>
      <c r="QS129" s="172"/>
      <c r="QT129" s="172"/>
      <c r="QU129" s="172"/>
      <c r="QV129" s="172"/>
      <c r="QW129" s="172"/>
      <c r="QX129" s="172"/>
      <c r="QY129" s="172"/>
      <c r="QZ129" s="172"/>
      <c r="RA129" s="172"/>
      <c r="RB129" s="172"/>
      <c r="RC129" s="172"/>
      <c r="RD129" s="172"/>
      <c r="RE129" s="172"/>
      <c r="RF129" s="172"/>
      <c r="RG129" s="172"/>
      <c r="RH129" s="172"/>
      <c r="RI129" s="172"/>
      <c r="RJ129" s="172"/>
      <c r="RK129" s="172"/>
      <c r="RL129" s="172"/>
      <c r="RM129" s="172"/>
      <c r="RN129" s="172"/>
      <c r="RO129" s="172"/>
      <c r="RP129" s="172"/>
      <c r="RQ129" s="172"/>
      <c r="RR129" s="172"/>
      <c r="RS129" s="172"/>
      <c r="RT129" s="172"/>
      <c r="RU129" s="172"/>
      <c r="RV129" s="172"/>
      <c r="RW129" s="172"/>
      <c r="RX129" s="172"/>
      <c r="RY129" s="172"/>
      <c r="RZ129" s="172"/>
      <c r="SA129" s="172"/>
      <c r="SB129" s="172"/>
      <c r="SC129" s="172"/>
      <c r="SD129" s="172"/>
      <c r="SE129" s="172"/>
      <c r="SF129" s="172"/>
      <c r="SG129" s="172"/>
      <c r="SH129" s="172"/>
      <c r="SI129" s="172"/>
      <c r="SJ129" s="172"/>
      <c r="SK129" s="172"/>
      <c r="SL129" s="172"/>
      <c r="SM129" s="172"/>
      <c r="SN129" s="172"/>
      <c r="SO129" s="172"/>
      <c r="SP129" s="172"/>
      <c r="SQ129" s="172"/>
      <c r="SR129" s="172"/>
      <c r="SS129" s="172"/>
      <c r="ST129" s="172"/>
      <c r="SU129" s="172"/>
      <c r="SV129" s="172"/>
      <c r="SW129" s="172"/>
      <c r="SX129" s="172"/>
      <c r="SY129" s="172"/>
      <c r="SZ129" s="172"/>
      <c r="TA129" s="172"/>
      <c r="TB129" s="172"/>
      <c r="TC129" s="172"/>
      <c r="TD129" s="172"/>
      <c r="TE129" s="172"/>
      <c r="TF129" s="172"/>
      <c r="TG129" s="172"/>
      <c r="TH129" s="172"/>
      <c r="TI129" s="172"/>
      <c r="TJ129" s="172"/>
      <c r="TK129" s="172"/>
      <c r="TL129" s="172"/>
      <c r="TM129" s="172"/>
      <c r="TN129" s="172"/>
      <c r="TO129" s="172"/>
      <c r="TP129" s="172"/>
      <c r="TQ129" s="172"/>
      <c r="TR129" s="172"/>
      <c r="TS129" s="172"/>
      <c r="TT129" s="172"/>
      <c r="TU129" s="172"/>
      <c r="TV129" s="172"/>
      <c r="TW129" s="172"/>
      <c r="TX129" s="172"/>
      <c r="TY129" s="172"/>
      <c r="TZ129" s="172"/>
      <c r="UA129" s="172"/>
      <c r="UB129" s="172"/>
      <c r="UC129" s="172"/>
      <c r="UD129" s="172"/>
      <c r="UE129" s="172"/>
      <c r="UF129" s="172"/>
      <c r="UG129" s="172"/>
      <c r="UH129" s="172"/>
      <c r="UI129" s="172"/>
      <c r="UJ129" s="172"/>
      <c r="UK129" s="172"/>
      <c r="UL129" s="172"/>
      <c r="UM129" s="172"/>
      <c r="UN129" s="172"/>
      <c r="UO129" s="172"/>
      <c r="UP129" s="172"/>
      <c r="UQ129" s="172"/>
      <c r="UR129" s="172"/>
      <c r="US129" s="172"/>
      <c r="UT129" s="172"/>
      <c r="UU129" s="172"/>
      <c r="UV129" s="172"/>
      <c r="UW129" s="172"/>
      <c r="UX129" s="172"/>
      <c r="UY129" s="172"/>
      <c r="UZ129" s="172"/>
      <c r="VA129" s="172"/>
      <c r="VB129" s="172"/>
      <c r="VC129" s="172"/>
      <c r="VD129" s="172"/>
      <c r="VE129" s="172"/>
      <c r="VF129" s="172"/>
      <c r="VG129" s="172"/>
      <c r="VH129" s="172"/>
      <c r="VI129" s="172"/>
      <c r="VJ129" s="172"/>
      <c r="VK129" s="172"/>
      <c r="VL129" s="172"/>
      <c r="VM129" s="172"/>
      <c r="VN129" s="172"/>
      <c r="VO129" s="172"/>
      <c r="VP129" s="172"/>
      <c r="VQ129" s="172"/>
      <c r="VR129" s="172"/>
      <c r="VS129" s="172"/>
      <c r="VT129" s="172"/>
      <c r="VU129" s="172"/>
      <c r="VV129" s="172"/>
      <c r="VW129" s="172"/>
      <c r="VX129" s="172"/>
      <c r="VY129" s="172"/>
      <c r="VZ129" s="172"/>
      <c r="WA129" s="172"/>
      <c r="WB129" s="172"/>
      <c r="WC129" s="172"/>
      <c r="WD129" s="172"/>
      <c r="WE129" s="172"/>
      <c r="WF129" s="172"/>
      <c r="WG129" s="172"/>
      <c r="WH129" s="172"/>
      <c r="WI129" s="172"/>
      <c r="WJ129" s="172"/>
      <c r="WK129" s="172"/>
      <c r="WL129" s="172"/>
      <c r="WM129" s="172"/>
      <c r="WN129" s="172"/>
      <c r="WO129" s="172"/>
      <c r="WP129" s="172"/>
      <c r="WQ129" s="172"/>
      <c r="WR129" s="172"/>
      <c r="WS129" s="172"/>
      <c r="WT129" s="172"/>
      <c r="WU129" s="172"/>
      <c r="WV129" s="172"/>
      <c r="WW129" s="172"/>
      <c r="WX129" s="172"/>
      <c r="WY129" s="172"/>
      <c r="WZ129" s="172"/>
      <c r="XA129" s="172"/>
      <c r="XB129" s="172"/>
      <c r="XC129" s="172"/>
      <c r="XD129" s="172"/>
      <c r="XE129" s="172"/>
      <c r="XF129" s="172"/>
      <c r="XG129" s="172"/>
      <c r="XH129" s="172"/>
      <c r="XI129" s="172"/>
      <c r="XJ129" s="172"/>
      <c r="XK129" s="172"/>
      <c r="XL129" s="172"/>
      <c r="XM129" s="172"/>
      <c r="XN129" s="172"/>
      <c r="XO129" s="172"/>
      <c r="XP129" s="172"/>
      <c r="XQ129" s="172"/>
      <c r="XR129" s="172"/>
      <c r="XS129" s="172"/>
      <c r="XT129" s="172"/>
      <c r="XU129" s="172"/>
      <c r="XV129" s="172"/>
      <c r="XW129" s="172"/>
      <c r="XX129" s="172"/>
      <c r="XY129" s="172"/>
      <c r="XZ129" s="172"/>
      <c r="YA129" s="172"/>
      <c r="YB129" s="172"/>
      <c r="YC129" s="172"/>
      <c r="YD129" s="172"/>
      <c r="YE129" s="172"/>
      <c r="YF129" s="172"/>
      <c r="YG129" s="172"/>
      <c r="YH129" s="172"/>
      <c r="YI129" s="172"/>
      <c r="YJ129" s="172"/>
      <c r="YK129" s="172"/>
      <c r="YL129" s="172"/>
      <c r="YM129" s="172"/>
      <c r="YN129" s="172"/>
      <c r="YO129" s="172"/>
      <c r="YP129" s="172"/>
      <c r="YQ129" s="172"/>
      <c r="YR129" s="172"/>
      <c r="YS129" s="172"/>
      <c r="YT129" s="172"/>
      <c r="YU129" s="172"/>
      <c r="YV129" s="172"/>
      <c r="YW129" s="172"/>
      <c r="YX129" s="172"/>
      <c r="YY129" s="172"/>
      <c r="YZ129" s="172"/>
      <c r="ZA129" s="172"/>
      <c r="ZB129" s="172"/>
      <c r="ZC129" s="172"/>
      <c r="ZD129" s="172"/>
      <c r="ZE129" s="172"/>
      <c r="ZF129" s="172"/>
      <c r="ZG129" s="172"/>
      <c r="ZH129" s="172"/>
      <c r="ZI129" s="172"/>
      <c r="ZJ129" s="172"/>
      <c r="ZK129" s="172"/>
      <c r="ZL129" s="172"/>
      <c r="ZM129" s="172"/>
      <c r="ZN129" s="172"/>
      <c r="ZO129" s="172"/>
      <c r="ZP129" s="172"/>
      <c r="ZQ129" s="172"/>
      <c r="ZR129" s="172"/>
      <c r="ZS129" s="172"/>
      <c r="ZT129" s="172"/>
      <c r="ZU129" s="172"/>
      <c r="ZV129" s="172"/>
      <c r="ZW129" s="172"/>
      <c r="ZX129" s="172"/>
      <c r="ZY129" s="172"/>
      <c r="ZZ129" s="172"/>
      <c r="AAA129" s="172"/>
      <c r="AAB129" s="172"/>
      <c r="AAC129" s="172"/>
      <c r="AAD129" s="172"/>
      <c r="AAE129" s="172"/>
      <c r="AAF129" s="172"/>
      <c r="AAG129" s="172"/>
      <c r="AAH129" s="172"/>
      <c r="AAI129" s="172"/>
      <c r="AAJ129" s="172"/>
      <c r="AAK129" s="172"/>
      <c r="AAL129" s="172"/>
      <c r="AAM129" s="172"/>
      <c r="AAN129" s="172"/>
      <c r="AAO129" s="172"/>
      <c r="AAP129" s="172"/>
      <c r="AAQ129" s="172"/>
      <c r="AAR129" s="172"/>
      <c r="AAS129" s="172"/>
      <c r="AAT129" s="172"/>
      <c r="AAU129" s="172"/>
      <c r="AAV129" s="172"/>
      <c r="AAW129" s="172"/>
      <c r="AAX129" s="172"/>
      <c r="AAY129" s="172"/>
      <c r="AAZ129" s="172"/>
      <c r="ABA129" s="172"/>
      <c r="ABB129" s="172"/>
      <c r="ABC129" s="172"/>
      <c r="ABD129" s="172"/>
      <c r="ABE129" s="172"/>
      <c r="ABF129" s="172"/>
      <c r="ABG129" s="172"/>
      <c r="ABH129" s="172"/>
      <c r="ABI129" s="172"/>
      <c r="ABJ129" s="172"/>
      <c r="ABK129" s="172"/>
      <c r="ABL129" s="172"/>
      <c r="ABM129" s="172"/>
      <c r="ABN129" s="172"/>
      <c r="ABO129" s="172"/>
      <c r="ABP129" s="172"/>
      <c r="ABQ129" s="172"/>
      <c r="ABR129" s="172"/>
      <c r="ABS129" s="172"/>
      <c r="ABT129" s="172"/>
      <c r="ABU129" s="172"/>
      <c r="ABV129" s="172"/>
      <c r="ABW129" s="172"/>
      <c r="ABX129" s="172"/>
      <c r="ABY129" s="172"/>
      <c r="ABZ129" s="172"/>
      <c r="ACA129" s="172"/>
      <c r="ACB129" s="172"/>
      <c r="ACC129" s="172"/>
      <c r="ACD129" s="172"/>
      <c r="ACE129" s="172"/>
      <c r="ACF129" s="172"/>
      <c r="ACG129" s="172"/>
      <c r="ACH129" s="172"/>
      <c r="ACI129" s="172"/>
      <c r="ACJ129" s="172"/>
      <c r="ACK129" s="172"/>
      <c r="ACL129" s="172"/>
      <c r="ACM129" s="172"/>
      <c r="ACN129" s="172"/>
      <c r="ACO129" s="172"/>
      <c r="ACP129" s="172"/>
      <c r="ACQ129" s="172"/>
      <c r="ACR129" s="172"/>
      <c r="ACS129" s="172"/>
      <c r="ACT129" s="172"/>
      <c r="ACU129" s="172"/>
      <c r="ACV129" s="172"/>
      <c r="ACW129" s="172"/>
      <c r="ACX129" s="172"/>
      <c r="ACY129" s="172"/>
      <c r="ACZ129" s="172"/>
      <c r="ADA129" s="172"/>
      <c r="ADB129" s="172"/>
      <c r="ADC129" s="172"/>
      <c r="ADD129" s="172"/>
      <c r="ADE129" s="172"/>
      <c r="ADF129" s="172"/>
      <c r="ADG129" s="172"/>
      <c r="ADH129" s="172"/>
      <c r="ADI129" s="172"/>
      <c r="ADJ129" s="172"/>
      <c r="ADK129" s="172"/>
      <c r="ADL129" s="172"/>
      <c r="ADM129" s="172"/>
      <c r="ADN129" s="172"/>
      <c r="ADO129" s="172"/>
      <c r="ADP129" s="172"/>
      <c r="ADQ129" s="172"/>
      <c r="ADR129" s="172"/>
      <c r="ADS129" s="172"/>
      <c r="ADT129" s="172"/>
      <c r="ADU129" s="172"/>
      <c r="ADV129" s="172"/>
      <c r="ADW129" s="172"/>
      <c r="ADX129" s="172"/>
      <c r="ADY129" s="172"/>
      <c r="ADZ129" s="172"/>
      <c r="AEA129" s="172"/>
      <c r="AEB129" s="172"/>
      <c r="AEC129" s="172"/>
      <c r="AED129" s="172"/>
      <c r="AEE129" s="172"/>
      <c r="AEF129" s="172"/>
      <c r="AEG129" s="172"/>
      <c r="AEH129" s="172"/>
      <c r="AEI129" s="172"/>
      <c r="AEJ129" s="172"/>
      <c r="AEK129" s="172"/>
      <c r="AEL129" s="172"/>
      <c r="AEM129" s="172"/>
      <c r="AEN129" s="172"/>
      <c r="AEO129" s="172"/>
      <c r="AEP129" s="172"/>
      <c r="AEQ129" s="172"/>
      <c r="AER129" s="172"/>
      <c r="AES129" s="172"/>
      <c r="AET129" s="172"/>
      <c r="AEU129" s="172"/>
      <c r="AEV129" s="172"/>
      <c r="AEW129" s="172"/>
      <c r="AEX129" s="172"/>
      <c r="AEY129" s="172"/>
      <c r="AEZ129" s="172"/>
      <c r="AFA129" s="172"/>
      <c r="AFB129" s="172"/>
      <c r="AFC129" s="172"/>
      <c r="AFD129" s="172"/>
      <c r="AFE129" s="172"/>
      <c r="AFF129" s="172"/>
      <c r="AFG129" s="172"/>
      <c r="AFH129" s="172"/>
      <c r="AFI129" s="172"/>
      <c r="AFJ129" s="172"/>
      <c r="AFK129" s="172"/>
      <c r="AFL129" s="172"/>
      <c r="AFM129" s="172"/>
      <c r="AFN129" s="172"/>
      <c r="AFO129" s="172"/>
      <c r="AFP129" s="172"/>
      <c r="AFQ129" s="172"/>
      <c r="AFR129" s="172"/>
      <c r="AFS129" s="172"/>
      <c r="AFT129" s="172"/>
      <c r="AFU129" s="172"/>
      <c r="AFV129" s="172"/>
      <c r="AFW129" s="172"/>
      <c r="AFX129" s="172"/>
      <c r="AFY129" s="172"/>
      <c r="AFZ129" s="172"/>
      <c r="AGA129" s="172"/>
      <c r="AGB129" s="172"/>
      <c r="AGC129" s="172"/>
      <c r="AGD129" s="172"/>
      <c r="AGE129" s="172"/>
      <c r="AGF129" s="172"/>
      <c r="AGG129" s="172"/>
      <c r="AGH129" s="172"/>
      <c r="AGI129" s="172"/>
      <c r="AGJ129" s="172"/>
      <c r="AGK129" s="172"/>
      <c r="AGL129" s="172"/>
      <c r="AGM129" s="172"/>
      <c r="AGN129" s="172"/>
      <c r="AGO129" s="172"/>
      <c r="AGP129" s="172"/>
      <c r="AGQ129" s="172"/>
      <c r="AGR129" s="172"/>
      <c r="AGS129" s="172"/>
      <c r="AGT129" s="172"/>
      <c r="AGU129" s="172"/>
      <c r="AGV129" s="172"/>
      <c r="AGW129" s="172"/>
      <c r="AGX129" s="172"/>
      <c r="AGY129" s="172"/>
      <c r="AGZ129" s="172"/>
      <c r="AHA129" s="172"/>
      <c r="AHB129" s="172"/>
      <c r="AHC129" s="172"/>
      <c r="AHD129" s="172"/>
      <c r="AHE129" s="172"/>
      <c r="AHF129" s="172"/>
      <c r="AHG129" s="172"/>
      <c r="AHH129" s="172"/>
      <c r="AHI129" s="172"/>
      <c r="AHJ129" s="172"/>
      <c r="AHK129" s="172"/>
      <c r="AHL129" s="172"/>
      <c r="AHM129" s="172"/>
      <c r="AHN129" s="172"/>
      <c r="AHO129" s="172"/>
      <c r="AHP129" s="172"/>
      <c r="AHQ129" s="172"/>
      <c r="AHR129" s="172"/>
      <c r="AHS129" s="172"/>
      <c r="AHT129" s="172"/>
      <c r="AHU129" s="172"/>
      <c r="AHV129" s="172"/>
      <c r="AHW129" s="172"/>
      <c r="AHX129" s="172"/>
      <c r="AHY129" s="172"/>
      <c r="AHZ129" s="172"/>
      <c r="AIA129" s="172"/>
      <c r="AIB129" s="172"/>
      <c r="AIC129" s="172"/>
      <c r="AID129" s="172"/>
      <c r="AIE129" s="172"/>
      <c r="AIF129" s="172"/>
      <c r="AIG129" s="172"/>
      <c r="AIH129" s="172"/>
      <c r="AII129" s="172"/>
      <c r="AIJ129" s="172"/>
      <c r="AIK129" s="172"/>
      <c r="AIL129" s="172"/>
      <c r="AIM129" s="172"/>
      <c r="AIN129" s="172"/>
      <c r="AIO129" s="172"/>
      <c r="AIP129" s="172"/>
      <c r="AIQ129" s="172"/>
      <c r="AIR129" s="172"/>
      <c r="AIS129" s="172"/>
      <c r="AIT129" s="172"/>
      <c r="AIU129" s="172"/>
      <c r="AIV129" s="172"/>
      <c r="AIW129" s="172"/>
      <c r="AIX129" s="172"/>
      <c r="AIY129" s="172"/>
      <c r="AIZ129" s="172"/>
      <c r="AJA129" s="172"/>
      <c r="AJB129" s="172"/>
      <c r="AJC129" s="172"/>
      <c r="AJD129" s="172"/>
      <c r="AJE129" s="172"/>
      <c r="AJF129" s="172"/>
      <c r="AJG129" s="172"/>
      <c r="AJH129" s="172"/>
      <c r="AJI129" s="172"/>
      <c r="AJJ129" s="172"/>
      <c r="AJK129" s="172"/>
      <c r="AJL129" s="172"/>
      <c r="AJM129" s="172"/>
      <c r="AJN129" s="172"/>
      <c r="AJO129" s="172"/>
      <c r="AJP129" s="172"/>
      <c r="AJQ129" s="172"/>
      <c r="AJR129" s="172"/>
      <c r="AJS129" s="172"/>
      <c r="AJT129" s="172"/>
      <c r="AJU129" s="172"/>
      <c r="AJV129" s="172"/>
      <c r="AJW129" s="172"/>
      <c r="AJX129" s="172"/>
      <c r="AJY129" s="172"/>
      <c r="AJZ129" s="172"/>
      <c r="AKA129" s="172"/>
      <c r="AKB129" s="172"/>
      <c r="AKC129" s="172"/>
      <c r="AKD129" s="172"/>
      <c r="AKE129" s="172"/>
      <c r="AKF129" s="172"/>
      <c r="AKG129" s="172"/>
      <c r="AKH129" s="172"/>
      <c r="AKI129" s="172"/>
      <c r="AKJ129" s="172"/>
      <c r="AKK129" s="172"/>
      <c r="AKL129" s="172"/>
      <c r="AKM129" s="172"/>
      <c r="AKN129" s="172"/>
      <c r="AKO129" s="172"/>
      <c r="AKP129" s="172"/>
      <c r="AKQ129" s="172"/>
      <c r="AKR129" s="172"/>
      <c r="AKS129" s="172"/>
      <c r="AKT129" s="172"/>
      <c r="AKU129" s="172"/>
      <c r="AKV129" s="172"/>
      <c r="AKW129" s="172"/>
      <c r="AKX129" s="172"/>
      <c r="AKY129" s="172"/>
      <c r="AKZ129" s="172"/>
      <c r="ALA129" s="172"/>
      <c r="ALB129" s="172"/>
      <c r="ALC129" s="172"/>
      <c r="ALD129" s="172"/>
      <c r="ALE129" s="172"/>
      <c r="ALF129" s="172"/>
      <c r="ALG129" s="172"/>
      <c r="ALH129" s="172"/>
      <c r="ALI129" s="172"/>
      <c r="ALJ129" s="172"/>
      <c r="ALK129" s="172"/>
      <c r="ALL129" s="172"/>
      <c r="ALM129" s="172"/>
      <c r="ALN129" s="172"/>
      <c r="ALO129" s="172"/>
      <c r="ALP129" s="172"/>
      <c r="ALQ129" s="172"/>
      <c r="ALR129" s="172"/>
      <c r="ALS129" s="172"/>
      <c r="ALT129" s="172"/>
      <c r="ALU129" s="172"/>
      <c r="ALV129" s="172"/>
      <c r="ALW129" s="172"/>
      <c r="ALX129" s="172"/>
      <c r="ALY129" s="172"/>
      <c r="ALZ129" s="172"/>
      <c r="AMA129" s="172"/>
      <c r="AMB129" s="172"/>
      <c r="AMC129" s="172"/>
      <c r="AMD129" s="172"/>
      <c r="AME129" s="172"/>
      <c r="AMF129" s="172"/>
      <c r="AMG129" s="172"/>
      <c r="AMH129" s="172"/>
      <c r="AMI129" s="172"/>
      <c r="AMJ129" s="172"/>
      <c r="AMK129" s="172"/>
      <c r="AML129" s="172"/>
      <c r="AMM129" s="172"/>
      <c r="AMN129" s="172"/>
      <c r="AMO129" s="172"/>
      <c r="AMP129" s="172"/>
      <c r="AMQ129" s="172"/>
      <c r="AMR129" s="172"/>
      <c r="AMS129" s="172"/>
      <c r="AMT129" s="172"/>
      <c r="AMU129" s="172"/>
      <c r="AMV129" s="172"/>
      <c r="AMW129" s="172"/>
      <c r="AMX129" s="172"/>
      <c r="AMY129" s="172"/>
      <c r="AMZ129" s="172"/>
      <c r="ANA129" s="172"/>
      <c r="ANB129" s="172"/>
      <c r="ANC129" s="172"/>
      <c r="AND129" s="172"/>
      <c r="ANE129" s="172"/>
      <c r="ANF129" s="172"/>
      <c r="ANG129" s="172"/>
      <c r="ANH129" s="172"/>
      <c r="ANI129" s="172"/>
      <c r="ANJ129" s="172"/>
      <c r="ANK129" s="172"/>
      <c r="ANL129" s="172"/>
      <c r="ANM129" s="172"/>
      <c r="ANN129" s="172"/>
      <c r="ANO129" s="172"/>
      <c r="ANP129" s="172"/>
      <c r="ANQ129" s="172"/>
      <c r="ANR129" s="172"/>
      <c r="ANS129" s="172"/>
      <c r="ANT129" s="172"/>
      <c r="ANU129" s="172"/>
      <c r="ANV129" s="172"/>
      <c r="ANW129" s="172"/>
      <c r="ANX129" s="172"/>
      <c r="ANY129" s="172"/>
      <c r="ANZ129" s="172"/>
      <c r="AOA129" s="172"/>
      <c r="AOB129" s="172"/>
      <c r="AOC129" s="172"/>
      <c r="AOD129" s="172"/>
      <c r="AOE129" s="172"/>
      <c r="AOF129" s="172"/>
      <c r="AOG129" s="172"/>
      <c r="AOH129" s="172"/>
      <c r="AOI129" s="172"/>
      <c r="AOJ129" s="172"/>
      <c r="AOK129" s="172"/>
      <c r="AOL129" s="172"/>
      <c r="AOM129" s="172"/>
      <c r="AON129" s="172"/>
      <c r="AOO129" s="172"/>
      <c r="AOP129" s="172"/>
      <c r="AOQ129" s="172"/>
      <c r="AOR129" s="172"/>
      <c r="AOS129" s="172"/>
      <c r="AOT129" s="172"/>
      <c r="AOU129" s="172"/>
      <c r="AOV129" s="172"/>
      <c r="AOW129" s="172"/>
      <c r="AOX129" s="172"/>
      <c r="AOY129" s="172"/>
      <c r="AOZ129" s="172"/>
      <c r="APA129" s="172"/>
      <c r="APB129" s="172"/>
      <c r="APC129" s="172"/>
      <c r="APD129" s="172"/>
      <c r="APE129" s="172"/>
      <c r="APF129" s="172"/>
      <c r="APG129" s="172"/>
      <c r="APH129" s="172"/>
      <c r="API129" s="172"/>
      <c r="APJ129" s="172"/>
      <c r="APK129" s="172"/>
      <c r="APL129" s="172"/>
      <c r="APM129" s="172"/>
      <c r="APN129" s="172"/>
      <c r="APO129" s="172"/>
      <c r="APP129" s="172"/>
      <c r="APQ129" s="172"/>
      <c r="APR129" s="172"/>
      <c r="APS129" s="172"/>
      <c r="APT129" s="172"/>
      <c r="APU129" s="172"/>
      <c r="APV129" s="172"/>
      <c r="APW129" s="172"/>
      <c r="APX129" s="172"/>
      <c r="APY129" s="172"/>
      <c r="APZ129" s="172"/>
      <c r="AQA129" s="172"/>
      <c r="AQB129" s="172"/>
      <c r="AQC129" s="172"/>
      <c r="AQD129" s="172"/>
      <c r="AQE129" s="172"/>
      <c r="AQF129" s="172"/>
      <c r="AQG129" s="172"/>
      <c r="AQH129" s="172"/>
      <c r="AQI129" s="172"/>
      <c r="AQJ129" s="172"/>
      <c r="AQK129" s="172"/>
      <c r="AQL129" s="172"/>
      <c r="AQM129" s="172"/>
      <c r="AQN129" s="172"/>
      <c r="AQO129" s="172"/>
      <c r="AQP129" s="172"/>
      <c r="AQQ129" s="172"/>
      <c r="AQR129" s="172"/>
      <c r="AQS129" s="172"/>
      <c r="AQT129" s="172"/>
      <c r="AQU129" s="172"/>
      <c r="AQV129" s="172"/>
      <c r="AQW129" s="172"/>
      <c r="AQX129" s="172"/>
      <c r="AQY129" s="172"/>
      <c r="AQZ129" s="172"/>
      <c r="ARA129" s="172"/>
      <c r="ARB129" s="172"/>
      <c r="ARC129" s="172"/>
      <c r="ARD129" s="172"/>
      <c r="ARE129" s="172"/>
      <c r="ARF129" s="172"/>
      <c r="ARG129" s="172"/>
      <c r="ARH129" s="172"/>
      <c r="ARI129" s="172"/>
      <c r="ARJ129" s="172"/>
      <c r="ARK129" s="172"/>
      <c r="ARL129" s="172"/>
      <c r="ARM129" s="172"/>
      <c r="ARN129" s="172"/>
      <c r="ARO129" s="172"/>
      <c r="ARP129" s="172"/>
      <c r="ARQ129" s="172"/>
      <c r="ARR129" s="172"/>
      <c r="ARS129" s="172"/>
      <c r="ART129" s="172"/>
      <c r="ARU129" s="172"/>
    </row>
    <row r="130" spans="1:1165" s="257" customFormat="1">
      <c r="A130" s="222" t="s">
        <v>300</v>
      </c>
      <c r="B130" s="195" t="s">
        <v>87</v>
      </c>
      <c r="C130" s="258">
        <v>1704177</v>
      </c>
      <c r="D130" s="258">
        <v>99272004</v>
      </c>
      <c r="E130" s="198">
        <v>327692</v>
      </c>
      <c r="F130" s="198">
        <v>20142466</v>
      </c>
      <c r="G130" s="198">
        <v>226463</v>
      </c>
      <c r="H130" s="198">
        <v>16974854</v>
      </c>
      <c r="I130" s="198">
        <v>397105</v>
      </c>
      <c r="J130" s="198">
        <v>29324196</v>
      </c>
      <c r="K130" s="198">
        <v>272391</v>
      </c>
      <c r="L130" s="198">
        <v>29964159</v>
      </c>
      <c r="M130" s="198">
        <v>336950</v>
      </c>
      <c r="N130" s="198">
        <v>37675931</v>
      </c>
      <c r="O130" s="198">
        <v>371754</v>
      </c>
      <c r="P130" s="198">
        <v>45096049</v>
      </c>
      <c r="Q130" s="198">
        <v>319192</v>
      </c>
      <c r="R130" s="198">
        <v>51163829</v>
      </c>
      <c r="S130" s="198">
        <v>320163</v>
      </c>
      <c r="T130" s="198">
        <v>69347543</v>
      </c>
      <c r="U130" s="211">
        <v>368164</v>
      </c>
      <c r="V130" s="211">
        <v>123873011</v>
      </c>
      <c r="W130" s="211">
        <v>343821</v>
      </c>
      <c r="X130" s="211">
        <v>187953682</v>
      </c>
      <c r="Y130" s="211">
        <v>224461</v>
      </c>
      <c r="Z130" s="211">
        <v>126677148</v>
      </c>
      <c r="AA130" s="226">
        <v>204332</v>
      </c>
      <c r="AB130" s="226">
        <v>79156923</v>
      </c>
      <c r="AC130" s="198">
        <v>265166</v>
      </c>
      <c r="AD130" s="198">
        <v>51456028</v>
      </c>
      <c r="AE130" s="196">
        <v>299761</v>
      </c>
      <c r="AF130" s="196">
        <v>46256774</v>
      </c>
      <c r="AG130" s="196">
        <v>444264</v>
      </c>
      <c r="AH130" s="196">
        <v>99000474</v>
      </c>
      <c r="AI130" s="196">
        <v>458444</v>
      </c>
      <c r="AJ130" s="196">
        <v>152536417</v>
      </c>
      <c r="AK130" s="260">
        <v>372704</v>
      </c>
      <c r="AL130" s="260">
        <v>197540254</v>
      </c>
      <c r="AM130" s="261">
        <v>292791</v>
      </c>
      <c r="AN130" s="261">
        <v>160337523</v>
      </c>
      <c r="AO130" s="196">
        <v>300467</v>
      </c>
      <c r="AP130" s="196">
        <v>154374737</v>
      </c>
      <c r="AQ130" s="196">
        <v>322939.83</v>
      </c>
      <c r="AR130" s="196">
        <v>139138916.06999999</v>
      </c>
      <c r="AS130" s="196">
        <v>347933</v>
      </c>
      <c r="AT130" s="196">
        <v>172107391</v>
      </c>
      <c r="AU130" s="226">
        <v>353169</v>
      </c>
      <c r="AV130" s="226">
        <v>229999326</v>
      </c>
      <c r="AW130" s="211">
        <v>369920</v>
      </c>
      <c r="AX130" s="211">
        <v>246741492</v>
      </c>
      <c r="AY130" s="198">
        <v>420545</v>
      </c>
      <c r="AZ130" s="198">
        <v>242096974</v>
      </c>
      <c r="BA130" s="263"/>
      <c r="BB130" s="198"/>
      <c r="BC130" s="263"/>
      <c r="BD130" s="198"/>
      <c r="BE130" s="263"/>
      <c r="BF130" s="198"/>
      <c r="BG130" s="263"/>
      <c r="BH130" s="198"/>
      <c r="BI130" s="263"/>
      <c r="BJ130" s="250">
        <f t="shared" si="61"/>
        <v>9337076.8300000001</v>
      </c>
      <c r="BK130" s="250">
        <f t="shared" si="62"/>
        <v>2788065635.0699997</v>
      </c>
      <c r="BL130" s="172"/>
      <c r="BM130" s="231"/>
      <c r="BN130" s="231"/>
      <c r="BO130" s="231"/>
      <c r="BP130" s="231"/>
      <c r="BQ130" s="172"/>
      <c r="BR130" s="172"/>
      <c r="BS130" s="172"/>
      <c r="BT130" s="172"/>
      <c r="BU130" s="172"/>
      <c r="BV130" s="172"/>
      <c r="BW130" s="172"/>
      <c r="BX130" s="172"/>
      <c r="BY130" s="172"/>
      <c r="BZ130" s="172"/>
      <c r="CA130" s="172"/>
      <c r="CB130" s="172"/>
      <c r="CC130" s="172"/>
      <c r="CD130" s="172"/>
      <c r="CE130" s="172"/>
      <c r="CF130" s="172"/>
      <c r="CG130" s="172"/>
      <c r="CH130" s="172"/>
      <c r="CI130" s="172"/>
      <c r="CJ130" s="172"/>
      <c r="CK130" s="172"/>
      <c r="CL130" s="172"/>
      <c r="CM130" s="172"/>
      <c r="CN130" s="172"/>
      <c r="CO130" s="172"/>
      <c r="CP130" s="172"/>
      <c r="CQ130" s="172"/>
      <c r="CR130" s="172"/>
      <c r="CS130" s="172"/>
      <c r="CT130" s="172"/>
      <c r="CU130" s="172"/>
      <c r="CV130" s="172"/>
      <c r="CW130" s="172"/>
      <c r="CX130" s="172"/>
      <c r="CY130" s="172"/>
      <c r="CZ130" s="172"/>
      <c r="DA130" s="172"/>
      <c r="DB130" s="172"/>
      <c r="DC130" s="172"/>
      <c r="DD130" s="172"/>
      <c r="DE130" s="172"/>
      <c r="DF130" s="172"/>
      <c r="DG130" s="172"/>
      <c r="DH130" s="172"/>
      <c r="DI130" s="172"/>
      <c r="DJ130" s="172"/>
      <c r="DK130" s="172"/>
      <c r="DL130" s="172"/>
      <c r="DM130" s="172"/>
      <c r="DN130" s="172"/>
      <c r="DO130" s="172"/>
      <c r="DP130" s="172"/>
      <c r="DQ130" s="172"/>
      <c r="DR130" s="172"/>
      <c r="DS130" s="172"/>
      <c r="DT130" s="172"/>
      <c r="DU130" s="172"/>
      <c r="DV130" s="172"/>
      <c r="DW130" s="172"/>
      <c r="DX130" s="172"/>
      <c r="DY130" s="172"/>
      <c r="DZ130" s="172"/>
      <c r="EA130" s="172"/>
      <c r="EB130" s="172"/>
      <c r="EC130" s="172"/>
      <c r="ED130" s="172"/>
      <c r="EE130" s="172"/>
      <c r="EF130" s="172"/>
      <c r="EG130" s="172"/>
      <c r="EH130" s="172"/>
      <c r="EI130" s="172"/>
      <c r="EJ130" s="172"/>
      <c r="EK130" s="172"/>
      <c r="EL130" s="172"/>
      <c r="EM130" s="172"/>
      <c r="EN130" s="172"/>
      <c r="EO130" s="172"/>
      <c r="EP130" s="172"/>
      <c r="EQ130" s="172"/>
      <c r="ER130" s="172"/>
      <c r="ES130" s="172"/>
      <c r="ET130" s="172"/>
      <c r="EU130" s="172"/>
      <c r="EV130" s="172"/>
      <c r="EW130" s="172"/>
      <c r="EX130" s="172"/>
      <c r="EY130" s="172"/>
      <c r="EZ130" s="172"/>
      <c r="FA130" s="172"/>
      <c r="FB130" s="172"/>
      <c r="FC130" s="172"/>
      <c r="FD130" s="172"/>
      <c r="FE130" s="172"/>
      <c r="FF130" s="172"/>
      <c r="FG130" s="172"/>
      <c r="FH130" s="172"/>
      <c r="FI130" s="172"/>
      <c r="FJ130" s="172"/>
      <c r="FK130" s="172"/>
      <c r="FL130" s="172"/>
      <c r="FM130" s="172"/>
      <c r="FN130" s="172"/>
      <c r="FO130" s="172"/>
      <c r="FP130" s="172"/>
      <c r="FQ130" s="172"/>
      <c r="FR130" s="172"/>
      <c r="FS130" s="172"/>
      <c r="FT130" s="172"/>
      <c r="FU130" s="172"/>
      <c r="FV130" s="172"/>
      <c r="FW130" s="172"/>
      <c r="FX130" s="172"/>
      <c r="FY130" s="172"/>
      <c r="FZ130" s="172"/>
      <c r="GA130" s="172"/>
      <c r="GB130" s="172"/>
      <c r="GC130" s="172"/>
      <c r="GD130" s="172"/>
      <c r="GE130" s="172"/>
      <c r="GF130" s="172"/>
      <c r="GG130" s="172"/>
      <c r="GH130" s="172"/>
      <c r="GI130" s="172"/>
      <c r="GJ130" s="172"/>
      <c r="GK130" s="172"/>
      <c r="GL130" s="172"/>
      <c r="GM130" s="172"/>
      <c r="GN130" s="172"/>
      <c r="GO130" s="172"/>
      <c r="GP130" s="172"/>
      <c r="GQ130" s="172"/>
      <c r="GR130" s="172"/>
      <c r="GS130" s="172"/>
      <c r="GT130" s="172"/>
      <c r="GU130" s="172"/>
      <c r="GV130" s="172"/>
      <c r="GW130" s="172"/>
      <c r="GX130" s="172"/>
      <c r="GY130" s="172"/>
      <c r="GZ130" s="172"/>
      <c r="HA130" s="172"/>
      <c r="HB130" s="172"/>
      <c r="HC130" s="172"/>
      <c r="HD130" s="172"/>
      <c r="HE130" s="172"/>
      <c r="HF130" s="172"/>
      <c r="HG130" s="172"/>
      <c r="HH130" s="172"/>
      <c r="HI130" s="172"/>
      <c r="HJ130" s="172"/>
      <c r="HK130" s="172"/>
      <c r="HL130" s="172"/>
      <c r="HM130" s="172"/>
      <c r="HN130" s="172"/>
      <c r="HO130" s="172"/>
      <c r="HP130" s="172"/>
      <c r="HQ130" s="172"/>
      <c r="HR130" s="172"/>
      <c r="HS130" s="172"/>
      <c r="HT130" s="172"/>
      <c r="HU130" s="172"/>
      <c r="HV130" s="172"/>
      <c r="HW130" s="172"/>
      <c r="HX130" s="172"/>
      <c r="HY130" s="172"/>
      <c r="HZ130" s="172"/>
      <c r="IA130" s="172"/>
      <c r="IB130" s="172"/>
      <c r="IC130" s="172"/>
      <c r="ID130" s="172"/>
      <c r="IE130" s="172"/>
      <c r="IF130" s="172"/>
      <c r="IG130" s="172"/>
      <c r="IH130" s="172"/>
      <c r="II130" s="172"/>
      <c r="IJ130" s="172"/>
      <c r="IK130" s="172"/>
      <c r="IL130" s="172"/>
      <c r="IM130" s="172"/>
      <c r="IN130" s="172"/>
      <c r="IO130" s="172"/>
      <c r="IP130" s="172"/>
      <c r="IQ130" s="172"/>
      <c r="IR130" s="172"/>
      <c r="IS130" s="172"/>
      <c r="IT130" s="172"/>
      <c r="IU130" s="172"/>
      <c r="IV130" s="172"/>
      <c r="IW130" s="172"/>
      <c r="IX130" s="172"/>
      <c r="IY130" s="172"/>
      <c r="IZ130" s="172"/>
      <c r="JA130" s="172"/>
      <c r="JB130" s="172"/>
      <c r="JC130" s="172"/>
      <c r="JD130" s="172"/>
      <c r="JE130" s="172"/>
      <c r="JF130" s="172"/>
      <c r="JG130" s="172"/>
      <c r="JH130" s="172"/>
      <c r="JI130" s="172"/>
      <c r="JJ130" s="172"/>
      <c r="JK130" s="172"/>
      <c r="JL130" s="172"/>
      <c r="JM130" s="172"/>
      <c r="JN130" s="172"/>
      <c r="JO130" s="172"/>
      <c r="JP130" s="172"/>
      <c r="JQ130" s="172"/>
      <c r="JR130" s="172"/>
      <c r="JS130" s="172"/>
      <c r="JT130" s="172"/>
      <c r="JU130" s="172"/>
      <c r="JV130" s="172"/>
      <c r="JW130" s="172"/>
      <c r="JX130" s="172"/>
      <c r="JY130" s="172"/>
      <c r="JZ130" s="172"/>
      <c r="KA130" s="172"/>
      <c r="KB130" s="172"/>
      <c r="KC130" s="172"/>
      <c r="KD130" s="172"/>
      <c r="KE130" s="172"/>
      <c r="KF130" s="172"/>
      <c r="KG130" s="172"/>
      <c r="KH130" s="172"/>
      <c r="KI130" s="172"/>
      <c r="KJ130" s="172"/>
      <c r="KK130" s="172"/>
      <c r="KL130" s="172"/>
      <c r="KM130" s="172"/>
      <c r="KN130" s="172"/>
      <c r="KO130" s="172"/>
      <c r="KP130" s="172"/>
      <c r="KQ130" s="172"/>
      <c r="KR130" s="172"/>
      <c r="KS130" s="172"/>
      <c r="KT130" s="172"/>
      <c r="KU130" s="172"/>
      <c r="KV130" s="172"/>
      <c r="KW130" s="172"/>
      <c r="KX130" s="172"/>
      <c r="KY130" s="172"/>
      <c r="KZ130" s="172"/>
      <c r="LA130" s="172"/>
      <c r="LB130" s="172"/>
      <c r="LC130" s="172"/>
      <c r="LD130" s="172"/>
      <c r="LE130" s="172"/>
      <c r="LF130" s="172"/>
      <c r="LG130" s="172"/>
      <c r="LH130" s="172"/>
      <c r="LI130" s="172"/>
      <c r="LJ130" s="172"/>
      <c r="LK130" s="172"/>
      <c r="LL130" s="172"/>
      <c r="LM130" s="172"/>
      <c r="LN130" s="172"/>
      <c r="LO130" s="172"/>
      <c r="LP130" s="172"/>
      <c r="LQ130" s="172"/>
      <c r="LR130" s="172"/>
      <c r="LS130" s="172"/>
      <c r="LT130" s="172"/>
      <c r="LU130" s="172"/>
      <c r="LV130" s="172"/>
      <c r="LW130" s="172"/>
      <c r="LX130" s="172"/>
      <c r="LY130" s="172"/>
      <c r="LZ130" s="172"/>
      <c r="MA130" s="172"/>
      <c r="MB130" s="172"/>
      <c r="MC130" s="172"/>
      <c r="MD130" s="172"/>
      <c r="ME130" s="172"/>
      <c r="MF130" s="172"/>
      <c r="MG130" s="172"/>
      <c r="MH130" s="172"/>
      <c r="MI130" s="172"/>
      <c r="MJ130" s="172"/>
      <c r="MK130" s="172"/>
      <c r="ML130" s="172"/>
      <c r="MM130" s="172"/>
      <c r="MN130" s="172"/>
      <c r="MO130" s="172"/>
      <c r="MP130" s="172"/>
      <c r="MQ130" s="172"/>
      <c r="MR130" s="172"/>
      <c r="MS130" s="172"/>
      <c r="MT130" s="172"/>
      <c r="MU130" s="172"/>
      <c r="MV130" s="172"/>
      <c r="MW130" s="172"/>
      <c r="MX130" s="172"/>
      <c r="MY130" s="172"/>
      <c r="MZ130" s="172"/>
      <c r="NA130" s="172"/>
      <c r="NB130" s="172"/>
      <c r="NC130" s="172"/>
      <c r="ND130" s="172"/>
      <c r="NE130" s="172"/>
      <c r="NF130" s="172"/>
      <c r="NG130" s="172"/>
      <c r="NH130" s="172"/>
      <c r="NI130" s="172"/>
      <c r="NJ130" s="172"/>
      <c r="NK130" s="172"/>
      <c r="NL130" s="172"/>
      <c r="NM130" s="172"/>
      <c r="NN130" s="172"/>
      <c r="NO130" s="172"/>
      <c r="NP130" s="172"/>
      <c r="NQ130" s="172"/>
      <c r="NR130" s="172"/>
      <c r="NS130" s="172"/>
      <c r="NT130" s="172"/>
      <c r="NU130" s="172"/>
      <c r="NV130" s="172"/>
      <c r="NW130" s="172"/>
      <c r="NX130" s="172"/>
      <c r="NY130" s="172"/>
      <c r="NZ130" s="172"/>
      <c r="OA130" s="172"/>
      <c r="OB130" s="172"/>
      <c r="OC130" s="172"/>
      <c r="OD130" s="172"/>
      <c r="OE130" s="172"/>
      <c r="OF130" s="172"/>
      <c r="OG130" s="172"/>
      <c r="OH130" s="172"/>
      <c r="OI130" s="172"/>
      <c r="OJ130" s="172"/>
      <c r="OK130" s="172"/>
      <c r="OL130" s="172"/>
      <c r="OM130" s="172"/>
      <c r="ON130" s="172"/>
      <c r="OO130" s="172"/>
      <c r="OP130" s="172"/>
      <c r="OQ130" s="172"/>
      <c r="OR130" s="172"/>
      <c r="OS130" s="172"/>
      <c r="OT130" s="172"/>
      <c r="OU130" s="172"/>
      <c r="OV130" s="172"/>
      <c r="OW130" s="172"/>
      <c r="OX130" s="172"/>
      <c r="OY130" s="172"/>
      <c r="OZ130" s="172"/>
      <c r="PA130" s="172"/>
      <c r="PB130" s="172"/>
      <c r="PC130" s="172"/>
      <c r="PD130" s="172"/>
      <c r="PE130" s="172"/>
      <c r="PF130" s="172"/>
      <c r="PG130" s="172"/>
      <c r="PH130" s="172"/>
      <c r="PI130" s="172"/>
      <c r="PJ130" s="172"/>
      <c r="PK130" s="172"/>
      <c r="PL130" s="172"/>
      <c r="PM130" s="172"/>
      <c r="PN130" s="172"/>
      <c r="PO130" s="172"/>
      <c r="PP130" s="172"/>
      <c r="PQ130" s="172"/>
      <c r="PR130" s="172"/>
      <c r="PS130" s="172"/>
      <c r="PT130" s="172"/>
      <c r="PU130" s="172"/>
      <c r="PV130" s="172"/>
      <c r="PW130" s="172"/>
      <c r="PX130" s="172"/>
      <c r="PY130" s="172"/>
      <c r="PZ130" s="172"/>
      <c r="QA130" s="172"/>
      <c r="QB130" s="172"/>
      <c r="QC130" s="172"/>
      <c r="QD130" s="172"/>
      <c r="QE130" s="172"/>
      <c r="QF130" s="172"/>
      <c r="QG130" s="172"/>
      <c r="QH130" s="172"/>
      <c r="QI130" s="172"/>
      <c r="QJ130" s="172"/>
      <c r="QK130" s="172"/>
      <c r="QL130" s="172"/>
      <c r="QM130" s="172"/>
      <c r="QN130" s="172"/>
      <c r="QO130" s="172"/>
      <c r="QP130" s="172"/>
      <c r="QQ130" s="172"/>
      <c r="QR130" s="172"/>
      <c r="QS130" s="172"/>
      <c r="QT130" s="172"/>
      <c r="QU130" s="172"/>
      <c r="QV130" s="172"/>
      <c r="QW130" s="172"/>
      <c r="QX130" s="172"/>
      <c r="QY130" s="172"/>
      <c r="QZ130" s="172"/>
      <c r="RA130" s="172"/>
      <c r="RB130" s="172"/>
      <c r="RC130" s="172"/>
      <c r="RD130" s="172"/>
      <c r="RE130" s="172"/>
      <c r="RF130" s="172"/>
      <c r="RG130" s="172"/>
      <c r="RH130" s="172"/>
      <c r="RI130" s="172"/>
      <c r="RJ130" s="172"/>
      <c r="RK130" s="172"/>
      <c r="RL130" s="172"/>
      <c r="RM130" s="172"/>
      <c r="RN130" s="172"/>
      <c r="RO130" s="172"/>
      <c r="RP130" s="172"/>
      <c r="RQ130" s="172"/>
      <c r="RR130" s="172"/>
      <c r="RS130" s="172"/>
      <c r="RT130" s="172"/>
      <c r="RU130" s="172"/>
      <c r="RV130" s="172"/>
      <c r="RW130" s="172"/>
      <c r="RX130" s="172"/>
      <c r="RY130" s="172"/>
      <c r="RZ130" s="172"/>
      <c r="SA130" s="172"/>
      <c r="SB130" s="172"/>
      <c r="SC130" s="172"/>
      <c r="SD130" s="172"/>
      <c r="SE130" s="172"/>
      <c r="SF130" s="172"/>
      <c r="SG130" s="172"/>
      <c r="SH130" s="172"/>
      <c r="SI130" s="172"/>
      <c r="SJ130" s="172"/>
      <c r="SK130" s="172"/>
      <c r="SL130" s="172"/>
      <c r="SM130" s="172"/>
      <c r="SN130" s="172"/>
      <c r="SO130" s="172"/>
      <c r="SP130" s="172"/>
      <c r="SQ130" s="172"/>
      <c r="SR130" s="172"/>
      <c r="SS130" s="172"/>
      <c r="ST130" s="172"/>
      <c r="SU130" s="172"/>
      <c r="SV130" s="172"/>
      <c r="SW130" s="172"/>
      <c r="SX130" s="172"/>
      <c r="SY130" s="172"/>
      <c r="SZ130" s="172"/>
      <c r="TA130" s="172"/>
      <c r="TB130" s="172"/>
      <c r="TC130" s="172"/>
      <c r="TD130" s="172"/>
      <c r="TE130" s="172"/>
      <c r="TF130" s="172"/>
      <c r="TG130" s="172"/>
      <c r="TH130" s="172"/>
      <c r="TI130" s="172"/>
      <c r="TJ130" s="172"/>
      <c r="TK130" s="172"/>
      <c r="TL130" s="172"/>
      <c r="TM130" s="172"/>
      <c r="TN130" s="172"/>
      <c r="TO130" s="172"/>
      <c r="TP130" s="172"/>
      <c r="TQ130" s="172"/>
      <c r="TR130" s="172"/>
      <c r="TS130" s="172"/>
      <c r="TT130" s="172"/>
      <c r="TU130" s="172"/>
      <c r="TV130" s="172"/>
      <c r="TW130" s="172"/>
      <c r="TX130" s="172"/>
      <c r="TY130" s="172"/>
      <c r="TZ130" s="172"/>
      <c r="UA130" s="172"/>
      <c r="UB130" s="172"/>
      <c r="UC130" s="172"/>
      <c r="UD130" s="172"/>
      <c r="UE130" s="172"/>
      <c r="UF130" s="172"/>
      <c r="UG130" s="172"/>
      <c r="UH130" s="172"/>
      <c r="UI130" s="172"/>
      <c r="UJ130" s="172"/>
      <c r="UK130" s="172"/>
      <c r="UL130" s="172"/>
      <c r="UM130" s="172"/>
      <c r="UN130" s="172"/>
      <c r="UO130" s="172"/>
      <c r="UP130" s="172"/>
      <c r="UQ130" s="172"/>
      <c r="UR130" s="172"/>
      <c r="US130" s="172"/>
      <c r="UT130" s="172"/>
      <c r="UU130" s="172"/>
      <c r="UV130" s="172"/>
      <c r="UW130" s="172"/>
      <c r="UX130" s="172"/>
      <c r="UY130" s="172"/>
      <c r="UZ130" s="172"/>
      <c r="VA130" s="172"/>
      <c r="VB130" s="172"/>
      <c r="VC130" s="172"/>
      <c r="VD130" s="172"/>
      <c r="VE130" s="172"/>
      <c r="VF130" s="172"/>
      <c r="VG130" s="172"/>
      <c r="VH130" s="172"/>
      <c r="VI130" s="172"/>
      <c r="VJ130" s="172"/>
      <c r="VK130" s="172"/>
      <c r="VL130" s="172"/>
      <c r="VM130" s="172"/>
      <c r="VN130" s="172"/>
      <c r="VO130" s="172"/>
      <c r="VP130" s="172"/>
      <c r="VQ130" s="172"/>
      <c r="VR130" s="172"/>
      <c r="VS130" s="172"/>
      <c r="VT130" s="172"/>
      <c r="VU130" s="172"/>
      <c r="VV130" s="172"/>
      <c r="VW130" s="172"/>
      <c r="VX130" s="172"/>
      <c r="VY130" s="172"/>
      <c r="VZ130" s="172"/>
      <c r="WA130" s="172"/>
      <c r="WB130" s="172"/>
      <c r="WC130" s="172"/>
      <c r="WD130" s="172"/>
      <c r="WE130" s="172"/>
      <c r="WF130" s="172"/>
      <c r="WG130" s="172"/>
      <c r="WH130" s="172"/>
      <c r="WI130" s="172"/>
      <c r="WJ130" s="172"/>
      <c r="WK130" s="172"/>
      <c r="WL130" s="172"/>
      <c r="WM130" s="172"/>
      <c r="WN130" s="172"/>
      <c r="WO130" s="172"/>
      <c r="WP130" s="172"/>
      <c r="WQ130" s="172"/>
      <c r="WR130" s="172"/>
      <c r="WS130" s="172"/>
      <c r="WT130" s="172"/>
      <c r="WU130" s="172"/>
      <c r="WV130" s="172"/>
      <c r="WW130" s="172"/>
      <c r="WX130" s="172"/>
      <c r="WY130" s="172"/>
      <c r="WZ130" s="172"/>
      <c r="XA130" s="172"/>
      <c r="XB130" s="172"/>
      <c r="XC130" s="172"/>
      <c r="XD130" s="172"/>
      <c r="XE130" s="172"/>
      <c r="XF130" s="172"/>
      <c r="XG130" s="172"/>
      <c r="XH130" s="172"/>
      <c r="XI130" s="172"/>
      <c r="XJ130" s="172"/>
      <c r="XK130" s="172"/>
      <c r="XL130" s="172"/>
      <c r="XM130" s="172"/>
      <c r="XN130" s="172"/>
      <c r="XO130" s="172"/>
      <c r="XP130" s="172"/>
      <c r="XQ130" s="172"/>
      <c r="XR130" s="172"/>
      <c r="XS130" s="172"/>
      <c r="XT130" s="172"/>
      <c r="XU130" s="172"/>
      <c r="XV130" s="172"/>
      <c r="XW130" s="172"/>
      <c r="XX130" s="172"/>
      <c r="XY130" s="172"/>
      <c r="XZ130" s="172"/>
      <c r="YA130" s="172"/>
      <c r="YB130" s="172"/>
      <c r="YC130" s="172"/>
      <c r="YD130" s="172"/>
      <c r="YE130" s="172"/>
      <c r="YF130" s="172"/>
      <c r="YG130" s="172"/>
      <c r="YH130" s="172"/>
      <c r="YI130" s="172"/>
      <c r="YJ130" s="172"/>
      <c r="YK130" s="172"/>
      <c r="YL130" s="172"/>
      <c r="YM130" s="172"/>
      <c r="YN130" s="172"/>
      <c r="YO130" s="172"/>
      <c r="YP130" s="172"/>
      <c r="YQ130" s="172"/>
      <c r="YR130" s="172"/>
      <c r="YS130" s="172"/>
      <c r="YT130" s="172"/>
      <c r="YU130" s="172"/>
      <c r="YV130" s="172"/>
      <c r="YW130" s="172"/>
      <c r="YX130" s="172"/>
      <c r="YY130" s="172"/>
      <c r="YZ130" s="172"/>
      <c r="ZA130" s="172"/>
      <c r="ZB130" s="172"/>
      <c r="ZC130" s="172"/>
      <c r="ZD130" s="172"/>
      <c r="ZE130" s="172"/>
      <c r="ZF130" s="172"/>
      <c r="ZG130" s="172"/>
      <c r="ZH130" s="172"/>
      <c r="ZI130" s="172"/>
      <c r="ZJ130" s="172"/>
      <c r="ZK130" s="172"/>
      <c r="ZL130" s="172"/>
      <c r="ZM130" s="172"/>
      <c r="ZN130" s="172"/>
      <c r="ZO130" s="172"/>
      <c r="ZP130" s="172"/>
      <c r="ZQ130" s="172"/>
      <c r="ZR130" s="172"/>
      <c r="ZS130" s="172"/>
      <c r="ZT130" s="172"/>
      <c r="ZU130" s="172"/>
      <c r="ZV130" s="172"/>
      <c r="ZW130" s="172"/>
      <c r="ZX130" s="172"/>
      <c r="ZY130" s="172"/>
      <c r="ZZ130" s="172"/>
      <c r="AAA130" s="172"/>
      <c r="AAB130" s="172"/>
      <c r="AAC130" s="172"/>
      <c r="AAD130" s="172"/>
      <c r="AAE130" s="172"/>
      <c r="AAF130" s="172"/>
      <c r="AAG130" s="172"/>
      <c r="AAH130" s="172"/>
      <c r="AAI130" s="172"/>
      <c r="AAJ130" s="172"/>
      <c r="AAK130" s="172"/>
      <c r="AAL130" s="172"/>
      <c r="AAM130" s="172"/>
      <c r="AAN130" s="172"/>
      <c r="AAO130" s="172"/>
      <c r="AAP130" s="172"/>
      <c r="AAQ130" s="172"/>
      <c r="AAR130" s="172"/>
      <c r="AAS130" s="172"/>
      <c r="AAT130" s="172"/>
      <c r="AAU130" s="172"/>
      <c r="AAV130" s="172"/>
      <c r="AAW130" s="172"/>
      <c r="AAX130" s="172"/>
      <c r="AAY130" s="172"/>
      <c r="AAZ130" s="172"/>
      <c r="ABA130" s="172"/>
      <c r="ABB130" s="172"/>
      <c r="ABC130" s="172"/>
      <c r="ABD130" s="172"/>
      <c r="ABE130" s="172"/>
      <c r="ABF130" s="172"/>
      <c r="ABG130" s="172"/>
      <c r="ABH130" s="172"/>
      <c r="ABI130" s="172"/>
      <c r="ABJ130" s="172"/>
      <c r="ABK130" s="172"/>
      <c r="ABL130" s="172"/>
      <c r="ABM130" s="172"/>
      <c r="ABN130" s="172"/>
      <c r="ABO130" s="172"/>
      <c r="ABP130" s="172"/>
      <c r="ABQ130" s="172"/>
      <c r="ABR130" s="172"/>
      <c r="ABS130" s="172"/>
      <c r="ABT130" s="172"/>
      <c r="ABU130" s="172"/>
      <c r="ABV130" s="172"/>
      <c r="ABW130" s="172"/>
      <c r="ABX130" s="172"/>
      <c r="ABY130" s="172"/>
      <c r="ABZ130" s="172"/>
      <c r="ACA130" s="172"/>
      <c r="ACB130" s="172"/>
      <c r="ACC130" s="172"/>
      <c r="ACD130" s="172"/>
      <c r="ACE130" s="172"/>
      <c r="ACF130" s="172"/>
      <c r="ACG130" s="172"/>
      <c r="ACH130" s="172"/>
      <c r="ACI130" s="172"/>
      <c r="ACJ130" s="172"/>
      <c r="ACK130" s="172"/>
      <c r="ACL130" s="172"/>
      <c r="ACM130" s="172"/>
      <c r="ACN130" s="172"/>
      <c r="ACO130" s="172"/>
      <c r="ACP130" s="172"/>
      <c r="ACQ130" s="172"/>
      <c r="ACR130" s="172"/>
      <c r="ACS130" s="172"/>
      <c r="ACT130" s="172"/>
      <c r="ACU130" s="172"/>
      <c r="ACV130" s="172"/>
      <c r="ACW130" s="172"/>
      <c r="ACX130" s="172"/>
      <c r="ACY130" s="172"/>
      <c r="ACZ130" s="172"/>
      <c r="ADA130" s="172"/>
      <c r="ADB130" s="172"/>
      <c r="ADC130" s="172"/>
      <c r="ADD130" s="172"/>
      <c r="ADE130" s="172"/>
      <c r="ADF130" s="172"/>
      <c r="ADG130" s="172"/>
      <c r="ADH130" s="172"/>
      <c r="ADI130" s="172"/>
      <c r="ADJ130" s="172"/>
      <c r="ADK130" s="172"/>
      <c r="ADL130" s="172"/>
      <c r="ADM130" s="172"/>
      <c r="ADN130" s="172"/>
      <c r="ADO130" s="172"/>
      <c r="ADP130" s="172"/>
      <c r="ADQ130" s="172"/>
      <c r="ADR130" s="172"/>
      <c r="ADS130" s="172"/>
      <c r="ADT130" s="172"/>
      <c r="ADU130" s="172"/>
      <c r="ADV130" s="172"/>
      <c r="ADW130" s="172"/>
      <c r="ADX130" s="172"/>
      <c r="ADY130" s="172"/>
      <c r="ADZ130" s="172"/>
      <c r="AEA130" s="172"/>
      <c r="AEB130" s="172"/>
      <c r="AEC130" s="172"/>
      <c r="AED130" s="172"/>
      <c r="AEE130" s="172"/>
      <c r="AEF130" s="172"/>
      <c r="AEG130" s="172"/>
      <c r="AEH130" s="172"/>
      <c r="AEI130" s="172"/>
      <c r="AEJ130" s="172"/>
      <c r="AEK130" s="172"/>
      <c r="AEL130" s="172"/>
      <c r="AEM130" s="172"/>
      <c r="AEN130" s="172"/>
      <c r="AEO130" s="172"/>
      <c r="AEP130" s="172"/>
      <c r="AEQ130" s="172"/>
      <c r="AER130" s="172"/>
      <c r="AES130" s="172"/>
      <c r="AET130" s="172"/>
      <c r="AEU130" s="172"/>
      <c r="AEV130" s="172"/>
      <c r="AEW130" s="172"/>
      <c r="AEX130" s="172"/>
      <c r="AEY130" s="172"/>
      <c r="AEZ130" s="172"/>
      <c r="AFA130" s="172"/>
      <c r="AFB130" s="172"/>
      <c r="AFC130" s="172"/>
      <c r="AFD130" s="172"/>
      <c r="AFE130" s="172"/>
      <c r="AFF130" s="172"/>
      <c r="AFG130" s="172"/>
      <c r="AFH130" s="172"/>
      <c r="AFI130" s="172"/>
      <c r="AFJ130" s="172"/>
      <c r="AFK130" s="172"/>
      <c r="AFL130" s="172"/>
      <c r="AFM130" s="172"/>
      <c r="AFN130" s="172"/>
      <c r="AFO130" s="172"/>
      <c r="AFP130" s="172"/>
      <c r="AFQ130" s="172"/>
      <c r="AFR130" s="172"/>
      <c r="AFS130" s="172"/>
      <c r="AFT130" s="172"/>
      <c r="AFU130" s="172"/>
      <c r="AFV130" s="172"/>
      <c r="AFW130" s="172"/>
      <c r="AFX130" s="172"/>
      <c r="AFY130" s="172"/>
      <c r="AFZ130" s="172"/>
      <c r="AGA130" s="172"/>
      <c r="AGB130" s="172"/>
      <c r="AGC130" s="172"/>
      <c r="AGD130" s="172"/>
      <c r="AGE130" s="172"/>
      <c r="AGF130" s="172"/>
      <c r="AGG130" s="172"/>
      <c r="AGH130" s="172"/>
      <c r="AGI130" s="172"/>
      <c r="AGJ130" s="172"/>
      <c r="AGK130" s="172"/>
      <c r="AGL130" s="172"/>
      <c r="AGM130" s="172"/>
      <c r="AGN130" s="172"/>
      <c r="AGO130" s="172"/>
      <c r="AGP130" s="172"/>
      <c r="AGQ130" s="172"/>
      <c r="AGR130" s="172"/>
      <c r="AGS130" s="172"/>
      <c r="AGT130" s="172"/>
      <c r="AGU130" s="172"/>
      <c r="AGV130" s="172"/>
      <c r="AGW130" s="172"/>
      <c r="AGX130" s="172"/>
      <c r="AGY130" s="172"/>
      <c r="AGZ130" s="172"/>
      <c r="AHA130" s="172"/>
      <c r="AHB130" s="172"/>
      <c r="AHC130" s="172"/>
      <c r="AHD130" s="172"/>
      <c r="AHE130" s="172"/>
      <c r="AHF130" s="172"/>
      <c r="AHG130" s="172"/>
      <c r="AHH130" s="172"/>
      <c r="AHI130" s="172"/>
      <c r="AHJ130" s="172"/>
      <c r="AHK130" s="172"/>
      <c r="AHL130" s="172"/>
      <c r="AHM130" s="172"/>
      <c r="AHN130" s="172"/>
      <c r="AHO130" s="172"/>
      <c r="AHP130" s="172"/>
      <c r="AHQ130" s="172"/>
      <c r="AHR130" s="172"/>
      <c r="AHS130" s="172"/>
      <c r="AHT130" s="172"/>
      <c r="AHU130" s="172"/>
      <c r="AHV130" s="172"/>
      <c r="AHW130" s="172"/>
      <c r="AHX130" s="172"/>
      <c r="AHY130" s="172"/>
      <c r="AHZ130" s="172"/>
      <c r="AIA130" s="172"/>
      <c r="AIB130" s="172"/>
      <c r="AIC130" s="172"/>
      <c r="AID130" s="172"/>
      <c r="AIE130" s="172"/>
      <c r="AIF130" s="172"/>
      <c r="AIG130" s="172"/>
      <c r="AIH130" s="172"/>
      <c r="AII130" s="172"/>
      <c r="AIJ130" s="172"/>
      <c r="AIK130" s="172"/>
      <c r="AIL130" s="172"/>
      <c r="AIM130" s="172"/>
      <c r="AIN130" s="172"/>
      <c r="AIO130" s="172"/>
      <c r="AIP130" s="172"/>
      <c r="AIQ130" s="172"/>
      <c r="AIR130" s="172"/>
      <c r="AIS130" s="172"/>
      <c r="AIT130" s="172"/>
      <c r="AIU130" s="172"/>
      <c r="AIV130" s="172"/>
      <c r="AIW130" s="172"/>
      <c r="AIX130" s="172"/>
      <c r="AIY130" s="172"/>
      <c r="AIZ130" s="172"/>
      <c r="AJA130" s="172"/>
      <c r="AJB130" s="172"/>
      <c r="AJC130" s="172"/>
      <c r="AJD130" s="172"/>
      <c r="AJE130" s="172"/>
      <c r="AJF130" s="172"/>
      <c r="AJG130" s="172"/>
      <c r="AJH130" s="172"/>
      <c r="AJI130" s="172"/>
      <c r="AJJ130" s="172"/>
      <c r="AJK130" s="172"/>
      <c r="AJL130" s="172"/>
      <c r="AJM130" s="172"/>
      <c r="AJN130" s="172"/>
      <c r="AJO130" s="172"/>
      <c r="AJP130" s="172"/>
      <c r="AJQ130" s="172"/>
      <c r="AJR130" s="172"/>
      <c r="AJS130" s="172"/>
      <c r="AJT130" s="172"/>
      <c r="AJU130" s="172"/>
      <c r="AJV130" s="172"/>
      <c r="AJW130" s="172"/>
      <c r="AJX130" s="172"/>
      <c r="AJY130" s="172"/>
      <c r="AJZ130" s="172"/>
      <c r="AKA130" s="172"/>
      <c r="AKB130" s="172"/>
      <c r="AKC130" s="172"/>
      <c r="AKD130" s="172"/>
      <c r="AKE130" s="172"/>
      <c r="AKF130" s="172"/>
      <c r="AKG130" s="172"/>
      <c r="AKH130" s="172"/>
      <c r="AKI130" s="172"/>
      <c r="AKJ130" s="172"/>
      <c r="AKK130" s="172"/>
      <c r="AKL130" s="172"/>
      <c r="AKM130" s="172"/>
      <c r="AKN130" s="172"/>
      <c r="AKO130" s="172"/>
      <c r="AKP130" s="172"/>
      <c r="AKQ130" s="172"/>
      <c r="AKR130" s="172"/>
      <c r="AKS130" s="172"/>
      <c r="AKT130" s="172"/>
      <c r="AKU130" s="172"/>
      <c r="AKV130" s="172"/>
      <c r="AKW130" s="172"/>
      <c r="AKX130" s="172"/>
      <c r="AKY130" s="172"/>
      <c r="AKZ130" s="172"/>
      <c r="ALA130" s="172"/>
      <c r="ALB130" s="172"/>
      <c r="ALC130" s="172"/>
      <c r="ALD130" s="172"/>
      <c r="ALE130" s="172"/>
      <c r="ALF130" s="172"/>
      <c r="ALG130" s="172"/>
      <c r="ALH130" s="172"/>
      <c r="ALI130" s="172"/>
      <c r="ALJ130" s="172"/>
      <c r="ALK130" s="172"/>
      <c r="ALL130" s="172"/>
      <c r="ALM130" s="172"/>
      <c r="ALN130" s="172"/>
      <c r="ALO130" s="172"/>
      <c r="ALP130" s="172"/>
      <c r="ALQ130" s="172"/>
      <c r="ALR130" s="172"/>
      <c r="ALS130" s="172"/>
      <c r="ALT130" s="172"/>
      <c r="ALU130" s="172"/>
      <c r="ALV130" s="172"/>
      <c r="ALW130" s="172"/>
      <c r="ALX130" s="172"/>
      <c r="ALY130" s="172"/>
      <c r="ALZ130" s="172"/>
      <c r="AMA130" s="172"/>
      <c r="AMB130" s="172"/>
      <c r="AMC130" s="172"/>
      <c r="AMD130" s="172"/>
      <c r="AME130" s="172"/>
      <c r="AMF130" s="172"/>
      <c r="AMG130" s="172"/>
      <c r="AMH130" s="172"/>
      <c r="AMI130" s="172"/>
      <c r="AMJ130" s="172"/>
      <c r="AMK130" s="172"/>
      <c r="AML130" s="172"/>
      <c r="AMM130" s="172"/>
      <c r="AMN130" s="172"/>
      <c r="AMO130" s="172"/>
      <c r="AMP130" s="172"/>
      <c r="AMQ130" s="172"/>
      <c r="AMR130" s="172"/>
      <c r="AMS130" s="172"/>
      <c r="AMT130" s="172"/>
      <c r="AMU130" s="172"/>
      <c r="AMV130" s="172"/>
      <c r="AMW130" s="172"/>
      <c r="AMX130" s="172"/>
      <c r="AMY130" s="172"/>
      <c r="AMZ130" s="172"/>
      <c r="ANA130" s="172"/>
      <c r="ANB130" s="172"/>
      <c r="ANC130" s="172"/>
      <c r="AND130" s="172"/>
      <c r="ANE130" s="172"/>
      <c r="ANF130" s="172"/>
      <c r="ANG130" s="172"/>
      <c r="ANH130" s="172"/>
      <c r="ANI130" s="172"/>
      <c r="ANJ130" s="172"/>
      <c r="ANK130" s="172"/>
      <c r="ANL130" s="172"/>
      <c r="ANM130" s="172"/>
      <c r="ANN130" s="172"/>
      <c r="ANO130" s="172"/>
      <c r="ANP130" s="172"/>
      <c r="ANQ130" s="172"/>
      <c r="ANR130" s="172"/>
      <c r="ANS130" s="172"/>
      <c r="ANT130" s="172"/>
      <c r="ANU130" s="172"/>
      <c r="ANV130" s="172"/>
      <c r="ANW130" s="172"/>
      <c r="ANX130" s="172"/>
      <c r="ANY130" s="172"/>
      <c r="ANZ130" s="172"/>
      <c r="AOA130" s="172"/>
      <c r="AOB130" s="172"/>
      <c r="AOC130" s="172"/>
      <c r="AOD130" s="172"/>
      <c r="AOE130" s="172"/>
      <c r="AOF130" s="172"/>
      <c r="AOG130" s="172"/>
      <c r="AOH130" s="172"/>
      <c r="AOI130" s="172"/>
      <c r="AOJ130" s="172"/>
      <c r="AOK130" s="172"/>
      <c r="AOL130" s="172"/>
      <c r="AOM130" s="172"/>
      <c r="AON130" s="172"/>
      <c r="AOO130" s="172"/>
      <c r="AOP130" s="172"/>
      <c r="AOQ130" s="172"/>
      <c r="AOR130" s="172"/>
      <c r="AOS130" s="172"/>
      <c r="AOT130" s="172"/>
      <c r="AOU130" s="172"/>
      <c r="AOV130" s="172"/>
      <c r="AOW130" s="172"/>
      <c r="AOX130" s="172"/>
      <c r="AOY130" s="172"/>
      <c r="AOZ130" s="172"/>
      <c r="APA130" s="172"/>
      <c r="APB130" s="172"/>
      <c r="APC130" s="172"/>
      <c r="APD130" s="172"/>
      <c r="APE130" s="172"/>
      <c r="APF130" s="172"/>
      <c r="APG130" s="172"/>
      <c r="APH130" s="172"/>
      <c r="API130" s="172"/>
      <c r="APJ130" s="172"/>
      <c r="APK130" s="172"/>
      <c r="APL130" s="172"/>
      <c r="APM130" s="172"/>
      <c r="APN130" s="172"/>
      <c r="APO130" s="172"/>
      <c r="APP130" s="172"/>
      <c r="APQ130" s="172"/>
      <c r="APR130" s="172"/>
      <c r="APS130" s="172"/>
      <c r="APT130" s="172"/>
      <c r="APU130" s="172"/>
      <c r="APV130" s="172"/>
      <c r="APW130" s="172"/>
      <c r="APX130" s="172"/>
      <c r="APY130" s="172"/>
      <c r="APZ130" s="172"/>
      <c r="AQA130" s="172"/>
      <c r="AQB130" s="172"/>
      <c r="AQC130" s="172"/>
      <c r="AQD130" s="172"/>
      <c r="AQE130" s="172"/>
      <c r="AQF130" s="172"/>
      <c r="AQG130" s="172"/>
      <c r="AQH130" s="172"/>
      <c r="AQI130" s="172"/>
      <c r="AQJ130" s="172"/>
      <c r="AQK130" s="172"/>
      <c r="AQL130" s="172"/>
      <c r="AQM130" s="172"/>
      <c r="AQN130" s="172"/>
      <c r="AQO130" s="172"/>
      <c r="AQP130" s="172"/>
      <c r="AQQ130" s="172"/>
      <c r="AQR130" s="172"/>
      <c r="AQS130" s="172"/>
      <c r="AQT130" s="172"/>
      <c r="AQU130" s="172"/>
      <c r="AQV130" s="172"/>
      <c r="AQW130" s="172"/>
      <c r="AQX130" s="172"/>
      <c r="AQY130" s="172"/>
      <c r="AQZ130" s="172"/>
      <c r="ARA130" s="172"/>
      <c r="ARB130" s="172"/>
      <c r="ARC130" s="172"/>
      <c r="ARD130" s="172"/>
      <c r="ARE130" s="172"/>
      <c r="ARF130" s="172"/>
      <c r="ARG130" s="172"/>
      <c r="ARH130" s="172"/>
      <c r="ARI130" s="172"/>
      <c r="ARJ130" s="172"/>
      <c r="ARK130" s="172"/>
      <c r="ARL130" s="172"/>
      <c r="ARM130" s="172"/>
      <c r="ARN130" s="172"/>
      <c r="ARO130" s="172"/>
      <c r="ARP130" s="172"/>
      <c r="ARQ130" s="172"/>
      <c r="ARR130" s="172"/>
      <c r="ARS130" s="172"/>
      <c r="ART130" s="172"/>
      <c r="ARU130" s="172"/>
    </row>
    <row r="131" spans="1:1165" s="257" customFormat="1">
      <c r="A131" s="220" t="s">
        <v>465</v>
      </c>
      <c r="B131" s="215"/>
      <c r="C131" s="284"/>
      <c r="D131" s="284">
        <f>SUM(D119:D130)</f>
        <v>454211784</v>
      </c>
      <c r="E131" s="284"/>
      <c r="F131" s="284">
        <f>SUM(F119:F130)</f>
        <v>82789210</v>
      </c>
      <c r="G131" s="284"/>
      <c r="H131" s="284">
        <f>SUM(H119:H130)</f>
        <v>72443151</v>
      </c>
      <c r="I131" s="284"/>
      <c r="J131" s="284">
        <f>SUM(J119:J130)</f>
        <v>95526935</v>
      </c>
      <c r="K131" s="284"/>
      <c r="L131" s="284">
        <f>SUM(L119:L130)</f>
        <v>83180846</v>
      </c>
      <c r="M131" s="284"/>
      <c r="N131" s="284">
        <f>SUM(N119:N130)</f>
        <v>124691229</v>
      </c>
      <c r="O131" s="284"/>
      <c r="P131" s="284">
        <f>SUM(P119:P130)</f>
        <v>150283108</v>
      </c>
      <c r="Q131" s="284"/>
      <c r="R131" s="284">
        <f>SUM(R119:R130)</f>
        <v>167609539</v>
      </c>
      <c r="S131" s="284"/>
      <c r="T131" s="284">
        <f>SUM(T119:T130)</f>
        <v>246536716</v>
      </c>
      <c r="U131" s="288"/>
      <c r="V131" s="288">
        <f>SUM(V119:V130)</f>
        <v>328540376</v>
      </c>
      <c r="W131" s="288"/>
      <c r="X131" s="284">
        <f>SUM(X119:X130)</f>
        <v>459377353</v>
      </c>
      <c r="Y131" s="288"/>
      <c r="Z131" s="284">
        <f>SUM(Z119:Z130)</f>
        <v>412437377</v>
      </c>
      <c r="AA131" s="288"/>
      <c r="AB131" s="302">
        <f>SUM(AB119:AB130)</f>
        <v>375589208</v>
      </c>
      <c r="AC131" s="258"/>
      <c r="AD131" s="258">
        <f>SUM(AD119:AD130)</f>
        <v>345949181</v>
      </c>
      <c r="AE131" s="288"/>
      <c r="AF131" s="302">
        <f>SUM(AF119:AF130)</f>
        <v>316511611</v>
      </c>
      <c r="AG131" s="288"/>
      <c r="AH131" s="288">
        <f>SUM(AH119:AH130)</f>
        <v>416283236</v>
      </c>
      <c r="AI131" s="288"/>
      <c r="AJ131" s="288">
        <f>SUM(AJ119:AJ130)</f>
        <v>548457010</v>
      </c>
      <c r="AK131" s="288"/>
      <c r="AL131" s="288">
        <v>598071319</v>
      </c>
      <c r="AM131" s="261"/>
      <c r="AN131" s="261">
        <f>SUM(AN119:AN130)</f>
        <v>633168239</v>
      </c>
      <c r="AO131" s="288"/>
      <c r="AP131" s="288">
        <f>SUM(AP119:AP130)</f>
        <v>697587673</v>
      </c>
      <c r="AQ131" s="288"/>
      <c r="AR131" s="288">
        <f>SUM(AR119:AR130)</f>
        <v>688489405.54850316</v>
      </c>
      <c r="AS131" s="288"/>
      <c r="AT131" s="288">
        <f>SUM(AT119:AT130)</f>
        <v>862927100.30203307</v>
      </c>
      <c r="AU131" s="288"/>
      <c r="AV131" s="302">
        <f>SUM(AV119:AV130)</f>
        <v>897379899.64841866</v>
      </c>
      <c r="AW131" s="284"/>
      <c r="AX131" s="284">
        <f>SUM(AX120:AX130)</f>
        <v>855873064</v>
      </c>
      <c r="AY131" s="258"/>
      <c r="AZ131" s="258">
        <f>SUM(AZ120:AZ130)</f>
        <v>760749393</v>
      </c>
      <c r="BA131" s="265"/>
      <c r="BB131" s="284"/>
      <c r="BC131" s="284"/>
      <c r="BD131" s="284"/>
      <c r="BE131" s="263"/>
      <c r="BF131" s="284"/>
      <c r="BG131" s="284"/>
      <c r="BH131" s="284"/>
      <c r="BI131" s="263"/>
      <c r="BJ131" s="224"/>
      <c r="BK131" s="250">
        <f t="shared" si="62"/>
        <v>10591874753.498955</v>
      </c>
      <c r="BL131" s="172"/>
      <c r="BM131" s="231"/>
      <c r="BN131" s="231"/>
      <c r="BO131" s="231"/>
      <c r="BP131" s="231"/>
      <c r="BQ131" s="172"/>
      <c r="BR131" s="172"/>
      <c r="BS131" s="172"/>
      <c r="BT131" s="172"/>
      <c r="BU131" s="172"/>
      <c r="BV131" s="172"/>
      <c r="BW131" s="172"/>
      <c r="BX131" s="172"/>
      <c r="BY131" s="172"/>
      <c r="BZ131" s="172"/>
      <c r="CA131" s="172"/>
      <c r="CB131" s="172"/>
      <c r="CC131" s="172"/>
      <c r="CD131" s="172"/>
      <c r="CE131" s="172"/>
      <c r="CF131" s="172"/>
      <c r="CG131" s="172"/>
      <c r="CH131" s="172"/>
      <c r="CI131" s="172"/>
      <c r="CJ131" s="172"/>
      <c r="CK131" s="172"/>
      <c r="CL131" s="172"/>
      <c r="CM131" s="172"/>
      <c r="CN131" s="172"/>
      <c r="CO131" s="172"/>
      <c r="CP131" s="172"/>
      <c r="CQ131" s="172"/>
      <c r="CR131" s="172"/>
      <c r="CS131" s="172"/>
      <c r="CT131" s="172"/>
      <c r="CU131" s="172"/>
      <c r="CV131" s="172"/>
      <c r="CW131" s="172"/>
      <c r="CX131" s="172"/>
      <c r="CY131" s="172"/>
      <c r="CZ131" s="172"/>
      <c r="DA131" s="172"/>
      <c r="DB131" s="172"/>
      <c r="DC131" s="172"/>
      <c r="DD131" s="172"/>
      <c r="DE131" s="172"/>
      <c r="DF131" s="172"/>
      <c r="DG131" s="172"/>
      <c r="DH131" s="172"/>
      <c r="DI131" s="172"/>
      <c r="DJ131" s="172"/>
      <c r="DK131" s="172"/>
      <c r="DL131" s="172"/>
      <c r="DM131" s="172"/>
      <c r="DN131" s="172"/>
      <c r="DO131" s="172"/>
      <c r="DP131" s="172"/>
      <c r="DQ131" s="172"/>
      <c r="DR131" s="172"/>
      <c r="DS131" s="172"/>
      <c r="DT131" s="172"/>
      <c r="DU131" s="172"/>
      <c r="DV131" s="172"/>
      <c r="DW131" s="172"/>
      <c r="DX131" s="172"/>
      <c r="DY131" s="172"/>
      <c r="DZ131" s="172"/>
      <c r="EA131" s="172"/>
      <c r="EB131" s="172"/>
      <c r="EC131" s="172"/>
      <c r="ED131" s="172"/>
      <c r="EE131" s="172"/>
      <c r="EF131" s="172"/>
      <c r="EG131" s="172"/>
      <c r="EH131" s="172"/>
      <c r="EI131" s="172"/>
      <c r="EJ131" s="172"/>
      <c r="EK131" s="172"/>
      <c r="EL131" s="172"/>
      <c r="EM131" s="172"/>
      <c r="EN131" s="172"/>
      <c r="EO131" s="172"/>
      <c r="EP131" s="172"/>
      <c r="EQ131" s="172"/>
      <c r="ER131" s="172"/>
      <c r="ES131" s="172"/>
      <c r="ET131" s="172"/>
      <c r="EU131" s="172"/>
      <c r="EV131" s="172"/>
      <c r="EW131" s="172"/>
      <c r="EX131" s="172"/>
      <c r="EY131" s="172"/>
      <c r="EZ131" s="172"/>
      <c r="FA131" s="172"/>
      <c r="FB131" s="172"/>
      <c r="FC131" s="172"/>
      <c r="FD131" s="172"/>
      <c r="FE131" s="172"/>
      <c r="FF131" s="172"/>
      <c r="FG131" s="172"/>
      <c r="FH131" s="172"/>
      <c r="FI131" s="172"/>
      <c r="FJ131" s="172"/>
      <c r="FK131" s="172"/>
      <c r="FL131" s="172"/>
      <c r="FM131" s="172"/>
      <c r="FN131" s="172"/>
      <c r="FO131" s="172"/>
      <c r="FP131" s="172"/>
      <c r="FQ131" s="172"/>
      <c r="FR131" s="172"/>
      <c r="FS131" s="172"/>
      <c r="FT131" s="172"/>
      <c r="FU131" s="172"/>
      <c r="FV131" s="172"/>
      <c r="FW131" s="172"/>
      <c r="FX131" s="172"/>
      <c r="FY131" s="172"/>
      <c r="FZ131" s="172"/>
      <c r="GA131" s="172"/>
      <c r="GB131" s="172"/>
      <c r="GC131" s="172"/>
      <c r="GD131" s="172"/>
      <c r="GE131" s="172"/>
      <c r="GF131" s="172"/>
      <c r="GG131" s="172"/>
      <c r="GH131" s="172"/>
      <c r="GI131" s="172"/>
      <c r="GJ131" s="172"/>
      <c r="GK131" s="172"/>
      <c r="GL131" s="172"/>
      <c r="GM131" s="172"/>
      <c r="GN131" s="172"/>
      <c r="GO131" s="172"/>
      <c r="GP131" s="172"/>
      <c r="GQ131" s="172"/>
      <c r="GR131" s="172"/>
      <c r="GS131" s="172"/>
      <c r="GT131" s="172"/>
      <c r="GU131" s="172"/>
      <c r="GV131" s="172"/>
      <c r="GW131" s="172"/>
      <c r="GX131" s="172"/>
      <c r="GY131" s="172"/>
      <c r="GZ131" s="172"/>
      <c r="HA131" s="172"/>
      <c r="HB131" s="172"/>
      <c r="HC131" s="172"/>
      <c r="HD131" s="172"/>
      <c r="HE131" s="172"/>
      <c r="HF131" s="172"/>
      <c r="HG131" s="172"/>
      <c r="HH131" s="172"/>
      <c r="HI131" s="172"/>
      <c r="HJ131" s="172"/>
      <c r="HK131" s="172"/>
      <c r="HL131" s="172"/>
      <c r="HM131" s="172"/>
      <c r="HN131" s="172"/>
      <c r="HO131" s="172"/>
      <c r="HP131" s="172"/>
      <c r="HQ131" s="172"/>
      <c r="HR131" s="172"/>
      <c r="HS131" s="172"/>
      <c r="HT131" s="172"/>
      <c r="HU131" s="172"/>
      <c r="HV131" s="172"/>
      <c r="HW131" s="172"/>
      <c r="HX131" s="172"/>
      <c r="HY131" s="172"/>
      <c r="HZ131" s="172"/>
      <c r="IA131" s="172"/>
      <c r="IB131" s="172"/>
      <c r="IC131" s="172"/>
      <c r="ID131" s="172"/>
      <c r="IE131" s="172"/>
      <c r="IF131" s="172"/>
      <c r="IG131" s="172"/>
      <c r="IH131" s="172"/>
      <c r="II131" s="172"/>
      <c r="IJ131" s="172"/>
      <c r="IK131" s="172"/>
      <c r="IL131" s="172"/>
      <c r="IM131" s="172"/>
      <c r="IN131" s="172"/>
      <c r="IO131" s="172"/>
      <c r="IP131" s="172"/>
      <c r="IQ131" s="172"/>
      <c r="IR131" s="172"/>
      <c r="IS131" s="172"/>
      <c r="IT131" s="172"/>
      <c r="IU131" s="172"/>
      <c r="IV131" s="172"/>
      <c r="IW131" s="172"/>
      <c r="IX131" s="172"/>
      <c r="IY131" s="172"/>
      <c r="IZ131" s="172"/>
      <c r="JA131" s="172"/>
      <c r="JB131" s="172"/>
      <c r="JC131" s="172"/>
      <c r="JD131" s="172"/>
      <c r="JE131" s="172"/>
      <c r="JF131" s="172"/>
      <c r="JG131" s="172"/>
      <c r="JH131" s="172"/>
      <c r="JI131" s="172"/>
      <c r="JJ131" s="172"/>
      <c r="JK131" s="172"/>
      <c r="JL131" s="172"/>
      <c r="JM131" s="172"/>
      <c r="JN131" s="172"/>
      <c r="JO131" s="172"/>
      <c r="JP131" s="172"/>
      <c r="JQ131" s="172"/>
      <c r="JR131" s="172"/>
      <c r="JS131" s="172"/>
      <c r="JT131" s="172"/>
      <c r="JU131" s="172"/>
      <c r="JV131" s="172"/>
      <c r="JW131" s="172"/>
      <c r="JX131" s="172"/>
      <c r="JY131" s="172"/>
      <c r="JZ131" s="172"/>
      <c r="KA131" s="172"/>
      <c r="KB131" s="172"/>
      <c r="KC131" s="172"/>
      <c r="KD131" s="172"/>
      <c r="KE131" s="172"/>
      <c r="KF131" s="172"/>
      <c r="KG131" s="172"/>
      <c r="KH131" s="172"/>
      <c r="KI131" s="172"/>
      <c r="KJ131" s="172"/>
      <c r="KK131" s="172"/>
      <c r="KL131" s="172"/>
      <c r="KM131" s="172"/>
      <c r="KN131" s="172"/>
      <c r="KO131" s="172"/>
      <c r="KP131" s="172"/>
      <c r="KQ131" s="172"/>
      <c r="KR131" s="172"/>
      <c r="KS131" s="172"/>
      <c r="KT131" s="172"/>
      <c r="KU131" s="172"/>
      <c r="KV131" s="172"/>
      <c r="KW131" s="172"/>
      <c r="KX131" s="172"/>
      <c r="KY131" s="172"/>
      <c r="KZ131" s="172"/>
      <c r="LA131" s="172"/>
      <c r="LB131" s="172"/>
      <c r="LC131" s="172"/>
      <c r="LD131" s="172"/>
      <c r="LE131" s="172"/>
      <c r="LF131" s="172"/>
      <c r="LG131" s="172"/>
      <c r="LH131" s="172"/>
      <c r="LI131" s="172"/>
      <c r="LJ131" s="172"/>
      <c r="LK131" s="172"/>
      <c r="LL131" s="172"/>
      <c r="LM131" s="172"/>
      <c r="LN131" s="172"/>
      <c r="LO131" s="172"/>
      <c r="LP131" s="172"/>
      <c r="LQ131" s="172"/>
      <c r="LR131" s="172"/>
      <c r="LS131" s="172"/>
      <c r="LT131" s="172"/>
      <c r="LU131" s="172"/>
      <c r="LV131" s="172"/>
      <c r="LW131" s="172"/>
      <c r="LX131" s="172"/>
      <c r="LY131" s="172"/>
      <c r="LZ131" s="172"/>
      <c r="MA131" s="172"/>
      <c r="MB131" s="172"/>
      <c r="MC131" s="172"/>
      <c r="MD131" s="172"/>
      <c r="ME131" s="172"/>
      <c r="MF131" s="172"/>
      <c r="MG131" s="172"/>
      <c r="MH131" s="172"/>
      <c r="MI131" s="172"/>
      <c r="MJ131" s="172"/>
      <c r="MK131" s="172"/>
      <c r="ML131" s="172"/>
      <c r="MM131" s="172"/>
      <c r="MN131" s="172"/>
      <c r="MO131" s="172"/>
      <c r="MP131" s="172"/>
      <c r="MQ131" s="172"/>
      <c r="MR131" s="172"/>
      <c r="MS131" s="172"/>
      <c r="MT131" s="172"/>
      <c r="MU131" s="172"/>
      <c r="MV131" s="172"/>
      <c r="MW131" s="172"/>
      <c r="MX131" s="172"/>
      <c r="MY131" s="172"/>
      <c r="MZ131" s="172"/>
      <c r="NA131" s="172"/>
      <c r="NB131" s="172"/>
      <c r="NC131" s="172"/>
      <c r="ND131" s="172"/>
      <c r="NE131" s="172"/>
      <c r="NF131" s="172"/>
      <c r="NG131" s="172"/>
      <c r="NH131" s="172"/>
      <c r="NI131" s="172"/>
      <c r="NJ131" s="172"/>
      <c r="NK131" s="172"/>
      <c r="NL131" s="172"/>
      <c r="NM131" s="172"/>
      <c r="NN131" s="172"/>
      <c r="NO131" s="172"/>
      <c r="NP131" s="172"/>
      <c r="NQ131" s="172"/>
      <c r="NR131" s="172"/>
      <c r="NS131" s="172"/>
      <c r="NT131" s="172"/>
      <c r="NU131" s="172"/>
      <c r="NV131" s="172"/>
      <c r="NW131" s="172"/>
      <c r="NX131" s="172"/>
      <c r="NY131" s="172"/>
      <c r="NZ131" s="172"/>
      <c r="OA131" s="172"/>
      <c r="OB131" s="172"/>
      <c r="OC131" s="172"/>
      <c r="OD131" s="172"/>
      <c r="OE131" s="172"/>
      <c r="OF131" s="172"/>
      <c r="OG131" s="172"/>
      <c r="OH131" s="172"/>
      <c r="OI131" s="172"/>
      <c r="OJ131" s="172"/>
      <c r="OK131" s="172"/>
      <c r="OL131" s="172"/>
      <c r="OM131" s="172"/>
      <c r="ON131" s="172"/>
      <c r="OO131" s="172"/>
      <c r="OP131" s="172"/>
      <c r="OQ131" s="172"/>
      <c r="OR131" s="172"/>
      <c r="OS131" s="172"/>
      <c r="OT131" s="172"/>
      <c r="OU131" s="172"/>
      <c r="OV131" s="172"/>
      <c r="OW131" s="172"/>
      <c r="OX131" s="172"/>
      <c r="OY131" s="172"/>
      <c r="OZ131" s="172"/>
      <c r="PA131" s="172"/>
      <c r="PB131" s="172"/>
      <c r="PC131" s="172"/>
      <c r="PD131" s="172"/>
      <c r="PE131" s="172"/>
      <c r="PF131" s="172"/>
      <c r="PG131" s="172"/>
      <c r="PH131" s="172"/>
      <c r="PI131" s="172"/>
      <c r="PJ131" s="172"/>
      <c r="PK131" s="172"/>
      <c r="PL131" s="172"/>
      <c r="PM131" s="172"/>
      <c r="PN131" s="172"/>
      <c r="PO131" s="172"/>
      <c r="PP131" s="172"/>
      <c r="PQ131" s="172"/>
      <c r="PR131" s="172"/>
      <c r="PS131" s="172"/>
      <c r="PT131" s="172"/>
      <c r="PU131" s="172"/>
      <c r="PV131" s="172"/>
      <c r="PW131" s="172"/>
      <c r="PX131" s="172"/>
      <c r="PY131" s="172"/>
      <c r="PZ131" s="172"/>
      <c r="QA131" s="172"/>
      <c r="QB131" s="172"/>
      <c r="QC131" s="172"/>
      <c r="QD131" s="172"/>
      <c r="QE131" s="172"/>
      <c r="QF131" s="172"/>
      <c r="QG131" s="172"/>
      <c r="QH131" s="172"/>
      <c r="QI131" s="172"/>
      <c r="QJ131" s="172"/>
      <c r="QK131" s="172"/>
      <c r="QL131" s="172"/>
      <c r="QM131" s="172"/>
      <c r="QN131" s="172"/>
      <c r="QO131" s="172"/>
      <c r="QP131" s="172"/>
      <c r="QQ131" s="172"/>
      <c r="QR131" s="172"/>
      <c r="QS131" s="172"/>
      <c r="QT131" s="172"/>
      <c r="QU131" s="172"/>
      <c r="QV131" s="172"/>
      <c r="QW131" s="172"/>
      <c r="QX131" s="172"/>
      <c r="QY131" s="172"/>
      <c r="QZ131" s="172"/>
      <c r="RA131" s="172"/>
      <c r="RB131" s="172"/>
      <c r="RC131" s="172"/>
      <c r="RD131" s="172"/>
      <c r="RE131" s="172"/>
      <c r="RF131" s="172"/>
      <c r="RG131" s="172"/>
      <c r="RH131" s="172"/>
      <c r="RI131" s="172"/>
      <c r="RJ131" s="172"/>
      <c r="RK131" s="172"/>
      <c r="RL131" s="172"/>
      <c r="RM131" s="172"/>
      <c r="RN131" s="172"/>
      <c r="RO131" s="172"/>
      <c r="RP131" s="172"/>
      <c r="RQ131" s="172"/>
      <c r="RR131" s="172"/>
      <c r="RS131" s="172"/>
      <c r="RT131" s="172"/>
      <c r="RU131" s="172"/>
      <c r="RV131" s="172"/>
      <c r="RW131" s="172"/>
      <c r="RX131" s="172"/>
      <c r="RY131" s="172"/>
      <c r="RZ131" s="172"/>
      <c r="SA131" s="172"/>
      <c r="SB131" s="172"/>
      <c r="SC131" s="172"/>
      <c r="SD131" s="172"/>
      <c r="SE131" s="172"/>
      <c r="SF131" s="172"/>
      <c r="SG131" s="172"/>
      <c r="SH131" s="172"/>
      <c r="SI131" s="172"/>
      <c r="SJ131" s="172"/>
      <c r="SK131" s="172"/>
      <c r="SL131" s="172"/>
      <c r="SM131" s="172"/>
      <c r="SN131" s="172"/>
      <c r="SO131" s="172"/>
      <c r="SP131" s="172"/>
      <c r="SQ131" s="172"/>
      <c r="SR131" s="172"/>
      <c r="SS131" s="172"/>
      <c r="ST131" s="172"/>
      <c r="SU131" s="172"/>
      <c r="SV131" s="172"/>
      <c r="SW131" s="172"/>
      <c r="SX131" s="172"/>
      <c r="SY131" s="172"/>
      <c r="SZ131" s="172"/>
      <c r="TA131" s="172"/>
      <c r="TB131" s="172"/>
      <c r="TC131" s="172"/>
      <c r="TD131" s="172"/>
      <c r="TE131" s="172"/>
      <c r="TF131" s="172"/>
      <c r="TG131" s="172"/>
      <c r="TH131" s="172"/>
      <c r="TI131" s="172"/>
      <c r="TJ131" s="172"/>
      <c r="TK131" s="172"/>
      <c r="TL131" s="172"/>
      <c r="TM131" s="172"/>
      <c r="TN131" s="172"/>
      <c r="TO131" s="172"/>
      <c r="TP131" s="172"/>
      <c r="TQ131" s="172"/>
      <c r="TR131" s="172"/>
      <c r="TS131" s="172"/>
      <c r="TT131" s="172"/>
      <c r="TU131" s="172"/>
      <c r="TV131" s="172"/>
      <c r="TW131" s="172"/>
      <c r="TX131" s="172"/>
      <c r="TY131" s="172"/>
      <c r="TZ131" s="172"/>
      <c r="UA131" s="172"/>
      <c r="UB131" s="172"/>
      <c r="UC131" s="172"/>
      <c r="UD131" s="172"/>
      <c r="UE131" s="172"/>
      <c r="UF131" s="172"/>
      <c r="UG131" s="172"/>
      <c r="UH131" s="172"/>
      <c r="UI131" s="172"/>
      <c r="UJ131" s="172"/>
      <c r="UK131" s="172"/>
      <c r="UL131" s="172"/>
      <c r="UM131" s="172"/>
      <c r="UN131" s="172"/>
      <c r="UO131" s="172"/>
      <c r="UP131" s="172"/>
      <c r="UQ131" s="172"/>
      <c r="UR131" s="172"/>
      <c r="US131" s="172"/>
      <c r="UT131" s="172"/>
      <c r="UU131" s="172"/>
      <c r="UV131" s="172"/>
      <c r="UW131" s="172"/>
      <c r="UX131" s="172"/>
      <c r="UY131" s="172"/>
      <c r="UZ131" s="172"/>
      <c r="VA131" s="172"/>
      <c r="VB131" s="172"/>
      <c r="VC131" s="172"/>
      <c r="VD131" s="172"/>
      <c r="VE131" s="172"/>
      <c r="VF131" s="172"/>
      <c r="VG131" s="172"/>
      <c r="VH131" s="172"/>
      <c r="VI131" s="172"/>
      <c r="VJ131" s="172"/>
      <c r="VK131" s="172"/>
      <c r="VL131" s="172"/>
      <c r="VM131" s="172"/>
      <c r="VN131" s="172"/>
      <c r="VO131" s="172"/>
      <c r="VP131" s="172"/>
      <c r="VQ131" s="172"/>
      <c r="VR131" s="172"/>
      <c r="VS131" s="172"/>
      <c r="VT131" s="172"/>
      <c r="VU131" s="172"/>
      <c r="VV131" s="172"/>
      <c r="VW131" s="172"/>
      <c r="VX131" s="172"/>
      <c r="VY131" s="172"/>
      <c r="VZ131" s="172"/>
      <c r="WA131" s="172"/>
      <c r="WB131" s="172"/>
      <c r="WC131" s="172"/>
      <c r="WD131" s="172"/>
      <c r="WE131" s="172"/>
      <c r="WF131" s="172"/>
      <c r="WG131" s="172"/>
      <c r="WH131" s="172"/>
      <c r="WI131" s="172"/>
      <c r="WJ131" s="172"/>
      <c r="WK131" s="172"/>
      <c r="WL131" s="172"/>
      <c r="WM131" s="172"/>
      <c r="WN131" s="172"/>
      <c r="WO131" s="172"/>
      <c r="WP131" s="172"/>
      <c r="WQ131" s="172"/>
      <c r="WR131" s="172"/>
      <c r="WS131" s="172"/>
      <c r="WT131" s="172"/>
      <c r="WU131" s="172"/>
      <c r="WV131" s="172"/>
      <c r="WW131" s="172"/>
      <c r="WX131" s="172"/>
      <c r="WY131" s="172"/>
      <c r="WZ131" s="172"/>
      <c r="XA131" s="172"/>
      <c r="XB131" s="172"/>
      <c r="XC131" s="172"/>
      <c r="XD131" s="172"/>
      <c r="XE131" s="172"/>
      <c r="XF131" s="172"/>
      <c r="XG131" s="172"/>
      <c r="XH131" s="172"/>
      <c r="XI131" s="172"/>
      <c r="XJ131" s="172"/>
      <c r="XK131" s="172"/>
      <c r="XL131" s="172"/>
      <c r="XM131" s="172"/>
      <c r="XN131" s="172"/>
      <c r="XO131" s="172"/>
      <c r="XP131" s="172"/>
      <c r="XQ131" s="172"/>
      <c r="XR131" s="172"/>
      <c r="XS131" s="172"/>
      <c r="XT131" s="172"/>
      <c r="XU131" s="172"/>
      <c r="XV131" s="172"/>
      <c r="XW131" s="172"/>
      <c r="XX131" s="172"/>
      <c r="XY131" s="172"/>
      <c r="XZ131" s="172"/>
      <c r="YA131" s="172"/>
      <c r="YB131" s="172"/>
      <c r="YC131" s="172"/>
      <c r="YD131" s="172"/>
      <c r="YE131" s="172"/>
      <c r="YF131" s="172"/>
      <c r="YG131" s="172"/>
      <c r="YH131" s="172"/>
      <c r="YI131" s="172"/>
      <c r="YJ131" s="172"/>
      <c r="YK131" s="172"/>
      <c r="YL131" s="172"/>
      <c r="YM131" s="172"/>
      <c r="YN131" s="172"/>
      <c r="YO131" s="172"/>
      <c r="YP131" s="172"/>
      <c r="YQ131" s="172"/>
      <c r="YR131" s="172"/>
      <c r="YS131" s="172"/>
      <c r="YT131" s="172"/>
      <c r="YU131" s="172"/>
      <c r="YV131" s="172"/>
      <c r="YW131" s="172"/>
      <c r="YX131" s="172"/>
      <c r="YY131" s="172"/>
      <c r="YZ131" s="172"/>
      <c r="ZA131" s="172"/>
      <c r="ZB131" s="172"/>
      <c r="ZC131" s="172"/>
      <c r="ZD131" s="172"/>
      <c r="ZE131" s="172"/>
      <c r="ZF131" s="172"/>
      <c r="ZG131" s="172"/>
      <c r="ZH131" s="172"/>
      <c r="ZI131" s="172"/>
      <c r="ZJ131" s="172"/>
      <c r="ZK131" s="172"/>
      <c r="ZL131" s="172"/>
      <c r="ZM131" s="172"/>
      <c r="ZN131" s="172"/>
      <c r="ZO131" s="172"/>
      <c r="ZP131" s="172"/>
      <c r="ZQ131" s="172"/>
      <c r="ZR131" s="172"/>
      <c r="ZS131" s="172"/>
      <c r="ZT131" s="172"/>
      <c r="ZU131" s="172"/>
      <c r="ZV131" s="172"/>
      <c r="ZW131" s="172"/>
      <c r="ZX131" s="172"/>
      <c r="ZY131" s="172"/>
      <c r="ZZ131" s="172"/>
      <c r="AAA131" s="172"/>
      <c r="AAB131" s="172"/>
      <c r="AAC131" s="172"/>
      <c r="AAD131" s="172"/>
      <c r="AAE131" s="172"/>
      <c r="AAF131" s="172"/>
      <c r="AAG131" s="172"/>
      <c r="AAH131" s="172"/>
      <c r="AAI131" s="172"/>
      <c r="AAJ131" s="172"/>
      <c r="AAK131" s="172"/>
      <c r="AAL131" s="172"/>
      <c r="AAM131" s="172"/>
      <c r="AAN131" s="172"/>
      <c r="AAO131" s="172"/>
      <c r="AAP131" s="172"/>
      <c r="AAQ131" s="172"/>
      <c r="AAR131" s="172"/>
      <c r="AAS131" s="172"/>
      <c r="AAT131" s="172"/>
      <c r="AAU131" s="172"/>
      <c r="AAV131" s="172"/>
      <c r="AAW131" s="172"/>
      <c r="AAX131" s="172"/>
      <c r="AAY131" s="172"/>
      <c r="AAZ131" s="172"/>
      <c r="ABA131" s="172"/>
      <c r="ABB131" s="172"/>
      <c r="ABC131" s="172"/>
      <c r="ABD131" s="172"/>
      <c r="ABE131" s="172"/>
      <c r="ABF131" s="172"/>
      <c r="ABG131" s="172"/>
      <c r="ABH131" s="172"/>
      <c r="ABI131" s="172"/>
      <c r="ABJ131" s="172"/>
      <c r="ABK131" s="172"/>
      <c r="ABL131" s="172"/>
      <c r="ABM131" s="172"/>
      <c r="ABN131" s="172"/>
      <c r="ABO131" s="172"/>
      <c r="ABP131" s="172"/>
      <c r="ABQ131" s="172"/>
      <c r="ABR131" s="172"/>
      <c r="ABS131" s="172"/>
      <c r="ABT131" s="172"/>
      <c r="ABU131" s="172"/>
      <c r="ABV131" s="172"/>
      <c r="ABW131" s="172"/>
      <c r="ABX131" s="172"/>
      <c r="ABY131" s="172"/>
      <c r="ABZ131" s="172"/>
      <c r="ACA131" s="172"/>
      <c r="ACB131" s="172"/>
      <c r="ACC131" s="172"/>
      <c r="ACD131" s="172"/>
      <c r="ACE131" s="172"/>
      <c r="ACF131" s="172"/>
      <c r="ACG131" s="172"/>
      <c r="ACH131" s="172"/>
      <c r="ACI131" s="172"/>
      <c r="ACJ131" s="172"/>
      <c r="ACK131" s="172"/>
      <c r="ACL131" s="172"/>
      <c r="ACM131" s="172"/>
      <c r="ACN131" s="172"/>
      <c r="ACO131" s="172"/>
      <c r="ACP131" s="172"/>
      <c r="ACQ131" s="172"/>
      <c r="ACR131" s="172"/>
      <c r="ACS131" s="172"/>
      <c r="ACT131" s="172"/>
      <c r="ACU131" s="172"/>
      <c r="ACV131" s="172"/>
      <c r="ACW131" s="172"/>
      <c r="ACX131" s="172"/>
      <c r="ACY131" s="172"/>
      <c r="ACZ131" s="172"/>
      <c r="ADA131" s="172"/>
      <c r="ADB131" s="172"/>
      <c r="ADC131" s="172"/>
      <c r="ADD131" s="172"/>
      <c r="ADE131" s="172"/>
      <c r="ADF131" s="172"/>
      <c r="ADG131" s="172"/>
      <c r="ADH131" s="172"/>
      <c r="ADI131" s="172"/>
      <c r="ADJ131" s="172"/>
      <c r="ADK131" s="172"/>
      <c r="ADL131" s="172"/>
      <c r="ADM131" s="172"/>
      <c r="ADN131" s="172"/>
      <c r="ADO131" s="172"/>
      <c r="ADP131" s="172"/>
      <c r="ADQ131" s="172"/>
      <c r="ADR131" s="172"/>
      <c r="ADS131" s="172"/>
      <c r="ADT131" s="172"/>
      <c r="ADU131" s="172"/>
      <c r="ADV131" s="172"/>
      <c r="ADW131" s="172"/>
      <c r="ADX131" s="172"/>
      <c r="ADY131" s="172"/>
      <c r="ADZ131" s="172"/>
      <c r="AEA131" s="172"/>
      <c r="AEB131" s="172"/>
      <c r="AEC131" s="172"/>
      <c r="AED131" s="172"/>
      <c r="AEE131" s="172"/>
      <c r="AEF131" s="172"/>
      <c r="AEG131" s="172"/>
      <c r="AEH131" s="172"/>
      <c r="AEI131" s="172"/>
      <c r="AEJ131" s="172"/>
      <c r="AEK131" s="172"/>
      <c r="AEL131" s="172"/>
      <c r="AEM131" s="172"/>
      <c r="AEN131" s="172"/>
      <c r="AEO131" s="172"/>
      <c r="AEP131" s="172"/>
      <c r="AEQ131" s="172"/>
      <c r="AER131" s="172"/>
      <c r="AES131" s="172"/>
      <c r="AET131" s="172"/>
      <c r="AEU131" s="172"/>
      <c r="AEV131" s="172"/>
      <c r="AEW131" s="172"/>
      <c r="AEX131" s="172"/>
      <c r="AEY131" s="172"/>
      <c r="AEZ131" s="172"/>
      <c r="AFA131" s="172"/>
      <c r="AFB131" s="172"/>
      <c r="AFC131" s="172"/>
      <c r="AFD131" s="172"/>
      <c r="AFE131" s="172"/>
      <c r="AFF131" s="172"/>
      <c r="AFG131" s="172"/>
      <c r="AFH131" s="172"/>
      <c r="AFI131" s="172"/>
      <c r="AFJ131" s="172"/>
      <c r="AFK131" s="172"/>
      <c r="AFL131" s="172"/>
      <c r="AFM131" s="172"/>
      <c r="AFN131" s="172"/>
      <c r="AFO131" s="172"/>
      <c r="AFP131" s="172"/>
      <c r="AFQ131" s="172"/>
      <c r="AFR131" s="172"/>
      <c r="AFS131" s="172"/>
      <c r="AFT131" s="172"/>
      <c r="AFU131" s="172"/>
      <c r="AFV131" s="172"/>
      <c r="AFW131" s="172"/>
      <c r="AFX131" s="172"/>
      <c r="AFY131" s="172"/>
      <c r="AFZ131" s="172"/>
      <c r="AGA131" s="172"/>
      <c r="AGB131" s="172"/>
      <c r="AGC131" s="172"/>
      <c r="AGD131" s="172"/>
      <c r="AGE131" s="172"/>
      <c r="AGF131" s="172"/>
      <c r="AGG131" s="172"/>
      <c r="AGH131" s="172"/>
      <c r="AGI131" s="172"/>
      <c r="AGJ131" s="172"/>
      <c r="AGK131" s="172"/>
      <c r="AGL131" s="172"/>
      <c r="AGM131" s="172"/>
      <c r="AGN131" s="172"/>
      <c r="AGO131" s="172"/>
      <c r="AGP131" s="172"/>
      <c r="AGQ131" s="172"/>
      <c r="AGR131" s="172"/>
      <c r="AGS131" s="172"/>
      <c r="AGT131" s="172"/>
      <c r="AGU131" s="172"/>
      <c r="AGV131" s="172"/>
      <c r="AGW131" s="172"/>
      <c r="AGX131" s="172"/>
      <c r="AGY131" s="172"/>
      <c r="AGZ131" s="172"/>
      <c r="AHA131" s="172"/>
      <c r="AHB131" s="172"/>
      <c r="AHC131" s="172"/>
      <c r="AHD131" s="172"/>
      <c r="AHE131" s="172"/>
      <c r="AHF131" s="172"/>
      <c r="AHG131" s="172"/>
      <c r="AHH131" s="172"/>
      <c r="AHI131" s="172"/>
      <c r="AHJ131" s="172"/>
      <c r="AHK131" s="172"/>
      <c r="AHL131" s="172"/>
      <c r="AHM131" s="172"/>
      <c r="AHN131" s="172"/>
      <c r="AHO131" s="172"/>
      <c r="AHP131" s="172"/>
      <c r="AHQ131" s="172"/>
      <c r="AHR131" s="172"/>
      <c r="AHS131" s="172"/>
      <c r="AHT131" s="172"/>
      <c r="AHU131" s="172"/>
      <c r="AHV131" s="172"/>
      <c r="AHW131" s="172"/>
      <c r="AHX131" s="172"/>
      <c r="AHY131" s="172"/>
      <c r="AHZ131" s="172"/>
      <c r="AIA131" s="172"/>
      <c r="AIB131" s="172"/>
      <c r="AIC131" s="172"/>
      <c r="AID131" s="172"/>
      <c r="AIE131" s="172"/>
      <c r="AIF131" s="172"/>
      <c r="AIG131" s="172"/>
      <c r="AIH131" s="172"/>
      <c r="AII131" s="172"/>
      <c r="AIJ131" s="172"/>
      <c r="AIK131" s="172"/>
      <c r="AIL131" s="172"/>
      <c r="AIM131" s="172"/>
      <c r="AIN131" s="172"/>
      <c r="AIO131" s="172"/>
      <c r="AIP131" s="172"/>
      <c r="AIQ131" s="172"/>
      <c r="AIR131" s="172"/>
      <c r="AIS131" s="172"/>
      <c r="AIT131" s="172"/>
      <c r="AIU131" s="172"/>
      <c r="AIV131" s="172"/>
      <c r="AIW131" s="172"/>
      <c r="AIX131" s="172"/>
      <c r="AIY131" s="172"/>
      <c r="AIZ131" s="172"/>
      <c r="AJA131" s="172"/>
      <c r="AJB131" s="172"/>
      <c r="AJC131" s="172"/>
      <c r="AJD131" s="172"/>
      <c r="AJE131" s="172"/>
      <c r="AJF131" s="172"/>
      <c r="AJG131" s="172"/>
      <c r="AJH131" s="172"/>
      <c r="AJI131" s="172"/>
      <c r="AJJ131" s="172"/>
      <c r="AJK131" s="172"/>
      <c r="AJL131" s="172"/>
      <c r="AJM131" s="172"/>
      <c r="AJN131" s="172"/>
      <c r="AJO131" s="172"/>
      <c r="AJP131" s="172"/>
      <c r="AJQ131" s="172"/>
      <c r="AJR131" s="172"/>
      <c r="AJS131" s="172"/>
      <c r="AJT131" s="172"/>
      <c r="AJU131" s="172"/>
      <c r="AJV131" s="172"/>
      <c r="AJW131" s="172"/>
      <c r="AJX131" s="172"/>
      <c r="AJY131" s="172"/>
      <c r="AJZ131" s="172"/>
      <c r="AKA131" s="172"/>
      <c r="AKB131" s="172"/>
      <c r="AKC131" s="172"/>
      <c r="AKD131" s="172"/>
      <c r="AKE131" s="172"/>
      <c r="AKF131" s="172"/>
      <c r="AKG131" s="172"/>
      <c r="AKH131" s="172"/>
      <c r="AKI131" s="172"/>
      <c r="AKJ131" s="172"/>
      <c r="AKK131" s="172"/>
      <c r="AKL131" s="172"/>
      <c r="AKM131" s="172"/>
      <c r="AKN131" s="172"/>
      <c r="AKO131" s="172"/>
      <c r="AKP131" s="172"/>
      <c r="AKQ131" s="172"/>
      <c r="AKR131" s="172"/>
      <c r="AKS131" s="172"/>
      <c r="AKT131" s="172"/>
      <c r="AKU131" s="172"/>
      <c r="AKV131" s="172"/>
      <c r="AKW131" s="172"/>
      <c r="AKX131" s="172"/>
      <c r="AKY131" s="172"/>
      <c r="AKZ131" s="172"/>
      <c r="ALA131" s="172"/>
      <c r="ALB131" s="172"/>
      <c r="ALC131" s="172"/>
      <c r="ALD131" s="172"/>
      <c r="ALE131" s="172"/>
      <c r="ALF131" s="172"/>
      <c r="ALG131" s="172"/>
      <c r="ALH131" s="172"/>
      <c r="ALI131" s="172"/>
      <c r="ALJ131" s="172"/>
      <c r="ALK131" s="172"/>
      <c r="ALL131" s="172"/>
      <c r="ALM131" s="172"/>
      <c r="ALN131" s="172"/>
      <c r="ALO131" s="172"/>
      <c r="ALP131" s="172"/>
      <c r="ALQ131" s="172"/>
      <c r="ALR131" s="172"/>
      <c r="ALS131" s="172"/>
      <c r="ALT131" s="172"/>
      <c r="ALU131" s="172"/>
      <c r="ALV131" s="172"/>
      <c r="ALW131" s="172"/>
      <c r="ALX131" s="172"/>
      <c r="ALY131" s="172"/>
      <c r="ALZ131" s="172"/>
      <c r="AMA131" s="172"/>
      <c r="AMB131" s="172"/>
      <c r="AMC131" s="172"/>
      <c r="AMD131" s="172"/>
      <c r="AME131" s="172"/>
      <c r="AMF131" s="172"/>
      <c r="AMG131" s="172"/>
      <c r="AMH131" s="172"/>
      <c r="AMI131" s="172"/>
      <c r="AMJ131" s="172"/>
      <c r="AMK131" s="172"/>
      <c r="AML131" s="172"/>
      <c r="AMM131" s="172"/>
      <c r="AMN131" s="172"/>
      <c r="AMO131" s="172"/>
      <c r="AMP131" s="172"/>
      <c r="AMQ131" s="172"/>
      <c r="AMR131" s="172"/>
      <c r="AMS131" s="172"/>
      <c r="AMT131" s="172"/>
      <c r="AMU131" s="172"/>
      <c r="AMV131" s="172"/>
      <c r="AMW131" s="172"/>
      <c r="AMX131" s="172"/>
      <c r="AMY131" s="172"/>
      <c r="AMZ131" s="172"/>
      <c r="ANA131" s="172"/>
      <c r="ANB131" s="172"/>
      <c r="ANC131" s="172"/>
      <c r="AND131" s="172"/>
      <c r="ANE131" s="172"/>
      <c r="ANF131" s="172"/>
      <c r="ANG131" s="172"/>
      <c r="ANH131" s="172"/>
      <c r="ANI131" s="172"/>
      <c r="ANJ131" s="172"/>
      <c r="ANK131" s="172"/>
      <c r="ANL131" s="172"/>
      <c r="ANM131" s="172"/>
      <c r="ANN131" s="172"/>
      <c r="ANO131" s="172"/>
      <c r="ANP131" s="172"/>
      <c r="ANQ131" s="172"/>
      <c r="ANR131" s="172"/>
      <c r="ANS131" s="172"/>
      <c r="ANT131" s="172"/>
      <c r="ANU131" s="172"/>
      <c r="ANV131" s="172"/>
      <c r="ANW131" s="172"/>
      <c r="ANX131" s="172"/>
      <c r="ANY131" s="172"/>
      <c r="ANZ131" s="172"/>
      <c r="AOA131" s="172"/>
      <c r="AOB131" s="172"/>
      <c r="AOC131" s="172"/>
      <c r="AOD131" s="172"/>
      <c r="AOE131" s="172"/>
      <c r="AOF131" s="172"/>
      <c r="AOG131" s="172"/>
      <c r="AOH131" s="172"/>
      <c r="AOI131" s="172"/>
      <c r="AOJ131" s="172"/>
      <c r="AOK131" s="172"/>
      <c r="AOL131" s="172"/>
      <c r="AOM131" s="172"/>
      <c r="AON131" s="172"/>
      <c r="AOO131" s="172"/>
      <c r="AOP131" s="172"/>
      <c r="AOQ131" s="172"/>
      <c r="AOR131" s="172"/>
      <c r="AOS131" s="172"/>
      <c r="AOT131" s="172"/>
      <c r="AOU131" s="172"/>
      <c r="AOV131" s="172"/>
      <c r="AOW131" s="172"/>
      <c r="AOX131" s="172"/>
      <c r="AOY131" s="172"/>
      <c r="AOZ131" s="172"/>
      <c r="APA131" s="172"/>
      <c r="APB131" s="172"/>
      <c r="APC131" s="172"/>
      <c r="APD131" s="172"/>
      <c r="APE131" s="172"/>
      <c r="APF131" s="172"/>
      <c r="APG131" s="172"/>
      <c r="APH131" s="172"/>
      <c r="API131" s="172"/>
      <c r="APJ131" s="172"/>
      <c r="APK131" s="172"/>
      <c r="APL131" s="172"/>
      <c r="APM131" s="172"/>
      <c r="APN131" s="172"/>
      <c r="APO131" s="172"/>
      <c r="APP131" s="172"/>
      <c r="APQ131" s="172"/>
      <c r="APR131" s="172"/>
      <c r="APS131" s="172"/>
      <c r="APT131" s="172"/>
      <c r="APU131" s="172"/>
      <c r="APV131" s="172"/>
      <c r="APW131" s="172"/>
      <c r="APX131" s="172"/>
      <c r="APY131" s="172"/>
      <c r="APZ131" s="172"/>
      <c r="AQA131" s="172"/>
      <c r="AQB131" s="172"/>
      <c r="AQC131" s="172"/>
      <c r="AQD131" s="172"/>
      <c r="AQE131" s="172"/>
      <c r="AQF131" s="172"/>
      <c r="AQG131" s="172"/>
      <c r="AQH131" s="172"/>
      <c r="AQI131" s="172"/>
      <c r="AQJ131" s="172"/>
      <c r="AQK131" s="172"/>
      <c r="AQL131" s="172"/>
      <c r="AQM131" s="172"/>
      <c r="AQN131" s="172"/>
      <c r="AQO131" s="172"/>
      <c r="AQP131" s="172"/>
      <c r="AQQ131" s="172"/>
      <c r="AQR131" s="172"/>
      <c r="AQS131" s="172"/>
      <c r="AQT131" s="172"/>
      <c r="AQU131" s="172"/>
      <c r="AQV131" s="172"/>
      <c r="AQW131" s="172"/>
      <c r="AQX131" s="172"/>
      <c r="AQY131" s="172"/>
      <c r="AQZ131" s="172"/>
      <c r="ARA131" s="172"/>
      <c r="ARB131" s="172"/>
      <c r="ARC131" s="172"/>
      <c r="ARD131" s="172"/>
      <c r="ARE131" s="172"/>
      <c r="ARF131" s="172"/>
      <c r="ARG131" s="172"/>
      <c r="ARH131" s="172"/>
      <c r="ARI131" s="172"/>
      <c r="ARJ131" s="172"/>
      <c r="ARK131" s="172"/>
      <c r="ARL131" s="172"/>
      <c r="ARM131" s="172"/>
      <c r="ARN131" s="172"/>
      <c r="ARO131" s="172"/>
      <c r="ARP131" s="172"/>
      <c r="ARQ131" s="172"/>
      <c r="ARR131" s="172"/>
      <c r="ARS131" s="172"/>
      <c r="ART131" s="172"/>
      <c r="ARU131" s="172"/>
    </row>
    <row r="132" spans="1:1165">
      <c r="A132" s="220"/>
      <c r="B132" s="215"/>
      <c r="C132" s="284"/>
      <c r="D132" s="284"/>
      <c r="E132" s="284"/>
      <c r="F132" s="284"/>
      <c r="G132" s="284"/>
      <c r="H132" s="284"/>
      <c r="I132" s="284"/>
      <c r="J132" s="284"/>
      <c r="K132" s="284"/>
      <c r="L132" s="284"/>
      <c r="M132" s="284"/>
      <c r="N132" s="284"/>
      <c r="O132" s="284"/>
      <c r="P132" s="284"/>
      <c r="Q132" s="284"/>
      <c r="R132" s="284"/>
      <c r="S132" s="284"/>
      <c r="T132" s="284"/>
      <c r="U132" s="288"/>
      <c r="V132" s="288"/>
      <c r="W132" s="227"/>
      <c r="X132" s="227"/>
      <c r="Y132" s="288"/>
      <c r="Z132" s="288"/>
      <c r="AA132" s="288"/>
      <c r="AB132" s="288"/>
      <c r="AC132" s="284"/>
      <c r="AD132" s="284"/>
      <c r="AE132" s="288"/>
      <c r="AF132" s="302"/>
      <c r="AG132" s="288"/>
      <c r="AH132" s="288"/>
      <c r="AI132" s="288"/>
      <c r="AJ132" s="288"/>
      <c r="AK132" s="288"/>
      <c r="AL132" s="288"/>
      <c r="AM132" s="288"/>
      <c r="AN132" s="288"/>
      <c r="AO132" s="288"/>
      <c r="AP132" s="288"/>
      <c r="AQ132" s="262"/>
      <c r="AR132" s="262"/>
      <c r="AS132" s="288"/>
      <c r="AT132" s="288"/>
      <c r="AU132" s="288"/>
      <c r="AV132" s="302"/>
      <c r="AW132" s="288"/>
      <c r="AX132" s="257"/>
      <c r="AY132" s="255"/>
      <c r="AZ132" s="255"/>
      <c r="BA132" s="262"/>
      <c r="BB132" s="256"/>
      <c r="BC132" s="256"/>
      <c r="BD132" s="256"/>
      <c r="BE132" s="256"/>
      <c r="BF132" s="256"/>
      <c r="BG132" s="256"/>
      <c r="BH132" s="256"/>
      <c r="BI132" s="262"/>
      <c r="BJ132" s="256"/>
      <c r="BK132" s="256"/>
      <c r="BL132" s="172"/>
      <c r="BM132" s="231"/>
      <c r="BN132" s="231"/>
      <c r="BO132" s="231"/>
      <c r="BP132" s="231"/>
    </row>
    <row r="133" spans="1:1165">
      <c r="A133" s="204" t="s">
        <v>243</v>
      </c>
      <c r="B133" s="139"/>
      <c r="C133" s="281"/>
      <c r="D133" s="281"/>
      <c r="E133" s="219"/>
      <c r="F133" s="219"/>
      <c r="G133" s="219"/>
      <c r="H133" s="219"/>
      <c r="I133" s="219"/>
      <c r="J133" s="219"/>
      <c r="K133" s="219"/>
      <c r="L133" s="219"/>
      <c r="M133" s="219"/>
      <c r="N133" s="219"/>
      <c r="O133" s="219"/>
      <c r="P133" s="219"/>
      <c r="Q133" s="219"/>
      <c r="R133" s="219"/>
      <c r="S133" s="219"/>
      <c r="T133" s="219"/>
      <c r="U133" s="200"/>
      <c r="V133" s="200"/>
      <c r="W133" s="200"/>
      <c r="X133" s="200"/>
      <c r="Y133" s="200"/>
      <c r="Z133" s="200"/>
      <c r="AA133" s="200"/>
      <c r="AB133" s="200"/>
      <c r="AC133" s="219"/>
      <c r="AD133" s="219"/>
      <c r="AE133" s="200"/>
      <c r="AF133" s="200"/>
      <c r="AG133" s="200"/>
      <c r="AH133" s="200"/>
      <c r="AI133" s="200"/>
      <c r="AJ133" s="200"/>
      <c r="AK133" s="200"/>
      <c r="AL133" s="200"/>
      <c r="AM133" s="200"/>
      <c r="AN133" s="200"/>
      <c r="AO133" s="200"/>
      <c r="AP133" s="200"/>
      <c r="AQ133" s="200"/>
      <c r="AR133" s="200"/>
      <c r="AS133" s="200"/>
      <c r="AT133" s="200"/>
      <c r="AU133" s="200"/>
      <c r="AV133" s="200"/>
      <c r="AW133" s="219"/>
      <c r="AX133" s="219"/>
      <c r="AY133" s="248"/>
      <c r="AZ133" s="248"/>
      <c r="BA133" s="283"/>
      <c r="BB133" s="249"/>
      <c r="BC133" s="249"/>
      <c r="BD133" s="249"/>
      <c r="BE133" s="249"/>
      <c r="BF133" s="249"/>
      <c r="BG133" s="249"/>
      <c r="BH133" s="249"/>
      <c r="BI133" s="283"/>
      <c r="BJ133" s="249"/>
      <c r="BK133" s="249"/>
      <c r="BL133" s="172"/>
      <c r="BN133" s="231"/>
      <c r="BO133" s="231"/>
      <c r="BP133" s="231"/>
    </row>
    <row r="134" spans="1:1165">
      <c r="A134" s="206" t="s">
        <v>244</v>
      </c>
      <c r="B134" s="207" t="s">
        <v>87</v>
      </c>
      <c r="C134" s="268">
        <v>81529</v>
      </c>
      <c r="D134" s="268">
        <v>844292</v>
      </c>
      <c r="E134" s="208">
        <v>2568</v>
      </c>
      <c r="F134" s="208">
        <v>116932</v>
      </c>
      <c r="G134" s="208">
        <v>3181</v>
      </c>
      <c r="H134" s="208">
        <v>145799</v>
      </c>
      <c r="I134" s="208">
        <v>1914</v>
      </c>
      <c r="J134" s="208">
        <v>79613</v>
      </c>
      <c r="K134" s="208">
        <v>3551</v>
      </c>
      <c r="L134" s="208">
        <v>35507</v>
      </c>
      <c r="M134" s="208">
        <v>3158</v>
      </c>
      <c r="N134" s="208">
        <v>21425</v>
      </c>
      <c r="O134" s="208">
        <v>6560</v>
      </c>
      <c r="P134" s="208">
        <v>43954</v>
      </c>
      <c r="Q134" s="208">
        <v>9497</v>
      </c>
      <c r="R134" s="208">
        <v>76224</v>
      </c>
      <c r="S134" s="208">
        <v>4933</v>
      </c>
      <c r="T134" s="208">
        <v>149430</v>
      </c>
      <c r="U134" s="219">
        <v>21014</v>
      </c>
      <c r="V134" s="219">
        <v>850089</v>
      </c>
      <c r="W134" s="219">
        <v>7367</v>
      </c>
      <c r="X134" s="219">
        <v>328732</v>
      </c>
      <c r="Y134" s="219">
        <v>31774</v>
      </c>
      <c r="Z134" s="219">
        <v>1317361</v>
      </c>
      <c r="AA134" s="230">
        <v>17499</v>
      </c>
      <c r="AB134" s="230">
        <v>715084</v>
      </c>
      <c r="AC134" s="208">
        <v>25800</v>
      </c>
      <c r="AD134" s="208">
        <v>1132516</v>
      </c>
      <c r="AE134" s="200">
        <v>18748</v>
      </c>
      <c r="AF134" s="200">
        <v>694865</v>
      </c>
      <c r="AG134" s="200">
        <v>36169</v>
      </c>
      <c r="AH134" s="200">
        <v>1451195</v>
      </c>
      <c r="AI134" s="200">
        <v>66610</v>
      </c>
      <c r="AJ134" s="200">
        <v>2345293</v>
      </c>
      <c r="AK134" s="270">
        <v>57241</v>
      </c>
      <c r="AL134" s="270">
        <v>2120733</v>
      </c>
      <c r="AM134" s="273">
        <v>65818</v>
      </c>
      <c r="AN134" s="273">
        <v>3043804</v>
      </c>
      <c r="AO134" s="200">
        <v>59835</v>
      </c>
      <c r="AP134" s="200">
        <v>2242642</v>
      </c>
      <c r="AQ134" s="200">
        <v>44072.68</v>
      </c>
      <c r="AR134" s="200">
        <v>1734040</v>
      </c>
      <c r="AS134" s="200">
        <v>62630.98</v>
      </c>
      <c r="AT134" s="200">
        <v>2487199</v>
      </c>
      <c r="AU134" s="230">
        <v>29733</v>
      </c>
      <c r="AV134" s="230">
        <v>1494518</v>
      </c>
      <c r="AW134" s="200">
        <v>61828</v>
      </c>
      <c r="AX134" s="230">
        <v>3082424</v>
      </c>
      <c r="AY134" s="219">
        <v>21962.6</v>
      </c>
      <c r="AZ134" s="219">
        <v>986583</v>
      </c>
      <c r="BA134" s="283"/>
      <c r="BB134" s="219"/>
      <c r="BC134" s="219"/>
      <c r="BD134" s="219"/>
      <c r="BE134" s="219"/>
      <c r="BF134" s="231"/>
      <c r="BG134" s="231"/>
      <c r="BH134" s="231"/>
      <c r="BI134" s="283"/>
      <c r="BJ134" s="219">
        <f t="shared" ref="BJ134:BJ135" si="63">C134+G134+I134+K134+M134+O134+Q134+S134+U134+W134+Y134+AA134+AC134+AE134+AG134+AI134+AK134+AM134+AO134+AQ134+AS134+AU134+AW134+AY134+BB134+BF134</f>
        <v>742425.26</v>
      </c>
      <c r="BK134" s="208">
        <f>D134+H134+J134+L134+N134+P134+R134+T134+V134+X134+Z134+AB134+AD134+AF134+AH134+AJ134+AL134+AN134+AP134+AR134+AT134+AV134+AX134+AZ134+BD134+BH134</f>
        <v>27423322</v>
      </c>
      <c r="BL134" s="172"/>
      <c r="BM134" s="231"/>
      <c r="BN134" s="231"/>
      <c r="BO134" s="231"/>
      <c r="BP134" s="231"/>
    </row>
    <row r="135" spans="1:1165">
      <c r="A135" s="206" t="s">
        <v>245</v>
      </c>
      <c r="B135" s="207" t="s">
        <v>87</v>
      </c>
      <c r="C135" s="268">
        <v>2648</v>
      </c>
      <c r="D135" s="268">
        <v>162003</v>
      </c>
      <c r="E135" s="208">
        <v>352</v>
      </c>
      <c r="F135" s="208">
        <v>79225</v>
      </c>
      <c r="G135" s="208">
        <v>354</v>
      </c>
      <c r="H135" s="208">
        <v>94751</v>
      </c>
      <c r="I135" s="208">
        <v>300</v>
      </c>
      <c r="J135" s="208">
        <v>84241</v>
      </c>
      <c r="K135" s="208">
        <v>173</v>
      </c>
      <c r="L135" s="208">
        <v>45591</v>
      </c>
      <c r="M135" s="208">
        <v>30</v>
      </c>
      <c r="N135" s="208">
        <v>8037</v>
      </c>
      <c r="O135" s="219">
        <v>0</v>
      </c>
      <c r="P135" s="219">
        <v>0</v>
      </c>
      <c r="Q135" s="219">
        <v>0</v>
      </c>
      <c r="R135" s="219">
        <v>0</v>
      </c>
      <c r="S135" s="219">
        <v>0</v>
      </c>
      <c r="T135" s="219">
        <v>0</v>
      </c>
      <c r="U135" s="219">
        <v>3456</v>
      </c>
      <c r="V135" s="219">
        <v>900710</v>
      </c>
      <c r="W135" s="219">
        <v>11432</v>
      </c>
      <c r="X135" s="219">
        <v>66104</v>
      </c>
      <c r="Y135" s="219">
        <v>1971</v>
      </c>
      <c r="Z135" s="219">
        <v>105241</v>
      </c>
      <c r="AA135" s="230">
        <v>473</v>
      </c>
      <c r="AB135" s="230">
        <v>14839</v>
      </c>
      <c r="AC135" s="208">
        <v>0</v>
      </c>
      <c r="AD135" s="208">
        <v>0</v>
      </c>
      <c r="AE135" s="200">
        <v>0</v>
      </c>
      <c r="AF135" s="200">
        <v>0</v>
      </c>
      <c r="AG135" s="200">
        <v>0</v>
      </c>
      <c r="AH135" s="200">
        <v>0</v>
      </c>
      <c r="AI135" s="200">
        <v>0</v>
      </c>
      <c r="AJ135" s="200">
        <v>0</v>
      </c>
      <c r="AK135" s="200">
        <v>0</v>
      </c>
      <c r="AL135" s="200">
        <v>0</v>
      </c>
      <c r="AM135" s="200">
        <v>0</v>
      </c>
      <c r="AN135" s="200">
        <v>0</v>
      </c>
      <c r="AO135" s="200">
        <v>0</v>
      </c>
      <c r="AP135" s="200">
        <v>0</v>
      </c>
      <c r="AQ135" s="200">
        <v>0</v>
      </c>
      <c r="AR135" s="200">
        <v>0</v>
      </c>
      <c r="AS135" s="200">
        <v>0</v>
      </c>
      <c r="AT135" s="200">
        <v>0</v>
      </c>
      <c r="AU135" s="200">
        <v>0</v>
      </c>
      <c r="AV135" s="200">
        <v>0</v>
      </c>
      <c r="AW135" s="200">
        <v>0</v>
      </c>
      <c r="AX135" s="200">
        <v>0</v>
      </c>
      <c r="AY135" s="219">
        <v>0</v>
      </c>
      <c r="AZ135" s="219">
        <v>0</v>
      </c>
      <c r="BA135" s="232"/>
      <c r="BB135" s="219"/>
      <c r="BC135" s="219"/>
      <c r="BD135" s="219"/>
      <c r="BE135" s="219"/>
      <c r="BF135" s="219"/>
      <c r="BG135" s="219"/>
      <c r="BH135" s="219"/>
      <c r="BI135" s="232"/>
      <c r="BJ135" s="219">
        <f t="shared" si="63"/>
        <v>20837</v>
      </c>
      <c r="BK135" s="208">
        <f>D135+H135+J135+L135+N135+P135+R135+T135+V135+X135+Z135+AB135+AD135+AF135+AH135+AJ135+AL135+AN135+AP135+AR135+AT135+AV135+AX135+AZ135+BD135+BH135</f>
        <v>1481517</v>
      </c>
      <c r="BL135" s="172"/>
      <c r="BN135" s="231"/>
      <c r="BO135" s="231"/>
      <c r="BP135" s="231"/>
    </row>
    <row r="136" spans="1:1165">
      <c r="A136" s="209" t="s">
        <v>246</v>
      </c>
      <c r="B136" s="207"/>
      <c r="C136" s="268"/>
      <c r="D136" s="268">
        <f>SUM(D134:D135)</f>
        <v>1006295</v>
      </c>
      <c r="E136" s="208"/>
      <c r="F136" s="208">
        <f>SUM(F134:F135)</f>
        <v>196157</v>
      </c>
      <c r="G136" s="208"/>
      <c r="H136" s="208">
        <f>SUM(H134:H135)</f>
        <v>240550</v>
      </c>
      <c r="I136" s="208"/>
      <c r="J136" s="208">
        <f>SUM(J134:J135)</f>
        <v>163854</v>
      </c>
      <c r="K136" s="208"/>
      <c r="L136" s="208">
        <f>SUM(L134:L135)</f>
        <v>81098</v>
      </c>
      <c r="M136" s="208"/>
      <c r="N136" s="208">
        <f>SUM(N134:N135)</f>
        <v>29462</v>
      </c>
      <c r="O136" s="208"/>
      <c r="P136" s="208">
        <f>SUM(P134:P135)</f>
        <v>43954</v>
      </c>
      <c r="Q136" s="208"/>
      <c r="R136" s="208">
        <f>SUM(R134:R135)</f>
        <v>76224</v>
      </c>
      <c r="S136" s="208"/>
      <c r="T136" s="208">
        <f>SUM(T134:T135)</f>
        <v>149430</v>
      </c>
      <c r="U136" s="269"/>
      <c r="V136" s="208">
        <f>SUM(V134:V135)</f>
        <v>1750799</v>
      </c>
      <c r="W136" s="200"/>
      <c r="X136" s="219">
        <f>SUM(X134:X135)</f>
        <v>394836</v>
      </c>
      <c r="Y136" s="200"/>
      <c r="Z136" s="219">
        <f>SUM(Z134:Z135)</f>
        <v>1422602</v>
      </c>
      <c r="AA136" s="200"/>
      <c r="AB136" s="230">
        <f>SUM(AB134:AB135)</f>
        <v>729923</v>
      </c>
      <c r="AC136" s="208"/>
      <c r="AD136" s="208">
        <f>SUM(AD134:AD135)</f>
        <v>1132516</v>
      </c>
      <c r="AE136" s="200"/>
      <c r="AF136" s="200">
        <f>SUM(AF134:AF135)</f>
        <v>694865</v>
      </c>
      <c r="AG136" s="200"/>
      <c r="AH136" s="200">
        <f>SUM(AH134:AH135)</f>
        <v>1451195</v>
      </c>
      <c r="AI136" s="200"/>
      <c r="AJ136" s="200">
        <f>SUM(AJ134:AJ135)</f>
        <v>2345293</v>
      </c>
      <c r="AK136" s="200"/>
      <c r="AL136" s="200">
        <f>SUM(AL134:AL135)</f>
        <v>2120733</v>
      </c>
      <c r="AM136" s="200"/>
      <c r="AN136" s="200">
        <f>SUM(AN134:AN135)</f>
        <v>3043804</v>
      </c>
      <c r="AO136" s="200"/>
      <c r="AP136" s="200">
        <f>SUM(AP134:AP135)</f>
        <v>2242642</v>
      </c>
      <c r="AQ136" s="200"/>
      <c r="AR136" s="200">
        <f>SUM(AR134:AR135)</f>
        <v>1734040</v>
      </c>
      <c r="AS136" s="200"/>
      <c r="AT136" s="200">
        <f>SUM(AT134:AT135)</f>
        <v>2487199</v>
      </c>
      <c r="AU136" s="200"/>
      <c r="AV136" s="200">
        <f>SUM(AV134:AV135)</f>
        <v>1494518</v>
      </c>
      <c r="AW136" s="249"/>
      <c r="AX136" s="219">
        <f>SUM(AX134:AX135)</f>
        <v>3082424</v>
      </c>
      <c r="AY136" s="219"/>
      <c r="AZ136" s="219">
        <f>SUM(AZ134:AZ135)</f>
        <v>986583</v>
      </c>
      <c r="BA136" s="292"/>
      <c r="BB136" s="219"/>
      <c r="BC136" s="219"/>
      <c r="BD136" s="219"/>
      <c r="BE136" s="219"/>
      <c r="BF136" s="219"/>
      <c r="BG136" s="219"/>
      <c r="BH136" s="219"/>
      <c r="BI136" s="232"/>
      <c r="BJ136" s="219"/>
      <c r="BK136" s="208">
        <f>D136+H136+J136+L136+N136+P136+R136+T136+V136+X136+Z136+AB136+AD136+AF136+AH136+AJ136+AL136+AN136+AP136+AR136+AT136+AV136+AX136+AZ136+BD136+BH136</f>
        <v>28904839</v>
      </c>
      <c r="BL136" s="172"/>
      <c r="BM136" s="231"/>
      <c r="BN136" s="231"/>
      <c r="BP136" s="231"/>
    </row>
    <row r="137" spans="1:1165">
      <c r="A137" s="206"/>
      <c r="B137" s="207"/>
      <c r="C137" s="268"/>
      <c r="D137" s="268"/>
      <c r="E137" s="208"/>
      <c r="F137" s="208"/>
      <c r="G137" s="208"/>
      <c r="H137" s="208"/>
      <c r="I137" s="208"/>
      <c r="J137" s="208"/>
      <c r="K137" s="208"/>
      <c r="L137" s="208"/>
      <c r="M137" s="208"/>
      <c r="N137" s="208"/>
      <c r="O137" s="208"/>
      <c r="P137" s="208"/>
      <c r="Q137" s="208"/>
      <c r="R137" s="208"/>
      <c r="S137" s="208"/>
      <c r="T137" s="208"/>
      <c r="U137" s="269"/>
      <c r="V137" s="269"/>
      <c r="W137" s="200"/>
      <c r="X137" s="200"/>
      <c r="Y137" s="200"/>
      <c r="Z137" s="200"/>
      <c r="AA137" s="200"/>
      <c r="AB137" s="200"/>
      <c r="AC137" s="208"/>
      <c r="AD137" s="208"/>
      <c r="AE137" s="200"/>
      <c r="AF137" s="200"/>
      <c r="AG137" s="200"/>
      <c r="AH137" s="200"/>
      <c r="AI137" s="200"/>
      <c r="AJ137" s="200"/>
      <c r="AK137" s="200"/>
      <c r="AL137" s="200"/>
      <c r="AM137" s="200"/>
      <c r="AN137" s="200"/>
      <c r="AO137" s="200"/>
      <c r="AP137" s="200"/>
      <c r="AQ137" s="200"/>
      <c r="AR137" s="200"/>
      <c r="AS137" s="200"/>
      <c r="AT137" s="200"/>
      <c r="AU137" s="230"/>
      <c r="AV137" s="230"/>
      <c r="AW137" s="249"/>
      <c r="AX137" s="249"/>
      <c r="AY137" s="248"/>
      <c r="AZ137" s="248"/>
      <c r="BA137" s="283"/>
      <c r="BB137" s="249"/>
      <c r="BC137" s="249"/>
      <c r="BD137" s="249"/>
      <c r="BE137" s="249"/>
      <c r="BF137" s="249"/>
      <c r="BG137" s="249"/>
      <c r="BH137" s="249"/>
      <c r="BI137" s="283"/>
      <c r="BJ137" s="249"/>
      <c r="BK137" s="249"/>
      <c r="BL137" s="172"/>
      <c r="BN137" s="231"/>
      <c r="BO137" s="231"/>
      <c r="BP137" s="231"/>
    </row>
    <row r="138" spans="1:1165" s="257" customFormat="1">
      <c r="A138" s="194" t="s">
        <v>247</v>
      </c>
      <c r="B138" s="215"/>
      <c r="C138" s="284"/>
      <c r="D138" s="284"/>
      <c r="E138" s="211"/>
      <c r="F138" s="211"/>
      <c r="G138" s="211"/>
      <c r="H138" s="211"/>
      <c r="I138" s="211"/>
      <c r="J138" s="211"/>
      <c r="K138" s="211"/>
      <c r="L138" s="211"/>
      <c r="M138" s="211"/>
      <c r="N138" s="211"/>
      <c r="O138" s="211"/>
      <c r="P138" s="211"/>
      <c r="Q138" s="211"/>
      <c r="R138" s="211"/>
      <c r="S138" s="211"/>
      <c r="T138" s="211"/>
      <c r="U138" s="196"/>
      <c r="V138" s="196"/>
      <c r="W138" s="196"/>
      <c r="X138" s="196"/>
      <c r="Y138" s="196"/>
      <c r="Z138" s="196"/>
      <c r="AA138" s="196"/>
      <c r="AB138" s="196"/>
      <c r="AC138" s="198"/>
      <c r="AD138" s="198"/>
      <c r="AE138" s="196"/>
      <c r="AF138" s="196"/>
      <c r="AG138" s="196"/>
      <c r="AH138" s="196"/>
      <c r="AI138" s="196"/>
      <c r="AJ138" s="196"/>
      <c r="AK138" s="196"/>
      <c r="AL138" s="196"/>
      <c r="AM138" s="196"/>
      <c r="AN138" s="196"/>
      <c r="AO138" s="196"/>
      <c r="AP138" s="196"/>
      <c r="AQ138" s="196"/>
      <c r="AR138" s="196"/>
      <c r="AS138" s="196"/>
      <c r="AT138" s="196"/>
      <c r="AU138" s="196"/>
      <c r="AV138" s="196"/>
      <c r="AW138" s="256"/>
      <c r="AX138" s="256"/>
      <c r="AY138" s="255"/>
      <c r="AZ138" s="255"/>
      <c r="BA138" s="262"/>
      <c r="BB138" s="256"/>
      <c r="BC138" s="256"/>
      <c r="BD138" s="256"/>
      <c r="BE138" s="256"/>
      <c r="BF138" s="211"/>
      <c r="BG138" s="263"/>
      <c r="BH138" s="211"/>
      <c r="BI138" s="262"/>
      <c r="BJ138" s="256"/>
      <c r="BK138" s="256"/>
      <c r="BL138" s="172"/>
      <c r="BM138" s="231"/>
      <c r="BN138" s="231"/>
      <c r="BO138" s="231"/>
      <c r="BP138" s="231"/>
      <c r="BQ138" s="172"/>
      <c r="BR138" s="172"/>
      <c r="BS138" s="172"/>
      <c r="BT138" s="172"/>
      <c r="BU138" s="172"/>
      <c r="BV138" s="172"/>
      <c r="BW138" s="172"/>
      <c r="BX138" s="172"/>
      <c r="BY138" s="172"/>
      <c r="BZ138" s="172"/>
      <c r="CA138" s="172"/>
      <c r="CB138" s="172"/>
      <c r="CC138" s="172"/>
      <c r="CD138" s="172"/>
      <c r="CE138" s="172"/>
      <c r="CF138" s="172"/>
      <c r="CG138" s="172"/>
      <c r="CH138" s="172"/>
      <c r="CI138" s="172"/>
      <c r="CJ138" s="172"/>
      <c r="CK138" s="172"/>
      <c r="CL138" s="172"/>
      <c r="CM138" s="172"/>
      <c r="CN138" s="172"/>
      <c r="CO138" s="172"/>
      <c r="CP138" s="172"/>
      <c r="CQ138" s="172"/>
      <c r="CR138" s="172"/>
      <c r="CS138" s="172"/>
      <c r="CT138" s="172"/>
      <c r="CU138" s="172"/>
      <c r="CV138" s="172"/>
      <c r="CW138" s="172"/>
      <c r="CX138" s="172"/>
      <c r="CY138" s="172"/>
      <c r="CZ138" s="172"/>
      <c r="DA138" s="172"/>
      <c r="DB138" s="172"/>
      <c r="DC138" s="172"/>
      <c r="DD138" s="172"/>
      <c r="DE138" s="172"/>
      <c r="DF138" s="172"/>
      <c r="DG138" s="172"/>
      <c r="DH138" s="172"/>
      <c r="DI138" s="172"/>
      <c r="DJ138" s="172"/>
      <c r="DK138" s="172"/>
      <c r="DL138" s="172"/>
      <c r="DM138" s="172"/>
      <c r="DN138" s="172"/>
      <c r="DO138" s="172"/>
      <c r="DP138" s="172"/>
      <c r="DQ138" s="172"/>
      <c r="DR138" s="172"/>
      <c r="DS138" s="172"/>
      <c r="DT138" s="172"/>
      <c r="DU138" s="172"/>
      <c r="DV138" s="172"/>
      <c r="DW138" s="172"/>
      <c r="DX138" s="172"/>
      <c r="DY138" s="172"/>
      <c r="DZ138" s="172"/>
      <c r="EA138" s="172"/>
      <c r="EB138" s="172"/>
      <c r="EC138" s="172"/>
      <c r="ED138" s="172"/>
      <c r="EE138" s="172"/>
      <c r="EF138" s="172"/>
      <c r="EG138" s="172"/>
      <c r="EH138" s="172"/>
      <c r="EI138" s="172"/>
      <c r="EJ138" s="172"/>
      <c r="EK138" s="172"/>
      <c r="EL138" s="172"/>
      <c r="EM138" s="172"/>
      <c r="EN138" s="172"/>
      <c r="EO138" s="172"/>
      <c r="EP138" s="172"/>
      <c r="EQ138" s="172"/>
      <c r="ER138" s="172"/>
      <c r="ES138" s="172"/>
      <c r="ET138" s="172"/>
      <c r="EU138" s="172"/>
      <c r="EV138" s="172"/>
      <c r="EW138" s="172"/>
      <c r="EX138" s="172"/>
      <c r="EY138" s="172"/>
      <c r="EZ138" s="172"/>
      <c r="FA138" s="172"/>
      <c r="FB138" s="172"/>
      <c r="FC138" s="172"/>
      <c r="FD138" s="172"/>
      <c r="FE138" s="172"/>
      <c r="FF138" s="172"/>
      <c r="FG138" s="172"/>
      <c r="FH138" s="172"/>
      <c r="FI138" s="172"/>
      <c r="FJ138" s="172"/>
      <c r="FK138" s="172"/>
      <c r="FL138" s="172"/>
      <c r="FM138" s="172"/>
      <c r="FN138" s="172"/>
      <c r="FO138" s="172"/>
      <c r="FP138" s="172"/>
      <c r="FQ138" s="172"/>
      <c r="FR138" s="172"/>
      <c r="FS138" s="172"/>
      <c r="FT138" s="172"/>
      <c r="FU138" s="172"/>
      <c r="FV138" s="172"/>
      <c r="FW138" s="172"/>
      <c r="FX138" s="172"/>
      <c r="FY138" s="172"/>
      <c r="FZ138" s="172"/>
      <c r="GA138" s="172"/>
      <c r="GB138" s="172"/>
      <c r="GC138" s="172"/>
      <c r="GD138" s="172"/>
      <c r="GE138" s="172"/>
      <c r="GF138" s="172"/>
      <c r="GG138" s="172"/>
      <c r="GH138" s="172"/>
      <c r="GI138" s="172"/>
      <c r="GJ138" s="172"/>
      <c r="GK138" s="172"/>
      <c r="GL138" s="172"/>
      <c r="GM138" s="172"/>
      <c r="GN138" s="172"/>
      <c r="GO138" s="172"/>
      <c r="GP138" s="172"/>
      <c r="GQ138" s="172"/>
      <c r="GR138" s="172"/>
      <c r="GS138" s="172"/>
      <c r="GT138" s="172"/>
      <c r="GU138" s="172"/>
      <c r="GV138" s="172"/>
      <c r="GW138" s="172"/>
      <c r="GX138" s="172"/>
      <c r="GY138" s="172"/>
      <c r="GZ138" s="172"/>
      <c r="HA138" s="172"/>
      <c r="HB138" s="172"/>
      <c r="HC138" s="172"/>
      <c r="HD138" s="172"/>
      <c r="HE138" s="172"/>
      <c r="HF138" s="172"/>
      <c r="HG138" s="172"/>
      <c r="HH138" s="172"/>
      <c r="HI138" s="172"/>
      <c r="HJ138" s="172"/>
      <c r="HK138" s="172"/>
      <c r="HL138" s="172"/>
      <c r="HM138" s="172"/>
      <c r="HN138" s="172"/>
      <c r="HO138" s="172"/>
      <c r="HP138" s="172"/>
      <c r="HQ138" s="172"/>
      <c r="HR138" s="172"/>
      <c r="HS138" s="172"/>
      <c r="HT138" s="172"/>
      <c r="HU138" s="172"/>
      <c r="HV138" s="172"/>
      <c r="HW138" s="172"/>
      <c r="HX138" s="172"/>
      <c r="HY138" s="172"/>
      <c r="HZ138" s="172"/>
      <c r="IA138" s="172"/>
      <c r="IB138" s="172"/>
      <c r="IC138" s="172"/>
      <c r="ID138" s="172"/>
      <c r="IE138" s="172"/>
      <c r="IF138" s="172"/>
      <c r="IG138" s="172"/>
      <c r="IH138" s="172"/>
      <c r="II138" s="172"/>
      <c r="IJ138" s="172"/>
      <c r="IK138" s="172"/>
      <c r="IL138" s="172"/>
      <c r="IM138" s="172"/>
      <c r="IN138" s="172"/>
      <c r="IO138" s="172"/>
      <c r="IP138" s="172"/>
      <c r="IQ138" s="172"/>
      <c r="IR138" s="172"/>
      <c r="IS138" s="172"/>
      <c r="IT138" s="172"/>
      <c r="IU138" s="172"/>
      <c r="IV138" s="172"/>
      <c r="IW138" s="172"/>
      <c r="IX138" s="172"/>
      <c r="IY138" s="172"/>
      <c r="IZ138" s="172"/>
      <c r="JA138" s="172"/>
      <c r="JB138" s="172"/>
      <c r="JC138" s="172"/>
      <c r="JD138" s="172"/>
      <c r="JE138" s="172"/>
      <c r="JF138" s="172"/>
      <c r="JG138" s="172"/>
      <c r="JH138" s="172"/>
      <c r="JI138" s="172"/>
      <c r="JJ138" s="172"/>
      <c r="JK138" s="172"/>
      <c r="JL138" s="172"/>
      <c r="JM138" s="172"/>
      <c r="JN138" s="172"/>
      <c r="JO138" s="172"/>
      <c r="JP138" s="172"/>
      <c r="JQ138" s="172"/>
      <c r="JR138" s="172"/>
      <c r="JS138" s="172"/>
      <c r="JT138" s="172"/>
      <c r="JU138" s="172"/>
      <c r="JV138" s="172"/>
      <c r="JW138" s="172"/>
      <c r="JX138" s="172"/>
      <c r="JY138" s="172"/>
      <c r="JZ138" s="172"/>
      <c r="KA138" s="172"/>
      <c r="KB138" s="172"/>
      <c r="KC138" s="172"/>
      <c r="KD138" s="172"/>
      <c r="KE138" s="172"/>
      <c r="KF138" s="172"/>
      <c r="KG138" s="172"/>
      <c r="KH138" s="172"/>
      <c r="KI138" s="172"/>
      <c r="KJ138" s="172"/>
      <c r="KK138" s="172"/>
      <c r="KL138" s="172"/>
      <c r="KM138" s="172"/>
      <c r="KN138" s="172"/>
      <c r="KO138" s="172"/>
      <c r="KP138" s="172"/>
      <c r="KQ138" s="172"/>
      <c r="KR138" s="172"/>
      <c r="KS138" s="172"/>
      <c r="KT138" s="172"/>
      <c r="KU138" s="172"/>
      <c r="KV138" s="172"/>
      <c r="KW138" s="172"/>
      <c r="KX138" s="172"/>
      <c r="KY138" s="172"/>
      <c r="KZ138" s="172"/>
      <c r="LA138" s="172"/>
      <c r="LB138" s="172"/>
      <c r="LC138" s="172"/>
      <c r="LD138" s="172"/>
      <c r="LE138" s="172"/>
      <c r="LF138" s="172"/>
      <c r="LG138" s="172"/>
      <c r="LH138" s="172"/>
      <c r="LI138" s="172"/>
      <c r="LJ138" s="172"/>
      <c r="LK138" s="172"/>
      <c r="LL138" s="172"/>
      <c r="LM138" s="172"/>
      <c r="LN138" s="172"/>
      <c r="LO138" s="172"/>
      <c r="LP138" s="172"/>
      <c r="LQ138" s="172"/>
      <c r="LR138" s="172"/>
      <c r="LS138" s="172"/>
      <c r="LT138" s="172"/>
      <c r="LU138" s="172"/>
      <c r="LV138" s="172"/>
      <c r="LW138" s="172"/>
      <c r="LX138" s="172"/>
      <c r="LY138" s="172"/>
      <c r="LZ138" s="172"/>
      <c r="MA138" s="172"/>
      <c r="MB138" s="172"/>
      <c r="MC138" s="172"/>
      <c r="MD138" s="172"/>
      <c r="ME138" s="172"/>
      <c r="MF138" s="172"/>
      <c r="MG138" s="172"/>
      <c r="MH138" s="172"/>
      <c r="MI138" s="172"/>
      <c r="MJ138" s="172"/>
      <c r="MK138" s="172"/>
      <c r="ML138" s="172"/>
      <c r="MM138" s="172"/>
      <c r="MN138" s="172"/>
      <c r="MO138" s="172"/>
      <c r="MP138" s="172"/>
      <c r="MQ138" s="172"/>
      <c r="MR138" s="172"/>
      <c r="MS138" s="172"/>
      <c r="MT138" s="172"/>
      <c r="MU138" s="172"/>
      <c r="MV138" s="172"/>
      <c r="MW138" s="172"/>
      <c r="MX138" s="172"/>
      <c r="MY138" s="172"/>
      <c r="MZ138" s="172"/>
      <c r="NA138" s="172"/>
      <c r="NB138" s="172"/>
      <c r="NC138" s="172"/>
      <c r="ND138" s="172"/>
      <c r="NE138" s="172"/>
      <c r="NF138" s="172"/>
      <c r="NG138" s="172"/>
      <c r="NH138" s="172"/>
      <c r="NI138" s="172"/>
      <c r="NJ138" s="172"/>
      <c r="NK138" s="172"/>
      <c r="NL138" s="172"/>
      <c r="NM138" s="172"/>
      <c r="NN138" s="172"/>
      <c r="NO138" s="172"/>
      <c r="NP138" s="172"/>
      <c r="NQ138" s="172"/>
      <c r="NR138" s="172"/>
      <c r="NS138" s="172"/>
      <c r="NT138" s="172"/>
      <c r="NU138" s="172"/>
      <c r="NV138" s="172"/>
      <c r="NW138" s="172"/>
      <c r="NX138" s="172"/>
      <c r="NY138" s="172"/>
      <c r="NZ138" s="172"/>
      <c r="OA138" s="172"/>
      <c r="OB138" s="172"/>
      <c r="OC138" s="172"/>
      <c r="OD138" s="172"/>
      <c r="OE138" s="172"/>
      <c r="OF138" s="172"/>
      <c r="OG138" s="172"/>
      <c r="OH138" s="172"/>
      <c r="OI138" s="172"/>
      <c r="OJ138" s="172"/>
      <c r="OK138" s="172"/>
      <c r="OL138" s="172"/>
      <c r="OM138" s="172"/>
      <c r="ON138" s="172"/>
      <c r="OO138" s="172"/>
      <c r="OP138" s="172"/>
      <c r="OQ138" s="172"/>
      <c r="OR138" s="172"/>
      <c r="OS138" s="172"/>
      <c r="OT138" s="172"/>
      <c r="OU138" s="172"/>
      <c r="OV138" s="172"/>
      <c r="OW138" s="172"/>
      <c r="OX138" s="172"/>
      <c r="OY138" s="172"/>
      <c r="OZ138" s="172"/>
      <c r="PA138" s="172"/>
      <c r="PB138" s="172"/>
      <c r="PC138" s="172"/>
      <c r="PD138" s="172"/>
      <c r="PE138" s="172"/>
      <c r="PF138" s="172"/>
      <c r="PG138" s="172"/>
      <c r="PH138" s="172"/>
      <c r="PI138" s="172"/>
      <c r="PJ138" s="172"/>
      <c r="PK138" s="172"/>
      <c r="PL138" s="172"/>
      <c r="PM138" s="172"/>
      <c r="PN138" s="172"/>
      <c r="PO138" s="172"/>
      <c r="PP138" s="172"/>
      <c r="PQ138" s="172"/>
      <c r="PR138" s="172"/>
      <c r="PS138" s="172"/>
      <c r="PT138" s="172"/>
      <c r="PU138" s="172"/>
      <c r="PV138" s="172"/>
      <c r="PW138" s="172"/>
      <c r="PX138" s="172"/>
      <c r="PY138" s="172"/>
      <c r="PZ138" s="172"/>
      <c r="QA138" s="172"/>
      <c r="QB138" s="172"/>
      <c r="QC138" s="172"/>
      <c r="QD138" s="172"/>
      <c r="QE138" s="172"/>
      <c r="QF138" s="172"/>
      <c r="QG138" s="172"/>
      <c r="QH138" s="172"/>
      <c r="QI138" s="172"/>
      <c r="QJ138" s="172"/>
      <c r="QK138" s="172"/>
      <c r="QL138" s="172"/>
      <c r="QM138" s="172"/>
      <c r="QN138" s="172"/>
      <c r="QO138" s="172"/>
      <c r="QP138" s="172"/>
      <c r="QQ138" s="172"/>
      <c r="QR138" s="172"/>
      <c r="QS138" s="172"/>
      <c r="QT138" s="172"/>
      <c r="QU138" s="172"/>
      <c r="QV138" s="172"/>
      <c r="QW138" s="172"/>
      <c r="QX138" s="172"/>
      <c r="QY138" s="172"/>
      <c r="QZ138" s="172"/>
      <c r="RA138" s="172"/>
      <c r="RB138" s="172"/>
      <c r="RC138" s="172"/>
      <c r="RD138" s="172"/>
      <c r="RE138" s="172"/>
      <c r="RF138" s="172"/>
      <c r="RG138" s="172"/>
      <c r="RH138" s="172"/>
      <c r="RI138" s="172"/>
      <c r="RJ138" s="172"/>
      <c r="RK138" s="172"/>
      <c r="RL138" s="172"/>
      <c r="RM138" s="172"/>
      <c r="RN138" s="172"/>
      <c r="RO138" s="172"/>
      <c r="RP138" s="172"/>
      <c r="RQ138" s="172"/>
      <c r="RR138" s="172"/>
      <c r="RS138" s="172"/>
      <c r="RT138" s="172"/>
      <c r="RU138" s="172"/>
      <c r="RV138" s="172"/>
      <c r="RW138" s="172"/>
      <c r="RX138" s="172"/>
      <c r="RY138" s="172"/>
      <c r="RZ138" s="172"/>
      <c r="SA138" s="172"/>
      <c r="SB138" s="172"/>
      <c r="SC138" s="172"/>
      <c r="SD138" s="172"/>
      <c r="SE138" s="172"/>
      <c r="SF138" s="172"/>
      <c r="SG138" s="172"/>
      <c r="SH138" s="172"/>
      <c r="SI138" s="172"/>
      <c r="SJ138" s="172"/>
      <c r="SK138" s="172"/>
      <c r="SL138" s="172"/>
      <c r="SM138" s="172"/>
      <c r="SN138" s="172"/>
      <c r="SO138" s="172"/>
      <c r="SP138" s="172"/>
      <c r="SQ138" s="172"/>
      <c r="SR138" s="172"/>
      <c r="SS138" s="172"/>
      <c r="ST138" s="172"/>
      <c r="SU138" s="172"/>
      <c r="SV138" s="172"/>
      <c r="SW138" s="172"/>
      <c r="SX138" s="172"/>
      <c r="SY138" s="172"/>
      <c r="SZ138" s="172"/>
      <c r="TA138" s="172"/>
      <c r="TB138" s="172"/>
      <c r="TC138" s="172"/>
      <c r="TD138" s="172"/>
      <c r="TE138" s="172"/>
      <c r="TF138" s="172"/>
      <c r="TG138" s="172"/>
      <c r="TH138" s="172"/>
      <c r="TI138" s="172"/>
      <c r="TJ138" s="172"/>
      <c r="TK138" s="172"/>
      <c r="TL138" s="172"/>
      <c r="TM138" s="172"/>
      <c r="TN138" s="172"/>
      <c r="TO138" s="172"/>
      <c r="TP138" s="172"/>
      <c r="TQ138" s="172"/>
      <c r="TR138" s="172"/>
      <c r="TS138" s="172"/>
      <c r="TT138" s="172"/>
      <c r="TU138" s="172"/>
      <c r="TV138" s="172"/>
      <c r="TW138" s="172"/>
      <c r="TX138" s="172"/>
      <c r="TY138" s="172"/>
      <c r="TZ138" s="172"/>
      <c r="UA138" s="172"/>
      <c r="UB138" s="172"/>
      <c r="UC138" s="172"/>
      <c r="UD138" s="172"/>
      <c r="UE138" s="172"/>
      <c r="UF138" s="172"/>
      <c r="UG138" s="172"/>
      <c r="UH138" s="172"/>
      <c r="UI138" s="172"/>
      <c r="UJ138" s="172"/>
      <c r="UK138" s="172"/>
      <c r="UL138" s="172"/>
      <c r="UM138" s="172"/>
      <c r="UN138" s="172"/>
      <c r="UO138" s="172"/>
      <c r="UP138" s="172"/>
      <c r="UQ138" s="172"/>
      <c r="UR138" s="172"/>
      <c r="US138" s="172"/>
      <c r="UT138" s="172"/>
      <c r="UU138" s="172"/>
      <c r="UV138" s="172"/>
      <c r="UW138" s="172"/>
      <c r="UX138" s="172"/>
      <c r="UY138" s="172"/>
      <c r="UZ138" s="172"/>
      <c r="VA138" s="172"/>
      <c r="VB138" s="172"/>
      <c r="VC138" s="172"/>
      <c r="VD138" s="172"/>
      <c r="VE138" s="172"/>
      <c r="VF138" s="172"/>
      <c r="VG138" s="172"/>
      <c r="VH138" s="172"/>
      <c r="VI138" s="172"/>
      <c r="VJ138" s="172"/>
      <c r="VK138" s="172"/>
      <c r="VL138" s="172"/>
      <c r="VM138" s="172"/>
      <c r="VN138" s="172"/>
      <c r="VO138" s="172"/>
      <c r="VP138" s="172"/>
      <c r="VQ138" s="172"/>
      <c r="VR138" s="172"/>
      <c r="VS138" s="172"/>
      <c r="VT138" s="172"/>
      <c r="VU138" s="172"/>
      <c r="VV138" s="172"/>
      <c r="VW138" s="172"/>
      <c r="VX138" s="172"/>
      <c r="VY138" s="172"/>
      <c r="VZ138" s="172"/>
      <c r="WA138" s="172"/>
      <c r="WB138" s="172"/>
      <c r="WC138" s="172"/>
      <c r="WD138" s="172"/>
      <c r="WE138" s="172"/>
      <c r="WF138" s="172"/>
      <c r="WG138" s="172"/>
      <c r="WH138" s="172"/>
      <c r="WI138" s="172"/>
      <c r="WJ138" s="172"/>
      <c r="WK138" s="172"/>
      <c r="WL138" s="172"/>
      <c r="WM138" s="172"/>
      <c r="WN138" s="172"/>
      <c r="WO138" s="172"/>
      <c r="WP138" s="172"/>
      <c r="WQ138" s="172"/>
      <c r="WR138" s="172"/>
      <c r="WS138" s="172"/>
      <c r="WT138" s="172"/>
      <c r="WU138" s="172"/>
      <c r="WV138" s="172"/>
      <c r="WW138" s="172"/>
      <c r="WX138" s="172"/>
      <c r="WY138" s="172"/>
      <c r="WZ138" s="172"/>
      <c r="XA138" s="172"/>
      <c r="XB138" s="172"/>
      <c r="XC138" s="172"/>
      <c r="XD138" s="172"/>
      <c r="XE138" s="172"/>
      <c r="XF138" s="172"/>
      <c r="XG138" s="172"/>
      <c r="XH138" s="172"/>
      <c r="XI138" s="172"/>
      <c r="XJ138" s="172"/>
      <c r="XK138" s="172"/>
      <c r="XL138" s="172"/>
      <c r="XM138" s="172"/>
      <c r="XN138" s="172"/>
      <c r="XO138" s="172"/>
      <c r="XP138" s="172"/>
      <c r="XQ138" s="172"/>
      <c r="XR138" s="172"/>
      <c r="XS138" s="172"/>
      <c r="XT138" s="172"/>
      <c r="XU138" s="172"/>
      <c r="XV138" s="172"/>
      <c r="XW138" s="172"/>
      <c r="XX138" s="172"/>
      <c r="XY138" s="172"/>
      <c r="XZ138" s="172"/>
      <c r="YA138" s="172"/>
      <c r="YB138" s="172"/>
      <c r="YC138" s="172"/>
      <c r="YD138" s="172"/>
      <c r="YE138" s="172"/>
      <c r="YF138" s="172"/>
      <c r="YG138" s="172"/>
      <c r="YH138" s="172"/>
      <c r="YI138" s="172"/>
      <c r="YJ138" s="172"/>
      <c r="YK138" s="172"/>
      <c r="YL138" s="172"/>
      <c r="YM138" s="172"/>
      <c r="YN138" s="172"/>
      <c r="YO138" s="172"/>
      <c r="YP138" s="172"/>
      <c r="YQ138" s="172"/>
      <c r="YR138" s="172"/>
      <c r="YS138" s="172"/>
      <c r="YT138" s="172"/>
      <c r="YU138" s="172"/>
      <c r="YV138" s="172"/>
      <c r="YW138" s="172"/>
      <c r="YX138" s="172"/>
      <c r="YY138" s="172"/>
      <c r="YZ138" s="172"/>
      <c r="ZA138" s="172"/>
      <c r="ZB138" s="172"/>
      <c r="ZC138" s="172"/>
      <c r="ZD138" s="172"/>
      <c r="ZE138" s="172"/>
      <c r="ZF138" s="172"/>
      <c r="ZG138" s="172"/>
      <c r="ZH138" s="172"/>
      <c r="ZI138" s="172"/>
      <c r="ZJ138" s="172"/>
      <c r="ZK138" s="172"/>
      <c r="ZL138" s="172"/>
      <c r="ZM138" s="172"/>
      <c r="ZN138" s="172"/>
      <c r="ZO138" s="172"/>
      <c r="ZP138" s="172"/>
      <c r="ZQ138" s="172"/>
      <c r="ZR138" s="172"/>
      <c r="ZS138" s="172"/>
      <c r="ZT138" s="172"/>
      <c r="ZU138" s="172"/>
      <c r="ZV138" s="172"/>
      <c r="ZW138" s="172"/>
      <c r="ZX138" s="172"/>
      <c r="ZY138" s="172"/>
      <c r="ZZ138" s="172"/>
      <c r="AAA138" s="172"/>
      <c r="AAB138" s="172"/>
      <c r="AAC138" s="172"/>
      <c r="AAD138" s="172"/>
      <c r="AAE138" s="172"/>
      <c r="AAF138" s="172"/>
      <c r="AAG138" s="172"/>
      <c r="AAH138" s="172"/>
      <c r="AAI138" s="172"/>
      <c r="AAJ138" s="172"/>
      <c r="AAK138" s="172"/>
      <c r="AAL138" s="172"/>
      <c r="AAM138" s="172"/>
      <c r="AAN138" s="172"/>
      <c r="AAO138" s="172"/>
      <c r="AAP138" s="172"/>
      <c r="AAQ138" s="172"/>
      <c r="AAR138" s="172"/>
      <c r="AAS138" s="172"/>
      <c r="AAT138" s="172"/>
      <c r="AAU138" s="172"/>
      <c r="AAV138" s="172"/>
      <c r="AAW138" s="172"/>
      <c r="AAX138" s="172"/>
      <c r="AAY138" s="172"/>
      <c r="AAZ138" s="172"/>
      <c r="ABA138" s="172"/>
      <c r="ABB138" s="172"/>
      <c r="ABC138" s="172"/>
      <c r="ABD138" s="172"/>
      <c r="ABE138" s="172"/>
      <c r="ABF138" s="172"/>
      <c r="ABG138" s="172"/>
      <c r="ABH138" s="172"/>
      <c r="ABI138" s="172"/>
      <c r="ABJ138" s="172"/>
      <c r="ABK138" s="172"/>
      <c r="ABL138" s="172"/>
      <c r="ABM138" s="172"/>
      <c r="ABN138" s="172"/>
      <c r="ABO138" s="172"/>
      <c r="ABP138" s="172"/>
      <c r="ABQ138" s="172"/>
      <c r="ABR138" s="172"/>
      <c r="ABS138" s="172"/>
      <c r="ABT138" s="172"/>
      <c r="ABU138" s="172"/>
      <c r="ABV138" s="172"/>
      <c r="ABW138" s="172"/>
      <c r="ABX138" s="172"/>
      <c r="ABY138" s="172"/>
      <c r="ABZ138" s="172"/>
      <c r="ACA138" s="172"/>
      <c r="ACB138" s="172"/>
      <c r="ACC138" s="172"/>
      <c r="ACD138" s="172"/>
      <c r="ACE138" s="172"/>
      <c r="ACF138" s="172"/>
      <c r="ACG138" s="172"/>
      <c r="ACH138" s="172"/>
      <c r="ACI138" s="172"/>
      <c r="ACJ138" s="172"/>
      <c r="ACK138" s="172"/>
      <c r="ACL138" s="172"/>
      <c r="ACM138" s="172"/>
      <c r="ACN138" s="172"/>
      <c r="ACO138" s="172"/>
      <c r="ACP138" s="172"/>
      <c r="ACQ138" s="172"/>
      <c r="ACR138" s="172"/>
      <c r="ACS138" s="172"/>
      <c r="ACT138" s="172"/>
      <c r="ACU138" s="172"/>
      <c r="ACV138" s="172"/>
      <c r="ACW138" s="172"/>
      <c r="ACX138" s="172"/>
      <c r="ACY138" s="172"/>
      <c r="ACZ138" s="172"/>
      <c r="ADA138" s="172"/>
      <c r="ADB138" s="172"/>
      <c r="ADC138" s="172"/>
      <c r="ADD138" s="172"/>
      <c r="ADE138" s="172"/>
      <c r="ADF138" s="172"/>
      <c r="ADG138" s="172"/>
      <c r="ADH138" s="172"/>
      <c r="ADI138" s="172"/>
      <c r="ADJ138" s="172"/>
      <c r="ADK138" s="172"/>
      <c r="ADL138" s="172"/>
      <c r="ADM138" s="172"/>
      <c r="ADN138" s="172"/>
      <c r="ADO138" s="172"/>
      <c r="ADP138" s="172"/>
      <c r="ADQ138" s="172"/>
      <c r="ADR138" s="172"/>
      <c r="ADS138" s="172"/>
      <c r="ADT138" s="172"/>
      <c r="ADU138" s="172"/>
      <c r="ADV138" s="172"/>
      <c r="ADW138" s="172"/>
      <c r="ADX138" s="172"/>
      <c r="ADY138" s="172"/>
      <c r="ADZ138" s="172"/>
      <c r="AEA138" s="172"/>
      <c r="AEB138" s="172"/>
      <c r="AEC138" s="172"/>
      <c r="AED138" s="172"/>
      <c r="AEE138" s="172"/>
      <c r="AEF138" s="172"/>
      <c r="AEG138" s="172"/>
      <c r="AEH138" s="172"/>
      <c r="AEI138" s="172"/>
      <c r="AEJ138" s="172"/>
      <c r="AEK138" s="172"/>
      <c r="AEL138" s="172"/>
      <c r="AEM138" s="172"/>
      <c r="AEN138" s="172"/>
      <c r="AEO138" s="172"/>
      <c r="AEP138" s="172"/>
      <c r="AEQ138" s="172"/>
      <c r="AER138" s="172"/>
      <c r="AES138" s="172"/>
      <c r="AET138" s="172"/>
      <c r="AEU138" s="172"/>
      <c r="AEV138" s="172"/>
      <c r="AEW138" s="172"/>
      <c r="AEX138" s="172"/>
      <c r="AEY138" s="172"/>
      <c r="AEZ138" s="172"/>
      <c r="AFA138" s="172"/>
      <c r="AFB138" s="172"/>
      <c r="AFC138" s="172"/>
      <c r="AFD138" s="172"/>
      <c r="AFE138" s="172"/>
      <c r="AFF138" s="172"/>
      <c r="AFG138" s="172"/>
      <c r="AFH138" s="172"/>
      <c r="AFI138" s="172"/>
      <c r="AFJ138" s="172"/>
      <c r="AFK138" s="172"/>
      <c r="AFL138" s="172"/>
      <c r="AFM138" s="172"/>
      <c r="AFN138" s="172"/>
      <c r="AFO138" s="172"/>
      <c r="AFP138" s="172"/>
      <c r="AFQ138" s="172"/>
      <c r="AFR138" s="172"/>
      <c r="AFS138" s="172"/>
      <c r="AFT138" s="172"/>
      <c r="AFU138" s="172"/>
      <c r="AFV138" s="172"/>
      <c r="AFW138" s="172"/>
      <c r="AFX138" s="172"/>
      <c r="AFY138" s="172"/>
      <c r="AFZ138" s="172"/>
      <c r="AGA138" s="172"/>
      <c r="AGB138" s="172"/>
      <c r="AGC138" s="172"/>
      <c r="AGD138" s="172"/>
      <c r="AGE138" s="172"/>
      <c r="AGF138" s="172"/>
      <c r="AGG138" s="172"/>
      <c r="AGH138" s="172"/>
      <c r="AGI138" s="172"/>
      <c r="AGJ138" s="172"/>
      <c r="AGK138" s="172"/>
      <c r="AGL138" s="172"/>
      <c r="AGM138" s="172"/>
      <c r="AGN138" s="172"/>
      <c r="AGO138" s="172"/>
      <c r="AGP138" s="172"/>
      <c r="AGQ138" s="172"/>
      <c r="AGR138" s="172"/>
      <c r="AGS138" s="172"/>
      <c r="AGT138" s="172"/>
      <c r="AGU138" s="172"/>
      <c r="AGV138" s="172"/>
      <c r="AGW138" s="172"/>
      <c r="AGX138" s="172"/>
      <c r="AGY138" s="172"/>
      <c r="AGZ138" s="172"/>
      <c r="AHA138" s="172"/>
      <c r="AHB138" s="172"/>
      <c r="AHC138" s="172"/>
      <c r="AHD138" s="172"/>
      <c r="AHE138" s="172"/>
      <c r="AHF138" s="172"/>
      <c r="AHG138" s="172"/>
      <c r="AHH138" s="172"/>
      <c r="AHI138" s="172"/>
      <c r="AHJ138" s="172"/>
      <c r="AHK138" s="172"/>
      <c r="AHL138" s="172"/>
      <c r="AHM138" s="172"/>
      <c r="AHN138" s="172"/>
      <c r="AHO138" s="172"/>
      <c r="AHP138" s="172"/>
      <c r="AHQ138" s="172"/>
      <c r="AHR138" s="172"/>
      <c r="AHS138" s="172"/>
      <c r="AHT138" s="172"/>
      <c r="AHU138" s="172"/>
      <c r="AHV138" s="172"/>
      <c r="AHW138" s="172"/>
      <c r="AHX138" s="172"/>
      <c r="AHY138" s="172"/>
      <c r="AHZ138" s="172"/>
      <c r="AIA138" s="172"/>
      <c r="AIB138" s="172"/>
      <c r="AIC138" s="172"/>
      <c r="AID138" s="172"/>
      <c r="AIE138" s="172"/>
      <c r="AIF138" s="172"/>
      <c r="AIG138" s="172"/>
      <c r="AIH138" s="172"/>
      <c r="AII138" s="172"/>
      <c r="AIJ138" s="172"/>
      <c r="AIK138" s="172"/>
      <c r="AIL138" s="172"/>
      <c r="AIM138" s="172"/>
      <c r="AIN138" s="172"/>
      <c r="AIO138" s="172"/>
      <c r="AIP138" s="172"/>
      <c r="AIQ138" s="172"/>
      <c r="AIR138" s="172"/>
      <c r="AIS138" s="172"/>
      <c r="AIT138" s="172"/>
      <c r="AIU138" s="172"/>
      <c r="AIV138" s="172"/>
      <c r="AIW138" s="172"/>
      <c r="AIX138" s="172"/>
      <c r="AIY138" s="172"/>
      <c r="AIZ138" s="172"/>
      <c r="AJA138" s="172"/>
      <c r="AJB138" s="172"/>
      <c r="AJC138" s="172"/>
      <c r="AJD138" s="172"/>
      <c r="AJE138" s="172"/>
      <c r="AJF138" s="172"/>
      <c r="AJG138" s="172"/>
      <c r="AJH138" s="172"/>
      <c r="AJI138" s="172"/>
      <c r="AJJ138" s="172"/>
      <c r="AJK138" s="172"/>
      <c r="AJL138" s="172"/>
      <c r="AJM138" s="172"/>
      <c r="AJN138" s="172"/>
      <c r="AJO138" s="172"/>
      <c r="AJP138" s="172"/>
      <c r="AJQ138" s="172"/>
      <c r="AJR138" s="172"/>
      <c r="AJS138" s="172"/>
      <c r="AJT138" s="172"/>
      <c r="AJU138" s="172"/>
      <c r="AJV138" s="172"/>
      <c r="AJW138" s="172"/>
      <c r="AJX138" s="172"/>
      <c r="AJY138" s="172"/>
      <c r="AJZ138" s="172"/>
      <c r="AKA138" s="172"/>
      <c r="AKB138" s="172"/>
      <c r="AKC138" s="172"/>
      <c r="AKD138" s="172"/>
      <c r="AKE138" s="172"/>
      <c r="AKF138" s="172"/>
      <c r="AKG138" s="172"/>
      <c r="AKH138" s="172"/>
      <c r="AKI138" s="172"/>
      <c r="AKJ138" s="172"/>
      <c r="AKK138" s="172"/>
      <c r="AKL138" s="172"/>
      <c r="AKM138" s="172"/>
      <c r="AKN138" s="172"/>
      <c r="AKO138" s="172"/>
      <c r="AKP138" s="172"/>
      <c r="AKQ138" s="172"/>
      <c r="AKR138" s="172"/>
      <c r="AKS138" s="172"/>
      <c r="AKT138" s="172"/>
      <c r="AKU138" s="172"/>
      <c r="AKV138" s="172"/>
      <c r="AKW138" s="172"/>
      <c r="AKX138" s="172"/>
      <c r="AKY138" s="172"/>
      <c r="AKZ138" s="172"/>
      <c r="ALA138" s="172"/>
      <c r="ALB138" s="172"/>
      <c r="ALC138" s="172"/>
      <c r="ALD138" s="172"/>
      <c r="ALE138" s="172"/>
      <c r="ALF138" s="172"/>
      <c r="ALG138" s="172"/>
      <c r="ALH138" s="172"/>
      <c r="ALI138" s="172"/>
      <c r="ALJ138" s="172"/>
      <c r="ALK138" s="172"/>
      <c r="ALL138" s="172"/>
      <c r="ALM138" s="172"/>
      <c r="ALN138" s="172"/>
      <c r="ALO138" s="172"/>
      <c r="ALP138" s="172"/>
      <c r="ALQ138" s="172"/>
      <c r="ALR138" s="172"/>
      <c r="ALS138" s="172"/>
      <c r="ALT138" s="172"/>
      <c r="ALU138" s="172"/>
      <c r="ALV138" s="172"/>
      <c r="ALW138" s="172"/>
      <c r="ALX138" s="172"/>
      <c r="ALY138" s="172"/>
      <c r="ALZ138" s="172"/>
      <c r="AMA138" s="172"/>
      <c r="AMB138" s="172"/>
      <c r="AMC138" s="172"/>
      <c r="AMD138" s="172"/>
      <c r="AME138" s="172"/>
      <c r="AMF138" s="172"/>
      <c r="AMG138" s="172"/>
      <c r="AMH138" s="172"/>
      <c r="AMI138" s="172"/>
      <c r="AMJ138" s="172"/>
      <c r="AMK138" s="172"/>
      <c r="AML138" s="172"/>
      <c r="AMM138" s="172"/>
      <c r="AMN138" s="172"/>
      <c r="AMO138" s="172"/>
      <c r="AMP138" s="172"/>
      <c r="AMQ138" s="172"/>
      <c r="AMR138" s="172"/>
      <c r="AMS138" s="172"/>
      <c r="AMT138" s="172"/>
      <c r="AMU138" s="172"/>
      <c r="AMV138" s="172"/>
      <c r="AMW138" s="172"/>
      <c r="AMX138" s="172"/>
      <c r="AMY138" s="172"/>
      <c r="AMZ138" s="172"/>
      <c r="ANA138" s="172"/>
      <c r="ANB138" s="172"/>
      <c r="ANC138" s="172"/>
      <c r="AND138" s="172"/>
      <c r="ANE138" s="172"/>
      <c r="ANF138" s="172"/>
      <c r="ANG138" s="172"/>
      <c r="ANH138" s="172"/>
      <c r="ANI138" s="172"/>
      <c r="ANJ138" s="172"/>
      <c r="ANK138" s="172"/>
      <c r="ANL138" s="172"/>
      <c r="ANM138" s="172"/>
      <c r="ANN138" s="172"/>
      <c r="ANO138" s="172"/>
      <c r="ANP138" s="172"/>
      <c r="ANQ138" s="172"/>
      <c r="ANR138" s="172"/>
      <c r="ANS138" s="172"/>
      <c r="ANT138" s="172"/>
      <c r="ANU138" s="172"/>
      <c r="ANV138" s="172"/>
      <c r="ANW138" s="172"/>
      <c r="ANX138" s="172"/>
      <c r="ANY138" s="172"/>
      <c r="ANZ138" s="172"/>
      <c r="AOA138" s="172"/>
      <c r="AOB138" s="172"/>
      <c r="AOC138" s="172"/>
      <c r="AOD138" s="172"/>
      <c r="AOE138" s="172"/>
      <c r="AOF138" s="172"/>
      <c r="AOG138" s="172"/>
      <c r="AOH138" s="172"/>
      <c r="AOI138" s="172"/>
      <c r="AOJ138" s="172"/>
      <c r="AOK138" s="172"/>
      <c r="AOL138" s="172"/>
      <c r="AOM138" s="172"/>
      <c r="AON138" s="172"/>
      <c r="AOO138" s="172"/>
      <c r="AOP138" s="172"/>
      <c r="AOQ138" s="172"/>
      <c r="AOR138" s="172"/>
      <c r="AOS138" s="172"/>
      <c r="AOT138" s="172"/>
      <c r="AOU138" s="172"/>
      <c r="AOV138" s="172"/>
      <c r="AOW138" s="172"/>
      <c r="AOX138" s="172"/>
      <c r="AOY138" s="172"/>
      <c r="AOZ138" s="172"/>
      <c r="APA138" s="172"/>
      <c r="APB138" s="172"/>
      <c r="APC138" s="172"/>
      <c r="APD138" s="172"/>
      <c r="APE138" s="172"/>
      <c r="APF138" s="172"/>
      <c r="APG138" s="172"/>
      <c r="APH138" s="172"/>
      <c r="API138" s="172"/>
      <c r="APJ138" s="172"/>
      <c r="APK138" s="172"/>
      <c r="APL138" s="172"/>
      <c r="APM138" s="172"/>
      <c r="APN138" s="172"/>
      <c r="APO138" s="172"/>
      <c r="APP138" s="172"/>
      <c r="APQ138" s="172"/>
      <c r="APR138" s="172"/>
      <c r="APS138" s="172"/>
      <c r="APT138" s="172"/>
      <c r="APU138" s="172"/>
      <c r="APV138" s="172"/>
      <c r="APW138" s="172"/>
      <c r="APX138" s="172"/>
      <c r="APY138" s="172"/>
      <c r="APZ138" s="172"/>
      <c r="AQA138" s="172"/>
      <c r="AQB138" s="172"/>
      <c r="AQC138" s="172"/>
      <c r="AQD138" s="172"/>
      <c r="AQE138" s="172"/>
      <c r="AQF138" s="172"/>
      <c r="AQG138" s="172"/>
      <c r="AQH138" s="172"/>
      <c r="AQI138" s="172"/>
      <c r="AQJ138" s="172"/>
      <c r="AQK138" s="172"/>
      <c r="AQL138" s="172"/>
      <c r="AQM138" s="172"/>
      <c r="AQN138" s="172"/>
      <c r="AQO138" s="172"/>
      <c r="AQP138" s="172"/>
      <c r="AQQ138" s="172"/>
      <c r="AQR138" s="172"/>
      <c r="AQS138" s="172"/>
      <c r="AQT138" s="172"/>
      <c r="AQU138" s="172"/>
      <c r="AQV138" s="172"/>
      <c r="AQW138" s="172"/>
      <c r="AQX138" s="172"/>
      <c r="AQY138" s="172"/>
      <c r="AQZ138" s="172"/>
      <c r="ARA138" s="172"/>
      <c r="ARB138" s="172"/>
      <c r="ARC138" s="172"/>
      <c r="ARD138" s="172"/>
      <c r="ARE138" s="172"/>
      <c r="ARF138" s="172"/>
      <c r="ARG138" s="172"/>
      <c r="ARH138" s="172"/>
      <c r="ARI138" s="172"/>
      <c r="ARJ138" s="172"/>
      <c r="ARK138" s="172"/>
      <c r="ARL138" s="172"/>
      <c r="ARM138" s="172"/>
      <c r="ARN138" s="172"/>
      <c r="ARO138" s="172"/>
      <c r="ARP138" s="172"/>
      <c r="ARQ138" s="172"/>
      <c r="ARR138" s="172"/>
      <c r="ARS138" s="172"/>
      <c r="ART138" s="172"/>
      <c r="ARU138" s="172"/>
    </row>
    <row r="139" spans="1:1165" s="257" customFormat="1">
      <c r="A139" s="222" t="s">
        <v>248</v>
      </c>
      <c r="B139" s="195" t="s">
        <v>87</v>
      </c>
      <c r="C139" s="258">
        <f>36059783+58996</f>
        <v>36118779</v>
      </c>
      <c r="D139" s="258">
        <f>289345160+74096</f>
        <v>289419256</v>
      </c>
      <c r="E139" s="198">
        <f>1657610+57510+6486977</f>
        <v>8202097</v>
      </c>
      <c r="F139" s="198">
        <f>12229942+395666+71628071</f>
        <v>84253679</v>
      </c>
      <c r="G139" s="198">
        <f>1192606+5584621+371084</f>
        <v>7148311</v>
      </c>
      <c r="H139" s="198">
        <f>11756182+76432171+4081924</f>
        <v>92270277</v>
      </c>
      <c r="I139" s="198">
        <f>734378+6143446+447938</f>
        <v>7325762</v>
      </c>
      <c r="J139" s="198">
        <f>8025011+95277003+4405318</f>
        <v>107707332</v>
      </c>
      <c r="K139" s="198">
        <v>5419241</v>
      </c>
      <c r="L139" s="198">
        <f>3108688+77486104+5227926+3507394</f>
        <v>89330112</v>
      </c>
      <c r="M139" s="198">
        <f>875714+4977138</f>
        <v>5852852</v>
      </c>
      <c r="N139" s="198">
        <f>11605187+85004101</f>
        <v>96609288</v>
      </c>
      <c r="O139" s="198">
        <v>5968718</v>
      </c>
      <c r="P139" s="198">
        <v>102407489</v>
      </c>
      <c r="Q139" s="198">
        <v>6382235</v>
      </c>
      <c r="R139" s="198">
        <v>116709492</v>
      </c>
      <c r="S139" s="198">
        <v>5649979</v>
      </c>
      <c r="T139" s="198">
        <v>103585095</v>
      </c>
      <c r="U139" s="211">
        <v>5464527</v>
      </c>
      <c r="V139" s="211">
        <v>93583305</v>
      </c>
      <c r="W139" s="211">
        <v>4896893</v>
      </c>
      <c r="X139" s="211">
        <v>85248528</v>
      </c>
      <c r="Y139" s="211">
        <v>4772519</v>
      </c>
      <c r="Z139" s="211">
        <v>111147853</v>
      </c>
      <c r="AA139" s="226">
        <v>4773385</v>
      </c>
      <c r="AB139" s="226">
        <v>128740105</v>
      </c>
      <c r="AC139" s="198">
        <v>5638929</v>
      </c>
      <c r="AD139" s="198">
        <v>159029485</v>
      </c>
      <c r="AE139" s="226">
        <v>5475700</v>
      </c>
      <c r="AF139" s="226">
        <v>152105587</v>
      </c>
      <c r="AG139" s="196">
        <v>6434476</v>
      </c>
      <c r="AH139" s="196">
        <v>150174086</v>
      </c>
      <c r="AI139" s="196">
        <v>6533317</v>
      </c>
      <c r="AJ139" s="196">
        <v>154980117</v>
      </c>
      <c r="AK139" s="260">
        <v>5791703</v>
      </c>
      <c r="AL139" s="260">
        <v>136656820</v>
      </c>
      <c r="AM139" s="261">
        <v>7413286</v>
      </c>
      <c r="AN139" s="261">
        <v>183370087</v>
      </c>
      <c r="AO139" s="196">
        <v>6939914</v>
      </c>
      <c r="AP139" s="196">
        <v>200462609</v>
      </c>
      <c r="AQ139" s="196">
        <v>7015521</v>
      </c>
      <c r="AR139" s="196">
        <v>188894160</v>
      </c>
      <c r="AS139" s="196">
        <v>5780878</v>
      </c>
      <c r="AT139" s="196">
        <v>163634792</v>
      </c>
      <c r="AU139" s="226">
        <v>7282826</v>
      </c>
      <c r="AV139" s="226">
        <v>235698057</v>
      </c>
      <c r="AW139" s="196">
        <v>6599275</v>
      </c>
      <c r="AX139" s="196">
        <v>192414071</v>
      </c>
      <c r="AY139" s="211">
        <v>8004155</v>
      </c>
      <c r="AZ139" s="211">
        <v>189790259</v>
      </c>
      <c r="BA139" s="262"/>
      <c r="BB139" s="211"/>
      <c r="BC139" s="263"/>
      <c r="BD139" s="211"/>
      <c r="BE139" s="263"/>
      <c r="BF139" s="198"/>
      <c r="BG139" s="263"/>
      <c r="BH139" s="198"/>
      <c r="BI139" s="262"/>
      <c r="BJ139" s="211">
        <f t="shared" ref="BJ139:BJ143" si="64">C139+G139+I139+K139+M139+O139+Q139+S139+U139+W139+Y139+AA139+AC139+AE139+AG139+AI139+AK139+AM139+AO139+AQ139+AS139+AU139+AW139+AY139+BB139+BF139</f>
        <v>178683181</v>
      </c>
      <c r="BK139" s="250">
        <f>D139+H139+J139+L139+N139+P139+R139+T139+V139+X139+Z139+AB139+AD139+AF139+AH139+AJ139+AL139+AN139+AP139+AR139+AT139+AV139+AX139+AZ139+BD139+BH139</f>
        <v>3523968262</v>
      </c>
      <c r="BL139" s="172"/>
      <c r="BM139" s="231"/>
      <c r="BN139" s="172"/>
      <c r="BO139" s="172"/>
      <c r="BP139" s="231"/>
      <c r="BQ139" s="172"/>
      <c r="BR139" s="172"/>
      <c r="BS139" s="172"/>
      <c r="BT139" s="172"/>
      <c r="BU139" s="172"/>
      <c r="BV139" s="172"/>
      <c r="BW139" s="172"/>
      <c r="BX139" s="172"/>
      <c r="BY139" s="172"/>
      <c r="BZ139" s="172"/>
      <c r="CA139" s="172"/>
      <c r="CB139" s="172"/>
      <c r="CC139" s="172"/>
      <c r="CD139" s="172"/>
      <c r="CE139" s="172"/>
      <c r="CF139" s="172"/>
      <c r="CG139" s="172"/>
      <c r="CH139" s="172"/>
      <c r="CI139" s="172"/>
      <c r="CJ139" s="172"/>
      <c r="CK139" s="172"/>
      <c r="CL139" s="172"/>
      <c r="CM139" s="172"/>
      <c r="CN139" s="172"/>
      <c r="CO139" s="172"/>
      <c r="CP139" s="172"/>
      <c r="CQ139" s="172"/>
      <c r="CR139" s="172"/>
      <c r="CS139" s="172"/>
      <c r="CT139" s="172"/>
      <c r="CU139" s="172"/>
      <c r="CV139" s="172"/>
      <c r="CW139" s="172"/>
      <c r="CX139" s="172"/>
      <c r="CY139" s="172"/>
      <c r="CZ139" s="172"/>
      <c r="DA139" s="172"/>
      <c r="DB139" s="172"/>
      <c r="DC139" s="172"/>
      <c r="DD139" s="172"/>
      <c r="DE139" s="172"/>
      <c r="DF139" s="172"/>
      <c r="DG139" s="172"/>
      <c r="DH139" s="172"/>
      <c r="DI139" s="172"/>
      <c r="DJ139" s="172"/>
      <c r="DK139" s="172"/>
      <c r="DL139" s="172"/>
      <c r="DM139" s="172"/>
      <c r="DN139" s="172"/>
      <c r="DO139" s="172"/>
      <c r="DP139" s="172"/>
      <c r="DQ139" s="172"/>
      <c r="DR139" s="172"/>
      <c r="DS139" s="172"/>
      <c r="DT139" s="172"/>
      <c r="DU139" s="172"/>
      <c r="DV139" s="172"/>
      <c r="DW139" s="172"/>
      <c r="DX139" s="172"/>
      <c r="DY139" s="172"/>
      <c r="DZ139" s="172"/>
      <c r="EA139" s="172"/>
      <c r="EB139" s="172"/>
      <c r="EC139" s="172"/>
      <c r="ED139" s="172"/>
      <c r="EE139" s="172"/>
      <c r="EF139" s="172"/>
      <c r="EG139" s="172"/>
      <c r="EH139" s="172"/>
      <c r="EI139" s="172"/>
      <c r="EJ139" s="172"/>
      <c r="EK139" s="172"/>
      <c r="EL139" s="172"/>
      <c r="EM139" s="172"/>
      <c r="EN139" s="172"/>
      <c r="EO139" s="172"/>
      <c r="EP139" s="172"/>
      <c r="EQ139" s="172"/>
      <c r="ER139" s="172"/>
      <c r="ES139" s="172"/>
      <c r="ET139" s="172"/>
      <c r="EU139" s="172"/>
      <c r="EV139" s="172"/>
      <c r="EW139" s="172"/>
      <c r="EX139" s="172"/>
      <c r="EY139" s="172"/>
      <c r="EZ139" s="172"/>
      <c r="FA139" s="172"/>
      <c r="FB139" s="172"/>
      <c r="FC139" s="172"/>
      <c r="FD139" s="172"/>
      <c r="FE139" s="172"/>
      <c r="FF139" s="172"/>
      <c r="FG139" s="172"/>
      <c r="FH139" s="172"/>
      <c r="FI139" s="172"/>
      <c r="FJ139" s="172"/>
      <c r="FK139" s="172"/>
      <c r="FL139" s="172"/>
      <c r="FM139" s="172"/>
      <c r="FN139" s="172"/>
      <c r="FO139" s="172"/>
      <c r="FP139" s="172"/>
      <c r="FQ139" s="172"/>
      <c r="FR139" s="172"/>
      <c r="FS139" s="172"/>
      <c r="FT139" s="172"/>
      <c r="FU139" s="172"/>
      <c r="FV139" s="172"/>
      <c r="FW139" s="172"/>
      <c r="FX139" s="172"/>
      <c r="FY139" s="172"/>
      <c r="FZ139" s="172"/>
      <c r="GA139" s="172"/>
      <c r="GB139" s="172"/>
      <c r="GC139" s="172"/>
      <c r="GD139" s="172"/>
      <c r="GE139" s="172"/>
      <c r="GF139" s="172"/>
      <c r="GG139" s="172"/>
      <c r="GH139" s="172"/>
      <c r="GI139" s="172"/>
      <c r="GJ139" s="172"/>
      <c r="GK139" s="172"/>
      <c r="GL139" s="172"/>
      <c r="GM139" s="172"/>
      <c r="GN139" s="172"/>
      <c r="GO139" s="172"/>
      <c r="GP139" s="172"/>
      <c r="GQ139" s="172"/>
      <c r="GR139" s="172"/>
      <c r="GS139" s="172"/>
      <c r="GT139" s="172"/>
      <c r="GU139" s="172"/>
      <c r="GV139" s="172"/>
      <c r="GW139" s="172"/>
      <c r="GX139" s="172"/>
      <c r="GY139" s="172"/>
      <c r="GZ139" s="172"/>
      <c r="HA139" s="172"/>
      <c r="HB139" s="172"/>
      <c r="HC139" s="172"/>
      <c r="HD139" s="172"/>
      <c r="HE139" s="172"/>
      <c r="HF139" s="172"/>
      <c r="HG139" s="172"/>
      <c r="HH139" s="172"/>
      <c r="HI139" s="172"/>
      <c r="HJ139" s="172"/>
      <c r="HK139" s="172"/>
      <c r="HL139" s="172"/>
      <c r="HM139" s="172"/>
      <c r="HN139" s="172"/>
      <c r="HO139" s="172"/>
      <c r="HP139" s="172"/>
      <c r="HQ139" s="172"/>
      <c r="HR139" s="172"/>
      <c r="HS139" s="172"/>
      <c r="HT139" s="172"/>
      <c r="HU139" s="172"/>
      <c r="HV139" s="172"/>
      <c r="HW139" s="172"/>
      <c r="HX139" s="172"/>
      <c r="HY139" s="172"/>
      <c r="HZ139" s="172"/>
      <c r="IA139" s="172"/>
      <c r="IB139" s="172"/>
      <c r="IC139" s="172"/>
      <c r="ID139" s="172"/>
      <c r="IE139" s="172"/>
      <c r="IF139" s="172"/>
      <c r="IG139" s="172"/>
      <c r="IH139" s="172"/>
      <c r="II139" s="172"/>
      <c r="IJ139" s="172"/>
      <c r="IK139" s="172"/>
      <c r="IL139" s="172"/>
      <c r="IM139" s="172"/>
      <c r="IN139" s="172"/>
      <c r="IO139" s="172"/>
      <c r="IP139" s="172"/>
      <c r="IQ139" s="172"/>
      <c r="IR139" s="172"/>
      <c r="IS139" s="172"/>
      <c r="IT139" s="172"/>
      <c r="IU139" s="172"/>
      <c r="IV139" s="172"/>
      <c r="IW139" s="172"/>
      <c r="IX139" s="172"/>
      <c r="IY139" s="172"/>
      <c r="IZ139" s="172"/>
      <c r="JA139" s="172"/>
      <c r="JB139" s="172"/>
      <c r="JC139" s="172"/>
      <c r="JD139" s="172"/>
      <c r="JE139" s="172"/>
      <c r="JF139" s="172"/>
      <c r="JG139" s="172"/>
      <c r="JH139" s="172"/>
      <c r="JI139" s="172"/>
      <c r="JJ139" s="172"/>
      <c r="JK139" s="172"/>
      <c r="JL139" s="172"/>
      <c r="JM139" s="172"/>
      <c r="JN139" s="172"/>
      <c r="JO139" s="172"/>
      <c r="JP139" s="172"/>
      <c r="JQ139" s="172"/>
      <c r="JR139" s="172"/>
      <c r="JS139" s="172"/>
      <c r="JT139" s="172"/>
      <c r="JU139" s="172"/>
      <c r="JV139" s="172"/>
      <c r="JW139" s="172"/>
      <c r="JX139" s="172"/>
      <c r="JY139" s="172"/>
      <c r="JZ139" s="172"/>
      <c r="KA139" s="172"/>
      <c r="KB139" s="172"/>
      <c r="KC139" s="172"/>
      <c r="KD139" s="172"/>
      <c r="KE139" s="172"/>
      <c r="KF139" s="172"/>
      <c r="KG139" s="172"/>
      <c r="KH139" s="172"/>
      <c r="KI139" s="172"/>
      <c r="KJ139" s="172"/>
      <c r="KK139" s="172"/>
      <c r="KL139" s="172"/>
      <c r="KM139" s="172"/>
      <c r="KN139" s="172"/>
      <c r="KO139" s="172"/>
      <c r="KP139" s="172"/>
      <c r="KQ139" s="172"/>
      <c r="KR139" s="172"/>
      <c r="KS139" s="172"/>
      <c r="KT139" s="172"/>
      <c r="KU139" s="172"/>
      <c r="KV139" s="172"/>
      <c r="KW139" s="172"/>
      <c r="KX139" s="172"/>
      <c r="KY139" s="172"/>
      <c r="KZ139" s="172"/>
      <c r="LA139" s="172"/>
      <c r="LB139" s="172"/>
      <c r="LC139" s="172"/>
      <c r="LD139" s="172"/>
      <c r="LE139" s="172"/>
      <c r="LF139" s="172"/>
      <c r="LG139" s="172"/>
      <c r="LH139" s="172"/>
      <c r="LI139" s="172"/>
      <c r="LJ139" s="172"/>
      <c r="LK139" s="172"/>
      <c r="LL139" s="172"/>
      <c r="LM139" s="172"/>
      <c r="LN139" s="172"/>
      <c r="LO139" s="172"/>
      <c r="LP139" s="172"/>
      <c r="LQ139" s="172"/>
      <c r="LR139" s="172"/>
      <c r="LS139" s="172"/>
      <c r="LT139" s="172"/>
      <c r="LU139" s="172"/>
      <c r="LV139" s="172"/>
      <c r="LW139" s="172"/>
      <c r="LX139" s="172"/>
      <c r="LY139" s="172"/>
      <c r="LZ139" s="172"/>
      <c r="MA139" s="172"/>
      <c r="MB139" s="172"/>
      <c r="MC139" s="172"/>
      <c r="MD139" s="172"/>
      <c r="ME139" s="172"/>
      <c r="MF139" s="172"/>
      <c r="MG139" s="172"/>
      <c r="MH139" s="172"/>
      <c r="MI139" s="172"/>
      <c r="MJ139" s="172"/>
      <c r="MK139" s="172"/>
      <c r="ML139" s="172"/>
      <c r="MM139" s="172"/>
      <c r="MN139" s="172"/>
      <c r="MO139" s="172"/>
      <c r="MP139" s="172"/>
      <c r="MQ139" s="172"/>
      <c r="MR139" s="172"/>
      <c r="MS139" s="172"/>
      <c r="MT139" s="172"/>
      <c r="MU139" s="172"/>
      <c r="MV139" s="172"/>
      <c r="MW139" s="172"/>
      <c r="MX139" s="172"/>
      <c r="MY139" s="172"/>
      <c r="MZ139" s="172"/>
      <c r="NA139" s="172"/>
      <c r="NB139" s="172"/>
      <c r="NC139" s="172"/>
      <c r="ND139" s="172"/>
      <c r="NE139" s="172"/>
      <c r="NF139" s="172"/>
      <c r="NG139" s="172"/>
      <c r="NH139" s="172"/>
      <c r="NI139" s="172"/>
      <c r="NJ139" s="172"/>
      <c r="NK139" s="172"/>
      <c r="NL139" s="172"/>
      <c r="NM139" s="172"/>
      <c r="NN139" s="172"/>
      <c r="NO139" s="172"/>
      <c r="NP139" s="172"/>
      <c r="NQ139" s="172"/>
      <c r="NR139" s="172"/>
      <c r="NS139" s="172"/>
      <c r="NT139" s="172"/>
      <c r="NU139" s="172"/>
      <c r="NV139" s="172"/>
      <c r="NW139" s="172"/>
      <c r="NX139" s="172"/>
      <c r="NY139" s="172"/>
      <c r="NZ139" s="172"/>
      <c r="OA139" s="172"/>
      <c r="OB139" s="172"/>
      <c r="OC139" s="172"/>
      <c r="OD139" s="172"/>
      <c r="OE139" s="172"/>
      <c r="OF139" s="172"/>
      <c r="OG139" s="172"/>
      <c r="OH139" s="172"/>
      <c r="OI139" s="172"/>
      <c r="OJ139" s="172"/>
      <c r="OK139" s="172"/>
      <c r="OL139" s="172"/>
      <c r="OM139" s="172"/>
      <c r="ON139" s="172"/>
      <c r="OO139" s="172"/>
      <c r="OP139" s="172"/>
      <c r="OQ139" s="172"/>
      <c r="OR139" s="172"/>
      <c r="OS139" s="172"/>
      <c r="OT139" s="172"/>
      <c r="OU139" s="172"/>
      <c r="OV139" s="172"/>
      <c r="OW139" s="172"/>
      <c r="OX139" s="172"/>
      <c r="OY139" s="172"/>
      <c r="OZ139" s="172"/>
      <c r="PA139" s="172"/>
      <c r="PB139" s="172"/>
      <c r="PC139" s="172"/>
      <c r="PD139" s="172"/>
      <c r="PE139" s="172"/>
      <c r="PF139" s="172"/>
      <c r="PG139" s="172"/>
      <c r="PH139" s="172"/>
      <c r="PI139" s="172"/>
      <c r="PJ139" s="172"/>
      <c r="PK139" s="172"/>
      <c r="PL139" s="172"/>
      <c r="PM139" s="172"/>
      <c r="PN139" s="172"/>
      <c r="PO139" s="172"/>
      <c r="PP139" s="172"/>
      <c r="PQ139" s="172"/>
      <c r="PR139" s="172"/>
      <c r="PS139" s="172"/>
      <c r="PT139" s="172"/>
      <c r="PU139" s="172"/>
      <c r="PV139" s="172"/>
      <c r="PW139" s="172"/>
      <c r="PX139" s="172"/>
      <c r="PY139" s="172"/>
      <c r="PZ139" s="172"/>
      <c r="QA139" s="172"/>
      <c r="QB139" s="172"/>
      <c r="QC139" s="172"/>
      <c r="QD139" s="172"/>
      <c r="QE139" s="172"/>
      <c r="QF139" s="172"/>
      <c r="QG139" s="172"/>
      <c r="QH139" s="172"/>
      <c r="QI139" s="172"/>
      <c r="QJ139" s="172"/>
      <c r="QK139" s="172"/>
      <c r="QL139" s="172"/>
      <c r="QM139" s="172"/>
      <c r="QN139" s="172"/>
      <c r="QO139" s="172"/>
      <c r="QP139" s="172"/>
      <c r="QQ139" s="172"/>
      <c r="QR139" s="172"/>
      <c r="QS139" s="172"/>
      <c r="QT139" s="172"/>
      <c r="QU139" s="172"/>
      <c r="QV139" s="172"/>
      <c r="QW139" s="172"/>
      <c r="QX139" s="172"/>
      <c r="QY139" s="172"/>
      <c r="QZ139" s="172"/>
      <c r="RA139" s="172"/>
      <c r="RB139" s="172"/>
      <c r="RC139" s="172"/>
      <c r="RD139" s="172"/>
      <c r="RE139" s="172"/>
      <c r="RF139" s="172"/>
      <c r="RG139" s="172"/>
      <c r="RH139" s="172"/>
      <c r="RI139" s="172"/>
      <c r="RJ139" s="172"/>
      <c r="RK139" s="172"/>
      <c r="RL139" s="172"/>
      <c r="RM139" s="172"/>
      <c r="RN139" s="172"/>
      <c r="RO139" s="172"/>
      <c r="RP139" s="172"/>
      <c r="RQ139" s="172"/>
      <c r="RR139" s="172"/>
      <c r="RS139" s="172"/>
      <c r="RT139" s="172"/>
      <c r="RU139" s="172"/>
      <c r="RV139" s="172"/>
      <c r="RW139" s="172"/>
      <c r="RX139" s="172"/>
      <c r="RY139" s="172"/>
      <c r="RZ139" s="172"/>
      <c r="SA139" s="172"/>
      <c r="SB139" s="172"/>
      <c r="SC139" s="172"/>
      <c r="SD139" s="172"/>
      <c r="SE139" s="172"/>
      <c r="SF139" s="172"/>
      <c r="SG139" s="172"/>
      <c r="SH139" s="172"/>
      <c r="SI139" s="172"/>
      <c r="SJ139" s="172"/>
      <c r="SK139" s="172"/>
      <c r="SL139" s="172"/>
      <c r="SM139" s="172"/>
      <c r="SN139" s="172"/>
      <c r="SO139" s="172"/>
      <c r="SP139" s="172"/>
      <c r="SQ139" s="172"/>
      <c r="SR139" s="172"/>
      <c r="SS139" s="172"/>
      <c r="ST139" s="172"/>
      <c r="SU139" s="172"/>
      <c r="SV139" s="172"/>
      <c r="SW139" s="172"/>
      <c r="SX139" s="172"/>
      <c r="SY139" s="172"/>
      <c r="SZ139" s="172"/>
      <c r="TA139" s="172"/>
      <c r="TB139" s="172"/>
      <c r="TC139" s="172"/>
      <c r="TD139" s="172"/>
      <c r="TE139" s="172"/>
      <c r="TF139" s="172"/>
      <c r="TG139" s="172"/>
      <c r="TH139" s="172"/>
      <c r="TI139" s="172"/>
      <c r="TJ139" s="172"/>
      <c r="TK139" s="172"/>
      <c r="TL139" s="172"/>
      <c r="TM139" s="172"/>
      <c r="TN139" s="172"/>
      <c r="TO139" s="172"/>
      <c r="TP139" s="172"/>
      <c r="TQ139" s="172"/>
      <c r="TR139" s="172"/>
      <c r="TS139" s="172"/>
      <c r="TT139" s="172"/>
      <c r="TU139" s="172"/>
      <c r="TV139" s="172"/>
      <c r="TW139" s="172"/>
      <c r="TX139" s="172"/>
      <c r="TY139" s="172"/>
      <c r="TZ139" s="172"/>
      <c r="UA139" s="172"/>
      <c r="UB139" s="172"/>
      <c r="UC139" s="172"/>
      <c r="UD139" s="172"/>
      <c r="UE139" s="172"/>
      <c r="UF139" s="172"/>
      <c r="UG139" s="172"/>
      <c r="UH139" s="172"/>
      <c r="UI139" s="172"/>
      <c r="UJ139" s="172"/>
      <c r="UK139" s="172"/>
      <c r="UL139" s="172"/>
      <c r="UM139" s="172"/>
      <c r="UN139" s="172"/>
      <c r="UO139" s="172"/>
      <c r="UP139" s="172"/>
      <c r="UQ139" s="172"/>
      <c r="UR139" s="172"/>
      <c r="US139" s="172"/>
      <c r="UT139" s="172"/>
      <c r="UU139" s="172"/>
      <c r="UV139" s="172"/>
      <c r="UW139" s="172"/>
      <c r="UX139" s="172"/>
      <c r="UY139" s="172"/>
      <c r="UZ139" s="172"/>
      <c r="VA139" s="172"/>
      <c r="VB139" s="172"/>
      <c r="VC139" s="172"/>
      <c r="VD139" s="172"/>
      <c r="VE139" s="172"/>
      <c r="VF139" s="172"/>
      <c r="VG139" s="172"/>
      <c r="VH139" s="172"/>
      <c r="VI139" s="172"/>
      <c r="VJ139" s="172"/>
      <c r="VK139" s="172"/>
      <c r="VL139" s="172"/>
      <c r="VM139" s="172"/>
      <c r="VN139" s="172"/>
      <c r="VO139" s="172"/>
      <c r="VP139" s="172"/>
      <c r="VQ139" s="172"/>
      <c r="VR139" s="172"/>
      <c r="VS139" s="172"/>
      <c r="VT139" s="172"/>
      <c r="VU139" s="172"/>
      <c r="VV139" s="172"/>
      <c r="VW139" s="172"/>
      <c r="VX139" s="172"/>
      <c r="VY139" s="172"/>
      <c r="VZ139" s="172"/>
      <c r="WA139" s="172"/>
      <c r="WB139" s="172"/>
      <c r="WC139" s="172"/>
      <c r="WD139" s="172"/>
      <c r="WE139" s="172"/>
      <c r="WF139" s="172"/>
      <c r="WG139" s="172"/>
      <c r="WH139" s="172"/>
      <c r="WI139" s="172"/>
      <c r="WJ139" s="172"/>
      <c r="WK139" s="172"/>
      <c r="WL139" s="172"/>
      <c r="WM139" s="172"/>
      <c r="WN139" s="172"/>
      <c r="WO139" s="172"/>
      <c r="WP139" s="172"/>
      <c r="WQ139" s="172"/>
      <c r="WR139" s="172"/>
      <c r="WS139" s="172"/>
      <c r="WT139" s="172"/>
      <c r="WU139" s="172"/>
      <c r="WV139" s="172"/>
      <c r="WW139" s="172"/>
      <c r="WX139" s="172"/>
      <c r="WY139" s="172"/>
      <c r="WZ139" s="172"/>
      <c r="XA139" s="172"/>
      <c r="XB139" s="172"/>
      <c r="XC139" s="172"/>
      <c r="XD139" s="172"/>
      <c r="XE139" s="172"/>
      <c r="XF139" s="172"/>
      <c r="XG139" s="172"/>
      <c r="XH139" s="172"/>
      <c r="XI139" s="172"/>
      <c r="XJ139" s="172"/>
      <c r="XK139" s="172"/>
      <c r="XL139" s="172"/>
      <c r="XM139" s="172"/>
      <c r="XN139" s="172"/>
      <c r="XO139" s="172"/>
      <c r="XP139" s="172"/>
      <c r="XQ139" s="172"/>
      <c r="XR139" s="172"/>
      <c r="XS139" s="172"/>
      <c r="XT139" s="172"/>
      <c r="XU139" s="172"/>
      <c r="XV139" s="172"/>
      <c r="XW139" s="172"/>
      <c r="XX139" s="172"/>
      <c r="XY139" s="172"/>
      <c r="XZ139" s="172"/>
      <c r="YA139" s="172"/>
      <c r="YB139" s="172"/>
      <c r="YC139" s="172"/>
      <c r="YD139" s="172"/>
      <c r="YE139" s="172"/>
      <c r="YF139" s="172"/>
      <c r="YG139" s="172"/>
      <c r="YH139" s="172"/>
      <c r="YI139" s="172"/>
      <c r="YJ139" s="172"/>
      <c r="YK139" s="172"/>
      <c r="YL139" s="172"/>
      <c r="YM139" s="172"/>
      <c r="YN139" s="172"/>
      <c r="YO139" s="172"/>
      <c r="YP139" s="172"/>
      <c r="YQ139" s="172"/>
      <c r="YR139" s="172"/>
      <c r="YS139" s="172"/>
      <c r="YT139" s="172"/>
      <c r="YU139" s="172"/>
      <c r="YV139" s="172"/>
      <c r="YW139" s="172"/>
      <c r="YX139" s="172"/>
      <c r="YY139" s="172"/>
      <c r="YZ139" s="172"/>
      <c r="ZA139" s="172"/>
      <c r="ZB139" s="172"/>
      <c r="ZC139" s="172"/>
      <c r="ZD139" s="172"/>
      <c r="ZE139" s="172"/>
      <c r="ZF139" s="172"/>
      <c r="ZG139" s="172"/>
      <c r="ZH139" s="172"/>
      <c r="ZI139" s="172"/>
      <c r="ZJ139" s="172"/>
      <c r="ZK139" s="172"/>
      <c r="ZL139" s="172"/>
      <c r="ZM139" s="172"/>
      <c r="ZN139" s="172"/>
      <c r="ZO139" s="172"/>
      <c r="ZP139" s="172"/>
      <c r="ZQ139" s="172"/>
      <c r="ZR139" s="172"/>
      <c r="ZS139" s="172"/>
      <c r="ZT139" s="172"/>
      <c r="ZU139" s="172"/>
      <c r="ZV139" s="172"/>
      <c r="ZW139" s="172"/>
      <c r="ZX139" s="172"/>
      <c r="ZY139" s="172"/>
      <c r="ZZ139" s="172"/>
      <c r="AAA139" s="172"/>
      <c r="AAB139" s="172"/>
      <c r="AAC139" s="172"/>
      <c r="AAD139" s="172"/>
      <c r="AAE139" s="172"/>
      <c r="AAF139" s="172"/>
      <c r="AAG139" s="172"/>
      <c r="AAH139" s="172"/>
      <c r="AAI139" s="172"/>
      <c r="AAJ139" s="172"/>
      <c r="AAK139" s="172"/>
      <c r="AAL139" s="172"/>
      <c r="AAM139" s="172"/>
      <c r="AAN139" s="172"/>
      <c r="AAO139" s="172"/>
      <c r="AAP139" s="172"/>
      <c r="AAQ139" s="172"/>
      <c r="AAR139" s="172"/>
      <c r="AAS139" s="172"/>
      <c r="AAT139" s="172"/>
      <c r="AAU139" s="172"/>
      <c r="AAV139" s="172"/>
      <c r="AAW139" s="172"/>
      <c r="AAX139" s="172"/>
      <c r="AAY139" s="172"/>
      <c r="AAZ139" s="172"/>
      <c r="ABA139" s="172"/>
      <c r="ABB139" s="172"/>
      <c r="ABC139" s="172"/>
      <c r="ABD139" s="172"/>
      <c r="ABE139" s="172"/>
      <c r="ABF139" s="172"/>
      <c r="ABG139" s="172"/>
      <c r="ABH139" s="172"/>
      <c r="ABI139" s="172"/>
      <c r="ABJ139" s="172"/>
      <c r="ABK139" s="172"/>
      <c r="ABL139" s="172"/>
      <c r="ABM139" s="172"/>
      <c r="ABN139" s="172"/>
      <c r="ABO139" s="172"/>
      <c r="ABP139" s="172"/>
      <c r="ABQ139" s="172"/>
      <c r="ABR139" s="172"/>
      <c r="ABS139" s="172"/>
      <c r="ABT139" s="172"/>
      <c r="ABU139" s="172"/>
      <c r="ABV139" s="172"/>
      <c r="ABW139" s="172"/>
      <c r="ABX139" s="172"/>
      <c r="ABY139" s="172"/>
      <c r="ABZ139" s="172"/>
      <c r="ACA139" s="172"/>
      <c r="ACB139" s="172"/>
      <c r="ACC139" s="172"/>
      <c r="ACD139" s="172"/>
      <c r="ACE139" s="172"/>
      <c r="ACF139" s="172"/>
      <c r="ACG139" s="172"/>
      <c r="ACH139" s="172"/>
      <c r="ACI139" s="172"/>
      <c r="ACJ139" s="172"/>
      <c r="ACK139" s="172"/>
      <c r="ACL139" s="172"/>
      <c r="ACM139" s="172"/>
      <c r="ACN139" s="172"/>
      <c r="ACO139" s="172"/>
      <c r="ACP139" s="172"/>
      <c r="ACQ139" s="172"/>
      <c r="ACR139" s="172"/>
      <c r="ACS139" s="172"/>
      <c r="ACT139" s="172"/>
      <c r="ACU139" s="172"/>
      <c r="ACV139" s="172"/>
      <c r="ACW139" s="172"/>
      <c r="ACX139" s="172"/>
      <c r="ACY139" s="172"/>
      <c r="ACZ139" s="172"/>
      <c r="ADA139" s="172"/>
      <c r="ADB139" s="172"/>
      <c r="ADC139" s="172"/>
      <c r="ADD139" s="172"/>
      <c r="ADE139" s="172"/>
      <c r="ADF139" s="172"/>
      <c r="ADG139" s="172"/>
      <c r="ADH139" s="172"/>
      <c r="ADI139" s="172"/>
      <c r="ADJ139" s="172"/>
      <c r="ADK139" s="172"/>
      <c r="ADL139" s="172"/>
      <c r="ADM139" s="172"/>
      <c r="ADN139" s="172"/>
      <c r="ADO139" s="172"/>
      <c r="ADP139" s="172"/>
      <c r="ADQ139" s="172"/>
      <c r="ADR139" s="172"/>
      <c r="ADS139" s="172"/>
      <c r="ADT139" s="172"/>
      <c r="ADU139" s="172"/>
      <c r="ADV139" s="172"/>
      <c r="ADW139" s="172"/>
      <c r="ADX139" s="172"/>
      <c r="ADY139" s="172"/>
      <c r="ADZ139" s="172"/>
      <c r="AEA139" s="172"/>
      <c r="AEB139" s="172"/>
      <c r="AEC139" s="172"/>
      <c r="AED139" s="172"/>
      <c r="AEE139" s="172"/>
      <c r="AEF139" s="172"/>
      <c r="AEG139" s="172"/>
      <c r="AEH139" s="172"/>
      <c r="AEI139" s="172"/>
      <c r="AEJ139" s="172"/>
      <c r="AEK139" s="172"/>
      <c r="AEL139" s="172"/>
      <c r="AEM139" s="172"/>
      <c r="AEN139" s="172"/>
      <c r="AEO139" s="172"/>
      <c r="AEP139" s="172"/>
      <c r="AEQ139" s="172"/>
      <c r="AER139" s="172"/>
      <c r="AES139" s="172"/>
      <c r="AET139" s="172"/>
      <c r="AEU139" s="172"/>
      <c r="AEV139" s="172"/>
      <c r="AEW139" s="172"/>
      <c r="AEX139" s="172"/>
      <c r="AEY139" s="172"/>
      <c r="AEZ139" s="172"/>
      <c r="AFA139" s="172"/>
      <c r="AFB139" s="172"/>
      <c r="AFC139" s="172"/>
      <c r="AFD139" s="172"/>
      <c r="AFE139" s="172"/>
      <c r="AFF139" s="172"/>
      <c r="AFG139" s="172"/>
      <c r="AFH139" s="172"/>
      <c r="AFI139" s="172"/>
      <c r="AFJ139" s="172"/>
      <c r="AFK139" s="172"/>
      <c r="AFL139" s="172"/>
      <c r="AFM139" s="172"/>
      <c r="AFN139" s="172"/>
      <c r="AFO139" s="172"/>
      <c r="AFP139" s="172"/>
      <c r="AFQ139" s="172"/>
      <c r="AFR139" s="172"/>
      <c r="AFS139" s="172"/>
      <c r="AFT139" s="172"/>
      <c r="AFU139" s="172"/>
      <c r="AFV139" s="172"/>
      <c r="AFW139" s="172"/>
      <c r="AFX139" s="172"/>
      <c r="AFY139" s="172"/>
      <c r="AFZ139" s="172"/>
      <c r="AGA139" s="172"/>
      <c r="AGB139" s="172"/>
      <c r="AGC139" s="172"/>
      <c r="AGD139" s="172"/>
      <c r="AGE139" s="172"/>
      <c r="AGF139" s="172"/>
      <c r="AGG139" s="172"/>
      <c r="AGH139" s="172"/>
      <c r="AGI139" s="172"/>
      <c r="AGJ139" s="172"/>
      <c r="AGK139" s="172"/>
      <c r="AGL139" s="172"/>
      <c r="AGM139" s="172"/>
      <c r="AGN139" s="172"/>
      <c r="AGO139" s="172"/>
      <c r="AGP139" s="172"/>
      <c r="AGQ139" s="172"/>
      <c r="AGR139" s="172"/>
      <c r="AGS139" s="172"/>
      <c r="AGT139" s="172"/>
      <c r="AGU139" s="172"/>
      <c r="AGV139" s="172"/>
      <c r="AGW139" s="172"/>
      <c r="AGX139" s="172"/>
      <c r="AGY139" s="172"/>
      <c r="AGZ139" s="172"/>
      <c r="AHA139" s="172"/>
      <c r="AHB139" s="172"/>
      <c r="AHC139" s="172"/>
      <c r="AHD139" s="172"/>
      <c r="AHE139" s="172"/>
      <c r="AHF139" s="172"/>
      <c r="AHG139" s="172"/>
      <c r="AHH139" s="172"/>
      <c r="AHI139" s="172"/>
      <c r="AHJ139" s="172"/>
      <c r="AHK139" s="172"/>
      <c r="AHL139" s="172"/>
      <c r="AHM139" s="172"/>
      <c r="AHN139" s="172"/>
      <c r="AHO139" s="172"/>
      <c r="AHP139" s="172"/>
      <c r="AHQ139" s="172"/>
      <c r="AHR139" s="172"/>
      <c r="AHS139" s="172"/>
      <c r="AHT139" s="172"/>
      <c r="AHU139" s="172"/>
      <c r="AHV139" s="172"/>
      <c r="AHW139" s="172"/>
      <c r="AHX139" s="172"/>
      <c r="AHY139" s="172"/>
      <c r="AHZ139" s="172"/>
      <c r="AIA139" s="172"/>
      <c r="AIB139" s="172"/>
      <c r="AIC139" s="172"/>
      <c r="AID139" s="172"/>
      <c r="AIE139" s="172"/>
      <c r="AIF139" s="172"/>
      <c r="AIG139" s="172"/>
      <c r="AIH139" s="172"/>
      <c r="AII139" s="172"/>
      <c r="AIJ139" s="172"/>
      <c r="AIK139" s="172"/>
      <c r="AIL139" s="172"/>
      <c r="AIM139" s="172"/>
      <c r="AIN139" s="172"/>
      <c r="AIO139" s="172"/>
      <c r="AIP139" s="172"/>
      <c r="AIQ139" s="172"/>
      <c r="AIR139" s="172"/>
      <c r="AIS139" s="172"/>
      <c r="AIT139" s="172"/>
      <c r="AIU139" s="172"/>
      <c r="AIV139" s="172"/>
      <c r="AIW139" s="172"/>
      <c r="AIX139" s="172"/>
      <c r="AIY139" s="172"/>
      <c r="AIZ139" s="172"/>
      <c r="AJA139" s="172"/>
      <c r="AJB139" s="172"/>
      <c r="AJC139" s="172"/>
      <c r="AJD139" s="172"/>
      <c r="AJE139" s="172"/>
      <c r="AJF139" s="172"/>
      <c r="AJG139" s="172"/>
      <c r="AJH139" s="172"/>
      <c r="AJI139" s="172"/>
      <c r="AJJ139" s="172"/>
      <c r="AJK139" s="172"/>
      <c r="AJL139" s="172"/>
      <c r="AJM139" s="172"/>
      <c r="AJN139" s="172"/>
      <c r="AJO139" s="172"/>
      <c r="AJP139" s="172"/>
      <c r="AJQ139" s="172"/>
      <c r="AJR139" s="172"/>
      <c r="AJS139" s="172"/>
      <c r="AJT139" s="172"/>
      <c r="AJU139" s="172"/>
      <c r="AJV139" s="172"/>
      <c r="AJW139" s="172"/>
      <c r="AJX139" s="172"/>
      <c r="AJY139" s="172"/>
      <c r="AJZ139" s="172"/>
      <c r="AKA139" s="172"/>
      <c r="AKB139" s="172"/>
      <c r="AKC139" s="172"/>
      <c r="AKD139" s="172"/>
      <c r="AKE139" s="172"/>
      <c r="AKF139" s="172"/>
      <c r="AKG139" s="172"/>
      <c r="AKH139" s="172"/>
      <c r="AKI139" s="172"/>
      <c r="AKJ139" s="172"/>
      <c r="AKK139" s="172"/>
      <c r="AKL139" s="172"/>
      <c r="AKM139" s="172"/>
      <c r="AKN139" s="172"/>
      <c r="AKO139" s="172"/>
      <c r="AKP139" s="172"/>
      <c r="AKQ139" s="172"/>
      <c r="AKR139" s="172"/>
      <c r="AKS139" s="172"/>
      <c r="AKT139" s="172"/>
      <c r="AKU139" s="172"/>
      <c r="AKV139" s="172"/>
      <c r="AKW139" s="172"/>
      <c r="AKX139" s="172"/>
      <c r="AKY139" s="172"/>
      <c r="AKZ139" s="172"/>
      <c r="ALA139" s="172"/>
      <c r="ALB139" s="172"/>
      <c r="ALC139" s="172"/>
      <c r="ALD139" s="172"/>
      <c r="ALE139" s="172"/>
      <c r="ALF139" s="172"/>
      <c r="ALG139" s="172"/>
      <c r="ALH139" s="172"/>
      <c r="ALI139" s="172"/>
      <c r="ALJ139" s="172"/>
      <c r="ALK139" s="172"/>
      <c r="ALL139" s="172"/>
      <c r="ALM139" s="172"/>
      <c r="ALN139" s="172"/>
      <c r="ALO139" s="172"/>
      <c r="ALP139" s="172"/>
      <c r="ALQ139" s="172"/>
      <c r="ALR139" s="172"/>
      <c r="ALS139" s="172"/>
      <c r="ALT139" s="172"/>
      <c r="ALU139" s="172"/>
      <c r="ALV139" s="172"/>
      <c r="ALW139" s="172"/>
      <c r="ALX139" s="172"/>
      <c r="ALY139" s="172"/>
      <c r="ALZ139" s="172"/>
      <c r="AMA139" s="172"/>
      <c r="AMB139" s="172"/>
      <c r="AMC139" s="172"/>
      <c r="AMD139" s="172"/>
      <c r="AME139" s="172"/>
      <c r="AMF139" s="172"/>
      <c r="AMG139" s="172"/>
      <c r="AMH139" s="172"/>
      <c r="AMI139" s="172"/>
      <c r="AMJ139" s="172"/>
      <c r="AMK139" s="172"/>
      <c r="AML139" s="172"/>
      <c r="AMM139" s="172"/>
      <c r="AMN139" s="172"/>
      <c r="AMO139" s="172"/>
      <c r="AMP139" s="172"/>
      <c r="AMQ139" s="172"/>
      <c r="AMR139" s="172"/>
      <c r="AMS139" s="172"/>
      <c r="AMT139" s="172"/>
      <c r="AMU139" s="172"/>
      <c r="AMV139" s="172"/>
      <c r="AMW139" s="172"/>
      <c r="AMX139" s="172"/>
      <c r="AMY139" s="172"/>
      <c r="AMZ139" s="172"/>
      <c r="ANA139" s="172"/>
      <c r="ANB139" s="172"/>
      <c r="ANC139" s="172"/>
      <c r="AND139" s="172"/>
      <c r="ANE139" s="172"/>
      <c r="ANF139" s="172"/>
      <c r="ANG139" s="172"/>
      <c r="ANH139" s="172"/>
      <c r="ANI139" s="172"/>
      <c r="ANJ139" s="172"/>
      <c r="ANK139" s="172"/>
      <c r="ANL139" s="172"/>
      <c r="ANM139" s="172"/>
      <c r="ANN139" s="172"/>
      <c r="ANO139" s="172"/>
      <c r="ANP139" s="172"/>
      <c r="ANQ139" s="172"/>
      <c r="ANR139" s="172"/>
      <c r="ANS139" s="172"/>
      <c r="ANT139" s="172"/>
      <c r="ANU139" s="172"/>
      <c r="ANV139" s="172"/>
      <c r="ANW139" s="172"/>
      <c r="ANX139" s="172"/>
      <c r="ANY139" s="172"/>
      <c r="ANZ139" s="172"/>
      <c r="AOA139" s="172"/>
      <c r="AOB139" s="172"/>
      <c r="AOC139" s="172"/>
      <c r="AOD139" s="172"/>
      <c r="AOE139" s="172"/>
      <c r="AOF139" s="172"/>
      <c r="AOG139" s="172"/>
      <c r="AOH139" s="172"/>
      <c r="AOI139" s="172"/>
      <c r="AOJ139" s="172"/>
      <c r="AOK139" s="172"/>
      <c r="AOL139" s="172"/>
      <c r="AOM139" s="172"/>
      <c r="AON139" s="172"/>
      <c r="AOO139" s="172"/>
      <c r="AOP139" s="172"/>
      <c r="AOQ139" s="172"/>
      <c r="AOR139" s="172"/>
      <c r="AOS139" s="172"/>
      <c r="AOT139" s="172"/>
      <c r="AOU139" s="172"/>
      <c r="AOV139" s="172"/>
      <c r="AOW139" s="172"/>
      <c r="AOX139" s="172"/>
      <c r="AOY139" s="172"/>
      <c r="AOZ139" s="172"/>
      <c r="APA139" s="172"/>
      <c r="APB139" s="172"/>
      <c r="APC139" s="172"/>
      <c r="APD139" s="172"/>
      <c r="APE139" s="172"/>
      <c r="APF139" s="172"/>
      <c r="APG139" s="172"/>
      <c r="APH139" s="172"/>
      <c r="API139" s="172"/>
      <c r="APJ139" s="172"/>
      <c r="APK139" s="172"/>
      <c r="APL139" s="172"/>
      <c r="APM139" s="172"/>
      <c r="APN139" s="172"/>
      <c r="APO139" s="172"/>
      <c r="APP139" s="172"/>
      <c r="APQ139" s="172"/>
      <c r="APR139" s="172"/>
      <c r="APS139" s="172"/>
      <c r="APT139" s="172"/>
      <c r="APU139" s="172"/>
      <c r="APV139" s="172"/>
      <c r="APW139" s="172"/>
      <c r="APX139" s="172"/>
      <c r="APY139" s="172"/>
      <c r="APZ139" s="172"/>
      <c r="AQA139" s="172"/>
      <c r="AQB139" s="172"/>
      <c r="AQC139" s="172"/>
      <c r="AQD139" s="172"/>
      <c r="AQE139" s="172"/>
      <c r="AQF139" s="172"/>
      <c r="AQG139" s="172"/>
      <c r="AQH139" s="172"/>
      <c r="AQI139" s="172"/>
      <c r="AQJ139" s="172"/>
      <c r="AQK139" s="172"/>
      <c r="AQL139" s="172"/>
      <c r="AQM139" s="172"/>
      <c r="AQN139" s="172"/>
      <c r="AQO139" s="172"/>
      <c r="AQP139" s="172"/>
      <c r="AQQ139" s="172"/>
      <c r="AQR139" s="172"/>
      <c r="AQS139" s="172"/>
      <c r="AQT139" s="172"/>
      <c r="AQU139" s="172"/>
      <c r="AQV139" s="172"/>
      <c r="AQW139" s="172"/>
      <c r="AQX139" s="172"/>
      <c r="AQY139" s="172"/>
      <c r="AQZ139" s="172"/>
      <c r="ARA139" s="172"/>
      <c r="ARB139" s="172"/>
      <c r="ARC139" s="172"/>
      <c r="ARD139" s="172"/>
      <c r="ARE139" s="172"/>
      <c r="ARF139" s="172"/>
      <c r="ARG139" s="172"/>
      <c r="ARH139" s="172"/>
      <c r="ARI139" s="172"/>
      <c r="ARJ139" s="172"/>
      <c r="ARK139" s="172"/>
      <c r="ARL139" s="172"/>
      <c r="ARM139" s="172"/>
      <c r="ARN139" s="172"/>
      <c r="ARO139" s="172"/>
      <c r="ARP139" s="172"/>
      <c r="ARQ139" s="172"/>
      <c r="ARR139" s="172"/>
      <c r="ARS139" s="172"/>
      <c r="ART139" s="172"/>
      <c r="ARU139" s="172"/>
    </row>
    <row r="140" spans="1:1165" s="257" customFormat="1">
      <c r="A140" s="222" t="s">
        <v>249</v>
      </c>
      <c r="B140" s="195" t="s">
        <v>87</v>
      </c>
      <c r="C140" s="258">
        <v>802892431</v>
      </c>
      <c r="D140" s="258">
        <v>7214436003</v>
      </c>
      <c r="E140" s="198">
        <v>84952689</v>
      </c>
      <c r="F140" s="198">
        <v>1157998681</v>
      </c>
      <c r="G140" s="198">
        <f>75302640-G139</f>
        <v>68154329</v>
      </c>
      <c r="H140" s="198">
        <f>1129628976-H139</f>
        <v>1037358699</v>
      </c>
      <c r="I140" s="198">
        <f>78182395-I139</f>
        <v>70856633</v>
      </c>
      <c r="J140" s="198">
        <f>1495065014-J139</f>
        <v>1387357682</v>
      </c>
      <c r="K140" s="198">
        <f>2215960+18203684+31272604+13001535+4870519</f>
        <v>69564302</v>
      </c>
      <c r="L140" s="198">
        <f>1546325341-L139</f>
        <v>1456995229</v>
      </c>
      <c r="M140" s="198">
        <f>M143-M139</f>
        <v>84778276</v>
      </c>
      <c r="N140" s="198">
        <f>N143-N139</f>
        <v>1574676000</v>
      </c>
      <c r="O140" s="198">
        <v>82680588</v>
      </c>
      <c r="P140" s="198">
        <v>1927169247</v>
      </c>
      <c r="Q140" s="198">
        <v>74894501</v>
      </c>
      <c r="R140" s="198">
        <v>1797514359</v>
      </c>
      <c r="S140" s="198">
        <v>77892331</v>
      </c>
      <c r="T140" s="198">
        <v>1621771014</v>
      </c>
      <c r="U140" s="211">
        <v>92854562</v>
      </c>
      <c r="V140" s="211">
        <v>1663694794</v>
      </c>
      <c r="W140" s="211">
        <v>101573077</v>
      </c>
      <c r="X140" s="211">
        <v>2036817396</v>
      </c>
      <c r="Y140" s="211">
        <v>99079566</v>
      </c>
      <c r="Z140" s="211">
        <v>2315663115</v>
      </c>
      <c r="AA140" s="226">
        <v>109394339</v>
      </c>
      <c r="AB140" s="226">
        <v>2849976022</v>
      </c>
      <c r="AC140" s="198">
        <v>102508204</v>
      </c>
      <c r="AD140" s="198">
        <v>2762946127</v>
      </c>
      <c r="AE140" s="226">
        <v>110863008</v>
      </c>
      <c r="AF140" s="226">
        <v>2844629286</v>
      </c>
      <c r="AG140" s="196">
        <v>117828830</v>
      </c>
      <c r="AH140" s="196">
        <v>2480440822</v>
      </c>
      <c r="AI140" s="196">
        <v>129432288</v>
      </c>
      <c r="AJ140" s="196">
        <v>2825709297</v>
      </c>
      <c r="AK140" s="260">
        <v>127859595</v>
      </c>
      <c r="AL140" s="260">
        <v>2787821563</v>
      </c>
      <c r="AM140" s="261">
        <v>144305307</v>
      </c>
      <c r="AN140" s="261">
        <v>3449970594</v>
      </c>
      <c r="AO140" s="196">
        <v>136811715</v>
      </c>
      <c r="AP140" s="196">
        <v>3903459152</v>
      </c>
      <c r="AQ140" s="196">
        <v>135989777</v>
      </c>
      <c r="AR140" s="196">
        <v>3328272950</v>
      </c>
      <c r="AS140" s="196">
        <v>153084739</v>
      </c>
      <c r="AT140" s="196">
        <v>4201552721</v>
      </c>
      <c r="AU140" s="226">
        <v>158731693</v>
      </c>
      <c r="AV140" s="226">
        <v>5134014112</v>
      </c>
      <c r="AW140" s="196">
        <v>165167541</v>
      </c>
      <c r="AX140" s="196">
        <v>4872202224</v>
      </c>
      <c r="AY140" s="211">
        <v>186743301</v>
      </c>
      <c r="AZ140" s="211">
        <v>4871266951</v>
      </c>
      <c r="BA140" s="263"/>
      <c r="BB140" s="198"/>
      <c r="BC140" s="263"/>
      <c r="BD140" s="198"/>
      <c r="BE140" s="263"/>
      <c r="BF140" s="211"/>
      <c r="BG140" s="263"/>
      <c r="BH140" s="211"/>
      <c r="BI140" s="263"/>
      <c r="BJ140" s="211">
        <f t="shared" si="64"/>
        <v>3403940933</v>
      </c>
      <c r="BK140" s="250">
        <f>D140+H140+J140+L140+N140+P140+R140+T140+V140+X140+Z140+AB140+AD140+AF140+AH140+AJ140+AL140+AN140+AP140+AR140+AT140+AV140+AX140+AZ140+BD140+BH140</f>
        <v>70345715359</v>
      </c>
      <c r="BL140" s="172"/>
      <c r="BM140" s="172"/>
      <c r="BN140" s="231"/>
      <c r="BO140" s="172"/>
      <c r="BP140" s="231"/>
      <c r="BQ140" s="172"/>
      <c r="BR140" s="172"/>
      <c r="BS140" s="172"/>
      <c r="BT140" s="172"/>
      <c r="BU140" s="172"/>
      <c r="BV140" s="172"/>
      <c r="BW140" s="172"/>
      <c r="BX140" s="172"/>
      <c r="BY140" s="172"/>
      <c r="BZ140" s="172"/>
      <c r="CA140" s="172"/>
      <c r="CB140" s="172"/>
      <c r="CC140" s="172"/>
      <c r="CD140" s="172"/>
      <c r="CE140" s="172"/>
      <c r="CF140" s="172"/>
      <c r="CG140" s="172"/>
      <c r="CH140" s="172"/>
      <c r="CI140" s="172"/>
      <c r="CJ140" s="172"/>
      <c r="CK140" s="172"/>
      <c r="CL140" s="172"/>
      <c r="CM140" s="172"/>
      <c r="CN140" s="172"/>
      <c r="CO140" s="172"/>
      <c r="CP140" s="172"/>
      <c r="CQ140" s="172"/>
      <c r="CR140" s="172"/>
      <c r="CS140" s="172"/>
      <c r="CT140" s="172"/>
      <c r="CU140" s="172"/>
      <c r="CV140" s="172"/>
      <c r="CW140" s="172"/>
      <c r="CX140" s="172"/>
      <c r="CY140" s="172"/>
      <c r="CZ140" s="172"/>
      <c r="DA140" s="172"/>
      <c r="DB140" s="172"/>
      <c r="DC140" s="172"/>
      <c r="DD140" s="172"/>
      <c r="DE140" s="172"/>
      <c r="DF140" s="172"/>
      <c r="DG140" s="172"/>
      <c r="DH140" s="172"/>
      <c r="DI140" s="172"/>
      <c r="DJ140" s="172"/>
      <c r="DK140" s="172"/>
      <c r="DL140" s="172"/>
      <c r="DM140" s="172"/>
      <c r="DN140" s="172"/>
      <c r="DO140" s="172"/>
      <c r="DP140" s="172"/>
      <c r="DQ140" s="172"/>
      <c r="DR140" s="172"/>
      <c r="DS140" s="172"/>
      <c r="DT140" s="172"/>
      <c r="DU140" s="172"/>
      <c r="DV140" s="172"/>
      <c r="DW140" s="172"/>
      <c r="DX140" s="172"/>
      <c r="DY140" s="172"/>
      <c r="DZ140" s="172"/>
      <c r="EA140" s="172"/>
      <c r="EB140" s="172"/>
      <c r="EC140" s="172"/>
      <c r="ED140" s="172"/>
      <c r="EE140" s="172"/>
      <c r="EF140" s="172"/>
      <c r="EG140" s="172"/>
      <c r="EH140" s="172"/>
      <c r="EI140" s="172"/>
      <c r="EJ140" s="172"/>
      <c r="EK140" s="172"/>
      <c r="EL140" s="172"/>
      <c r="EM140" s="172"/>
      <c r="EN140" s="172"/>
      <c r="EO140" s="172"/>
      <c r="EP140" s="172"/>
      <c r="EQ140" s="172"/>
      <c r="ER140" s="172"/>
      <c r="ES140" s="172"/>
      <c r="ET140" s="172"/>
      <c r="EU140" s="172"/>
      <c r="EV140" s="172"/>
      <c r="EW140" s="172"/>
      <c r="EX140" s="172"/>
      <c r="EY140" s="172"/>
      <c r="EZ140" s="172"/>
      <c r="FA140" s="172"/>
      <c r="FB140" s="172"/>
      <c r="FC140" s="172"/>
      <c r="FD140" s="172"/>
      <c r="FE140" s="172"/>
      <c r="FF140" s="172"/>
      <c r="FG140" s="172"/>
      <c r="FH140" s="172"/>
      <c r="FI140" s="172"/>
      <c r="FJ140" s="172"/>
      <c r="FK140" s="172"/>
      <c r="FL140" s="172"/>
      <c r="FM140" s="172"/>
      <c r="FN140" s="172"/>
      <c r="FO140" s="172"/>
      <c r="FP140" s="172"/>
      <c r="FQ140" s="172"/>
      <c r="FR140" s="172"/>
      <c r="FS140" s="172"/>
      <c r="FT140" s="172"/>
      <c r="FU140" s="172"/>
      <c r="FV140" s="172"/>
      <c r="FW140" s="172"/>
      <c r="FX140" s="172"/>
      <c r="FY140" s="172"/>
      <c r="FZ140" s="172"/>
      <c r="GA140" s="172"/>
      <c r="GB140" s="172"/>
      <c r="GC140" s="172"/>
      <c r="GD140" s="172"/>
      <c r="GE140" s="172"/>
      <c r="GF140" s="172"/>
      <c r="GG140" s="172"/>
      <c r="GH140" s="172"/>
      <c r="GI140" s="172"/>
      <c r="GJ140" s="172"/>
      <c r="GK140" s="172"/>
      <c r="GL140" s="172"/>
      <c r="GM140" s="172"/>
      <c r="GN140" s="172"/>
      <c r="GO140" s="172"/>
      <c r="GP140" s="172"/>
      <c r="GQ140" s="172"/>
      <c r="GR140" s="172"/>
      <c r="GS140" s="172"/>
      <c r="GT140" s="172"/>
      <c r="GU140" s="172"/>
      <c r="GV140" s="172"/>
      <c r="GW140" s="172"/>
      <c r="GX140" s="172"/>
      <c r="GY140" s="172"/>
      <c r="GZ140" s="172"/>
      <c r="HA140" s="172"/>
      <c r="HB140" s="172"/>
      <c r="HC140" s="172"/>
      <c r="HD140" s="172"/>
      <c r="HE140" s="172"/>
      <c r="HF140" s="172"/>
      <c r="HG140" s="172"/>
      <c r="HH140" s="172"/>
      <c r="HI140" s="172"/>
      <c r="HJ140" s="172"/>
      <c r="HK140" s="172"/>
      <c r="HL140" s="172"/>
      <c r="HM140" s="172"/>
      <c r="HN140" s="172"/>
      <c r="HO140" s="172"/>
      <c r="HP140" s="172"/>
      <c r="HQ140" s="172"/>
      <c r="HR140" s="172"/>
      <c r="HS140" s="172"/>
      <c r="HT140" s="172"/>
      <c r="HU140" s="172"/>
      <c r="HV140" s="172"/>
      <c r="HW140" s="172"/>
      <c r="HX140" s="172"/>
      <c r="HY140" s="172"/>
      <c r="HZ140" s="172"/>
      <c r="IA140" s="172"/>
      <c r="IB140" s="172"/>
      <c r="IC140" s="172"/>
      <c r="ID140" s="172"/>
      <c r="IE140" s="172"/>
      <c r="IF140" s="172"/>
      <c r="IG140" s="172"/>
      <c r="IH140" s="172"/>
      <c r="II140" s="172"/>
      <c r="IJ140" s="172"/>
      <c r="IK140" s="172"/>
      <c r="IL140" s="172"/>
      <c r="IM140" s="172"/>
      <c r="IN140" s="172"/>
      <c r="IO140" s="172"/>
      <c r="IP140" s="172"/>
      <c r="IQ140" s="172"/>
      <c r="IR140" s="172"/>
      <c r="IS140" s="172"/>
      <c r="IT140" s="172"/>
      <c r="IU140" s="172"/>
      <c r="IV140" s="172"/>
      <c r="IW140" s="172"/>
      <c r="IX140" s="172"/>
      <c r="IY140" s="172"/>
      <c r="IZ140" s="172"/>
      <c r="JA140" s="172"/>
      <c r="JB140" s="172"/>
      <c r="JC140" s="172"/>
      <c r="JD140" s="172"/>
      <c r="JE140" s="172"/>
      <c r="JF140" s="172"/>
      <c r="JG140" s="172"/>
      <c r="JH140" s="172"/>
      <c r="JI140" s="172"/>
      <c r="JJ140" s="172"/>
      <c r="JK140" s="172"/>
      <c r="JL140" s="172"/>
      <c r="JM140" s="172"/>
      <c r="JN140" s="172"/>
      <c r="JO140" s="172"/>
      <c r="JP140" s="172"/>
      <c r="JQ140" s="172"/>
      <c r="JR140" s="172"/>
      <c r="JS140" s="172"/>
      <c r="JT140" s="172"/>
      <c r="JU140" s="172"/>
      <c r="JV140" s="172"/>
      <c r="JW140" s="172"/>
      <c r="JX140" s="172"/>
      <c r="JY140" s="172"/>
      <c r="JZ140" s="172"/>
      <c r="KA140" s="172"/>
      <c r="KB140" s="172"/>
      <c r="KC140" s="172"/>
      <c r="KD140" s="172"/>
      <c r="KE140" s="172"/>
      <c r="KF140" s="172"/>
      <c r="KG140" s="172"/>
      <c r="KH140" s="172"/>
      <c r="KI140" s="172"/>
      <c r="KJ140" s="172"/>
      <c r="KK140" s="172"/>
      <c r="KL140" s="172"/>
      <c r="KM140" s="172"/>
      <c r="KN140" s="172"/>
      <c r="KO140" s="172"/>
      <c r="KP140" s="172"/>
      <c r="KQ140" s="172"/>
      <c r="KR140" s="172"/>
      <c r="KS140" s="172"/>
      <c r="KT140" s="172"/>
      <c r="KU140" s="172"/>
      <c r="KV140" s="172"/>
      <c r="KW140" s="172"/>
      <c r="KX140" s="172"/>
      <c r="KY140" s="172"/>
      <c r="KZ140" s="172"/>
      <c r="LA140" s="172"/>
      <c r="LB140" s="172"/>
      <c r="LC140" s="172"/>
      <c r="LD140" s="172"/>
      <c r="LE140" s="172"/>
      <c r="LF140" s="172"/>
      <c r="LG140" s="172"/>
      <c r="LH140" s="172"/>
      <c r="LI140" s="172"/>
      <c r="LJ140" s="172"/>
      <c r="LK140" s="172"/>
      <c r="LL140" s="172"/>
      <c r="LM140" s="172"/>
      <c r="LN140" s="172"/>
      <c r="LO140" s="172"/>
      <c r="LP140" s="172"/>
      <c r="LQ140" s="172"/>
      <c r="LR140" s="172"/>
      <c r="LS140" s="172"/>
      <c r="LT140" s="172"/>
      <c r="LU140" s="172"/>
      <c r="LV140" s="172"/>
      <c r="LW140" s="172"/>
      <c r="LX140" s="172"/>
      <c r="LY140" s="172"/>
      <c r="LZ140" s="172"/>
      <c r="MA140" s="172"/>
      <c r="MB140" s="172"/>
      <c r="MC140" s="172"/>
      <c r="MD140" s="172"/>
      <c r="ME140" s="172"/>
      <c r="MF140" s="172"/>
      <c r="MG140" s="172"/>
      <c r="MH140" s="172"/>
      <c r="MI140" s="172"/>
      <c r="MJ140" s="172"/>
      <c r="MK140" s="172"/>
      <c r="ML140" s="172"/>
      <c r="MM140" s="172"/>
      <c r="MN140" s="172"/>
      <c r="MO140" s="172"/>
      <c r="MP140" s="172"/>
      <c r="MQ140" s="172"/>
      <c r="MR140" s="172"/>
      <c r="MS140" s="172"/>
      <c r="MT140" s="172"/>
      <c r="MU140" s="172"/>
      <c r="MV140" s="172"/>
      <c r="MW140" s="172"/>
      <c r="MX140" s="172"/>
      <c r="MY140" s="172"/>
      <c r="MZ140" s="172"/>
      <c r="NA140" s="172"/>
      <c r="NB140" s="172"/>
      <c r="NC140" s="172"/>
      <c r="ND140" s="172"/>
      <c r="NE140" s="172"/>
      <c r="NF140" s="172"/>
      <c r="NG140" s="172"/>
      <c r="NH140" s="172"/>
      <c r="NI140" s="172"/>
      <c r="NJ140" s="172"/>
      <c r="NK140" s="172"/>
      <c r="NL140" s="172"/>
      <c r="NM140" s="172"/>
      <c r="NN140" s="172"/>
      <c r="NO140" s="172"/>
      <c r="NP140" s="172"/>
      <c r="NQ140" s="172"/>
      <c r="NR140" s="172"/>
      <c r="NS140" s="172"/>
      <c r="NT140" s="172"/>
      <c r="NU140" s="172"/>
      <c r="NV140" s="172"/>
      <c r="NW140" s="172"/>
      <c r="NX140" s="172"/>
      <c r="NY140" s="172"/>
      <c r="NZ140" s="172"/>
      <c r="OA140" s="172"/>
      <c r="OB140" s="172"/>
      <c r="OC140" s="172"/>
      <c r="OD140" s="172"/>
      <c r="OE140" s="172"/>
      <c r="OF140" s="172"/>
      <c r="OG140" s="172"/>
      <c r="OH140" s="172"/>
      <c r="OI140" s="172"/>
      <c r="OJ140" s="172"/>
      <c r="OK140" s="172"/>
      <c r="OL140" s="172"/>
      <c r="OM140" s="172"/>
      <c r="ON140" s="172"/>
      <c r="OO140" s="172"/>
      <c r="OP140" s="172"/>
      <c r="OQ140" s="172"/>
      <c r="OR140" s="172"/>
      <c r="OS140" s="172"/>
      <c r="OT140" s="172"/>
      <c r="OU140" s="172"/>
      <c r="OV140" s="172"/>
      <c r="OW140" s="172"/>
      <c r="OX140" s="172"/>
      <c r="OY140" s="172"/>
      <c r="OZ140" s="172"/>
      <c r="PA140" s="172"/>
      <c r="PB140" s="172"/>
      <c r="PC140" s="172"/>
      <c r="PD140" s="172"/>
      <c r="PE140" s="172"/>
      <c r="PF140" s="172"/>
      <c r="PG140" s="172"/>
      <c r="PH140" s="172"/>
      <c r="PI140" s="172"/>
      <c r="PJ140" s="172"/>
      <c r="PK140" s="172"/>
      <c r="PL140" s="172"/>
      <c r="PM140" s="172"/>
      <c r="PN140" s="172"/>
      <c r="PO140" s="172"/>
      <c r="PP140" s="172"/>
      <c r="PQ140" s="172"/>
      <c r="PR140" s="172"/>
      <c r="PS140" s="172"/>
      <c r="PT140" s="172"/>
      <c r="PU140" s="172"/>
      <c r="PV140" s="172"/>
      <c r="PW140" s="172"/>
      <c r="PX140" s="172"/>
      <c r="PY140" s="172"/>
      <c r="PZ140" s="172"/>
      <c r="QA140" s="172"/>
      <c r="QB140" s="172"/>
      <c r="QC140" s="172"/>
      <c r="QD140" s="172"/>
      <c r="QE140" s="172"/>
      <c r="QF140" s="172"/>
      <c r="QG140" s="172"/>
      <c r="QH140" s="172"/>
      <c r="QI140" s="172"/>
      <c r="QJ140" s="172"/>
      <c r="QK140" s="172"/>
      <c r="QL140" s="172"/>
      <c r="QM140" s="172"/>
      <c r="QN140" s="172"/>
      <c r="QO140" s="172"/>
      <c r="QP140" s="172"/>
      <c r="QQ140" s="172"/>
      <c r="QR140" s="172"/>
      <c r="QS140" s="172"/>
      <c r="QT140" s="172"/>
      <c r="QU140" s="172"/>
      <c r="QV140" s="172"/>
      <c r="QW140" s="172"/>
      <c r="QX140" s="172"/>
      <c r="QY140" s="172"/>
      <c r="QZ140" s="172"/>
      <c r="RA140" s="172"/>
      <c r="RB140" s="172"/>
      <c r="RC140" s="172"/>
      <c r="RD140" s="172"/>
      <c r="RE140" s="172"/>
      <c r="RF140" s="172"/>
      <c r="RG140" s="172"/>
      <c r="RH140" s="172"/>
      <c r="RI140" s="172"/>
      <c r="RJ140" s="172"/>
      <c r="RK140" s="172"/>
      <c r="RL140" s="172"/>
      <c r="RM140" s="172"/>
      <c r="RN140" s="172"/>
      <c r="RO140" s="172"/>
      <c r="RP140" s="172"/>
      <c r="RQ140" s="172"/>
      <c r="RR140" s="172"/>
      <c r="RS140" s="172"/>
      <c r="RT140" s="172"/>
      <c r="RU140" s="172"/>
      <c r="RV140" s="172"/>
      <c r="RW140" s="172"/>
      <c r="RX140" s="172"/>
      <c r="RY140" s="172"/>
      <c r="RZ140" s="172"/>
      <c r="SA140" s="172"/>
      <c r="SB140" s="172"/>
      <c r="SC140" s="172"/>
      <c r="SD140" s="172"/>
      <c r="SE140" s="172"/>
      <c r="SF140" s="172"/>
      <c r="SG140" s="172"/>
      <c r="SH140" s="172"/>
      <c r="SI140" s="172"/>
      <c r="SJ140" s="172"/>
      <c r="SK140" s="172"/>
      <c r="SL140" s="172"/>
      <c r="SM140" s="172"/>
      <c r="SN140" s="172"/>
      <c r="SO140" s="172"/>
      <c r="SP140" s="172"/>
      <c r="SQ140" s="172"/>
      <c r="SR140" s="172"/>
      <c r="SS140" s="172"/>
      <c r="ST140" s="172"/>
      <c r="SU140" s="172"/>
      <c r="SV140" s="172"/>
      <c r="SW140" s="172"/>
      <c r="SX140" s="172"/>
      <c r="SY140" s="172"/>
      <c r="SZ140" s="172"/>
      <c r="TA140" s="172"/>
      <c r="TB140" s="172"/>
      <c r="TC140" s="172"/>
      <c r="TD140" s="172"/>
      <c r="TE140" s="172"/>
      <c r="TF140" s="172"/>
      <c r="TG140" s="172"/>
      <c r="TH140" s="172"/>
      <c r="TI140" s="172"/>
      <c r="TJ140" s="172"/>
      <c r="TK140" s="172"/>
      <c r="TL140" s="172"/>
      <c r="TM140" s="172"/>
      <c r="TN140" s="172"/>
      <c r="TO140" s="172"/>
      <c r="TP140" s="172"/>
      <c r="TQ140" s="172"/>
      <c r="TR140" s="172"/>
      <c r="TS140" s="172"/>
      <c r="TT140" s="172"/>
      <c r="TU140" s="172"/>
      <c r="TV140" s="172"/>
      <c r="TW140" s="172"/>
      <c r="TX140" s="172"/>
      <c r="TY140" s="172"/>
      <c r="TZ140" s="172"/>
      <c r="UA140" s="172"/>
      <c r="UB140" s="172"/>
      <c r="UC140" s="172"/>
      <c r="UD140" s="172"/>
      <c r="UE140" s="172"/>
      <c r="UF140" s="172"/>
      <c r="UG140" s="172"/>
      <c r="UH140" s="172"/>
      <c r="UI140" s="172"/>
      <c r="UJ140" s="172"/>
      <c r="UK140" s="172"/>
      <c r="UL140" s="172"/>
      <c r="UM140" s="172"/>
      <c r="UN140" s="172"/>
      <c r="UO140" s="172"/>
      <c r="UP140" s="172"/>
      <c r="UQ140" s="172"/>
      <c r="UR140" s="172"/>
      <c r="US140" s="172"/>
      <c r="UT140" s="172"/>
      <c r="UU140" s="172"/>
      <c r="UV140" s="172"/>
      <c r="UW140" s="172"/>
      <c r="UX140" s="172"/>
      <c r="UY140" s="172"/>
      <c r="UZ140" s="172"/>
      <c r="VA140" s="172"/>
      <c r="VB140" s="172"/>
      <c r="VC140" s="172"/>
      <c r="VD140" s="172"/>
      <c r="VE140" s="172"/>
      <c r="VF140" s="172"/>
      <c r="VG140" s="172"/>
      <c r="VH140" s="172"/>
      <c r="VI140" s="172"/>
      <c r="VJ140" s="172"/>
      <c r="VK140" s="172"/>
      <c r="VL140" s="172"/>
      <c r="VM140" s="172"/>
      <c r="VN140" s="172"/>
      <c r="VO140" s="172"/>
      <c r="VP140" s="172"/>
      <c r="VQ140" s="172"/>
      <c r="VR140" s="172"/>
      <c r="VS140" s="172"/>
      <c r="VT140" s="172"/>
      <c r="VU140" s="172"/>
      <c r="VV140" s="172"/>
      <c r="VW140" s="172"/>
      <c r="VX140" s="172"/>
      <c r="VY140" s="172"/>
      <c r="VZ140" s="172"/>
      <c r="WA140" s="172"/>
      <c r="WB140" s="172"/>
      <c r="WC140" s="172"/>
      <c r="WD140" s="172"/>
      <c r="WE140" s="172"/>
      <c r="WF140" s="172"/>
      <c r="WG140" s="172"/>
      <c r="WH140" s="172"/>
      <c r="WI140" s="172"/>
      <c r="WJ140" s="172"/>
      <c r="WK140" s="172"/>
      <c r="WL140" s="172"/>
      <c r="WM140" s="172"/>
      <c r="WN140" s="172"/>
      <c r="WO140" s="172"/>
      <c r="WP140" s="172"/>
      <c r="WQ140" s="172"/>
      <c r="WR140" s="172"/>
      <c r="WS140" s="172"/>
      <c r="WT140" s="172"/>
      <c r="WU140" s="172"/>
      <c r="WV140" s="172"/>
      <c r="WW140" s="172"/>
      <c r="WX140" s="172"/>
      <c r="WY140" s="172"/>
      <c r="WZ140" s="172"/>
      <c r="XA140" s="172"/>
      <c r="XB140" s="172"/>
      <c r="XC140" s="172"/>
      <c r="XD140" s="172"/>
      <c r="XE140" s="172"/>
      <c r="XF140" s="172"/>
      <c r="XG140" s="172"/>
      <c r="XH140" s="172"/>
      <c r="XI140" s="172"/>
      <c r="XJ140" s="172"/>
      <c r="XK140" s="172"/>
      <c r="XL140" s="172"/>
      <c r="XM140" s="172"/>
      <c r="XN140" s="172"/>
      <c r="XO140" s="172"/>
      <c r="XP140" s="172"/>
      <c r="XQ140" s="172"/>
      <c r="XR140" s="172"/>
      <c r="XS140" s="172"/>
      <c r="XT140" s="172"/>
      <c r="XU140" s="172"/>
      <c r="XV140" s="172"/>
      <c r="XW140" s="172"/>
      <c r="XX140" s="172"/>
      <c r="XY140" s="172"/>
      <c r="XZ140" s="172"/>
      <c r="YA140" s="172"/>
      <c r="YB140" s="172"/>
      <c r="YC140" s="172"/>
      <c r="YD140" s="172"/>
      <c r="YE140" s="172"/>
      <c r="YF140" s="172"/>
      <c r="YG140" s="172"/>
      <c r="YH140" s="172"/>
      <c r="YI140" s="172"/>
      <c r="YJ140" s="172"/>
      <c r="YK140" s="172"/>
      <c r="YL140" s="172"/>
      <c r="YM140" s="172"/>
      <c r="YN140" s="172"/>
      <c r="YO140" s="172"/>
      <c r="YP140" s="172"/>
      <c r="YQ140" s="172"/>
      <c r="YR140" s="172"/>
      <c r="YS140" s="172"/>
      <c r="YT140" s="172"/>
      <c r="YU140" s="172"/>
      <c r="YV140" s="172"/>
      <c r="YW140" s="172"/>
      <c r="YX140" s="172"/>
      <c r="YY140" s="172"/>
      <c r="YZ140" s="172"/>
      <c r="ZA140" s="172"/>
      <c r="ZB140" s="172"/>
      <c r="ZC140" s="172"/>
      <c r="ZD140" s="172"/>
      <c r="ZE140" s="172"/>
      <c r="ZF140" s="172"/>
      <c r="ZG140" s="172"/>
      <c r="ZH140" s="172"/>
      <c r="ZI140" s="172"/>
      <c r="ZJ140" s="172"/>
      <c r="ZK140" s="172"/>
      <c r="ZL140" s="172"/>
      <c r="ZM140" s="172"/>
      <c r="ZN140" s="172"/>
      <c r="ZO140" s="172"/>
      <c r="ZP140" s="172"/>
      <c r="ZQ140" s="172"/>
      <c r="ZR140" s="172"/>
      <c r="ZS140" s="172"/>
      <c r="ZT140" s="172"/>
      <c r="ZU140" s="172"/>
      <c r="ZV140" s="172"/>
      <c r="ZW140" s="172"/>
      <c r="ZX140" s="172"/>
      <c r="ZY140" s="172"/>
      <c r="ZZ140" s="172"/>
      <c r="AAA140" s="172"/>
      <c r="AAB140" s="172"/>
      <c r="AAC140" s="172"/>
      <c r="AAD140" s="172"/>
      <c r="AAE140" s="172"/>
      <c r="AAF140" s="172"/>
      <c r="AAG140" s="172"/>
      <c r="AAH140" s="172"/>
      <c r="AAI140" s="172"/>
      <c r="AAJ140" s="172"/>
      <c r="AAK140" s="172"/>
      <c r="AAL140" s="172"/>
      <c r="AAM140" s="172"/>
      <c r="AAN140" s="172"/>
      <c r="AAO140" s="172"/>
      <c r="AAP140" s="172"/>
      <c r="AAQ140" s="172"/>
      <c r="AAR140" s="172"/>
      <c r="AAS140" s="172"/>
      <c r="AAT140" s="172"/>
      <c r="AAU140" s="172"/>
      <c r="AAV140" s="172"/>
      <c r="AAW140" s="172"/>
      <c r="AAX140" s="172"/>
      <c r="AAY140" s="172"/>
      <c r="AAZ140" s="172"/>
      <c r="ABA140" s="172"/>
      <c r="ABB140" s="172"/>
      <c r="ABC140" s="172"/>
      <c r="ABD140" s="172"/>
      <c r="ABE140" s="172"/>
      <c r="ABF140" s="172"/>
      <c r="ABG140" s="172"/>
      <c r="ABH140" s="172"/>
      <c r="ABI140" s="172"/>
      <c r="ABJ140" s="172"/>
      <c r="ABK140" s="172"/>
      <c r="ABL140" s="172"/>
      <c r="ABM140" s="172"/>
      <c r="ABN140" s="172"/>
      <c r="ABO140" s="172"/>
      <c r="ABP140" s="172"/>
      <c r="ABQ140" s="172"/>
      <c r="ABR140" s="172"/>
      <c r="ABS140" s="172"/>
      <c r="ABT140" s="172"/>
      <c r="ABU140" s="172"/>
      <c r="ABV140" s="172"/>
      <c r="ABW140" s="172"/>
      <c r="ABX140" s="172"/>
      <c r="ABY140" s="172"/>
      <c r="ABZ140" s="172"/>
      <c r="ACA140" s="172"/>
      <c r="ACB140" s="172"/>
      <c r="ACC140" s="172"/>
      <c r="ACD140" s="172"/>
      <c r="ACE140" s="172"/>
      <c r="ACF140" s="172"/>
      <c r="ACG140" s="172"/>
      <c r="ACH140" s="172"/>
      <c r="ACI140" s="172"/>
      <c r="ACJ140" s="172"/>
      <c r="ACK140" s="172"/>
      <c r="ACL140" s="172"/>
      <c r="ACM140" s="172"/>
      <c r="ACN140" s="172"/>
      <c r="ACO140" s="172"/>
      <c r="ACP140" s="172"/>
      <c r="ACQ140" s="172"/>
      <c r="ACR140" s="172"/>
      <c r="ACS140" s="172"/>
      <c r="ACT140" s="172"/>
      <c r="ACU140" s="172"/>
      <c r="ACV140" s="172"/>
      <c r="ACW140" s="172"/>
      <c r="ACX140" s="172"/>
      <c r="ACY140" s="172"/>
      <c r="ACZ140" s="172"/>
      <c r="ADA140" s="172"/>
      <c r="ADB140" s="172"/>
      <c r="ADC140" s="172"/>
      <c r="ADD140" s="172"/>
      <c r="ADE140" s="172"/>
      <c r="ADF140" s="172"/>
      <c r="ADG140" s="172"/>
      <c r="ADH140" s="172"/>
      <c r="ADI140" s="172"/>
      <c r="ADJ140" s="172"/>
      <c r="ADK140" s="172"/>
      <c r="ADL140" s="172"/>
      <c r="ADM140" s="172"/>
      <c r="ADN140" s="172"/>
      <c r="ADO140" s="172"/>
      <c r="ADP140" s="172"/>
      <c r="ADQ140" s="172"/>
      <c r="ADR140" s="172"/>
      <c r="ADS140" s="172"/>
      <c r="ADT140" s="172"/>
      <c r="ADU140" s="172"/>
      <c r="ADV140" s="172"/>
      <c r="ADW140" s="172"/>
      <c r="ADX140" s="172"/>
      <c r="ADY140" s="172"/>
      <c r="ADZ140" s="172"/>
      <c r="AEA140" s="172"/>
      <c r="AEB140" s="172"/>
      <c r="AEC140" s="172"/>
      <c r="AED140" s="172"/>
      <c r="AEE140" s="172"/>
      <c r="AEF140" s="172"/>
      <c r="AEG140" s="172"/>
      <c r="AEH140" s="172"/>
      <c r="AEI140" s="172"/>
      <c r="AEJ140" s="172"/>
      <c r="AEK140" s="172"/>
      <c r="AEL140" s="172"/>
      <c r="AEM140" s="172"/>
      <c r="AEN140" s="172"/>
      <c r="AEO140" s="172"/>
      <c r="AEP140" s="172"/>
      <c r="AEQ140" s="172"/>
      <c r="AER140" s="172"/>
      <c r="AES140" s="172"/>
      <c r="AET140" s="172"/>
      <c r="AEU140" s="172"/>
      <c r="AEV140" s="172"/>
      <c r="AEW140" s="172"/>
      <c r="AEX140" s="172"/>
      <c r="AEY140" s="172"/>
      <c r="AEZ140" s="172"/>
      <c r="AFA140" s="172"/>
      <c r="AFB140" s="172"/>
      <c r="AFC140" s="172"/>
      <c r="AFD140" s="172"/>
      <c r="AFE140" s="172"/>
      <c r="AFF140" s="172"/>
      <c r="AFG140" s="172"/>
      <c r="AFH140" s="172"/>
      <c r="AFI140" s="172"/>
      <c r="AFJ140" s="172"/>
      <c r="AFK140" s="172"/>
      <c r="AFL140" s="172"/>
      <c r="AFM140" s="172"/>
      <c r="AFN140" s="172"/>
      <c r="AFO140" s="172"/>
      <c r="AFP140" s="172"/>
      <c r="AFQ140" s="172"/>
      <c r="AFR140" s="172"/>
      <c r="AFS140" s="172"/>
      <c r="AFT140" s="172"/>
      <c r="AFU140" s="172"/>
      <c r="AFV140" s="172"/>
      <c r="AFW140" s="172"/>
      <c r="AFX140" s="172"/>
      <c r="AFY140" s="172"/>
      <c r="AFZ140" s="172"/>
      <c r="AGA140" s="172"/>
      <c r="AGB140" s="172"/>
      <c r="AGC140" s="172"/>
      <c r="AGD140" s="172"/>
      <c r="AGE140" s="172"/>
      <c r="AGF140" s="172"/>
      <c r="AGG140" s="172"/>
      <c r="AGH140" s="172"/>
      <c r="AGI140" s="172"/>
      <c r="AGJ140" s="172"/>
      <c r="AGK140" s="172"/>
      <c r="AGL140" s="172"/>
      <c r="AGM140" s="172"/>
      <c r="AGN140" s="172"/>
      <c r="AGO140" s="172"/>
      <c r="AGP140" s="172"/>
      <c r="AGQ140" s="172"/>
      <c r="AGR140" s="172"/>
      <c r="AGS140" s="172"/>
      <c r="AGT140" s="172"/>
      <c r="AGU140" s="172"/>
      <c r="AGV140" s="172"/>
      <c r="AGW140" s="172"/>
      <c r="AGX140" s="172"/>
      <c r="AGY140" s="172"/>
      <c r="AGZ140" s="172"/>
      <c r="AHA140" s="172"/>
      <c r="AHB140" s="172"/>
      <c r="AHC140" s="172"/>
      <c r="AHD140" s="172"/>
      <c r="AHE140" s="172"/>
      <c r="AHF140" s="172"/>
      <c r="AHG140" s="172"/>
      <c r="AHH140" s="172"/>
      <c r="AHI140" s="172"/>
      <c r="AHJ140" s="172"/>
      <c r="AHK140" s="172"/>
      <c r="AHL140" s="172"/>
      <c r="AHM140" s="172"/>
      <c r="AHN140" s="172"/>
      <c r="AHO140" s="172"/>
      <c r="AHP140" s="172"/>
      <c r="AHQ140" s="172"/>
      <c r="AHR140" s="172"/>
      <c r="AHS140" s="172"/>
      <c r="AHT140" s="172"/>
      <c r="AHU140" s="172"/>
      <c r="AHV140" s="172"/>
      <c r="AHW140" s="172"/>
      <c r="AHX140" s="172"/>
      <c r="AHY140" s="172"/>
      <c r="AHZ140" s="172"/>
      <c r="AIA140" s="172"/>
      <c r="AIB140" s="172"/>
      <c r="AIC140" s="172"/>
      <c r="AID140" s="172"/>
      <c r="AIE140" s="172"/>
      <c r="AIF140" s="172"/>
      <c r="AIG140" s="172"/>
      <c r="AIH140" s="172"/>
      <c r="AII140" s="172"/>
      <c r="AIJ140" s="172"/>
      <c r="AIK140" s="172"/>
      <c r="AIL140" s="172"/>
      <c r="AIM140" s="172"/>
      <c r="AIN140" s="172"/>
      <c r="AIO140" s="172"/>
      <c r="AIP140" s="172"/>
      <c r="AIQ140" s="172"/>
      <c r="AIR140" s="172"/>
      <c r="AIS140" s="172"/>
      <c r="AIT140" s="172"/>
      <c r="AIU140" s="172"/>
      <c r="AIV140" s="172"/>
      <c r="AIW140" s="172"/>
      <c r="AIX140" s="172"/>
      <c r="AIY140" s="172"/>
      <c r="AIZ140" s="172"/>
      <c r="AJA140" s="172"/>
      <c r="AJB140" s="172"/>
      <c r="AJC140" s="172"/>
      <c r="AJD140" s="172"/>
      <c r="AJE140" s="172"/>
      <c r="AJF140" s="172"/>
      <c r="AJG140" s="172"/>
      <c r="AJH140" s="172"/>
      <c r="AJI140" s="172"/>
      <c r="AJJ140" s="172"/>
      <c r="AJK140" s="172"/>
      <c r="AJL140" s="172"/>
      <c r="AJM140" s="172"/>
      <c r="AJN140" s="172"/>
      <c r="AJO140" s="172"/>
      <c r="AJP140" s="172"/>
      <c r="AJQ140" s="172"/>
      <c r="AJR140" s="172"/>
      <c r="AJS140" s="172"/>
      <c r="AJT140" s="172"/>
      <c r="AJU140" s="172"/>
      <c r="AJV140" s="172"/>
      <c r="AJW140" s="172"/>
      <c r="AJX140" s="172"/>
      <c r="AJY140" s="172"/>
      <c r="AJZ140" s="172"/>
      <c r="AKA140" s="172"/>
      <c r="AKB140" s="172"/>
      <c r="AKC140" s="172"/>
      <c r="AKD140" s="172"/>
      <c r="AKE140" s="172"/>
      <c r="AKF140" s="172"/>
      <c r="AKG140" s="172"/>
      <c r="AKH140" s="172"/>
      <c r="AKI140" s="172"/>
      <c r="AKJ140" s="172"/>
      <c r="AKK140" s="172"/>
      <c r="AKL140" s="172"/>
      <c r="AKM140" s="172"/>
      <c r="AKN140" s="172"/>
      <c r="AKO140" s="172"/>
      <c r="AKP140" s="172"/>
      <c r="AKQ140" s="172"/>
      <c r="AKR140" s="172"/>
      <c r="AKS140" s="172"/>
      <c r="AKT140" s="172"/>
      <c r="AKU140" s="172"/>
      <c r="AKV140" s="172"/>
      <c r="AKW140" s="172"/>
      <c r="AKX140" s="172"/>
      <c r="AKY140" s="172"/>
      <c r="AKZ140" s="172"/>
      <c r="ALA140" s="172"/>
      <c r="ALB140" s="172"/>
      <c r="ALC140" s="172"/>
      <c r="ALD140" s="172"/>
      <c r="ALE140" s="172"/>
      <c r="ALF140" s="172"/>
      <c r="ALG140" s="172"/>
      <c r="ALH140" s="172"/>
      <c r="ALI140" s="172"/>
      <c r="ALJ140" s="172"/>
      <c r="ALK140" s="172"/>
      <c r="ALL140" s="172"/>
      <c r="ALM140" s="172"/>
      <c r="ALN140" s="172"/>
      <c r="ALO140" s="172"/>
      <c r="ALP140" s="172"/>
      <c r="ALQ140" s="172"/>
      <c r="ALR140" s="172"/>
      <c r="ALS140" s="172"/>
      <c r="ALT140" s="172"/>
      <c r="ALU140" s="172"/>
      <c r="ALV140" s="172"/>
      <c r="ALW140" s="172"/>
      <c r="ALX140" s="172"/>
      <c r="ALY140" s="172"/>
      <c r="ALZ140" s="172"/>
      <c r="AMA140" s="172"/>
      <c r="AMB140" s="172"/>
      <c r="AMC140" s="172"/>
      <c r="AMD140" s="172"/>
      <c r="AME140" s="172"/>
      <c r="AMF140" s="172"/>
      <c r="AMG140" s="172"/>
      <c r="AMH140" s="172"/>
      <c r="AMI140" s="172"/>
      <c r="AMJ140" s="172"/>
      <c r="AMK140" s="172"/>
      <c r="AML140" s="172"/>
      <c r="AMM140" s="172"/>
      <c r="AMN140" s="172"/>
      <c r="AMO140" s="172"/>
      <c r="AMP140" s="172"/>
      <c r="AMQ140" s="172"/>
      <c r="AMR140" s="172"/>
      <c r="AMS140" s="172"/>
      <c r="AMT140" s="172"/>
      <c r="AMU140" s="172"/>
      <c r="AMV140" s="172"/>
      <c r="AMW140" s="172"/>
      <c r="AMX140" s="172"/>
      <c r="AMY140" s="172"/>
      <c r="AMZ140" s="172"/>
      <c r="ANA140" s="172"/>
      <c r="ANB140" s="172"/>
      <c r="ANC140" s="172"/>
      <c r="AND140" s="172"/>
      <c r="ANE140" s="172"/>
      <c r="ANF140" s="172"/>
      <c r="ANG140" s="172"/>
      <c r="ANH140" s="172"/>
      <c r="ANI140" s="172"/>
      <c r="ANJ140" s="172"/>
      <c r="ANK140" s="172"/>
      <c r="ANL140" s="172"/>
      <c r="ANM140" s="172"/>
      <c r="ANN140" s="172"/>
      <c r="ANO140" s="172"/>
      <c r="ANP140" s="172"/>
      <c r="ANQ140" s="172"/>
      <c r="ANR140" s="172"/>
      <c r="ANS140" s="172"/>
      <c r="ANT140" s="172"/>
      <c r="ANU140" s="172"/>
      <c r="ANV140" s="172"/>
      <c r="ANW140" s="172"/>
      <c r="ANX140" s="172"/>
      <c r="ANY140" s="172"/>
      <c r="ANZ140" s="172"/>
      <c r="AOA140" s="172"/>
      <c r="AOB140" s="172"/>
      <c r="AOC140" s="172"/>
      <c r="AOD140" s="172"/>
      <c r="AOE140" s="172"/>
      <c r="AOF140" s="172"/>
      <c r="AOG140" s="172"/>
      <c r="AOH140" s="172"/>
      <c r="AOI140" s="172"/>
      <c r="AOJ140" s="172"/>
      <c r="AOK140" s="172"/>
      <c r="AOL140" s="172"/>
      <c r="AOM140" s="172"/>
      <c r="AON140" s="172"/>
      <c r="AOO140" s="172"/>
      <c r="AOP140" s="172"/>
      <c r="AOQ140" s="172"/>
      <c r="AOR140" s="172"/>
      <c r="AOS140" s="172"/>
      <c r="AOT140" s="172"/>
      <c r="AOU140" s="172"/>
      <c r="AOV140" s="172"/>
      <c r="AOW140" s="172"/>
      <c r="AOX140" s="172"/>
      <c r="AOY140" s="172"/>
      <c r="AOZ140" s="172"/>
      <c r="APA140" s="172"/>
      <c r="APB140" s="172"/>
      <c r="APC140" s="172"/>
      <c r="APD140" s="172"/>
      <c r="APE140" s="172"/>
      <c r="APF140" s="172"/>
      <c r="APG140" s="172"/>
      <c r="APH140" s="172"/>
      <c r="API140" s="172"/>
      <c r="APJ140" s="172"/>
      <c r="APK140" s="172"/>
      <c r="APL140" s="172"/>
      <c r="APM140" s="172"/>
      <c r="APN140" s="172"/>
      <c r="APO140" s="172"/>
      <c r="APP140" s="172"/>
      <c r="APQ140" s="172"/>
      <c r="APR140" s="172"/>
      <c r="APS140" s="172"/>
      <c r="APT140" s="172"/>
      <c r="APU140" s="172"/>
      <c r="APV140" s="172"/>
      <c r="APW140" s="172"/>
      <c r="APX140" s="172"/>
      <c r="APY140" s="172"/>
      <c r="APZ140" s="172"/>
      <c r="AQA140" s="172"/>
      <c r="AQB140" s="172"/>
      <c r="AQC140" s="172"/>
      <c r="AQD140" s="172"/>
      <c r="AQE140" s="172"/>
      <c r="AQF140" s="172"/>
      <c r="AQG140" s="172"/>
      <c r="AQH140" s="172"/>
      <c r="AQI140" s="172"/>
      <c r="AQJ140" s="172"/>
      <c r="AQK140" s="172"/>
      <c r="AQL140" s="172"/>
      <c r="AQM140" s="172"/>
      <c r="AQN140" s="172"/>
      <c r="AQO140" s="172"/>
      <c r="AQP140" s="172"/>
      <c r="AQQ140" s="172"/>
      <c r="AQR140" s="172"/>
      <c r="AQS140" s="172"/>
      <c r="AQT140" s="172"/>
      <c r="AQU140" s="172"/>
      <c r="AQV140" s="172"/>
      <c r="AQW140" s="172"/>
      <c r="AQX140" s="172"/>
      <c r="AQY140" s="172"/>
      <c r="AQZ140" s="172"/>
      <c r="ARA140" s="172"/>
      <c r="ARB140" s="172"/>
      <c r="ARC140" s="172"/>
      <c r="ARD140" s="172"/>
      <c r="ARE140" s="172"/>
      <c r="ARF140" s="172"/>
      <c r="ARG140" s="172"/>
      <c r="ARH140" s="172"/>
      <c r="ARI140" s="172"/>
      <c r="ARJ140" s="172"/>
      <c r="ARK140" s="172"/>
      <c r="ARL140" s="172"/>
      <c r="ARM140" s="172"/>
      <c r="ARN140" s="172"/>
      <c r="ARO140" s="172"/>
      <c r="ARP140" s="172"/>
      <c r="ARQ140" s="172"/>
      <c r="ARR140" s="172"/>
      <c r="ARS140" s="172"/>
      <c r="ART140" s="172"/>
      <c r="ARU140" s="172"/>
    </row>
    <row r="141" spans="1:1165" s="257" customFormat="1">
      <c r="A141" s="222" t="s">
        <v>250</v>
      </c>
      <c r="B141" s="195" t="s">
        <v>87</v>
      </c>
      <c r="C141" s="258">
        <v>50823118</v>
      </c>
      <c r="D141" s="258">
        <v>747819924</v>
      </c>
      <c r="E141" s="198">
        <v>18940</v>
      </c>
      <c r="F141" s="198">
        <v>388102</v>
      </c>
      <c r="G141" s="198">
        <v>0</v>
      </c>
      <c r="H141" s="198">
        <v>0</v>
      </c>
      <c r="I141" s="198">
        <v>0</v>
      </c>
      <c r="J141" s="198">
        <v>0</v>
      </c>
      <c r="K141" s="198">
        <v>0</v>
      </c>
      <c r="L141" s="198">
        <v>0</v>
      </c>
      <c r="M141" s="198"/>
      <c r="N141" s="198"/>
      <c r="O141" s="198">
        <v>21423</v>
      </c>
      <c r="P141" s="198">
        <v>422109</v>
      </c>
      <c r="Q141" s="198">
        <v>14204</v>
      </c>
      <c r="R141" s="198">
        <v>522000</v>
      </c>
      <c r="S141" s="198">
        <v>580433</v>
      </c>
      <c r="T141" s="198">
        <v>12294447</v>
      </c>
      <c r="U141" s="196">
        <v>0</v>
      </c>
      <c r="V141" s="196">
        <v>0</v>
      </c>
      <c r="W141" s="196">
        <v>0</v>
      </c>
      <c r="X141" s="196">
        <v>0</v>
      </c>
      <c r="Y141" s="196">
        <v>0</v>
      </c>
      <c r="Z141" s="196">
        <v>0</v>
      </c>
      <c r="AA141" s="196">
        <v>0</v>
      </c>
      <c r="AB141" s="196">
        <v>0</v>
      </c>
      <c r="AC141" s="196">
        <v>0</v>
      </c>
      <c r="AD141" s="196">
        <v>0</v>
      </c>
      <c r="AE141" s="196">
        <v>0</v>
      </c>
      <c r="AF141" s="196">
        <v>0</v>
      </c>
      <c r="AG141" s="196">
        <v>0</v>
      </c>
      <c r="AH141" s="196">
        <v>0</v>
      </c>
      <c r="AI141" s="196">
        <v>0</v>
      </c>
      <c r="AJ141" s="196">
        <v>0</v>
      </c>
      <c r="AK141" s="196">
        <v>0</v>
      </c>
      <c r="AL141" s="196">
        <v>0</v>
      </c>
      <c r="AM141" s="196">
        <v>0</v>
      </c>
      <c r="AN141" s="196">
        <v>0</v>
      </c>
      <c r="AO141" s="196">
        <v>0</v>
      </c>
      <c r="AP141" s="196">
        <v>0</v>
      </c>
      <c r="AQ141" s="196">
        <v>0</v>
      </c>
      <c r="AR141" s="196">
        <v>0</v>
      </c>
      <c r="AS141" s="196">
        <v>0</v>
      </c>
      <c r="AT141" s="196">
        <v>0</v>
      </c>
      <c r="AU141" s="196">
        <v>0</v>
      </c>
      <c r="AV141" s="196">
        <v>0</v>
      </c>
      <c r="AW141" s="196">
        <v>0</v>
      </c>
      <c r="AX141" s="196">
        <v>0</v>
      </c>
      <c r="AY141" s="211">
        <v>0</v>
      </c>
      <c r="AZ141" s="211">
        <v>0</v>
      </c>
      <c r="BA141" s="262"/>
      <c r="BB141" s="211"/>
      <c r="BC141" s="211"/>
      <c r="BD141" s="211"/>
      <c r="BE141" s="211"/>
      <c r="BF141" s="198"/>
      <c r="BG141" s="263"/>
      <c r="BH141" s="198"/>
      <c r="BI141" s="262"/>
      <c r="BJ141" s="211">
        <f t="shared" si="64"/>
        <v>51439178</v>
      </c>
      <c r="BK141" s="250">
        <f>D141+H141+J141+L141+N141+P141+R141+T141+V141+X141+Z141+AB141+AD141+AF141+AH141+AJ141+AL141+AN141+AP141+AR141+AT141+AV141+AX141+AZ141+BD141+BH141</f>
        <v>761058480</v>
      </c>
      <c r="BL141" s="172"/>
      <c r="BM141" s="172"/>
      <c r="BN141" s="231"/>
      <c r="BO141" s="172"/>
      <c r="BP141" s="231"/>
      <c r="BQ141" s="172"/>
      <c r="BR141" s="172"/>
      <c r="BS141" s="172"/>
      <c r="BT141" s="172"/>
      <c r="BU141" s="172"/>
      <c r="BV141" s="172"/>
      <c r="BW141" s="172"/>
      <c r="BX141" s="172"/>
      <c r="BY141" s="172"/>
      <c r="BZ141" s="172"/>
      <c r="CA141" s="172"/>
      <c r="CB141" s="172"/>
      <c r="CC141" s="172"/>
      <c r="CD141" s="172"/>
      <c r="CE141" s="172"/>
      <c r="CF141" s="172"/>
      <c r="CG141" s="172"/>
      <c r="CH141" s="172"/>
      <c r="CI141" s="172"/>
      <c r="CJ141" s="172"/>
      <c r="CK141" s="172"/>
      <c r="CL141" s="172"/>
      <c r="CM141" s="172"/>
      <c r="CN141" s="172"/>
      <c r="CO141" s="172"/>
      <c r="CP141" s="172"/>
      <c r="CQ141" s="172"/>
      <c r="CR141" s="172"/>
      <c r="CS141" s="172"/>
      <c r="CT141" s="172"/>
      <c r="CU141" s="172"/>
      <c r="CV141" s="172"/>
      <c r="CW141" s="172"/>
      <c r="CX141" s="172"/>
      <c r="CY141" s="172"/>
      <c r="CZ141" s="172"/>
      <c r="DA141" s="172"/>
      <c r="DB141" s="172"/>
      <c r="DC141" s="172"/>
      <c r="DD141" s="172"/>
      <c r="DE141" s="172"/>
      <c r="DF141" s="172"/>
      <c r="DG141" s="172"/>
      <c r="DH141" s="172"/>
      <c r="DI141" s="172"/>
      <c r="DJ141" s="172"/>
      <c r="DK141" s="172"/>
      <c r="DL141" s="172"/>
      <c r="DM141" s="172"/>
      <c r="DN141" s="172"/>
      <c r="DO141" s="172"/>
      <c r="DP141" s="172"/>
      <c r="DQ141" s="172"/>
      <c r="DR141" s="172"/>
      <c r="DS141" s="172"/>
      <c r="DT141" s="172"/>
      <c r="DU141" s="172"/>
      <c r="DV141" s="172"/>
      <c r="DW141" s="172"/>
      <c r="DX141" s="172"/>
      <c r="DY141" s="172"/>
      <c r="DZ141" s="172"/>
      <c r="EA141" s="172"/>
      <c r="EB141" s="172"/>
      <c r="EC141" s="172"/>
      <c r="ED141" s="172"/>
      <c r="EE141" s="172"/>
      <c r="EF141" s="172"/>
      <c r="EG141" s="172"/>
      <c r="EH141" s="172"/>
      <c r="EI141" s="172"/>
      <c r="EJ141" s="172"/>
      <c r="EK141" s="172"/>
      <c r="EL141" s="172"/>
      <c r="EM141" s="172"/>
      <c r="EN141" s="172"/>
      <c r="EO141" s="172"/>
      <c r="EP141" s="172"/>
      <c r="EQ141" s="172"/>
      <c r="ER141" s="172"/>
      <c r="ES141" s="172"/>
      <c r="ET141" s="172"/>
      <c r="EU141" s="172"/>
      <c r="EV141" s="172"/>
      <c r="EW141" s="172"/>
      <c r="EX141" s="172"/>
      <c r="EY141" s="172"/>
      <c r="EZ141" s="172"/>
      <c r="FA141" s="172"/>
      <c r="FB141" s="172"/>
      <c r="FC141" s="172"/>
      <c r="FD141" s="172"/>
      <c r="FE141" s="172"/>
      <c r="FF141" s="172"/>
      <c r="FG141" s="172"/>
      <c r="FH141" s="172"/>
      <c r="FI141" s="172"/>
      <c r="FJ141" s="172"/>
      <c r="FK141" s="172"/>
      <c r="FL141" s="172"/>
      <c r="FM141" s="172"/>
      <c r="FN141" s="172"/>
      <c r="FO141" s="172"/>
      <c r="FP141" s="172"/>
      <c r="FQ141" s="172"/>
      <c r="FR141" s="172"/>
      <c r="FS141" s="172"/>
      <c r="FT141" s="172"/>
      <c r="FU141" s="172"/>
      <c r="FV141" s="172"/>
      <c r="FW141" s="172"/>
      <c r="FX141" s="172"/>
      <c r="FY141" s="172"/>
      <c r="FZ141" s="172"/>
      <c r="GA141" s="172"/>
      <c r="GB141" s="172"/>
      <c r="GC141" s="172"/>
      <c r="GD141" s="172"/>
      <c r="GE141" s="172"/>
      <c r="GF141" s="172"/>
      <c r="GG141" s="172"/>
      <c r="GH141" s="172"/>
      <c r="GI141" s="172"/>
      <c r="GJ141" s="172"/>
      <c r="GK141" s="172"/>
      <c r="GL141" s="172"/>
      <c r="GM141" s="172"/>
      <c r="GN141" s="172"/>
      <c r="GO141" s="172"/>
      <c r="GP141" s="172"/>
      <c r="GQ141" s="172"/>
      <c r="GR141" s="172"/>
      <c r="GS141" s="172"/>
      <c r="GT141" s="172"/>
      <c r="GU141" s="172"/>
      <c r="GV141" s="172"/>
      <c r="GW141" s="172"/>
      <c r="GX141" s="172"/>
      <c r="GY141" s="172"/>
      <c r="GZ141" s="172"/>
      <c r="HA141" s="172"/>
      <c r="HB141" s="172"/>
      <c r="HC141" s="172"/>
      <c r="HD141" s="172"/>
      <c r="HE141" s="172"/>
      <c r="HF141" s="172"/>
      <c r="HG141" s="172"/>
      <c r="HH141" s="172"/>
      <c r="HI141" s="172"/>
      <c r="HJ141" s="172"/>
      <c r="HK141" s="172"/>
      <c r="HL141" s="172"/>
      <c r="HM141" s="172"/>
      <c r="HN141" s="172"/>
      <c r="HO141" s="172"/>
      <c r="HP141" s="172"/>
      <c r="HQ141" s="172"/>
      <c r="HR141" s="172"/>
      <c r="HS141" s="172"/>
      <c r="HT141" s="172"/>
      <c r="HU141" s="172"/>
      <c r="HV141" s="172"/>
      <c r="HW141" s="172"/>
      <c r="HX141" s="172"/>
      <c r="HY141" s="172"/>
      <c r="HZ141" s="172"/>
      <c r="IA141" s="172"/>
      <c r="IB141" s="172"/>
      <c r="IC141" s="172"/>
      <c r="ID141" s="172"/>
      <c r="IE141" s="172"/>
      <c r="IF141" s="172"/>
      <c r="IG141" s="172"/>
      <c r="IH141" s="172"/>
      <c r="II141" s="172"/>
      <c r="IJ141" s="172"/>
      <c r="IK141" s="172"/>
      <c r="IL141" s="172"/>
      <c r="IM141" s="172"/>
      <c r="IN141" s="172"/>
      <c r="IO141" s="172"/>
      <c r="IP141" s="172"/>
      <c r="IQ141" s="172"/>
      <c r="IR141" s="172"/>
      <c r="IS141" s="172"/>
      <c r="IT141" s="172"/>
      <c r="IU141" s="172"/>
      <c r="IV141" s="172"/>
      <c r="IW141" s="172"/>
      <c r="IX141" s="172"/>
      <c r="IY141" s="172"/>
      <c r="IZ141" s="172"/>
      <c r="JA141" s="172"/>
      <c r="JB141" s="172"/>
      <c r="JC141" s="172"/>
      <c r="JD141" s="172"/>
      <c r="JE141" s="172"/>
      <c r="JF141" s="172"/>
      <c r="JG141" s="172"/>
      <c r="JH141" s="172"/>
      <c r="JI141" s="172"/>
      <c r="JJ141" s="172"/>
      <c r="JK141" s="172"/>
      <c r="JL141" s="172"/>
      <c r="JM141" s="172"/>
      <c r="JN141" s="172"/>
      <c r="JO141" s="172"/>
      <c r="JP141" s="172"/>
      <c r="JQ141" s="172"/>
      <c r="JR141" s="172"/>
      <c r="JS141" s="172"/>
      <c r="JT141" s="172"/>
      <c r="JU141" s="172"/>
      <c r="JV141" s="172"/>
      <c r="JW141" s="172"/>
      <c r="JX141" s="172"/>
      <c r="JY141" s="172"/>
      <c r="JZ141" s="172"/>
      <c r="KA141" s="172"/>
      <c r="KB141" s="172"/>
      <c r="KC141" s="172"/>
      <c r="KD141" s="172"/>
      <c r="KE141" s="172"/>
      <c r="KF141" s="172"/>
      <c r="KG141" s="172"/>
      <c r="KH141" s="172"/>
      <c r="KI141" s="172"/>
      <c r="KJ141" s="172"/>
      <c r="KK141" s="172"/>
      <c r="KL141" s="172"/>
      <c r="KM141" s="172"/>
      <c r="KN141" s="172"/>
      <c r="KO141" s="172"/>
      <c r="KP141" s="172"/>
      <c r="KQ141" s="172"/>
      <c r="KR141" s="172"/>
      <c r="KS141" s="172"/>
      <c r="KT141" s="172"/>
      <c r="KU141" s="172"/>
      <c r="KV141" s="172"/>
      <c r="KW141" s="172"/>
      <c r="KX141" s="172"/>
      <c r="KY141" s="172"/>
      <c r="KZ141" s="172"/>
      <c r="LA141" s="172"/>
      <c r="LB141" s="172"/>
      <c r="LC141" s="172"/>
      <c r="LD141" s="172"/>
      <c r="LE141" s="172"/>
      <c r="LF141" s="172"/>
      <c r="LG141" s="172"/>
      <c r="LH141" s="172"/>
      <c r="LI141" s="172"/>
      <c r="LJ141" s="172"/>
      <c r="LK141" s="172"/>
      <c r="LL141" s="172"/>
      <c r="LM141" s="172"/>
      <c r="LN141" s="172"/>
      <c r="LO141" s="172"/>
      <c r="LP141" s="172"/>
      <c r="LQ141" s="172"/>
      <c r="LR141" s="172"/>
      <c r="LS141" s="172"/>
      <c r="LT141" s="172"/>
      <c r="LU141" s="172"/>
      <c r="LV141" s="172"/>
      <c r="LW141" s="172"/>
      <c r="LX141" s="172"/>
      <c r="LY141" s="172"/>
      <c r="LZ141" s="172"/>
      <c r="MA141" s="172"/>
      <c r="MB141" s="172"/>
      <c r="MC141" s="172"/>
      <c r="MD141" s="172"/>
      <c r="ME141" s="172"/>
      <c r="MF141" s="172"/>
      <c r="MG141" s="172"/>
      <c r="MH141" s="172"/>
      <c r="MI141" s="172"/>
      <c r="MJ141" s="172"/>
      <c r="MK141" s="172"/>
      <c r="ML141" s="172"/>
      <c r="MM141" s="172"/>
      <c r="MN141" s="172"/>
      <c r="MO141" s="172"/>
      <c r="MP141" s="172"/>
      <c r="MQ141" s="172"/>
      <c r="MR141" s="172"/>
      <c r="MS141" s="172"/>
      <c r="MT141" s="172"/>
      <c r="MU141" s="172"/>
      <c r="MV141" s="172"/>
      <c r="MW141" s="172"/>
      <c r="MX141" s="172"/>
      <c r="MY141" s="172"/>
      <c r="MZ141" s="172"/>
      <c r="NA141" s="172"/>
      <c r="NB141" s="172"/>
      <c r="NC141" s="172"/>
      <c r="ND141" s="172"/>
      <c r="NE141" s="172"/>
      <c r="NF141" s="172"/>
      <c r="NG141" s="172"/>
      <c r="NH141" s="172"/>
      <c r="NI141" s="172"/>
      <c r="NJ141" s="172"/>
      <c r="NK141" s="172"/>
      <c r="NL141" s="172"/>
      <c r="NM141" s="172"/>
      <c r="NN141" s="172"/>
      <c r="NO141" s="172"/>
      <c r="NP141" s="172"/>
      <c r="NQ141" s="172"/>
      <c r="NR141" s="172"/>
      <c r="NS141" s="172"/>
      <c r="NT141" s="172"/>
      <c r="NU141" s="172"/>
      <c r="NV141" s="172"/>
      <c r="NW141" s="172"/>
      <c r="NX141" s="172"/>
      <c r="NY141" s="172"/>
      <c r="NZ141" s="172"/>
      <c r="OA141" s="172"/>
      <c r="OB141" s="172"/>
      <c r="OC141" s="172"/>
      <c r="OD141" s="172"/>
      <c r="OE141" s="172"/>
      <c r="OF141" s="172"/>
      <c r="OG141" s="172"/>
      <c r="OH141" s="172"/>
      <c r="OI141" s="172"/>
      <c r="OJ141" s="172"/>
      <c r="OK141" s="172"/>
      <c r="OL141" s="172"/>
      <c r="OM141" s="172"/>
      <c r="ON141" s="172"/>
      <c r="OO141" s="172"/>
      <c r="OP141" s="172"/>
      <c r="OQ141" s="172"/>
      <c r="OR141" s="172"/>
      <c r="OS141" s="172"/>
      <c r="OT141" s="172"/>
      <c r="OU141" s="172"/>
      <c r="OV141" s="172"/>
      <c r="OW141" s="172"/>
      <c r="OX141" s="172"/>
      <c r="OY141" s="172"/>
      <c r="OZ141" s="172"/>
      <c r="PA141" s="172"/>
      <c r="PB141" s="172"/>
      <c r="PC141" s="172"/>
      <c r="PD141" s="172"/>
      <c r="PE141" s="172"/>
      <c r="PF141" s="172"/>
      <c r="PG141" s="172"/>
      <c r="PH141" s="172"/>
      <c r="PI141" s="172"/>
      <c r="PJ141" s="172"/>
      <c r="PK141" s="172"/>
      <c r="PL141" s="172"/>
      <c r="PM141" s="172"/>
      <c r="PN141" s="172"/>
      <c r="PO141" s="172"/>
      <c r="PP141" s="172"/>
      <c r="PQ141" s="172"/>
      <c r="PR141" s="172"/>
      <c r="PS141" s="172"/>
      <c r="PT141" s="172"/>
      <c r="PU141" s="172"/>
      <c r="PV141" s="172"/>
      <c r="PW141" s="172"/>
      <c r="PX141" s="172"/>
      <c r="PY141" s="172"/>
      <c r="PZ141" s="172"/>
      <c r="QA141" s="172"/>
      <c r="QB141" s="172"/>
      <c r="QC141" s="172"/>
      <c r="QD141" s="172"/>
      <c r="QE141" s="172"/>
      <c r="QF141" s="172"/>
      <c r="QG141" s="172"/>
      <c r="QH141" s="172"/>
      <c r="QI141" s="172"/>
      <c r="QJ141" s="172"/>
      <c r="QK141" s="172"/>
      <c r="QL141" s="172"/>
      <c r="QM141" s="172"/>
      <c r="QN141" s="172"/>
      <c r="QO141" s="172"/>
      <c r="QP141" s="172"/>
      <c r="QQ141" s="172"/>
      <c r="QR141" s="172"/>
      <c r="QS141" s="172"/>
      <c r="QT141" s="172"/>
      <c r="QU141" s="172"/>
      <c r="QV141" s="172"/>
      <c r="QW141" s="172"/>
      <c r="QX141" s="172"/>
      <c r="QY141" s="172"/>
      <c r="QZ141" s="172"/>
      <c r="RA141" s="172"/>
      <c r="RB141" s="172"/>
      <c r="RC141" s="172"/>
      <c r="RD141" s="172"/>
      <c r="RE141" s="172"/>
      <c r="RF141" s="172"/>
      <c r="RG141" s="172"/>
      <c r="RH141" s="172"/>
      <c r="RI141" s="172"/>
      <c r="RJ141" s="172"/>
      <c r="RK141" s="172"/>
      <c r="RL141" s="172"/>
      <c r="RM141" s="172"/>
      <c r="RN141" s="172"/>
      <c r="RO141" s="172"/>
      <c r="RP141" s="172"/>
      <c r="RQ141" s="172"/>
      <c r="RR141" s="172"/>
      <c r="RS141" s="172"/>
      <c r="RT141" s="172"/>
      <c r="RU141" s="172"/>
      <c r="RV141" s="172"/>
      <c r="RW141" s="172"/>
      <c r="RX141" s="172"/>
      <c r="RY141" s="172"/>
      <c r="RZ141" s="172"/>
      <c r="SA141" s="172"/>
      <c r="SB141" s="172"/>
      <c r="SC141" s="172"/>
      <c r="SD141" s="172"/>
      <c r="SE141" s="172"/>
      <c r="SF141" s="172"/>
      <c r="SG141" s="172"/>
      <c r="SH141" s="172"/>
      <c r="SI141" s="172"/>
      <c r="SJ141" s="172"/>
      <c r="SK141" s="172"/>
      <c r="SL141" s="172"/>
      <c r="SM141" s="172"/>
      <c r="SN141" s="172"/>
      <c r="SO141" s="172"/>
      <c r="SP141" s="172"/>
      <c r="SQ141" s="172"/>
      <c r="SR141" s="172"/>
      <c r="SS141" s="172"/>
      <c r="ST141" s="172"/>
      <c r="SU141" s="172"/>
      <c r="SV141" s="172"/>
      <c r="SW141" s="172"/>
      <c r="SX141" s="172"/>
      <c r="SY141" s="172"/>
      <c r="SZ141" s="172"/>
      <c r="TA141" s="172"/>
      <c r="TB141" s="172"/>
      <c r="TC141" s="172"/>
      <c r="TD141" s="172"/>
      <c r="TE141" s="172"/>
      <c r="TF141" s="172"/>
      <c r="TG141" s="172"/>
      <c r="TH141" s="172"/>
      <c r="TI141" s="172"/>
      <c r="TJ141" s="172"/>
      <c r="TK141" s="172"/>
      <c r="TL141" s="172"/>
      <c r="TM141" s="172"/>
      <c r="TN141" s="172"/>
      <c r="TO141" s="172"/>
      <c r="TP141" s="172"/>
      <c r="TQ141" s="172"/>
      <c r="TR141" s="172"/>
      <c r="TS141" s="172"/>
      <c r="TT141" s="172"/>
      <c r="TU141" s="172"/>
      <c r="TV141" s="172"/>
      <c r="TW141" s="172"/>
      <c r="TX141" s="172"/>
      <c r="TY141" s="172"/>
      <c r="TZ141" s="172"/>
      <c r="UA141" s="172"/>
      <c r="UB141" s="172"/>
      <c r="UC141" s="172"/>
      <c r="UD141" s="172"/>
      <c r="UE141" s="172"/>
      <c r="UF141" s="172"/>
      <c r="UG141" s="172"/>
      <c r="UH141" s="172"/>
      <c r="UI141" s="172"/>
      <c r="UJ141" s="172"/>
      <c r="UK141" s="172"/>
      <c r="UL141" s="172"/>
      <c r="UM141" s="172"/>
      <c r="UN141" s="172"/>
      <c r="UO141" s="172"/>
      <c r="UP141" s="172"/>
      <c r="UQ141" s="172"/>
      <c r="UR141" s="172"/>
      <c r="US141" s="172"/>
      <c r="UT141" s="172"/>
      <c r="UU141" s="172"/>
      <c r="UV141" s="172"/>
      <c r="UW141" s="172"/>
      <c r="UX141" s="172"/>
      <c r="UY141" s="172"/>
      <c r="UZ141" s="172"/>
      <c r="VA141" s="172"/>
      <c r="VB141" s="172"/>
      <c r="VC141" s="172"/>
      <c r="VD141" s="172"/>
      <c r="VE141" s="172"/>
      <c r="VF141" s="172"/>
      <c r="VG141" s="172"/>
      <c r="VH141" s="172"/>
      <c r="VI141" s="172"/>
      <c r="VJ141" s="172"/>
      <c r="VK141" s="172"/>
      <c r="VL141" s="172"/>
      <c r="VM141" s="172"/>
      <c r="VN141" s="172"/>
      <c r="VO141" s="172"/>
      <c r="VP141" s="172"/>
      <c r="VQ141" s="172"/>
      <c r="VR141" s="172"/>
      <c r="VS141" s="172"/>
      <c r="VT141" s="172"/>
      <c r="VU141" s="172"/>
      <c r="VV141" s="172"/>
      <c r="VW141" s="172"/>
      <c r="VX141" s="172"/>
      <c r="VY141" s="172"/>
      <c r="VZ141" s="172"/>
      <c r="WA141" s="172"/>
      <c r="WB141" s="172"/>
      <c r="WC141" s="172"/>
      <c r="WD141" s="172"/>
      <c r="WE141" s="172"/>
      <c r="WF141" s="172"/>
      <c r="WG141" s="172"/>
      <c r="WH141" s="172"/>
      <c r="WI141" s="172"/>
      <c r="WJ141" s="172"/>
      <c r="WK141" s="172"/>
      <c r="WL141" s="172"/>
      <c r="WM141" s="172"/>
      <c r="WN141" s="172"/>
      <c r="WO141" s="172"/>
      <c r="WP141" s="172"/>
      <c r="WQ141" s="172"/>
      <c r="WR141" s="172"/>
      <c r="WS141" s="172"/>
      <c r="WT141" s="172"/>
      <c r="WU141" s="172"/>
      <c r="WV141" s="172"/>
      <c r="WW141" s="172"/>
      <c r="WX141" s="172"/>
      <c r="WY141" s="172"/>
      <c r="WZ141" s="172"/>
      <c r="XA141" s="172"/>
      <c r="XB141" s="172"/>
      <c r="XC141" s="172"/>
      <c r="XD141" s="172"/>
      <c r="XE141" s="172"/>
      <c r="XF141" s="172"/>
      <c r="XG141" s="172"/>
      <c r="XH141" s="172"/>
      <c r="XI141" s="172"/>
      <c r="XJ141" s="172"/>
      <c r="XK141" s="172"/>
      <c r="XL141" s="172"/>
      <c r="XM141" s="172"/>
      <c r="XN141" s="172"/>
      <c r="XO141" s="172"/>
      <c r="XP141" s="172"/>
      <c r="XQ141" s="172"/>
      <c r="XR141" s="172"/>
      <c r="XS141" s="172"/>
      <c r="XT141" s="172"/>
      <c r="XU141" s="172"/>
      <c r="XV141" s="172"/>
      <c r="XW141" s="172"/>
      <c r="XX141" s="172"/>
      <c r="XY141" s="172"/>
      <c r="XZ141" s="172"/>
      <c r="YA141" s="172"/>
      <c r="YB141" s="172"/>
      <c r="YC141" s="172"/>
      <c r="YD141" s="172"/>
      <c r="YE141" s="172"/>
      <c r="YF141" s="172"/>
      <c r="YG141" s="172"/>
      <c r="YH141" s="172"/>
      <c r="YI141" s="172"/>
      <c r="YJ141" s="172"/>
      <c r="YK141" s="172"/>
      <c r="YL141" s="172"/>
      <c r="YM141" s="172"/>
      <c r="YN141" s="172"/>
      <c r="YO141" s="172"/>
      <c r="YP141" s="172"/>
      <c r="YQ141" s="172"/>
      <c r="YR141" s="172"/>
      <c r="YS141" s="172"/>
      <c r="YT141" s="172"/>
      <c r="YU141" s="172"/>
      <c r="YV141" s="172"/>
      <c r="YW141" s="172"/>
      <c r="YX141" s="172"/>
      <c r="YY141" s="172"/>
      <c r="YZ141" s="172"/>
      <c r="ZA141" s="172"/>
      <c r="ZB141" s="172"/>
      <c r="ZC141" s="172"/>
      <c r="ZD141" s="172"/>
      <c r="ZE141" s="172"/>
      <c r="ZF141" s="172"/>
      <c r="ZG141" s="172"/>
      <c r="ZH141" s="172"/>
      <c r="ZI141" s="172"/>
      <c r="ZJ141" s="172"/>
      <c r="ZK141" s="172"/>
      <c r="ZL141" s="172"/>
      <c r="ZM141" s="172"/>
      <c r="ZN141" s="172"/>
      <c r="ZO141" s="172"/>
      <c r="ZP141" s="172"/>
      <c r="ZQ141" s="172"/>
      <c r="ZR141" s="172"/>
      <c r="ZS141" s="172"/>
      <c r="ZT141" s="172"/>
      <c r="ZU141" s="172"/>
      <c r="ZV141" s="172"/>
      <c r="ZW141" s="172"/>
      <c r="ZX141" s="172"/>
      <c r="ZY141" s="172"/>
      <c r="ZZ141" s="172"/>
      <c r="AAA141" s="172"/>
      <c r="AAB141" s="172"/>
      <c r="AAC141" s="172"/>
      <c r="AAD141" s="172"/>
      <c r="AAE141" s="172"/>
      <c r="AAF141" s="172"/>
      <c r="AAG141" s="172"/>
      <c r="AAH141" s="172"/>
      <c r="AAI141" s="172"/>
      <c r="AAJ141" s="172"/>
      <c r="AAK141" s="172"/>
      <c r="AAL141" s="172"/>
      <c r="AAM141" s="172"/>
      <c r="AAN141" s="172"/>
      <c r="AAO141" s="172"/>
      <c r="AAP141" s="172"/>
      <c r="AAQ141" s="172"/>
      <c r="AAR141" s="172"/>
      <c r="AAS141" s="172"/>
      <c r="AAT141" s="172"/>
      <c r="AAU141" s="172"/>
      <c r="AAV141" s="172"/>
      <c r="AAW141" s="172"/>
      <c r="AAX141" s="172"/>
      <c r="AAY141" s="172"/>
      <c r="AAZ141" s="172"/>
      <c r="ABA141" s="172"/>
      <c r="ABB141" s="172"/>
      <c r="ABC141" s="172"/>
      <c r="ABD141" s="172"/>
      <c r="ABE141" s="172"/>
      <c r="ABF141" s="172"/>
      <c r="ABG141" s="172"/>
      <c r="ABH141" s="172"/>
      <c r="ABI141" s="172"/>
      <c r="ABJ141" s="172"/>
      <c r="ABK141" s="172"/>
      <c r="ABL141" s="172"/>
      <c r="ABM141" s="172"/>
      <c r="ABN141" s="172"/>
      <c r="ABO141" s="172"/>
      <c r="ABP141" s="172"/>
      <c r="ABQ141" s="172"/>
      <c r="ABR141" s="172"/>
      <c r="ABS141" s="172"/>
      <c r="ABT141" s="172"/>
      <c r="ABU141" s="172"/>
      <c r="ABV141" s="172"/>
      <c r="ABW141" s="172"/>
      <c r="ABX141" s="172"/>
      <c r="ABY141" s="172"/>
      <c r="ABZ141" s="172"/>
      <c r="ACA141" s="172"/>
      <c r="ACB141" s="172"/>
      <c r="ACC141" s="172"/>
      <c r="ACD141" s="172"/>
      <c r="ACE141" s="172"/>
      <c r="ACF141" s="172"/>
      <c r="ACG141" s="172"/>
      <c r="ACH141" s="172"/>
      <c r="ACI141" s="172"/>
      <c r="ACJ141" s="172"/>
      <c r="ACK141" s="172"/>
      <c r="ACL141" s="172"/>
      <c r="ACM141" s="172"/>
      <c r="ACN141" s="172"/>
      <c r="ACO141" s="172"/>
      <c r="ACP141" s="172"/>
      <c r="ACQ141" s="172"/>
      <c r="ACR141" s="172"/>
      <c r="ACS141" s="172"/>
      <c r="ACT141" s="172"/>
      <c r="ACU141" s="172"/>
      <c r="ACV141" s="172"/>
      <c r="ACW141" s="172"/>
      <c r="ACX141" s="172"/>
      <c r="ACY141" s="172"/>
      <c r="ACZ141" s="172"/>
      <c r="ADA141" s="172"/>
      <c r="ADB141" s="172"/>
      <c r="ADC141" s="172"/>
      <c r="ADD141" s="172"/>
      <c r="ADE141" s="172"/>
      <c r="ADF141" s="172"/>
      <c r="ADG141" s="172"/>
      <c r="ADH141" s="172"/>
      <c r="ADI141" s="172"/>
      <c r="ADJ141" s="172"/>
      <c r="ADK141" s="172"/>
      <c r="ADL141" s="172"/>
      <c r="ADM141" s="172"/>
      <c r="ADN141" s="172"/>
      <c r="ADO141" s="172"/>
      <c r="ADP141" s="172"/>
      <c r="ADQ141" s="172"/>
      <c r="ADR141" s="172"/>
      <c r="ADS141" s="172"/>
      <c r="ADT141" s="172"/>
      <c r="ADU141" s="172"/>
      <c r="ADV141" s="172"/>
      <c r="ADW141" s="172"/>
      <c r="ADX141" s="172"/>
      <c r="ADY141" s="172"/>
      <c r="ADZ141" s="172"/>
      <c r="AEA141" s="172"/>
      <c r="AEB141" s="172"/>
      <c r="AEC141" s="172"/>
      <c r="AED141" s="172"/>
      <c r="AEE141" s="172"/>
      <c r="AEF141" s="172"/>
      <c r="AEG141" s="172"/>
      <c r="AEH141" s="172"/>
      <c r="AEI141" s="172"/>
      <c r="AEJ141" s="172"/>
      <c r="AEK141" s="172"/>
      <c r="AEL141" s="172"/>
      <c r="AEM141" s="172"/>
      <c r="AEN141" s="172"/>
      <c r="AEO141" s="172"/>
      <c r="AEP141" s="172"/>
      <c r="AEQ141" s="172"/>
      <c r="AER141" s="172"/>
      <c r="AES141" s="172"/>
      <c r="AET141" s="172"/>
      <c r="AEU141" s="172"/>
      <c r="AEV141" s="172"/>
      <c r="AEW141" s="172"/>
      <c r="AEX141" s="172"/>
      <c r="AEY141" s="172"/>
      <c r="AEZ141" s="172"/>
      <c r="AFA141" s="172"/>
      <c r="AFB141" s="172"/>
      <c r="AFC141" s="172"/>
      <c r="AFD141" s="172"/>
      <c r="AFE141" s="172"/>
      <c r="AFF141" s="172"/>
      <c r="AFG141" s="172"/>
      <c r="AFH141" s="172"/>
      <c r="AFI141" s="172"/>
      <c r="AFJ141" s="172"/>
      <c r="AFK141" s="172"/>
      <c r="AFL141" s="172"/>
      <c r="AFM141" s="172"/>
      <c r="AFN141" s="172"/>
      <c r="AFO141" s="172"/>
      <c r="AFP141" s="172"/>
      <c r="AFQ141" s="172"/>
      <c r="AFR141" s="172"/>
      <c r="AFS141" s="172"/>
      <c r="AFT141" s="172"/>
      <c r="AFU141" s="172"/>
      <c r="AFV141" s="172"/>
      <c r="AFW141" s="172"/>
      <c r="AFX141" s="172"/>
      <c r="AFY141" s="172"/>
      <c r="AFZ141" s="172"/>
      <c r="AGA141" s="172"/>
      <c r="AGB141" s="172"/>
      <c r="AGC141" s="172"/>
      <c r="AGD141" s="172"/>
      <c r="AGE141" s="172"/>
      <c r="AGF141" s="172"/>
      <c r="AGG141" s="172"/>
      <c r="AGH141" s="172"/>
      <c r="AGI141" s="172"/>
      <c r="AGJ141" s="172"/>
      <c r="AGK141" s="172"/>
      <c r="AGL141" s="172"/>
      <c r="AGM141" s="172"/>
      <c r="AGN141" s="172"/>
      <c r="AGO141" s="172"/>
      <c r="AGP141" s="172"/>
      <c r="AGQ141" s="172"/>
      <c r="AGR141" s="172"/>
      <c r="AGS141" s="172"/>
      <c r="AGT141" s="172"/>
      <c r="AGU141" s="172"/>
      <c r="AGV141" s="172"/>
      <c r="AGW141" s="172"/>
      <c r="AGX141" s="172"/>
      <c r="AGY141" s="172"/>
      <c r="AGZ141" s="172"/>
      <c r="AHA141" s="172"/>
      <c r="AHB141" s="172"/>
      <c r="AHC141" s="172"/>
      <c r="AHD141" s="172"/>
      <c r="AHE141" s="172"/>
      <c r="AHF141" s="172"/>
      <c r="AHG141" s="172"/>
      <c r="AHH141" s="172"/>
      <c r="AHI141" s="172"/>
      <c r="AHJ141" s="172"/>
      <c r="AHK141" s="172"/>
      <c r="AHL141" s="172"/>
      <c r="AHM141" s="172"/>
      <c r="AHN141" s="172"/>
      <c r="AHO141" s="172"/>
      <c r="AHP141" s="172"/>
      <c r="AHQ141" s="172"/>
      <c r="AHR141" s="172"/>
      <c r="AHS141" s="172"/>
      <c r="AHT141" s="172"/>
      <c r="AHU141" s="172"/>
      <c r="AHV141" s="172"/>
      <c r="AHW141" s="172"/>
      <c r="AHX141" s="172"/>
      <c r="AHY141" s="172"/>
      <c r="AHZ141" s="172"/>
      <c r="AIA141" s="172"/>
      <c r="AIB141" s="172"/>
      <c r="AIC141" s="172"/>
      <c r="AID141" s="172"/>
      <c r="AIE141" s="172"/>
      <c r="AIF141" s="172"/>
      <c r="AIG141" s="172"/>
      <c r="AIH141" s="172"/>
      <c r="AII141" s="172"/>
      <c r="AIJ141" s="172"/>
      <c r="AIK141" s="172"/>
      <c r="AIL141" s="172"/>
      <c r="AIM141" s="172"/>
      <c r="AIN141" s="172"/>
      <c r="AIO141" s="172"/>
      <c r="AIP141" s="172"/>
      <c r="AIQ141" s="172"/>
      <c r="AIR141" s="172"/>
      <c r="AIS141" s="172"/>
      <c r="AIT141" s="172"/>
      <c r="AIU141" s="172"/>
      <c r="AIV141" s="172"/>
      <c r="AIW141" s="172"/>
      <c r="AIX141" s="172"/>
      <c r="AIY141" s="172"/>
      <c r="AIZ141" s="172"/>
      <c r="AJA141" s="172"/>
      <c r="AJB141" s="172"/>
      <c r="AJC141" s="172"/>
      <c r="AJD141" s="172"/>
      <c r="AJE141" s="172"/>
      <c r="AJF141" s="172"/>
      <c r="AJG141" s="172"/>
      <c r="AJH141" s="172"/>
      <c r="AJI141" s="172"/>
      <c r="AJJ141" s="172"/>
      <c r="AJK141" s="172"/>
      <c r="AJL141" s="172"/>
      <c r="AJM141" s="172"/>
      <c r="AJN141" s="172"/>
      <c r="AJO141" s="172"/>
      <c r="AJP141" s="172"/>
      <c r="AJQ141" s="172"/>
      <c r="AJR141" s="172"/>
      <c r="AJS141" s="172"/>
      <c r="AJT141" s="172"/>
      <c r="AJU141" s="172"/>
      <c r="AJV141" s="172"/>
      <c r="AJW141" s="172"/>
      <c r="AJX141" s="172"/>
      <c r="AJY141" s="172"/>
      <c r="AJZ141" s="172"/>
      <c r="AKA141" s="172"/>
      <c r="AKB141" s="172"/>
      <c r="AKC141" s="172"/>
      <c r="AKD141" s="172"/>
      <c r="AKE141" s="172"/>
      <c r="AKF141" s="172"/>
      <c r="AKG141" s="172"/>
      <c r="AKH141" s="172"/>
      <c r="AKI141" s="172"/>
      <c r="AKJ141" s="172"/>
      <c r="AKK141" s="172"/>
      <c r="AKL141" s="172"/>
      <c r="AKM141" s="172"/>
      <c r="AKN141" s="172"/>
      <c r="AKO141" s="172"/>
      <c r="AKP141" s="172"/>
      <c r="AKQ141" s="172"/>
      <c r="AKR141" s="172"/>
      <c r="AKS141" s="172"/>
      <c r="AKT141" s="172"/>
      <c r="AKU141" s="172"/>
      <c r="AKV141" s="172"/>
      <c r="AKW141" s="172"/>
      <c r="AKX141" s="172"/>
      <c r="AKY141" s="172"/>
      <c r="AKZ141" s="172"/>
      <c r="ALA141" s="172"/>
      <c r="ALB141" s="172"/>
      <c r="ALC141" s="172"/>
      <c r="ALD141" s="172"/>
      <c r="ALE141" s="172"/>
      <c r="ALF141" s="172"/>
      <c r="ALG141" s="172"/>
      <c r="ALH141" s="172"/>
      <c r="ALI141" s="172"/>
      <c r="ALJ141" s="172"/>
      <c r="ALK141" s="172"/>
      <c r="ALL141" s="172"/>
      <c r="ALM141" s="172"/>
      <c r="ALN141" s="172"/>
      <c r="ALO141" s="172"/>
      <c r="ALP141" s="172"/>
      <c r="ALQ141" s="172"/>
      <c r="ALR141" s="172"/>
      <c r="ALS141" s="172"/>
      <c r="ALT141" s="172"/>
      <c r="ALU141" s="172"/>
      <c r="ALV141" s="172"/>
      <c r="ALW141" s="172"/>
      <c r="ALX141" s="172"/>
      <c r="ALY141" s="172"/>
      <c r="ALZ141" s="172"/>
      <c r="AMA141" s="172"/>
      <c r="AMB141" s="172"/>
      <c r="AMC141" s="172"/>
      <c r="AMD141" s="172"/>
      <c r="AME141" s="172"/>
      <c r="AMF141" s="172"/>
      <c r="AMG141" s="172"/>
      <c r="AMH141" s="172"/>
      <c r="AMI141" s="172"/>
      <c r="AMJ141" s="172"/>
      <c r="AMK141" s="172"/>
      <c r="AML141" s="172"/>
      <c r="AMM141" s="172"/>
      <c r="AMN141" s="172"/>
      <c r="AMO141" s="172"/>
      <c r="AMP141" s="172"/>
      <c r="AMQ141" s="172"/>
      <c r="AMR141" s="172"/>
      <c r="AMS141" s="172"/>
      <c r="AMT141" s="172"/>
      <c r="AMU141" s="172"/>
      <c r="AMV141" s="172"/>
      <c r="AMW141" s="172"/>
      <c r="AMX141" s="172"/>
      <c r="AMY141" s="172"/>
      <c r="AMZ141" s="172"/>
      <c r="ANA141" s="172"/>
      <c r="ANB141" s="172"/>
      <c r="ANC141" s="172"/>
      <c r="AND141" s="172"/>
      <c r="ANE141" s="172"/>
      <c r="ANF141" s="172"/>
      <c r="ANG141" s="172"/>
      <c r="ANH141" s="172"/>
      <c r="ANI141" s="172"/>
      <c r="ANJ141" s="172"/>
      <c r="ANK141" s="172"/>
      <c r="ANL141" s="172"/>
      <c r="ANM141" s="172"/>
      <c r="ANN141" s="172"/>
      <c r="ANO141" s="172"/>
      <c r="ANP141" s="172"/>
      <c r="ANQ141" s="172"/>
      <c r="ANR141" s="172"/>
      <c r="ANS141" s="172"/>
      <c r="ANT141" s="172"/>
      <c r="ANU141" s="172"/>
      <c r="ANV141" s="172"/>
      <c r="ANW141" s="172"/>
      <c r="ANX141" s="172"/>
      <c r="ANY141" s="172"/>
      <c r="ANZ141" s="172"/>
      <c r="AOA141" s="172"/>
      <c r="AOB141" s="172"/>
      <c r="AOC141" s="172"/>
      <c r="AOD141" s="172"/>
      <c r="AOE141" s="172"/>
      <c r="AOF141" s="172"/>
      <c r="AOG141" s="172"/>
      <c r="AOH141" s="172"/>
      <c r="AOI141" s="172"/>
      <c r="AOJ141" s="172"/>
      <c r="AOK141" s="172"/>
      <c r="AOL141" s="172"/>
      <c r="AOM141" s="172"/>
      <c r="AON141" s="172"/>
      <c r="AOO141" s="172"/>
      <c r="AOP141" s="172"/>
      <c r="AOQ141" s="172"/>
      <c r="AOR141" s="172"/>
      <c r="AOS141" s="172"/>
      <c r="AOT141" s="172"/>
      <c r="AOU141" s="172"/>
      <c r="AOV141" s="172"/>
      <c r="AOW141" s="172"/>
      <c r="AOX141" s="172"/>
      <c r="AOY141" s="172"/>
      <c r="AOZ141" s="172"/>
      <c r="APA141" s="172"/>
      <c r="APB141" s="172"/>
      <c r="APC141" s="172"/>
      <c r="APD141" s="172"/>
      <c r="APE141" s="172"/>
      <c r="APF141" s="172"/>
      <c r="APG141" s="172"/>
      <c r="APH141" s="172"/>
      <c r="API141" s="172"/>
      <c r="APJ141" s="172"/>
      <c r="APK141" s="172"/>
      <c r="APL141" s="172"/>
      <c r="APM141" s="172"/>
      <c r="APN141" s="172"/>
      <c r="APO141" s="172"/>
      <c r="APP141" s="172"/>
      <c r="APQ141" s="172"/>
      <c r="APR141" s="172"/>
      <c r="APS141" s="172"/>
      <c r="APT141" s="172"/>
      <c r="APU141" s="172"/>
      <c r="APV141" s="172"/>
      <c r="APW141" s="172"/>
      <c r="APX141" s="172"/>
      <c r="APY141" s="172"/>
      <c r="APZ141" s="172"/>
      <c r="AQA141" s="172"/>
      <c r="AQB141" s="172"/>
      <c r="AQC141" s="172"/>
      <c r="AQD141" s="172"/>
      <c r="AQE141" s="172"/>
      <c r="AQF141" s="172"/>
      <c r="AQG141" s="172"/>
      <c r="AQH141" s="172"/>
      <c r="AQI141" s="172"/>
      <c r="AQJ141" s="172"/>
      <c r="AQK141" s="172"/>
      <c r="AQL141" s="172"/>
      <c r="AQM141" s="172"/>
      <c r="AQN141" s="172"/>
      <c r="AQO141" s="172"/>
      <c r="AQP141" s="172"/>
      <c r="AQQ141" s="172"/>
      <c r="AQR141" s="172"/>
      <c r="AQS141" s="172"/>
      <c r="AQT141" s="172"/>
      <c r="AQU141" s="172"/>
      <c r="AQV141" s="172"/>
      <c r="AQW141" s="172"/>
      <c r="AQX141" s="172"/>
      <c r="AQY141" s="172"/>
      <c r="AQZ141" s="172"/>
      <c r="ARA141" s="172"/>
      <c r="ARB141" s="172"/>
      <c r="ARC141" s="172"/>
      <c r="ARD141" s="172"/>
      <c r="ARE141" s="172"/>
      <c r="ARF141" s="172"/>
      <c r="ARG141" s="172"/>
      <c r="ARH141" s="172"/>
      <c r="ARI141" s="172"/>
      <c r="ARJ141" s="172"/>
      <c r="ARK141" s="172"/>
      <c r="ARL141" s="172"/>
      <c r="ARM141" s="172"/>
      <c r="ARN141" s="172"/>
      <c r="ARO141" s="172"/>
      <c r="ARP141" s="172"/>
      <c r="ARQ141" s="172"/>
      <c r="ARR141" s="172"/>
      <c r="ARS141" s="172"/>
      <c r="ART141" s="172"/>
      <c r="ARU141" s="172"/>
    </row>
    <row r="142" spans="1:1165" s="257" customFormat="1">
      <c r="A142" s="222" t="s">
        <v>251</v>
      </c>
      <c r="B142" s="195" t="s">
        <v>87</v>
      </c>
      <c r="C142" s="258">
        <v>1296263</v>
      </c>
      <c r="D142" s="258">
        <v>76999512</v>
      </c>
      <c r="E142" s="198">
        <v>38988</v>
      </c>
      <c r="F142" s="198">
        <v>4241104</v>
      </c>
      <c r="G142" s="198">
        <v>3763</v>
      </c>
      <c r="H142" s="198">
        <v>526820</v>
      </c>
      <c r="I142" s="198">
        <v>0</v>
      </c>
      <c r="J142" s="198">
        <v>0</v>
      </c>
      <c r="K142" s="198">
        <v>0</v>
      </c>
      <c r="L142" s="198">
        <v>0</v>
      </c>
      <c r="M142" s="198">
        <v>0</v>
      </c>
      <c r="N142" s="198">
        <v>0</v>
      </c>
      <c r="O142" s="198">
        <v>0</v>
      </c>
      <c r="P142" s="198">
        <v>0</v>
      </c>
      <c r="Q142" s="198">
        <v>0</v>
      </c>
      <c r="R142" s="198">
        <v>0</v>
      </c>
      <c r="S142" s="198">
        <v>0</v>
      </c>
      <c r="T142" s="198">
        <v>0</v>
      </c>
      <c r="U142" s="198">
        <v>0</v>
      </c>
      <c r="V142" s="198">
        <v>0</v>
      </c>
      <c r="W142" s="198">
        <v>0</v>
      </c>
      <c r="X142" s="198">
        <v>0</v>
      </c>
      <c r="Y142" s="198">
        <v>0</v>
      </c>
      <c r="Z142" s="198">
        <v>0</v>
      </c>
      <c r="AA142" s="198">
        <v>0</v>
      </c>
      <c r="AB142" s="198">
        <v>0</v>
      </c>
      <c r="AC142" s="198">
        <v>0</v>
      </c>
      <c r="AD142" s="198">
        <v>0</v>
      </c>
      <c r="AE142" s="198">
        <v>0</v>
      </c>
      <c r="AF142" s="198">
        <v>0</v>
      </c>
      <c r="AG142" s="198">
        <v>0</v>
      </c>
      <c r="AH142" s="198">
        <v>0</v>
      </c>
      <c r="AI142" s="198">
        <v>0</v>
      </c>
      <c r="AJ142" s="198">
        <v>0</v>
      </c>
      <c r="AK142" s="198">
        <v>0</v>
      </c>
      <c r="AL142" s="198">
        <v>0</v>
      </c>
      <c r="AM142" s="198">
        <v>0</v>
      </c>
      <c r="AN142" s="198">
        <v>0</v>
      </c>
      <c r="AO142" s="198">
        <v>0</v>
      </c>
      <c r="AP142" s="198">
        <v>0</v>
      </c>
      <c r="AQ142" s="198">
        <v>0</v>
      </c>
      <c r="AR142" s="198">
        <v>0</v>
      </c>
      <c r="AS142" s="198">
        <v>0</v>
      </c>
      <c r="AT142" s="196">
        <v>0</v>
      </c>
      <c r="AU142" s="196">
        <v>0</v>
      </c>
      <c r="AV142" s="196">
        <v>0</v>
      </c>
      <c r="AW142" s="196">
        <v>0</v>
      </c>
      <c r="AX142" s="196">
        <v>0</v>
      </c>
      <c r="AY142" s="211">
        <v>0</v>
      </c>
      <c r="AZ142" s="211">
        <v>0</v>
      </c>
      <c r="BA142" s="227"/>
      <c r="BB142" s="198"/>
      <c r="BC142" s="198"/>
      <c r="BD142" s="198"/>
      <c r="BE142" s="198"/>
      <c r="BF142" s="211"/>
      <c r="BG142" s="263"/>
      <c r="BH142" s="211"/>
      <c r="BI142" s="227"/>
      <c r="BJ142" s="198">
        <f t="shared" si="64"/>
        <v>1300026</v>
      </c>
      <c r="BK142" s="250">
        <f>D142+H142+J142+L142+N142+P142+R142+T142+V142+X142+Z142+AB142+AD142+AF142+AH142+AJ142+AL142+AN142+AP142+AR142+AT142+AV142+AX142+AZ142+BD142+BH142</f>
        <v>77526332</v>
      </c>
      <c r="BL142" s="172"/>
      <c r="BM142" s="172"/>
      <c r="BN142" s="172"/>
      <c r="BO142" s="231"/>
      <c r="BP142" s="231"/>
      <c r="BQ142" s="172"/>
      <c r="BR142" s="172"/>
      <c r="BS142" s="172"/>
      <c r="BT142" s="172"/>
      <c r="BU142" s="172"/>
      <c r="BV142" s="172"/>
      <c r="BW142" s="172"/>
      <c r="BX142" s="172"/>
      <c r="BY142" s="172"/>
      <c r="BZ142" s="172"/>
      <c r="CA142" s="172"/>
      <c r="CB142" s="172"/>
      <c r="CC142" s="172"/>
      <c r="CD142" s="172"/>
      <c r="CE142" s="172"/>
      <c r="CF142" s="172"/>
      <c r="CG142" s="172"/>
      <c r="CH142" s="172"/>
      <c r="CI142" s="172"/>
      <c r="CJ142" s="172"/>
      <c r="CK142" s="172"/>
      <c r="CL142" s="172"/>
      <c r="CM142" s="172"/>
      <c r="CN142" s="172"/>
      <c r="CO142" s="172"/>
      <c r="CP142" s="172"/>
      <c r="CQ142" s="172"/>
      <c r="CR142" s="172"/>
      <c r="CS142" s="172"/>
      <c r="CT142" s="172"/>
      <c r="CU142" s="172"/>
      <c r="CV142" s="172"/>
      <c r="CW142" s="172"/>
      <c r="CX142" s="172"/>
      <c r="CY142" s="172"/>
      <c r="CZ142" s="172"/>
      <c r="DA142" s="172"/>
      <c r="DB142" s="172"/>
      <c r="DC142" s="172"/>
      <c r="DD142" s="172"/>
      <c r="DE142" s="172"/>
      <c r="DF142" s="172"/>
      <c r="DG142" s="172"/>
      <c r="DH142" s="172"/>
      <c r="DI142" s="172"/>
      <c r="DJ142" s="172"/>
      <c r="DK142" s="172"/>
      <c r="DL142" s="172"/>
      <c r="DM142" s="172"/>
      <c r="DN142" s="172"/>
      <c r="DO142" s="172"/>
      <c r="DP142" s="172"/>
      <c r="DQ142" s="172"/>
      <c r="DR142" s="172"/>
      <c r="DS142" s="172"/>
      <c r="DT142" s="172"/>
      <c r="DU142" s="172"/>
      <c r="DV142" s="172"/>
      <c r="DW142" s="172"/>
      <c r="DX142" s="172"/>
      <c r="DY142" s="172"/>
      <c r="DZ142" s="172"/>
      <c r="EA142" s="172"/>
      <c r="EB142" s="172"/>
      <c r="EC142" s="172"/>
      <c r="ED142" s="172"/>
      <c r="EE142" s="172"/>
      <c r="EF142" s="172"/>
      <c r="EG142" s="172"/>
      <c r="EH142" s="172"/>
      <c r="EI142" s="172"/>
      <c r="EJ142" s="172"/>
      <c r="EK142" s="172"/>
      <c r="EL142" s="172"/>
      <c r="EM142" s="172"/>
      <c r="EN142" s="172"/>
      <c r="EO142" s="172"/>
      <c r="EP142" s="172"/>
      <c r="EQ142" s="172"/>
      <c r="ER142" s="172"/>
      <c r="ES142" s="172"/>
      <c r="ET142" s="172"/>
      <c r="EU142" s="172"/>
      <c r="EV142" s="172"/>
      <c r="EW142" s="172"/>
      <c r="EX142" s="172"/>
      <c r="EY142" s="172"/>
      <c r="EZ142" s="172"/>
      <c r="FA142" s="172"/>
      <c r="FB142" s="172"/>
      <c r="FC142" s="172"/>
      <c r="FD142" s="172"/>
      <c r="FE142" s="172"/>
      <c r="FF142" s="172"/>
      <c r="FG142" s="172"/>
      <c r="FH142" s="172"/>
      <c r="FI142" s="172"/>
      <c r="FJ142" s="172"/>
      <c r="FK142" s="172"/>
      <c r="FL142" s="172"/>
      <c r="FM142" s="172"/>
      <c r="FN142" s="172"/>
      <c r="FO142" s="172"/>
      <c r="FP142" s="172"/>
      <c r="FQ142" s="172"/>
      <c r="FR142" s="172"/>
      <c r="FS142" s="172"/>
      <c r="FT142" s="172"/>
      <c r="FU142" s="172"/>
      <c r="FV142" s="172"/>
      <c r="FW142" s="172"/>
      <c r="FX142" s="172"/>
      <c r="FY142" s="172"/>
      <c r="FZ142" s="172"/>
      <c r="GA142" s="172"/>
      <c r="GB142" s="172"/>
      <c r="GC142" s="172"/>
      <c r="GD142" s="172"/>
      <c r="GE142" s="172"/>
      <c r="GF142" s="172"/>
      <c r="GG142" s="172"/>
      <c r="GH142" s="172"/>
      <c r="GI142" s="172"/>
      <c r="GJ142" s="172"/>
      <c r="GK142" s="172"/>
      <c r="GL142" s="172"/>
      <c r="GM142" s="172"/>
      <c r="GN142" s="172"/>
      <c r="GO142" s="172"/>
      <c r="GP142" s="172"/>
      <c r="GQ142" s="172"/>
      <c r="GR142" s="172"/>
      <c r="GS142" s="172"/>
      <c r="GT142" s="172"/>
      <c r="GU142" s="172"/>
      <c r="GV142" s="172"/>
      <c r="GW142" s="172"/>
      <c r="GX142" s="172"/>
      <c r="GY142" s="172"/>
      <c r="GZ142" s="172"/>
      <c r="HA142" s="172"/>
      <c r="HB142" s="172"/>
      <c r="HC142" s="172"/>
      <c r="HD142" s="172"/>
      <c r="HE142" s="172"/>
      <c r="HF142" s="172"/>
      <c r="HG142" s="172"/>
      <c r="HH142" s="172"/>
      <c r="HI142" s="172"/>
      <c r="HJ142" s="172"/>
      <c r="HK142" s="172"/>
      <c r="HL142" s="172"/>
      <c r="HM142" s="172"/>
      <c r="HN142" s="172"/>
      <c r="HO142" s="172"/>
      <c r="HP142" s="172"/>
      <c r="HQ142" s="172"/>
      <c r="HR142" s="172"/>
      <c r="HS142" s="172"/>
      <c r="HT142" s="172"/>
      <c r="HU142" s="172"/>
      <c r="HV142" s="172"/>
      <c r="HW142" s="172"/>
      <c r="HX142" s="172"/>
      <c r="HY142" s="172"/>
      <c r="HZ142" s="172"/>
      <c r="IA142" s="172"/>
      <c r="IB142" s="172"/>
      <c r="IC142" s="172"/>
      <c r="ID142" s="172"/>
      <c r="IE142" s="172"/>
      <c r="IF142" s="172"/>
      <c r="IG142" s="172"/>
      <c r="IH142" s="172"/>
      <c r="II142" s="172"/>
      <c r="IJ142" s="172"/>
      <c r="IK142" s="172"/>
      <c r="IL142" s="172"/>
      <c r="IM142" s="172"/>
      <c r="IN142" s="172"/>
      <c r="IO142" s="172"/>
      <c r="IP142" s="172"/>
      <c r="IQ142" s="172"/>
      <c r="IR142" s="172"/>
      <c r="IS142" s="172"/>
      <c r="IT142" s="172"/>
      <c r="IU142" s="172"/>
      <c r="IV142" s="172"/>
      <c r="IW142" s="172"/>
      <c r="IX142" s="172"/>
      <c r="IY142" s="172"/>
      <c r="IZ142" s="172"/>
      <c r="JA142" s="172"/>
      <c r="JB142" s="172"/>
      <c r="JC142" s="172"/>
      <c r="JD142" s="172"/>
      <c r="JE142" s="172"/>
      <c r="JF142" s="172"/>
      <c r="JG142" s="172"/>
      <c r="JH142" s="172"/>
      <c r="JI142" s="172"/>
      <c r="JJ142" s="172"/>
      <c r="JK142" s="172"/>
      <c r="JL142" s="172"/>
      <c r="JM142" s="172"/>
      <c r="JN142" s="172"/>
      <c r="JO142" s="172"/>
      <c r="JP142" s="172"/>
      <c r="JQ142" s="172"/>
      <c r="JR142" s="172"/>
      <c r="JS142" s="172"/>
      <c r="JT142" s="172"/>
      <c r="JU142" s="172"/>
      <c r="JV142" s="172"/>
      <c r="JW142" s="172"/>
      <c r="JX142" s="172"/>
      <c r="JY142" s="172"/>
      <c r="JZ142" s="172"/>
      <c r="KA142" s="172"/>
      <c r="KB142" s="172"/>
      <c r="KC142" s="172"/>
      <c r="KD142" s="172"/>
      <c r="KE142" s="172"/>
      <c r="KF142" s="172"/>
      <c r="KG142" s="172"/>
      <c r="KH142" s="172"/>
      <c r="KI142" s="172"/>
      <c r="KJ142" s="172"/>
      <c r="KK142" s="172"/>
      <c r="KL142" s="172"/>
      <c r="KM142" s="172"/>
      <c r="KN142" s="172"/>
      <c r="KO142" s="172"/>
      <c r="KP142" s="172"/>
      <c r="KQ142" s="172"/>
      <c r="KR142" s="172"/>
      <c r="KS142" s="172"/>
      <c r="KT142" s="172"/>
      <c r="KU142" s="172"/>
      <c r="KV142" s="172"/>
      <c r="KW142" s="172"/>
      <c r="KX142" s="172"/>
      <c r="KY142" s="172"/>
      <c r="KZ142" s="172"/>
      <c r="LA142" s="172"/>
      <c r="LB142" s="172"/>
      <c r="LC142" s="172"/>
      <c r="LD142" s="172"/>
      <c r="LE142" s="172"/>
      <c r="LF142" s="172"/>
      <c r="LG142" s="172"/>
      <c r="LH142" s="172"/>
      <c r="LI142" s="172"/>
      <c r="LJ142" s="172"/>
      <c r="LK142" s="172"/>
      <c r="LL142" s="172"/>
      <c r="LM142" s="172"/>
      <c r="LN142" s="172"/>
      <c r="LO142" s="172"/>
      <c r="LP142" s="172"/>
      <c r="LQ142" s="172"/>
      <c r="LR142" s="172"/>
      <c r="LS142" s="172"/>
      <c r="LT142" s="172"/>
      <c r="LU142" s="172"/>
      <c r="LV142" s="172"/>
      <c r="LW142" s="172"/>
      <c r="LX142" s="172"/>
      <c r="LY142" s="172"/>
      <c r="LZ142" s="172"/>
      <c r="MA142" s="172"/>
      <c r="MB142" s="172"/>
      <c r="MC142" s="172"/>
      <c r="MD142" s="172"/>
      <c r="ME142" s="172"/>
      <c r="MF142" s="172"/>
      <c r="MG142" s="172"/>
      <c r="MH142" s="172"/>
      <c r="MI142" s="172"/>
      <c r="MJ142" s="172"/>
      <c r="MK142" s="172"/>
      <c r="ML142" s="172"/>
      <c r="MM142" s="172"/>
      <c r="MN142" s="172"/>
      <c r="MO142" s="172"/>
      <c r="MP142" s="172"/>
      <c r="MQ142" s="172"/>
      <c r="MR142" s="172"/>
      <c r="MS142" s="172"/>
      <c r="MT142" s="172"/>
      <c r="MU142" s="172"/>
      <c r="MV142" s="172"/>
      <c r="MW142" s="172"/>
      <c r="MX142" s="172"/>
      <c r="MY142" s="172"/>
      <c r="MZ142" s="172"/>
      <c r="NA142" s="172"/>
      <c r="NB142" s="172"/>
      <c r="NC142" s="172"/>
      <c r="ND142" s="172"/>
      <c r="NE142" s="172"/>
      <c r="NF142" s="172"/>
      <c r="NG142" s="172"/>
      <c r="NH142" s="172"/>
      <c r="NI142" s="172"/>
      <c r="NJ142" s="172"/>
      <c r="NK142" s="172"/>
      <c r="NL142" s="172"/>
      <c r="NM142" s="172"/>
      <c r="NN142" s="172"/>
      <c r="NO142" s="172"/>
      <c r="NP142" s="172"/>
      <c r="NQ142" s="172"/>
      <c r="NR142" s="172"/>
      <c r="NS142" s="172"/>
      <c r="NT142" s="172"/>
      <c r="NU142" s="172"/>
      <c r="NV142" s="172"/>
      <c r="NW142" s="172"/>
      <c r="NX142" s="172"/>
      <c r="NY142" s="172"/>
      <c r="NZ142" s="172"/>
      <c r="OA142" s="172"/>
      <c r="OB142" s="172"/>
      <c r="OC142" s="172"/>
      <c r="OD142" s="172"/>
      <c r="OE142" s="172"/>
      <c r="OF142" s="172"/>
      <c r="OG142" s="172"/>
      <c r="OH142" s="172"/>
      <c r="OI142" s="172"/>
      <c r="OJ142" s="172"/>
      <c r="OK142" s="172"/>
      <c r="OL142" s="172"/>
      <c r="OM142" s="172"/>
      <c r="ON142" s="172"/>
      <c r="OO142" s="172"/>
      <c r="OP142" s="172"/>
      <c r="OQ142" s="172"/>
      <c r="OR142" s="172"/>
      <c r="OS142" s="172"/>
      <c r="OT142" s="172"/>
      <c r="OU142" s="172"/>
      <c r="OV142" s="172"/>
      <c r="OW142" s="172"/>
      <c r="OX142" s="172"/>
      <c r="OY142" s="172"/>
      <c r="OZ142" s="172"/>
      <c r="PA142" s="172"/>
      <c r="PB142" s="172"/>
      <c r="PC142" s="172"/>
      <c r="PD142" s="172"/>
      <c r="PE142" s="172"/>
      <c r="PF142" s="172"/>
      <c r="PG142" s="172"/>
      <c r="PH142" s="172"/>
      <c r="PI142" s="172"/>
      <c r="PJ142" s="172"/>
      <c r="PK142" s="172"/>
      <c r="PL142" s="172"/>
      <c r="PM142" s="172"/>
      <c r="PN142" s="172"/>
      <c r="PO142" s="172"/>
      <c r="PP142" s="172"/>
      <c r="PQ142" s="172"/>
      <c r="PR142" s="172"/>
      <c r="PS142" s="172"/>
      <c r="PT142" s="172"/>
      <c r="PU142" s="172"/>
      <c r="PV142" s="172"/>
      <c r="PW142" s="172"/>
      <c r="PX142" s="172"/>
      <c r="PY142" s="172"/>
      <c r="PZ142" s="172"/>
      <c r="QA142" s="172"/>
      <c r="QB142" s="172"/>
      <c r="QC142" s="172"/>
      <c r="QD142" s="172"/>
      <c r="QE142" s="172"/>
      <c r="QF142" s="172"/>
      <c r="QG142" s="172"/>
      <c r="QH142" s="172"/>
      <c r="QI142" s="172"/>
      <c r="QJ142" s="172"/>
      <c r="QK142" s="172"/>
      <c r="QL142" s="172"/>
      <c r="QM142" s="172"/>
      <c r="QN142" s="172"/>
      <c r="QO142" s="172"/>
      <c r="QP142" s="172"/>
      <c r="QQ142" s="172"/>
      <c r="QR142" s="172"/>
      <c r="QS142" s="172"/>
      <c r="QT142" s="172"/>
      <c r="QU142" s="172"/>
      <c r="QV142" s="172"/>
      <c r="QW142" s="172"/>
      <c r="QX142" s="172"/>
      <c r="QY142" s="172"/>
      <c r="QZ142" s="172"/>
      <c r="RA142" s="172"/>
      <c r="RB142" s="172"/>
      <c r="RC142" s="172"/>
      <c r="RD142" s="172"/>
      <c r="RE142" s="172"/>
      <c r="RF142" s="172"/>
      <c r="RG142" s="172"/>
      <c r="RH142" s="172"/>
      <c r="RI142" s="172"/>
      <c r="RJ142" s="172"/>
      <c r="RK142" s="172"/>
      <c r="RL142" s="172"/>
      <c r="RM142" s="172"/>
      <c r="RN142" s="172"/>
      <c r="RO142" s="172"/>
      <c r="RP142" s="172"/>
      <c r="RQ142" s="172"/>
      <c r="RR142" s="172"/>
      <c r="RS142" s="172"/>
      <c r="RT142" s="172"/>
      <c r="RU142" s="172"/>
      <c r="RV142" s="172"/>
      <c r="RW142" s="172"/>
      <c r="RX142" s="172"/>
      <c r="RY142" s="172"/>
      <c r="RZ142" s="172"/>
      <c r="SA142" s="172"/>
      <c r="SB142" s="172"/>
      <c r="SC142" s="172"/>
      <c r="SD142" s="172"/>
      <c r="SE142" s="172"/>
      <c r="SF142" s="172"/>
      <c r="SG142" s="172"/>
      <c r="SH142" s="172"/>
      <c r="SI142" s="172"/>
      <c r="SJ142" s="172"/>
      <c r="SK142" s="172"/>
      <c r="SL142" s="172"/>
      <c r="SM142" s="172"/>
      <c r="SN142" s="172"/>
      <c r="SO142" s="172"/>
      <c r="SP142" s="172"/>
      <c r="SQ142" s="172"/>
      <c r="SR142" s="172"/>
      <c r="SS142" s="172"/>
      <c r="ST142" s="172"/>
      <c r="SU142" s="172"/>
      <c r="SV142" s="172"/>
      <c r="SW142" s="172"/>
      <c r="SX142" s="172"/>
      <c r="SY142" s="172"/>
      <c r="SZ142" s="172"/>
      <c r="TA142" s="172"/>
      <c r="TB142" s="172"/>
      <c r="TC142" s="172"/>
      <c r="TD142" s="172"/>
      <c r="TE142" s="172"/>
      <c r="TF142" s="172"/>
      <c r="TG142" s="172"/>
      <c r="TH142" s="172"/>
      <c r="TI142" s="172"/>
      <c r="TJ142" s="172"/>
      <c r="TK142" s="172"/>
      <c r="TL142" s="172"/>
      <c r="TM142" s="172"/>
      <c r="TN142" s="172"/>
      <c r="TO142" s="172"/>
      <c r="TP142" s="172"/>
      <c r="TQ142" s="172"/>
      <c r="TR142" s="172"/>
      <c r="TS142" s="172"/>
      <c r="TT142" s="172"/>
      <c r="TU142" s="172"/>
      <c r="TV142" s="172"/>
      <c r="TW142" s="172"/>
      <c r="TX142" s="172"/>
      <c r="TY142" s="172"/>
      <c r="TZ142" s="172"/>
      <c r="UA142" s="172"/>
      <c r="UB142" s="172"/>
      <c r="UC142" s="172"/>
      <c r="UD142" s="172"/>
      <c r="UE142" s="172"/>
      <c r="UF142" s="172"/>
      <c r="UG142" s="172"/>
      <c r="UH142" s="172"/>
      <c r="UI142" s="172"/>
      <c r="UJ142" s="172"/>
      <c r="UK142" s="172"/>
      <c r="UL142" s="172"/>
      <c r="UM142" s="172"/>
      <c r="UN142" s="172"/>
      <c r="UO142" s="172"/>
      <c r="UP142" s="172"/>
      <c r="UQ142" s="172"/>
      <c r="UR142" s="172"/>
      <c r="US142" s="172"/>
      <c r="UT142" s="172"/>
      <c r="UU142" s="172"/>
      <c r="UV142" s="172"/>
      <c r="UW142" s="172"/>
      <c r="UX142" s="172"/>
      <c r="UY142" s="172"/>
      <c r="UZ142" s="172"/>
      <c r="VA142" s="172"/>
      <c r="VB142" s="172"/>
      <c r="VC142" s="172"/>
      <c r="VD142" s="172"/>
      <c r="VE142" s="172"/>
      <c r="VF142" s="172"/>
      <c r="VG142" s="172"/>
      <c r="VH142" s="172"/>
      <c r="VI142" s="172"/>
      <c r="VJ142" s="172"/>
      <c r="VK142" s="172"/>
      <c r="VL142" s="172"/>
      <c r="VM142" s="172"/>
      <c r="VN142" s="172"/>
      <c r="VO142" s="172"/>
      <c r="VP142" s="172"/>
      <c r="VQ142" s="172"/>
      <c r="VR142" s="172"/>
      <c r="VS142" s="172"/>
      <c r="VT142" s="172"/>
      <c r="VU142" s="172"/>
      <c r="VV142" s="172"/>
      <c r="VW142" s="172"/>
      <c r="VX142" s="172"/>
      <c r="VY142" s="172"/>
      <c r="VZ142" s="172"/>
      <c r="WA142" s="172"/>
      <c r="WB142" s="172"/>
      <c r="WC142" s="172"/>
      <c r="WD142" s="172"/>
      <c r="WE142" s="172"/>
      <c r="WF142" s="172"/>
      <c r="WG142" s="172"/>
      <c r="WH142" s="172"/>
      <c r="WI142" s="172"/>
      <c r="WJ142" s="172"/>
      <c r="WK142" s="172"/>
      <c r="WL142" s="172"/>
      <c r="WM142" s="172"/>
      <c r="WN142" s="172"/>
      <c r="WO142" s="172"/>
      <c r="WP142" s="172"/>
      <c r="WQ142" s="172"/>
      <c r="WR142" s="172"/>
      <c r="WS142" s="172"/>
      <c r="WT142" s="172"/>
      <c r="WU142" s="172"/>
      <c r="WV142" s="172"/>
      <c r="WW142" s="172"/>
      <c r="WX142" s="172"/>
      <c r="WY142" s="172"/>
      <c r="WZ142" s="172"/>
      <c r="XA142" s="172"/>
      <c r="XB142" s="172"/>
      <c r="XC142" s="172"/>
      <c r="XD142" s="172"/>
      <c r="XE142" s="172"/>
      <c r="XF142" s="172"/>
      <c r="XG142" s="172"/>
      <c r="XH142" s="172"/>
      <c r="XI142" s="172"/>
      <c r="XJ142" s="172"/>
      <c r="XK142" s="172"/>
      <c r="XL142" s="172"/>
      <c r="XM142" s="172"/>
      <c r="XN142" s="172"/>
      <c r="XO142" s="172"/>
      <c r="XP142" s="172"/>
      <c r="XQ142" s="172"/>
      <c r="XR142" s="172"/>
      <c r="XS142" s="172"/>
      <c r="XT142" s="172"/>
      <c r="XU142" s="172"/>
      <c r="XV142" s="172"/>
      <c r="XW142" s="172"/>
      <c r="XX142" s="172"/>
      <c r="XY142" s="172"/>
      <c r="XZ142" s="172"/>
      <c r="YA142" s="172"/>
      <c r="YB142" s="172"/>
      <c r="YC142" s="172"/>
      <c r="YD142" s="172"/>
      <c r="YE142" s="172"/>
      <c r="YF142" s="172"/>
      <c r="YG142" s="172"/>
      <c r="YH142" s="172"/>
      <c r="YI142" s="172"/>
      <c r="YJ142" s="172"/>
      <c r="YK142" s="172"/>
      <c r="YL142" s="172"/>
      <c r="YM142" s="172"/>
      <c r="YN142" s="172"/>
      <c r="YO142" s="172"/>
      <c r="YP142" s="172"/>
      <c r="YQ142" s="172"/>
      <c r="YR142" s="172"/>
      <c r="YS142" s="172"/>
      <c r="YT142" s="172"/>
      <c r="YU142" s="172"/>
      <c r="YV142" s="172"/>
      <c r="YW142" s="172"/>
      <c r="YX142" s="172"/>
      <c r="YY142" s="172"/>
      <c r="YZ142" s="172"/>
      <c r="ZA142" s="172"/>
      <c r="ZB142" s="172"/>
      <c r="ZC142" s="172"/>
      <c r="ZD142" s="172"/>
      <c r="ZE142" s="172"/>
      <c r="ZF142" s="172"/>
      <c r="ZG142" s="172"/>
      <c r="ZH142" s="172"/>
      <c r="ZI142" s="172"/>
      <c r="ZJ142" s="172"/>
      <c r="ZK142" s="172"/>
      <c r="ZL142" s="172"/>
      <c r="ZM142" s="172"/>
      <c r="ZN142" s="172"/>
      <c r="ZO142" s="172"/>
      <c r="ZP142" s="172"/>
      <c r="ZQ142" s="172"/>
      <c r="ZR142" s="172"/>
      <c r="ZS142" s="172"/>
      <c r="ZT142" s="172"/>
      <c r="ZU142" s="172"/>
      <c r="ZV142" s="172"/>
      <c r="ZW142" s="172"/>
      <c r="ZX142" s="172"/>
      <c r="ZY142" s="172"/>
      <c r="ZZ142" s="172"/>
      <c r="AAA142" s="172"/>
      <c r="AAB142" s="172"/>
      <c r="AAC142" s="172"/>
      <c r="AAD142" s="172"/>
      <c r="AAE142" s="172"/>
      <c r="AAF142" s="172"/>
      <c r="AAG142" s="172"/>
      <c r="AAH142" s="172"/>
      <c r="AAI142" s="172"/>
      <c r="AAJ142" s="172"/>
      <c r="AAK142" s="172"/>
      <c r="AAL142" s="172"/>
      <c r="AAM142" s="172"/>
      <c r="AAN142" s="172"/>
      <c r="AAO142" s="172"/>
      <c r="AAP142" s="172"/>
      <c r="AAQ142" s="172"/>
      <c r="AAR142" s="172"/>
      <c r="AAS142" s="172"/>
      <c r="AAT142" s="172"/>
      <c r="AAU142" s="172"/>
      <c r="AAV142" s="172"/>
      <c r="AAW142" s="172"/>
      <c r="AAX142" s="172"/>
      <c r="AAY142" s="172"/>
      <c r="AAZ142" s="172"/>
      <c r="ABA142" s="172"/>
      <c r="ABB142" s="172"/>
      <c r="ABC142" s="172"/>
      <c r="ABD142" s="172"/>
      <c r="ABE142" s="172"/>
      <c r="ABF142" s="172"/>
      <c r="ABG142" s="172"/>
      <c r="ABH142" s="172"/>
      <c r="ABI142" s="172"/>
      <c r="ABJ142" s="172"/>
      <c r="ABK142" s="172"/>
      <c r="ABL142" s="172"/>
      <c r="ABM142" s="172"/>
      <c r="ABN142" s="172"/>
      <c r="ABO142" s="172"/>
      <c r="ABP142" s="172"/>
      <c r="ABQ142" s="172"/>
      <c r="ABR142" s="172"/>
      <c r="ABS142" s="172"/>
      <c r="ABT142" s="172"/>
      <c r="ABU142" s="172"/>
      <c r="ABV142" s="172"/>
      <c r="ABW142" s="172"/>
      <c r="ABX142" s="172"/>
      <c r="ABY142" s="172"/>
      <c r="ABZ142" s="172"/>
      <c r="ACA142" s="172"/>
      <c r="ACB142" s="172"/>
      <c r="ACC142" s="172"/>
      <c r="ACD142" s="172"/>
      <c r="ACE142" s="172"/>
      <c r="ACF142" s="172"/>
      <c r="ACG142" s="172"/>
      <c r="ACH142" s="172"/>
      <c r="ACI142" s="172"/>
      <c r="ACJ142" s="172"/>
      <c r="ACK142" s="172"/>
      <c r="ACL142" s="172"/>
      <c r="ACM142" s="172"/>
      <c r="ACN142" s="172"/>
      <c r="ACO142" s="172"/>
      <c r="ACP142" s="172"/>
      <c r="ACQ142" s="172"/>
      <c r="ACR142" s="172"/>
      <c r="ACS142" s="172"/>
      <c r="ACT142" s="172"/>
      <c r="ACU142" s="172"/>
      <c r="ACV142" s="172"/>
      <c r="ACW142" s="172"/>
      <c r="ACX142" s="172"/>
      <c r="ACY142" s="172"/>
      <c r="ACZ142" s="172"/>
      <c r="ADA142" s="172"/>
      <c r="ADB142" s="172"/>
      <c r="ADC142" s="172"/>
      <c r="ADD142" s="172"/>
      <c r="ADE142" s="172"/>
      <c r="ADF142" s="172"/>
      <c r="ADG142" s="172"/>
      <c r="ADH142" s="172"/>
      <c r="ADI142" s="172"/>
      <c r="ADJ142" s="172"/>
      <c r="ADK142" s="172"/>
      <c r="ADL142" s="172"/>
      <c r="ADM142" s="172"/>
      <c r="ADN142" s="172"/>
      <c r="ADO142" s="172"/>
      <c r="ADP142" s="172"/>
      <c r="ADQ142" s="172"/>
      <c r="ADR142" s="172"/>
      <c r="ADS142" s="172"/>
      <c r="ADT142" s="172"/>
      <c r="ADU142" s="172"/>
      <c r="ADV142" s="172"/>
      <c r="ADW142" s="172"/>
      <c r="ADX142" s="172"/>
      <c r="ADY142" s="172"/>
      <c r="ADZ142" s="172"/>
      <c r="AEA142" s="172"/>
      <c r="AEB142" s="172"/>
      <c r="AEC142" s="172"/>
      <c r="AED142" s="172"/>
      <c r="AEE142" s="172"/>
      <c r="AEF142" s="172"/>
      <c r="AEG142" s="172"/>
      <c r="AEH142" s="172"/>
      <c r="AEI142" s="172"/>
      <c r="AEJ142" s="172"/>
      <c r="AEK142" s="172"/>
      <c r="AEL142" s="172"/>
      <c r="AEM142" s="172"/>
      <c r="AEN142" s="172"/>
      <c r="AEO142" s="172"/>
      <c r="AEP142" s="172"/>
      <c r="AEQ142" s="172"/>
      <c r="AER142" s="172"/>
      <c r="AES142" s="172"/>
      <c r="AET142" s="172"/>
      <c r="AEU142" s="172"/>
      <c r="AEV142" s="172"/>
      <c r="AEW142" s="172"/>
      <c r="AEX142" s="172"/>
      <c r="AEY142" s="172"/>
      <c r="AEZ142" s="172"/>
      <c r="AFA142" s="172"/>
      <c r="AFB142" s="172"/>
      <c r="AFC142" s="172"/>
      <c r="AFD142" s="172"/>
      <c r="AFE142" s="172"/>
      <c r="AFF142" s="172"/>
      <c r="AFG142" s="172"/>
      <c r="AFH142" s="172"/>
      <c r="AFI142" s="172"/>
      <c r="AFJ142" s="172"/>
      <c r="AFK142" s="172"/>
      <c r="AFL142" s="172"/>
      <c r="AFM142" s="172"/>
      <c r="AFN142" s="172"/>
      <c r="AFO142" s="172"/>
      <c r="AFP142" s="172"/>
      <c r="AFQ142" s="172"/>
      <c r="AFR142" s="172"/>
      <c r="AFS142" s="172"/>
      <c r="AFT142" s="172"/>
      <c r="AFU142" s="172"/>
      <c r="AFV142" s="172"/>
      <c r="AFW142" s="172"/>
      <c r="AFX142" s="172"/>
      <c r="AFY142" s="172"/>
      <c r="AFZ142" s="172"/>
      <c r="AGA142" s="172"/>
      <c r="AGB142" s="172"/>
      <c r="AGC142" s="172"/>
      <c r="AGD142" s="172"/>
      <c r="AGE142" s="172"/>
      <c r="AGF142" s="172"/>
      <c r="AGG142" s="172"/>
      <c r="AGH142" s="172"/>
      <c r="AGI142" s="172"/>
      <c r="AGJ142" s="172"/>
      <c r="AGK142" s="172"/>
      <c r="AGL142" s="172"/>
      <c r="AGM142" s="172"/>
      <c r="AGN142" s="172"/>
      <c r="AGO142" s="172"/>
      <c r="AGP142" s="172"/>
      <c r="AGQ142" s="172"/>
      <c r="AGR142" s="172"/>
      <c r="AGS142" s="172"/>
      <c r="AGT142" s="172"/>
      <c r="AGU142" s="172"/>
      <c r="AGV142" s="172"/>
      <c r="AGW142" s="172"/>
      <c r="AGX142" s="172"/>
      <c r="AGY142" s="172"/>
      <c r="AGZ142" s="172"/>
      <c r="AHA142" s="172"/>
      <c r="AHB142" s="172"/>
      <c r="AHC142" s="172"/>
      <c r="AHD142" s="172"/>
      <c r="AHE142" s="172"/>
      <c r="AHF142" s="172"/>
      <c r="AHG142" s="172"/>
      <c r="AHH142" s="172"/>
      <c r="AHI142" s="172"/>
      <c r="AHJ142" s="172"/>
      <c r="AHK142" s="172"/>
      <c r="AHL142" s="172"/>
      <c r="AHM142" s="172"/>
      <c r="AHN142" s="172"/>
      <c r="AHO142" s="172"/>
      <c r="AHP142" s="172"/>
      <c r="AHQ142" s="172"/>
      <c r="AHR142" s="172"/>
      <c r="AHS142" s="172"/>
      <c r="AHT142" s="172"/>
      <c r="AHU142" s="172"/>
      <c r="AHV142" s="172"/>
      <c r="AHW142" s="172"/>
      <c r="AHX142" s="172"/>
      <c r="AHY142" s="172"/>
      <c r="AHZ142" s="172"/>
      <c r="AIA142" s="172"/>
      <c r="AIB142" s="172"/>
      <c r="AIC142" s="172"/>
      <c r="AID142" s="172"/>
      <c r="AIE142" s="172"/>
      <c r="AIF142" s="172"/>
      <c r="AIG142" s="172"/>
      <c r="AIH142" s="172"/>
      <c r="AII142" s="172"/>
      <c r="AIJ142" s="172"/>
      <c r="AIK142" s="172"/>
      <c r="AIL142" s="172"/>
      <c r="AIM142" s="172"/>
      <c r="AIN142" s="172"/>
      <c r="AIO142" s="172"/>
      <c r="AIP142" s="172"/>
      <c r="AIQ142" s="172"/>
      <c r="AIR142" s="172"/>
      <c r="AIS142" s="172"/>
      <c r="AIT142" s="172"/>
      <c r="AIU142" s="172"/>
      <c r="AIV142" s="172"/>
      <c r="AIW142" s="172"/>
      <c r="AIX142" s="172"/>
      <c r="AIY142" s="172"/>
      <c r="AIZ142" s="172"/>
      <c r="AJA142" s="172"/>
      <c r="AJB142" s="172"/>
      <c r="AJC142" s="172"/>
      <c r="AJD142" s="172"/>
      <c r="AJE142" s="172"/>
      <c r="AJF142" s="172"/>
      <c r="AJG142" s="172"/>
      <c r="AJH142" s="172"/>
      <c r="AJI142" s="172"/>
      <c r="AJJ142" s="172"/>
      <c r="AJK142" s="172"/>
      <c r="AJL142" s="172"/>
      <c r="AJM142" s="172"/>
      <c r="AJN142" s="172"/>
      <c r="AJO142" s="172"/>
      <c r="AJP142" s="172"/>
      <c r="AJQ142" s="172"/>
      <c r="AJR142" s="172"/>
      <c r="AJS142" s="172"/>
      <c r="AJT142" s="172"/>
      <c r="AJU142" s="172"/>
      <c r="AJV142" s="172"/>
      <c r="AJW142" s="172"/>
      <c r="AJX142" s="172"/>
      <c r="AJY142" s="172"/>
      <c r="AJZ142" s="172"/>
      <c r="AKA142" s="172"/>
      <c r="AKB142" s="172"/>
      <c r="AKC142" s="172"/>
      <c r="AKD142" s="172"/>
      <c r="AKE142" s="172"/>
      <c r="AKF142" s="172"/>
      <c r="AKG142" s="172"/>
      <c r="AKH142" s="172"/>
      <c r="AKI142" s="172"/>
      <c r="AKJ142" s="172"/>
      <c r="AKK142" s="172"/>
      <c r="AKL142" s="172"/>
      <c r="AKM142" s="172"/>
      <c r="AKN142" s="172"/>
      <c r="AKO142" s="172"/>
      <c r="AKP142" s="172"/>
      <c r="AKQ142" s="172"/>
      <c r="AKR142" s="172"/>
      <c r="AKS142" s="172"/>
      <c r="AKT142" s="172"/>
      <c r="AKU142" s="172"/>
      <c r="AKV142" s="172"/>
      <c r="AKW142" s="172"/>
      <c r="AKX142" s="172"/>
      <c r="AKY142" s="172"/>
      <c r="AKZ142" s="172"/>
      <c r="ALA142" s="172"/>
      <c r="ALB142" s="172"/>
      <c r="ALC142" s="172"/>
      <c r="ALD142" s="172"/>
      <c r="ALE142" s="172"/>
      <c r="ALF142" s="172"/>
      <c r="ALG142" s="172"/>
      <c r="ALH142" s="172"/>
      <c r="ALI142" s="172"/>
      <c r="ALJ142" s="172"/>
      <c r="ALK142" s="172"/>
      <c r="ALL142" s="172"/>
      <c r="ALM142" s="172"/>
      <c r="ALN142" s="172"/>
      <c r="ALO142" s="172"/>
      <c r="ALP142" s="172"/>
      <c r="ALQ142" s="172"/>
      <c r="ALR142" s="172"/>
      <c r="ALS142" s="172"/>
      <c r="ALT142" s="172"/>
      <c r="ALU142" s="172"/>
      <c r="ALV142" s="172"/>
      <c r="ALW142" s="172"/>
      <c r="ALX142" s="172"/>
      <c r="ALY142" s="172"/>
      <c r="ALZ142" s="172"/>
      <c r="AMA142" s="172"/>
      <c r="AMB142" s="172"/>
      <c r="AMC142" s="172"/>
      <c r="AMD142" s="172"/>
      <c r="AME142" s="172"/>
      <c r="AMF142" s="172"/>
      <c r="AMG142" s="172"/>
      <c r="AMH142" s="172"/>
      <c r="AMI142" s="172"/>
      <c r="AMJ142" s="172"/>
      <c r="AMK142" s="172"/>
      <c r="AML142" s="172"/>
      <c r="AMM142" s="172"/>
      <c r="AMN142" s="172"/>
      <c r="AMO142" s="172"/>
      <c r="AMP142" s="172"/>
      <c r="AMQ142" s="172"/>
      <c r="AMR142" s="172"/>
      <c r="AMS142" s="172"/>
      <c r="AMT142" s="172"/>
      <c r="AMU142" s="172"/>
      <c r="AMV142" s="172"/>
      <c r="AMW142" s="172"/>
      <c r="AMX142" s="172"/>
      <c r="AMY142" s="172"/>
      <c r="AMZ142" s="172"/>
      <c r="ANA142" s="172"/>
      <c r="ANB142" s="172"/>
      <c r="ANC142" s="172"/>
      <c r="AND142" s="172"/>
      <c r="ANE142" s="172"/>
      <c r="ANF142" s="172"/>
      <c r="ANG142" s="172"/>
      <c r="ANH142" s="172"/>
      <c r="ANI142" s="172"/>
      <c r="ANJ142" s="172"/>
      <c r="ANK142" s="172"/>
      <c r="ANL142" s="172"/>
      <c r="ANM142" s="172"/>
      <c r="ANN142" s="172"/>
      <c r="ANO142" s="172"/>
      <c r="ANP142" s="172"/>
      <c r="ANQ142" s="172"/>
      <c r="ANR142" s="172"/>
      <c r="ANS142" s="172"/>
      <c r="ANT142" s="172"/>
      <c r="ANU142" s="172"/>
      <c r="ANV142" s="172"/>
      <c r="ANW142" s="172"/>
      <c r="ANX142" s="172"/>
      <c r="ANY142" s="172"/>
      <c r="ANZ142" s="172"/>
      <c r="AOA142" s="172"/>
      <c r="AOB142" s="172"/>
      <c r="AOC142" s="172"/>
      <c r="AOD142" s="172"/>
      <c r="AOE142" s="172"/>
      <c r="AOF142" s="172"/>
      <c r="AOG142" s="172"/>
      <c r="AOH142" s="172"/>
      <c r="AOI142" s="172"/>
      <c r="AOJ142" s="172"/>
      <c r="AOK142" s="172"/>
      <c r="AOL142" s="172"/>
      <c r="AOM142" s="172"/>
      <c r="AON142" s="172"/>
      <c r="AOO142" s="172"/>
      <c r="AOP142" s="172"/>
      <c r="AOQ142" s="172"/>
      <c r="AOR142" s="172"/>
      <c r="AOS142" s="172"/>
      <c r="AOT142" s="172"/>
      <c r="AOU142" s="172"/>
      <c r="AOV142" s="172"/>
      <c r="AOW142" s="172"/>
      <c r="AOX142" s="172"/>
      <c r="AOY142" s="172"/>
      <c r="AOZ142" s="172"/>
      <c r="APA142" s="172"/>
      <c r="APB142" s="172"/>
      <c r="APC142" s="172"/>
      <c r="APD142" s="172"/>
      <c r="APE142" s="172"/>
      <c r="APF142" s="172"/>
      <c r="APG142" s="172"/>
      <c r="APH142" s="172"/>
      <c r="API142" s="172"/>
      <c r="APJ142" s="172"/>
      <c r="APK142" s="172"/>
      <c r="APL142" s="172"/>
      <c r="APM142" s="172"/>
      <c r="APN142" s="172"/>
      <c r="APO142" s="172"/>
      <c r="APP142" s="172"/>
      <c r="APQ142" s="172"/>
      <c r="APR142" s="172"/>
      <c r="APS142" s="172"/>
      <c r="APT142" s="172"/>
      <c r="APU142" s="172"/>
      <c r="APV142" s="172"/>
      <c r="APW142" s="172"/>
      <c r="APX142" s="172"/>
      <c r="APY142" s="172"/>
      <c r="APZ142" s="172"/>
      <c r="AQA142" s="172"/>
      <c r="AQB142" s="172"/>
      <c r="AQC142" s="172"/>
      <c r="AQD142" s="172"/>
      <c r="AQE142" s="172"/>
      <c r="AQF142" s="172"/>
      <c r="AQG142" s="172"/>
      <c r="AQH142" s="172"/>
      <c r="AQI142" s="172"/>
      <c r="AQJ142" s="172"/>
      <c r="AQK142" s="172"/>
      <c r="AQL142" s="172"/>
      <c r="AQM142" s="172"/>
      <c r="AQN142" s="172"/>
      <c r="AQO142" s="172"/>
      <c r="AQP142" s="172"/>
      <c r="AQQ142" s="172"/>
      <c r="AQR142" s="172"/>
      <c r="AQS142" s="172"/>
      <c r="AQT142" s="172"/>
      <c r="AQU142" s="172"/>
      <c r="AQV142" s="172"/>
      <c r="AQW142" s="172"/>
      <c r="AQX142" s="172"/>
      <c r="AQY142" s="172"/>
      <c r="AQZ142" s="172"/>
      <c r="ARA142" s="172"/>
      <c r="ARB142" s="172"/>
      <c r="ARC142" s="172"/>
      <c r="ARD142" s="172"/>
      <c r="ARE142" s="172"/>
      <c r="ARF142" s="172"/>
      <c r="ARG142" s="172"/>
      <c r="ARH142" s="172"/>
      <c r="ARI142" s="172"/>
      <c r="ARJ142" s="172"/>
      <c r="ARK142" s="172"/>
      <c r="ARL142" s="172"/>
      <c r="ARM142" s="172"/>
      <c r="ARN142" s="172"/>
      <c r="ARO142" s="172"/>
      <c r="ARP142" s="172"/>
      <c r="ARQ142" s="172"/>
      <c r="ARR142" s="172"/>
      <c r="ARS142" s="172"/>
      <c r="ART142" s="172"/>
      <c r="ARU142" s="172"/>
    </row>
    <row r="143" spans="1:1165" s="257" customFormat="1">
      <c r="A143" s="220" t="s">
        <v>252</v>
      </c>
      <c r="B143" s="215"/>
      <c r="C143" s="284">
        <f t="shared" ref="C143:L143" si="65">SUM(C139:C142)</f>
        <v>891130591</v>
      </c>
      <c r="D143" s="284">
        <f t="shared" si="65"/>
        <v>8328674695</v>
      </c>
      <c r="E143" s="284">
        <f t="shared" si="65"/>
        <v>93212714</v>
      </c>
      <c r="F143" s="284">
        <f t="shared" si="65"/>
        <v>1246881566</v>
      </c>
      <c r="G143" s="284">
        <f t="shared" si="65"/>
        <v>75306403</v>
      </c>
      <c r="H143" s="284">
        <f t="shared" si="65"/>
        <v>1130155796</v>
      </c>
      <c r="I143" s="284">
        <f t="shared" si="65"/>
        <v>78182395</v>
      </c>
      <c r="J143" s="284">
        <f t="shared" si="65"/>
        <v>1495065014</v>
      </c>
      <c r="K143" s="284">
        <f t="shared" si="65"/>
        <v>74983543</v>
      </c>
      <c r="L143" s="284">
        <f t="shared" si="65"/>
        <v>1546325341</v>
      </c>
      <c r="M143" s="284">
        <v>90631128</v>
      </c>
      <c r="N143" s="284">
        <v>1671285288</v>
      </c>
      <c r="O143" s="284">
        <f t="shared" ref="O143:AA143" si="66">SUM(O139:O142)</f>
        <v>88670729</v>
      </c>
      <c r="P143" s="284">
        <f t="shared" si="66"/>
        <v>2029998845</v>
      </c>
      <c r="Q143" s="284">
        <f t="shared" si="66"/>
        <v>81290940</v>
      </c>
      <c r="R143" s="284">
        <f t="shared" si="66"/>
        <v>1914745851</v>
      </c>
      <c r="S143" s="284">
        <f t="shared" si="66"/>
        <v>84122743</v>
      </c>
      <c r="T143" s="284">
        <f t="shared" si="66"/>
        <v>1737650556</v>
      </c>
      <c r="U143" s="288">
        <f t="shared" si="66"/>
        <v>98319089</v>
      </c>
      <c r="V143" s="288">
        <f t="shared" si="66"/>
        <v>1757278099</v>
      </c>
      <c r="W143" s="284">
        <f t="shared" si="66"/>
        <v>106469970</v>
      </c>
      <c r="X143" s="284">
        <f t="shared" si="66"/>
        <v>2122065924</v>
      </c>
      <c r="Y143" s="284">
        <f t="shared" si="66"/>
        <v>103852085</v>
      </c>
      <c r="Z143" s="284">
        <f t="shared" si="66"/>
        <v>2426810968</v>
      </c>
      <c r="AA143" s="302">
        <f t="shared" si="66"/>
        <v>114167724</v>
      </c>
      <c r="AB143" s="302">
        <f>SUM(AB139:AB140)</f>
        <v>2978716127</v>
      </c>
      <c r="AC143" s="258">
        <f t="shared" ref="AC143:AJ143" si="67">SUM(AC139:AC142)</f>
        <v>108147133</v>
      </c>
      <c r="AD143" s="258">
        <f t="shared" si="67"/>
        <v>2921975612</v>
      </c>
      <c r="AE143" s="288">
        <f t="shared" si="67"/>
        <v>116338708</v>
      </c>
      <c r="AF143" s="288">
        <f t="shared" si="67"/>
        <v>2996734873</v>
      </c>
      <c r="AG143" s="288">
        <f t="shared" si="67"/>
        <v>124263306</v>
      </c>
      <c r="AH143" s="288">
        <f t="shared" si="67"/>
        <v>2630614908</v>
      </c>
      <c r="AI143" s="288">
        <f t="shared" si="67"/>
        <v>135965605</v>
      </c>
      <c r="AJ143" s="288">
        <f t="shared" si="67"/>
        <v>2980689414</v>
      </c>
      <c r="AK143" s="288">
        <v>133651298</v>
      </c>
      <c r="AL143" s="288">
        <v>2924478383</v>
      </c>
      <c r="AM143" s="288">
        <f t="shared" ref="AM143:AZ143" si="68">SUM(AM139:AM142)</f>
        <v>151718593</v>
      </c>
      <c r="AN143" s="288">
        <f t="shared" si="68"/>
        <v>3633340681</v>
      </c>
      <c r="AO143" s="288">
        <f t="shared" si="68"/>
        <v>143751629</v>
      </c>
      <c r="AP143" s="288">
        <f t="shared" si="68"/>
        <v>4103921761</v>
      </c>
      <c r="AQ143" s="288">
        <f t="shared" si="68"/>
        <v>143005298</v>
      </c>
      <c r="AR143" s="288">
        <f t="shared" si="68"/>
        <v>3517167110</v>
      </c>
      <c r="AS143" s="288">
        <f t="shared" si="68"/>
        <v>158865617</v>
      </c>
      <c r="AT143" s="288">
        <f t="shared" si="68"/>
        <v>4365187513</v>
      </c>
      <c r="AU143" s="302">
        <f t="shared" si="68"/>
        <v>166014519</v>
      </c>
      <c r="AV143" s="302">
        <f t="shared" si="68"/>
        <v>5369712169</v>
      </c>
      <c r="AW143" s="258">
        <f t="shared" si="68"/>
        <v>171766816</v>
      </c>
      <c r="AX143" s="258">
        <f t="shared" si="68"/>
        <v>5064616295</v>
      </c>
      <c r="AY143" s="284">
        <f t="shared" si="68"/>
        <v>194747456</v>
      </c>
      <c r="AZ143" s="284">
        <f t="shared" si="68"/>
        <v>5061057210</v>
      </c>
      <c r="BA143" s="265"/>
      <c r="BB143" s="258"/>
      <c r="BC143" s="263"/>
      <c r="BD143" s="258"/>
      <c r="BE143" s="263"/>
      <c r="BF143" s="258"/>
      <c r="BG143" s="263"/>
      <c r="BH143" s="258"/>
      <c r="BI143" s="263"/>
      <c r="BJ143" s="258">
        <f t="shared" si="64"/>
        <v>3635363318</v>
      </c>
      <c r="BK143" s="250">
        <f>D143+H143+J143+L143+N143+P143+R143+T143+V143+X143+Z143+AB143+AD143+AF143+AH143+AJ143+AL143+AN143+AP143+AR143+AT143+AV143+AX143+AZ143+BD143+BH143</f>
        <v>74708268433</v>
      </c>
      <c r="BL143" s="172"/>
      <c r="BM143" s="172"/>
      <c r="BN143" s="172"/>
      <c r="BO143" s="231"/>
      <c r="BP143" s="231"/>
      <c r="BQ143" s="172"/>
      <c r="BR143" s="172"/>
      <c r="BS143" s="172"/>
      <c r="BT143" s="172"/>
      <c r="BU143" s="172"/>
      <c r="BV143" s="172"/>
      <c r="BW143" s="172"/>
      <c r="BX143" s="172"/>
      <c r="BY143" s="172"/>
      <c r="BZ143" s="172"/>
      <c r="CA143" s="172"/>
      <c r="CB143" s="172"/>
      <c r="CC143" s="172"/>
      <c r="CD143" s="172"/>
      <c r="CE143" s="172"/>
      <c r="CF143" s="172"/>
      <c r="CG143" s="172"/>
      <c r="CH143" s="172"/>
      <c r="CI143" s="172"/>
      <c r="CJ143" s="172"/>
      <c r="CK143" s="172"/>
      <c r="CL143" s="172"/>
      <c r="CM143" s="172"/>
      <c r="CN143" s="172"/>
      <c r="CO143" s="172"/>
      <c r="CP143" s="172"/>
      <c r="CQ143" s="172"/>
      <c r="CR143" s="172"/>
      <c r="CS143" s="172"/>
      <c r="CT143" s="172"/>
      <c r="CU143" s="172"/>
      <c r="CV143" s="172"/>
      <c r="CW143" s="172"/>
      <c r="CX143" s="172"/>
      <c r="CY143" s="172"/>
      <c r="CZ143" s="172"/>
      <c r="DA143" s="172"/>
      <c r="DB143" s="172"/>
      <c r="DC143" s="172"/>
      <c r="DD143" s="172"/>
      <c r="DE143" s="172"/>
      <c r="DF143" s="172"/>
      <c r="DG143" s="172"/>
      <c r="DH143" s="172"/>
      <c r="DI143" s="172"/>
      <c r="DJ143" s="172"/>
      <c r="DK143" s="172"/>
      <c r="DL143" s="172"/>
      <c r="DM143" s="172"/>
      <c r="DN143" s="172"/>
      <c r="DO143" s="172"/>
      <c r="DP143" s="172"/>
      <c r="DQ143" s="172"/>
      <c r="DR143" s="172"/>
      <c r="DS143" s="172"/>
      <c r="DT143" s="172"/>
      <c r="DU143" s="172"/>
      <c r="DV143" s="172"/>
      <c r="DW143" s="172"/>
      <c r="DX143" s="172"/>
      <c r="DY143" s="172"/>
      <c r="DZ143" s="172"/>
      <c r="EA143" s="172"/>
      <c r="EB143" s="172"/>
      <c r="EC143" s="172"/>
      <c r="ED143" s="172"/>
      <c r="EE143" s="172"/>
      <c r="EF143" s="172"/>
      <c r="EG143" s="172"/>
      <c r="EH143" s="172"/>
      <c r="EI143" s="172"/>
      <c r="EJ143" s="172"/>
      <c r="EK143" s="172"/>
      <c r="EL143" s="172"/>
      <c r="EM143" s="172"/>
      <c r="EN143" s="172"/>
      <c r="EO143" s="172"/>
      <c r="EP143" s="172"/>
      <c r="EQ143" s="172"/>
      <c r="ER143" s="172"/>
      <c r="ES143" s="172"/>
      <c r="ET143" s="172"/>
      <c r="EU143" s="172"/>
      <c r="EV143" s="172"/>
      <c r="EW143" s="172"/>
      <c r="EX143" s="172"/>
      <c r="EY143" s="172"/>
      <c r="EZ143" s="172"/>
      <c r="FA143" s="172"/>
      <c r="FB143" s="172"/>
      <c r="FC143" s="172"/>
      <c r="FD143" s="172"/>
      <c r="FE143" s="172"/>
      <c r="FF143" s="172"/>
      <c r="FG143" s="172"/>
      <c r="FH143" s="172"/>
      <c r="FI143" s="172"/>
      <c r="FJ143" s="172"/>
      <c r="FK143" s="172"/>
      <c r="FL143" s="172"/>
      <c r="FM143" s="172"/>
      <c r="FN143" s="172"/>
      <c r="FO143" s="172"/>
      <c r="FP143" s="172"/>
      <c r="FQ143" s="172"/>
      <c r="FR143" s="172"/>
      <c r="FS143" s="172"/>
      <c r="FT143" s="172"/>
      <c r="FU143" s="172"/>
      <c r="FV143" s="172"/>
      <c r="FW143" s="172"/>
      <c r="FX143" s="172"/>
      <c r="FY143" s="172"/>
      <c r="FZ143" s="172"/>
      <c r="GA143" s="172"/>
      <c r="GB143" s="172"/>
      <c r="GC143" s="172"/>
      <c r="GD143" s="172"/>
      <c r="GE143" s="172"/>
      <c r="GF143" s="172"/>
      <c r="GG143" s="172"/>
      <c r="GH143" s="172"/>
      <c r="GI143" s="172"/>
      <c r="GJ143" s="172"/>
      <c r="GK143" s="172"/>
      <c r="GL143" s="172"/>
      <c r="GM143" s="172"/>
      <c r="GN143" s="172"/>
      <c r="GO143" s="172"/>
      <c r="GP143" s="172"/>
      <c r="GQ143" s="172"/>
      <c r="GR143" s="172"/>
      <c r="GS143" s="172"/>
      <c r="GT143" s="172"/>
      <c r="GU143" s="172"/>
      <c r="GV143" s="172"/>
      <c r="GW143" s="172"/>
      <c r="GX143" s="172"/>
      <c r="GY143" s="172"/>
      <c r="GZ143" s="172"/>
      <c r="HA143" s="172"/>
      <c r="HB143" s="172"/>
      <c r="HC143" s="172"/>
      <c r="HD143" s="172"/>
      <c r="HE143" s="172"/>
      <c r="HF143" s="172"/>
      <c r="HG143" s="172"/>
      <c r="HH143" s="172"/>
      <c r="HI143" s="172"/>
      <c r="HJ143" s="172"/>
      <c r="HK143" s="172"/>
      <c r="HL143" s="172"/>
      <c r="HM143" s="172"/>
      <c r="HN143" s="172"/>
      <c r="HO143" s="172"/>
      <c r="HP143" s="172"/>
      <c r="HQ143" s="172"/>
      <c r="HR143" s="172"/>
      <c r="HS143" s="172"/>
      <c r="HT143" s="172"/>
      <c r="HU143" s="172"/>
      <c r="HV143" s="172"/>
      <c r="HW143" s="172"/>
      <c r="HX143" s="172"/>
      <c r="HY143" s="172"/>
      <c r="HZ143" s="172"/>
      <c r="IA143" s="172"/>
      <c r="IB143" s="172"/>
      <c r="IC143" s="172"/>
      <c r="ID143" s="172"/>
      <c r="IE143" s="172"/>
      <c r="IF143" s="172"/>
      <c r="IG143" s="172"/>
      <c r="IH143" s="172"/>
      <c r="II143" s="172"/>
      <c r="IJ143" s="172"/>
      <c r="IK143" s="172"/>
      <c r="IL143" s="172"/>
      <c r="IM143" s="172"/>
      <c r="IN143" s="172"/>
      <c r="IO143" s="172"/>
      <c r="IP143" s="172"/>
      <c r="IQ143" s="172"/>
      <c r="IR143" s="172"/>
      <c r="IS143" s="172"/>
      <c r="IT143" s="172"/>
      <c r="IU143" s="172"/>
      <c r="IV143" s="172"/>
      <c r="IW143" s="172"/>
      <c r="IX143" s="172"/>
      <c r="IY143" s="172"/>
      <c r="IZ143" s="172"/>
      <c r="JA143" s="172"/>
      <c r="JB143" s="172"/>
      <c r="JC143" s="172"/>
      <c r="JD143" s="172"/>
      <c r="JE143" s="172"/>
      <c r="JF143" s="172"/>
      <c r="JG143" s="172"/>
      <c r="JH143" s="172"/>
      <c r="JI143" s="172"/>
      <c r="JJ143" s="172"/>
      <c r="JK143" s="172"/>
      <c r="JL143" s="172"/>
      <c r="JM143" s="172"/>
      <c r="JN143" s="172"/>
      <c r="JO143" s="172"/>
      <c r="JP143" s="172"/>
      <c r="JQ143" s="172"/>
      <c r="JR143" s="172"/>
      <c r="JS143" s="172"/>
      <c r="JT143" s="172"/>
      <c r="JU143" s="172"/>
      <c r="JV143" s="172"/>
      <c r="JW143" s="172"/>
      <c r="JX143" s="172"/>
      <c r="JY143" s="172"/>
      <c r="JZ143" s="172"/>
      <c r="KA143" s="172"/>
      <c r="KB143" s="172"/>
      <c r="KC143" s="172"/>
      <c r="KD143" s="172"/>
      <c r="KE143" s="172"/>
      <c r="KF143" s="172"/>
      <c r="KG143" s="172"/>
      <c r="KH143" s="172"/>
      <c r="KI143" s="172"/>
      <c r="KJ143" s="172"/>
      <c r="KK143" s="172"/>
      <c r="KL143" s="172"/>
      <c r="KM143" s="172"/>
      <c r="KN143" s="172"/>
      <c r="KO143" s="172"/>
      <c r="KP143" s="172"/>
      <c r="KQ143" s="172"/>
      <c r="KR143" s="172"/>
      <c r="KS143" s="172"/>
      <c r="KT143" s="172"/>
      <c r="KU143" s="172"/>
      <c r="KV143" s="172"/>
      <c r="KW143" s="172"/>
      <c r="KX143" s="172"/>
      <c r="KY143" s="172"/>
      <c r="KZ143" s="172"/>
      <c r="LA143" s="172"/>
      <c r="LB143" s="172"/>
      <c r="LC143" s="172"/>
      <c r="LD143" s="172"/>
      <c r="LE143" s="172"/>
      <c r="LF143" s="172"/>
      <c r="LG143" s="172"/>
      <c r="LH143" s="172"/>
      <c r="LI143" s="172"/>
      <c r="LJ143" s="172"/>
      <c r="LK143" s="172"/>
      <c r="LL143" s="172"/>
      <c r="LM143" s="172"/>
      <c r="LN143" s="172"/>
      <c r="LO143" s="172"/>
      <c r="LP143" s="172"/>
      <c r="LQ143" s="172"/>
      <c r="LR143" s="172"/>
      <c r="LS143" s="172"/>
      <c r="LT143" s="172"/>
      <c r="LU143" s="172"/>
      <c r="LV143" s="172"/>
      <c r="LW143" s="172"/>
      <c r="LX143" s="172"/>
      <c r="LY143" s="172"/>
      <c r="LZ143" s="172"/>
      <c r="MA143" s="172"/>
      <c r="MB143" s="172"/>
      <c r="MC143" s="172"/>
      <c r="MD143" s="172"/>
      <c r="ME143" s="172"/>
      <c r="MF143" s="172"/>
      <c r="MG143" s="172"/>
      <c r="MH143" s="172"/>
      <c r="MI143" s="172"/>
      <c r="MJ143" s="172"/>
      <c r="MK143" s="172"/>
      <c r="ML143" s="172"/>
      <c r="MM143" s="172"/>
      <c r="MN143" s="172"/>
      <c r="MO143" s="172"/>
      <c r="MP143" s="172"/>
      <c r="MQ143" s="172"/>
      <c r="MR143" s="172"/>
      <c r="MS143" s="172"/>
      <c r="MT143" s="172"/>
      <c r="MU143" s="172"/>
      <c r="MV143" s="172"/>
      <c r="MW143" s="172"/>
      <c r="MX143" s="172"/>
      <c r="MY143" s="172"/>
      <c r="MZ143" s="172"/>
      <c r="NA143" s="172"/>
      <c r="NB143" s="172"/>
      <c r="NC143" s="172"/>
      <c r="ND143" s="172"/>
      <c r="NE143" s="172"/>
      <c r="NF143" s="172"/>
      <c r="NG143" s="172"/>
      <c r="NH143" s="172"/>
      <c r="NI143" s="172"/>
      <c r="NJ143" s="172"/>
      <c r="NK143" s="172"/>
      <c r="NL143" s="172"/>
      <c r="NM143" s="172"/>
      <c r="NN143" s="172"/>
      <c r="NO143" s="172"/>
      <c r="NP143" s="172"/>
      <c r="NQ143" s="172"/>
      <c r="NR143" s="172"/>
      <c r="NS143" s="172"/>
      <c r="NT143" s="172"/>
      <c r="NU143" s="172"/>
      <c r="NV143" s="172"/>
      <c r="NW143" s="172"/>
      <c r="NX143" s="172"/>
      <c r="NY143" s="172"/>
      <c r="NZ143" s="172"/>
      <c r="OA143" s="172"/>
      <c r="OB143" s="172"/>
      <c r="OC143" s="172"/>
      <c r="OD143" s="172"/>
      <c r="OE143" s="172"/>
      <c r="OF143" s="172"/>
      <c r="OG143" s="172"/>
      <c r="OH143" s="172"/>
      <c r="OI143" s="172"/>
      <c r="OJ143" s="172"/>
      <c r="OK143" s="172"/>
      <c r="OL143" s="172"/>
      <c r="OM143" s="172"/>
      <c r="ON143" s="172"/>
      <c r="OO143" s="172"/>
      <c r="OP143" s="172"/>
      <c r="OQ143" s="172"/>
      <c r="OR143" s="172"/>
      <c r="OS143" s="172"/>
      <c r="OT143" s="172"/>
      <c r="OU143" s="172"/>
      <c r="OV143" s="172"/>
      <c r="OW143" s="172"/>
      <c r="OX143" s="172"/>
      <c r="OY143" s="172"/>
      <c r="OZ143" s="172"/>
      <c r="PA143" s="172"/>
      <c r="PB143" s="172"/>
      <c r="PC143" s="172"/>
      <c r="PD143" s="172"/>
      <c r="PE143" s="172"/>
      <c r="PF143" s="172"/>
      <c r="PG143" s="172"/>
      <c r="PH143" s="172"/>
      <c r="PI143" s="172"/>
      <c r="PJ143" s="172"/>
      <c r="PK143" s="172"/>
      <c r="PL143" s="172"/>
      <c r="PM143" s="172"/>
      <c r="PN143" s="172"/>
      <c r="PO143" s="172"/>
      <c r="PP143" s="172"/>
      <c r="PQ143" s="172"/>
      <c r="PR143" s="172"/>
      <c r="PS143" s="172"/>
      <c r="PT143" s="172"/>
      <c r="PU143" s="172"/>
      <c r="PV143" s="172"/>
      <c r="PW143" s="172"/>
      <c r="PX143" s="172"/>
      <c r="PY143" s="172"/>
      <c r="PZ143" s="172"/>
      <c r="QA143" s="172"/>
      <c r="QB143" s="172"/>
      <c r="QC143" s="172"/>
      <c r="QD143" s="172"/>
      <c r="QE143" s="172"/>
      <c r="QF143" s="172"/>
      <c r="QG143" s="172"/>
      <c r="QH143" s="172"/>
      <c r="QI143" s="172"/>
      <c r="QJ143" s="172"/>
      <c r="QK143" s="172"/>
      <c r="QL143" s="172"/>
      <c r="QM143" s="172"/>
      <c r="QN143" s="172"/>
      <c r="QO143" s="172"/>
      <c r="QP143" s="172"/>
      <c r="QQ143" s="172"/>
      <c r="QR143" s="172"/>
      <c r="QS143" s="172"/>
      <c r="QT143" s="172"/>
      <c r="QU143" s="172"/>
      <c r="QV143" s="172"/>
      <c r="QW143" s="172"/>
      <c r="QX143" s="172"/>
      <c r="QY143" s="172"/>
      <c r="QZ143" s="172"/>
      <c r="RA143" s="172"/>
      <c r="RB143" s="172"/>
      <c r="RC143" s="172"/>
      <c r="RD143" s="172"/>
      <c r="RE143" s="172"/>
      <c r="RF143" s="172"/>
      <c r="RG143" s="172"/>
      <c r="RH143" s="172"/>
      <c r="RI143" s="172"/>
      <c r="RJ143" s="172"/>
      <c r="RK143" s="172"/>
      <c r="RL143" s="172"/>
      <c r="RM143" s="172"/>
      <c r="RN143" s="172"/>
      <c r="RO143" s="172"/>
      <c r="RP143" s="172"/>
      <c r="RQ143" s="172"/>
      <c r="RR143" s="172"/>
      <c r="RS143" s="172"/>
      <c r="RT143" s="172"/>
      <c r="RU143" s="172"/>
      <c r="RV143" s="172"/>
      <c r="RW143" s="172"/>
      <c r="RX143" s="172"/>
      <c r="RY143" s="172"/>
      <c r="RZ143" s="172"/>
      <c r="SA143" s="172"/>
      <c r="SB143" s="172"/>
      <c r="SC143" s="172"/>
      <c r="SD143" s="172"/>
      <c r="SE143" s="172"/>
      <c r="SF143" s="172"/>
      <c r="SG143" s="172"/>
      <c r="SH143" s="172"/>
      <c r="SI143" s="172"/>
      <c r="SJ143" s="172"/>
      <c r="SK143" s="172"/>
      <c r="SL143" s="172"/>
      <c r="SM143" s="172"/>
      <c r="SN143" s="172"/>
      <c r="SO143" s="172"/>
      <c r="SP143" s="172"/>
      <c r="SQ143" s="172"/>
      <c r="SR143" s="172"/>
      <c r="SS143" s="172"/>
      <c r="ST143" s="172"/>
      <c r="SU143" s="172"/>
      <c r="SV143" s="172"/>
      <c r="SW143" s="172"/>
      <c r="SX143" s="172"/>
      <c r="SY143" s="172"/>
      <c r="SZ143" s="172"/>
      <c r="TA143" s="172"/>
      <c r="TB143" s="172"/>
      <c r="TC143" s="172"/>
      <c r="TD143" s="172"/>
      <c r="TE143" s="172"/>
      <c r="TF143" s="172"/>
      <c r="TG143" s="172"/>
      <c r="TH143" s="172"/>
      <c r="TI143" s="172"/>
      <c r="TJ143" s="172"/>
      <c r="TK143" s="172"/>
      <c r="TL143" s="172"/>
      <c r="TM143" s="172"/>
      <c r="TN143" s="172"/>
      <c r="TO143" s="172"/>
      <c r="TP143" s="172"/>
      <c r="TQ143" s="172"/>
      <c r="TR143" s="172"/>
      <c r="TS143" s="172"/>
      <c r="TT143" s="172"/>
      <c r="TU143" s="172"/>
      <c r="TV143" s="172"/>
      <c r="TW143" s="172"/>
      <c r="TX143" s="172"/>
      <c r="TY143" s="172"/>
      <c r="TZ143" s="172"/>
      <c r="UA143" s="172"/>
      <c r="UB143" s="172"/>
      <c r="UC143" s="172"/>
      <c r="UD143" s="172"/>
      <c r="UE143" s="172"/>
      <c r="UF143" s="172"/>
      <c r="UG143" s="172"/>
      <c r="UH143" s="172"/>
      <c r="UI143" s="172"/>
      <c r="UJ143" s="172"/>
      <c r="UK143" s="172"/>
      <c r="UL143" s="172"/>
      <c r="UM143" s="172"/>
      <c r="UN143" s="172"/>
      <c r="UO143" s="172"/>
      <c r="UP143" s="172"/>
      <c r="UQ143" s="172"/>
      <c r="UR143" s="172"/>
      <c r="US143" s="172"/>
      <c r="UT143" s="172"/>
      <c r="UU143" s="172"/>
      <c r="UV143" s="172"/>
      <c r="UW143" s="172"/>
      <c r="UX143" s="172"/>
      <c r="UY143" s="172"/>
      <c r="UZ143" s="172"/>
      <c r="VA143" s="172"/>
      <c r="VB143" s="172"/>
      <c r="VC143" s="172"/>
      <c r="VD143" s="172"/>
      <c r="VE143" s="172"/>
      <c r="VF143" s="172"/>
      <c r="VG143" s="172"/>
      <c r="VH143" s="172"/>
      <c r="VI143" s="172"/>
      <c r="VJ143" s="172"/>
      <c r="VK143" s="172"/>
      <c r="VL143" s="172"/>
      <c r="VM143" s="172"/>
      <c r="VN143" s="172"/>
      <c r="VO143" s="172"/>
      <c r="VP143" s="172"/>
      <c r="VQ143" s="172"/>
      <c r="VR143" s="172"/>
      <c r="VS143" s="172"/>
      <c r="VT143" s="172"/>
      <c r="VU143" s="172"/>
      <c r="VV143" s="172"/>
      <c r="VW143" s="172"/>
      <c r="VX143" s="172"/>
      <c r="VY143" s="172"/>
      <c r="VZ143" s="172"/>
      <c r="WA143" s="172"/>
      <c r="WB143" s="172"/>
      <c r="WC143" s="172"/>
      <c r="WD143" s="172"/>
      <c r="WE143" s="172"/>
      <c r="WF143" s="172"/>
      <c r="WG143" s="172"/>
      <c r="WH143" s="172"/>
      <c r="WI143" s="172"/>
      <c r="WJ143" s="172"/>
      <c r="WK143" s="172"/>
      <c r="WL143" s="172"/>
      <c r="WM143" s="172"/>
      <c r="WN143" s="172"/>
      <c r="WO143" s="172"/>
      <c r="WP143" s="172"/>
      <c r="WQ143" s="172"/>
      <c r="WR143" s="172"/>
      <c r="WS143" s="172"/>
      <c r="WT143" s="172"/>
      <c r="WU143" s="172"/>
      <c r="WV143" s="172"/>
      <c r="WW143" s="172"/>
      <c r="WX143" s="172"/>
      <c r="WY143" s="172"/>
      <c r="WZ143" s="172"/>
      <c r="XA143" s="172"/>
      <c r="XB143" s="172"/>
      <c r="XC143" s="172"/>
      <c r="XD143" s="172"/>
      <c r="XE143" s="172"/>
      <c r="XF143" s="172"/>
      <c r="XG143" s="172"/>
      <c r="XH143" s="172"/>
      <c r="XI143" s="172"/>
      <c r="XJ143" s="172"/>
      <c r="XK143" s="172"/>
      <c r="XL143" s="172"/>
      <c r="XM143" s="172"/>
      <c r="XN143" s="172"/>
      <c r="XO143" s="172"/>
      <c r="XP143" s="172"/>
      <c r="XQ143" s="172"/>
      <c r="XR143" s="172"/>
      <c r="XS143" s="172"/>
      <c r="XT143" s="172"/>
      <c r="XU143" s="172"/>
      <c r="XV143" s="172"/>
      <c r="XW143" s="172"/>
      <c r="XX143" s="172"/>
      <c r="XY143" s="172"/>
      <c r="XZ143" s="172"/>
      <c r="YA143" s="172"/>
      <c r="YB143" s="172"/>
      <c r="YC143" s="172"/>
      <c r="YD143" s="172"/>
      <c r="YE143" s="172"/>
      <c r="YF143" s="172"/>
      <c r="YG143" s="172"/>
      <c r="YH143" s="172"/>
      <c r="YI143" s="172"/>
      <c r="YJ143" s="172"/>
      <c r="YK143" s="172"/>
      <c r="YL143" s="172"/>
      <c r="YM143" s="172"/>
      <c r="YN143" s="172"/>
      <c r="YO143" s="172"/>
      <c r="YP143" s="172"/>
      <c r="YQ143" s="172"/>
      <c r="YR143" s="172"/>
      <c r="YS143" s="172"/>
      <c r="YT143" s="172"/>
      <c r="YU143" s="172"/>
      <c r="YV143" s="172"/>
      <c r="YW143" s="172"/>
      <c r="YX143" s="172"/>
      <c r="YY143" s="172"/>
      <c r="YZ143" s="172"/>
      <c r="ZA143" s="172"/>
      <c r="ZB143" s="172"/>
      <c r="ZC143" s="172"/>
      <c r="ZD143" s="172"/>
      <c r="ZE143" s="172"/>
      <c r="ZF143" s="172"/>
      <c r="ZG143" s="172"/>
      <c r="ZH143" s="172"/>
      <c r="ZI143" s="172"/>
      <c r="ZJ143" s="172"/>
      <c r="ZK143" s="172"/>
      <c r="ZL143" s="172"/>
      <c r="ZM143" s="172"/>
      <c r="ZN143" s="172"/>
      <c r="ZO143" s="172"/>
      <c r="ZP143" s="172"/>
      <c r="ZQ143" s="172"/>
      <c r="ZR143" s="172"/>
      <c r="ZS143" s="172"/>
      <c r="ZT143" s="172"/>
      <c r="ZU143" s="172"/>
      <c r="ZV143" s="172"/>
      <c r="ZW143" s="172"/>
      <c r="ZX143" s="172"/>
      <c r="ZY143" s="172"/>
      <c r="ZZ143" s="172"/>
      <c r="AAA143" s="172"/>
      <c r="AAB143" s="172"/>
      <c r="AAC143" s="172"/>
      <c r="AAD143" s="172"/>
      <c r="AAE143" s="172"/>
      <c r="AAF143" s="172"/>
      <c r="AAG143" s="172"/>
      <c r="AAH143" s="172"/>
      <c r="AAI143" s="172"/>
      <c r="AAJ143" s="172"/>
      <c r="AAK143" s="172"/>
      <c r="AAL143" s="172"/>
      <c r="AAM143" s="172"/>
      <c r="AAN143" s="172"/>
      <c r="AAO143" s="172"/>
      <c r="AAP143" s="172"/>
      <c r="AAQ143" s="172"/>
      <c r="AAR143" s="172"/>
      <c r="AAS143" s="172"/>
      <c r="AAT143" s="172"/>
      <c r="AAU143" s="172"/>
      <c r="AAV143" s="172"/>
      <c r="AAW143" s="172"/>
      <c r="AAX143" s="172"/>
      <c r="AAY143" s="172"/>
      <c r="AAZ143" s="172"/>
      <c r="ABA143" s="172"/>
      <c r="ABB143" s="172"/>
      <c r="ABC143" s="172"/>
      <c r="ABD143" s="172"/>
      <c r="ABE143" s="172"/>
      <c r="ABF143" s="172"/>
      <c r="ABG143" s="172"/>
      <c r="ABH143" s="172"/>
      <c r="ABI143" s="172"/>
      <c r="ABJ143" s="172"/>
      <c r="ABK143" s="172"/>
      <c r="ABL143" s="172"/>
      <c r="ABM143" s="172"/>
      <c r="ABN143" s="172"/>
      <c r="ABO143" s="172"/>
      <c r="ABP143" s="172"/>
      <c r="ABQ143" s="172"/>
      <c r="ABR143" s="172"/>
      <c r="ABS143" s="172"/>
      <c r="ABT143" s="172"/>
      <c r="ABU143" s="172"/>
      <c r="ABV143" s="172"/>
      <c r="ABW143" s="172"/>
      <c r="ABX143" s="172"/>
      <c r="ABY143" s="172"/>
      <c r="ABZ143" s="172"/>
      <c r="ACA143" s="172"/>
      <c r="ACB143" s="172"/>
      <c r="ACC143" s="172"/>
      <c r="ACD143" s="172"/>
      <c r="ACE143" s="172"/>
      <c r="ACF143" s="172"/>
      <c r="ACG143" s="172"/>
      <c r="ACH143" s="172"/>
      <c r="ACI143" s="172"/>
      <c r="ACJ143" s="172"/>
      <c r="ACK143" s="172"/>
      <c r="ACL143" s="172"/>
      <c r="ACM143" s="172"/>
      <c r="ACN143" s="172"/>
      <c r="ACO143" s="172"/>
      <c r="ACP143" s="172"/>
      <c r="ACQ143" s="172"/>
      <c r="ACR143" s="172"/>
      <c r="ACS143" s="172"/>
      <c r="ACT143" s="172"/>
      <c r="ACU143" s="172"/>
      <c r="ACV143" s="172"/>
      <c r="ACW143" s="172"/>
      <c r="ACX143" s="172"/>
      <c r="ACY143" s="172"/>
      <c r="ACZ143" s="172"/>
      <c r="ADA143" s="172"/>
      <c r="ADB143" s="172"/>
      <c r="ADC143" s="172"/>
      <c r="ADD143" s="172"/>
      <c r="ADE143" s="172"/>
      <c r="ADF143" s="172"/>
      <c r="ADG143" s="172"/>
      <c r="ADH143" s="172"/>
      <c r="ADI143" s="172"/>
      <c r="ADJ143" s="172"/>
      <c r="ADK143" s="172"/>
      <c r="ADL143" s="172"/>
      <c r="ADM143" s="172"/>
      <c r="ADN143" s="172"/>
      <c r="ADO143" s="172"/>
      <c r="ADP143" s="172"/>
      <c r="ADQ143" s="172"/>
      <c r="ADR143" s="172"/>
      <c r="ADS143" s="172"/>
      <c r="ADT143" s="172"/>
      <c r="ADU143" s="172"/>
      <c r="ADV143" s="172"/>
      <c r="ADW143" s="172"/>
      <c r="ADX143" s="172"/>
      <c r="ADY143" s="172"/>
      <c r="ADZ143" s="172"/>
      <c r="AEA143" s="172"/>
      <c r="AEB143" s="172"/>
      <c r="AEC143" s="172"/>
      <c r="AED143" s="172"/>
      <c r="AEE143" s="172"/>
      <c r="AEF143" s="172"/>
      <c r="AEG143" s="172"/>
      <c r="AEH143" s="172"/>
      <c r="AEI143" s="172"/>
      <c r="AEJ143" s="172"/>
      <c r="AEK143" s="172"/>
      <c r="AEL143" s="172"/>
      <c r="AEM143" s="172"/>
      <c r="AEN143" s="172"/>
      <c r="AEO143" s="172"/>
      <c r="AEP143" s="172"/>
      <c r="AEQ143" s="172"/>
      <c r="AER143" s="172"/>
      <c r="AES143" s="172"/>
      <c r="AET143" s="172"/>
      <c r="AEU143" s="172"/>
      <c r="AEV143" s="172"/>
      <c r="AEW143" s="172"/>
      <c r="AEX143" s="172"/>
      <c r="AEY143" s="172"/>
      <c r="AEZ143" s="172"/>
      <c r="AFA143" s="172"/>
      <c r="AFB143" s="172"/>
      <c r="AFC143" s="172"/>
      <c r="AFD143" s="172"/>
      <c r="AFE143" s="172"/>
      <c r="AFF143" s="172"/>
      <c r="AFG143" s="172"/>
      <c r="AFH143" s="172"/>
      <c r="AFI143" s="172"/>
      <c r="AFJ143" s="172"/>
      <c r="AFK143" s="172"/>
      <c r="AFL143" s="172"/>
      <c r="AFM143" s="172"/>
      <c r="AFN143" s="172"/>
      <c r="AFO143" s="172"/>
      <c r="AFP143" s="172"/>
      <c r="AFQ143" s="172"/>
      <c r="AFR143" s="172"/>
      <c r="AFS143" s="172"/>
      <c r="AFT143" s="172"/>
      <c r="AFU143" s="172"/>
      <c r="AFV143" s="172"/>
      <c r="AFW143" s="172"/>
      <c r="AFX143" s="172"/>
      <c r="AFY143" s="172"/>
      <c r="AFZ143" s="172"/>
      <c r="AGA143" s="172"/>
      <c r="AGB143" s="172"/>
      <c r="AGC143" s="172"/>
      <c r="AGD143" s="172"/>
      <c r="AGE143" s="172"/>
      <c r="AGF143" s="172"/>
      <c r="AGG143" s="172"/>
      <c r="AGH143" s="172"/>
      <c r="AGI143" s="172"/>
      <c r="AGJ143" s="172"/>
      <c r="AGK143" s="172"/>
      <c r="AGL143" s="172"/>
      <c r="AGM143" s="172"/>
      <c r="AGN143" s="172"/>
      <c r="AGO143" s="172"/>
      <c r="AGP143" s="172"/>
      <c r="AGQ143" s="172"/>
      <c r="AGR143" s="172"/>
      <c r="AGS143" s="172"/>
      <c r="AGT143" s="172"/>
      <c r="AGU143" s="172"/>
      <c r="AGV143" s="172"/>
      <c r="AGW143" s="172"/>
      <c r="AGX143" s="172"/>
      <c r="AGY143" s="172"/>
      <c r="AGZ143" s="172"/>
      <c r="AHA143" s="172"/>
      <c r="AHB143" s="172"/>
      <c r="AHC143" s="172"/>
      <c r="AHD143" s="172"/>
      <c r="AHE143" s="172"/>
      <c r="AHF143" s="172"/>
      <c r="AHG143" s="172"/>
      <c r="AHH143" s="172"/>
      <c r="AHI143" s="172"/>
      <c r="AHJ143" s="172"/>
      <c r="AHK143" s="172"/>
      <c r="AHL143" s="172"/>
      <c r="AHM143" s="172"/>
      <c r="AHN143" s="172"/>
      <c r="AHO143" s="172"/>
      <c r="AHP143" s="172"/>
      <c r="AHQ143" s="172"/>
      <c r="AHR143" s="172"/>
      <c r="AHS143" s="172"/>
      <c r="AHT143" s="172"/>
      <c r="AHU143" s="172"/>
      <c r="AHV143" s="172"/>
      <c r="AHW143" s="172"/>
      <c r="AHX143" s="172"/>
      <c r="AHY143" s="172"/>
      <c r="AHZ143" s="172"/>
      <c r="AIA143" s="172"/>
      <c r="AIB143" s="172"/>
      <c r="AIC143" s="172"/>
      <c r="AID143" s="172"/>
      <c r="AIE143" s="172"/>
      <c r="AIF143" s="172"/>
      <c r="AIG143" s="172"/>
      <c r="AIH143" s="172"/>
      <c r="AII143" s="172"/>
      <c r="AIJ143" s="172"/>
      <c r="AIK143" s="172"/>
      <c r="AIL143" s="172"/>
      <c r="AIM143" s="172"/>
      <c r="AIN143" s="172"/>
      <c r="AIO143" s="172"/>
      <c r="AIP143" s="172"/>
      <c r="AIQ143" s="172"/>
      <c r="AIR143" s="172"/>
      <c r="AIS143" s="172"/>
      <c r="AIT143" s="172"/>
      <c r="AIU143" s="172"/>
      <c r="AIV143" s="172"/>
      <c r="AIW143" s="172"/>
      <c r="AIX143" s="172"/>
      <c r="AIY143" s="172"/>
      <c r="AIZ143" s="172"/>
      <c r="AJA143" s="172"/>
      <c r="AJB143" s="172"/>
      <c r="AJC143" s="172"/>
      <c r="AJD143" s="172"/>
      <c r="AJE143" s="172"/>
      <c r="AJF143" s="172"/>
      <c r="AJG143" s="172"/>
      <c r="AJH143" s="172"/>
      <c r="AJI143" s="172"/>
      <c r="AJJ143" s="172"/>
      <c r="AJK143" s="172"/>
      <c r="AJL143" s="172"/>
      <c r="AJM143" s="172"/>
      <c r="AJN143" s="172"/>
      <c r="AJO143" s="172"/>
      <c r="AJP143" s="172"/>
      <c r="AJQ143" s="172"/>
      <c r="AJR143" s="172"/>
      <c r="AJS143" s="172"/>
      <c r="AJT143" s="172"/>
      <c r="AJU143" s="172"/>
      <c r="AJV143" s="172"/>
      <c r="AJW143" s="172"/>
      <c r="AJX143" s="172"/>
      <c r="AJY143" s="172"/>
      <c r="AJZ143" s="172"/>
      <c r="AKA143" s="172"/>
      <c r="AKB143" s="172"/>
      <c r="AKC143" s="172"/>
      <c r="AKD143" s="172"/>
      <c r="AKE143" s="172"/>
      <c r="AKF143" s="172"/>
      <c r="AKG143" s="172"/>
      <c r="AKH143" s="172"/>
      <c r="AKI143" s="172"/>
      <c r="AKJ143" s="172"/>
      <c r="AKK143" s="172"/>
      <c r="AKL143" s="172"/>
      <c r="AKM143" s="172"/>
      <c r="AKN143" s="172"/>
      <c r="AKO143" s="172"/>
      <c r="AKP143" s="172"/>
      <c r="AKQ143" s="172"/>
      <c r="AKR143" s="172"/>
      <c r="AKS143" s="172"/>
      <c r="AKT143" s="172"/>
      <c r="AKU143" s="172"/>
      <c r="AKV143" s="172"/>
      <c r="AKW143" s="172"/>
      <c r="AKX143" s="172"/>
      <c r="AKY143" s="172"/>
      <c r="AKZ143" s="172"/>
      <c r="ALA143" s="172"/>
      <c r="ALB143" s="172"/>
      <c r="ALC143" s="172"/>
      <c r="ALD143" s="172"/>
      <c r="ALE143" s="172"/>
      <c r="ALF143" s="172"/>
      <c r="ALG143" s="172"/>
      <c r="ALH143" s="172"/>
      <c r="ALI143" s="172"/>
      <c r="ALJ143" s="172"/>
      <c r="ALK143" s="172"/>
      <c r="ALL143" s="172"/>
      <c r="ALM143" s="172"/>
      <c r="ALN143" s="172"/>
      <c r="ALO143" s="172"/>
      <c r="ALP143" s="172"/>
      <c r="ALQ143" s="172"/>
      <c r="ALR143" s="172"/>
      <c r="ALS143" s="172"/>
      <c r="ALT143" s="172"/>
      <c r="ALU143" s="172"/>
      <c r="ALV143" s="172"/>
      <c r="ALW143" s="172"/>
      <c r="ALX143" s="172"/>
      <c r="ALY143" s="172"/>
      <c r="ALZ143" s="172"/>
      <c r="AMA143" s="172"/>
      <c r="AMB143" s="172"/>
      <c r="AMC143" s="172"/>
      <c r="AMD143" s="172"/>
      <c r="AME143" s="172"/>
      <c r="AMF143" s="172"/>
      <c r="AMG143" s="172"/>
      <c r="AMH143" s="172"/>
      <c r="AMI143" s="172"/>
      <c r="AMJ143" s="172"/>
      <c r="AMK143" s="172"/>
      <c r="AML143" s="172"/>
      <c r="AMM143" s="172"/>
      <c r="AMN143" s="172"/>
      <c r="AMO143" s="172"/>
      <c r="AMP143" s="172"/>
      <c r="AMQ143" s="172"/>
      <c r="AMR143" s="172"/>
      <c r="AMS143" s="172"/>
      <c r="AMT143" s="172"/>
      <c r="AMU143" s="172"/>
      <c r="AMV143" s="172"/>
      <c r="AMW143" s="172"/>
      <c r="AMX143" s="172"/>
      <c r="AMY143" s="172"/>
      <c r="AMZ143" s="172"/>
      <c r="ANA143" s="172"/>
      <c r="ANB143" s="172"/>
      <c r="ANC143" s="172"/>
      <c r="AND143" s="172"/>
      <c r="ANE143" s="172"/>
      <c r="ANF143" s="172"/>
      <c r="ANG143" s="172"/>
      <c r="ANH143" s="172"/>
      <c r="ANI143" s="172"/>
      <c r="ANJ143" s="172"/>
      <c r="ANK143" s="172"/>
      <c r="ANL143" s="172"/>
      <c r="ANM143" s="172"/>
      <c r="ANN143" s="172"/>
      <c r="ANO143" s="172"/>
      <c r="ANP143" s="172"/>
      <c r="ANQ143" s="172"/>
      <c r="ANR143" s="172"/>
      <c r="ANS143" s="172"/>
      <c r="ANT143" s="172"/>
      <c r="ANU143" s="172"/>
      <c r="ANV143" s="172"/>
      <c r="ANW143" s="172"/>
      <c r="ANX143" s="172"/>
      <c r="ANY143" s="172"/>
      <c r="ANZ143" s="172"/>
      <c r="AOA143" s="172"/>
      <c r="AOB143" s="172"/>
      <c r="AOC143" s="172"/>
      <c r="AOD143" s="172"/>
      <c r="AOE143" s="172"/>
      <c r="AOF143" s="172"/>
      <c r="AOG143" s="172"/>
      <c r="AOH143" s="172"/>
      <c r="AOI143" s="172"/>
      <c r="AOJ143" s="172"/>
      <c r="AOK143" s="172"/>
      <c r="AOL143" s="172"/>
      <c r="AOM143" s="172"/>
      <c r="AON143" s="172"/>
      <c r="AOO143" s="172"/>
      <c r="AOP143" s="172"/>
      <c r="AOQ143" s="172"/>
      <c r="AOR143" s="172"/>
      <c r="AOS143" s="172"/>
      <c r="AOT143" s="172"/>
      <c r="AOU143" s="172"/>
      <c r="AOV143" s="172"/>
      <c r="AOW143" s="172"/>
      <c r="AOX143" s="172"/>
      <c r="AOY143" s="172"/>
      <c r="AOZ143" s="172"/>
      <c r="APA143" s="172"/>
      <c r="APB143" s="172"/>
      <c r="APC143" s="172"/>
      <c r="APD143" s="172"/>
      <c r="APE143" s="172"/>
      <c r="APF143" s="172"/>
      <c r="APG143" s="172"/>
      <c r="APH143" s="172"/>
      <c r="API143" s="172"/>
      <c r="APJ143" s="172"/>
      <c r="APK143" s="172"/>
      <c r="APL143" s="172"/>
      <c r="APM143" s="172"/>
      <c r="APN143" s="172"/>
      <c r="APO143" s="172"/>
      <c r="APP143" s="172"/>
      <c r="APQ143" s="172"/>
      <c r="APR143" s="172"/>
      <c r="APS143" s="172"/>
      <c r="APT143" s="172"/>
      <c r="APU143" s="172"/>
      <c r="APV143" s="172"/>
      <c r="APW143" s="172"/>
      <c r="APX143" s="172"/>
      <c r="APY143" s="172"/>
      <c r="APZ143" s="172"/>
      <c r="AQA143" s="172"/>
      <c r="AQB143" s="172"/>
      <c r="AQC143" s="172"/>
      <c r="AQD143" s="172"/>
      <c r="AQE143" s="172"/>
      <c r="AQF143" s="172"/>
      <c r="AQG143" s="172"/>
      <c r="AQH143" s="172"/>
      <c r="AQI143" s="172"/>
      <c r="AQJ143" s="172"/>
      <c r="AQK143" s="172"/>
      <c r="AQL143" s="172"/>
      <c r="AQM143" s="172"/>
      <c r="AQN143" s="172"/>
      <c r="AQO143" s="172"/>
      <c r="AQP143" s="172"/>
      <c r="AQQ143" s="172"/>
      <c r="AQR143" s="172"/>
      <c r="AQS143" s="172"/>
      <c r="AQT143" s="172"/>
      <c r="AQU143" s="172"/>
      <c r="AQV143" s="172"/>
      <c r="AQW143" s="172"/>
      <c r="AQX143" s="172"/>
      <c r="AQY143" s="172"/>
      <c r="AQZ143" s="172"/>
      <c r="ARA143" s="172"/>
      <c r="ARB143" s="172"/>
      <c r="ARC143" s="172"/>
      <c r="ARD143" s="172"/>
      <c r="ARE143" s="172"/>
      <c r="ARF143" s="172"/>
      <c r="ARG143" s="172"/>
      <c r="ARH143" s="172"/>
      <c r="ARI143" s="172"/>
      <c r="ARJ143" s="172"/>
      <c r="ARK143" s="172"/>
      <c r="ARL143" s="172"/>
      <c r="ARM143" s="172"/>
      <c r="ARN143" s="172"/>
      <c r="ARO143" s="172"/>
      <c r="ARP143" s="172"/>
      <c r="ARQ143" s="172"/>
      <c r="ARR143" s="172"/>
      <c r="ARS143" s="172"/>
      <c r="ART143" s="172"/>
      <c r="ARU143" s="172"/>
    </row>
    <row r="144" spans="1:1165">
      <c r="A144" s="220"/>
      <c r="B144" s="215"/>
      <c r="C144" s="284"/>
      <c r="D144" s="284"/>
      <c r="E144" s="284"/>
      <c r="F144" s="284"/>
      <c r="G144" s="284"/>
      <c r="H144" s="284"/>
      <c r="I144" s="284"/>
      <c r="J144" s="284"/>
      <c r="K144" s="284"/>
      <c r="L144" s="284"/>
      <c r="M144" s="284"/>
      <c r="N144" s="284"/>
      <c r="O144" s="284"/>
      <c r="P144" s="284"/>
      <c r="Q144" s="284"/>
      <c r="R144" s="284"/>
      <c r="S144" s="284"/>
      <c r="T144" s="284"/>
      <c r="U144" s="288"/>
      <c r="V144" s="288"/>
      <c r="W144" s="227"/>
      <c r="X144" s="227"/>
      <c r="Y144" s="288"/>
      <c r="Z144" s="288"/>
      <c r="AA144" s="288"/>
      <c r="AB144" s="288"/>
      <c r="AC144" s="258"/>
      <c r="AD144" s="258"/>
      <c r="AE144" s="288"/>
      <c r="AF144" s="288"/>
      <c r="AG144" s="288"/>
      <c r="AH144" s="288"/>
      <c r="AI144" s="288"/>
      <c r="AJ144" s="288"/>
      <c r="AK144" s="288"/>
      <c r="AL144" s="288"/>
      <c r="AM144" s="288"/>
      <c r="AN144" s="288"/>
      <c r="AO144" s="288"/>
      <c r="AP144" s="288"/>
      <c r="AQ144" s="262"/>
      <c r="AR144" s="262"/>
      <c r="AS144" s="288"/>
      <c r="AT144" s="288"/>
      <c r="AU144" s="302"/>
      <c r="AV144" s="302"/>
      <c r="AW144" s="256"/>
      <c r="AX144" s="256"/>
      <c r="AY144" s="255"/>
      <c r="AZ144" s="255"/>
      <c r="BA144" s="262"/>
      <c r="BB144" s="284"/>
      <c r="BC144" s="284"/>
      <c r="BD144" s="284"/>
      <c r="BE144" s="284"/>
      <c r="BF144" s="284"/>
      <c r="BG144" s="284"/>
      <c r="BH144" s="284"/>
      <c r="BI144" s="262"/>
      <c r="BJ144" s="284"/>
      <c r="BK144" s="284"/>
      <c r="BL144" s="172"/>
      <c r="BM144" s="231"/>
      <c r="BP144" s="231"/>
    </row>
    <row r="145" spans="1:1165">
      <c r="A145" s="204" t="s">
        <v>253</v>
      </c>
      <c r="B145" s="139"/>
      <c r="C145" s="281"/>
      <c r="D145" s="281"/>
      <c r="E145" s="219"/>
      <c r="F145" s="219"/>
      <c r="G145" s="219"/>
      <c r="H145" s="219"/>
      <c r="I145" s="219"/>
      <c r="J145" s="219"/>
      <c r="K145" s="219"/>
      <c r="L145" s="219"/>
      <c r="M145" s="219"/>
      <c r="N145" s="219"/>
      <c r="O145" s="219"/>
      <c r="P145" s="219"/>
      <c r="Q145" s="219"/>
      <c r="R145" s="219"/>
      <c r="S145" s="219"/>
      <c r="T145" s="219"/>
      <c r="U145" s="219"/>
      <c r="V145" s="219"/>
      <c r="W145" s="200"/>
      <c r="X145" s="200"/>
      <c r="Y145" s="200"/>
      <c r="Z145" s="200"/>
      <c r="AA145" s="200"/>
      <c r="AB145" s="200"/>
      <c r="AC145" s="208"/>
      <c r="AD145" s="208"/>
      <c r="AE145" s="200"/>
      <c r="AF145" s="200"/>
      <c r="AG145" s="200"/>
      <c r="AH145" s="200"/>
      <c r="AI145" s="200"/>
      <c r="AJ145" s="200"/>
      <c r="AK145" s="200"/>
      <c r="AL145" s="200"/>
      <c r="AM145" s="200"/>
      <c r="AN145" s="200"/>
      <c r="AO145" s="200"/>
      <c r="AP145" s="200"/>
      <c r="AQ145" s="200"/>
      <c r="AR145" s="200"/>
      <c r="AS145" s="200"/>
      <c r="AT145" s="200"/>
      <c r="AU145" s="230"/>
      <c r="AV145" s="230"/>
      <c r="AW145" s="249"/>
      <c r="AX145" s="249"/>
      <c r="AY145" s="248"/>
      <c r="AZ145" s="248"/>
      <c r="BA145" s="283"/>
      <c r="BB145" s="219"/>
      <c r="BC145" s="219"/>
      <c r="BD145" s="219"/>
      <c r="BE145" s="219"/>
      <c r="BF145" s="219"/>
      <c r="BG145" s="219"/>
      <c r="BH145" s="219"/>
      <c r="BI145" s="283"/>
      <c r="BJ145" s="219"/>
      <c r="BK145" s="219"/>
      <c r="BL145" s="172"/>
      <c r="BM145" s="231"/>
      <c r="BN145" s="231"/>
      <c r="BP145" s="231"/>
    </row>
    <row r="146" spans="1:1165">
      <c r="A146" s="206" t="s">
        <v>788</v>
      </c>
      <c r="B146" s="207" t="s">
        <v>87</v>
      </c>
      <c r="C146" s="268">
        <v>3681</v>
      </c>
      <c r="D146" s="268">
        <v>29628</v>
      </c>
      <c r="E146" s="208">
        <v>0</v>
      </c>
      <c r="F146" s="208">
        <v>0</v>
      </c>
      <c r="G146" s="208">
        <v>0</v>
      </c>
      <c r="H146" s="208">
        <v>0</v>
      </c>
      <c r="I146" s="208">
        <v>0</v>
      </c>
      <c r="J146" s="208">
        <v>0</v>
      </c>
      <c r="K146" s="208">
        <v>0</v>
      </c>
      <c r="L146" s="208">
        <v>0</v>
      </c>
      <c r="M146" s="208">
        <v>0</v>
      </c>
      <c r="N146" s="208">
        <v>0</v>
      </c>
      <c r="O146" s="208">
        <v>300</v>
      </c>
      <c r="P146" s="208">
        <v>2100</v>
      </c>
      <c r="Q146" s="208">
        <v>330</v>
      </c>
      <c r="R146" s="208">
        <v>2310</v>
      </c>
      <c r="S146" s="208">
        <v>243</v>
      </c>
      <c r="T146" s="208">
        <v>3162</v>
      </c>
      <c r="U146" s="219">
        <v>0</v>
      </c>
      <c r="V146" s="219">
        <v>0</v>
      </c>
      <c r="W146" s="219">
        <v>360</v>
      </c>
      <c r="X146" s="219">
        <v>7200</v>
      </c>
      <c r="Y146" s="219">
        <v>333</v>
      </c>
      <c r="Z146" s="219">
        <v>6660</v>
      </c>
      <c r="AA146" s="230">
        <v>0</v>
      </c>
      <c r="AB146" s="230">
        <v>0</v>
      </c>
      <c r="AC146" s="219">
        <v>280</v>
      </c>
      <c r="AD146" s="219">
        <v>1120</v>
      </c>
      <c r="AE146" s="200">
        <v>0</v>
      </c>
      <c r="AF146" s="230">
        <v>0</v>
      </c>
      <c r="AG146" s="200">
        <v>2500</v>
      </c>
      <c r="AH146" s="200">
        <v>25000</v>
      </c>
      <c r="AI146" s="200">
        <v>3950</v>
      </c>
      <c r="AJ146" s="200">
        <v>39500</v>
      </c>
      <c r="AK146" s="270">
        <v>7342</v>
      </c>
      <c r="AL146" s="270">
        <v>62040</v>
      </c>
      <c r="AM146" s="273">
        <v>4387</v>
      </c>
      <c r="AN146" s="273">
        <v>126045</v>
      </c>
      <c r="AO146" s="200">
        <v>3624</v>
      </c>
      <c r="AP146" s="200">
        <v>86372</v>
      </c>
      <c r="AQ146" s="200">
        <v>3086</v>
      </c>
      <c r="AR146" s="200">
        <v>67892</v>
      </c>
      <c r="AS146" s="200">
        <v>2932</v>
      </c>
      <c r="AT146" s="200">
        <v>64504</v>
      </c>
      <c r="AU146" s="230">
        <v>10221</v>
      </c>
      <c r="AV146" s="230">
        <v>164408</v>
      </c>
      <c r="AW146" s="230">
        <v>17599</v>
      </c>
      <c r="AX146" s="230">
        <v>327033</v>
      </c>
      <c r="AY146" s="208">
        <v>7585</v>
      </c>
      <c r="AZ146" s="208">
        <v>65984</v>
      </c>
      <c r="BA146" s="208"/>
      <c r="BB146" s="208"/>
      <c r="BC146" s="200"/>
      <c r="BD146" s="208"/>
      <c r="BE146" s="200"/>
      <c r="BF146" s="231"/>
      <c r="BG146" s="231"/>
      <c r="BH146" s="231"/>
      <c r="BI146" s="208"/>
      <c r="BJ146" s="208">
        <f t="shared" ref="BJ146:BJ147" si="69">C146+G146+I146+K146+M146+O146+Q146+S146+U146+W146+Y146+AA146+AC146+AE146+AG146+AI146+AK146+AM146+AO146+AQ146+AS146+AU146+AW146+AY146+BB146+BF146</f>
        <v>68753</v>
      </c>
      <c r="BK146" s="208">
        <f>D146+H146+J146+L146+N146+P146+R146+T146+V146+X146+Z146+AB146+AD146+AF146+AH146+AJ146+AL146+AN146+AP146+AR146+AT146+AV146+AX146+AZ146+BD146+BH146</f>
        <v>1080958</v>
      </c>
      <c r="BL146" s="172"/>
      <c r="BM146" s="231"/>
      <c r="BN146" s="231"/>
      <c r="BP146" s="231"/>
    </row>
    <row r="147" spans="1:1165">
      <c r="A147" s="206" t="s">
        <v>789</v>
      </c>
      <c r="B147" s="207" t="s">
        <v>87</v>
      </c>
      <c r="C147" s="268">
        <v>15153489</v>
      </c>
      <c r="D147" s="268">
        <v>19272893</v>
      </c>
      <c r="E147" s="208">
        <v>607812</v>
      </c>
      <c r="F147" s="208">
        <v>1792235</v>
      </c>
      <c r="G147" s="208">
        <v>637350</v>
      </c>
      <c r="H147" s="208">
        <v>2028155</v>
      </c>
      <c r="I147" s="208">
        <v>514252</v>
      </c>
      <c r="J147" s="208">
        <v>1659214</v>
      </c>
      <c r="K147" s="208">
        <v>345481</v>
      </c>
      <c r="L147" s="208">
        <v>1686993</v>
      </c>
      <c r="M147" s="208">
        <v>184696</v>
      </c>
      <c r="N147" s="208">
        <v>968942</v>
      </c>
      <c r="O147" s="208">
        <v>193511</v>
      </c>
      <c r="P147" s="208">
        <v>1151735</v>
      </c>
      <c r="Q147" s="208">
        <v>217092</v>
      </c>
      <c r="R147" s="208">
        <v>1006511</v>
      </c>
      <c r="S147" s="208">
        <v>131866</v>
      </c>
      <c r="T147" s="208">
        <v>1311783</v>
      </c>
      <c r="U147" s="219">
        <v>2138091</v>
      </c>
      <c r="V147" s="219">
        <v>10322448</v>
      </c>
      <c r="W147" s="219">
        <v>1812436</v>
      </c>
      <c r="X147" s="219">
        <v>7795442</v>
      </c>
      <c r="Y147" s="219">
        <v>1828663</v>
      </c>
      <c r="Z147" s="219">
        <v>10640754</v>
      </c>
      <c r="AA147" s="230">
        <v>1737984</v>
      </c>
      <c r="AB147" s="230">
        <v>9709097</v>
      </c>
      <c r="AC147" s="219">
        <v>2083846</v>
      </c>
      <c r="AD147" s="219">
        <v>13055973</v>
      </c>
      <c r="AE147" s="200">
        <v>2099107</v>
      </c>
      <c r="AF147" s="230">
        <v>14189487</v>
      </c>
      <c r="AG147" s="200">
        <v>2249595</v>
      </c>
      <c r="AH147" s="200">
        <v>15123079</v>
      </c>
      <c r="AI147" s="200">
        <v>2189534</v>
      </c>
      <c r="AJ147" s="200">
        <v>14819627</v>
      </c>
      <c r="AK147" s="270">
        <v>2667429</v>
      </c>
      <c r="AL147" s="270">
        <v>17747807</v>
      </c>
      <c r="AM147" s="273">
        <v>2277880</v>
      </c>
      <c r="AN147" s="273">
        <v>13685622</v>
      </c>
      <c r="AO147" s="200">
        <v>3002887</v>
      </c>
      <c r="AP147" s="200">
        <v>12916212</v>
      </c>
      <c r="AQ147" s="200">
        <v>3004290.21</v>
      </c>
      <c r="AR147" s="200">
        <v>13969321</v>
      </c>
      <c r="AS147" s="200">
        <v>2968501.47</v>
      </c>
      <c r="AT147" s="200">
        <v>13949154.48</v>
      </c>
      <c r="AU147" s="230">
        <v>3511669</v>
      </c>
      <c r="AV147" s="230">
        <v>15444737</v>
      </c>
      <c r="AW147" s="200">
        <v>3943000</v>
      </c>
      <c r="AX147" s="200">
        <v>16636737</v>
      </c>
      <c r="AY147" s="208">
        <v>5416874</v>
      </c>
      <c r="AZ147" s="208">
        <v>28410365</v>
      </c>
      <c r="BA147" s="208"/>
      <c r="BB147" s="208"/>
      <c r="BC147" s="200"/>
      <c r="BD147" s="208"/>
      <c r="BE147" s="200"/>
      <c r="BF147" s="231"/>
      <c r="BG147" s="200"/>
      <c r="BH147" s="231"/>
      <c r="BI147" s="200"/>
      <c r="BJ147" s="208">
        <f t="shared" si="69"/>
        <v>60309523.68</v>
      </c>
      <c r="BK147" s="208">
        <f>D147+H147+J147+L147+N147+P147+R147+T147+V147+X147+Z147+AB147+AD147+AF147+AH147+AJ147+AL147+AN147+AP147+AR147+AT147+AV147+AX147+AZ147+BD147+BH147</f>
        <v>257502088.47999999</v>
      </c>
      <c r="BL147" s="172"/>
      <c r="BM147" s="231"/>
      <c r="BO147" s="231"/>
      <c r="BP147" s="231"/>
    </row>
    <row r="148" spans="1:1165">
      <c r="A148" s="209" t="s">
        <v>254</v>
      </c>
      <c r="B148" s="139"/>
      <c r="C148" s="281"/>
      <c r="D148" s="281">
        <f>SUM(D146:D147)</f>
        <v>19302521</v>
      </c>
      <c r="E148" s="219"/>
      <c r="F148" s="219">
        <f>SUM(F146:F147)</f>
        <v>1792235</v>
      </c>
      <c r="G148" s="219"/>
      <c r="H148" s="219">
        <f>SUM(H146:H147)</f>
        <v>2028155</v>
      </c>
      <c r="I148" s="219"/>
      <c r="J148" s="219">
        <f>SUM(J146:J147)</f>
        <v>1659214</v>
      </c>
      <c r="K148" s="219"/>
      <c r="L148" s="219">
        <f>SUM(L146:L147)</f>
        <v>1686993</v>
      </c>
      <c r="M148" s="219"/>
      <c r="N148" s="219">
        <f>SUM(N146:N147)</f>
        <v>968942</v>
      </c>
      <c r="O148" s="219"/>
      <c r="P148" s="219">
        <f>SUM(P146:P147)</f>
        <v>1153835</v>
      </c>
      <c r="Q148" s="219"/>
      <c r="R148" s="219">
        <f>SUM(R146:R147)</f>
        <v>1008821</v>
      </c>
      <c r="S148" s="219"/>
      <c r="T148" s="219">
        <f>SUM(T146:T147)</f>
        <v>1314945</v>
      </c>
      <c r="U148" s="200"/>
      <c r="V148" s="200">
        <f>SUM(V146:V147)</f>
        <v>10322448</v>
      </c>
      <c r="W148" s="200"/>
      <c r="X148" s="219">
        <f>SUM(X146:X147)</f>
        <v>7802642</v>
      </c>
      <c r="Y148" s="200"/>
      <c r="Z148" s="219">
        <f>SUM(Z146:Z147)</f>
        <v>10647414</v>
      </c>
      <c r="AA148" s="200"/>
      <c r="AB148" s="230">
        <f>SUM(AB146:AB147)</f>
        <v>9709097</v>
      </c>
      <c r="AC148" s="219"/>
      <c r="AD148" s="219">
        <f>SUM(AD146:AD147)</f>
        <v>13057093</v>
      </c>
      <c r="AE148" s="200"/>
      <c r="AF148" s="200">
        <f>SUM(AF146:AF147)</f>
        <v>14189487</v>
      </c>
      <c r="AG148" s="200"/>
      <c r="AH148" s="200">
        <f>SUM(AH146:AH147)</f>
        <v>15148079</v>
      </c>
      <c r="AI148" s="200"/>
      <c r="AJ148" s="200">
        <f>SUM(AJ146:AJ147)</f>
        <v>14859127</v>
      </c>
      <c r="AK148" s="270"/>
      <c r="AL148" s="270">
        <v>17809847</v>
      </c>
      <c r="AM148" s="273"/>
      <c r="AN148" s="273">
        <v>13811667</v>
      </c>
      <c r="AO148" s="200"/>
      <c r="AP148" s="200">
        <v>13002584</v>
      </c>
      <c r="AQ148" s="200"/>
      <c r="AR148" s="200">
        <v>14037213</v>
      </c>
      <c r="AS148" s="200"/>
      <c r="AT148" s="200">
        <f>SUM(AT146:AT147)</f>
        <v>14013658.48</v>
      </c>
      <c r="AU148" s="200"/>
      <c r="AV148" s="230">
        <f>SUM(AV146:AV147)</f>
        <v>15609145</v>
      </c>
      <c r="AW148" s="200"/>
      <c r="AX148" s="200">
        <f>SUM(AX146:AX147)</f>
        <v>16963770</v>
      </c>
      <c r="AY148" s="208"/>
      <c r="AZ148" s="208">
        <f>SUM(AZ146:AZ147)</f>
        <v>28476349</v>
      </c>
      <c r="BA148" s="274"/>
      <c r="BB148" s="208"/>
      <c r="BC148" s="200"/>
      <c r="BD148" s="208"/>
      <c r="BE148" s="200"/>
      <c r="BF148" s="231"/>
      <c r="BG148" s="231"/>
      <c r="BH148" s="231"/>
      <c r="BI148" s="200"/>
      <c r="BJ148" s="208"/>
      <c r="BK148" s="208">
        <f>D148+H148+J148+L148+N148+P148+R148+T148+V148+X148+Z148+AB148+AD148+AF148+AH148+AJ148+AL148+AN148+AP148+AR148+AT148+AV148+AX148+AZ148+BD148+BH148</f>
        <v>258583046.47999999</v>
      </c>
      <c r="BL148" s="172"/>
      <c r="BM148" s="231"/>
      <c r="BP148" s="231"/>
    </row>
    <row r="149" spans="1:1165">
      <c r="A149" s="212"/>
      <c r="B149" s="139"/>
      <c r="C149" s="281"/>
      <c r="D149" s="281"/>
      <c r="E149" s="219"/>
      <c r="F149" s="219"/>
      <c r="G149" s="219"/>
      <c r="H149" s="219"/>
      <c r="I149" s="219"/>
      <c r="J149" s="219"/>
      <c r="K149" s="219"/>
      <c r="L149" s="219"/>
      <c r="M149" s="219"/>
      <c r="N149" s="219"/>
      <c r="O149" s="219"/>
      <c r="P149" s="219"/>
      <c r="Q149" s="219"/>
      <c r="R149" s="219"/>
      <c r="S149" s="219"/>
      <c r="T149" s="219"/>
      <c r="U149" s="269"/>
      <c r="V149" s="269"/>
      <c r="W149" s="200"/>
      <c r="X149" s="219"/>
      <c r="Y149" s="200"/>
      <c r="Z149" s="219"/>
      <c r="AA149" s="200"/>
      <c r="AB149" s="230"/>
      <c r="AC149" s="208"/>
      <c r="AD149" s="208"/>
      <c r="AE149" s="230"/>
      <c r="AF149" s="230"/>
      <c r="AG149" s="230"/>
      <c r="AH149" s="230"/>
      <c r="AI149" s="230"/>
      <c r="AJ149" s="230"/>
      <c r="AK149" s="230"/>
      <c r="AL149" s="230"/>
      <c r="AM149" s="200"/>
      <c r="AN149" s="200"/>
      <c r="AO149" s="200"/>
      <c r="AP149" s="200"/>
      <c r="AQ149" s="200"/>
      <c r="AR149" s="200"/>
      <c r="AS149" s="200"/>
      <c r="AT149" s="200"/>
      <c r="AU149" s="200"/>
      <c r="AV149" s="230"/>
      <c r="AW149" s="249"/>
      <c r="AX149" s="249"/>
      <c r="AY149" s="248"/>
      <c r="AZ149" s="248"/>
      <c r="BA149" s="283"/>
      <c r="BB149" s="219"/>
      <c r="BC149" s="219"/>
      <c r="BD149" s="219"/>
      <c r="BE149" s="219"/>
      <c r="BF149" s="219"/>
      <c r="BG149" s="219"/>
      <c r="BH149" s="219"/>
      <c r="BI149" s="283"/>
      <c r="BJ149" s="219"/>
      <c r="BK149" s="219"/>
      <c r="BL149" s="172"/>
      <c r="BM149" s="231"/>
      <c r="BO149" s="231"/>
      <c r="BP149" s="231"/>
    </row>
    <row r="150" spans="1:1165" s="257" customFormat="1">
      <c r="A150" s="194" t="s">
        <v>780</v>
      </c>
      <c r="B150" s="215"/>
      <c r="C150" s="284"/>
      <c r="D150" s="284"/>
      <c r="E150" s="211"/>
      <c r="F150" s="211"/>
      <c r="G150" s="211"/>
      <c r="H150" s="211"/>
      <c r="I150" s="211"/>
      <c r="J150" s="211"/>
      <c r="K150" s="211"/>
      <c r="L150" s="211"/>
      <c r="M150" s="211"/>
      <c r="N150" s="211"/>
      <c r="O150" s="211"/>
      <c r="P150" s="211"/>
      <c r="Q150" s="211"/>
      <c r="R150" s="211"/>
      <c r="S150" s="211"/>
      <c r="T150" s="211"/>
      <c r="U150" s="227"/>
      <c r="V150" s="227"/>
      <c r="W150" s="196"/>
      <c r="X150" s="196"/>
      <c r="Y150" s="198"/>
      <c r="Z150" s="198"/>
      <c r="AA150" s="196"/>
      <c r="AB150" s="196"/>
      <c r="AC150" s="198"/>
      <c r="AD150" s="198"/>
      <c r="AE150" s="196"/>
      <c r="AF150" s="196"/>
      <c r="AG150" s="196"/>
      <c r="AH150" s="196"/>
      <c r="AI150" s="196"/>
      <c r="AJ150" s="196"/>
      <c r="AK150" s="196"/>
      <c r="AL150" s="196"/>
      <c r="AM150" s="196"/>
      <c r="AN150" s="196"/>
      <c r="AO150" s="196"/>
      <c r="AP150" s="196"/>
      <c r="AQ150" s="196"/>
      <c r="AR150" s="196"/>
      <c r="AS150" s="196"/>
      <c r="AT150" s="196"/>
      <c r="AU150" s="196"/>
      <c r="AV150" s="196"/>
      <c r="AW150" s="256"/>
      <c r="AX150" s="256"/>
      <c r="AY150" s="198"/>
      <c r="AZ150" s="198"/>
      <c r="BA150" s="262"/>
      <c r="BB150" s="198"/>
      <c r="BC150" s="198"/>
      <c r="BD150" s="198"/>
      <c r="BE150" s="198"/>
      <c r="BF150" s="198"/>
      <c r="BG150" s="198"/>
      <c r="BH150" s="198"/>
      <c r="BI150" s="262"/>
      <c r="BJ150" s="198"/>
      <c r="BK150" s="198"/>
      <c r="BL150" s="172"/>
      <c r="BM150" s="172"/>
      <c r="BN150" s="172"/>
      <c r="BO150" s="172"/>
      <c r="BP150" s="172"/>
      <c r="BQ150" s="172"/>
      <c r="BR150" s="172"/>
      <c r="BS150" s="172"/>
      <c r="BT150" s="172"/>
      <c r="BU150" s="172"/>
      <c r="BV150" s="172"/>
      <c r="BW150" s="172"/>
      <c r="BX150" s="172"/>
      <c r="BY150" s="172"/>
      <c r="BZ150" s="172"/>
      <c r="CA150" s="172"/>
      <c r="CB150" s="172"/>
      <c r="CC150" s="172"/>
      <c r="CD150" s="172"/>
      <c r="CE150" s="172"/>
      <c r="CF150" s="172"/>
      <c r="CG150" s="172"/>
      <c r="CH150" s="172"/>
      <c r="CI150" s="172"/>
      <c r="CJ150" s="172"/>
      <c r="CK150" s="172"/>
      <c r="CL150" s="172"/>
      <c r="CM150" s="172"/>
      <c r="CN150" s="172"/>
      <c r="CO150" s="172"/>
      <c r="CP150" s="172"/>
      <c r="CQ150" s="172"/>
      <c r="CR150" s="172"/>
      <c r="CS150" s="172"/>
      <c r="CT150" s="172"/>
      <c r="CU150" s="172"/>
      <c r="CV150" s="172"/>
      <c r="CW150" s="172"/>
      <c r="CX150" s="172"/>
      <c r="CY150" s="172"/>
      <c r="CZ150" s="172"/>
      <c r="DA150" s="172"/>
      <c r="DB150" s="172"/>
      <c r="DC150" s="172"/>
      <c r="DD150" s="172"/>
      <c r="DE150" s="172"/>
      <c r="DF150" s="172"/>
      <c r="DG150" s="172"/>
      <c r="DH150" s="172"/>
      <c r="DI150" s="172"/>
      <c r="DJ150" s="172"/>
      <c r="DK150" s="172"/>
      <c r="DL150" s="172"/>
      <c r="DM150" s="172"/>
      <c r="DN150" s="172"/>
      <c r="DO150" s="172"/>
      <c r="DP150" s="172"/>
      <c r="DQ150" s="172"/>
      <c r="DR150" s="172"/>
      <c r="DS150" s="172"/>
      <c r="DT150" s="172"/>
      <c r="DU150" s="172"/>
      <c r="DV150" s="172"/>
      <c r="DW150" s="172"/>
      <c r="DX150" s="172"/>
      <c r="DY150" s="172"/>
      <c r="DZ150" s="172"/>
      <c r="EA150" s="172"/>
      <c r="EB150" s="172"/>
      <c r="EC150" s="172"/>
      <c r="ED150" s="172"/>
      <c r="EE150" s="172"/>
      <c r="EF150" s="172"/>
      <c r="EG150" s="172"/>
      <c r="EH150" s="172"/>
      <c r="EI150" s="172"/>
      <c r="EJ150" s="172"/>
      <c r="EK150" s="172"/>
      <c r="EL150" s="172"/>
      <c r="EM150" s="172"/>
      <c r="EN150" s="172"/>
      <c r="EO150" s="172"/>
      <c r="EP150" s="172"/>
      <c r="EQ150" s="172"/>
      <c r="ER150" s="172"/>
      <c r="ES150" s="172"/>
      <c r="ET150" s="172"/>
      <c r="EU150" s="172"/>
      <c r="EV150" s="172"/>
      <c r="EW150" s="172"/>
      <c r="EX150" s="172"/>
      <c r="EY150" s="172"/>
      <c r="EZ150" s="172"/>
      <c r="FA150" s="172"/>
      <c r="FB150" s="172"/>
      <c r="FC150" s="172"/>
      <c r="FD150" s="172"/>
      <c r="FE150" s="172"/>
      <c r="FF150" s="172"/>
      <c r="FG150" s="172"/>
      <c r="FH150" s="172"/>
      <c r="FI150" s="172"/>
      <c r="FJ150" s="172"/>
      <c r="FK150" s="172"/>
      <c r="FL150" s="172"/>
      <c r="FM150" s="172"/>
      <c r="FN150" s="172"/>
      <c r="FO150" s="172"/>
      <c r="FP150" s="172"/>
      <c r="FQ150" s="172"/>
      <c r="FR150" s="172"/>
      <c r="FS150" s="172"/>
      <c r="FT150" s="172"/>
      <c r="FU150" s="172"/>
      <c r="FV150" s="172"/>
      <c r="FW150" s="172"/>
      <c r="FX150" s="172"/>
      <c r="FY150" s="172"/>
      <c r="FZ150" s="172"/>
      <c r="GA150" s="172"/>
      <c r="GB150" s="172"/>
      <c r="GC150" s="172"/>
      <c r="GD150" s="172"/>
      <c r="GE150" s="172"/>
      <c r="GF150" s="172"/>
      <c r="GG150" s="172"/>
      <c r="GH150" s="172"/>
      <c r="GI150" s="172"/>
      <c r="GJ150" s="172"/>
      <c r="GK150" s="172"/>
      <c r="GL150" s="172"/>
      <c r="GM150" s="172"/>
      <c r="GN150" s="172"/>
      <c r="GO150" s="172"/>
      <c r="GP150" s="172"/>
      <c r="GQ150" s="172"/>
      <c r="GR150" s="172"/>
      <c r="GS150" s="172"/>
      <c r="GT150" s="172"/>
      <c r="GU150" s="172"/>
      <c r="GV150" s="172"/>
      <c r="GW150" s="172"/>
      <c r="GX150" s="172"/>
      <c r="GY150" s="172"/>
      <c r="GZ150" s="172"/>
      <c r="HA150" s="172"/>
      <c r="HB150" s="172"/>
      <c r="HC150" s="172"/>
      <c r="HD150" s="172"/>
      <c r="HE150" s="172"/>
      <c r="HF150" s="172"/>
      <c r="HG150" s="172"/>
      <c r="HH150" s="172"/>
      <c r="HI150" s="172"/>
      <c r="HJ150" s="172"/>
      <c r="HK150" s="172"/>
      <c r="HL150" s="172"/>
      <c r="HM150" s="172"/>
      <c r="HN150" s="172"/>
      <c r="HO150" s="172"/>
      <c r="HP150" s="172"/>
      <c r="HQ150" s="172"/>
      <c r="HR150" s="172"/>
      <c r="HS150" s="172"/>
      <c r="HT150" s="172"/>
      <c r="HU150" s="172"/>
      <c r="HV150" s="172"/>
      <c r="HW150" s="172"/>
      <c r="HX150" s="172"/>
      <c r="HY150" s="172"/>
      <c r="HZ150" s="172"/>
      <c r="IA150" s="172"/>
      <c r="IB150" s="172"/>
      <c r="IC150" s="172"/>
      <c r="ID150" s="172"/>
      <c r="IE150" s="172"/>
      <c r="IF150" s="172"/>
      <c r="IG150" s="172"/>
      <c r="IH150" s="172"/>
      <c r="II150" s="172"/>
      <c r="IJ150" s="172"/>
      <c r="IK150" s="172"/>
      <c r="IL150" s="172"/>
      <c r="IM150" s="172"/>
      <c r="IN150" s="172"/>
      <c r="IO150" s="172"/>
      <c r="IP150" s="172"/>
      <c r="IQ150" s="172"/>
      <c r="IR150" s="172"/>
      <c r="IS150" s="172"/>
      <c r="IT150" s="172"/>
      <c r="IU150" s="172"/>
      <c r="IV150" s="172"/>
      <c r="IW150" s="172"/>
      <c r="IX150" s="172"/>
      <c r="IY150" s="172"/>
      <c r="IZ150" s="172"/>
      <c r="JA150" s="172"/>
      <c r="JB150" s="172"/>
      <c r="JC150" s="172"/>
      <c r="JD150" s="172"/>
      <c r="JE150" s="172"/>
      <c r="JF150" s="172"/>
      <c r="JG150" s="172"/>
      <c r="JH150" s="172"/>
      <c r="JI150" s="172"/>
      <c r="JJ150" s="172"/>
      <c r="JK150" s="172"/>
      <c r="JL150" s="172"/>
      <c r="JM150" s="172"/>
      <c r="JN150" s="172"/>
      <c r="JO150" s="172"/>
      <c r="JP150" s="172"/>
      <c r="JQ150" s="172"/>
      <c r="JR150" s="172"/>
      <c r="JS150" s="172"/>
      <c r="JT150" s="172"/>
      <c r="JU150" s="172"/>
      <c r="JV150" s="172"/>
      <c r="JW150" s="172"/>
      <c r="JX150" s="172"/>
      <c r="JY150" s="172"/>
      <c r="JZ150" s="172"/>
      <c r="KA150" s="172"/>
      <c r="KB150" s="172"/>
      <c r="KC150" s="172"/>
      <c r="KD150" s="172"/>
      <c r="KE150" s="172"/>
      <c r="KF150" s="172"/>
      <c r="KG150" s="172"/>
      <c r="KH150" s="172"/>
      <c r="KI150" s="172"/>
      <c r="KJ150" s="172"/>
      <c r="KK150" s="172"/>
      <c r="KL150" s="172"/>
      <c r="KM150" s="172"/>
      <c r="KN150" s="172"/>
      <c r="KO150" s="172"/>
      <c r="KP150" s="172"/>
      <c r="KQ150" s="172"/>
      <c r="KR150" s="172"/>
      <c r="KS150" s="172"/>
      <c r="KT150" s="172"/>
      <c r="KU150" s="172"/>
      <c r="KV150" s="172"/>
      <c r="KW150" s="172"/>
      <c r="KX150" s="172"/>
      <c r="KY150" s="172"/>
      <c r="KZ150" s="172"/>
      <c r="LA150" s="172"/>
      <c r="LB150" s="172"/>
      <c r="LC150" s="172"/>
      <c r="LD150" s="172"/>
      <c r="LE150" s="172"/>
      <c r="LF150" s="172"/>
      <c r="LG150" s="172"/>
      <c r="LH150" s="172"/>
      <c r="LI150" s="172"/>
      <c r="LJ150" s="172"/>
      <c r="LK150" s="172"/>
      <c r="LL150" s="172"/>
      <c r="LM150" s="172"/>
      <c r="LN150" s="172"/>
      <c r="LO150" s="172"/>
      <c r="LP150" s="172"/>
      <c r="LQ150" s="172"/>
      <c r="LR150" s="172"/>
      <c r="LS150" s="172"/>
      <c r="LT150" s="172"/>
      <c r="LU150" s="172"/>
      <c r="LV150" s="172"/>
      <c r="LW150" s="172"/>
      <c r="LX150" s="172"/>
      <c r="LY150" s="172"/>
      <c r="LZ150" s="172"/>
      <c r="MA150" s="172"/>
      <c r="MB150" s="172"/>
      <c r="MC150" s="172"/>
      <c r="MD150" s="172"/>
      <c r="ME150" s="172"/>
      <c r="MF150" s="172"/>
      <c r="MG150" s="172"/>
      <c r="MH150" s="172"/>
      <c r="MI150" s="172"/>
      <c r="MJ150" s="172"/>
      <c r="MK150" s="172"/>
      <c r="ML150" s="172"/>
      <c r="MM150" s="172"/>
      <c r="MN150" s="172"/>
      <c r="MO150" s="172"/>
      <c r="MP150" s="172"/>
      <c r="MQ150" s="172"/>
      <c r="MR150" s="172"/>
      <c r="MS150" s="172"/>
      <c r="MT150" s="172"/>
      <c r="MU150" s="172"/>
      <c r="MV150" s="172"/>
      <c r="MW150" s="172"/>
      <c r="MX150" s="172"/>
      <c r="MY150" s="172"/>
      <c r="MZ150" s="172"/>
      <c r="NA150" s="172"/>
      <c r="NB150" s="172"/>
      <c r="NC150" s="172"/>
      <c r="ND150" s="172"/>
      <c r="NE150" s="172"/>
      <c r="NF150" s="172"/>
      <c r="NG150" s="172"/>
      <c r="NH150" s="172"/>
      <c r="NI150" s="172"/>
      <c r="NJ150" s="172"/>
      <c r="NK150" s="172"/>
      <c r="NL150" s="172"/>
      <c r="NM150" s="172"/>
      <c r="NN150" s="172"/>
      <c r="NO150" s="172"/>
      <c r="NP150" s="172"/>
      <c r="NQ150" s="172"/>
      <c r="NR150" s="172"/>
      <c r="NS150" s="172"/>
      <c r="NT150" s="172"/>
      <c r="NU150" s="172"/>
      <c r="NV150" s="172"/>
      <c r="NW150" s="172"/>
      <c r="NX150" s="172"/>
      <c r="NY150" s="172"/>
      <c r="NZ150" s="172"/>
      <c r="OA150" s="172"/>
      <c r="OB150" s="172"/>
      <c r="OC150" s="172"/>
      <c r="OD150" s="172"/>
      <c r="OE150" s="172"/>
      <c r="OF150" s="172"/>
      <c r="OG150" s="172"/>
      <c r="OH150" s="172"/>
      <c r="OI150" s="172"/>
      <c r="OJ150" s="172"/>
      <c r="OK150" s="172"/>
      <c r="OL150" s="172"/>
      <c r="OM150" s="172"/>
      <c r="ON150" s="172"/>
      <c r="OO150" s="172"/>
      <c r="OP150" s="172"/>
      <c r="OQ150" s="172"/>
      <c r="OR150" s="172"/>
      <c r="OS150" s="172"/>
      <c r="OT150" s="172"/>
      <c r="OU150" s="172"/>
      <c r="OV150" s="172"/>
      <c r="OW150" s="172"/>
      <c r="OX150" s="172"/>
      <c r="OY150" s="172"/>
      <c r="OZ150" s="172"/>
      <c r="PA150" s="172"/>
      <c r="PB150" s="172"/>
      <c r="PC150" s="172"/>
      <c r="PD150" s="172"/>
      <c r="PE150" s="172"/>
      <c r="PF150" s="172"/>
      <c r="PG150" s="172"/>
      <c r="PH150" s="172"/>
      <c r="PI150" s="172"/>
      <c r="PJ150" s="172"/>
      <c r="PK150" s="172"/>
      <c r="PL150" s="172"/>
      <c r="PM150" s="172"/>
      <c r="PN150" s="172"/>
      <c r="PO150" s="172"/>
      <c r="PP150" s="172"/>
      <c r="PQ150" s="172"/>
      <c r="PR150" s="172"/>
      <c r="PS150" s="172"/>
      <c r="PT150" s="172"/>
      <c r="PU150" s="172"/>
      <c r="PV150" s="172"/>
      <c r="PW150" s="172"/>
      <c r="PX150" s="172"/>
      <c r="PY150" s="172"/>
      <c r="PZ150" s="172"/>
      <c r="QA150" s="172"/>
      <c r="QB150" s="172"/>
      <c r="QC150" s="172"/>
      <c r="QD150" s="172"/>
      <c r="QE150" s="172"/>
      <c r="QF150" s="172"/>
      <c r="QG150" s="172"/>
      <c r="QH150" s="172"/>
      <c r="QI150" s="172"/>
      <c r="QJ150" s="172"/>
      <c r="QK150" s="172"/>
      <c r="QL150" s="172"/>
      <c r="QM150" s="172"/>
      <c r="QN150" s="172"/>
      <c r="QO150" s="172"/>
      <c r="QP150" s="172"/>
      <c r="QQ150" s="172"/>
      <c r="QR150" s="172"/>
      <c r="QS150" s="172"/>
      <c r="QT150" s="172"/>
      <c r="QU150" s="172"/>
      <c r="QV150" s="172"/>
      <c r="QW150" s="172"/>
      <c r="QX150" s="172"/>
      <c r="QY150" s="172"/>
      <c r="QZ150" s="172"/>
      <c r="RA150" s="172"/>
      <c r="RB150" s="172"/>
      <c r="RC150" s="172"/>
      <c r="RD150" s="172"/>
      <c r="RE150" s="172"/>
      <c r="RF150" s="172"/>
      <c r="RG150" s="172"/>
      <c r="RH150" s="172"/>
      <c r="RI150" s="172"/>
      <c r="RJ150" s="172"/>
      <c r="RK150" s="172"/>
      <c r="RL150" s="172"/>
      <c r="RM150" s="172"/>
      <c r="RN150" s="172"/>
      <c r="RO150" s="172"/>
      <c r="RP150" s="172"/>
      <c r="RQ150" s="172"/>
      <c r="RR150" s="172"/>
      <c r="RS150" s="172"/>
      <c r="RT150" s="172"/>
      <c r="RU150" s="172"/>
      <c r="RV150" s="172"/>
      <c r="RW150" s="172"/>
      <c r="RX150" s="172"/>
      <c r="RY150" s="172"/>
      <c r="RZ150" s="172"/>
      <c r="SA150" s="172"/>
      <c r="SB150" s="172"/>
      <c r="SC150" s="172"/>
      <c r="SD150" s="172"/>
      <c r="SE150" s="172"/>
      <c r="SF150" s="172"/>
      <c r="SG150" s="172"/>
      <c r="SH150" s="172"/>
      <c r="SI150" s="172"/>
      <c r="SJ150" s="172"/>
      <c r="SK150" s="172"/>
      <c r="SL150" s="172"/>
      <c r="SM150" s="172"/>
      <c r="SN150" s="172"/>
      <c r="SO150" s="172"/>
      <c r="SP150" s="172"/>
      <c r="SQ150" s="172"/>
      <c r="SR150" s="172"/>
      <c r="SS150" s="172"/>
      <c r="ST150" s="172"/>
      <c r="SU150" s="172"/>
      <c r="SV150" s="172"/>
      <c r="SW150" s="172"/>
      <c r="SX150" s="172"/>
      <c r="SY150" s="172"/>
      <c r="SZ150" s="172"/>
      <c r="TA150" s="172"/>
      <c r="TB150" s="172"/>
      <c r="TC150" s="172"/>
      <c r="TD150" s="172"/>
      <c r="TE150" s="172"/>
      <c r="TF150" s="172"/>
      <c r="TG150" s="172"/>
      <c r="TH150" s="172"/>
      <c r="TI150" s="172"/>
      <c r="TJ150" s="172"/>
      <c r="TK150" s="172"/>
      <c r="TL150" s="172"/>
      <c r="TM150" s="172"/>
      <c r="TN150" s="172"/>
      <c r="TO150" s="172"/>
      <c r="TP150" s="172"/>
      <c r="TQ150" s="172"/>
      <c r="TR150" s="172"/>
      <c r="TS150" s="172"/>
      <c r="TT150" s="172"/>
      <c r="TU150" s="172"/>
      <c r="TV150" s="172"/>
      <c r="TW150" s="172"/>
      <c r="TX150" s="172"/>
      <c r="TY150" s="172"/>
      <c r="TZ150" s="172"/>
      <c r="UA150" s="172"/>
      <c r="UB150" s="172"/>
      <c r="UC150" s="172"/>
      <c r="UD150" s="172"/>
      <c r="UE150" s="172"/>
      <c r="UF150" s="172"/>
      <c r="UG150" s="172"/>
      <c r="UH150" s="172"/>
      <c r="UI150" s="172"/>
      <c r="UJ150" s="172"/>
      <c r="UK150" s="172"/>
      <c r="UL150" s="172"/>
      <c r="UM150" s="172"/>
      <c r="UN150" s="172"/>
      <c r="UO150" s="172"/>
      <c r="UP150" s="172"/>
      <c r="UQ150" s="172"/>
      <c r="UR150" s="172"/>
      <c r="US150" s="172"/>
      <c r="UT150" s="172"/>
      <c r="UU150" s="172"/>
      <c r="UV150" s="172"/>
      <c r="UW150" s="172"/>
      <c r="UX150" s="172"/>
      <c r="UY150" s="172"/>
      <c r="UZ150" s="172"/>
      <c r="VA150" s="172"/>
      <c r="VB150" s="172"/>
      <c r="VC150" s="172"/>
      <c r="VD150" s="172"/>
      <c r="VE150" s="172"/>
      <c r="VF150" s="172"/>
      <c r="VG150" s="172"/>
      <c r="VH150" s="172"/>
      <c r="VI150" s="172"/>
      <c r="VJ150" s="172"/>
      <c r="VK150" s="172"/>
      <c r="VL150" s="172"/>
      <c r="VM150" s="172"/>
      <c r="VN150" s="172"/>
      <c r="VO150" s="172"/>
      <c r="VP150" s="172"/>
      <c r="VQ150" s="172"/>
      <c r="VR150" s="172"/>
      <c r="VS150" s="172"/>
      <c r="VT150" s="172"/>
      <c r="VU150" s="172"/>
      <c r="VV150" s="172"/>
      <c r="VW150" s="172"/>
      <c r="VX150" s="172"/>
      <c r="VY150" s="172"/>
      <c r="VZ150" s="172"/>
      <c r="WA150" s="172"/>
      <c r="WB150" s="172"/>
      <c r="WC150" s="172"/>
      <c r="WD150" s="172"/>
      <c r="WE150" s="172"/>
      <c r="WF150" s="172"/>
      <c r="WG150" s="172"/>
      <c r="WH150" s="172"/>
      <c r="WI150" s="172"/>
      <c r="WJ150" s="172"/>
      <c r="WK150" s="172"/>
      <c r="WL150" s="172"/>
      <c r="WM150" s="172"/>
      <c r="WN150" s="172"/>
      <c r="WO150" s="172"/>
      <c r="WP150" s="172"/>
      <c r="WQ150" s="172"/>
      <c r="WR150" s="172"/>
      <c r="WS150" s="172"/>
      <c r="WT150" s="172"/>
      <c r="WU150" s="172"/>
      <c r="WV150" s="172"/>
      <c r="WW150" s="172"/>
      <c r="WX150" s="172"/>
      <c r="WY150" s="172"/>
      <c r="WZ150" s="172"/>
      <c r="XA150" s="172"/>
      <c r="XB150" s="172"/>
      <c r="XC150" s="172"/>
      <c r="XD150" s="172"/>
      <c r="XE150" s="172"/>
      <c r="XF150" s="172"/>
      <c r="XG150" s="172"/>
      <c r="XH150" s="172"/>
      <c r="XI150" s="172"/>
      <c r="XJ150" s="172"/>
      <c r="XK150" s="172"/>
      <c r="XL150" s="172"/>
      <c r="XM150" s="172"/>
      <c r="XN150" s="172"/>
      <c r="XO150" s="172"/>
      <c r="XP150" s="172"/>
      <c r="XQ150" s="172"/>
      <c r="XR150" s="172"/>
      <c r="XS150" s="172"/>
      <c r="XT150" s="172"/>
      <c r="XU150" s="172"/>
      <c r="XV150" s="172"/>
      <c r="XW150" s="172"/>
      <c r="XX150" s="172"/>
      <c r="XY150" s="172"/>
      <c r="XZ150" s="172"/>
      <c r="YA150" s="172"/>
      <c r="YB150" s="172"/>
      <c r="YC150" s="172"/>
      <c r="YD150" s="172"/>
      <c r="YE150" s="172"/>
      <c r="YF150" s="172"/>
      <c r="YG150" s="172"/>
      <c r="YH150" s="172"/>
      <c r="YI150" s="172"/>
      <c r="YJ150" s="172"/>
      <c r="YK150" s="172"/>
      <c r="YL150" s="172"/>
      <c r="YM150" s="172"/>
      <c r="YN150" s="172"/>
      <c r="YO150" s="172"/>
      <c r="YP150" s="172"/>
      <c r="YQ150" s="172"/>
      <c r="YR150" s="172"/>
      <c r="YS150" s="172"/>
      <c r="YT150" s="172"/>
      <c r="YU150" s="172"/>
      <c r="YV150" s="172"/>
      <c r="YW150" s="172"/>
      <c r="YX150" s="172"/>
      <c r="YY150" s="172"/>
      <c r="YZ150" s="172"/>
      <c r="ZA150" s="172"/>
      <c r="ZB150" s="172"/>
      <c r="ZC150" s="172"/>
      <c r="ZD150" s="172"/>
      <c r="ZE150" s="172"/>
      <c r="ZF150" s="172"/>
      <c r="ZG150" s="172"/>
      <c r="ZH150" s="172"/>
      <c r="ZI150" s="172"/>
      <c r="ZJ150" s="172"/>
      <c r="ZK150" s="172"/>
      <c r="ZL150" s="172"/>
      <c r="ZM150" s="172"/>
      <c r="ZN150" s="172"/>
      <c r="ZO150" s="172"/>
      <c r="ZP150" s="172"/>
      <c r="ZQ150" s="172"/>
      <c r="ZR150" s="172"/>
      <c r="ZS150" s="172"/>
      <c r="ZT150" s="172"/>
      <c r="ZU150" s="172"/>
      <c r="ZV150" s="172"/>
      <c r="ZW150" s="172"/>
      <c r="ZX150" s="172"/>
      <c r="ZY150" s="172"/>
      <c r="ZZ150" s="172"/>
      <c r="AAA150" s="172"/>
      <c r="AAB150" s="172"/>
      <c r="AAC150" s="172"/>
      <c r="AAD150" s="172"/>
      <c r="AAE150" s="172"/>
      <c r="AAF150" s="172"/>
      <c r="AAG150" s="172"/>
      <c r="AAH150" s="172"/>
      <c r="AAI150" s="172"/>
      <c r="AAJ150" s="172"/>
      <c r="AAK150" s="172"/>
      <c r="AAL150" s="172"/>
      <c r="AAM150" s="172"/>
      <c r="AAN150" s="172"/>
      <c r="AAO150" s="172"/>
      <c r="AAP150" s="172"/>
      <c r="AAQ150" s="172"/>
      <c r="AAR150" s="172"/>
      <c r="AAS150" s="172"/>
      <c r="AAT150" s="172"/>
      <c r="AAU150" s="172"/>
      <c r="AAV150" s="172"/>
      <c r="AAW150" s="172"/>
      <c r="AAX150" s="172"/>
      <c r="AAY150" s="172"/>
      <c r="AAZ150" s="172"/>
      <c r="ABA150" s="172"/>
      <c r="ABB150" s="172"/>
      <c r="ABC150" s="172"/>
      <c r="ABD150" s="172"/>
      <c r="ABE150" s="172"/>
      <c r="ABF150" s="172"/>
      <c r="ABG150" s="172"/>
      <c r="ABH150" s="172"/>
      <c r="ABI150" s="172"/>
      <c r="ABJ150" s="172"/>
      <c r="ABK150" s="172"/>
      <c r="ABL150" s="172"/>
      <c r="ABM150" s="172"/>
      <c r="ABN150" s="172"/>
      <c r="ABO150" s="172"/>
      <c r="ABP150" s="172"/>
      <c r="ABQ150" s="172"/>
      <c r="ABR150" s="172"/>
      <c r="ABS150" s="172"/>
      <c r="ABT150" s="172"/>
      <c r="ABU150" s="172"/>
      <c r="ABV150" s="172"/>
      <c r="ABW150" s="172"/>
      <c r="ABX150" s="172"/>
      <c r="ABY150" s="172"/>
      <c r="ABZ150" s="172"/>
      <c r="ACA150" s="172"/>
      <c r="ACB150" s="172"/>
      <c r="ACC150" s="172"/>
      <c r="ACD150" s="172"/>
      <c r="ACE150" s="172"/>
      <c r="ACF150" s="172"/>
      <c r="ACG150" s="172"/>
      <c r="ACH150" s="172"/>
      <c r="ACI150" s="172"/>
      <c r="ACJ150" s="172"/>
      <c r="ACK150" s="172"/>
      <c r="ACL150" s="172"/>
      <c r="ACM150" s="172"/>
      <c r="ACN150" s="172"/>
      <c r="ACO150" s="172"/>
      <c r="ACP150" s="172"/>
      <c r="ACQ150" s="172"/>
      <c r="ACR150" s="172"/>
      <c r="ACS150" s="172"/>
      <c r="ACT150" s="172"/>
      <c r="ACU150" s="172"/>
      <c r="ACV150" s="172"/>
      <c r="ACW150" s="172"/>
      <c r="ACX150" s="172"/>
      <c r="ACY150" s="172"/>
      <c r="ACZ150" s="172"/>
      <c r="ADA150" s="172"/>
      <c r="ADB150" s="172"/>
      <c r="ADC150" s="172"/>
      <c r="ADD150" s="172"/>
      <c r="ADE150" s="172"/>
      <c r="ADF150" s="172"/>
      <c r="ADG150" s="172"/>
      <c r="ADH150" s="172"/>
      <c r="ADI150" s="172"/>
      <c r="ADJ150" s="172"/>
      <c r="ADK150" s="172"/>
      <c r="ADL150" s="172"/>
      <c r="ADM150" s="172"/>
      <c r="ADN150" s="172"/>
      <c r="ADO150" s="172"/>
      <c r="ADP150" s="172"/>
      <c r="ADQ150" s="172"/>
      <c r="ADR150" s="172"/>
      <c r="ADS150" s="172"/>
      <c r="ADT150" s="172"/>
      <c r="ADU150" s="172"/>
      <c r="ADV150" s="172"/>
      <c r="ADW150" s="172"/>
      <c r="ADX150" s="172"/>
      <c r="ADY150" s="172"/>
      <c r="ADZ150" s="172"/>
      <c r="AEA150" s="172"/>
      <c r="AEB150" s="172"/>
      <c r="AEC150" s="172"/>
      <c r="AED150" s="172"/>
      <c r="AEE150" s="172"/>
      <c r="AEF150" s="172"/>
      <c r="AEG150" s="172"/>
      <c r="AEH150" s="172"/>
      <c r="AEI150" s="172"/>
      <c r="AEJ150" s="172"/>
      <c r="AEK150" s="172"/>
      <c r="AEL150" s="172"/>
      <c r="AEM150" s="172"/>
      <c r="AEN150" s="172"/>
      <c r="AEO150" s="172"/>
      <c r="AEP150" s="172"/>
      <c r="AEQ150" s="172"/>
      <c r="AER150" s="172"/>
      <c r="AES150" s="172"/>
      <c r="AET150" s="172"/>
      <c r="AEU150" s="172"/>
      <c r="AEV150" s="172"/>
      <c r="AEW150" s="172"/>
      <c r="AEX150" s="172"/>
      <c r="AEY150" s="172"/>
      <c r="AEZ150" s="172"/>
      <c r="AFA150" s="172"/>
      <c r="AFB150" s="172"/>
      <c r="AFC150" s="172"/>
      <c r="AFD150" s="172"/>
      <c r="AFE150" s="172"/>
      <c r="AFF150" s="172"/>
      <c r="AFG150" s="172"/>
      <c r="AFH150" s="172"/>
      <c r="AFI150" s="172"/>
      <c r="AFJ150" s="172"/>
      <c r="AFK150" s="172"/>
      <c r="AFL150" s="172"/>
      <c r="AFM150" s="172"/>
      <c r="AFN150" s="172"/>
      <c r="AFO150" s="172"/>
      <c r="AFP150" s="172"/>
      <c r="AFQ150" s="172"/>
      <c r="AFR150" s="172"/>
      <c r="AFS150" s="172"/>
      <c r="AFT150" s="172"/>
      <c r="AFU150" s="172"/>
      <c r="AFV150" s="172"/>
      <c r="AFW150" s="172"/>
      <c r="AFX150" s="172"/>
      <c r="AFY150" s="172"/>
      <c r="AFZ150" s="172"/>
      <c r="AGA150" s="172"/>
      <c r="AGB150" s="172"/>
      <c r="AGC150" s="172"/>
      <c r="AGD150" s="172"/>
      <c r="AGE150" s="172"/>
      <c r="AGF150" s="172"/>
      <c r="AGG150" s="172"/>
      <c r="AGH150" s="172"/>
      <c r="AGI150" s="172"/>
      <c r="AGJ150" s="172"/>
      <c r="AGK150" s="172"/>
      <c r="AGL150" s="172"/>
      <c r="AGM150" s="172"/>
      <c r="AGN150" s="172"/>
      <c r="AGO150" s="172"/>
      <c r="AGP150" s="172"/>
      <c r="AGQ150" s="172"/>
      <c r="AGR150" s="172"/>
      <c r="AGS150" s="172"/>
      <c r="AGT150" s="172"/>
      <c r="AGU150" s="172"/>
      <c r="AGV150" s="172"/>
      <c r="AGW150" s="172"/>
      <c r="AGX150" s="172"/>
      <c r="AGY150" s="172"/>
      <c r="AGZ150" s="172"/>
      <c r="AHA150" s="172"/>
      <c r="AHB150" s="172"/>
      <c r="AHC150" s="172"/>
      <c r="AHD150" s="172"/>
      <c r="AHE150" s="172"/>
      <c r="AHF150" s="172"/>
      <c r="AHG150" s="172"/>
      <c r="AHH150" s="172"/>
      <c r="AHI150" s="172"/>
      <c r="AHJ150" s="172"/>
      <c r="AHK150" s="172"/>
      <c r="AHL150" s="172"/>
      <c r="AHM150" s="172"/>
      <c r="AHN150" s="172"/>
      <c r="AHO150" s="172"/>
      <c r="AHP150" s="172"/>
      <c r="AHQ150" s="172"/>
      <c r="AHR150" s="172"/>
      <c r="AHS150" s="172"/>
      <c r="AHT150" s="172"/>
      <c r="AHU150" s="172"/>
      <c r="AHV150" s="172"/>
      <c r="AHW150" s="172"/>
      <c r="AHX150" s="172"/>
      <c r="AHY150" s="172"/>
      <c r="AHZ150" s="172"/>
      <c r="AIA150" s="172"/>
      <c r="AIB150" s="172"/>
      <c r="AIC150" s="172"/>
      <c r="AID150" s="172"/>
      <c r="AIE150" s="172"/>
      <c r="AIF150" s="172"/>
      <c r="AIG150" s="172"/>
      <c r="AIH150" s="172"/>
      <c r="AII150" s="172"/>
      <c r="AIJ150" s="172"/>
      <c r="AIK150" s="172"/>
      <c r="AIL150" s="172"/>
      <c r="AIM150" s="172"/>
      <c r="AIN150" s="172"/>
      <c r="AIO150" s="172"/>
      <c r="AIP150" s="172"/>
      <c r="AIQ150" s="172"/>
      <c r="AIR150" s="172"/>
      <c r="AIS150" s="172"/>
      <c r="AIT150" s="172"/>
      <c r="AIU150" s="172"/>
      <c r="AIV150" s="172"/>
      <c r="AIW150" s="172"/>
      <c r="AIX150" s="172"/>
      <c r="AIY150" s="172"/>
      <c r="AIZ150" s="172"/>
      <c r="AJA150" s="172"/>
      <c r="AJB150" s="172"/>
      <c r="AJC150" s="172"/>
      <c r="AJD150" s="172"/>
      <c r="AJE150" s="172"/>
      <c r="AJF150" s="172"/>
      <c r="AJG150" s="172"/>
      <c r="AJH150" s="172"/>
      <c r="AJI150" s="172"/>
      <c r="AJJ150" s="172"/>
      <c r="AJK150" s="172"/>
      <c r="AJL150" s="172"/>
      <c r="AJM150" s="172"/>
      <c r="AJN150" s="172"/>
      <c r="AJO150" s="172"/>
      <c r="AJP150" s="172"/>
      <c r="AJQ150" s="172"/>
      <c r="AJR150" s="172"/>
      <c r="AJS150" s="172"/>
      <c r="AJT150" s="172"/>
      <c r="AJU150" s="172"/>
      <c r="AJV150" s="172"/>
      <c r="AJW150" s="172"/>
      <c r="AJX150" s="172"/>
      <c r="AJY150" s="172"/>
      <c r="AJZ150" s="172"/>
      <c r="AKA150" s="172"/>
      <c r="AKB150" s="172"/>
      <c r="AKC150" s="172"/>
      <c r="AKD150" s="172"/>
      <c r="AKE150" s="172"/>
      <c r="AKF150" s="172"/>
      <c r="AKG150" s="172"/>
      <c r="AKH150" s="172"/>
      <c r="AKI150" s="172"/>
      <c r="AKJ150" s="172"/>
      <c r="AKK150" s="172"/>
      <c r="AKL150" s="172"/>
      <c r="AKM150" s="172"/>
      <c r="AKN150" s="172"/>
      <c r="AKO150" s="172"/>
      <c r="AKP150" s="172"/>
      <c r="AKQ150" s="172"/>
      <c r="AKR150" s="172"/>
      <c r="AKS150" s="172"/>
      <c r="AKT150" s="172"/>
      <c r="AKU150" s="172"/>
      <c r="AKV150" s="172"/>
      <c r="AKW150" s="172"/>
      <c r="AKX150" s="172"/>
      <c r="AKY150" s="172"/>
      <c r="AKZ150" s="172"/>
      <c r="ALA150" s="172"/>
      <c r="ALB150" s="172"/>
      <c r="ALC150" s="172"/>
      <c r="ALD150" s="172"/>
      <c r="ALE150" s="172"/>
      <c r="ALF150" s="172"/>
      <c r="ALG150" s="172"/>
      <c r="ALH150" s="172"/>
      <c r="ALI150" s="172"/>
      <c r="ALJ150" s="172"/>
      <c r="ALK150" s="172"/>
      <c r="ALL150" s="172"/>
      <c r="ALM150" s="172"/>
      <c r="ALN150" s="172"/>
      <c r="ALO150" s="172"/>
      <c r="ALP150" s="172"/>
      <c r="ALQ150" s="172"/>
      <c r="ALR150" s="172"/>
      <c r="ALS150" s="172"/>
      <c r="ALT150" s="172"/>
      <c r="ALU150" s="172"/>
      <c r="ALV150" s="172"/>
      <c r="ALW150" s="172"/>
      <c r="ALX150" s="172"/>
      <c r="ALY150" s="172"/>
      <c r="ALZ150" s="172"/>
      <c r="AMA150" s="172"/>
      <c r="AMB150" s="172"/>
      <c r="AMC150" s="172"/>
      <c r="AMD150" s="172"/>
      <c r="AME150" s="172"/>
      <c r="AMF150" s="172"/>
      <c r="AMG150" s="172"/>
      <c r="AMH150" s="172"/>
      <c r="AMI150" s="172"/>
      <c r="AMJ150" s="172"/>
      <c r="AMK150" s="172"/>
      <c r="AML150" s="172"/>
      <c r="AMM150" s="172"/>
      <c r="AMN150" s="172"/>
      <c r="AMO150" s="172"/>
      <c r="AMP150" s="172"/>
      <c r="AMQ150" s="172"/>
      <c r="AMR150" s="172"/>
      <c r="AMS150" s="172"/>
      <c r="AMT150" s="172"/>
      <c r="AMU150" s="172"/>
      <c r="AMV150" s="172"/>
      <c r="AMW150" s="172"/>
      <c r="AMX150" s="172"/>
      <c r="AMY150" s="172"/>
      <c r="AMZ150" s="172"/>
      <c r="ANA150" s="172"/>
      <c r="ANB150" s="172"/>
      <c r="ANC150" s="172"/>
      <c r="AND150" s="172"/>
      <c r="ANE150" s="172"/>
      <c r="ANF150" s="172"/>
      <c r="ANG150" s="172"/>
      <c r="ANH150" s="172"/>
      <c r="ANI150" s="172"/>
      <c r="ANJ150" s="172"/>
      <c r="ANK150" s="172"/>
      <c r="ANL150" s="172"/>
      <c r="ANM150" s="172"/>
      <c r="ANN150" s="172"/>
      <c r="ANO150" s="172"/>
      <c r="ANP150" s="172"/>
      <c r="ANQ150" s="172"/>
      <c r="ANR150" s="172"/>
      <c r="ANS150" s="172"/>
      <c r="ANT150" s="172"/>
      <c r="ANU150" s="172"/>
      <c r="ANV150" s="172"/>
      <c r="ANW150" s="172"/>
      <c r="ANX150" s="172"/>
      <c r="ANY150" s="172"/>
      <c r="ANZ150" s="172"/>
      <c r="AOA150" s="172"/>
      <c r="AOB150" s="172"/>
      <c r="AOC150" s="172"/>
      <c r="AOD150" s="172"/>
      <c r="AOE150" s="172"/>
      <c r="AOF150" s="172"/>
      <c r="AOG150" s="172"/>
      <c r="AOH150" s="172"/>
      <c r="AOI150" s="172"/>
      <c r="AOJ150" s="172"/>
      <c r="AOK150" s="172"/>
      <c r="AOL150" s="172"/>
      <c r="AOM150" s="172"/>
      <c r="AON150" s="172"/>
      <c r="AOO150" s="172"/>
      <c r="AOP150" s="172"/>
      <c r="AOQ150" s="172"/>
      <c r="AOR150" s="172"/>
      <c r="AOS150" s="172"/>
      <c r="AOT150" s="172"/>
      <c r="AOU150" s="172"/>
      <c r="AOV150" s="172"/>
      <c r="AOW150" s="172"/>
      <c r="AOX150" s="172"/>
      <c r="AOY150" s="172"/>
      <c r="AOZ150" s="172"/>
      <c r="APA150" s="172"/>
      <c r="APB150" s="172"/>
      <c r="APC150" s="172"/>
      <c r="APD150" s="172"/>
      <c r="APE150" s="172"/>
      <c r="APF150" s="172"/>
      <c r="APG150" s="172"/>
      <c r="APH150" s="172"/>
      <c r="API150" s="172"/>
      <c r="APJ150" s="172"/>
      <c r="APK150" s="172"/>
      <c r="APL150" s="172"/>
      <c r="APM150" s="172"/>
      <c r="APN150" s="172"/>
      <c r="APO150" s="172"/>
      <c r="APP150" s="172"/>
      <c r="APQ150" s="172"/>
      <c r="APR150" s="172"/>
      <c r="APS150" s="172"/>
      <c r="APT150" s="172"/>
      <c r="APU150" s="172"/>
      <c r="APV150" s="172"/>
      <c r="APW150" s="172"/>
      <c r="APX150" s="172"/>
      <c r="APY150" s="172"/>
      <c r="APZ150" s="172"/>
      <c r="AQA150" s="172"/>
      <c r="AQB150" s="172"/>
      <c r="AQC150" s="172"/>
      <c r="AQD150" s="172"/>
      <c r="AQE150" s="172"/>
      <c r="AQF150" s="172"/>
      <c r="AQG150" s="172"/>
      <c r="AQH150" s="172"/>
      <c r="AQI150" s="172"/>
      <c r="AQJ150" s="172"/>
      <c r="AQK150" s="172"/>
      <c r="AQL150" s="172"/>
      <c r="AQM150" s="172"/>
      <c r="AQN150" s="172"/>
      <c r="AQO150" s="172"/>
      <c r="AQP150" s="172"/>
      <c r="AQQ150" s="172"/>
      <c r="AQR150" s="172"/>
      <c r="AQS150" s="172"/>
      <c r="AQT150" s="172"/>
      <c r="AQU150" s="172"/>
      <c r="AQV150" s="172"/>
      <c r="AQW150" s="172"/>
      <c r="AQX150" s="172"/>
      <c r="AQY150" s="172"/>
      <c r="AQZ150" s="172"/>
      <c r="ARA150" s="172"/>
      <c r="ARB150" s="172"/>
      <c r="ARC150" s="172"/>
      <c r="ARD150" s="172"/>
      <c r="ARE150" s="172"/>
      <c r="ARF150" s="172"/>
      <c r="ARG150" s="172"/>
      <c r="ARH150" s="172"/>
      <c r="ARI150" s="172"/>
      <c r="ARJ150" s="172"/>
      <c r="ARK150" s="172"/>
      <c r="ARL150" s="172"/>
      <c r="ARM150" s="172"/>
      <c r="ARN150" s="172"/>
      <c r="ARO150" s="172"/>
      <c r="ARP150" s="172"/>
      <c r="ARQ150" s="172"/>
      <c r="ARR150" s="172"/>
      <c r="ARS150" s="172"/>
      <c r="ART150" s="172"/>
      <c r="ARU150" s="172"/>
    </row>
    <row r="151" spans="1:1165" s="257" customFormat="1">
      <c r="A151" s="222" t="s">
        <v>282</v>
      </c>
      <c r="B151" s="195" t="s">
        <v>87</v>
      </c>
      <c r="C151" s="258">
        <v>8042</v>
      </c>
      <c r="D151" s="258">
        <v>124123</v>
      </c>
      <c r="E151" s="198">
        <v>0</v>
      </c>
      <c r="F151" s="198">
        <v>0</v>
      </c>
      <c r="G151" s="198">
        <v>0</v>
      </c>
      <c r="H151" s="198">
        <v>0</v>
      </c>
      <c r="I151" s="198">
        <v>0</v>
      </c>
      <c r="J151" s="198">
        <v>0</v>
      </c>
      <c r="K151" s="198">
        <v>0</v>
      </c>
      <c r="L151" s="198">
        <v>0</v>
      </c>
      <c r="M151" s="198">
        <v>0</v>
      </c>
      <c r="N151" s="198">
        <v>0</v>
      </c>
      <c r="O151" s="198">
        <v>0</v>
      </c>
      <c r="P151" s="198">
        <v>0</v>
      </c>
      <c r="Q151" s="198">
        <v>0</v>
      </c>
      <c r="R151" s="198">
        <v>0</v>
      </c>
      <c r="S151" s="198">
        <v>0</v>
      </c>
      <c r="T151" s="198">
        <v>0</v>
      </c>
      <c r="U151" s="198">
        <v>0</v>
      </c>
      <c r="V151" s="198">
        <v>0</v>
      </c>
      <c r="W151" s="198">
        <v>0</v>
      </c>
      <c r="X151" s="198">
        <v>0</v>
      </c>
      <c r="Y151" s="198">
        <v>0</v>
      </c>
      <c r="Z151" s="198">
        <v>0</v>
      </c>
      <c r="AA151" s="198">
        <v>0</v>
      </c>
      <c r="AB151" s="198">
        <v>0</v>
      </c>
      <c r="AC151" s="198">
        <v>0</v>
      </c>
      <c r="AD151" s="198">
        <v>0</v>
      </c>
      <c r="AE151" s="198">
        <v>0</v>
      </c>
      <c r="AF151" s="198">
        <v>0</v>
      </c>
      <c r="AG151" s="198">
        <v>0</v>
      </c>
      <c r="AH151" s="198">
        <v>0</v>
      </c>
      <c r="AI151" s="198">
        <v>0</v>
      </c>
      <c r="AJ151" s="198">
        <v>0</v>
      </c>
      <c r="AK151" s="198">
        <v>0</v>
      </c>
      <c r="AL151" s="198">
        <v>0</v>
      </c>
      <c r="AM151" s="198">
        <v>0</v>
      </c>
      <c r="AN151" s="198">
        <v>0</v>
      </c>
      <c r="AO151" s="198">
        <v>0</v>
      </c>
      <c r="AP151" s="198">
        <v>0</v>
      </c>
      <c r="AQ151" s="198">
        <v>0</v>
      </c>
      <c r="AR151" s="198">
        <v>0</v>
      </c>
      <c r="AS151" s="198">
        <v>0</v>
      </c>
      <c r="AT151" s="198">
        <v>0</v>
      </c>
      <c r="AU151" s="198">
        <v>0</v>
      </c>
      <c r="AV151" s="198">
        <v>0</v>
      </c>
      <c r="AW151" s="198">
        <v>0</v>
      </c>
      <c r="AX151" s="198">
        <v>0</v>
      </c>
      <c r="AY151" s="198">
        <v>0</v>
      </c>
      <c r="AZ151" s="198">
        <v>0</v>
      </c>
      <c r="BA151" s="195"/>
      <c r="BB151" s="198"/>
      <c r="BC151" s="198"/>
      <c r="BD151" s="198"/>
      <c r="BE151" s="198"/>
      <c r="BF151" s="198"/>
      <c r="BG151" s="198"/>
      <c r="BH151" s="198"/>
      <c r="BI151" s="195"/>
      <c r="BJ151" s="198">
        <f t="shared" ref="BJ151:BJ154" si="70">C151+G151+I151+K151+M151+O151+Q151+S151+U151+W151+Y151+AA151+AC151+AE151+AG151+AI151+AK151+AM151+AO151+AQ151+AS151+AU151+AW151+AY151+BB151+BF151</f>
        <v>8042</v>
      </c>
      <c r="BK151" s="198">
        <f>D151+H151+J151+L151+N151+P151+R151+T151+V151+X151+Z151+AB151+AD151+AF151+AH151+AJ151+AL151+AN151+AP151+AR151+AT151+AV151+AX151+AZ151+BD151+BH151</f>
        <v>124123</v>
      </c>
      <c r="BL151" s="172"/>
      <c r="BM151" s="172"/>
      <c r="BN151" s="172"/>
      <c r="BO151" s="231"/>
      <c r="BP151" s="172"/>
      <c r="BQ151" s="172"/>
      <c r="BR151" s="172"/>
      <c r="BS151" s="172"/>
      <c r="BT151" s="172"/>
      <c r="BU151" s="172"/>
      <c r="BV151" s="172"/>
      <c r="BW151" s="172"/>
      <c r="BX151" s="172"/>
      <c r="BY151" s="172"/>
      <c r="BZ151" s="172"/>
      <c r="CA151" s="172"/>
      <c r="CB151" s="172"/>
      <c r="CC151" s="172"/>
      <c r="CD151" s="172"/>
      <c r="CE151" s="172"/>
      <c r="CF151" s="172"/>
      <c r="CG151" s="172"/>
      <c r="CH151" s="172"/>
      <c r="CI151" s="172"/>
      <c r="CJ151" s="172"/>
      <c r="CK151" s="172"/>
      <c r="CL151" s="172"/>
      <c r="CM151" s="172"/>
      <c r="CN151" s="172"/>
      <c r="CO151" s="172"/>
      <c r="CP151" s="172"/>
      <c r="CQ151" s="172"/>
      <c r="CR151" s="172"/>
      <c r="CS151" s="172"/>
      <c r="CT151" s="172"/>
      <c r="CU151" s="172"/>
      <c r="CV151" s="172"/>
      <c r="CW151" s="172"/>
      <c r="CX151" s="172"/>
      <c r="CY151" s="172"/>
      <c r="CZ151" s="172"/>
      <c r="DA151" s="172"/>
      <c r="DB151" s="172"/>
      <c r="DC151" s="172"/>
      <c r="DD151" s="172"/>
      <c r="DE151" s="172"/>
      <c r="DF151" s="172"/>
      <c r="DG151" s="172"/>
      <c r="DH151" s="172"/>
      <c r="DI151" s="172"/>
      <c r="DJ151" s="172"/>
      <c r="DK151" s="172"/>
      <c r="DL151" s="172"/>
      <c r="DM151" s="172"/>
      <c r="DN151" s="172"/>
      <c r="DO151" s="172"/>
      <c r="DP151" s="172"/>
      <c r="DQ151" s="172"/>
      <c r="DR151" s="172"/>
      <c r="DS151" s="172"/>
      <c r="DT151" s="172"/>
      <c r="DU151" s="172"/>
      <c r="DV151" s="172"/>
      <c r="DW151" s="172"/>
      <c r="DX151" s="172"/>
      <c r="DY151" s="172"/>
      <c r="DZ151" s="172"/>
      <c r="EA151" s="172"/>
      <c r="EB151" s="172"/>
      <c r="EC151" s="172"/>
      <c r="ED151" s="172"/>
      <c r="EE151" s="172"/>
      <c r="EF151" s="172"/>
      <c r="EG151" s="172"/>
      <c r="EH151" s="172"/>
      <c r="EI151" s="172"/>
      <c r="EJ151" s="172"/>
      <c r="EK151" s="172"/>
      <c r="EL151" s="172"/>
      <c r="EM151" s="172"/>
      <c r="EN151" s="172"/>
      <c r="EO151" s="172"/>
      <c r="EP151" s="172"/>
      <c r="EQ151" s="172"/>
      <c r="ER151" s="172"/>
      <c r="ES151" s="172"/>
      <c r="ET151" s="172"/>
      <c r="EU151" s="172"/>
      <c r="EV151" s="172"/>
      <c r="EW151" s="172"/>
      <c r="EX151" s="172"/>
      <c r="EY151" s="172"/>
      <c r="EZ151" s="172"/>
      <c r="FA151" s="172"/>
      <c r="FB151" s="172"/>
      <c r="FC151" s="172"/>
      <c r="FD151" s="172"/>
      <c r="FE151" s="172"/>
      <c r="FF151" s="172"/>
      <c r="FG151" s="172"/>
      <c r="FH151" s="172"/>
      <c r="FI151" s="172"/>
      <c r="FJ151" s="172"/>
      <c r="FK151" s="172"/>
      <c r="FL151" s="172"/>
      <c r="FM151" s="172"/>
      <c r="FN151" s="172"/>
      <c r="FO151" s="172"/>
      <c r="FP151" s="172"/>
      <c r="FQ151" s="172"/>
      <c r="FR151" s="172"/>
      <c r="FS151" s="172"/>
      <c r="FT151" s="172"/>
      <c r="FU151" s="172"/>
      <c r="FV151" s="172"/>
      <c r="FW151" s="172"/>
      <c r="FX151" s="172"/>
      <c r="FY151" s="172"/>
      <c r="FZ151" s="172"/>
      <c r="GA151" s="172"/>
      <c r="GB151" s="172"/>
      <c r="GC151" s="172"/>
      <c r="GD151" s="172"/>
      <c r="GE151" s="172"/>
      <c r="GF151" s="172"/>
      <c r="GG151" s="172"/>
      <c r="GH151" s="172"/>
      <c r="GI151" s="172"/>
      <c r="GJ151" s="172"/>
      <c r="GK151" s="172"/>
      <c r="GL151" s="172"/>
      <c r="GM151" s="172"/>
      <c r="GN151" s="172"/>
      <c r="GO151" s="172"/>
      <c r="GP151" s="172"/>
      <c r="GQ151" s="172"/>
      <c r="GR151" s="172"/>
      <c r="GS151" s="172"/>
      <c r="GT151" s="172"/>
      <c r="GU151" s="172"/>
      <c r="GV151" s="172"/>
      <c r="GW151" s="172"/>
      <c r="GX151" s="172"/>
      <c r="GY151" s="172"/>
      <c r="GZ151" s="172"/>
      <c r="HA151" s="172"/>
      <c r="HB151" s="172"/>
      <c r="HC151" s="172"/>
      <c r="HD151" s="172"/>
      <c r="HE151" s="172"/>
      <c r="HF151" s="172"/>
      <c r="HG151" s="172"/>
      <c r="HH151" s="172"/>
      <c r="HI151" s="172"/>
      <c r="HJ151" s="172"/>
      <c r="HK151" s="172"/>
      <c r="HL151" s="172"/>
      <c r="HM151" s="172"/>
      <c r="HN151" s="172"/>
      <c r="HO151" s="172"/>
      <c r="HP151" s="172"/>
      <c r="HQ151" s="172"/>
      <c r="HR151" s="172"/>
      <c r="HS151" s="172"/>
      <c r="HT151" s="172"/>
      <c r="HU151" s="172"/>
      <c r="HV151" s="172"/>
      <c r="HW151" s="172"/>
      <c r="HX151" s="172"/>
      <c r="HY151" s="172"/>
      <c r="HZ151" s="172"/>
      <c r="IA151" s="172"/>
      <c r="IB151" s="172"/>
      <c r="IC151" s="172"/>
      <c r="ID151" s="172"/>
      <c r="IE151" s="172"/>
      <c r="IF151" s="172"/>
      <c r="IG151" s="172"/>
      <c r="IH151" s="172"/>
      <c r="II151" s="172"/>
      <c r="IJ151" s="172"/>
      <c r="IK151" s="172"/>
      <c r="IL151" s="172"/>
      <c r="IM151" s="172"/>
      <c r="IN151" s="172"/>
      <c r="IO151" s="172"/>
      <c r="IP151" s="172"/>
      <c r="IQ151" s="172"/>
      <c r="IR151" s="172"/>
      <c r="IS151" s="172"/>
      <c r="IT151" s="172"/>
      <c r="IU151" s="172"/>
      <c r="IV151" s="172"/>
      <c r="IW151" s="172"/>
      <c r="IX151" s="172"/>
      <c r="IY151" s="172"/>
      <c r="IZ151" s="172"/>
      <c r="JA151" s="172"/>
      <c r="JB151" s="172"/>
      <c r="JC151" s="172"/>
      <c r="JD151" s="172"/>
      <c r="JE151" s="172"/>
      <c r="JF151" s="172"/>
      <c r="JG151" s="172"/>
      <c r="JH151" s="172"/>
      <c r="JI151" s="172"/>
      <c r="JJ151" s="172"/>
      <c r="JK151" s="172"/>
      <c r="JL151" s="172"/>
      <c r="JM151" s="172"/>
      <c r="JN151" s="172"/>
      <c r="JO151" s="172"/>
      <c r="JP151" s="172"/>
      <c r="JQ151" s="172"/>
      <c r="JR151" s="172"/>
      <c r="JS151" s="172"/>
      <c r="JT151" s="172"/>
      <c r="JU151" s="172"/>
      <c r="JV151" s="172"/>
      <c r="JW151" s="172"/>
      <c r="JX151" s="172"/>
      <c r="JY151" s="172"/>
      <c r="JZ151" s="172"/>
      <c r="KA151" s="172"/>
      <c r="KB151" s="172"/>
      <c r="KC151" s="172"/>
      <c r="KD151" s="172"/>
      <c r="KE151" s="172"/>
      <c r="KF151" s="172"/>
      <c r="KG151" s="172"/>
      <c r="KH151" s="172"/>
      <c r="KI151" s="172"/>
      <c r="KJ151" s="172"/>
      <c r="KK151" s="172"/>
      <c r="KL151" s="172"/>
      <c r="KM151" s="172"/>
      <c r="KN151" s="172"/>
      <c r="KO151" s="172"/>
      <c r="KP151" s="172"/>
      <c r="KQ151" s="172"/>
      <c r="KR151" s="172"/>
      <c r="KS151" s="172"/>
      <c r="KT151" s="172"/>
      <c r="KU151" s="172"/>
      <c r="KV151" s="172"/>
      <c r="KW151" s="172"/>
      <c r="KX151" s="172"/>
      <c r="KY151" s="172"/>
      <c r="KZ151" s="172"/>
      <c r="LA151" s="172"/>
      <c r="LB151" s="172"/>
      <c r="LC151" s="172"/>
      <c r="LD151" s="172"/>
      <c r="LE151" s="172"/>
      <c r="LF151" s="172"/>
      <c r="LG151" s="172"/>
      <c r="LH151" s="172"/>
      <c r="LI151" s="172"/>
      <c r="LJ151" s="172"/>
      <c r="LK151" s="172"/>
      <c r="LL151" s="172"/>
      <c r="LM151" s="172"/>
      <c r="LN151" s="172"/>
      <c r="LO151" s="172"/>
      <c r="LP151" s="172"/>
      <c r="LQ151" s="172"/>
      <c r="LR151" s="172"/>
      <c r="LS151" s="172"/>
      <c r="LT151" s="172"/>
      <c r="LU151" s="172"/>
      <c r="LV151" s="172"/>
      <c r="LW151" s="172"/>
      <c r="LX151" s="172"/>
      <c r="LY151" s="172"/>
      <c r="LZ151" s="172"/>
      <c r="MA151" s="172"/>
      <c r="MB151" s="172"/>
      <c r="MC151" s="172"/>
      <c r="MD151" s="172"/>
      <c r="ME151" s="172"/>
      <c r="MF151" s="172"/>
      <c r="MG151" s="172"/>
      <c r="MH151" s="172"/>
      <c r="MI151" s="172"/>
      <c r="MJ151" s="172"/>
      <c r="MK151" s="172"/>
      <c r="ML151" s="172"/>
      <c r="MM151" s="172"/>
      <c r="MN151" s="172"/>
      <c r="MO151" s="172"/>
      <c r="MP151" s="172"/>
      <c r="MQ151" s="172"/>
      <c r="MR151" s="172"/>
      <c r="MS151" s="172"/>
      <c r="MT151" s="172"/>
      <c r="MU151" s="172"/>
      <c r="MV151" s="172"/>
      <c r="MW151" s="172"/>
      <c r="MX151" s="172"/>
      <c r="MY151" s="172"/>
      <c r="MZ151" s="172"/>
      <c r="NA151" s="172"/>
      <c r="NB151" s="172"/>
      <c r="NC151" s="172"/>
      <c r="ND151" s="172"/>
      <c r="NE151" s="172"/>
      <c r="NF151" s="172"/>
      <c r="NG151" s="172"/>
      <c r="NH151" s="172"/>
      <c r="NI151" s="172"/>
      <c r="NJ151" s="172"/>
      <c r="NK151" s="172"/>
      <c r="NL151" s="172"/>
      <c r="NM151" s="172"/>
      <c r="NN151" s="172"/>
      <c r="NO151" s="172"/>
      <c r="NP151" s="172"/>
      <c r="NQ151" s="172"/>
      <c r="NR151" s="172"/>
      <c r="NS151" s="172"/>
      <c r="NT151" s="172"/>
      <c r="NU151" s="172"/>
      <c r="NV151" s="172"/>
      <c r="NW151" s="172"/>
      <c r="NX151" s="172"/>
      <c r="NY151" s="172"/>
      <c r="NZ151" s="172"/>
      <c r="OA151" s="172"/>
      <c r="OB151" s="172"/>
      <c r="OC151" s="172"/>
      <c r="OD151" s="172"/>
      <c r="OE151" s="172"/>
      <c r="OF151" s="172"/>
      <c r="OG151" s="172"/>
      <c r="OH151" s="172"/>
      <c r="OI151" s="172"/>
      <c r="OJ151" s="172"/>
      <c r="OK151" s="172"/>
      <c r="OL151" s="172"/>
      <c r="OM151" s="172"/>
      <c r="ON151" s="172"/>
      <c r="OO151" s="172"/>
      <c r="OP151" s="172"/>
      <c r="OQ151" s="172"/>
      <c r="OR151" s="172"/>
      <c r="OS151" s="172"/>
      <c r="OT151" s="172"/>
      <c r="OU151" s="172"/>
      <c r="OV151" s="172"/>
      <c r="OW151" s="172"/>
      <c r="OX151" s="172"/>
      <c r="OY151" s="172"/>
      <c r="OZ151" s="172"/>
      <c r="PA151" s="172"/>
      <c r="PB151" s="172"/>
      <c r="PC151" s="172"/>
      <c r="PD151" s="172"/>
      <c r="PE151" s="172"/>
      <c r="PF151" s="172"/>
      <c r="PG151" s="172"/>
      <c r="PH151" s="172"/>
      <c r="PI151" s="172"/>
      <c r="PJ151" s="172"/>
      <c r="PK151" s="172"/>
      <c r="PL151" s="172"/>
      <c r="PM151" s="172"/>
      <c r="PN151" s="172"/>
      <c r="PO151" s="172"/>
      <c r="PP151" s="172"/>
      <c r="PQ151" s="172"/>
      <c r="PR151" s="172"/>
      <c r="PS151" s="172"/>
      <c r="PT151" s="172"/>
      <c r="PU151" s="172"/>
      <c r="PV151" s="172"/>
      <c r="PW151" s="172"/>
      <c r="PX151" s="172"/>
      <c r="PY151" s="172"/>
      <c r="PZ151" s="172"/>
      <c r="QA151" s="172"/>
      <c r="QB151" s="172"/>
      <c r="QC151" s="172"/>
      <c r="QD151" s="172"/>
      <c r="QE151" s="172"/>
      <c r="QF151" s="172"/>
      <c r="QG151" s="172"/>
      <c r="QH151" s="172"/>
      <c r="QI151" s="172"/>
      <c r="QJ151" s="172"/>
      <c r="QK151" s="172"/>
      <c r="QL151" s="172"/>
      <c r="QM151" s="172"/>
      <c r="QN151" s="172"/>
      <c r="QO151" s="172"/>
      <c r="QP151" s="172"/>
      <c r="QQ151" s="172"/>
      <c r="QR151" s="172"/>
      <c r="QS151" s="172"/>
      <c r="QT151" s="172"/>
      <c r="QU151" s="172"/>
      <c r="QV151" s="172"/>
      <c r="QW151" s="172"/>
      <c r="QX151" s="172"/>
      <c r="QY151" s="172"/>
      <c r="QZ151" s="172"/>
      <c r="RA151" s="172"/>
      <c r="RB151" s="172"/>
      <c r="RC151" s="172"/>
      <c r="RD151" s="172"/>
      <c r="RE151" s="172"/>
      <c r="RF151" s="172"/>
      <c r="RG151" s="172"/>
      <c r="RH151" s="172"/>
      <c r="RI151" s="172"/>
      <c r="RJ151" s="172"/>
      <c r="RK151" s="172"/>
      <c r="RL151" s="172"/>
      <c r="RM151" s="172"/>
      <c r="RN151" s="172"/>
      <c r="RO151" s="172"/>
      <c r="RP151" s="172"/>
      <c r="RQ151" s="172"/>
      <c r="RR151" s="172"/>
      <c r="RS151" s="172"/>
      <c r="RT151" s="172"/>
      <c r="RU151" s="172"/>
      <c r="RV151" s="172"/>
      <c r="RW151" s="172"/>
      <c r="RX151" s="172"/>
      <c r="RY151" s="172"/>
      <c r="RZ151" s="172"/>
      <c r="SA151" s="172"/>
      <c r="SB151" s="172"/>
      <c r="SC151" s="172"/>
      <c r="SD151" s="172"/>
      <c r="SE151" s="172"/>
      <c r="SF151" s="172"/>
      <c r="SG151" s="172"/>
      <c r="SH151" s="172"/>
      <c r="SI151" s="172"/>
      <c r="SJ151" s="172"/>
      <c r="SK151" s="172"/>
      <c r="SL151" s="172"/>
      <c r="SM151" s="172"/>
      <c r="SN151" s="172"/>
      <c r="SO151" s="172"/>
      <c r="SP151" s="172"/>
      <c r="SQ151" s="172"/>
      <c r="SR151" s="172"/>
      <c r="SS151" s="172"/>
      <c r="ST151" s="172"/>
      <c r="SU151" s="172"/>
      <c r="SV151" s="172"/>
      <c r="SW151" s="172"/>
      <c r="SX151" s="172"/>
      <c r="SY151" s="172"/>
      <c r="SZ151" s="172"/>
      <c r="TA151" s="172"/>
      <c r="TB151" s="172"/>
      <c r="TC151" s="172"/>
      <c r="TD151" s="172"/>
      <c r="TE151" s="172"/>
      <c r="TF151" s="172"/>
      <c r="TG151" s="172"/>
      <c r="TH151" s="172"/>
      <c r="TI151" s="172"/>
      <c r="TJ151" s="172"/>
      <c r="TK151" s="172"/>
      <c r="TL151" s="172"/>
      <c r="TM151" s="172"/>
      <c r="TN151" s="172"/>
      <c r="TO151" s="172"/>
      <c r="TP151" s="172"/>
      <c r="TQ151" s="172"/>
      <c r="TR151" s="172"/>
      <c r="TS151" s="172"/>
      <c r="TT151" s="172"/>
      <c r="TU151" s="172"/>
      <c r="TV151" s="172"/>
      <c r="TW151" s="172"/>
      <c r="TX151" s="172"/>
      <c r="TY151" s="172"/>
      <c r="TZ151" s="172"/>
      <c r="UA151" s="172"/>
      <c r="UB151" s="172"/>
      <c r="UC151" s="172"/>
      <c r="UD151" s="172"/>
      <c r="UE151" s="172"/>
      <c r="UF151" s="172"/>
      <c r="UG151" s="172"/>
      <c r="UH151" s="172"/>
      <c r="UI151" s="172"/>
      <c r="UJ151" s="172"/>
      <c r="UK151" s="172"/>
      <c r="UL151" s="172"/>
      <c r="UM151" s="172"/>
      <c r="UN151" s="172"/>
      <c r="UO151" s="172"/>
      <c r="UP151" s="172"/>
      <c r="UQ151" s="172"/>
      <c r="UR151" s="172"/>
      <c r="US151" s="172"/>
      <c r="UT151" s="172"/>
      <c r="UU151" s="172"/>
      <c r="UV151" s="172"/>
      <c r="UW151" s="172"/>
      <c r="UX151" s="172"/>
      <c r="UY151" s="172"/>
      <c r="UZ151" s="172"/>
      <c r="VA151" s="172"/>
      <c r="VB151" s="172"/>
      <c r="VC151" s="172"/>
      <c r="VD151" s="172"/>
      <c r="VE151" s="172"/>
      <c r="VF151" s="172"/>
      <c r="VG151" s="172"/>
      <c r="VH151" s="172"/>
      <c r="VI151" s="172"/>
      <c r="VJ151" s="172"/>
      <c r="VK151" s="172"/>
      <c r="VL151" s="172"/>
      <c r="VM151" s="172"/>
      <c r="VN151" s="172"/>
      <c r="VO151" s="172"/>
      <c r="VP151" s="172"/>
      <c r="VQ151" s="172"/>
      <c r="VR151" s="172"/>
      <c r="VS151" s="172"/>
      <c r="VT151" s="172"/>
      <c r="VU151" s="172"/>
      <c r="VV151" s="172"/>
      <c r="VW151" s="172"/>
      <c r="VX151" s="172"/>
      <c r="VY151" s="172"/>
      <c r="VZ151" s="172"/>
      <c r="WA151" s="172"/>
      <c r="WB151" s="172"/>
      <c r="WC151" s="172"/>
      <c r="WD151" s="172"/>
      <c r="WE151" s="172"/>
      <c r="WF151" s="172"/>
      <c r="WG151" s="172"/>
      <c r="WH151" s="172"/>
      <c r="WI151" s="172"/>
      <c r="WJ151" s="172"/>
      <c r="WK151" s="172"/>
      <c r="WL151" s="172"/>
      <c r="WM151" s="172"/>
      <c r="WN151" s="172"/>
      <c r="WO151" s="172"/>
      <c r="WP151" s="172"/>
      <c r="WQ151" s="172"/>
      <c r="WR151" s="172"/>
      <c r="WS151" s="172"/>
      <c r="WT151" s="172"/>
      <c r="WU151" s="172"/>
      <c r="WV151" s="172"/>
      <c r="WW151" s="172"/>
      <c r="WX151" s="172"/>
      <c r="WY151" s="172"/>
      <c r="WZ151" s="172"/>
      <c r="XA151" s="172"/>
      <c r="XB151" s="172"/>
      <c r="XC151" s="172"/>
      <c r="XD151" s="172"/>
      <c r="XE151" s="172"/>
      <c r="XF151" s="172"/>
      <c r="XG151" s="172"/>
      <c r="XH151" s="172"/>
      <c r="XI151" s="172"/>
      <c r="XJ151" s="172"/>
      <c r="XK151" s="172"/>
      <c r="XL151" s="172"/>
      <c r="XM151" s="172"/>
      <c r="XN151" s="172"/>
      <c r="XO151" s="172"/>
      <c r="XP151" s="172"/>
      <c r="XQ151" s="172"/>
      <c r="XR151" s="172"/>
      <c r="XS151" s="172"/>
      <c r="XT151" s="172"/>
      <c r="XU151" s="172"/>
      <c r="XV151" s="172"/>
      <c r="XW151" s="172"/>
      <c r="XX151" s="172"/>
      <c r="XY151" s="172"/>
      <c r="XZ151" s="172"/>
      <c r="YA151" s="172"/>
      <c r="YB151" s="172"/>
      <c r="YC151" s="172"/>
      <c r="YD151" s="172"/>
      <c r="YE151" s="172"/>
      <c r="YF151" s="172"/>
      <c r="YG151" s="172"/>
      <c r="YH151" s="172"/>
      <c r="YI151" s="172"/>
      <c r="YJ151" s="172"/>
      <c r="YK151" s="172"/>
      <c r="YL151" s="172"/>
      <c r="YM151" s="172"/>
      <c r="YN151" s="172"/>
      <c r="YO151" s="172"/>
      <c r="YP151" s="172"/>
      <c r="YQ151" s="172"/>
      <c r="YR151" s="172"/>
      <c r="YS151" s="172"/>
      <c r="YT151" s="172"/>
      <c r="YU151" s="172"/>
      <c r="YV151" s="172"/>
      <c r="YW151" s="172"/>
      <c r="YX151" s="172"/>
      <c r="YY151" s="172"/>
      <c r="YZ151" s="172"/>
      <c r="ZA151" s="172"/>
      <c r="ZB151" s="172"/>
      <c r="ZC151" s="172"/>
      <c r="ZD151" s="172"/>
      <c r="ZE151" s="172"/>
      <c r="ZF151" s="172"/>
      <c r="ZG151" s="172"/>
      <c r="ZH151" s="172"/>
      <c r="ZI151" s="172"/>
      <c r="ZJ151" s="172"/>
      <c r="ZK151" s="172"/>
      <c r="ZL151" s="172"/>
      <c r="ZM151" s="172"/>
      <c r="ZN151" s="172"/>
      <c r="ZO151" s="172"/>
      <c r="ZP151" s="172"/>
      <c r="ZQ151" s="172"/>
      <c r="ZR151" s="172"/>
      <c r="ZS151" s="172"/>
      <c r="ZT151" s="172"/>
      <c r="ZU151" s="172"/>
      <c r="ZV151" s="172"/>
      <c r="ZW151" s="172"/>
      <c r="ZX151" s="172"/>
      <c r="ZY151" s="172"/>
      <c r="ZZ151" s="172"/>
      <c r="AAA151" s="172"/>
      <c r="AAB151" s="172"/>
      <c r="AAC151" s="172"/>
      <c r="AAD151" s="172"/>
      <c r="AAE151" s="172"/>
      <c r="AAF151" s="172"/>
      <c r="AAG151" s="172"/>
      <c r="AAH151" s="172"/>
      <c r="AAI151" s="172"/>
      <c r="AAJ151" s="172"/>
      <c r="AAK151" s="172"/>
      <c r="AAL151" s="172"/>
      <c r="AAM151" s="172"/>
      <c r="AAN151" s="172"/>
      <c r="AAO151" s="172"/>
      <c r="AAP151" s="172"/>
      <c r="AAQ151" s="172"/>
      <c r="AAR151" s="172"/>
      <c r="AAS151" s="172"/>
      <c r="AAT151" s="172"/>
      <c r="AAU151" s="172"/>
      <c r="AAV151" s="172"/>
      <c r="AAW151" s="172"/>
      <c r="AAX151" s="172"/>
      <c r="AAY151" s="172"/>
      <c r="AAZ151" s="172"/>
      <c r="ABA151" s="172"/>
      <c r="ABB151" s="172"/>
      <c r="ABC151" s="172"/>
      <c r="ABD151" s="172"/>
      <c r="ABE151" s="172"/>
      <c r="ABF151" s="172"/>
      <c r="ABG151" s="172"/>
      <c r="ABH151" s="172"/>
      <c r="ABI151" s="172"/>
      <c r="ABJ151" s="172"/>
      <c r="ABK151" s="172"/>
      <c r="ABL151" s="172"/>
      <c r="ABM151" s="172"/>
      <c r="ABN151" s="172"/>
      <c r="ABO151" s="172"/>
      <c r="ABP151" s="172"/>
      <c r="ABQ151" s="172"/>
      <c r="ABR151" s="172"/>
      <c r="ABS151" s="172"/>
      <c r="ABT151" s="172"/>
      <c r="ABU151" s="172"/>
      <c r="ABV151" s="172"/>
      <c r="ABW151" s="172"/>
      <c r="ABX151" s="172"/>
      <c r="ABY151" s="172"/>
      <c r="ABZ151" s="172"/>
      <c r="ACA151" s="172"/>
      <c r="ACB151" s="172"/>
      <c r="ACC151" s="172"/>
      <c r="ACD151" s="172"/>
      <c r="ACE151" s="172"/>
      <c r="ACF151" s="172"/>
      <c r="ACG151" s="172"/>
      <c r="ACH151" s="172"/>
      <c r="ACI151" s="172"/>
      <c r="ACJ151" s="172"/>
      <c r="ACK151" s="172"/>
      <c r="ACL151" s="172"/>
      <c r="ACM151" s="172"/>
      <c r="ACN151" s="172"/>
      <c r="ACO151" s="172"/>
      <c r="ACP151" s="172"/>
      <c r="ACQ151" s="172"/>
      <c r="ACR151" s="172"/>
      <c r="ACS151" s="172"/>
      <c r="ACT151" s="172"/>
      <c r="ACU151" s="172"/>
      <c r="ACV151" s="172"/>
      <c r="ACW151" s="172"/>
      <c r="ACX151" s="172"/>
      <c r="ACY151" s="172"/>
      <c r="ACZ151" s="172"/>
      <c r="ADA151" s="172"/>
      <c r="ADB151" s="172"/>
      <c r="ADC151" s="172"/>
      <c r="ADD151" s="172"/>
      <c r="ADE151" s="172"/>
      <c r="ADF151" s="172"/>
      <c r="ADG151" s="172"/>
      <c r="ADH151" s="172"/>
      <c r="ADI151" s="172"/>
      <c r="ADJ151" s="172"/>
      <c r="ADK151" s="172"/>
      <c r="ADL151" s="172"/>
      <c r="ADM151" s="172"/>
      <c r="ADN151" s="172"/>
      <c r="ADO151" s="172"/>
      <c r="ADP151" s="172"/>
      <c r="ADQ151" s="172"/>
      <c r="ADR151" s="172"/>
      <c r="ADS151" s="172"/>
      <c r="ADT151" s="172"/>
      <c r="ADU151" s="172"/>
      <c r="ADV151" s="172"/>
      <c r="ADW151" s="172"/>
      <c r="ADX151" s="172"/>
      <c r="ADY151" s="172"/>
      <c r="ADZ151" s="172"/>
      <c r="AEA151" s="172"/>
      <c r="AEB151" s="172"/>
      <c r="AEC151" s="172"/>
      <c r="AED151" s="172"/>
      <c r="AEE151" s="172"/>
      <c r="AEF151" s="172"/>
      <c r="AEG151" s="172"/>
      <c r="AEH151" s="172"/>
      <c r="AEI151" s="172"/>
      <c r="AEJ151" s="172"/>
      <c r="AEK151" s="172"/>
      <c r="AEL151" s="172"/>
      <c r="AEM151" s="172"/>
      <c r="AEN151" s="172"/>
      <c r="AEO151" s="172"/>
      <c r="AEP151" s="172"/>
      <c r="AEQ151" s="172"/>
      <c r="AER151" s="172"/>
      <c r="AES151" s="172"/>
      <c r="AET151" s="172"/>
      <c r="AEU151" s="172"/>
      <c r="AEV151" s="172"/>
      <c r="AEW151" s="172"/>
      <c r="AEX151" s="172"/>
      <c r="AEY151" s="172"/>
      <c r="AEZ151" s="172"/>
      <c r="AFA151" s="172"/>
      <c r="AFB151" s="172"/>
      <c r="AFC151" s="172"/>
      <c r="AFD151" s="172"/>
      <c r="AFE151" s="172"/>
      <c r="AFF151" s="172"/>
      <c r="AFG151" s="172"/>
      <c r="AFH151" s="172"/>
      <c r="AFI151" s="172"/>
      <c r="AFJ151" s="172"/>
      <c r="AFK151" s="172"/>
      <c r="AFL151" s="172"/>
      <c r="AFM151" s="172"/>
      <c r="AFN151" s="172"/>
      <c r="AFO151" s="172"/>
      <c r="AFP151" s="172"/>
      <c r="AFQ151" s="172"/>
      <c r="AFR151" s="172"/>
      <c r="AFS151" s="172"/>
      <c r="AFT151" s="172"/>
      <c r="AFU151" s="172"/>
      <c r="AFV151" s="172"/>
      <c r="AFW151" s="172"/>
      <c r="AFX151" s="172"/>
      <c r="AFY151" s="172"/>
      <c r="AFZ151" s="172"/>
      <c r="AGA151" s="172"/>
      <c r="AGB151" s="172"/>
      <c r="AGC151" s="172"/>
      <c r="AGD151" s="172"/>
      <c r="AGE151" s="172"/>
      <c r="AGF151" s="172"/>
      <c r="AGG151" s="172"/>
      <c r="AGH151" s="172"/>
      <c r="AGI151" s="172"/>
      <c r="AGJ151" s="172"/>
      <c r="AGK151" s="172"/>
      <c r="AGL151" s="172"/>
      <c r="AGM151" s="172"/>
      <c r="AGN151" s="172"/>
      <c r="AGO151" s="172"/>
      <c r="AGP151" s="172"/>
      <c r="AGQ151" s="172"/>
      <c r="AGR151" s="172"/>
      <c r="AGS151" s="172"/>
      <c r="AGT151" s="172"/>
      <c r="AGU151" s="172"/>
      <c r="AGV151" s="172"/>
      <c r="AGW151" s="172"/>
      <c r="AGX151" s="172"/>
      <c r="AGY151" s="172"/>
      <c r="AGZ151" s="172"/>
      <c r="AHA151" s="172"/>
      <c r="AHB151" s="172"/>
      <c r="AHC151" s="172"/>
      <c r="AHD151" s="172"/>
      <c r="AHE151" s="172"/>
      <c r="AHF151" s="172"/>
      <c r="AHG151" s="172"/>
      <c r="AHH151" s="172"/>
      <c r="AHI151" s="172"/>
      <c r="AHJ151" s="172"/>
      <c r="AHK151" s="172"/>
      <c r="AHL151" s="172"/>
      <c r="AHM151" s="172"/>
      <c r="AHN151" s="172"/>
      <c r="AHO151" s="172"/>
      <c r="AHP151" s="172"/>
      <c r="AHQ151" s="172"/>
      <c r="AHR151" s="172"/>
      <c r="AHS151" s="172"/>
      <c r="AHT151" s="172"/>
      <c r="AHU151" s="172"/>
      <c r="AHV151" s="172"/>
      <c r="AHW151" s="172"/>
      <c r="AHX151" s="172"/>
      <c r="AHY151" s="172"/>
      <c r="AHZ151" s="172"/>
      <c r="AIA151" s="172"/>
      <c r="AIB151" s="172"/>
      <c r="AIC151" s="172"/>
      <c r="AID151" s="172"/>
      <c r="AIE151" s="172"/>
      <c r="AIF151" s="172"/>
      <c r="AIG151" s="172"/>
      <c r="AIH151" s="172"/>
      <c r="AII151" s="172"/>
      <c r="AIJ151" s="172"/>
      <c r="AIK151" s="172"/>
      <c r="AIL151" s="172"/>
      <c r="AIM151" s="172"/>
      <c r="AIN151" s="172"/>
      <c r="AIO151" s="172"/>
      <c r="AIP151" s="172"/>
      <c r="AIQ151" s="172"/>
      <c r="AIR151" s="172"/>
      <c r="AIS151" s="172"/>
      <c r="AIT151" s="172"/>
      <c r="AIU151" s="172"/>
      <c r="AIV151" s="172"/>
      <c r="AIW151" s="172"/>
      <c r="AIX151" s="172"/>
      <c r="AIY151" s="172"/>
      <c r="AIZ151" s="172"/>
      <c r="AJA151" s="172"/>
      <c r="AJB151" s="172"/>
      <c r="AJC151" s="172"/>
      <c r="AJD151" s="172"/>
      <c r="AJE151" s="172"/>
      <c r="AJF151" s="172"/>
      <c r="AJG151" s="172"/>
      <c r="AJH151" s="172"/>
      <c r="AJI151" s="172"/>
      <c r="AJJ151" s="172"/>
      <c r="AJK151" s="172"/>
      <c r="AJL151" s="172"/>
      <c r="AJM151" s="172"/>
      <c r="AJN151" s="172"/>
      <c r="AJO151" s="172"/>
      <c r="AJP151" s="172"/>
      <c r="AJQ151" s="172"/>
      <c r="AJR151" s="172"/>
      <c r="AJS151" s="172"/>
      <c r="AJT151" s="172"/>
      <c r="AJU151" s="172"/>
      <c r="AJV151" s="172"/>
      <c r="AJW151" s="172"/>
      <c r="AJX151" s="172"/>
      <c r="AJY151" s="172"/>
      <c r="AJZ151" s="172"/>
      <c r="AKA151" s="172"/>
      <c r="AKB151" s="172"/>
      <c r="AKC151" s="172"/>
      <c r="AKD151" s="172"/>
      <c r="AKE151" s="172"/>
      <c r="AKF151" s="172"/>
      <c r="AKG151" s="172"/>
      <c r="AKH151" s="172"/>
      <c r="AKI151" s="172"/>
      <c r="AKJ151" s="172"/>
      <c r="AKK151" s="172"/>
      <c r="AKL151" s="172"/>
      <c r="AKM151" s="172"/>
      <c r="AKN151" s="172"/>
      <c r="AKO151" s="172"/>
      <c r="AKP151" s="172"/>
      <c r="AKQ151" s="172"/>
      <c r="AKR151" s="172"/>
      <c r="AKS151" s="172"/>
      <c r="AKT151" s="172"/>
      <c r="AKU151" s="172"/>
      <c r="AKV151" s="172"/>
      <c r="AKW151" s="172"/>
      <c r="AKX151" s="172"/>
      <c r="AKY151" s="172"/>
      <c r="AKZ151" s="172"/>
      <c r="ALA151" s="172"/>
      <c r="ALB151" s="172"/>
      <c r="ALC151" s="172"/>
      <c r="ALD151" s="172"/>
      <c r="ALE151" s="172"/>
      <c r="ALF151" s="172"/>
      <c r="ALG151" s="172"/>
      <c r="ALH151" s="172"/>
      <c r="ALI151" s="172"/>
      <c r="ALJ151" s="172"/>
      <c r="ALK151" s="172"/>
      <c r="ALL151" s="172"/>
      <c r="ALM151" s="172"/>
      <c r="ALN151" s="172"/>
      <c r="ALO151" s="172"/>
      <c r="ALP151" s="172"/>
      <c r="ALQ151" s="172"/>
      <c r="ALR151" s="172"/>
      <c r="ALS151" s="172"/>
      <c r="ALT151" s="172"/>
      <c r="ALU151" s="172"/>
      <c r="ALV151" s="172"/>
      <c r="ALW151" s="172"/>
      <c r="ALX151" s="172"/>
      <c r="ALY151" s="172"/>
      <c r="ALZ151" s="172"/>
      <c r="AMA151" s="172"/>
      <c r="AMB151" s="172"/>
      <c r="AMC151" s="172"/>
      <c r="AMD151" s="172"/>
      <c r="AME151" s="172"/>
      <c r="AMF151" s="172"/>
      <c r="AMG151" s="172"/>
      <c r="AMH151" s="172"/>
      <c r="AMI151" s="172"/>
      <c r="AMJ151" s="172"/>
      <c r="AMK151" s="172"/>
      <c r="AML151" s="172"/>
      <c r="AMM151" s="172"/>
      <c r="AMN151" s="172"/>
      <c r="AMO151" s="172"/>
      <c r="AMP151" s="172"/>
      <c r="AMQ151" s="172"/>
      <c r="AMR151" s="172"/>
      <c r="AMS151" s="172"/>
      <c r="AMT151" s="172"/>
      <c r="AMU151" s="172"/>
      <c r="AMV151" s="172"/>
      <c r="AMW151" s="172"/>
      <c r="AMX151" s="172"/>
      <c r="AMY151" s="172"/>
      <c r="AMZ151" s="172"/>
      <c r="ANA151" s="172"/>
      <c r="ANB151" s="172"/>
      <c r="ANC151" s="172"/>
      <c r="AND151" s="172"/>
      <c r="ANE151" s="172"/>
      <c r="ANF151" s="172"/>
      <c r="ANG151" s="172"/>
      <c r="ANH151" s="172"/>
      <c r="ANI151" s="172"/>
      <c r="ANJ151" s="172"/>
      <c r="ANK151" s="172"/>
      <c r="ANL151" s="172"/>
      <c r="ANM151" s="172"/>
      <c r="ANN151" s="172"/>
      <c r="ANO151" s="172"/>
      <c r="ANP151" s="172"/>
      <c r="ANQ151" s="172"/>
      <c r="ANR151" s="172"/>
      <c r="ANS151" s="172"/>
      <c r="ANT151" s="172"/>
      <c r="ANU151" s="172"/>
      <c r="ANV151" s="172"/>
      <c r="ANW151" s="172"/>
      <c r="ANX151" s="172"/>
      <c r="ANY151" s="172"/>
      <c r="ANZ151" s="172"/>
      <c r="AOA151" s="172"/>
      <c r="AOB151" s="172"/>
      <c r="AOC151" s="172"/>
      <c r="AOD151" s="172"/>
      <c r="AOE151" s="172"/>
      <c r="AOF151" s="172"/>
      <c r="AOG151" s="172"/>
      <c r="AOH151" s="172"/>
      <c r="AOI151" s="172"/>
      <c r="AOJ151" s="172"/>
      <c r="AOK151" s="172"/>
      <c r="AOL151" s="172"/>
      <c r="AOM151" s="172"/>
      <c r="AON151" s="172"/>
      <c r="AOO151" s="172"/>
      <c r="AOP151" s="172"/>
      <c r="AOQ151" s="172"/>
      <c r="AOR151" s="172"/>
      <c r="AOS151" s="172"/>
      <c r="AOT151" s="172"/>
      <c r="AOU151" s="172"/>
      <c r="AOV151" s="172"/>
      <c r="AOW151" s="172"/>
      <c r="AOX151" s="172"/>
      <c r="AOY151" s="172"/>
      <c r="AOZ151" s="172"/>
      <c r="APA151" s="172"/>
      <c r="APB151" s="172"/>
      <c r="APC151" s="172"/>
      <c r="APD151" s="172"/>
      <c r="APE151" s="172"/>
      <c r="APF151" s="172"/>
      <c r="APG151" s="172"/>
      <c r="APH151" s="172"/>
      <c r="API151" s="172"/>
      <c r="APJ151" s="172"/>
      <c r="APK151" s="172"/>
      <c r="APL151" s="172"/>
      <c r="APM151" s="172"/>
      <c r="APN151" s="172"/>
      <c r="APO151" s="172"/>
      <c r="APP151" s="172"/>
      <c r="APQ151" s="172"/>
      <c r="APR151" s="172"/>
      <c r="APS151" s="172"/>
      <c r="APT151" s="172"/>
      <c r="APU151" s="172"/>
      <c r="APV151" s="172"/>
      <c r="APW151" s="172"/>
      <c r="APX151" s="172"/>
      <c r="APY151" s="172"/>
      <c r="APZ151" s="172"/>
      <c r="AQA151" s="172"/>
      <c r="AQB151" s="172"/>
      <c r="AQC151" s="172"/>
      <c r="AQD151" s="172"/>
      <c r="AQE151" s="172"/>
      <c r="AQF151" s="172"/>
      <c r="AQG151" s="172"/>
      <c r="AQH151" s="172"/>
      <c r="AQI151" s="172"/>
      <c r="AQJ151" s="172"/>
      <c r="AQK151" s="172"/>
      <c r="AQL151" s="172"/>
      <c r="AQM151" s="172"/>
      <c r="AQN151" s="172"/>
      <c r="AQO151" s="172"/>
      <c r="AQP151" s="172"/>
      <c r="AQQ151" s="172"/>
      <c r="AQR151" s="172"/>
      <c r="AQS151" s="172"/>
      <c r="AQT151" s="172"/>
      <c r="AQU151" s="172"/>
      <c r="AQV151" s="172"/>
      <c r="AQW151" s="172"/>
      <c r="AQX151" s="172"/>
      <c r="AQY151" s="172"/>
      <c r="AQZ151" s="172"/>
      <c r="ARA151" s="172"/>
      <c r="ARB151" s="172"/>
      <c r="ARC151" s="172"/>
      <c r="ARD151" s="172"/>
      <c r="ARE151" s="172"/>
      <c r="ARF151" s="172"/>
      <c r="ARG151" s="172"/>
      <c r="ARH151" s="172"/>
      <c r="ARI151" s="172"/>
      <c r="ARJ151" s="172"/>
      <c r="ARK151" s="172"/>
      <c r="ARL151" s="172"/>
      <c r="ARM151" s="172"/>
      <c r="ARN151" s="172"/>
      <c r="ARO151" s="172"/>
      <c r="ARP151" s="172"/>
      <c r="ARQ151" s="172"/>
      <c r="ARR151" s="172"/>
      <c r="ARS151" s="172"/>
      <c r="ART151" s="172"/>
      <c r="ARU151" s="172"/>
    </row>
    <row r="152" spans="1:1165" s="257" customFormat="1">
      <c r="A152" s="222" t="s">
        <v>310</v>
      </c>
      <c r="B152" s="195" t="s">
        <v>87</v>
      </c>
      <c r="C152" s="258">
        <v>108</v>
      </c>
      <c r="D152" s="258">
        <v>3627</v>
      </c>
      <c r="E152" s="198">
        <v>0</v>
      </c>
      <c r="F152" s="198">
        <v>0</v>
      </c>
      <c r="G152" s="198">
        <v>0</v>
      </c>
      <c r="H152" s="198">
        <v>0</v>
      </c>
      <c r="I152" s="198">
        <v>0</v>
      </c>
      <c r="J152" s="198">
        <v>0</v>
      </c>
      <c r="K152" s="198">
        <v>2492</v>
      </c>
      <c r="L152" s="198">
        <v>464041</v>
      </c>
      <c r="M152" s="198">
        <v>6668</v>
      </c>
      <c r="N152" s="198">
        <v>1380851</v>
      </c>
      <c r="O152" s="198">
        <v>12009</v>
      </c>
      <c r="P152" s="198">
        <v>1428714</v>
      </c>
      <c r="Q152" s="198">
        <v>8530</v>
      </c>
      <c r="R152" s="198">
        <v>2682232</v>
      </c>
      <c r="S152" s="198">
        <v>16621</v>
      </c>
      <c r="T152" s="198">
        <v>3320514</v>
      </c>
      <c r="U152" s="211">
        <v>27396</v>
      </c>
      <c r="V152" s="211">
        <v>4772858</v>
      </c>
      <c r="W152" s="211">
        <v>39105</v>
      </c>
      <c r="X152" s="211">
        <v>7118550</v>
      </c>
      <c r="Y152" s="198">
        <v>50576</v>
      </c>
      <c r="Z152" s="198">
        <v>7525463</v>
      </c>
      <c r="AA152" s="226">
        <v>43281</v>
      </c>
      <c r="AB152" s="226">
        <v>7619341</v>
      </c>
      <c r="AC152" s="198">
        <v>39980</v>
      </c>
      <c r="AD152" s="198">
        <v>8095473</v>
      </c>
      <c r="AE152" s="196">
        <v>33353</v>
      </c>
      <c r="AF152" s="196">
        <v>8358894</v>
      </c>
      <c r="AG152" s="196">
        <v>61708</v>
      </c>
      <c r="AH152" s="196">
        <v>11246613</v>
      </c>
      <c r="AI152" s="196">
        <v>80135</v>
      </c>
      <c r="AJ152" s="196">
        <v>12019364</v>
      </c>
      <c r="AK152" s="260">
        <v>139287</v>
      </c>
      <c r="AL152" s="260">
        <v>18289945</v>
      </c>
      <c r="AM152" s="261">
        <v>56567</v>
      </c>
      <c r="AN152" s="261">
        <v>10701568</v>
      </c>
      <c r="AO152" s="196">
        <v>42337</v>
      </c>
      <c r="AP152" s="196">
        <v>10243876</v>
      </c>
      <c r="AQ152" s="196">
        <v>54023</v>
      </c>
      <c r="AR152" s="196">
        <v>11453258</v>
      </c>
      <c r="AS152" s="196">
        <v>65504</v>
      </c>
      <c r="AT152" s="196">
        <v>16458150</v>
      </c>
      <c r="AU152" s="226">
        <v>79859</v>
      </c>
      <c r="AV152" s="198" t="s">
        <v>785</v>
      </c>
      <c r="AW152" s="198">
        <v>79085</v>
      </c>
      <c r="AX152" s="198" t="s">
        <v>785</v>
      </c>
      <c r="AY152" s="198">
        <v>124410</v>
      </c>
      <c r="AZ152" s="198" t="s">
        <v>785</v>
      </c>
      <c r="BA152" s="262"/>
      <c r="BB152" s="198"/>
      <c r="BC152" s="198"/>
      <c r="BD152" s="198"/>
      <c r="BE152" s="198"/>
      <c r="BF152" s="198"/>
      <c r="BG152" s="198"/>
      <c r="BH152" s="198"/>
      <c r="BI152" s="262"/>
      <c r="BJ152" s="198">
        <f t="shared" si="70"/>
        <v>1063034</v>
      </c>
      <c r="BK152" s="198">
        <f>D152+H152+J152+L152+N152+P152+R152+T152+V152+X152+Z152+AB152+AD152+AF152+AH152+AJ152+AL152+AN152+AP152+AR152+AT152</f>
        <v>143183332</v>
      </c>
      <c r="BL152" s="172"/>
      <c r="BM152" s="172"/>
      <c r="BN152" s="172"/>
      <c r="BO152" s="231"/>
      <c r="BP152" s="172"/>
      <c r="BQ152" s="172"/>
      <c r="BR152" s="172"/>
      <c r="BS152" s="172"/>
      <c r="BT152" s="172"/>
      <c r="BU152" s="172"/>
      <c r="BV152" s="172"/>
      <c r="BW152" s="172"/>
      <c r="BX152" s="172"/>
      <c r="BY152" s="172"/>
      <c r="BZ152" s="172"/>
      <c r="CA152" s="172"/>
      <c r="CB152" s="172"/>
      <c r="CC152" s="172"/>
      <c r="CD152" s="172"/>
      <c r="CE152" s="172"/>
      <c r="CF152" s="172"/>
      <c r="CG152" s="172"/>
      <c r="CH152" s="172"/>
      <c r="CI152" s="172"/>
      <c r="CJ152" s="172"/>
      <c r="CK152" s="172"/>
      <c r="CL152" s="172"/>
      <c r="CM152" s="172"/>
      <c r="CN152" s="172"/>
      <c r="CO152" s="172"/>
      <c r="CP152" s="172"/>
      <c r="CQ152" s="172"/>
      <c r="CR152" s="172"/>
      <c r="CS152" s="172"/>
      <c r="CT152" s="172"/>
      <c r="CU152" s="172"/>
      <c r="CV152" s="172"/>
      <c r="CW152" s="172"/>
      <c r="CX152" s="172"/>
      <c r="CY152" s="172"/>
      <c r="CZ152" s="172"/>
      <c r="DA152" s="172"/>
      <c r="DB152" s="172"/>
      <c r="DC152" s="172"/>
      <c r="DD152" s="172"/>
      <c r="DE152" s="172"/>
      <c r="DF152" s="172"/>
      <c r="DG152" s="172"/>
      <c r="DH152" s="172"/>
      <c r="DI152" s="172"/>
      <c r="DJ152" s="172"/>
      <c r="DK152" s="172"/>
      <c r="DL152" s="172"/>
      <c r="DM152" s="172"/>
      <c r="DN152" s="172"/>
      <c r="DO152" s="172"/>
      <c r="DP152" s="172"/>
      <c r="DQ152" s="172"/>
      <c r="DR152" s="172"/>
      <c r="DS152" s="172"/>
      <c r="DT152" s="172"/>
      <c r="DU152" s="172"/>
      <c r="DV152" s="172"/>
      <c r="DW152" s="172"/>
      <c r="DX152" s="172"/>
      <c r="DY152" s="172"/>
      <c r="DZ152" s="172"/>
      <c r="EA152" s="172"/>
      <c r="EB152" s="172"/>
      <c r="EC152" s="172"/>
      <c r="ED152" s="172"/>
      <c r="EE152" s="172"/>
      <c r="EF152" s="172"/>
      <c r="EG152" s="172"/>
      <c r="EH152" s="172"/>
      <c r="EI152" s="172"/>
      <c r="EJ152" s="172"/>
      <c r="EK152" s="172"/>
      <c r="EL152" s="172"/>
      <c r="EM152" s="172"/>
      <c r="EN152" s="172"/>
      <c r="EO152" s="172"/>
      <c r="EP152" s="172"/>
      <c r="EQ152" s="172"/>
      <c r="ER152" s="172"/>
      <c r="ES152" s="172"/>
      <c r="ET152" s="172"/>
      <c r="EU152" s="172"/>
      <c r="EV152" s="172"/>
      <c r="EW152" s="172"/>
      <c r="EX152" s="172"/>
      <c r="EY152" s="172"/>
      <c r="EZ152" s="172"/>
      <c r="FA152" s="172"/>
      <c r="FB152" s="172"/>
      <c r="FC152" s="172"/>
      <c r="FD152" s="172"/>
      <c r="FE152" s="172"/>
      <c r="FF152" s="172"/>
      <c r="FG152" s="172"/>
      <c r="FH152" s="172"/>
      <c r="FI152" s="172"/>
      <c r="FJ152" s="172"/>
      <c r="FK152" s="172"/>
      <c r="FL152" s="172"/>
      <c r="FM152" s="172"/>
      <c r="FN152" s="172"/>
      <c r="FO152" s="172"/>
      <c r="FP152" s="172"/>
      <c r="FQ152" s="172"/>
      <c r="FR152" s="172"/>
      <c r="FS152" s="172"/>
      <c r="FT152" s="172"/>
      <c r="FU152" s="172"/>
      <c r="FV152" s="172"/>
      <c r="FW152" s="172"/>
      <c r="FX152" s="172"/>
      <c r="FY152" s="172"/>
      <c r="FZ152" s="172"/>
      <c r="GA152" s="172"/>
      <c r="GB152" s="172"/>
      <c r="GC152" s="172"/>
      <c r="GD152" s="172"/>
      <c r="GE152" s="172"/>
      <c r="GF152" s="172"/>
      <c r="GG152" s="172"/>
      <c r="GH152" s="172"/>
      <c r="GI152" s="172"/>
      <c r="GJ152" s="172"/>
      <c r="GK152" s="172"/>
      <c r="GL152" s="172"/>
      <c r="GM152" s="172"/>
      <c r="GN152" s="172"/>
      <c r="GO152" s="172"/>
      <c r="GP152" s="172"/>
      <c r="GQ152" s="172"/>
      <c r="GR152" s="172"/>
      <c r="GS152" s="172"/>
      <c r="GT152" s="172"/>
      <c r="GU152" s="172"/>
      <c r="GV152" s="172"/>
      <c r="GW152" s="172"/>
      <c r="GX152" s="172"/>
      <c r="GY152" s="172"/>
      <c r="GZ152" s="172"/>
      <c r="HA152" s="172"/>
      <c r="HB152" s="172"/>
      <c r="HC152" s="172"/>
      <c r="HD152" s="172"/>
      <c r="HE152" s="172"/>
      <c r="HF152" s="172"/>
      <c r="HG152" s="172"/>
      <c r="HH152" s="172"/>
      <c r="HI152" s="172"/>
      <c r="HJ152" s="172"/>
      <c r="HK152" s="172"/>
      <c r="HL152" s="172"/>
      <c r="HM152" s="172"/>
      <c r="HN152" s="172"/>
      <c r="HO152" s="172"/>
      <c r="HP152" s="172"/>
      <c r="HQ152" s="172"/>
      <c r="HR152" s="172"/>
      <c r="HS152" s="172"/>
      <c r="HT152" s="172"/>
      <c r="HU152" s="172"/>
      <c r="HV152" s="172"/>
      <c r="HW152" s="172"/>
      <c r="HX152" s="172"/>
      <c r="HY152" s="172"/>
      <c r="HZ152" s="172"/>
      <c r="IA152" s="172"/>
      <c r="IB152" s="172"/>
      <c r="IC152" s="172"/>
      <c r="ID152" s="172"/>
      <c r="IE152" s="172"/>
      <c r="IF152" s="172"/>
      <c r="IG152" s="172"/>
      <c r="IH152" s="172"/>
      <c r="II152" s="172"/>
      <c r="IJ152" s="172"/>
      <c r="IK152" s="172"/>
      <c r="IL152" s="172"/>
      <c r="IM152" s="172"/>
      <c r="IN152" s="172"/>
      <c r="IO152" s="172"/>
      <c r="IP152" s="172"/>
      <c r="IQ152" s="172"/>
      <c r="IR152" s="172"/>
      <c r="IS152" s="172"/>
      <c r="IT152" s="172"/>
      <c r="IU152" s="172"/>
      <c r="IV152" s="172"/>
      <c r="IW152" s="172"/>
      <c r="IX152" s="172"/>
      <c r="IY152" s="172"/>
      <c r="IZ152" s="172"/>
      <c r="JA152" s="172"/>
      <c r="JB152" s="172"/>
      <c r="JC152" s="172"/>
      <c r="JD152" s="172"/>
      <c r="JE152" s="172"/>
      <c r="JF152" s="172"/>
      <c r="JG152" s="172"/>
      <c r="JH152" s="172"/>
      <c r="JI152" s="172"/>
      <c r="JJ152" s="172"/>
      <c r="JK152" s="172"/>
      <c r="JL152" s="172"/>
      <c r="JM152" s="172"/>
      <c r="JN152" s="172"/>
      <c r="JO152" s="172"/>
      <c r="JP152" s="172"/>
      <c r="JQ152" s="172"/>
      <c r="JR152" s="172"/>
      <c r="JS152" s="172"/>
      <c r="JT152" s="172"/>
      <c r="JU152" s="172"/>
      <c r="JV152" s="172"/>
      <c r="JW152" s="172"/>
      <c r="JX152" s="172"/>
      <c r="JY152" s="172"/>
      <c r="JZ152" s="172"/>
      <c r="KA152" s="172"/>
      <c r="KB152" s="172"/>
      <c r="KC152" s="172"/>
      <c r="KD152" s="172"/>
      <c r="KE152" s="172"/>
      <c r="KF152" s="172"/>
      <c r="KG152" s="172"/>
      <c r="KH152" s="172"/>
      <c r="KI152" s="172"/>
      <c r="KJ152" s="172"/>
      <c r="KK152" s="172"/>
      <c r="KL152" s="172"/>
      <c r="KM152" s="172"/>
      <c r="KN152" s="172"/>
      <c r="KO152" s="172"/>
      <c r="KP152" s="172"/>
      <c r="KQ152" s="172"/>
      <c r="KR152" s="172"/>
      <c r="KS152" s="172"/>
      <c r="KT152" s="172"/>
      <c r="KU152" s="172"/>
      <c r="KV152" s="172"/>
      <c r="KW152" s="172"/>
      <c r="KX152" s="172"/>
      <c r="KY152" s="172"/>
      <c r="KZ152" s="172"/>
      <c r="LA152" s="172"/>
      <c r="LB152" s="172"/>
      <c r="LC152" s="172"/>
      <c r="LD152" s="172"/>
      <c r="LE152" s="172"/>
      <c r="LF152" s="172"/>
      <c r="LG152" s="172"/>
      <c r="LH152" s="172"/>
      <c r="LI152" s="172"/>
      <c r="LJ152" s="172"/>
      <c r="LK152" s="172"/>
      <c r="LL152" s="172"/>
      <c r="LM152" s="172"/>
      <c r="LN152" s="172"/>
      <c r="LO152" s="172"/>
      <c r="LP152" s="172"/>
      <c r="LQ152" s="172"/>
      <c r="LR152" s="172"/>
      <c r="LS152" s="172"/>
      <c r="LT152" s="172"/>
      <c r="LU152" s="172"/>
      <c r="LV152" s="172"/>
      <c r="LW152" s="172"/>
      <c r="LX152" s="172"/>
      <c r="LY152" s="172"/>
      <c r="LZ152" s="172"/>
      <c r="MA152" s="172"/>
      <c r="MB152" s="172"/>
      <c r="MC152" s="172"/>
      <c r="MD152" s="172"/>
      <c r="ME152" s="172"/>
      <c r="MF152" s="172"/>
      <c r="MG152" s="172"/>
      <c r="MH152" s="172"/>
      <c r="MI152" s="172"/>
      <c r="MJ152" s="172"/>
      <c r="MK152" s="172"/>
      <c r="ML152" s="172"/>
      <c r="MM152" s="172"/>
      <c r="MN152" s="172"/>
      <c r="MO152" s="172"/>
      <c r="MP152" s="172"/>
      <c r="MQ152" s="172"/>
      <c r="MR152" s="172"/>
      <c r="MS152" s="172"/>
      <c r="MT152" s="172"/>
      <c r="MU152" s="172"/>
      <c r="MV152" s="172"/>
      <c r="MW152" s="172"/>
      <c r="MX152" s="172"/>
      <c r="MY152" s="172"/>
      <c r="MZ152" s="172"/>
      <c r="NA152" s="172"/>
      <c r="NB152" s="172"/>
      <c r="NC152" s="172"/>
      <c r="ND152" s="172"/>
      <c r="NE152" s="172"/>
      <c r="NF152" s="172"/>
      <c r="NG152" s="172"/>
      <c r="NH152" s="172"/>
      <c r="NI152" s="172"/>
      <c r="NJ152" s="172"/>
      <c r="NK152" s="172"/>
      <c r="NL152" s="172"/>
      <c r="NM152" s="172"/>
      <c r="NN152" s="172"/>
      <c r="NO152" s="172"/>
      <c r="NP152" s="172"/>
      <c r="NQ152" s="172"/>
      <c r="NR152" s="172"/>
      <c r="NS152" s="172"/>
      <c r="NT152" s="172"/>
      <c r="NU152" s="172"/>
      <c r="NV152" s="172"/>
      <c r="NW152" s="172"/>
      <c r="NX152" s="172"/>
      <c r="NY152" s="172"/>
      <c r="NZ152" s="172"/>
      <c r="OA152" s="172"/>
      <c r="OB152" s="172"/>
      <c r="OC152" s="172"/>
      <c r="OD152" s="172"/>
      <c r="OE152" s="172"/>
      <c r="OF152" s="172"/>
      <c r="OG152" s="172"/>
      <c r="OH152" s="172"/>
      <c r="OI152" s="172"/>
      <c r="OJ152" s="172"/>
      <c r="OK152" s="172"/>
      <c r="OL152" s="172"/>
      <c r="OM152" s="172"/>
      <c r="ON152" s="172"/>
      <c r="OO152" s="172"/>
      <c r="OP152" s="172"/>
      <c r="OQ152" s="172"/>
      <c r="OR152" s="172"/>
      <c r="OS152" s="172"/>
      <c r="OT152" s="172"/>
      <c r="OU152" s="172"/>
      <c r="OV152" s="172"/>
      <c r="OW152" s="172"/>
      <c r="OX152" s="172"/>
      <c r="OY152" s="172"/>
      <c r="OZ152" s="172"/>
      <c r="PA152" s="172"/>
      <c r="PB152" s="172"/>
      <c r="PC152" s="172"/>
      <c r="PD152" s="172"/>
      <c r="PE152" s="172"/>
      <c r="PF152" s="172"/>
      <c r="PG152" s="172"/>
      <c r="PH152" s="172"/>
      <c r="PI152" s="172"/>
      <c r="PJ152" s="172"/>
      <c r="PK152" s="172"/>
      <c r="PL152" s="172"/>
      <c r="PM152" s="172"/>
      <c r="PN152" s="172"/>
      <c r="PO152" s="172"/>
      <c r="PP152" s="172"/>
      <c r="PQ152" s="172"/>
      <c r="PR152" s="172"/>
      <c r="PS152" s="172"/>
      <c r="PT152" s="172"/>
      <c r="PU152" s="172"/>
      <c r="PV152" s="172"/>
      <c r="PW152" s="172"/>
      <c r="PX152" s="172"/>
      <c r="PY152" s="172"/>
      <c r="PZ152" s="172"/>
      <c r="QA152" s="172"/>
      <c r="QB152" s="172"/>
      <c r="QC152" s="172"/>
      <c r="QD152" s="172"/>
      <c r="QE152" s="172"/>
      <c r="QF152" s="172"/>
      <c r="QG152" s="172"/>
      <c r="QH152" s="172"/>
      <c r="QI152" s="172"/>
      <c r="QJ152" s="172"/>
      <c r="QK152" s="172"/>
      <c r="QL152" s="172"/>
      <c r="QM152" s="172"/>
      <c r="QN152" s="172"/>
      <c r="QO152" s="172"/>
      <c r="QP152" s="172"/>
      <c r="QQ152" s="172"/>
      <c r="QR152" s="172"/>
      <c r="QS152" s="172"/>
      <c r="QT152" s="172"/>
      <c r="QU152" s="172"/>
      <c r="QV152" s="172"/>
      <c r="QW152" s="172"/>
      <c r="QX152" s="172"/>
      <c r="QY152" s="172"/>
      <c r="QZ152" s="172"/>
      <c r="RA152" s="172"/>
      <c r="RB152" s="172"/>
      <c r="RC152" s="172"/>
      <c r="RD152" s="172"/>
      <c r="RE152" s="172"/>
      <c r="RF152" s="172"/>
      <c r="RG152" s="172"/>
      <c r="RH152" s="172"/>
      <c r="RI152" s="172"/>
      <c r="RJ152" s="172"/>
      <c r="RK152" s="172"/>
      <c r="RL152" s="172"/>
      <c r="RM152" s="172"/>
      <c r="RN152" s="172"/>
      <c r="RO152" s="172"/>
      <c r="RP152" s="172"/>
      <c r="RQ152" s="172"/>
      <c r="RR152" s="172"/>
      <c r="RS152" s="172"/>
      <c r="RT152" s="172"/>
      <c r="RU152" s="172"/>
      <c r="RV152" s="172"/>
      <c r="RW152" s="172"/>
      <c r="RX152" s="172"/>
      <c r="RY152" s="172"/>
      <c r="RZ152" s="172"/>
      <c r="SA152" s="172"/>
      <c r="SB152" s="172"/>
      <c r="SC152" s="172"/>
      <c r="SD152" s="172"/>
      <c r="SE152" s="172"/>
      <c r="SF152" s="172"/>
      <c r="SG152" s="172"/>
      <c r="SH152" s="172"/>
      <c r="SI152" s="172"/>
      <c r="SJ152" s="172"/>
      <c r="SK152" s="172"/>
      <c r="SL152" s="172"/>
      <c r="SM152" s="172"/>
      <c r="SN152" s="172"/>
      <c r="SO152" s="172"/>
      <c r="SP152" s="172"/>
      <c r="SQ152" s="172"/>
      <c r="SR152" s="172"/>
      <c r="SS152" s="172"/>
      <c r="ST152" s="172"/>
      <c r="SU152" s="172"/>
      <c r="SV152" s="172"/>
      <c r="SW152" s="172"/>
      <c r="SX152" s="172"/>
      <c r="SY152" s="172"/>
      <c r="SZ152" s="172"/>
      <c r="TA152" s="172"/>
      <c r="TB152" s="172"/>
      <c r="TC152" s="172"/>
      <c r="TD152" s="172"/>
      <c r="TE152" s="172"/>
      <c r="TF152" s="172"/>
      <c r="TG152" s="172"/>
      <c r="TH152" s="172"/>
      <c r="TI152" s="172"/>
      <c r="TJ152" s="172"/>
      <c r="TK152" s="172"/>
      <c r="TL152" s="172"/>
      <c r="TM152" s="172"/>
      <c r="TN152" s="172"/>
      <c r="TO152" s="172"/>
      <c r="TP152" s="172"/>
      <c r="TQ152" s="172"/>
      <c r="TR152" s="172"/>
      <c r="TS152" s="172"/>
      <c r="TT152" s="172"/>
      <c r="TU152" s="172"/>
      <c r="TV152" s="172"/>
      <c r="TW152" s="172"/>
      <c r="TX152" s="172"/>
      <c r="TY152" s="172"/>
      <c r="TZ152" s="172"/>
      <c r="UA152" s="172"/>
      <c r="UB152" s="172"/>
      <c r="UC152" s="172"/>
      <c r="UD152" s="172"/>
      <c r="UE152" s="172"/>
      <c r="UF152" s="172"/>
      <c r="UG152" s="172"/>
      <c r="UH152" s="172"/>
      <c r="UI152" s="172"/>
      <c r="UJ152" s="172"/>
      <c r="UK152" s="172"/>
      <c r="UL152" s="172"/>
      <c r="UM152" s="172"/>
      <c r="UN152" s="172"/>
      <c r="UO152" s="172"/>
      <c r="UP152" s="172"/>
      <c r="UQ152" s="172"/>
      <c r="UR152" s="172"/>
      <c r="US152" s="172"/>
      <c r="UT152" s="172"/>
      <c r="UU152" s="172"/>
      <c r="UV152" s="172"/>
      <c r="UW152" s="172"/>
      <c r="UX152" s="172"/>
      <c r="UY152" s="172"/>
      <c r="UZ152" s="172"/>
      <c r="VA152" s="172"/>
      <c r="VB152" s="172"/>
      <c r="VC152" s="172"/>
      <c r="VD152" s="172"/>
      <c r="VE152" s="172"/>
      <c r="VF152" s="172"/>
      <c r="VG152" s="172"/>
      <c r="VH152" s="172"/>
      <c r="VI152" s="172"/>
      <c r="VJ152" s="172"/>
      <c r="VK152" s="172"/>
      <c r="VL152" s="172"/>
      <c r="VM152" s="172"/>
      <c r="VN152" s="172"/>
      <c r="VO152" s="172"/>
      <c r="VP152" s="172"/>
      <c r="VQ152" s="172"/>
      <c r="VR152" s="172"/>
      <c r="VS152" s="172"/>
      <c r="VT152" s="172"/>
      <c r="VU152" s="172"/>
      <c r="VV152" s="172"/>
      <c r="VW152" s="172"/>
      <c r="VX152" s="172"/>
      <c r="VY152" s="172"/>
      <c r="VZ152" s="172"/>
      <c r="WA152" s="172"/>
      <c r="WB152" s="172"/>
      <c r="WC152" s="172"/>
      <c r="WD152" s="172"/>
      <c r="WE152" s="172"/>
      <c r="WF152" s="172"/>
      <c r="WG152" s="172"/>
      <c r="WH152" s="172"/>
      <c r="WI152" s="172"/>
      <c r="WJ152" s="172"/>
      <c r="WK152" s="172"/>
      <c r="WL152" s="172"/>
      <c r="WM152" s="172"/>
      <c r="WN152" s="172"/>
      <c r="WO152" s="172"/>
      <c r="WP152" s="172"/>
      <c r="WQ152" s="172"/>
      <c r="WR152" s="172"/>
      <c r="WS152" s="172"/>
      <c r="WT152" s="172"/>
      <c r="WU152" s="172"/>
      <c r="WV152" s="172"/>
      <c r="WW152" s="172"/>
      <c r="WX152" s="172"/>
      <c r="WY152" s="172"/>
      <c r="WZ152" s="172"/>
      <c r="XA152" s="172"/>
      <c r="XB152" s="172"/>
      <c r="XC152" s="172"/>
      <c r="XD152" s="172"/>
      <c r="XE152" s="172"/>
      <c r="XF152" s="172"/>
      <c r="XG152" s="172"/>
      <c r="XH152" s="172"/>
      <c r="XI152" s="172"/>
      <c r="XJ152" s="172"/>
      <c r="XK152" s="172"/>
      <c r="XL152" s="172"/>
      <c r="XM152" s="172"/>
      <c r="XN152" s="172"/>
      <c r="XO152" s="172"/>
      <c r="XP152" s="172"/>
      <c r="XQ152" s="172"/>
      <c r="XR152" s="172"/>
      <c r="XS152" s="172"/>
      <c r="XT152" s="172"/>
      <c r="XU152" s="172"/>
      <c r="XV152" s="172"/>
      <c r="XW152" s="172"/>
      <c r="XX152" s="172"/>
      <c r="XY152" s="172"/>
      <c r="XZ152" s="172"/>
      <c r="YA152" s="172"/>
      <c r="YB152" s="172"/>
      <c r="YC152" s="172"/>
      <c r="YD152" s="172"/>
      <c r="YE152" s="172"/>
      <c r="YF152" s="172"/>
      <c r="YG152" s="172"/>
      <c r="YH152" s="172"/>
      <c r="YI152" s="172"/>
      <c r="YJ152" s="172"/>
      <c r="YK152" s="172"/>
      <c r="YL152" s="172"/>
      <c r="YM152" s="172"/>
      <c r="YN152" s="172"/>
      <c r="YO152" s="172"/>
      <c r="YP152" s="172"/>
      <c r="YQ152" s="172"/>
      <c r="YR152" s="172"/>
      <c r="YS152" s="172"/>
      <c r="YT152" s="172"/>
      <c r="YU152" s="172"/>
      <c r="YV152" s="172"/>
      <c r="YW152" s="172"/>
      <c r="YX152" s="172"/>
      <c r="YY152" s="172"/>
      <c r="YZ152" s="172"/>
      <c r="ZA152" s="172"/>
      <c r="ZB152" s="172"/>
      <c r="ZC152" s="172"/>
      <c r="ZD152" s="172"/>
      <c r="ZE152" s="172"/>
      <c r="ZF152" s="172"/>
      <c r="ZG152" s="172"/>
      <c r="ZH152" s="172"/>
      <c r="ZI152" s="172"/>
      <c r="ZJ152" s="172"/>
      <c r="ZK152" s="172"/>
      <c r="ZL152" s="172"/>
      <c r="ZM152" s="172"/>
      <c r="ZN152" s="172"/>
      <c r="ZO152" s="172"/>
      <c r="ZP152" s="172"/>
      <c r="ZQ152" s="172"/>
      <c r="ZR152" s="172"/>
      <c r="ZS152" s="172"/>
      <c r="ZT152" s="172"/>
      <c r="ZU152" s="172"/>
      <c r="ZV152" s="172"/>
      <c r="ZW152" s="172"/>
      <c r="ZX152" s="172"/>
      <c r="ZY152" s="172"/>
      <c r="ZZ152" s="172"/>
      <c r="AAA152" s="172"/>
      <c r="AAB152" s="172"/>
      <c r="AAC152" s="172"/>
      <c r="AAD152" s="172"/>
      <c r="AAE152" s="172"/>
      <c r="AAF152" s="172"/>
      <c r="AAG152" s="172"/>
      <c r="AAH152" s="172"/>
      <c r="AAI152" s="172"/>
      <c r="AAJ152" s="172"/>
      <c r="AAK152" s="172"/>
      <c r="AAL152" s="172"/>
      <c r="AAM152" s="172"/>
      <c r="AAN152" s="172"/>
      <c r="AAO152" s="172"/>
      <c r="AAP152" s="172"/>
      <c r="AAQ152" s="172"/>
      <c r="AAR152" s="172"/>
      <c r="AAS152" s="172"/>
      <c r="AAT152" s="172"/>
      <c r="AAU152" s="172"/>
      <c r="AAV152" s="172"/>
      <c r="AAW152" s="172"/>
      <c r="AAX152" s="172"/>
      <c r="AAY152" s="172"/>
      <c r="AAZ152" s="172"/>
      <c r="ABA152" s="172"/>
      <c r="ABB152" s="172"/>
      <c r="ABC152" s="172"/>
      <c r="ABD152" s="172"/>
      <c r="ABE152" s="172"/>
      <c r="ABF152" s="172"/>
      <c r="ABG152" s="172"/>
      <c r="ABH152" s="172"/>
      <c r="ABI152" s="172"/>
      <c r="ABJ152" s="172"/>
      <c r="ABK152" s="172"/>
      <c r="ABL152" s="172"/>
      <c r="ABM152" s="172"/>
      <c r="ABN152" s="172"/>
      <c r="ABO152" s="172"/>
      <c r="ABP152" s="172"/>
      <c r="ABQ152" s="172"/>
      <c r="ABR152" s="172"/>
      <c r="ABS152" s="172"/>
      <c r="ABT152" s="172"/>
      <c r="ABU152" s="172"/>
      <c r="ABV152" s="172"/>
      <c r="ABW152" s="172"/>
      <c r="ABX152" s="172"/>
      <c r="ABY152" s="172"/>
      <c r="ABZ152" s="172"/>
      <c r="ACA152" s="172"/>
      <c r="ACB152" s="172"/>
      <c r="ACC152" s="172"/>
      <c r="ACD152" s="172"/>
      <c r="ACE152" s="172"/>
      <c r="ACF152" s="172"/>
      <c r="ACG152" s="172"/>
      <c r="ACH152" s="172"/>
      <c r="ACI152" s="172"/>
      <c r="ACJ152" s="172"/>
      <c r="ACK152" s="172"/>
      <c r="ACL152" s="172"/>
      <c r="ACM152" s="172"/>
      <c r="ACN152" s="172"/>
      <c r="ACO152" s="172"/>
      <c r="ACP152" s="172"/>
      <c r="ACQ152" s="172"/>
      <c r="ACR152" s="172"/>
      <c r="ACS152" s="172"/>
      <c r="ACT152" s="172"/>
      <c r="ACU152" s="172"/>
      <c r="ACV152" s="172"/>
      <c r="ACW152" s="172"/>
      <c r="ACX152" s="172"/>
      <c r="ACY152" s="172"/>
      <c r="ACZ152" s="172"/>
      <c r="ADA152" s="172"/>
      <c r="ADB152" s="172"/>
      <c r="ADC152" s="172"/>
      <c r="ADD152" s="172"/>
      <c r="ADE152" s="172"/>
      <c r="ADF152" s="172"/>
      <c r="ADG152" s="172"/>
      <c r="ADH152" s="172"/>
      <c r="ADI152" s="172"/>
      <c r="ADJ152" s="172"/>
      <c r="ADK152" s="172"/>
      <c r="ADL152" s="172"/>
      <c r="ADM152" s="172"/>
      <c r="ADN152" s="172"/>
      <c r="ADO152" s="172"/>
      <c r="ADP152" s="172"/>
      <c r="ADQ152" s="172"/>
      <c r="ADR152" s="172"/>
      <c r="ADS152" s="172"/>
      <c r="ADT152" s="172"/>
      <c r="ADU152" s="172"/>
      <c r="ADV152" s="172"/>
      <c r="ADW152" s="172"/>
      <c r="ADX152" s="172"/>
      <c r="ADY152" s="172"/>
      <c r="ADZ152" s="172"/>
      <c r="AEA152" s="172"/>
      <c r="AEB152" s="172"/>
      <c r="AEC152" s="172"/>
      <c r="AED152" s="172"/>
      <c r="AEE152" s="172"/>
      <c r="AEF152" s="172"/>
      <c r="AEG152" s="172"/>
      <c r="AEH152" s="172"/>
      <c r="AEI152" s="172"/>
      <c r="AEJ152" s="172"/>
      <c r="AEK152" s="172"/>
      <c r="AEL152" s="172"/>
      <c r="AEM152" s="172"/>
      <c r="AEN152" s="172"/>
      <c r="AEO152" s="172"/>
      <c r="AEP152" s="172"/>
      <c r="AEQ152" s="172"/>
      <c r="AER152" s="172"/>
      <c r="AES152" s="172"/>
      <c r="AET152" s="172"/>
      <c r="AEU152" s="172"/>
      <c r="AEV152" s="172"/>
      <c r="AEW152" s="172"/>
      <c r="AEX152" s="172"/>
      <c r="AEY152" s="172"/>
      <c r="AEZ152" s="172"/>
      <c r="AFA152" s="172"/>
      <c r="AFB152" s="172"/>
      <c r="AFC152" s="172"/>
      <c r="AFD152" s="172"/>
      <c r="AFE152" s="172"/>
      <c r="AFF152" s="172"/>
      <c r="AFG152" s="172"/>
      <c r="AFH152" s="172"/>
      <c r="AFI152" s="172"/>
      <c r="AFJ152" s="172"/>
      <c r="AFK152" s="172"/>
      <c r="AFL152" s="172"/>
      <c r="AFM152" s="172"/>
      <c r="AFN152" s="172"/>
      <c r="AFO152" s="172"/>
      <c r="AFP152" s="172"/>
      <c r="AFQ152" s="172"/>
      <c r="AFR152" s="172"/>
      <c r="AFS152" s="172"/>
      <c r="AFT152" s="172"/>
      <c r="AFU152" s="172"/>
      <c r="AFV152" s="172"/>
      <c r="AFW152" s="172"/>
      <c r="AFX152" s="172"/>
      <c r="AFY152" s="172"/>
      <c r="AFZ152" s="172"/>
      <c r="AGA152" s="172"/>
      <c r="AGB152" s="172"/>
      <c r="AGC152" s="172"/>
      <c r="AGD152" s="172"/>
      <c r="AGE152" s="172"/>
      <c r="AGF152" s="172"/>
      <c r="AGG152" s="172"/>
      <c r="AGH152" s="172"/>
      <c r="AGI152" s="172"/>
      <c r="AGJ152" s="172"/>
      <c r="AGK152" s="172"/>
      <c r="AGL152" s="172"/>
      <c r="AGM152" s="172"/>
      <c r="AGN152" s="172"/>
      <c r="AGO152" s="172"/>
      <c r="AGP152" s="172"/>
      <c r="AGQ152" s="172"/>
      <c r="AGR152" s="172"/>
      <c r="AGS152" s="172"/>
      <c r="AGT152" s="172"/>
      <c r="AGU152" s="172"/>
      <c r="AGV152" s="172"/>
      <c r="AGW152" s="172"/>
      <c r="AGX152" s="172"/>
      <c r="AGY152" s="172"/>
      <c r="AGZ152" s="172"/>
      <c r="AHA152" s="172"/>
      <c r="AHB152" s="172"/>
      <c r="AHC152" s="172"/>
      <c r="AHD152" s="172"/>
      <c r="AHE152" s="172"/>
      <c r="AHF152" s="172"/>
      <c r="AHG152" s="172"/>
      <c r="AHH152" s="172"/>
      <c r="AHI152" s="172"/>
      <c r="AHJ152" s="172"/>
      <c r="AHK152" s="172"/>
      <c r="AHL152" s="172"/>
      <c r="AHM152" s="172"/>
      <c r="AHN152" s="172"/>
      <c r="AHO152" s="172"/>
      <c r="AHP152" s="172"/>
      <c r="AHQ152" s="172"/>
      <c r="AHR152" s="172"/>
      <c r="AHS152" s="172"/>
      <c r="AHT152" s="172"/>
      <c r="AHU152" s="172"/>
      <c r="AHV152" s="172"/>
      <c r="AHW152" s="172"/>
      <c r="AHX152" s="172"/>
      <c r="AHY152" s="172"/>
      <c r="AHZ152" s="172"/>
      <c r="AIA152" s="172"/>
      <c r="AIB152" s="172"/>
      <c r="AIC152" s="172"/>
      <c r="AID152" s="172"/>
      <c r="AIE152" s="172"/>
      <c r="AIF152" s="172"/>
      <c r="AIG152" s="172"/>
      <c r="AIH152" s="172"/>
      <c r="AII152" s="172"/>
      <c r="AIJ152" s="172"/>
      <c r="AIK152" s="172"/>
      <c r="AIL152" s="172"/>
      <c r="AIM152" s="172"/>
      <c r="AIN152" s="172"/>
      <c r="AIO152" s="172"/>
      <c r="AIP152" s="172"/>
      <c r="AIQ152" s="172"/>
      <c r="AIR152" s="172"/>
      <c r="AIS152" s="172"/>
      <c r="AIT152" s="172"/>
      <c r="AIU152" s="172"/>
      <c r="AIV152" s="172"/>
      <c r="AIW152" s="172"/>
      <c r="AIX152" s="172"/>
      <c r="AIY152" s="172"/>
      <c r="AIZ152" s="172"/>
      <c r="AJA152" s="172"/>
      <c r="AJB152" s="172"/>
      <c r="AJC152" s="172"/>
      <c r="AJD152" s="172"/>
      <c r="AJE152" s="172"/>
      <c r="AJF152" s="172"/>
      <c r="AJG152" s="172"/>
      <c r="AJH152" s="172"/>
      <c r="AJI152" s="172"/>
      <c r="AJJ152" s="172"/>
      <c r="AJK152" s="172"/>
      <c r="AJL152" s="172"/>
      <c r="AJM152" s="172"/>
      <c r="AJN152" s="172"/>
      <c r="AJO152" s="172"/>
      <c r="AJP152" s="172"/>
      <c r="AJQ152" s="172"/>
      <c r="AJR152" s="172"/>
      <c r="AJS152" s="172"/>
      <c r="AJT152" s="172"/>
      <c r="AJU152" s="172"/>
      <c r="AJV152" s="172"/>
      <c r="AJW152" s="172"/>
      <c r="AJX152" s="172"/>
      <c r="AJY152" s="172"/>
      <c r="AJZ152" s="172"/>
      <c r="AKA152" s="172"/>
      <c r="AKB152" s="172"/>
      <c r="AKC152" s="172"/>
      <c r="AKD152" s="172"/>
      <c r="AKE152" s="172"/>
      <c r="AKF152" s="172"/>
      <c r="AKG152" s="172"/>
      <c r="AKH152" s="172"/>
      <c r="AKI152" s="172"/>
      <c r="AKJ152" s="172"/>
      <c r="AKK152" s="172"/>
      <c r="AKL152" s="172"/>
      <c r="AKM152" s="172"/>
      <c r="AKN152" s="172"/>
      <c r="AKO152" s="172"/>
      <c r="AKP152" s="172"/>
      <c r="AKQ152" s="172"/>
      <c r="AKR152" s="172"/>
      <c r="AKS152" s="172"/>
      <c r="AKT152" s="172"/>
      <c r="AKU152" s="172"/>
      <c r="AKV152" s="172"/>
      <c r="AKW152" s="172"/>
      <c r="AKX152" s="172"/>
      <c r="AKY152" s="172"/>
      <c r="AKZ152" s="172"/>
      <c r="ALA152" s="172"/>
      <c r="ALB152" s="172"/>
      <c r="ALC152" s="172"/>
      <c r="ALD152" s="172"/>
      <c r="ALE152" s="172"/>
      <c r="ALF152" s="172"/>
      <c r="ALG152" s="172"/>
      <c r="ALH152" s="172"/>
      <c r="ALI152" s="172"/>
      <c r="ALJ152" s="172"/>
      <c r="ALK152" s="172"/>
      <c r="ALL152" s="172"/>
      <c r="ALM152" s="172"/>
      <c r="ALN152" s="172"/>
      <c r="ALO152" s="172"/>
      <c r="ALP152" s="172"/>
      <c r="ALQ152" s="172"/>
      <c r="ALR152" s="172"/>
      <c r="ALS152" s="172"/>
      <c r="ALT152" s="172"/>
      <c r="ALU152" s="172"/>
      <c r="ALV152" s="172"/>
      <c r="ALW152" s="172"/>
      <c r="ALX152" s="172"/>
      <c r="ALY152" s="172"/>
      <c r="ALZ152" s="172"/>
      <c r="AMA152" s="172"/>
      <c r="AMB152" s="172"/>
      <c r="AMC152" s="172"/>
      <c r="AMD152" s="172"/>
      <c r="AME152" s="172"/>
      <c r="AMF152" s="172"/>
      <c r="AMG152" s="172"/>
      <c r="AMH152" s="172"/>
      <c r="AMI152" s="172"/>
      <c r="AMJ152" s="172"/>
      <c r="AMK152" s="172"/>
      <c r="AML152" s="172"/>
      <c r="AMM152" s="172"/>
      <c r="AMN152" s="172"/>
      <c r="AMO152" s="172"/>
      <c r="AMP152" s="172"/>
      <c r="AMQ152" s="172"/>
      <c r="AMR152" s="172"/>
      <c r="AMS152" s="172"/>
      <c r="AMT152" s="172"/>
      <c r="AMU152" s="172"/>
      <c r="AMV152" s="172"/>
      <c r="AMW152" s="172"/>
      <c r="AMX152" s="172"/>
      <c r="AMY152" s="172"/>
      <c r="AMZ152" s="172"/>
      <c r="ANA152" s="172"/>
      <c r="ANB152" s="172"/>
      <c r="ANC152" s="172"/>
      <c r="AND152" s="172"/>
      <c r="ANE152" s="172"/>
      <c r="ANF152" s="172"/>
      <c r="ANG152" s="172"/>
      <c r="ANH152" s="172"/>
      <c r="ANI152" s="172"/>
      <c r="ANJ152" s="172"/>
      <c r="ANK152" s="172"/>
      <c r="ANL152" s="172"/>
      <c r="ANM152" s="172"/>
      <c r="ANN152" s="172"/>
      <c r="ANO152" s="172"/>
      <c r="ANP152" s="172"/>
      <c r="ANQ152" s="172"/>
      <c r="ANR152" s="172"/>
      <c r="ANS152" s="172"/>
      <c r="ANT152" s="172"/>
      <c r="ANU152" s="172"/>
      <c r="ANV152" s="172"/>
      <c r="ANW152" s="172"/>
      <c r="ANX152" s="172"/>
      <c r="ANY152" s="172"/>
      <c r="ANZ152" s="172"/>
      <c r="AOA152" s="172"/>
      <c r="AOB152" s="172"/>
      <c r="AOC152" s="172"/>
      <c r="AOD152" s="172"/>
      <c r="AOE152" s="172"/>
      <c r="AOF152" s="172"/>
      <c r="AOG152" s="172"/>
      <c r="AOH152" s="172"/>
      <c r="AOI152" s="172"/>
      <c r="AOJ152" s="172"/>
      <c r="AOK152" s="172"/>
      <c r="AOL152" s="172"/>
      <c r="AOM152" s="172"/>
      <c r="AON152" s="172"/>
      <c r="AOO152" s="172"/>
      <c r="AOP152" s="172"/>
      <c r="AOQ152" s="172"/>
      <c r="AOR152" s="172"/>
      <c r="AOS152" s="172"/>
      <c r="AOT152" s="172"/>
      <c r="AOU152" s="172"/>
      <c r="AOV152" s="172"/>
      <c r="AOW152" s="172"/>
      <c r="AOX152" s="172"/>
      <c r="AOY152" s="172"/>
      <c r="AOZ152" s="172"/>
      <c r="APA152" s="172"/>
      <c r="APB152" s="172"/>
      <c r="APC152" s="172"/>
      <c r="APD152" s="172"/>
      <c r="APE152" s="172"/>
      <c r="APF152" s="172"/>
      <c r="APG152" s="172"/>
      <c r="APH152" s="172"/>
      <c r="API152" s="172"/>
      <c r="APJ152" s="172"/>
      <c r="APK152" s="172"/>
      <c r="APL152" s="172"/>
      <c r="APM152" s="172"/>
      <c r="APN152" s="172"/>
      <c r="APO152" s="172"/>
      <c r="APP152" s="172"/>
      <c r="APQ152" s="172"/>
      <c r="APR152" s="172"/>
      <c r="APS152" s="172"/>
      <c r="APT152" s="172"/>
      <c r="APU152" s="172"/>
      <c r="APV152" s="172"/>
      <c r="APW152" s="172"/>
      <c r="APX152" s="172"/>
      <c r="APY152" s="172"/>
      <c r="APZ152" s="172"/>
      <c r="AQA152" s="172"/>
      <c r="AQB152" s="172"/>
      <c r="AQC152" s="172"/>
      <c r="AQD152" s="172"/>
      <c r="AQE152" s="172"/>
      <c r="AQF152" s="172"/>
      <c r="AQG152" s="172"/>
      <c r="AQH152" s="172"/>
      <c r="AQI152" s="172"/>
      <c r="AQJ152" s="172"/>
      <c r="AQK152" s="172"/>
      <c r="AQL152" s="172"/>
      <c r="AQM152" s="172"/>
      <c r="AQN152" s="172"/>
      <c r="AQO152" s="172"/>
      <c r="AQP152" s="172"/>
      <c r="AQQ152" s="172"/>
      <c r="AQR152" s="172"/>
      <c r="AQS152" s="172"/>
      <c r="AQT152" s="172"/>
      <c r="AQU152" s="172"/>
      <c r="AQV152" s="172"/>
      <c r="AQW152" s="172"/>
      <c r="AQX152" s="172"/>
      <c r="AQY152" s="172"/>
      <c r="AQZ152" s="172"/>
      <c r="ARA152" s="172"/>
      <c r="ARB152" s="172"/>
      <c r="ARC152" s="172"/>
      <c r="ARD152" s="172"/>
      <c r="ARE152" s="172"/>
      <c r="ARF152" s="172"/>
      <c r="ARG152" s="172"/>
      <c r="ARH152" s="172"/>
      <c r="ARI152" s="172"/>
      <c r="ARJ152" s="172"/>
      <c r="ARK152" s="172"/>
      <c r="ARL152" s="172"/>
      <c r="ARM152" s="172"/>
      <c r="ARN152" s="172"/>
      <c r="ARO152" s="172"/>
      <c r="ARP152" s="172"/>
      <c r="ARQ152" s="172"/>
      <c r="ARR152" s="172"/>
      <c r="ARS152" s="172"/>
      <c r="ART152" s="172"/>
      <c r="ARU152" s="172"/>
    </row>
    <row r="153" spans="1:1165" s="257" customFormat="1">
      <c r="A153" s="222" t="s">
        <v>311</v>
      </c>
      <c r="B153" s="195" t="s">
        <v>87</v>
      </c>
      <c r="C153" s="258">
        <v>3007</v>
      </c>
      <c r="D153" s="258">
        <v>31954756</v>
      </c>
      <c r="E153" s="198">
        <v>159</v>
      </c>
      <c r="F153" s="198">
        <v>12233115</v>
      </c>
      <c r="G153" s="198">
        <v>298</v>
      </c>
      <c r="H153" s="198">
        <v>13179471</v>
      </c>
      <c r="I153" s="198">
        <v>20</v>
      </c>
      <c r="J153" s="198">
        <v>464754</v>
      </c>
      <c r="K153" s="198">
        <v>272</v>
      </c>
      <c r="L153" s="198">
        <v>6753268</v>
      </c>
      <c r="M153" s="198">
        <v>145</v>
      </c>
      <c r="N153" s="198">
        <v>5224379</v>
      </c>
      <c r="O153" s="198">
        <v>108</v>
      </c>
      <c r="P153" s="198">
        <v>4475112</v>
      </c>
      <c r="Q153" s="198">
        <v>126</v>
      </c>
      <c r="R153" s="198">
        <v>4398606</v>
      </c>
      <c r="S153" s="198">
        <v>111</v>
      </c>
      <c r="T153" s="198">
        <v>4204828</v>
      </c>
      <c r="U153" s="211">
        <v>76</v>
      </c>
      <c r="V153" s="211">
        <v>8069190</v>
      </c>
      <c r="W153" s="211">
        <v>550</v>
      </c>
      <c r="X153" s="211">
        <v>17931656</v>
      </c>
      <c r="Y153" s="198">
        <v>573</v>
      </c>
      <c r="Z153" s="198">
        <v>19216316</v>
      </c>
      <c r="AA153" s="226">
        <v>668</v>
      </c>
      <c r="AB153" s="226">
        <v>18726310</v>
      </c>
      <c r="AC153" s="198">
        <v>925</v>
      </c>
      <c r="AD153" s="198">
        <v>29733847</v>
      </c>
      <c r="AE153" s="196">
        <v>337</v>
      </c>
      <c r="AF153" s="226">
        <v>14616947</v>
      </c>
      <c r="AG153" s="196">
        <v>262</v>
      </c>
      <c r="AH153" s="196">
        <v>22116946</v>
      </c>
      <c r="AI153" s="196">
        <v>365</v>
      </c>
      <c r="AJ153" s="196">
        <v>33617052</v>
      </c>
      <c r="AK153" s="260">
        <v>557</v>
      </c>
      <c r="AL153" s="260">
        <v>35638738</v>
      </c>
      <c r="AM153" s="261">
        <v>299</v>
      </c>
      <c r="AN153" s="261">
        <v>30550308</v>
      </c>
      <c r="AO153" s="196">
        <v>400</v>
      </c>
      <c r="AP153" s="196">
        <v>58503807</v>
      </c>
      <c r="AQ153" s="196">
        <v>405</v>
      </c>
      <c r="AR153" s="196">
        <v>63843890</v>
      </c>
      <c r="AS153" s="196">
        <v>611.28</v>
      </c>
      <c r="AT153" s="196">
        <v>96845674</v>
      </c>
      <c r="AU153" s="226">
        <v>806.22</v>
      </c>
      <c r="AV153" s="198" t="s">
        <v>785</v>
      </c>
      <c r="AW153" s="198">
        <v>984.68</v>
      </c>
      <c r="AX153" s="198" t="s">
        <v>785</v>
      </c>
      <c r="AY153" s="198">
        <v>973.154</v>
      </c>
      <c r="AZ153" s="198" t="s">
        <v>785</v>
      </c>
      <c r="BA153" s="262"/>
      <c r="BB153" s="198"/>
      <c r="BC153" s="263"/>
      <c r="BD153" s="198"/>
      <c r="BE153" s="198"/>
      <c r="BF153" s="198"/>
      <c r="BG153" s="263"/>
      <c r="BH153" s="198"/>
      <c r="BI153" s="262"/>
      <c r="BJ153" s="198">
        <f t="shared" si="70"/>
        <v>12879.334000000001</v>
      </c>
      <c r="BK153" s="198">
        <f>D153+H153+J153+L153+N153+P153+R153+T153+V153+X153+Z153+AB153+AD153+AF153+AH153+AJ153+AL153+AN153+AP153+AR153+AT153</f>
        <v>520065855</v>
      </c>
      <c r="BL153" s="172"/>
      <c r="BM153" s="172"/>
      <c r="BN153" s="172"/>
      <c r="BO153" s="231"/>
      <c r="BP153" s="172"/>
      <c r="BQ153" s="172"/>
      <c r="BR153" s="172"/>
      <c r="BS153" s="172"/>
      <c r="BT153" s="172"/>
      <c r="BU153" s="172"/>
      <c r="BV153" s="172"/>
      <c r="BW153" s="172"/>
      <c r="BX153" s="172"/>
      <c r="BY153" s="172"/>
      <c r="BZ153" s="172"/>
      <c r="CA153" s="172"/>
      <c r="CB153" s="172"/>
      <c r="CC153" s="172"/>
      <c r="CD153" s="172"/>
      <c r="CE153" s="172"/>
      <c r="CF153" s="172"/>
      <c r="CG153" s="172"/>
      <c r="CH153" s="172"/>
      <c r="CI153" s="172"/>
      <c r="CJ153" s="172"/>
      <c r="CK153" s="172"/>
      <c r="CL153" s="172"/>
      <c r="CM153" s="172"/>
      <c r="CN153" s="172"/>
      <c r="CO153" s="172"/>
      <c r="CP153" s="172"/>
      <c r="CQ153" s="172"/>
      <c r="CR153" s="172"/>
      <c r="CS153" s="172"/>
      <c r="CT153" s="172"/>
      <c r="CU153" s="172"/>
      <c r="CV153" s="172"/>
      <c r="CW153" s="172"/>
      <c r="CX153" s="172"/>
      <c r="CY153" s="172"/>
      <c r="CZ153" s="172"/>
      <c r="DA153" s="172"/>
      <c r="DB153" s="172"/>
      <c r="DC153" s="172"/>
      <c r="DD153" s="172"/>
      <c r="DE153" s="172"/>
      <c r="DF153" s="172"/>
      <c r="DG153" s="172"/>
      <c r="DH153" s="172"/>
      <c r="DI153" s="172"/>
      <c r="DJ153" s="172"/>
      <c r="DK153" s="172"/>
      <c r="DL153" s="172"/>
      <c r="DM153" s="172"/>
      <c r="DN153" s="172"/>
      <c r="DO153" s="172"/>
      <c r="DP153" s="172"/>
      <c r="DQ153" s="172"/>
      <c r="DR153" s="172"/>
      <c r="DS153" s="172"/>
      <c r="DT153" s="172"/>
      <c r="DU153" s="172"/>
      <c r="DV153" s="172"/>
      <c r="DW153" s="172"/>
      <c r="DX153" s="172"/>
      <c r="DY153" s="172"/>
      <c r="DZ153" s="172"/>
      <c r="EA153" s="172"/>
      <c r="EB153" s="172"/>
      <c r="EC153" s="172"/>
      <c r="ED153" s="172"/>
      <c r="EE153" s="172"/>
      <c r="EF153" s="172"/>
      <c r="EG153" s="172"/>
      <c r="EH153" s="172"/>
      <c r="EI153" s="172"/>
      <c r="EJ153" s="172"/>
      <c r="EK153" s="172"/>
      <c r="EL153" s="172"/>
      <c r="EM153" s="172"/>
      <c r="EN153" s="172"/>
      <c r="EO153" s="172"/>
      <c r="EP153" s="172"/>
      <c r="EQ153" s="172"/>
      <c r="ER153" s="172"/>
      <c r="ES153" s="172"/>
      <c r="ET153" s="172"/>
      <c r="EU153" s="172"/>
      <c r="EV153" s="172"/>
      <c r="EW153" s="172"/>
      <c r="EX153" s="172"/>
      <c r="EY153" s="172"/>
      <c r="EZ153" s="172"/>
      <c r="FA153" s="172"/>
      <c r="FB153" s="172"/>
      <c r="FC153" s="172"/>
      <c r="FD153" s="172"/>
      <c r="FE153" s="172"/>
      <c r="FF153" s="172"/>
      <c r="FG153" s="172"/>
      <c r="FH153" s="172"/>
      <c r="FI153" s="172"/>
      <c r="FJ153" s="172"/>
      <c r="FK153" s="172"/>
      <c r="FL153" s="172"/>
      <c r="FM153" s="172"/>
      <c r="FN153" s="172"/>
      <c r="FO153" s="172"/>
      <c r="FP153" s="172"/>
      <c r="FQ153" s="172"/>
      <c r="FR153" s="172"/>
      <c r="FS153" s="172"/>
      <c r="FT153" s="172"/>
      <c r="FU153" s="172"/>
      <c r="FV153" s="172"/>
      <c r="FW153" s="172"/>
      <c r="FX153" s="172"/>
      <c r="FY153" s="172"/>
      <c r="FZ153" s="172"/>
      <c r="GA153" s="172"/>
      <c r="GB153" s="172"/>
      <c r="GC153" s="172"/>
      <c r="GD153" s="172"/>
      <c r="GE153" s="172"/>
      <c r="GF153" s="172"/>
      <c r="GG153" s="172"/>
      <c r="GH153" s="172"/>
      <c r="GI153" s="172"/>
      <c r="GJ153" s="172"/>
      <c r="GK153" s="172"/>
      <c r="GL153" s="172"/>
      <c r="GM153" s="172"/>
      <c r="GN153" s="172"/>
      <c r="GO153" s="172"/>
      <c r="GP153" s="172"/>
      <c r="GQ153" s="172"/>
      <c r="GR153" s="172"/>
      <c r="GS153" s="172"/>
      <c r="GT153" s="172"/>
      <c r="GU153" s="172"/>
      <c r="GV153" s="172"/>
      <c r="GW153" s="172"/>
      <c r="GX153" s="172"/>
      <c r="GY153" s="172"/>
      <c r="GZ153" s="172"/>
      <c r="HA153" s="172"/>
      <c r="HB153" s="172"/>
      <c r="HC153" s="172"/>
      <c r="HD153" s="172"/>
      <c r="HE153" s="172"/>
      <c r="HF153" s="172"/>
      <c r="HG153" s="172"/>
      <c r="HH153" s="172"/>
      <c r="HI153" s="172"/>
      <c r="HJ153" s="172"/>
      <c r="HK153" s="172"/>
      <c r="HL153" s="172"/>
      <c r="HM153" s="172"/>
      <c r="HN153" s="172"/>
      <c r="HO153" s="172"/>
      <c r="HP153" s="172"/>
      <c r="HQ153" s="172"/>
      <c r="HR153" s="172"/>
      <c r="HS153" s="172"/>
      <c r="HT153" s="172"/>
      <c r="HU153" s="172"/>
      <c r="HV153" s="172"/>
      <c r="HW153" s="172"/>
      <c r="HX153" s="172"/>
      <c r="HY153" s="172"/>
      <c r="HZ153" s="172"/>
      <c r="IA153" s="172"/>
      <c r="IB153" s="172"/>
      <c r="IC153" s="172"/>
      <c r="ID153" s="172"/>
      <c r="IE153" s="172"/>
      <c r="IF153" s="172"/>
      <c r="IG153" s="172"/>
      <c r="IH153" s="172"/>
      <c r="II153" s="172"/>
      <c r="IJ153" s="172"/>
      <c r="IK153" s="172"/>
      <c r="IL153" s="172"/>
      <c r="IM153" s="172"/>
      <c r="IN153" s="172"/>
      <c r="IO153" s="172"/>
      <c r="IP153" s="172"/>
      <c r="IQ153" s="172"/>
      <c r="IR153" s="172"/>
      <c r="IS153" s="172"/>
      <c r="IT153" s="172"/>
      <c r="IU153" s="172"/>
      <c r="IV153" s="172"/>
      <c r="IW153" s="172"/>
      <c r="IX153" s="172"/>
      <c r="IY153" s="172"/>
      <c r="IZ153" s="172"/>
      <c r="JA153" s="172"/>
      <c r="JB153" s="172"/>
      <c r="JC153" s="172"/>
      <c r="JD153" s="172"/>
      <c r="JE153" s="172"/>
      <c r="JF153" s="172"/>
      <c r="JG153" s="172"/>
      <c r="JH153" s="172"/>
      <c r="JI153" s="172"/>
      <c r="JJ153" s="172"/>
      <c r="JK153" s="172"/>
      <c r="JL153" s="172"/>
      <c r="JM153" s="172"/>
      <c r="JN153" s="172"/>
      <c r="JO153" s="172"/>
      <c r="JP153" s="172"/>
      <c r="JQ153" s="172"/>
      <c r="JR153" s="172"/>
      <c r="JS153" s="172"/>
      <c r="JT153" s="172"/>
      <c r="JU153" s="172"/>
      <c r="JV153" s="172"/>
      <c r="JW153" s="172"/>
      <c r="JX153" s="172"/>
      <c r="JY153" s="172"/>
      <c r="JZ153" s="172"/>
      <c r="KA153" s="172"/>
      <c r="KB153" s="172"/>
      <c r="KC153" s="172"/>
      <c r="KD153" s="172"/>
      <c r="KE153" s="172"/>
      <c r="KF153" s="172"/>
      <c r="KG153" s="172"/>
      <c r="KH153" s="172"/>
      <c r="KI153" s="172"/>
      <c r="KJ153" s="172"/>
      <c r="KK153" s="172"/>
      <c r="KL153" s="172"/>
      <c r="KM153" s="172"/>
      <c r="KN153" s="172"/>
      <c r="KO153" s="172"/>
      <c r="KP153" s="172"/>
      <c r="KQ153" s="172"/>
      <c r="KR153" s="172"/>
      <c r="KS153" s="172"/>
      <c r="KT153" s="172"/>
      <c r="KU153" s="172"/>
      <c r="KV153" s="172"/>
      <c r="KW153" s="172"/>
      <c r="KX153" s="172"/>
      <c r="KY153" s="172"/>
      <c r="KZ153" s="172"/>
      <c r="LA153" s="172"/>
      <c r="LB153" s="172"/>
      <c r="LC153" s="172"/>
      <c r="LD153" s="172"/>
      <c r="LE153" s="172"/>
      <c r="LF153" s="172"/>
      <c r="LG153" s="172"/>
      <c r="LH153" s="172"/>
      <c r="LI153" s="172"/>
      <c r="LJ153" s="172"/>
      <c r="LK153" s="172"/>
      <c r="LL153" s="172"/>
      <c r="LM153" s="172"/>
      <c r="LN153" s="172"/>
      <c r="LO153" s="172"/>
      <c r="LP153" s="172"/>
      <c r="LQ153" s="172"/>
      <c r="LR153" s="172"/>
      <c r="LS153" s="172"/>
      <c r="LT153" s="172"/>
      <c r="LU153" s="172"/>
      <c r="LV153" s="172"/>
      <c r="LW153" s="172"/>
      <c r="LX153" s="172"/>
      <c r="LY153" s="172"/>
      <c r="LZ153" s="172"/>
      <c r="MA153" s="172"/>
      <c r="MB153" s="172"/>
      <c r="MC153" s="172"/>
      <c r="MD153" s="172"/>
      <c r="ME153" s="172"/>
      <c r="MF153" s="172"/>
      <c r="MG153" s="172"/>
      <c r="MH153" s="172"/>
      <c r="MI153" s="172"/>
      <c r="MJ153" s="172"/>
      <c r="MK153" s="172"/>
      <c r="ML153" s="172"/>
      <c r="MM153" s="172"/>
      <c r="MN153" s="172"/>
      <c r="MO153" s="172"/>
      <c r="MP153" s="172"/>
      <c r="MQ153" s="172"/>
      <c r="MR153" s="172"/>
      <c r="MS153" s="172"/>
      <c r="MT153" s="172"/>
      <c r="MU153" s="172"/>
      <c r="MV153" s="172"/>
      <c r="MW153" s="172"/>
      <c r="MX153" s="172"/>
      <c r="MY153" s="172"/>
      <c r="MZ153" s="172"/>
      <c r="NA153" s="172"/>
      <c r="NB153" s="172"/>
      <c r="NC153" s="172"/>
      <c r="ND153" s="172"/>
      <c r="NE153" s="172"/>
      <c r="NF153" s="172"/>
      <c r="NG153" s="172"/>
      <c r="NH153" s="172"/>
      <c r="NI153" s="172"/>
      <c r="NJ153" s="172"/>
      <c r="NK153" s="172"/>
      <c r="NL153" s="172"/>
      <c r="NM153" s="172"/>
      <c r="NN153" s="172"/>
      <c r="NO153" s="172"/>
      <c r="NP153" s="172"/>
      <c r="NQ153" s="172"/>
      <c r="NR153" s="172"/>
      <c r="NS153" s="172"/>
      <c r="NT153" s="172"/>
      <c r="NU153" s="172"/>
      <c r="NV153" s="172"/>
      <c r="NW153" s="172"/>
      <c r="NX153" s="172"/>
      <c r="NY153" s="172"/>
      <c r="NZ153" s="172"/>
      <c r="OA153" s="172"/>
      <c r="OB153" s="172"/>
      <c r="OC153" s="172"/>
      <c r="OD153" s="172"/>
      <c r="OE153" s="172"/>
      <c r="OF153" s="172"/>
      <c r="OG153" s="172"/>
      <c r="OH153" s="172"/>
      <c r="OI153" s="172"/>
      <c r="OJ153" s="172"/>
      <c r="OK153" s="172"/>
      <c r="OL153" s="172"/>
      <c r="OM153" s="172"/>
      <c r="ON153" s="172"/>
      <c r="OO153" s="172"/>
      <c r="OP153" s="172"/>
      <c r="OQ153" s="172"/>
      <c r="OR153" s="172"/>
      <c r="OS153" s="172"/>
      <c r="OT153" s="172"/>
      <c r="OU153" s="172"/>
      <c r="OV153" s="172"/>
      <c r="OW153" s="172"/>
      <c r="OX153" s="172"/>
      <c r="OY153" s="172"/>
      <c r="OZ153" s="172"/>
      <c r="PA153" s="172"/>
      <c r="PB153" s="172"/>
      <c r="PC153" s="172"/>
      <c r="PD153" s="172"/>
      <c r="PE153" s="172"/>
      <c r="PF153" s="172"/>
      <c r="PG153" s="172"/>
      <c r="PH153" s="172"/>
      <c r="PI153" s="172"/>
      <c r="PJ153" s="172"/>
      <c r="PK153" s="172"/>
      <c r="PL153" s="172"/>
      <c r="PM153" s="172"/>
      <c r="PN153" s="172"/>
      <c r="PO153" s="172"/>
      <c r="PP153" s="172"/>
      <c r="PQ153" s="172"/>
      <c r="PR153" s="172"/>
      <c r="PS153" s="172"/>
      <c r="PT153" s="172"/>
      <c r="PU153" s="172"/>
      <c r="PV153" s="172"/>
      <c r="PW153" s="172"/>
      <c r="PX153" s="172"/>
      <c r="PY153" s="172"/>
      <c r="PZ153" s="172"/>
      <c r="QA153" s="172"/>
      <c r="QB153" s="172"/>
      <c r="QC153" s="172"/>
      <c r="QD153" s="172"/>
      <c r="QE153" s="172"/>
      <c r="QF153" s="172"/>
      <c r="QG153" s="172"/>
      <c r="QH153" s="172"/>
      <c r="QI153" s="172"/>
      <c r="QJ153" s="172"/>
      <c r="QK153" s="172"/>
      <c r="QL153" s="172"/>
      <c r="QM153" s="172"/>
      <c r="QN153" s="172"/>
      <c r="QO153" s="172"/>
      <c r="QP153" s="172"/>
      <c r="QQ153" s="172"/>
      <c r="QR153" s="172"/>
      <c r="QS153" s="172"/>
      <c r="QT153" s="172"/>
      <c r="QU153" s="172"/>
      <c r="QV153" s="172"/>
      <c r="QW153" s="172"/>
      <c r="QX153" s="172"/>
      <c r="QY153" s="172"/>
      <c r="QZ153" s="172"/>
      <c r="RA153" s="172"/>
      <c r="RB153" s="172"/>
      <c r="RC153" s="172"/>
      <c r="RD153" s="172"/>
      <c r="RE153" s="172"/>
      <c r="RF153" s="172"/>
      <c r="RG153" s="172"/>
      <c r="RH153" s="172"/>
      <c r="RI153" s="172"/>
      <c r="RJ153" s="172"/>
      <c r="RK153" s="172"/>
      <c r="RL153" s="172"/>
      <c r="RM153" s="172"/>
      <c r="RN153" s="172"/>
      <c r="RO153" s="172"/>
      <c r="RP153" s="172"/>
      <c r="RQ153" s="172"/>
      <c r="RR153" s="172"/>
      <c r="RS153" s="172"/>
      <c r="RT153" s="172"/>
      <c r="RU153" s="172"/>
      <c r="RV153" s="172"/>
      <c r="RW153" s="172"/>
      <c r="RX153" s="172"/>
      <c r="RY153" s="172"/>
      <c r="RZ153" s="172"/>
      <c r="SA153" s="172"/>
      <c r="SB153" s="172"/>
      <c r="SC153" s="172"/>
      <c r="SD153" s="172"/>
      <c r="SE153" s="172"/>
      <c r="SF153" s="172"/>
      <c r="SG153" s="172"/>
      <c r="SH153" s="172"/>
      <c r="SI153" s="172"/>
      <c r="SJ153" s="172"/>
      <c r="SK153" s="172"/>
      <c r="SL153" s="172"/>
      <c r="SM153" s="172"/>
      <c r="SN153" s="172"/>
      <c r="SO153" s="172"/>
      <c r="SP153" s="172"/>
      <c r="SQ153" s="172"/>
      <c r="SR153" s="172"/>
      <c r="SS153" s="172"/>
      <c r="ST153" s="172"/>
      <c r="SU153" s="172"/>
      <c r="SV153" s="172"/>
      <c r="SW153" s="172"/>
      <c r="SX153" s="172"/>
      <c r="SY153" s="172"/>
      <c r="SZ153" s="172"/>
      <c r="TA153" s="172"/>
      <c r="TB153" s="172"/>
      <c r="TC153" s="172"/>
      <c r="TD153" s="172"/>
      <c r="TE153" s="172"/>
      <c r="TF153" s="172"/>
      <c r="TG153" s="172"/>
      <c r="TH153" s="172"/>
      <c r="TI153" s="172"/>
      <c r="TJ153" s="172"/>
      <c r="TK153" s="172"/>
      <c r="TL153" s="172"/>
      <c r="TM153" s="172"/>
      <c r="TN153" s="172"/>
      <c r="TO153" s="172"/>
      <c r="TP153" s="172"/>
      <c r="TQ153" s="172"/>
      <c r="TR153" s="172"/>
      <c r="TS153" s="172"/>
      <c r="TT153" s="172"/>
      <c r="TU153" s="172"/>
      <c r="TV153" s="172"/>
      <c r="TW153" s="172"/>
      <c r="TX153" s="172"/>
      <c r="TY153" s="172"/>
      <c r="TZ153" s="172"/>
      <c r="UA153" s="172"/>
      <c r="UB153" s="172"/>
      <c r="UC153" s="172"/>
      <c r="UD153" s="172"/>
      <c r="UE153" s="172"/>
      <c r="UF153" s="172"/>
      <c r="UG153" s="172"/>
      <c r="UH153" s="172"/>
      <c r="UI153" s="172"/>
      <c r="UJ153" s="172"/>
      <c r="UK153" s="172"/>
      <c r="UL153" s="172"/>
      <c r="UM153" s="172"/>
      <c r="UN153" s="172"/>
      <c r="UO153" s="172"/>
      <c r="UP153" s="172"/>
      <c r="UQ153" s="172"/>
      <c r="UR153" s="172"/>
      <c r="US153" s="172"/>
      <c r="UT153" s="172"/>
      <c r="UU153" s="172"/>
      <c r="UV153" s="172"/>
      <c r="UW153" s="172"/>
      <c r="UX153" s="172"/>
      <c r="UY153" s="172"/>
      <c r="UZ153" s="172"/>
      <c r="VA153" s="172"/>
      <c r="VB153" s="172"/>
      <c r="VC153" s="172"/>
      <c r="VD153" s="172"/>
      <c r="VE153" s="172"/>
      <c r="VF153" s="172"/>
      <c r="VG153" s="172"/>
      <c r="VH153" s="172"/>
      <c r="VI153" s="172"/>
      <c r="VJ153" s="172"/>
      <c r="VK153" s="172"/>
      <c r="VL153" s="172"/>
      <c r="VM153" s="172"/>
      <c r="VN153" s="172"/>
      <c r="VO153" s="172"/>
      <c r="VP153" s="172"/>
      <c r="VQ153" s="172"/>
      <c r="VR153" s="172"/>
      <c r="VS153" s="172"/>
      <c r="VT153" s="172"/>
      <c r="VU153" s="172"/>
      <c r="VV153" s="172"/>
      <c r="VW153" s="172"/>
      <c r="VX153" s="172"/>
      <c r="VY153" s="172"/>
      <c r="VZ153" s="172"/>
      <c r="WA153" s="172"/>
      <c r="WB153" s="172"/>
      <c r="WC153" s="172"/>
      <c r="WD153" s="172"/>
      <c r="WE153" s="172"/>
      <c r="WF153" s="172"/>
      <c r="WG153" s="172"/>
      <c r="WH153" s="172"/>
      <c r="WI153" s="172"/>
      <c r="WJ153" s="172"/>
      <c r="WK153" s="172"/>
      <c r="WL153" s="172"/>
      <c r="WM153" s="172"/>
      <c r="WN153" s="172"/>
      <c r="WO153" s="172"/>
      <c r="WP153" s="172"/>
      <c r="WQ153" s="172"/>
      <c r="WR153" s="172"/>
      <c r="WS153" s="172"/>
      <c r="WT153" s="172"/>
      <c r="WU153" s="172"/>
      <c r="WV153" s="172"/>
      <c r="WW153" s="172"/>
      <c r="WX153" s="172"/>
      <c r="WY153" s="172"/>
      <c r="WZ153" s="172"/>
      <c r="XA153" s="172"/>
      <c r="XB153" s="172"/>
      <c r="XC153" s="172"/>
      <c r="XD153" s="172"/>
      <c r="XE153" s="172"/>
      <c r="XF153" s="172"/>
      <c r="XG153" s="172"/>
      <c r="XH153" s="172"/>
      <c r="XI153" s="172"/>
      <c r="XJ153" s="172"/>
      <c r="XK153" s="172"/>
      <c r="XL153" s="172"/>
      <c r="XM153" s="172"/>
      <c r="XN153" s="172"/>
      <c r="XO153" s="172"/>
      <c r="XP153" s="172"/>
      <c r="XQ153" s="172"/>
      <c r="XR153" s="172"/>
      <c r="XS153" s="172"/>
      <c r="XT153" s="172"/>
      <c r="XU153" s="172"/>
      <c r="XV153" s="172"/>
      <c r="XW153" s="172"/>
      <c r="XX153" s="172"/>
      <c r="XY153" s="172"/>
      <c r="XZ153" s="172"/>
      <c r="YA153" s="172"/>
      <c r="YB153" s="172"/>
      <c r="YC153" s="172"/>
      <c r="YD153" s="172"/>
      <c r="YE153" s="172"/>
      <c r="YF153" s="172"/>
      <c r="YG153" s="172"/>
      <c r="YH153" s="172"/>
      <c r="YI153" s="172"/>
      <c r="YJ153" s="172"/>
      <c r="YK153" s="172"/>
      <c r="YL153" s="172"/>
      <c r="YM153" s="172"/>
      <c r="YN153" s="172"/>
      <c r="YO153" s="172"/>
      <c r="YP153" s="172"/>
      <c r="YQ153" s="172"/>
      <c r="YR153" s="172"/>
      <c r="YS153" s="172"/>
      <c r="YT153" s="172"/>
      <c r="YU153" s="172"/>
      <c r="YV153" s="172"/>
      <c r="YW153" s="172"/>
      <c r="YX153" s="172"/>
      <c r="YY153" s="172"/>
      <c r="YZ153" s="172"/>
      <c r="ZA153" s="172"/>
      <c r="ZB153" s="172"/>
      <c r="ZC153" s="172"/>
      <c r="ZD153" s="172"/>
      <c r="ZE153" s="172"/>
      <c r="ZF153" s="172"/>
      <c r="ZG153" s="172"/>
      <c r="ZH153" s="172"/>
      <c r="ZI153" s="172"/>
      <c r="ZJ153" s="172"/>
      <c r="ZK153" s="172"/>
      <c r="ZL153" s="172"/>
      <c r="ZM153" s="172"/>
      <c r="ZN153" s="172"/>
      <c r="ZO153" s="172"/>
      <c r="ZP153" s="172"/>
      <c r="ZQ153" s="172"/>
      <c r="ZR153" s="172"/>
      <c r="ZS153" s="172"/>
      <c r="ZT153" s="172"/>
      <c r="ZU153" s="172"/>
      <c r="ZV153" s="172"/>
      <c r="ZW153" s="172"/>
      <c r="ZX153" s="172"/>
      <c r="ZY153" s="172"/>
      <c r="ZZ153" s="172"/>
      <c r="AAA153" s="172"/>
      <c r="AAB153" s="172"/>
      <c r="AAC153" s="172"/>
      <c r="AAD153" s="172"/>
      <c r="AAE153" s="172"/>
      <c r="AAF153" s="172"/>
      <c r="AAG153" s="172"/>
      <c r="AAH153" s="172"/>
      <c r="AAI153" s="172"/>
      <c r="AAJ153" s="172"/>
      <c r="AAK153" s="172"/>
      <c r="AAL153" s="172"/>
      <c r="AAM153" s="172"/>
      <c r="AAN153" s="172"/>
      <c r="AAO153" s="172"/>
      <c r="AAP153" s="172"/>
      <c r="AAQ153" s="172"/>
      <c r="AAR153" s="172"/>
      <c r="AAS153" s="172"/>
      <c r="AAT153" s="172"/>
      <c r="AAU153" s="172"/>
      <c r="AAV153" s="172"/>
      <c r="AAW153" s="172"/>
      <c r="AAX153" s="172"/>
      <c r="AAY153" s="172"/>
      <c r="AAZ153" s="172"/>
      <c r="ABA153" s="172"/>
      <c r="ABB153" s="172"/>
      <c r="ABC153" s="172"/>
      <c r="ABD153" s="172"/>
      <c r="ABE153" s="172"/>
      <c r="ABF153" s="172"/>
      <c r="ABG153" s="172"/>
      <c r="ABH153" s="172"/>
      <c r="ABI153" s="172"/>
      <c r="ABJ153" s="172"/>
      <c r="ABK153" s="172"/>
      <c r="ABL153" s="172"/>
      <c r="ABM153" s="172"/>
      <c r="ABN153" s="172"/>
      <c r="ABO153" s="172"/>
      <c r="ABP153" s="172"/>
      <c r="ABQ153" s="172"/>
      <c r="ABR153" s="172"/>
      <c r="ABS153" s="172"/>
      <c r="ABT153" s="172"/>
      <c r="ABU153" s="172"/>
      <c r="ABV153" s="172"/>
      <c r="ABW153" s="172"/>
      <c r="ABX153" s="172"/>
      <c r="ABY153" s="172"/>
      <c r="ABZ153" s="172"/>
      <c r="ACA153" s="172"/>
      <c r="ACB153" s="172"/>
      <c r="ACC153" s="172"/>
      <c r="ACD153" s="172"/>
      <c r="ACE153" s="172"/>
      <c r="ACF153" s="172"/>
      <c r="ACG153" s="172"/>
      <c r="ACH153" s="172"/>
      <c r="ACI153" s="172"/>
      <c r="ACJ153" s="172"/>
      <c r="ACK153" s="172"/>
      <c r="ACL153" s="172"/>
      <c r="ACM153" s="172"/>
      <c r="ACN153" s="172"/>
      <c r="ACO153" s="172"/>
      <c r="ACP153" s="172"/>
      <c r="ACQ153" s="172"/>
      <c r="ACR153" s="172"/>
      <c r="ACS153" s="172"/>
      <c r="ACT153" s="172"/>
      <c r="ACU153" s="172"/>
      <c r="ACV153" s="172"/>
      <c r="ACW153" s="172"/>
      <c r="ACX153" s="172"/>
      <c r="ACY153" s="172"/>
      <c r="ACZ153" s="172"/>
      <c r="ADA153" s="172"/>
      <c r="ADB153" s="172"/>
      <c r="ADC153" s="172"/>
      <c r="ADD153" s="172"/>
      <c r="ADE153" s="172"/>
      <c r="ADF153" s="172"/>
      <c r="ADG153" s="172"/>
      <c r="ADH153" s="172"/>
      <c r="ADI153" s="172"/>
      <c r="ADJ153" s="172"/>
      <c r="ADK153" s="172"/>
      <c r="ADL153" s="172"/>
      <c r="ADM153" s="172"/>
      <c r="ADN153" s="172"/>
      <c r="ADO153" s="172"/>
      <c r="ADP153" s="172"/>
      <c r="ADQ153" s="172"/>
      <c r="ADR153" s="172"/>
      <c r="ADS153" s="172"/>
      <c r="ADT153" s="172"/>
      <c r="ADU153" s="172"/>
      <c r="ADV153" s="172"/>
      <c r="ADW153" s="172"/>
      <c r="ADX153" s="172"/>
      <c r="ADY153" s="172"/>
      <c r="ADZ153" s="172"/>
      <c r="AEA153" s="172"/>
      <c r="AEB153" s="172"/>
      <c r="AEC153" s="172"/>
      <c r="AED153" s="172"/>
      <c r="AEE153" s="172"/>
      <c r="AEF153" s="172"/>
      <c r="AEG153" s="172"/>
      <c r="AEH153" s="172"/>
      <c r="AEI153" s="172"/>
      <c r="AEJ153" s="172"/>
      <c r="AEK153" s="172"/>
      <c r="AEL153" s="172"/>
      <c r="AEM153" s="172"/>
      <c r="AEN153" s="172"/>
      <c r="AEO153" s="172"/>
      <c r="AEP153" s="172"/>
      <c r="AEQ153" s="172"/>
      <c r="AER153" s="172"/>
      <c r="AES153" s="172"/>
      <c r="AET153" s="172"/>
      <c r="AEU153" s="172"/>
      <c r="AEV153" s="172"/>
      <c r="AEW153" s="172"/>
      <c r="AEX153" s="172"/>
      <c r="AEY153" s="172"/>
      <c r="AEZ153" s="172"/>
      <c r="AFA153" s="172"/>
      <c r="AFB153" s="172"/>
      <c r="AFC153" s="172"/>
      <c r="AFD153" s="172"/>
      <c r="AFE153" s="172"/>
      <c r="AFF153" s="172"/>
      <c r="AFG153" s="172"/>
      <c r="AFH153" s="172"/>
      <c r="AFI153" s="172"/>
      <c r="AFJ153" s="172"/>
      <c r="AFK153" s="172"/>
      <c r="AFL153" s="172"/>
      <c r="AFM153" s="172"/>
      <c r="AFN153" s="172"/>
      <c r="AFO153" s="172"/>
      <c r="AFP153" s="172"/>
      <c r="AFQ153" s="172"/>
      <c r="AFR153" s="172"/>
      <c r="AFS153" s="172"/>
      <c r="AFT153" s="172"/>
      <c r="AFU153" s="172"/>
      <c r="AFV153" s="172"/>
      <c r="AFW153" s="172"/>
      <c r="AFX153" s="172"/>
      <c r="AFY153" s="172"/>
      <c r="AFZ153" s="172"/>
      <c r="AGA153" s="172"/>
      <c r="AGB153" s="172"/>
      <c r="AGC153" s="172"/>
      <c r="AGD153" s="172"/>
      <c r="AGE153" s="172"/>
      <c r="AGF153" s="172"/>
      <c r="AGG153" s="172"/>
      <c r="AGH153" s="172"/>
      <c r="AGI153" s="172"/>
      <c r="AGJ153" s="172"/>
      <c r="AGK153" s="172"/>
      <c r="AGL153" s="172"/>
      <c r="AGM153" s="172"/>
      <c r="AGN153" s="172"/>
      <c r="AGO153" s="172"/>
      <c r="AGP153" s="172"/>
      <c r="AGQ153" s="172"/>
      <c r="AGR153" s="172"/>
      <c r="AGS153" s="172"/>
      <c r="AGT153" s="172"/>
      <c r="AGU153" s="172"/>
      <c r="AGV153" s="172"/>
      <c r="AGW153" s="172"/>
      <c r="AGX153" s="172"/>
      <c r="AGY153" s="172"/>
      <c r="AGZ153" s="172"/>
      <c r="AHA153" s="172"/>
      <c r="AHB153" s="172"/>
      <c r="AHC153" s="172"/>
      <c r="AHD153" s="172"/>
      <c r="AHE153" s="172"/>
      <c r="AHF153" s="172"/>
      <c r="AHG153" s="172"/>
      <c r="AHH153" s="172"/>
      <c r="AHI153" s="172"/>
      <c r="AHJ153" s="172"/>
      <c r="AHK153" s="172"/>
      <c r="AHL153" s="172"/>
      <c r="AHM153" s="172"/>
      <c r="AHN153" s="172"/>
      <c r="AHO153" s="172"/>
      <c r="AHP153" s="172"/>
      <c r="AHQ153" s="172"/>
      <c r="AHR153" s="172"/>
      <c r="AHS153" s="172"/>
      <c r="AHT153" s="172"/>
      <c r="AHU153" s="172"/>
      <c r="AHV153" s="172"/>
      <c r="AHW153" s="172"/>
      <c r="AHX153" s="172"/>
      <c r="AHY153" s="172"/>
      <c r="AHZ153" s="172"/>
      <c r="AIA153" s="172"/>
      <c r="AIB153" s="172"/>
      <c r="AIC153" s="172"/>
      <c r="AID153" s="172"/>
      <c r="AIE153" s="172"/>
      <c r="AIF153" s="172"/>
      <c r="AIG153" s="172"/>
      <c r="AIH153" s="172"/>
      <c r="AII153" s="172"/>
      <c r="AIJ153" s="172"/>
      <c r="AIK153" s="172"/>
      <c r="AIL153" s="172"/>
      <c r="AIM153" s="172"/>
      <c r="AIN153" s="172"/>
      <c r="AIO153" s="172"/>
      <c r="AIP153" s="172"/>
      <c r="AIQ153" s="172"/>
      <c r="AIR153" s="172"/>
      <c r="AIS153" s="172"/>
      <c r="AIT153" s="172"/>
      <c r="AIU153" s="172"/>
      <c r="AIV153" s="172"/>
      <c r="AIW153" s="172"/>
      <c r="AIX153" s="172"/>
      <c r="AIY153" s="172"/>
      <c r="AIZ153" s="172"/>
      <c r="AJA153" s="172"/>
      <c r="AJB153" s="172"/>
      <c r="AJC153" s="172"/>
      <c r="AJD153" s="172"/>
      <c r="AJE153" s="172"/>
      <c r="AJF153" s="172"/>
      <c r="AJG153" s="172"/>
      <c r="AJH153" s="172"/>
      <c r="AJI153" s="172"/>
      <c r="AJJ153" s="172"/>
      <c r="AJK153" s="172"/>
      <c r="AJL153" s="172"/>
      <c r="AJM153" s="172"/>
      <c r="AJN153" s="172"/>
      <c r="AJO153" s="172"/>
      <c r="AJP153" s="172"/>
      <c r="AJQ153" s="172"/>
      <c r="AJR153" s="172"/>
      <c r="AJS153" s="172"/>
      <c r="AJT153" s="172"/>
      <c r="AJU153" s="172"/>
      <c r="AJV153" s="172"/>
      <c r="AJW153" s="172"/>
      <c r="AJX153" s="172"/>
      <c r="AJY153" s="172"/>
      <c r="AJZ153" s="172"/>
      <c r="AKA153" s="172"/>
      <c r="AKB153" s="172"/>
      <c r="AKC153" s="172"/>
      <c r="AKD153" s="172"/>
      <c r="AKE153" s="172"/>
      <c r="AKF153" s="172"/>
      <c r="AKG153" s="172"/>
      <c r="AKH153" s="172"/>
      <c r="AKI153" s="172"/>
      <c r="AKJ153" s="172"/>
      <c r="AKK153" s="172"/>
      <c r="AKL153" s="172"/>
      <c r="AKM153" s="172"/>
      <c r="AKN153" s="172"/>
      <c r="AKO153" s="172"/>
      <c r="AKP153" s="172"/>
      <c r="AKQ153" s="172"/>
      <c r="AKR153" s="172"/>
      <c r="AKS153" s="172"/>
      <c r="AKT153" s="172"/>
      <c r="AKU153" s="172"/>
      <c r="AKV153" s="172"/>
      <c r="AKW153" s="172"/>
      <c r="AKX153" s="172"/>
      <c r="AKY153" s="172"/>
      <c r="AKZ153" s="172"/>
      <c r="ALA153" s="172"/>
      <c r="ALB153" s="172"/>
      <c r="ALC153" s="172"/>
      <c r="ALD153" s="172"/>
      <c r="ALE153" s="172"/>
      <c r="ALF153" s="172"/>
      <c r="ALG153" s="172"/>
      <c r="ALH153" s="172"/>
      <c r="ALI153" s="172"/>
      <c r="ALJ153" s="172"/>
      <c r="ALK153" s="172"/>
      <c r="ALL153" s="172"/>
      <c r="ALM153" s="172"/>
      <c r="ALN153" s="172"/>
      <c r="ALO153" s="172"/>
      <c r="ALP153" s="172"/>
      <c r="ALQ153" s="172"/>
      <c r="ALR153" s="172"/>
      <c r="ALS153" s="172"/>
      <c r="ALT153" s="172"/>
      <c r="ALU153" s="172"/>
      <c r="ALV153" s="172"/>
      <c r="ALW153" s="172"/>
      <c r="ALX153" s="172"/>
      <c r="ALY153" s="172"/>
      <c r="ALZ153" s="172"/>
      <c r="AMA153" s="172"/>
      <c r="AMB153" s="172"/>
      <c r="AMC153" s="172"/>
      <c r="AMD153" s="172"/>
      <c r="AME153" s="172"/>
      <c r="AMF153" s="172"/>
      <c r="AMG153" s="172"/>
      <c r="AMH153" s="172"/>
      <c r="AMI153" s="172"/>
      <c r="AMJ153" s="172"/>
      <c r="AMK153" s="172"/>
      <c r="AML153" s="172"/>
      <c r="AMM153" s="172"/>
      <c r="AMN153" s="172"/>
      <c r="AMO153" s="172"/>
      <c r="AMP153" s="172"/>
      <c r="AMQ153" s="172"/>
      <c r="AMR153" s="172"/>
      <c r="AMS153" s="172"/>
      <c r="AMT153" s="172"/>
      <c r="AMU153" s="172"/>
      <c r="AMV153" s="172"/>
      <c r="AMW153" s="172"/>
      <c r="AMX153" s="172"/>
      <c r="AMY153" s="172"/>
      <c r="AMZ153" s="172"/>
      <c r="ANA153" s="172"/>
      <c r="ANB153" s="172"/>
      <c r="ANC153" s="172"/>
      <c r="AND153" s="172"/>
      <c r="ANE153" s="172"/>
      <c r="ANF153" s="172"/>
      <c r="ANG153" s="172"/>
      <c r="ANH153" s="172"/>
      <c r="ANI153" s="172"/>
      <c r="ANJ153" s="172"/>
      <c r="ANK153" s="172"/>
      <c r="ANL153" s="172"/>
      <c r="ANM153" s="172"/>
      <c r="ANN153" s="172"/>
      <c r="ANO153" s="172"/>
      <c r="ANP153" s="172"/>
      <c r="ANQ153" s="172"/>
      <c r="ANR153" s="172"/>
      <c r="ANS153" s="172"/>
      <c r="ANT153" s="172"/>
      <c r="ANU153" s="172"/>
      <c r="ANV153" s="172"/>
      <c r="ANW153" s="172"/>
      <c r="ANX153" s="172"/>
      <c r="ANY153" s="172"/>
      <c r="ANZ153" s="172"/>
      <c r="AOA153" s="172"/>
      <c r="AOB153" s="172"/>
      <c r="AOC153" s="172"/>
      <c r="AOD153" s="172"/>
      <c r="AOE153" s="172"/>
      <c r="AOF153" s="172"/>
      <c r="AOG153" s="172"/>
      <c r="AOH153" s="172"/>
      <c r="AOI153" s="172"/>
      <c r="AOJ153" s="172"/>
      <c r="AOK153" s="172"/>
      <c r="AOL153" s="172"/>
      <c r="AOM153" s="172"/>
      <c r="AON153" s="172"/>
      <c r="AOO153" s="172"/>
      <c r="AOP153" s="172"/>
      <c r="AOQ153" s="172"/>
      <c r="AOR153" s="172"/>
      <c r="AOS153" s="172"/>
      <c r="AOT153" s="172"/>
      <c r="AOU153" s="172"/>
      <c r="AOV153" s="172"/>
      <c r="AOW153" s="172"/>
      <c r="AOX153" s="172"/>
      <c r="AOY153" s="172"/>
      <c r="AOZ153" s="172"/>
      <c r="APA153" s="172"/>
      <c r="APB153" s="172"/>
      <c r="APC153" s="172"/>
      <c r="APD153" s="172"/>
      <c r="APE153" s="172"/>
      <c r="APF153" s="172"/>
      <c r="APG153" s="172"/>
      <c r="APH153" s="172"/>
      <c r="API153" s="172"/>
      <c r="APJ153" s="172"/>
      <c r="APK153" s="172"/>
      <c r="APL153" s="172"/>
      <c r="APM153" s="172"/>
      <c r="APN153" s="172"/>
      <c r="APO153" s="172"/>
      <c r="APP153" s="172"/>
      <c r="APQ153" s="172"/>
      <c r="APR153" s="172"/>
      <c r="APS153" s="172"/>
      <c r="APT153" s="172"/>
      <c r="APU153" s="172"/>
      <c r="APV153" s="172"/>
      <c r="APW153" s="172"/>
      <c r="APX153" s="172"/>
      <c r="APY153" s="172"/>
      <c r="APZ153" s="172"/>
      <c r="AQA153" s="172"/>
      <c r="AQB153" s="172"/>
      <c r="AQC153" s="172"/>
      <c r="AQD153" s="172"/>
      <c r="AQE153" s="172"/>
      <c r="AQF153" s="172"/>
      <c r="AQG153" s="172"/>
      <c r="AQH153" s="172"/>
      <c r="AQI153" s="172"/>
      <c r="AQJ153" s="172"/>
      <c r="AQK153" s="172"/>
      <c r="AQL153" s="172"/>
      <c r="AQM153" s="172"/>
      <c r="AQN153" s="172"/>
      <c r="AQO153" s="172"/>
      <c r="AQP153" s="172"/>
      <c r="AQQ153" s="172"/>
      <c r="AQR153" s="172"/>
      <c r="AQS153" s="172"/>
      <c r="AQT153" s="172"/>
      <c r="AQU153" s="172"/>
      <c r="AQV153" s="172"/>
      <c r="AQW153" s="172"/>
      <c r="AQX153" s="172"/>
      <c r="AQY153" s="172"/>
      <c r="AQZ153" s="172"/>
      <c r="ARA153" s="172"/>
      <c r="ARB153" s="172"/>
      <c r="ARC153" s="172"/>
      <c r="ARD153" s="172"/>
      <c r="ARE153" s="172"/>
      <c r="ARF153" s="172"/>
      <c r="ARG153" s="172"/>
      <c r="ARH153" s="172"/>
      <c r="ARI153" s="172"/>
      <c r="ARJ153" s="172"/>
      <c r="ARK153" s="172"/>
      <c r="ARL153" s="172"/>
      <c r="ARM153" s="172"/>
      <c r="ARN153" s="172"/>
      <c r="ARO153" s="172"/>
      <c r="ARP153" s="172"/>
      <c r="ARQ153" s="172"/>
      <c r="ARR153" s="172"/>
      <c r="ARS153" s="172"/>
      <c r="ART153" s="172"/>
      <c r="ARU153" s="172"/>
    </row>
    <row r="154" spans="1:1165" s="257" customFormat="1">
      <c r="A154" s="299" t="s">
        <v>420</v>
      </c>
      <c r="B154" s="195" t="s">
        <v>87</v>
      </c>
      <c r="C154" s="258">
        <v>36564</v>
      </c>
      <c r="D154" s="258">
        <v>60618898</v>
      </c>
      <c r="E154" s="258">
        <v>558</v>
      </c>
      <c r="F154" s="258">
        <v>6721875</v>
      </c>
      <c r="G154" s="258">
        <v>638</v>
      </c>
      <c r="H154" s="258">
        <v>10260637</v>
      </c>
      <c r="I154" s="258">
        <v>720</v>
      </c>
      <c r="J154" s="258">
        <v>6275268</v>
      </c>
      <c r="K154" s="258">
        <v>775</v>
      </c>
      <c r="L154" s="258">
        <v>7621570</v>
      </c>
      <c r="M154" s="258">
        <v>720</v>
      </c>
      <c r="N154" s="258">
        <v>6988222</v>
      </c>
      <c r="O154" s="258">
        <v>458</v>
      </c>
      <c r="P154" s="258">
        <v>5486809</v>
      </c>
      <c r="Q154" s="258">
        <v>742</v>
      </c>
      <c r="R154" s="258">
        <v>4989398</v>
      </c>
      <c r="S154" s="258">
        <v>648</v>
      </c>
      <c r="T154" s="258">
        <v>4485426</v>
      </c>
      <c r="U154" s="284">
        <v>375</v>
      </c>
      <c r="V154" s="284">
        <v>2317099</v>
      </c>
      <c r="W154" s="284">
        <v>351</v>
      </c>
      <c r="X154" s="284">
        <v>2122155</v>
      </c>
      <c r="Y154" s="298">
        <v>212</v>
      </c>
      <c r="Z154" s="298">
        <v>1085179</v>
      </c>
      <c r="AA154" s="302">
        <v>275</v>
      </c>
      <c r="AB154" s="302">
        <v>1268035</v>
      </c>
      <c r="AC154" s="258">
        <v>284</v>
      </c>
      <c r="AD154" s="258">
        <v>1472341</v>
      </c>
      <c r="AE154" s="288">
        <v>73</v>
      </c>
      <c r="AF154" s="302">
        <v>848271</v>
      </c>
      <c r="AG154" s="288">
        <v>209</v>
      </c>
      <c r="AH154" s="288">
        <v>1408719</v>
      </c>
      <c r="AI154" s="288">
        <v>586</v>
      </c>
      <c r="AJ154" s="288">
        <v>4156739</v>
      </c>
      <c r="AK154" s="288">
        <v>400.8</v>
      </c>
      <c r="AL154" s="288">
        <v>2783005</v>
      </c>
      <c r="AM154" s="261">
        <v>523</v>
      </c>
      <c r="AN154" s="261">
        <v>3637931</v>
      </c>
      <c r="AO154" s="288">
        <v>588</v>
      </c>
      <c r="AP154" s="288">
        <v>4894812</v>
      </c>
      <c r="AQ154" s="288">
        <v>465.58</v>
      </c>
      <c r="AR154" s="288">
        <v>3768893</v>
      </c>
      <c r="AS154" s="288">
        <v>712.5</v>
      </c>
      <c r="AT154" s="288">
        <v>6248086</v>
      </c>
      <c r="AU154" s="302">
        <v>976</v>
      </c>
      <c r="AV154" s="302">
        <v>7787068</v>
      </c>
      <c r="AW154" s="258">
        <v>762.7</v>
      </c>
      <c r="AX154" s="258">
        <v>4967874</v>
      </c>
      <c r="AY154" s="258">
        <v>652.99</v>
      </c>
      <c r="AZ154" s="258">
        <v>4184604</v>
      </c>
      <c r="BA154" s="262"/>
      <c r="BB154" s="258"/>
      <c r="BC154" s="263"/>
      <c r="BD154" s="258"/>
      <c r="BE154" s="263"/>
      <c r="BF154" s="258"/>
      <c r="BG154" s="263"/>
      <c r="BH154" s="258"/>
      <c r="BI154" s="262"/>
      <c r="BJ154" s="258">
        <f t="shared" si="70"/>
        <v>48711.57</v>
      </c>
      <c r="BK154" s="258">
        <f>D154+H154+J154+L154+N154+P154+R154+T154+V154+X154+Z154+AB154+AD154+AF154+AH154+AJ154+AL154+AN154+AP154+AR154+AT154+AV154+AX154+AZ154+BD154+BH154</f>
        <v>159677039</v>
      </c>
      <c r="BL154" s="172"/>
      <c r="BM154" s="172"/>
      <c r="BN154" s="231"/>
      <c r="BO154" s="172"/>
      <c r="BP154" s="172"/>
      <c r="BQ154" s="172"/>
      <c r="BR154" s="172"/>
      <c r="BS154" s="172"/>
      <c r="BT154" s="172"/>
      <c r="BU154" s="172"/>
      <c r="BV154" s="172"/>
      <c r="BW154" s="172"/>
      <c r="BX154" s="172"/>
      <c r="BY154" s="172"/>
      <c r="BZ154" s="172"/>
      <c r="CA154" s="172"/>
      <c r="CB154" s="172"/>
      <c r="CC154" s="172"/>
      <c r="CD154" s="172"/>
      <c r="CE154" s="172"/>
      <c r="CF154" s="172"/>
      <c r="CG154" s="172"/>
      <c r="CH154" s="172"/>
      <c r="CI154" s="172"/>
      <c r="CJ154" s="172"/>
      <c r="CK154" s="172"/>
      <c r="CL154" s="172"/>
      <c r="CM154" s="172"/>
      <c r="CN154" s="172"/>
      <c r="CO154" s="172"/>
      <c r="CP154" s="172"/>
      <c r="CQ154" s="172"/>
      <c r="CR154" s="172"/>
      <c r="CS154" s="172"/>
      <c r="CT154" s="172"/>
      <c r="CU154" s="172"/>
      <c r="CV154" s="172"/>
      <c r="CW154" s="172"/>
      <c r="CX154" s="172"/>
      <c r="CY154" s="172"/>
      <c r="CZ154" s="172"/>
      <c r="DA154" s="172"/>
      <c r="DB154" s="172"/>
      <c r="DC154" s="172"/>
      <c r="DD154" s="172"/>
      <c r="DE154" s="172"/>
      <c r="DF154" s="172"/>
      <c r="DG154" s="172"/>
      <c r="DH154" s="172"/>
      <c r="DI154" s="172"/>
      <c r="DJ154" s="172"/>
      <c r="DK154" s="172"/>
      <c r="DL154" s="172"/>
      <c r="DM154" s="172"/>
      <c r="DN154" s="172"/>
      <c r="DO154" s="172"/>
      <c r="DP154" s="172"/>
      <c r="DQ154" s="172"/>
      <c r="DR154" s="172"/>
      <c r="DS154" s="172"/>
      <c r="DT154" s="172"/>
      <c r="DU154" s="172"/>
      <c r="DV154" s="172"/>
      <c r="DW154" s="172"/>
      <c r="DX154" s="172"/>
      <c r="DY154" s="172"/>
      <c r="DZ154" s="172"/>
      <c r="EA154" s="172"/>
      <c r="EB154" s="172"/>
      <c r="EC154" s="172"/>
      <c r="ED154" s="172"/>
      <c r="EE154" s="172"/>
      <c r="EF154" s="172"/>
      <c r="EG154" s="172"/>
      <c r="EH154" s="172"/>
      <c r="EI154" s="172"/>
      <c r="EJ154" s="172"/>
      <c r="EK154" s="172"/>
      <c r="EL154" s="172"/>
      <c r="EM154" s="172"/>
      <c r="EN154" s="172"/>
      <c r="EO154" s="172"/>
      <c r="EP154" s="172"/>
      <c r="EQ154" s="172"/>
      <c r="ER154" s="172"/>
      <c r="ES154" s="172"/>
      <c r="ET154" s="172"/>
      <c r="EU154" s="172"/>
      <c r="EV154" s="172"/>
      <c r="EW154" s="172"/>
      <c r="EX154" s="172"/>
      <c r="EY154" s="172"/>
      <c r="EZ154" s="172"/>
      <c r="FA154" s="172"/>
      <c r="FB154" s="172"/>
      <c r="FC154" s="172"/>
      <c r="FD154" s="172"/>
      <c r="FE154" s="172"/>
      <c r="FF154" s="172"/>
      <c r="FG154" s="172"/>
      <c r="FH154" s="172"/>
      <c r="FI154" s="172"/>
      <c r="FJ154" s="172"/>
      <c r="FK154" s="172"/>
      <c r="FL154" s="172"/>
      <c r="FM154" s="172"/>
      <c r="FN154" s="172"/>
      <c r="FO154" s="172"/>
      <c r="FP154" s="172"/>
      <c r="FQ154" s="172"/>
      <c r="FR154" s="172"/>
      <c r="FS154" s="172"/>
      <c r="FT154" s="172"/>
      <c r="FU154" s="172"/>
      <c r="FV154" s="172"/>
      <c r="FW154" s="172"/>
      <c r="FX154" s="172"/>
      <c r="FY154" s="172"/>
      <c r="FZ154" s="172"/>
      <c r="GA154" s="172"/>
      <c r="GB154" s="172"/>
      <c r="GC154" s="172"/>
      <c r="GD154" s="172"/>
      <c r="GE154" s="172"/>
      <c r="GF154" s="172"/>
      <c r="GG154" s="172"/>
      <c r="GH154" s="172"/>
      <c r="GI154" s="172"/>
      <c r="GJ154" s="172"/>
      <c r="GK154" s="172"/>
      <c r="GL154" s="172"/>
      <c r="GM154" s="172"/>
      <c r="GN154" s="172"/>
      <c r="GO154" s="172"/>
      <c r="GP154" s="172"/>
      <c r="GQ154" s="172"/>
      <c r="GR154" s="172"/>
      <c r="GS154" s="172"/>
      <c r="GT154" s="172"/>
      <c r="GU154" s="172"/>
      <c r="GV154" s="172"/>
      <c r="GW154" s="172"/>
      <c r="GX154" s="172"/>
      <c r="GY154" s="172"/>
      <c r="GZ154" s="172"/>
      <c r="HA154" s="172"/>
      <c r="HB154" s="172"/>
      <c r="HC154" s="172"/>
      <c r="HD154" s="172"/>
      <c r="HE154" s="172"/>
      <c r="HF154" s="172"/>
      <c r="HG154" s="172"/>
      <c r="HH154" s="172"/>
      <c r="HI154" s="172"/>
      <c r="HJ154" s="172"/>
      <c r="HK154" s="172"/>
      <c r="HL154" s="172"/>
      <c r="HM154" s="172"/>
      <c r="HN154" s="172"/>
      <c r="HO154" s="172"/>
      <c r="HP154" s="172"/>
      <c r="HQ154" s="172"/>
      <c r="HR154" s="172"/>
      <c r="HS154" s="172"/>
      <c r="HT154" s="172"/>
      <c r="HU154" s="172"/>
      <c r="HV154" s="172"/>
      <c r="HW154" s="172"/>
      <c r="HX154" s="172"/>
      <c r="HY154" s="172"/>
      <c r="HZ154" s="172"/>
      <c r="IA154" s="172"/>
      <c r="IB154" s="172"/>
      <c r="IC154" s="172"/>
      <c r="ID154" s="172"/>
      <c r="IE154" s="172"/>
      <c r="IF154" s="172"/>
      <c r="IG154" s="172"/>
      <c r="IH154" s="172"/>
      <c r="II154" s="172"/>
      <c r="IJ154" s="172"/>
      <c r="IK154" s="172"/>
      <c r="IL154" s="172"/>
      <c r="IM154" s="172"/>
      <c r="IN154" s="172"/>
      <c r="IO154" s="172"/>
      <c r="IP154" s="172"/>
      <c r="IQ154" s="172"/>
      <c r="IR154" s="172"/>
      <c r="IS154" s="172"/>
      <c r="IT154" s="172"/>
      <c r="IU154" s="172"/>
      <c r="IV154" s="172"/>
      <c r="IW154" s="172"/>
      <c r="IX154" s="172"/>
      <c r="IY154" s="172"/>
      <c r="IZ154" s="172"/>
      <c r="JA154" s="172"/>
      <c r="JB154" s="172"/>
      <c r="JC154" s="172"/>
      <c r="JD154" s="172"/>
      <c r="JE154" s="172"/>
      <c r="JF154" s="172"/>
      <c r="JG154" s="172"/>
      <c r="JH154" s="172"/>
      <c r="JI154" s="172"/>
      <c r="JJ154" s="172"/>
      <c r="JK154" s="172"/>
      <c r="JL154" s="172"/>
      <c r="JM154" s="172"/>
      <c r="JN154" s="172"/>
      <c r="JO154" s="172"/>
      <c r="JP154" s="172"/>
      <c r="JQ154" s="172"/>
      <c r="JR154" s="172"/>
      <c r="JS154" s="172"/>
      <c r="JT154" s="172"/>
      <c r="JU154" s="172"/>
      <c r="JV154" s="172"/>
      <c r="JW154" s="172"/>
      <c r="JX154" s="172"/>
      <c r="JY154" s="172"/>
      <c r="JZ154" s="172"/>
      <c r="KA154" s="172"/>
      <c r="KB154" s="172"/>
      <c r="KC154" s="172"/>
      <c r="KD154" s="172"/>
      <c r="KE154" s="172"/>
      <c r="KF154" s="172"/>
      <c r="KG154" s="172"/>
      <c r="KH154" s="172"/>
      <c r="KI154" s="172"/>
      <c r="KJ154" s="172"/>
      <c r="KK154" s="172"/>
      <c r="KL154" s="172"/>
      <c r="KM154" s="172"/>
      <c r="KN154" s="172"/>
      <c r="KO154" s="172"/>
      <c r="KP154" s="172"/>
      <c r="KQ154" s="172"/>
      <c r="KR154" s="172"/>
      <c r="KS154" s="172"/>
      <c r="KT154" s="172"/>
      <c r="KU154" s="172"/>
      <c r="KV154" s="172"/>
      <c r="KW154" s="172"/>
      <c r="KX154" s="172"/>
      <c r="KY154" s="172"/>
      <c r="KZ154" s="172"/>
      <c r="LA154" s="172"/>
      <c r="LB154" s="172"/>
      <c r="LC154" s="172"/>
      <c r="LD154" s="172"/>
      <c r="LE154" s="172"/>
      <c r="LF154" s="172"/>
      <c r="LG154" s="172"/>
      <c r="LH154" s="172"/>
      <c r="LI154" s="172"/>
      <c r="LJ154" s="172"/>
      <c r="LK154" s="172"/>
      <c r="LL154" s="172"/>
      <c r="LM154" s="172"/>
      <c r="LN154" s="172"/>
      <c r="LO154" s="172"/>
      <c r="LP154" s="172"/>
      <c r="LQ154" s="172"/>
      <c r="LR154" s="172"/>
      <c r="LS154" s="172"/>
      <c r="LT154" s="172"/>
      <c r="LU154" s="172"/>
      <c r="LV154" s="172"/>
      <c r="LW154" s="172"/>
      <c r="LX154" s="172"/>
      <c r="LY154" s="172"/>
      <c r="LZ154" s="172"/>
      <c r="MA154" s="172"/>
      <c r="MB154" s="172"/>
      <c r="MC154" s="172"/>
      <c r="MD154" s="172"/>
      <c r="ME154" s="172"/>
      <c r="MF154" s="172"/>
      <c r="MG154" s="172"/>
      <c r="MH154" s="172"/>
      <c r="MI154" s="172"/>
      <c r="MJ154" s="172"/>
      <c r="MK154" s="172"/>
      <c r="ML154" s="172"/>
      <c r="MM154" s="172"/>
      <c r="MN154" s="172"/>
      <c r="MO154" s="172"/>
      <c r="MP154" s="172"/>
      <c r="MQ154" s="172"/>
      <c r="MR154" s="172"/>
      <c r="MS154" s="172"/>
      <c r="MT154" s="172"/>
      <c r="MU154" s="172"/>
      <c r="MV154" s="172"/>
      <c r="MW154" s="172"/>
      <c r="MX154" s="172"/>
      <c r="MY154" s="172"/>
      <c r="MZ154" s="172"/>
      <c r="NA154" s="172"/>
      <c r="NB154" s="172"/>
      <c r="NC154" s="172"/>
      <c r="ND154" s="172"/>
      <c r="NE154" s="172"/>
      <c r="NF154" s="172"/>
      <c r="NG154" s="172"/>
      <c r="NH154" s="172"/>
      <c r="NI154" s="172"/>
      <c r="NJ154" s="172"/>
      <c r="NK154" s="172"/>
      <c r="NL154" s="172"/>
      <c r="NM154" s="172"/>
      <c r="NN154" s="172"/>
      <c r="NO154" s="172"/>
      <c r="NP154" s="172"/>
      <c r="NQ154" s="172"/>
      <c r="NR154" s="172"/>
      <c r="NS154" s="172"/>
      <c r="NT154" s="172"/>
      <c r="NU154" s="172"/>
      <c r="NV154" s="172"/>
      <c r="NW154" s="172"/>
      <c r="NX154" s="172"/>
      <c r="NY154" s="172"/>
      <c r="NZ154" s="172"/>
      <c r="OA154" s="172"/>
      <c r="OB154" s="172"/>
      <c r="OC154" s="172"/>
      <c r="OD154" s="172"/>
      <c r="OE154" s="172"/>
      <c r="OF154" s="172"/>
      <c r="OG154" s="172"/>
      <c r="OH154" s="172"/>
      <c r="OI154" s="172"/>
      <c r="OJ154" s="172"/>
      <c r="OK154" s="172"/>
      <c r="OL154" s="172"/>
      <c r="OM154" s="172"/>
      <c r="ON154" s="172"/>
      <c r="OO154" s="172"/>
      <c r="OP154" s="172"/>
      <c r="OQ154" s="172"/>
      <c r="OR154" s="172"/>
      <c r="OS154" s="172"/>
      <c r="OT154" s="172"/>
      <c r="OU154" s="172"/>
      <c r="OV154" s="172"/>
      <c r="OW154" s="172"/>
      <c r="OX154" s="172"/>
      <c r="OY154" s="172"/>
      <c r="OZ154" s="172"/>
      <c r="PA154" s="172"/>
      <c r="PB154" s="172"/>
      <c r="PC154" s="172"/>
      <c r="PD154" s="172"/>
      <c r="PE154" s="172"/>
      <c r="PF154" s="172"/>
      <c r="PG154" s="172"/>
      <c r="PH154" s="172"/>
      <c r="PI154" s="172"/>
      <c r="PJ154" s="172"/>
      <c r="PK154" s="172"/>
      <c r="PL154" s="172"/>
      <c r="PM154" s="172"/>
      <c r="PN154" s="172"/>
      <c r="PO154" s="172"/>
      <c r="PP154" s="172"/>
      <c r="PQ154" s="172"/>
      <c r="PR154" s="172"/>
      <c r="PS154" s="172"/>
      <c r="PT154" s="172"/>
      <c r="PU154" s="172"/>
      <c r="PV154" s="172"/>
      <c r="PW154" s="172"/>
      <c r="PX154" s="172"/>
      <c r="PY154" s="172"/>
      <c r="PZ154" s="172"/>
      <c r="QA154" s="172"/>
      <c r="QB154" s="172"/>
      <c r="QC154" s="172"/>
      <c r="QD154" s="172"/>
      <c r="QE154" s="172"/>
      <c r="QF154" s="172"/>
      <c r="QG154" s="172"/>
      <c r="QH154" s="172"/>
      <c r="QI154" s="172"/>
      <c r="QJ154" s="172"/>
      <c r="QK154" s="172"/>
      <c r="QL154" s="172"/>
      <c r="QM154" s="172"/>
      <c r="QN154" s="172"/>
      <c r="QO154" s="172"/>
      <c r="QP154" s="172"/>
      <c r="QQ154" s="172"/>
      <c r="QR154" s="172"/>
      <c r="QS154" s="172"/>
      <c r="QT154" s="172"/>
      <c r="QU154" s="172"/>
      <c r="QV154" s="172"/>
      <c r="QW154" s="172"/>
      <c r="QX154" s="172"/>
      <c r="QY154" s="172"/>
      <c r="QZ154" s="172"/>
      <c r="RA154" s="172"/>
      <c r="RB154" s="172"/>
      <c r="RC154" s="172"/>
      <c r="RD154" s="172"/>
      <c r="RE154" s="172"/>
      <c r="RF154" s="172"/>
      <c r="RG154" s="172"/>
      <c r="RH154" s="172"/>
      <c r="RI154" s="172"/>
      <c r="RJ154" s="172"/>
      <c r="RK154" s="172"/>
      <c r="RL154" s="172"/>
      <c r="RM154" s="172"/>
      <c r="RN154" s="172"/>
      <c r="RO154" s="172"/>
      <c r="RP154" s="172"/>
      <c r="RQ154" s="172"/>
      <c r="RR154" s="172"/>
      <c r="RS154" s="172"/>
      <c r="RT154" s="172"/>
      <c r="RU154" s="172"/>
      <c r="RV154" s="172"/>
      <c r="RW154" s="172"/>
      <c r="RX154" s="172"/>
      <c r="RY154" s="172"/>
      <c r="RZ154" s="172"/>
      <c r="SA154" s="172"/>
      <c r="SB154" s="172"/>
      <c r="SC154" s="172"/>
      <c r="SD154" s="172"/>
      <c r="SE154" s="172"/>
      <c r="SF154" s="172"/>
      <c r="SG154" s="172"/>
      <c r="SH154" s="172"/>
      <c r="SI154" s="172"/>
      <c r="SJ154" s="172"/>
      <c r="SK154" s="172"/>
      <c r="SL154" s="172"/>
      <c r="SM154" s="172"/>
      <c r="SN154" s="172"/>
      <c r="SO154" s="172"/>
      <c r="SP154" s="172"/>
      <c r="SQ154" s="172"/>
      <c r="SR154" s="172"/>
      <c r="SS154" s="172"/>
      <c r="ST154" s="172"/>
      <c r="SU154" s="172"/>
      <c r="SV154" s="172"/>
      <c r="SW154" s="172"/>
      <c r="SX154" s="172"/>
      <c r="SY154" s="172"/>
      <c r="SZ154" s="172"/>
      <c r="TA154" s="172"/>
      <c r="TB154" s="172"/>
      <c r="TC154" s="172"/>
      <c r="TD154" s="172"/>
      <c r="TE154" s="172"/>
      <c r="TF154" s="172"/>
      <c r="TG154" s="172"/>
      <c r="TH154" s="172"/>
      <c r="TI154" s="172"/>
      <c r="TJ154" s="172"/>
      <c r="TK154" s="172"/>
      <c r="TL154" s="172"/>
      <c r="TM154" s="172"/>
      <c r="TN154" s="172"/>
      <c r="TO154" s="172"/>
      <c r="TP154" s="172"/>
      <c r="TQ154" s="172"/>
      <c r="TR154" s="172"/>
      <c r="TS154" s="172"/>
      <c r="TT154" s="172"/>
      <c r="TU154" s="172"/>
      <c r="TV154" s="172"/>
      <c r="TW154" s="172"/>
      <c r="TX154" s="172"/>
      <c r="TY154" s="172"/>
      <c r="TZ154" s="172"/>
      <c r="UA154" s="172"/>
      <c r="UB154" s="172"/>
      <c r="UC154" s="172"/>
      <c r="UD154" s="172"/>
      <c r="UE154" s="172"/>
      <c r="UF154" s="172"/>
      <c r="UG154" s="172"/>
      <c r="UH154" s="172"/>
      <c r="UI154" s="172"/>
      <c r="UJ154" s="172"/>
      <c r="UK154" s="172"/>
      <c r="UL154" s="172"/>
      <c r="UM154" s="172"/>
      <c r="UN154" s="172"/>
      <c r="UO154" s="172"/>
      <c r="UP154" s="172"/>
      <c r="UQ154" s="172"/>
      <c r="UR154" s="172"/>
      <c r="US154" s="172"/>
      <c r="UT154" s="172"/>
      <c r="UU154" s="172"/>
      <c r="UV154" s="172"/>
      <c r="UW154" s="172"/>
      <c r="UX154" s="172"/>
      <c r="UY154" s="172"/>
      <c r="UZ154" s="172"/>
      <c r="VA154" s="172"/>
      <c r="VB154" s="172"/>
      <c r="VC154" s="172"/>
      <c r="VD154" s="172"/>
      <c r="VE154" s="172"/>
      <c r="VF154" s="172"/>
      <c r="VG154" s="172"/>
      <c r="VH154" s="172"/>
      <c r="VI154" s="172"/>
      <c r="VJ154" s="172"/>
      <c r="VK154" s="172"/>
      <c r="VL154" s="172"/>
      <c r="VM154" s="172"/>
      <c r="VN154" s="172"/>
      <c r="VO154" s="172"/>
      <c r="VP154" s="172"/>
      <c r="VQ154" s="172"/>
      <c r="VR154" s="172"/>
      <c r="VS154" s="172"/>
      <c r="VT154" s="172"/>
      <c r="VU154" s="172"/>
      <c r="VV154" s="172"/>
      <c r="VW154" s="172"/>
      <c r="VX154" s="172"/>
      <c r="VY154" s="172"/>
      <c r="VZ154" s="172"/>
      <c r="WA154" s="172"/>
      <c r="WB154" s="172"/>
      <c r="WC154" s="172"/>
      <c r="WD154" s="172"/>
      <c r="WE154" s="172"/>
      <c r="WF154" s="172"/>
      <c r="WG154" s="172"/>
      <c r="WH154" s="172"/>
      <c r="WI154" s="172"/>
      <c r="WJ154" s="172"/>
      <c r="WK154" s="172"/>
      <c r="WL154" s="172"/>
      <c r="WM154" s="172"/>
      <c r="WN154" s="172"/>
      <c r="WO154" s="172"/>
      <c r="WP154" s="172"/>
      <c r="WQ154" s="172"/>
      <c r="WR154" s="172"/>
      <c r="WS154" s="172"/>
      <c r="WT154" s="172"/>
      <c r="WU154" s="172"/>
      <c r="WV154" s="172"/>
      <c r="WW154" s="172"/>
      <c r="WX154" s="172"/>
      <c r="WY154" s="172"/>
      <c r="WZ154" s="172"/>
      <c r="XA154" s="172"/>
      <c r="XB154" s="172"/>
      <c r="XC154" s="172"/>
      <c r="XD154" s="172"/>
      <c r="XE154" s="172"/>
      <c r="XF154" s="172"/>
      <c r="XG154" s="172"/>
      <c r="XH154" s="172"/>
      <c r="XI154" s="172"/>
      <c r="XJ154" s="172"/>
      <c r="XK154" s="172"/>
      <c r="XL154" s="172"/>
      <c r="XM154" s="172"/>
      <c r="XN154" s="172"/>
      <c r="XO154" s="172"/>
      <c r="XP154" s="172"/>
      <c r="XQ154" s="172"/>
      <c r="XR154" s="172"/>
      <c r="XS154" s="172"/>
      <c r="XT154" s="172"/>
      <c r="XU154" s="172"/>
      <c r="XV154" s="172"/>
      <c r="XW154" s="172"/>
      <c r="XX154" s="172"/>
      <c r="XY154" s="172"/>
      <c r="XZ154" s="172"/>
      <c r="YA154" s="172"/>
      <c r="YB154" s="172"/>
      <c r="YC154" s="172"/>
      <c r="YD154" s="172"/>
      <c r="YE154" s="172"/>
      <c r="YF154" s="172"/>
      <c r="YG154" s="172"/>
      <c r="YH154" s="172"/>
      <c r="YI154" s="172"/>
      <c r="YJ154" s="172"/>
      <c r="YK154" s="172"/>
      <c r="YL154" s="172"/>
      <c r="YM154" s="172"/>
      <c r="YN154" s="172"/>
      <c r="YO154" s="172"/>
      <c r="YP154" s="172"/>
      <c r="YQ154" s="172"/>
      <c r="YR154" s="172"/>
      <c r="YS154" s="172"/>
      <c r="YT154" s="172"/>
      <c r="YU154" s="172"/>
      <c r="YV154" s="172"/>
      <c r="YW154" s="172"/>
      <c r="YX154" s="172"/>
      <c r="YY154" s="172"/>
      <c r="YZ154" s="172"/>
      <c r="ZA154" s="172"/>
      <c r="ZB154" s="172"/>
      <c r="ZC154" s="172"/>
      <c r="ZD154" s="172"/>
      <c r="ZE154" s="172"/>
      <c r="ZF154" s="172"/>
      <c r="ZG154" s="172"/>
      <c r="ZH154" s="172"/>
      <c r="ZI154" s="172"/>
      <c r="ZJ154" s="172"/>
      <c r="ZK154" s="172"/>
      <c r="ZL154" s="172"/>
      <c r="ZM154" s="172"/>
      <c r="ZN154" s="172"/>
      <c r="ZO154" s="172"/>
      <c r="ZP154" s="172"/>
      <c r="ZQ154" s="172"/>
      <c r="ZR154" s="172"/>
      <c r="ZS154" s="172"/>
      <c r="ZT154" s="172"/>
      <c r="ZU154" s="172"/>
      <c r="ZV154" s="172"/>
      <c r="ZW154" s="172"/>
      <c r="ZX154" s="172"/>
      <c r="ZY154" s="172"/>
      <c r="ZZ154" s="172"/>
      <c r="AAA154" s="172"/>
      <c r="AAB154" s="172"/>
      <c r="AAC154" s="172"/>
      <c r="AAD154" s="172"/>
      <c r="AAE154" s="172"/>
      <c r="AAF154" s="172"/>
      <c r="AAG154" s="172"/>
      <c r="AAH154" s="172"/>
      <c r="AAI154" s="172"/>
      <c r="AAJ154" s="172"/>
      <c r="AAK154" s="172"/>
      <c r="AAL154" s="172"/>
      <c r="AAM154" s="172"/>
      <c r="AAN154" s="172"/>
      <c r="AAO154" s="172"/>
      <c r="AAP154" s="172"/>
      <c r="AAQ154" s="172"/>
      <c r="AAR154" s="172"/>
      <c r="AAS154" s="172"/>
      <c r="AAT154" s="172"/>
      <c r="AAU154" s="172"/>
      <c r="AAV154" s="172"/>
      <c r="AAW154" s="172"/>
      <c r="AAX154" s="172"/>
      <c r="AAY154" s="172"/>
      <c r="AAZ154" s="172"/>
      <c r="ABA154" s="172"/>
      <c r="ABB154" s="172"/>
      <c r="ABC154" s="172"/>
      <c r="ABD154" s="172"/>
      <c r="ABE154" s="172"/>
      <c r="ABF154" s="172"/>
      <c r="ABG154" s="172"/>
      <c r="ABH154" s="172"/>
      <c r="ABI154" s="172"/>
      <c r="ABJ154" s="172"/>
      <c r="ABK154" s="172"/>
      <c r="ABL154" s="172"/>
      <c r="ABM154" s="172"/>
      <c r="ABN154" s="172"/>
      <c r="ABO154" s="172"/>
      <c r="ABP154" s="172"/>
      <c r="ABQ154" s="172"/>
      <c r="ABR154" s="172"/>
      <c r="ABS154" s="172"/>
      <c r="ABT154" s="172"/>
      <c r="ABU154" s="172"/>
      <c r="ABV154" s="172"/>
      <c r="ABW154" s="172"/>
      <c r="ABX154" s="172"/>
      <c r="ABY154" s="172"/>
      <c r="ABZ154" s="172"/>
      <c r="ACA154" s="172"/>
      <c r="ACB154" s="172"/>
      <c r="ACC154" s="172"/>
      <c r="ACD154" s="172"/>
      <c r="ACE154" s="172"/>
      <c r="ACF154" s="172"/>
      <c r="ACG154" s="172"/>
      <c r="ACH154" s="172"/>
      <c r="ACI154" s="172"/>
      <c r="ACJ154" s="172"/>
      <c r="ACK154" s="172"/>
      <c r="ACL154" s="172"/>
      <c r="ACM154" s="172"/>
      <c r="ACN154" s="172"/>
      <c r="ACO154" s="172"/>
      <c r="ACP154" s="172"/>
      <c r="ACQ154" s="172"/>
      <c r="ACR154" s="172"/>
      <c r="ACS154" s="172"/>
      <c r="ACT154" s="172"/>
      <c r="ACU154" s="172"/>
      <c r="ACV154" s="172"/>
      <c r="ACW154" s="172"/>
      <c r="ACX154" s="172"/>
      <c r="ACY154" s="172"/>
      <c r="ACZ154" s="172"/>
      <c r="ADA154" s="172"/>
      <c r="ADB154" s="172"/>
      <c r="ADC154" s="172"/>
      <c r="ADD154" s="172"/>
      <c r="ADE154" s="172"/>
      <c r="ADF154" s="172"/>
      <c r="ADG154" s="172"/>
      <c r="ADH154" s="172"/>
      <c r="ADI154" s="172"/>
      <c r="ADJ154" s="172"/>
      <c r="ADK154" s="172"/>
      <c r="ADL154" s="172"/>
      <c r="ADM154" s="172"/>
      <c r="ADN154" s="172"/>
      <c r="ADO154" s="172"/>
      <c r="ADP154" s="172"/>
      <c r="ADQ154" s="172"/>
      <c r="ADR154" s="172"/>
      <c r="ADS154" s="172"/>
      <c r="ADT154" s="172"/>
      <c r="ADU154" s="172"/>
      <c r="ADV154" s="172"/>
      <c r="ADW154" s="172"/>
      <c r="ADX154" s="172"/>
      <c r="ADY154" s="172"/>
      <c r="ADZ154" s="172"/>
      <c r="AEA154" s="172"/>
      <c r="AEB154" s="172"/>
      <c r="AEC154" s="172"/>
      <c r="AED154" s="172"/>
      <c r="AEE154" s="172"/>
      <c r="AEF154" s="172"/>
      <c r="AEG154" s="172"/>
      <c r="AEH154" s="172"/>
      <c r="AEI154" s="172"/>
      <c r="AEJ154" s="172"/>
      <c r="AEK154" s="172"/>
      <c r="AEL154" s="172"/>
      <c r="AEM154" s="172"/>
      <c r="AEN154" s="172"/>
      <c r="AEO154" s="172"/>
      <c r="AEP154" s="172"/>
      <c r="AEQ154" s="172"/>
      <c r="AER154" s="172"/>
      <c r="AES154" s="172"/>
      <c r="AET154" s="172"/>
      <c r="AEU154" s="172"/>
      <c r="AEV154" s="172"/>
      <c r="AEW154" s="172"/>
      <c r="AEX154" s="172"/>
      <c r="AEY154" s="172"/>
      <c r="AEZ154" s="172"/>
      <c r="AFA154" s="172"/>
      <c r="AFB154" s="172"/>
      <c r="AFC154" s="172"/>
      <c r="AFD154" s="172"/>
      <c r="AFE154" s="172"/>
      <c r="AFF154" s="172"/>
      <c r="AFG154" s="172"/>
      <c r="AFH154" s="172"/>
      <c r="AFI154" s="172"/>
      <c r="AFJ154" s="172"/>
      <c r="AFK154" s="172"/>
      <c r="AFL154" s="172"/>
      <c r="AFM154" s="172"/>
      <c r="AFN154" s="172"/>
      <c r="AFO154" s="172"/>
      <c r="AFP154" s="172"/>
      <c r="AFQ154" s="172"/>
      <c r="AFR154" s="172"/>
      <c r="AFS154" s="172"/>
      <c r="AFT154" s="172"/>
      <c r="AFU154" s="172"/>
      <c r="AFV154" s="172"/>
      <c r="AFW154" s="172"/>
      <c r="AFX154" s="172"/>
      <c r="AFY154" s="172"/>
      <c r="AFZ154" s="172"/>
      <c r="AGA154" s="172"/>
      <c r="AGB154" s="172"/>
      <c r="AGC154" s="172"/>
      <c r="AGD154" s="172"/>
      <c r="AGE154" s="172"/>
      <c r="AGF154" s="172"/>
      <c r="AGG154" s="172"/>
      <c r="AGH154" s="172"/>
      <c r="AGI154" s="172"/>
      <c r="AGJ154" s="172"/>
      <c r="AGK154" s="172"/>
      <c r="AGL154" s="172"/>
      <c r="AGM154" s="172"/>
      <c r="AGN154" s="172"/>
      <c r="AGO154" s="172"/>
      <c r="AGP154" s="172"/>
      <c r="AGQ154" s="172"/>
      <c r="AGR154" s="172"/>
      <c r="AGS154" s="172"/>
      <c r="AGT154" s="172"/>
      <c r="AGU154" s="172"/>
      <c r="AGV154" s="172"/>
      <c r="AGW154" s="172"/>
      <c r="AGX154" s="172"/>
      <c r="AGY154" s="172"/>
      <c r="AGZ154" s="172"/>
      <c r="AHA154" s="172"/>
      <c r="AHB154" s="172"/>
      <c r="AHC154" s="172"/>
      <c r="AHD154" s="172"/>
      <c r="AHE154" s="172"/>
      <c r="AHF154" s="172"/>
      <c r="AHG154" s="172"/>
      <c r="AHH154" s="172"/>
      <c r="AHI154" s="172"/>
      <c r="AHJ154" s="172"/>
      <c r="AHK154" s="172"/>
      <c r="AHL154" s="172"/>
      <c r="AHM154" s="172"/>
      <c r="AHN154" s="172"/>
      <c r="AHO154" s="172"/>
      <c r="AHP154" s="172"/>
      <c r="AHQ154" s="172"/>
      <c r="AHR154" s="172"/>
      <c r="AHS154" s="172"/>
      <c r="AHT154" s="172"/>
      <c r="AHU154" s="172"/>
      <c r="AHV154" s="172"/>
      <c r="AHW154" s="172"/>
      <c r="AHX154" s="172"/>
      <c r="AHY154" s="172"/>
      <c r="AHZ154" s="172"/>
      <c r="AIA154" s="172"/>
      <c r="AIB154" s="172"/>
      <c r="AIC154" s="172"/>
      <c r="AID154" s="172"/>
      <c r="AIE154" s="172"/>
      <c r="AIF154" s="172"/>
      <c r="AIG154" s="172"/>
      <c r="AIH154" s="172"/>
      <c r="AII154" s="172"/>
      <c r="AIJ154" s="172"/>
      <c r="AIK154" s="172"/>
      <c r="AIL154" s="172"/>
      <c r="AIM154" s="172"/>
      <c r="AIN154" s="172"/>
      <c r="AIO154" s="172"/>
      <c r="AIP154" s="172"/>
      <c r="AIQ154" s="172"/>
      <c r="AIR154" s="172"/>
      <c r="AIS154" s="172"/>
      <c r="AIT154" s="172"/>
      <c r="AIU154" s="172"/>
      <c r="AIV154" s="172"/>
      <c r="AIW154" s="172"/>
      <c r="AIX154" s="172"/>
      <c r="AIY154" s="172"/>
      <c r="AIZ154" s="172"/>
      <c r="AJA154" s="172"/>
      <c r="AJB154" s="172"/>
      <c r="AJC154" s="172"/>
      <c r="AJD154" s="172"/>
      <c r="AJE154" s="172"/>
      <c r="AJF154" s="172"/>
      <c r="AJG154" s="172"/>
      <c r="AJH154" s="172"/>
      <c r="AJI154" s="172"/>
      <c r="AJJ154" s="172"/>
      <c r="AJK154" s="172"/>
      <c r="AJL154" s="172"/>
      <c r="AJM154" s="172"/>
      <c r="AJN154" s="172"/>
      <c r="AJO154" s="172"/>
      <c r="AJP154" s="172"/>
      <c r="AJQ154" s="172"/>
      <c r="AJR154" s="172"/>
      <c r="AJS154" s="172"/>
      <c r="AJT154" s="172"/>
      <c r="AJU154" s="172"/>
      <c r="AJV154" s="172"/>
      <c r="AJW154" s="172"/>
      <c r="AJX154" s="172"/>
      <c r="AJY154" s="172"/>
      <c r="AJZ154" s="172"/>
      <c r="AKA154" s="172"/>
      <c r="AKB154" s="172"/>
      <c r="AKC154" s="172"/>
      <c r="AKD154" s="172"/>
      <c r="AKE154" s="172"/>
      <c r="AKF154" s="172"/>
      <c r="AKG154" s="172"/>
      <c r="AKH154" s="172"/>
      <c r="AKI154" s="172"/>
      <c r="AKJ154" s="172"/>
      <c r="AKK154" s="172"/>
      <c r="AKL154" s="172"/>
      <c r="AKM154" s="172"/>
      <c r="AKN154" s="172"/>
      <c r="AKO154" s="172"/>
      <c r="AKP154" s="172"/>
      <c r="AKQ154" s="172"/>
      <c r="AKR154" s="172"/>
      <c r="AKS154" s="172"/>
      <c r="AKT154" s="172"/>
      <c r="AKU154" s="172"/>
      <c r="AKV154" s="172"/>
      <c r="AKW154" s="172"/>
      <c r="AKX154" s="172"/>
      <c r="AKY154" s="172"/>
      <c r="AKZ154" s="172"/>
      <c r="ALA154" s="172"/>
      <c r="ALB154" s="172"/>
      <c r="ALC154" s="172"/>
      <c r="ALD154" s="172"/>
      <c r="ALE154" s="172"/>
      <c r="ALF154" s="172"/>
      <c r="ALG154" s="172"/>
      <c r="ALH154" s="172"/>
      <c r="ALI154" s="172"/>
      <c r="ALJ154" s="172"/>
      <c r="ALK154" s="172"/>
      <c r="ALL154" s="172"/>
      <c r="ALM154" s="172"/>
      <c r="ALN154" s="172"/>
      <c r="ALO154" s="172"/>
      <c r="ALP154" s="172"/>
      <c r="ALQ154" s="172"/>
      <c r="ALR154" s="172"/>
      <c r="ALS154" s="172"/>
      <c r="ALT154" s="172"/>
      <c r="ALU154" s="172"/>
      <c r="ALV154" s="172"/>
      <c r="ALW154" s="172"/>
      <c r="ALX154" s="172"/>
      <c r="ALY154" s="172"/>
      <c r="ALZ154" s="172"/>
      <c r="AMA154" s="172"/>
      <c r="AMB154" s="172"/>
      <c r="AMC154" s="172"/>
      <c r="AMD154" s="172"/>
      <c r="AME154" s="172"/>
      <c r="AMF154" s="172"/>
      <c r="AMG154" s="172"/>
      <c r="AMH154" s="172"/>
      <c r="AMI154" s="172"/>
      <c r="AMJ154" s="172"/>
      <c r="AMK154" s="172"/>
      <c r="AML154" s="172"/>
      <c r="AMM154" s="172"/>
      <c r="AMN154" s="172"/>
      <c r="AMO154" s="172"/>
      <c r="AMP154" s="172"/>
      <c r="AMQ154" s="172"/>
      <c r="AMR154" s="172"/>
      <c r="AMS154" s="172"/>
      <c r="AMT154" s="172"/>
      <c r="AMU154" s="172"/>
      <c r="AMV154" s="172"/>
      <c r="AMW154" s="172"/>
      <c r="AMX154" s="172"/>
      <c r="AMY154" s="172"/>
      <c r="AMZ154" s="172"/>
      <c r="ANA154" s="172"/>
      <c r="ANB154" s="172"/>
      <c r="ANC154" s="172"/>
      <c r="AND154" s="172"/>
      <c r="ANE154" s="172"/>
      <c r="ANF154" s="172"/>
      <c r="ANG154" s="172"/>
      <c r="ANH154" s="172"/>
      <c r="ANI154" s="172"/>
      <c r="ANJ154" s="172"/>
      <c r="ANK154" s="172"/>
      <c r="ANL154" s="172"/>
      <c r="ANM154" s="172"/>
      <c r="ANN154" s="172"/>
      <c r="ANO154" s="172"/>
      <c r="ANP154" s="172"/>
      <c r="ANQ154" s="172"/>
      <c r="ANR154" s="172"/>
      <c r="ANS154" s="172"/>
      <c r="ANT154" s="172"/>
      <c r="ANU154" s="172"/>
      <c r="ANV154" s="172"/>
      <c r="ANW154" s="172"/>
      <c r="ANX154" s="172"/>
      <c r="ANY154" s="172"/>
      <c r="ANZ154" s="172"/>
      <c r="AOA154" s="172"/>
      <c r="AOB154" s="172"/>
      <c r="AOC154" s="172"/>
      <c r="AOD154" s="172"/>
      <c r="AOE154" s="172"/>
      <c r="AOF154" s="172"/>
      <c r="AOG154" s="172"/>
      <c r="AOH154" s="172"/>
      <c r="AOI154" s="172"/>
      <c r="AOJ154" s="172"/>
      <c r="AOK154" s="172"/>
      <c r="AOL154" s="172"/>
      <c r="AOM154" s="172"/>
      <c r="AON154" s="172"/>
      <c r="AOO154" s="172"/>
      <c r="AOP154" s="172"/>
      <c r="AOQ154" s="172"/>
      <c r="AOR154" s="172"/>
      <c r="AOS154" s="172"/>
      <c r="AOT154" s="172"/>
      <c r="AOU154" s="172"/>
      <c r="AOV154" s="172"/>
      <c r="AOW154" s="172"/>
      <c r="AOX154" s="172"/>
      <c r="AOY154" s="172"/>
      <c r="AOZ154" s="172"/>
      <c r="APA154" s="172"/>
      <c r="APB154" s="172"/>
      <c r="APC154" s="172"/>
      <c r="APD154" s="172"/>
      <c r="APE154" s="172"/>
      <c r="APF154" s="172"/>
      <c r="APG154" s="172"/>
      <c r="APH154" s="172"/>
      <c r="API154" s="172"/>
      <c r="APJ154" s="172"/>
      <c r="APK154" s="172"/>
      <c r="APL154" s="172"/>
      <c r="APM154" s="172"/>
      <c r="APN154" s="172"/>
      <c r="APO154" s="172"/>
      <c r="APP154" s="172"/>
      <c r="APQ154" s="172"/>
      <c r="APR154" s="172"/>
      <c r="APS154" s="172"/>
      <c r="APT154" s="172"/>
      <c r="APU154" s="172"/>
      <c r="APV154" s="172"/>
      <c r="APW154" s="172"/>
      <c r="APX154" s="172"/>
      <c r="APY154" s="172"/>
      <c r="APZ154" s="172"/>
      <c r="AQA154" s="172"/>
      <c r="AQB154" s="172"/>
      <c r="AQC154" s="172"/>
      <c r="AQD154" s="172"/>
      <c r="AQE154" s="172"/>
      <c r="AQF154" s="172"/>
      <c r="AQG154" s="172"/>
      <c r="AQH154" s="172"/>
      <c r="AQI154" s="172"/>
      <c r="AQJ154" s="172"/>
      <c r="AQK154" s="172"/>
      <c r="AQL154" s="172"/>
      <c r="AQM154" s="172"/>
      <c r="AQN154" s="172"/>
      <c r="AQO154" s="172"/>
      <c r="AQP154" s="172"/>
      <c r="AQQ154" s="172"/>
      <c r="AQR154" s="172"/>
      <c r="AQS154" s="172"/>
      <c r="AQT154" s="172"/>
      <c r="AQU154" s="172"/>
      <c r="AQV154" s="172"/>
      <c r="AQW154" s="172"/>
      <c r="AQX154" s="172"/>
      <c r="AQY154" s="172"/>
      <c r="AQZ154" s="172"/>
      <c r="ARA154" s="172"/>
      <c r="ARB154" s="172"/>
      <c r="ARC154" s="172"/>
      <c r="ARD154" s="172"/>
      <c r="ARE154" s="172"/>
      <c r="ARF154" s="172"/>
      <c r="ARG154" s="172"/>
      <c r="ARH154" s="172"/>
      <c r="ARI154" s="172"/>
      <c r="ARJ154" s="172"/>
      <c r="ARK154" s="172"/>
      <c r="ARL154" s="172"/>
      <c r="ARM154" s="172"/>
      <c r="ARN154" s="172"/>
      <c r="ARO154" s="172"/>
      <c r="ARP154" s="172"/>
      <c r="ARQ154" s="172"/>
      <c r="ARR154" s="172"/>
      <c r="ARS154" s="172"/>
      <c r="ART154" s="172"/>
      <c r="ARU154" s="172"/>
    </row>
    <row r="155" spans="1:1165" s="257" customFormat="1">
      <c r="A155" s="220" t="s">
        <v>781</v>
      </c>
      <c r="B155" s="215"/>
      <c r="C155" s="284"/>
      <c r="D155" s="284">
        <f>SUM(D151:D154)</f>
        <v>92701404</v>
      </c>
      <c r="E155" s="284"/>
      <c r="F155" s="284">
        <f>SUM(F151:F154)</f>
        <v>18954990</v>
      </c>
      <c r="G155" s="284"/>
      <c r="H155" s="284">
        <f>SUM(H151:H154)</f>
        <v>23440108</v>
      </c>
      <c r="I155" s="284"/>
      <c r="J155" s="284">
        <f>SUM(J151:J154)</f>
        <v>6740022</v>
      </c>
      <c r="K155" s="284"/>
      <c r="L155" s="284">
        <f>SUM(L151:L154)</f>
        <v>14838879</v>
      </c>
      <c r="M155" s="284"/>
      <c r="N155" s="284">
        <f>SUM(N151:N154)</f>
        <v>13593452</v>
      </c>
      <c r="O155" s="284"/>
      <c r="P155" s="284">
        <f>SUM(P151:P154)</f>
        <v>11390635</v>
      </c>
      <c r="Q155" s="284"/>
      <c r="R155" s="284">
        <f>SUM(R151:R154)</f>
        <v>12070236</v>
      </c>
      <c r="S155" s="284"/>
      <c r="T155" s="284">
        <f>SUM(T151:T154)</f>
        <v>12010768</v>
      </c>
      <c r="U155" s="288"/>
      <c r="V155" s="288">
        <f>SUM(V151:V154)</f>
        <v>15159147</v>
      </c>
      <c r="W155" s="288"/>
      <c r="X155" s="284">
        <f>SUM(X151:X154)</f>
        <v>27172361</v>
      </c>
      <c r="Y155" s="284"/>
      <c r="Z155" s="284">
        <v>27826958</v>
      </c>
      <c r="AA155" s="288"/>
      <c r="AB155" s="302">
        <f>SUM(AB151:AB154)</f>
        <v>27613686</v>
      </c>
      <c r="AC155" s="258"/>
      <c r="AD155" s="258">
        <f>SUM(AD151:AD154)</f>
        <v>39301661</v>
      </c>
      <c r="AE155" s="288"/>
      <c r="AF155" s="288">
        <f>SUM(AF151:AF154)</f>
        <v>23824112</v>
      </c>
      <c r="AG155" s="288"/>
      <c r="AH155" s="288">
        <f>SUM(AH151:AH154)</f>
        <v>34772278</v>
      </c>
      <c r="AI155" s="288"/>
      <c r="AJ155" s="288">
        <f>SUM(AJ151:AJ154)</f>
        <v>49793155</v>
      </c>
      <c r="AK155" s="288"/>
      <c r="AL155" s="288">
        <v>56711688</v>
      </c>
      <c r="AM155" s="261"/>
      <c r="AN155" s="261">
        <v>44889807</v>
      </c>
      <c r="AO155" s="288"/>
      <c r="AP155" s="288">
        <v>73642495</v>
      </c>
      <c r="AQ155" s="288"/>
      <c r="AR155" s="288">
        <f>SUM(AR151:AR154)</f>
        <v>79066041</v>
      </c>
      <c r="AS155" s="288"/>
      <c r="AT155" s="288">
        <f>SUM(AT151:AT154)</f>
        <v>119551910</v>
      </c>
      <c r="AU155" s="288"/>
      <c r="AV155" s="302">
        <v>205733427</v>
      </c>
      <c r="AW155" s="258"/>
      <c r="AX155" s="258">
        <v>222610433</v>
      </c>
      <c r="AY155" s="258"/>
      <c r="AZ155" s="258">
        <v>202174629</v>
      </c>
      <c r="BA155" s="264"/>
      <c r="BB155" s="258"/>
      <c r="BC155" s="258"/>
      <c r="BD155" s="258"/>
      <c r="BE155" s="263"/>
      <c r="BF155" s="258"/>
      <c r="BG155" s="258"/>
      <c r="BH155" s="258"/>
      <c r="BI155" s="263"/>
      <c r="BJ155" s="258"/>
      <c r="BK155" s="258">
        <f>D155+H155+J155+L155+N155+P155+R155+T155+V155+X155+Z155+AB155+AD155+AF155+AH155+AJ155+AL155+AN155+AP155+AR155+AT155+AV155+AX155+AZ155+BD155+BH155</f>
        <v>1436629292</v>
      </c>
      <c r="BL155" s="172"/>
      <c r="BM155" s="172"/>
      <c r="BN155" s="231"/>
      <c r="BO155" s="231"/>
      <c r="BP155" s="172"/>
      <c r="BQ155" s="172"/>
      <c r="BR155" s="172"/>
      <c r="BS155" s="172"/>
      <c r="BT155" s="172"/>
      <c r="BU155" s="172"/>
      <c r="BV155" s="172"/>
      <c r="BW155" s="172"/>
      <c r="BX155" s="172"/>
      <c r="BY155" s="172"/>
      <c r="BZ155" s="172"/>
      <c r="CA155" s="172"/>
      <c r="CB155" s="172"/>
      <c r="CC155" s="172"/>
      <c r="CD155" s="172"/>
      <c r="CE155" s="172"/>
      <c r="CF155" s="172"/>
      <c r="CG155" s="172"/>
      <c r="CH155" s="172"/>
      <c r="CI155" s="172"/>
      <c r="CJ155" s="172"/>
      <c r="CK155" s="172"/>
      <c r="CL155" s="172"/>
      <c r="CM155" s="172"/>
      <c r="CN155" s="172"/>
      <c r="CO155" s="172"/>
      <c r="CP155" s="172"/>
      <c r="CQ155" s="172"/>
      <c r="CR155" s="172"/>
      <c r="CS155" s="172"/>
      <c r="CT155" s="172"/>
      <c r="CU155" s="172"/>
      <c r="CV155" s="172"/>
      <c r="CW155" s="172"/>
      <c r="CX155" s="172"/>
      <c r="CY155" s="172"/>
      <c r="CZ155" s="172"/>
      <c r="DA155" s="172"/>
      <c r="DB155" s="172"/>
      <c r="DC155" s="172"/>
      <c r="DD155" s="172"/>
      <c r="DE155" s="172"/>
      <c r="DF155" s="172"/>
      <c r="DG155" s="172"/>
      <c r="DH155" s="172"/>
      <c r="DI155" s="172"/>
      <c r="DJ155" s="172"/>
      <c r="DK155" s="172"/>
      <c r="DL155" s="172"/>
      <c r="DM155" s="172"/>
      <c r="DN155" s="172"/>
      <c r="DO155" s="172"/>
      <c r="DP155" s="172"/>
      <c r="DQ155" s="172"/>
      <c r="DR155" s="172"/>
      <c r="DS155" s="172"/>
      <c r="DT155" s="172"/>
      <c r="DU155" s="172"/>
      <c r="DV155" s="172"/>
      <c r="DW155" s="172"/>
      <c r="DX155" s="172"/>
      <c r="DY155" s="172"/>
      <c r="DZ155" s="172"/>
      <c r="EA155" s="172"/>
      <c r="EB155" s="172"/>
      <c r="EC155" s="172"/>
      <c r="ED155" s="172"/>
      <c r="EE155" s="172"/>
      <c r="EF155" s="172"/>
      <c r="EG155" s="172"/>
      <c r="EH155" s="172"/>
      <c r="EI155" s="172"/>
      <c r="EJ155" s="172"/>
      <c r="EK155" s="172"/>
      <c r="EL155" s="172"/>
      <c r="EM155" s="172"/>
      <c r="EN155" s="172"/>
      <c r="EO155" s="172"/>
      <c r="EP155" s="172"/>
      <c r="EQ155" s="172"/>
      <c r="ER155" s="172"/>
      <c r="ES155" s="172"/>
      <c r="ET155" s="172"/>
      <c r="EU155" s="172"/>
      <c r="EV155" s="172"/>
      <c r="EW155" s="172"/>
      <c r="EX155" s="172"/>
      <c r="EY155" s="172"/>
      <c r="EZ155" s="172"/>
      <c r="FA155" s="172"/>
      <c r="FB155" s="172"/>
      <c r="FC155" s="172"/>
      <c r="FD155" s="172"/>
      <c r="FE155" s="172"/>
      <c r="FF155" s="172"/>
      <c r="FG155" s="172"/>
      <c r="FH155" s="172"/>
      <c r="FI155" s="172"/>
      <c r="FJ155" s="172"/>
      <c r="FK155" s="172"/>
      <c r="FL155" s="172"/>
      <c r="FM155" s="172"/>
      <c r="FN155" s="172"/>
      <c r="FO155" s="172"/>
      <c r="FP155" s="172"/>
      <c r="FQ155" s="172"/>
      <c r="FR155" s="172"/>
      <c r="FS155" s="172"/>
      <c r="FT155" s="172"/>
      <c r="FU155" s="172"/>
      <c r="FV155" s="172"/>
      <c r="FW155" s="172"/>
      <c r="FX155" s="172"/>
      <c r="FY155" s="172"/>
      <c r="FZ155" s="172"/>
      <c r="GA155" s="172"/>
      <c r="GB155" s="172"/>
      <c r="GC155" s="172"/>
      <c r="GD155" s="172"/>
      <c r="GE155" s="172"/>
      <c r="GF155" s="172"/>
      <c r="GG155" s="172"/>
      <c r="GH155" s="172"/>
      <c r="GI155" s="172"/>
      <c r="GJ155" s="172"/>
      <c r="GK155" s="172"/>
      <c r="GL155" s="172"/>
      <c r="GM155" s="172"/>
      <c r="GN155" s="172"/>
      <c r="GO155" s="172"/>
      <c r="GP155" s="172"/>
      <c r="GQ155" s="172"/>
      <c r="GR155" s="172"/>
      <c r="GS155" s="172"/>
      <c r="GT155" s="172"/>
      <c r="GU155" s="172"/>
      <c r="GV155" s="172"/>
      <c r="GW155" s="172"/>
      <c r="GX155" s="172"/>
      <c r="GY155" s="172"/>
      <c r="GZ155" s="172"/>
      <c r="HA155" s="172"/>
      <c r="HB155" s="172"/>
      <c r="HC155" s="172"/>
      <c r="HD155" s="172"/>
      <c r="HE155" s="172"/>
      <c r="HF155" s="172"/>
      <c r="HG155" s="172"/>
      <c r="HH155" s="172"/>
      <c r="HI155" s="172"/>
      <c r="HJ155" s="172"/>
      <c r="HK155" s="172"/>
      <c r="HL155" s="172"/>
      <c r="HM155" s="172"/>
      <c r="HN155" s="172"/>
      <c r="HO155" s="172"/>
      <c r="HP155" s="172"/>
      <c r="HQ155" s="172"/>
      <c r="HR155" s="172"/>
      <c r="HS155" s="172"/>
      <c r="HT155" s="172"/>
      <c r="HU155" s="172"/>
      <c r="HV155" s="172"/>
      <c r="HW155" s="172"/>
      <c r="HX155" s="172"/>
      <c r="HY155" s="172"/>
      <c r="HZ155" s="172"/>
      <c r="IA155" s="172"/>
      <c r="IB155" s="172"/>
      <c r="IC155" s="172"/>
      <c r="ID155" s="172"/>
      <c r="IE155" s="172"/>
      <c r="IF155" s="172"/>
      <c r="IG155" s="172"/>
      <c r="IH155" s="172"/>
      <c r="II155" s="172"/>
      <c r="IJ155" s="172"/>
      <c r="IK155" s="172"/>
      <c r="IL155" s="172"/>
      <c r="IM155" s="172"/>
      <c r="IN155" s="172"/>
      <c r="IO155" s="172"/>
      <c r="IP155" s="172"/>
      <c r="IQ155" s="172"/>
      <c r="IR155" s="172"/>
      <c r="IS155" s="172"/>
      <c r="IT155" s="172"/>
      <c r="IU155" s="172"/>
      <c r="IV155" s="172"/>
      <c r="IW155" s="172"/>
      <c r="IX155" s="172"/>
      <c r="IY155" s="172"/>
      <c r="IZ155" s="172"/>
      <c r="JA155" s="172"/>
      <c r="JB155" s="172"/>
      <c r="JC155" s="172"/>
      <c r="JD155" s="172"/>
      <c r="JE155" s="172"/>
      <c r="JF155" s="172"/>
      <c r="JG155" s="172"/>
      <c r="JH155" s="172"/>
      <c r="JI155" s="172"/>
      <c r="JJ155" s="172"/>
      <c r="JK155" s="172"/>
      <c r="JL155" s="172"/>
      <c r="JM155" s="172"/>
      <c r="JN155" s="172"/>
      <c r="JO155" s="172"/>
      <c r="JP155" s="172"/>
      <c r="JQ155" s="172"/>
      <c r="JR155" s="172"/>
      <c r="JS155" s="172"/>
      <c r="JT155" s="172"/>
      <c r="JU155" s="172"/>
      <c r="JV155" s="172"/>
      <c r="JW155" s="172"/>
      <c r="JX155" s="172"/>
      <c r="JY155" s="172"/>
      <c r="JZ155" s="172"/>
      <c r="KA155" s="172"/>
      <c r="KB155" s="172"/>
      <c r="KC155" s="172"/>
      <c r="KD155" s="172"/>
      <c r="KE155" s="172"/>
      <c r="KF155" s="172"/>
      <c r="KG155" s="172"/>
      <c r="KH155" s="172"/>
      <c r="KI155" s="172"/>
      <c r="KJ155" s="172"/>
      <c r="KK155" s="172"/>
      <c r="KL155" s="172"/>
      <c r="KM155" s="172"/>
      <c r="KN155" s="172"/>
      <c r="KO155" s="172"/>
      <c r="KP155" s="172"/>
      <c r="KQ155" s="172"/>
      <c r="KR155" s="172"/>
      <c r="KS155" s="172"/>
      <c r="KT155" s="172"/>
      <c r="KU155" s="172"/>
      <c r="KV155" s="172"/>
      <c r="KW155" s="172"/>
      <c r="KX155" s="172"/>
      <c r="KY155" s="172"/>
      <c r="KZ155" s="172"/>
      <c r="LA155" s="172"/>
      <c r="LB155" s="172"/>
      <c r="LC155" s="172"/>
      <c r="LD155" s="172"/>
      <c r="LE155" s="172"/>
      <c r="LF155" s="172"/>
      <c r="LG155" s="172"/>
      <c r="LH155" s="172"/>
      <c r="LI155" s="172"/>
      <c r="LJ155" s="172"/>
      <c r="LK155" s="172"/>
      <c r="LL155" s="172"/>
      <c r="LM155" s="172"/>
      <c r="LN155" s="172"/>
      <c r="LO155" s="172"/>
      <c r="LP155" s="172"/>
      <c r="LQ155" s="172"/>
      <c r="LR155" s="172"/>
      <c r="LS155" s="172"/>
      <c r="LT155" s="172"/>
      <c r="LU155" s="172"/>
      <c r="LV155" s="172"/>
      <c r="LW155" s="172"/>
      <c r="LX155" s="172"/>
      <c r="LY155" s="172"/>
      <c r="LZ155" s="172"/>
      <c r="MA155" s="172"/>
      <c r="MB155" s="172"/>
      <c r="MC155" s="172"/>
      <c r="MD155" s="172"/>
      <c r="ME155" s="172"/>
      <c r="MF155" s="172"/>
      <c r="MG155" s="172"/>
      <c r="MH155" s="172"/>
      <c r="MI155" s="172"/>
      <c r="MJ155" s="172"/>
      <c r="MK155" s="172"/>
      <c r="ML155" s="172"/>
      <c r="MM155" s="172"/>
      <c r="MN155" s="172"/>
      <c r="MO155" s="172"/>
      <c r="MP155" s="172"/>
      <c r="MQ155" s="172"/>
      <c r="MR155" s="172"/>
      <c r="MS155" s="172"/>
      <c r="MT155" s="172"/>
      <c r="MU155" s="172"/>
      <c r="MV155" s="172"/>
      <c r="MW155" s="172"/>
      <c r="MX155" s="172"/>
      <c r="MY155" s="172"/>
      <c r="MZ155" s="172"/>
      <c r="NA155" s="172"/>
      <c r="NB155" s="172"/>
      <c r="NC155" s="172"/>
      <c r="ND155" s="172"/>
      <c r="NE155" s="172"/>
      <c r="NF155" s="172"/>
      <c r="NG155" s="172"/>
      <c r="NH155" s="172"/>
      <c r="NI155" s="172"/>
      <c r="NJ155" s="172"/>
      <c r="NK155" s="172"/>
      <c r="NL155" s="172"/>
      <c r="NM155" s="172"/>
      <c r="NN155" s="172"/>
      <c r="NO155" s="172"/>
      <c r="NP155" s="172"/>
      <c r="NQ155" s="172"/>
      <c r="NR155" s="172"/>
      <c r="NS155" s="172"/>
      <c r="NT155" s="172"/>
      <c r="NU155" s="172"/>
      <c r="NV155" s="172"/>
      <c r="NW155" s="172"/>
      <c r="NX155" s="172"/>
      <c r="NY155" s="172"/>
      <c r="NZ155" s="172"/>
      <c r="OA155" s="172"/>
      <c r="OB155" s="172"/>
      <c r="OC155" s="172"/>
      <c r="OD155" s="172"/>
      <c r="OE155" s="172"/>
      <c r="OF155" s="172"/>
      <c r="OG155" s="172"/>
      <c r="OH155" s="172"/>
      <c r="OI155" s="172"/>
      <c r="OJ155" s="172"/>
      <c r="OK155" s="172"/>
      <c r="OL155" s="172"/>
      <c r="OM155" s="172"/>
      <c r="ON155" s="172"/>
      <c r="OO155" s="172"/>
      <c r="OP155" s="172"/>
      <c r="OQ155" s="172"/>
      <c r="OR155" s="172"/>
      <c r="OS155" s="172"/>
      <c r="OT155" s="172"/>
      <c r="OU155" s="172"/>
      <c r="OV155" s="172"/>
      <c r="OW155" s="172"/>
      <c r="OX155" s="172"/>
      <c r="OY155" s="172"/>
      <c r="OZ155" s="172"/>
      <c r="PA155" s="172"/>
      <c r="PB155" s="172"/>
      <c r="PC155" s="172"/>
      <c r="PD155" s="172"/>
      <c r="PE155" s="172"/>
      <c r="PF155" s="172"/>
      <c r="PG155" s="172"/>
      <c r="PH155" s="172"/>
      <c r="PI155" s="172"/>
      <c r="PJ155" s="172"/>
      <c r="PK155" s="172"/>
      <c r="PL155" s="172"/>
      <c r="PM155" s="172"/>
      <c r="PN155" s="172"/>
      <c r="PO155" s="172"/>
      <c r="PP155" s="172"/>
      <c r="PQ155" s="172"/>
      <c r="PR155" s="172"/>
      <c r="PS155" s="172"/>
      <c r="PT155" s="172"/>
      <c r="PU155" s="172"/>
      <c r="PV155" s="172"/>
      <c r="PW155" s="172"/>
      <c r="PX155" s="172"/>
      <c r="PY155" s="172"/>
      <c r="PZ155" s="172"/>
      <c r="QA155" s="172"/>
      <c r="QB155" s="172"/>
      <c r="QC155" s="172"/>
      <c r="QD155" s="172"/>
      <c r="QE155" s="172"/>
      <c r="QF155" s="172"/>
      <c r="QG155" s="172"/>
      <c r="QH155" s="172"/>
      <c r="QI155" s="172"/>
      <c r="QJ155" s="172"/>
      <c r="QK155" s="172"/>
      <c r="QL155" s="172"/>
      <c r="QM155" s="172"/>
      <c r="QN155" s="172"/>
      <c r="QO155" s="172"/>
      <c r="QP155" s="172"/>
      <c r="QQ155" s="172"/>
      <c r="QR155" s="172"/>
      <c r="QS155" s="172"/>
      <c r="QT155" s="172"/>
      <c r="QU155" s="172"/>
      <c r="QV155" s="172"/>
      <c r="QW155" s="172"/>
      <c r="QX155" s="172"/>
      <c r="QY155" s="172"/>
      <c r="QZ155" s="172"/>
      <c r="RA155" s="172"/>
      <c r="RB155" s="172"/>
      <c r="RC155" s="172"/>
      <c r="RD155" s="172"/>
      <c r="RE155" s="172"/>
      <c r="RF155" s="172"/>
      <c r="RG155" s="172"/>
      <c r="RH155" s="172"/>
      <c r="RI155" s="172"/>
      <c r="RJ155" s="172"/>
      <c r="RK155" s="172"/>
      <c r="RL155" s="172"/>
      <c r="RM155" s="172"/>
      <c r="RN155" s="172"/>
      <c r="RO155" s="172"/>
      <c r="RP155" s="172"/>
      <c r="RQ155" s="172"/>
      <c r="RR155" s="172"/>
      <c r="RS155" s="172"/>
      <c r="RT155" s="172"/>
      <c r="RU155" s="172"/>
      <c r="RV155" s="172"/>
      <c r="RW155" s="172"/>
      <c r="RX155" s="172"/>
      <c r="RY155" s="172"/>
      <c r="RZ155" s="172"/>
      <c r="SA155" s="172"/>
      <c r="SB155" s="172"/>
      <c r="SC155" s="172"/>
      <c r="SD155" s="172"/>
      <c r="SE155" s="172"/>
      <c r="SF155" s="172"/>
      <c r="SG155" s="172"/>
      <c r="SH155" s="172"/>
      <c r="SI155" s="172"/>
      <c r="SJ155" s="172"/>
      <c r="SK155" s="172"/>
      <c r="SL155" s="172"/>
      <c r="SM155" s="172"/>
      <c r="SN155" s="172"/>
      <c r="SO155" s="172"/>
      <c r="SP155" s="172"/>
      <c r="SQ155" s="172"/>
      <c r="SR155" s="172"/>
      <c r="SS155" s="172"/>
      <c r="ST155" s="172"/>
      <c r="SU155" s="172"/>
      <c r="SV155" s="172"/>
      <c r="SW155" s="172"/>
      <c r="SX155" s="172"/>
      <c r="SY155" s="172"/>
      <c r="SZ155" s="172"/>
      <c r="TA155" s="172"/>
      <c r="TB155" s="172"/>
      <c r="TC155" s="172"/>
      <c r="TD155" s="172"/>
      <c r="TE155" s="172"/>
      <c r="TF155" s="172"/>
      <c r="TG155" s="172"/>
      <c r="TH155" s="172"/>
      <c r="TI155" s="172"/>
      <c r="TJ155" s="172"/>
      <c r="TK155" s="172"/>
      <c r="TL155" s="172"/>
      <c r="TM155" s="172"/>
      <c r="TN155" s="172"/>
      <c r="TO155" s="172"/>
      <c r="TP155" s="172"/>
      <c r="TQ155" s="172"/>
      <c r="TR155" s="172"/>
      <c r="TS155" s="172"/>
      <c r="TT155" s="172"/>
      <c r="TU155" s="172"/>
      <c r="TV155" s="172"/>
      <c r="TW155" s="172"/>
      <c r="TX155" s="172"/>
      <c r="TY155" s="172"/>
      <c r="TZ155" s="172"/>
      <c r="UA155" s="172"/>
      <c r="UB155" s="172"/>
      <c r="UC155" s="172"/>
      <c r="UD155" s="172"/>
      <c r="UE155" s="172"/>
      <c r="UF155" s="172"/>
      <c r="UG155" s="172"/>
      <c r="UH155" s="172"/>
      <c r="UI155" s="172"/>
      <c r="UJ155" s="172"/>
      <c r="UK155" s="172"/>
      <c r="UL155" s="172"/>
      <c r="UM155" s="172"/>
      <c r="UN155" s="172"/>
      <c r="UO155" s="172"/>
      <c r="UP155" s="172"/>
      <c r="UQ155" s="172"/>
      <c r="UR155" s="172"/>
      <c r="US155" s="172"/>
      <c r="UT155" s="172"/>
      <c r="UU155" s="172"/>
      <c r="UV155" s="172"/>
      <c r="UW155" s="172"/>
      <c r="UX155" s="172"/>
      <c r="UY155" s="172"/>
      <c r="UZ155" s="172"/>
      <c r="VA155" s="172"/>
      <c r="VB155" s="172"/>
      <c r="VC155" s="172"/>
      <c r="VD155" s="172"/>
      <c r="VE155" s="172"/>
      <c r="VF155" s="172"/>
      <c r="VG155" s="172"/>
      <c r="VH155" s="172"/>
      <c r="VI155" s="172"/>
      <c r="VJ155" s="172"/>
      <c r="VK155" s="172"/>
      <c r="VL155" s="172"/>
      <c r="VM155" s="172"/>
      <c r="VN155" s="172"/>
      <c r="VO155" s="172"/>
      <c r="VP155" s="172"/>
      <c r="VQ155" s="172"/>
      <c r="VR155" s="172"/>
      <c r="VS155" s="172"/>
      <c r="VT155" s="172"/>
      <c r="VU155" s="172"/>
      <c r="VV155" s="172"/>
      <c r="VW155" s="172"/>
      <c r="VX155" s="172"/>
      <c r="VY155" s="172"/>
      <c r="VZ155" s="172"/>
      <c r="WA155" s="172"/>
      <c r="WB155" s="172"/>
      <c r="WC155" s="172"/>
      <c r="WD155" s="172"/>
      <c r="WE155" s="172"/>
      <c r="WF155" s="172"/>
      <c r="WG155" s="172"/>
      <c r="WH155" s="172"/>
      <c r="WI155" s="172"/>
      <c r="WJ155" s="172"/>
      <c r="WK155" s="172"/>
      <c r="WL155" s="172"/>
      <c r="WM155" s="172"/>
      <c r="WN155" s="172"/>
      <c r="WO155" s="172"/>
      <c r="WP155" s="172"/>
      <c r="WQ155" s="172"/>
      <c r="WR155" s="172"/>
      <c r="WS155" s="172"/>
      <c r="WT155" s="172"/>
      <c r="WU155" s="172"/>
      <c r="WV155" s="172"/>
      <c r="WW155" s="172"/>
      <c r="WX155" s="172"/>
      <c r="WY155" s="172"/>
      <c r="WZ155" s="172"/>
      <c r="XA155" s="172"/>
      <c r="XB155" s="172"/>
      <c r="XC155" s="172"/>
      <c r="XD155" s="172"/>
      <c r="XE155" s="172"/>
      <c r="XF155" s="172"/>
      <c r="XG155" s="172"/>
      <c r="XH155" s="172"/>
      <c r="XI155" s="172"/>
      <c r="XJ155" s="172"/>
      <c r="XK155" s="172"/>
      <c r="XL155" s="172"/>
      <c r="XM155" s="172"/>
      <c r="XN155" s="172"/>
      <c r="XO155" s="172"/>
      <c r="XP155" s="172"/>
      <c r="XQ155" s="172"/>
      <c r="XR155" s="172"/>
      <c r="XS155" s="172"/>
      <c r="XT155" s="172"/>
      <c r="XU155" s="172"/>
      <c r="XV155" s="172"/>
      <c r="XW155" s="172"/>
      <c r="XX155" s="172"/>
      <c r="XY155" s="172"/>
      <c r="XZ155" s="172"/>
      <c r="YA155" s="172"/>
      <c r="YB155" s="172"/>
      <c r="YC155" s="172"/>
      <c r="YD155" s="172"/>
      <c r="YE155" s="172"/>
      <c r="YF155" s="172"/>
      <c r="YG155" s="172"/>
      <c r="YH155" s="172"/>
      <c r="YI155" s="172"/>
      <c r="YJ155" s="172"/>
      <c r="YK155" s="172"/>
      <c r="YL155" s="172"/>
      <c r="YM155" s="172"/>
      <c r="YN155" s="172"/>
      <c r="YO155" s="172"/>
      <c r="YP155" s="172"/>
      <c r="YQ155" s="172"/>
      <c r="YR155" s="172"/>
      <c r="YS155" s="172"/>
      <c r="YT155" s="172"/>
      <c r="YU155" s="172"/>
      <c r="YV155" s="172"/>
      <c r="YW155" s="172"/>
      <c r="YX155" s="172"/>
      <c r="YY155" s="172"/>
      <c r="YZ155" s="172"/>
      <c r="ZA155" s="172"/>
      <c r="ZB155" s="172"/>
      <c r="ZC155" s="172"/>
      <c r="ZD155" s="172"/>
      <c r="ZE155" s="172"/>
      <c r="ZF155" s="172"/>
      <c r="ZG155" s="172"/>
      <c r="ZH155" s="172"/>
      <c r="ZI155" s="172"/>
      <c r="ZJ155" s="172"/>
      <c r="ZK155" s="172"/>
      <c r="ZL155" s="172"/>
      <c r="ZM155" s="172"/>
      <c r="ZN155" s="172"/>
      <c r="ZO155" s="172"/>
      <c r="ZP155" s="172"/>
      <c r="ZQ155" s="172"/>
      <c r="ZR155" s="172"/>
      <c r="ZS155" s="172"/>
      <c r="ZT155" s="172"/>
      <c r="ZU155" s="172"/>
      <c r="ZV155" s="172"/>
      <c r="ZW155" s="172"/>
      <c r="ZX155" s="172"/>
      <c r="ZY155" s="172"/>
      <c r="ZZ155" s="172"/>
      <c r="AAA155" s="172"/>
      <c r="AAB155" s="172"/>
      <c r="AAC155" s="172"/>
      <c r="AAD155" s="172"/>
      <c r="AAE155" s="172"/>
      <c r="AAF155" s="172"/>
      <c r="AAG155" s="172"/>
      <c r="AAH155" s="172"/>
      <c r="AAI155" s="172"/>
      <c r="AAJ155" s="172"/>
      <c r="AAK155" s="172"/>
      <c r="AAL155" s="172"/>
      <c r="AAM155" s="172"/>
      <c r="AAN155" s="172"/>
      <c r="AAO155" s="172"/>
      <c r="AAP155" s="172"/>
      <c r="AAQ155" s="172"/>
      <c r="AAR155" s="172"/>
      <c r="AAS155" s="172"/>
      <c r="AAT155" s="172"/>
      <c r="AAU155" s="172"/>
      <c r="AAV155" s="172"/>
      <c r="AAW155" s="172"/>
      <c r="AAX155" s="172"/>
      <c r="AAY155" s="172"/>
      <c r="AAZ155" s="172"/>
      <c r="ABA155" s="172"/>
      <c r="ABB155" s="172"/>
      <c r="ABC155" s="172"/>
      <c r="ABD155" s="172"/>
      <c r="ABE155" s="172"/>
      <c r="ABF155" s="172"/>
      <c r="ABG155" s="172"/>
      <c r="ABH155" s="172"/>
      <c r="ABI155" s="172"/>
      <c r="ABJ155" s="172"/>
      <c r="ABK155" s="172"/>
      <c r="ABL155" s="172"/>
      <c r="ABM155" s="172"/>
      <c r="ABN155" s="172"/>
      <c r="ABO155" s="172"/>
      <c r="ABP155" s="172"/>
      <c r="ABQ155" s="172"/>
      <c r="ABR155" s="172"/>
      <c r="ABS155" s="172"/>
      <c r="ABT155" s="172"/>
      <c r="ABU155" s="172"/>
      <c r="ABV155" s="172"/>
      <c r="ABW155" s="172"/>
      <c r="ABX155" s="172"/>
      <c r="ABY155" s="172"/>
      <c r="ABZ155" s="172"/>
      <c r="ACA155" s="172"/>
      <c r="ACB155" s="172"/>
      <c r="ACC155" s="172"/>
      <c r="ACD155" s="172"/>
      <c r="ACE155" s="172"/>
      <c r="ACF155" s="172"/>
      <c r="ACG155" s="172"/>
      <c r="ACH155" s="172"/>
      <c r="ACI155" s="172"/>
      <c r="ACJ155" s="172"/>
      <c r="ACK155" s="172"/>
      <c r="ACL155" s="172"/>
      <c r="ACM155" s="172"/>
      <c r="ACN155" s="172"/>
      <c r="ACO155" s="172"/>
      <c r="ACP155" s="172"/>
      <c r="ACQ155" s="172"/>
      <c r="ACR155" s="172"/>
      <c r="ACS155" s="172"/>
      <c r="ACT155" s="172"/>
      <c r="ACU155" s="172"/>
      <c r="ACV155" s="172"/>
      <c r="ACW155" s="172"/>
      <c r="ACX155" s="172"/>
      <c r="ACY155" s="172"/>
      <c r="ACZ155" s="172"/>
      <c r="ADA155" s="172"/>
      <c r="ADB155" s="172"/>
      <c r="ADC155" s="172"/>
      <c r="ADD155" s="172"/>
      <c r="ADE155" s="172"/>
      <c r="ADF155" s="172"/>
      <c r="ADG155" s="172"/>
      <c r="ADH155" s="172"/>
      <c r="ADI155" s="172"/>
      <c r="ADJ155" s="172"/>
      <c r="ADK155" s="172"/>
      <c r="ADL155" s="172"/>
      <c r="ADM155" s="172"/>
      <c r="ADN155" s="172"/>
      <c r="ADO155" s="172"/>
      <c r="ADP155" s="172"/>
      <c r="ADQ155" s="172"/>
      <c r="ADR155" s="172"/>
      <c r="ADS155" s="172"/>
      <c r="ADT155" s="172"/>
      <c r="ADU155" s="172"/>
      <c r="ADV155" s="172"/>
      <c r="ADW155" s="172"/>
      <c r="ADX155" s="172"/>
      <c r="ADY155" s="172"/>
      <c r="ADZ155" s="172"/>
      <c r="AEA155" s="172"/>
      <c r="AEB155" s="172"/>
      <c r="AEC155" s="172"/>
      <c r="AED155" s="172"/>
      <c r="AEE155" s="172"/>
      <c r="AEF155" s="172"/>
      <c r="AEG155" s="172"/>
      <c r="AEH155" s="172"/>
      <c r="AEI155" s="172"/>
      <c r="AEJ155" s="172"/>
      <c r="AEK155" s="172"/>
      <c r="AEL155" s="172"/>
      <c r="AEM155" s="172"/>
      <c r="AEN155" s="172"/>
      <c r="AEO155" s="172"/>
      <c r="AEP155" s="172"/>
      <c r="AEQ155" s="172"/>
      <c r="AER155" s="172"/>
      <c r="AES155" s="172"/>
      <c r="AET155" s="172"/>
      <c r="AEU155" s="172"/>
      <c r="AEV155" s="172"/>
      <c r="AEW155" s="172"/>
      <c r="AEX155" s="172"/>
      <c r="AEY155" s="172"/>
      <c r="AEZ155" s="172"/>
      <c r="AFA155" s="172"/>
      <c r="AFB155" s="172"/>
      <c r="AFC155" s="172"/>
      <c r="AFD155" s="172"/>
      <c r="AFE155" s="172"/>
      <c r="AFF155" s="172"/>
      <c r="AFG155" s="172"/>
      <c r="AFH155" s="172"/>
      <c r="AFI155" s="172"/>
      <c r="AFJ155" s="172"/>
      <c r="AFK155" s="172"/>
      <c r="AFL155" s="172"/>
      <c r="AFM155" s="172"/>
      <c r="AFN155" s="172"/>
      <c r="AFO155" s="172"/>
      <c r="AFP155" s="172"/>
      <c r="AFQ155" s="172"/>
      <c r="AFR155" s="172"/>
      <c r="AFS155" s="172"/>
      <c r="AFT155" s="172"/>
      <c r="AFU155" s="172"/>
      <c r="AFV155" s="172"/>
      <c r="AFW155" s="172"/>
      <c r="AFX155" s="172"/>
      <c r="AFY155" s="172"/>
      <c r="AFZ155" s="172"/>
      <c r="AGA155" s="172"/>
      <c r="AGB155" s="172"/>
      <c r="AGC155" s="172"/>
      <c r="AGD155" s="172"/>
      <c r="AGE155" s="172"/>
      <c r="AGF155" s="172"/>
      <c r="AGG155" s="172"/>
      <c r="AGH155" s="172"/>
      <c r="AGI155" s="172"/>
      <c r="AGJ155" s="172"/>
      <c r="AGK155" s="172"/>
      <c r="AGL155" s="172"/>
      <c r="AGM155" s="172"/>
      <c r="AGN155" s="172"/>
      <c r="AGO155" s="172"/>
      <c r="AGP155" s="172"/>
      <c r="AGQ155" s="172"/>
      <c r="AGR155" s="172"/>
      <c r="AGS155" s="172"/>
      <c r="AGT155" s="172"/>
      <c r="AGU155" s="172"/>
      <c r="AGV155" s="172"/>
      <c r="AGW155" s="172"/>
      <c r="AGX155" s="172"/>
      <c r="AGY155" s="172"/>
      <c r="AGZ155" s="172"/>
      <c r="AHA155" s="172"/>
      <c r="AHB155" s="172"/>
      <c r="AHC155" s="172"/>
      <c r="AHD155" s="172"/>
      <c r="AHE155" s="172"/>
      <c r="AHF155" s="172"/>
      <c r="AHG155" s="172"/>
      <c r="AHH155" s="172"/>
      <c r="AHI155" s="172"/>
      <c r="AHJ155" s="172"/>
      <c r="AHK155" s="172"/>
      <c r="AHL155" s="172"/>
      <c r="AHM155" s="172"/>
      <c r="AHN155" s="172"/>
      <c r="AHO155" s="172"/>
      <c r="AHP155" s="172"/>
      <c r="AHQ155" s="172"/>
      <c r="AHR155" s="172"/>
      <c r="AHS155" s="172"/>
      <c r="AHT155" s="172"/>
      <c r="AHU155" s="172"/>
      <c r="AHV155" s="172"/>
      <c r="AHW155" s="172"/>
      <c r="AHX155" s="172"/>
      <c r="AHY155" s="172"/>
      <c r="AHZ155" s="172"/>
      <c r="AIA155" s="172"/>
      <c r="AIB155" s="172"/>
      <c r="AIC155" s="172"/>
      <c r="AID155" s="172"/>
      <c r="AIE155" s="172"/>
      <c r="AIF155" s="172"/>
      <c r="AIG155" s="172"/>
      <c r="AIH155" s="172"/>
      <c r="AII155" s="172"/>
      <c r="AIJ155" s="172"/>
      <c r="AIK155" s="172"/>
      <c r="AIL155" s="172"/>
      <c r="AIM155" s="172"/>
      <c r="AIN155" s="172"/>
      <c r="AIO155" s="172"/>
      <c r="AIP155" s="172"/>
      <c r="AIQ155" s="172"/>
      <c r="AIR155" s="172"/>
      <c r="AIS155" s="172"/>
      <c r="AIT155" s="172"/>
      <c r="AIU155" s="172"/>
      <c r="AIV155" s="172"/>
      <c r="AIW155" s="172"/>
      <c r="AIX155" s="172"/>
      <c r="AIY155" s="172"/>
      <c r="AIZ155" s="172"/>
      <c r="AJA155" s="172"/>
      <c r="AJB155" s="172"/>
      <c r="AJC155" s="172"/>
      <c r="AJD155" s="172"/>
      <c r="AJE155" s="172"/>
      <c r="AJF155" s="172"/>
      <c r="AJG155" s="172"/>
      <c r="AJH155" s="172"/>
      <c r="AJI155" s="172"/>
      <c r="AJJ155" s="172"/>
      <c r="AJK155" s="172"/>
      <c r="AJL155" s="172"/>
      <c r="AJM155" s="172"/>
      <c r="AJN155" s="172"/>
      <c r="AJO155" s="172"/>
      <c r="AJP155" s="172"/>
      <c r="AJQ155" s="172"/>
      <c r="AJR155" s="172"/>
      <c r="AJS155" s="172"/>
      <c r="AJT155" s="172"/>
      <c r="AJU155" s="172"/>
      <c r="AJV155" s="172"/>
      <c r="AJW155" s="172"/>
      <c r="AJX155" s="172"/>
      <c r="AJY155" s="172"/>
      <c r="AJZ155" s="172"/>
      <c r="AKA155" s="172"/>
      <c r="AKB155" s="172"/>
      <c r="AKC155" s="172"/>
      <c r="AKD155" s="172"/>
      <c r="AKE155" s="172"/>
      <c r="AKF155" s="172"/>
      <c r="AKG155" s="172"/>
      <c r="AKH155" s="172"/>
      <c r="AKI155" s="172"/>
      <c r="AKJ155" s="172"/>
      <c r="AKK155" s="172"/>
      <c r="AKL155" s="172"/>
      <c r="AKM155" s="172"/>
      <c r="AKN155" s="172"/>
      <c r="AKO155" s="172"/>
      <c r="AKP155" s="172"/>
      <c r="AKQ155" s="172"/>
      <c r="AKR155" s="172"/>
      <c r="AKS155" s="172"/>
      <c r="AKT155" s="172"/>
      <c r="AKU155" s="172"/>
      <c r="AKV155" s="172"/>
      <c r="AKW155" s="172"/>
      <c r="AKX155" s="172"/>
      <c r="AKY155" s="172"/>
      <c r="AKZ155" s="172"/>
      <c r="ALA155" s="172"/>
      <c r="ALB155" s="172"/>
      <c r="ALC155" s="172"/>
      <c r="ALD155" s="172"/>
      <c r="ALE155" s="172"/>
      <c r="ALF155" s="172"/>
      <c r="ALG155" s="172"/>
      <c r="ALH155" s="172"/>
      <c r="ALI155" s="172"/>
      <c r="ALJ155" s="172"/>
      <c r="ALK155" s="172"/>
      <c r="ALL155" s="172"/>
      <c r="ALM155" s="172"/>
      <c r="ALN155" s="172"/>
      <c r="ALO155" s="172"/>
      <c r="ALP155" s="172"/>
      <c r="ALQ155" s="172"/>
      <c r="ALR155" s="172"/>
      <c r="ALS155" s="172"/>
      <c r="ALT155" s="172"/>
      <c r="ALU155" s="172"/>
      <c r="ALV155" s="172"/>
      <c r="ALW155" s="172"/>
      <c r="ALX155" s="172"/>
      <c r="ALY155" s="172"/>
      <c r="ALZ155" s="172"/>
      <c r="AMA155" s="172"/>
      <c r="AMB155" s="172"/>
      <c r="AMC155" s="172"/>
      <c r="AMD155" s="172"/>
      <c r="AME155" s="172"/>
      <c r="AMF155" s="172"/>
      <c r="AMG155" s="172"/>
      <c r="AMH155" s="172"/>
      <c r="AMI155" s="172"/>
      <c r="AMJ155" s="172"/>
      <c r="AMK155" s="172"/>
      <c r="AML155" s="172"/>
      <c r="AMM155" s="172"/>
      <c r="AMN155" s="172"/>
      <c r="AMO155" s="172"/>
      <c r="AMP155" s="172"/>
      <c r="AMQ155" s="172"/>
      <c r="AMR155" s="172"/>
      <c r="AMS155" s="172"/>
      <c r="AMT155" s="172"/>
      <c r="AMU155" s="172"/>
      <c r="AMV155" s="172"/>
      <c r="AMW155" s="172"/>
      <c r="AMX155" s="172"/>
      <c r="AMY155" s="172"/>
      <c r="AMZ155" s="172"/>
      <c r="ANA155" s="172"/>
      <c r="ANB155" s="172"/>
      <c r="ANC155" s="172"/>
      <c r="AND155" s="172"/>
      <c r="ANE155" s="172"/>
      <c r="ANF155" s="172"/>
      <c r="ANG155" s="172"/>
      <c r="ANH155" s="172"/>
      <c r="ANI155" s="172"/>
      <c r="ANJ155" s="172"/>
      <c r="ANK155" s="172"/>
      <c r="ANL155" s="172"/>
      <c r="ANM155" s="172"/>
      <c r="ANN155" s="172"/>
      <c r="ANO155" s="172"/>
      <c r="ANP155" s="172"/>
      <c r="ANQ155" s="172"/>
      <c r="ANR155" s="172"/>
      <c r="ANS155" s="172"/>
      <c r="ANT155" s="172"/>
      <c r="ANU155" s="172"/>
      <c r="ANV155" s="172"/>
      <c r="ANW155" s="172"/>
      <c r="ANX155" s="172"/>
      <c r="ANY155" s="172"/>
      <c r="ANZ155" s="172"/>
      <c r="AOA155" s="172"/>
      <c r="AOB155" s="172"/>
      <c r="AOC155" s="172"/>
      <c r="AOD155" s="172"/>
      <c r="AOE155" s="172"/>
      <c r="AOF155" s="172"/>
      <c r="AOG155" s="172"/>
      <c r="AOH155" s="172"/>
      <c r="AOI155" s="172"/>
      <c r="AOJ155" s="172"/>
      <c r="AOK155" s="172"/>
      <c r="AOL155" s="172"/>
      <c r="AOM155" s="172"/>
      <c r="AON155" s="172"/>
      <c r="AOO155" s="172"/>
      <c r="AOP155" s="172"/>
      <c r="AOQ155" s="172"/>
      <c r="AOR155" s="172"/>
      <c r="AOS155" s="172"/>
      <c r="AOT155" s="172"/>
      <c r="AOU155" s="172"/>
      <c r="AOV155" s="172"/>
      <c r="AOW155" s="172"/>
      <c r="AOX155" s="172"/>
      <c r="AOY155" s="172"/>
      <c r="AOZ155" s="172"/>
      <c r="APA155" s="172"/>
      <c r="APB155" s="172"/>
      <c r="APC155" s="172"/>
      <c r="APD155" s="172"/>
      <c r="APE155" s="172"/>
      <c r="APF155" s="172"/>
      <c r="APG155" s="172"/>
      <c r="APH155" s="172"/>
      <c r="API155" s="172"/>
      <c r="APJ155" s="172"/>
      <c r="APK155" s="172"/>
      <c r="APL155" s="172"/>
      <c r="APM155" s="172"/>
      <c r="APN155" s="172"/>
      <c r="APO155" s="172"/>
      <c r="APP155" s="172"/>
      <c r="APQ155" s="172"/>
      <c r="APR155" s="172"/>
      <c r="APS155" s="172"/>
      <c r="APT155" s="172"/>
      <c r="APU155" s="172"/>
      <c r="APV155" s="172"/>
      <c r="APW155" s="172"/>
      <c r="APX155" s="172"/>
      <c r="APY155" s="172"/>
      <c r="APZ155" s="172"/>
      <c r="AQA155" s="172"/>
      <c r="AQB155" s="172"/>
      <c r="AQC155" s="172"/>
      <c r="AQD155" s="172"/>
      <c r="AQE155" s="172"/>
      <c r="AQF155" s="172"/>
      <c r="AQG155" s="172"/>
      <c r="AQH155" s="172"/>
      <c r="AQI155" s="172"/>
      <c r="AQJ155" s="172"/>
      <c r="AQK155" s="172"/>
      <c r="AQL155" s="172"/>
      <c r="AQM155" s="172"/>
      <c r="AQN155" s="172"/>
      <c r="AQO155" s="172"/>
      <c r="AQP155" s="172"/>
      <c r="AQQ155" s="172"/>
      <c r="AQR155" s="172"/>
      <c r="AQS155" s="172"/>
      <c r="AQT155" s="172"/>
      <c r="AQU155" s="172"/>
      <c r="AQV155" s="172"/>
      <c r="AQW155" s="172"/>
      <c r="AQX155" s="172"/>
      <c r="AQY155" s="172"/>
      <c r="AQZ155" s="172"/>
      <c r="ARA155" s="172"/>
      <c r="ARB155" s="172"/>
      <c r="ARC155" s="172"/>
      <c r="ARD155" s="172"/>
      <c r="ARE155" s="172"/>
      <c r="ARF155" s="172"/>
      <c r="ARG155" s="172"/>
      <c r="ARH155" s="172"/>
      <c r="ARI155" s="172"/>
      <c r="ARJ155" s="172"/>
      <c r="ARK155" s="172"/>
      <c r="ARL155" s="172"/>
      <c r="ARM155" s="172"/>
      <c r="ARN155" s="172"/>
      <c r="ARO155" s="172"/>
      <c r="ARP155" s="172"/>
      <c r="ARQ155" s="172"/>
      <c r="ARR155" s="172"/>
      <c r="ARS155" s="172"/>
      <c r="ART155" s="172"/>
      <c r="ARU155" s="172"/>
    </row>
    <row r="156" spans="1:1165" s="257" customFormat="1">
      <c r="A156" s="220"/>
      <c r="B156" s="215"/>
      <c r="C156" s="284"/>
      <c r="D156" s="284"/>
      <c r="E156" s="284"/>
      <c r="F156" s="284"/>
      <c r="G156" s="284"/>
      <c r="H156" s="284"/>
      <c r="I156" s="284"/>
      <c r="J156" s="284"/>
      <c r="K156" s="284"/>
      <c r="L156" s="284"/>
      <c r="M156" s="284"/>
      <c r="N156" s="284"/>
      <c r="O156" s="284"/>
      <c r="P156" s="284"/>
      <c r="Q156" s="284"/>
      <c r="R156" s="284"/>
      <c r="S156" s="284"/>
      <c r="T156" s="284"/>
      <c r="U156" s="288"/>
      <c r="V156" s="288"/>
      <c r="W156" s="288"/>
      <c r="X156" s="284"/>
      <c r="Y156" s="284"/>
      <c r="Z156" s="284"/>
      <c r="AA156" s="288"/>
      <c r="AB156" s="302"/>
      <c r="AC156" s="258"/>
      <c r="AD156" s="258"/>
      <c r="AE156" s="288"/>
      <c r="AF156" s="288"/>
      <c r="AG156" s="288"/>
      <c r="AH156" s="288"/>
      <c r="AI156" s="288"/>
      <c r="AJ156" s="288"/>
      <c r="AK156" s="288"/>
      <c r="AL156" s="288"/>
      <c r="AM156" s="261"/>
      <c r="AN156" s="261"/>
      <c r="AO156" s="288"/>
      <c r="AP156" s="288"/>
      <c r="AQ156" s="288"/>
      <c r="AR156" s="288"/>
      <c r="AS156" s="288"/>
      <c r="AT156" s="288"/>
      <c r="AU156" s="288"/>
      <c r="AV156" s="302"/>
      <c r="AW156" s="258"/>
      <c r="AX156" s="258"/>
      <c r="AY156" s="258"/>
      <c r="AZ156" s="258"/>
      <c r="BA156" s="264"/>
      <c r="BB156" s="258"/>
      <c r="BC156" s="258"/>
      <c r="BD156" s="258"/>
      <c r="BE156" s="263"/>
      <c r="BF156" s="258"/>
      <c r="BG156" s="258"/>
      <c r="BH156" s="258"/>
      <c r="BI156" s="263"/>
      <c r="BJ156" s="258"/>
      <c r="BK156" s="258"/>
      <c r="BL156" s="172"/>
      <c r="BM156" s="172"/>
      <c r="BN156" s="231"/>
      <c r="BO156" s="231"/>
      <c r="BP156" s="172"/>
      <c r="BQ156" s="172"/>
      <c r="BR156" s="172"/>
      <c r="BS156" s="172"/>
      <c r="BT156" s="172"/>
      <c r="BU156" s="172"/>
      <c r="BV156" s="172"/>
      <c r="BW156" s="172"/>
      <c r="BX156" s="172"/>
      <c r="BY156" s="172"/>
      <c r="BZ156" s="172"/>
      <c r="CA156" s="172"/>
      <c r="CB156" s="172"/>
      <c r="CC156" s="172"/>
      <c r="CD156" s="172"/>
      <c r="CE156" s="172"/>
      <c r="CF156" s="172"/>
      <c r="CG156" s="172"/>
      <c r="CH156" s="172"/>
      <c r="CI156" s="172"/>
      <c r="CJ156" s="172"/>
      <c r="CK156" s="172"/>
      <c r="CL156" s="172"/>
      <c r="CM156" s="172"/>
      <c r="CN156" s="172"/>
      <c r="CO156" s="172"/>
      <c r="CP156" s="172"/>
      <c r="CQ156" s="172"/>
      <c r="CR156" s="172"/>
      <c r="CS156" s="172"/>
      <c r="CT156" s="172"/>
      <c r="CU156" s="172"/>
      <c r="CV156" s="172"/>
      <c r="CW156" s="172"/>
      <c r="CX156" s="172"/>
      <c r="CY156" s="172"/>
      <c r="CZ156" s="172"/>
      <c r="DA156" s="172"/>
      <c r="DB156" s="172"/>
      <c r="DC156" s="172"/>
      <c r="DD156" s="172"/>
      <c r="DE156" s="172"/>
      <c r="DF156" s="172"/>
      <c r="DG156" s="172"/>
      <c r="DH156" s="172"/>
      <c r="DI156" s="172"/>
      <c r="DJ156" s="172"/>
      <c r="DK156" s="172"/>
      <c r="DL156" s="172"/>
      <c r="DM156" s="172"/>
      <c r="DN156" s="172"/>
      <c r="DO156" s="172"/>
      <c r="DP156" s="172"/>
      <c r="DQ156" s="172"/>
      <c r="DR156" s="172"/>
      <c r="DS156" s="172"/>
      <c r="DT156" s="172"/>
      <c r="DU156" s="172"/>
      <c r="DV156" s="172"/>
      <c r="DW156" s="172"/>
      <c r="DX156" s="172"/>
      <c r="DY156" s="172"/>
      <c r="DZ156" s="172"/>
      <c r="EA156" s="172"/>
      <c r="EB156" s="172"/>
      <c r="EC156" s="172"/>
      <c r="ED156" s="172"/>
      <c r="EE156" s="172"/>
      <c r="EF156" s="172"/>
      <c r="EG156" s="172"/>
      <c r="EH156" s="172"/>
      <c r="EI156" s="172"/>
      <c r="EJ156" s="172"/>
      <c r="EK156" s="172"/>
      <c r="EL156" s="172"/>
      <c r="EM156" s="172"/>
      <c r="EN156" s="172"/>
      <c r="EO156" s="172"/>
      <c r="EP156" s="172"/>
      <c r="EQ156" s="172"/>
      <c r="ER156" s="172"/>
      <c r="ES156" s="172"/>
      <c r="ET156" s="172"/>
      <c r="EU156" s="172"/>
      <c r="EV156" s="172"/>
      <c r="EW156" s="172"/>
      <c r="EX156" s="172"/>
      <c r="EY156" s="172"/>
      <c r="EZ156" s="172"/>
      <c r="FA156" s="172"/>
      <c r="FB156" s="172"/>
      <c r="FC156" s="172"/>
      <c r="FD156" s="172"/>
      <c r="FE156" s="172"/>
      <c r="FF156" s="172"/>
      <c r="FG156" s="172"/>
      <c r="FH156" s="172"/>
      <c r="FI156" s="172"/>
      <c r="FJ156" s="172"/>
      <c r="FK156" s="172"/>
      <c r="FL156" s="172"/>
      <c r="FM156" s="172"/>
      <c r="FN156" s="172"/>
      <c r="FO156" s="172"/>
      <c r="FP156" s="172"/>
      <c r="FQ156" s="172"/>
      <c r="FR156" s="172"/>
      <c r="FS156" s="172"/>
      <c r="FT156" s="172"/>
      <c r="FU156" s="172"/>
      <c r="FV156" s="172"/>
      <c r="FW156" s="172"/>
      <c r="FX156" s="172"/>
      <c r="FY156" s="172"/>
      <c r="FZ156" s="172"/>
      <c r="GA156" s="172"/>
      <c r="GB156" s="172"/>
      <c r="GC156" s="172"/>
      <c r="GD156" s="172"/>
      <c r="GE156" s="172"/>
      <c r="GF156" s="172"/>
      <c r="GG156" s="172"/>
      <c r="GH156" s="172"/>
      <c r="GI156" s="172"/>
      <c r="GJ156" s="172"/>
      <c r="GK156" s="172"/>
      <c r="GL156" s="172"/>
      <c r="GM156" s="172"/>
      <c r="GN156" s="172"/>
      <c r="GO156" s="172"/>
      <c r="GP156" s="172"/>
      <c r="GQ156" s="172"/>
      <c r="GR156" s="172"/>
      <c r="GS156" s="172"/>
      <c r="GT156" s="172"/>
      <c r="GU156" s="172"/>
      <c r="GV156" s="172"/>
      <c r="GW156" s="172"/>
      <c r="GX156" s="172"/>
      <c r="GY156" s="172"/>
      <c r="GZ156" s="172"/>
      <c r="HA156" s="172"/>
      <c r="HB156" s="172"/>
      <c r="HC156" s="172"/>
      <c r="HD156" s="172"/>
      <c r="HE156" s="172"/>
      <c r="HF156" s="172"/>
      <c r="HG156" s="172"/>
      <c r="HH156" s="172"/>
      <c r="HI156" s="172"/>
      <c r="HJ156" s="172"/>
      <c r="HK156" s="172"/>
      <c r="HL156" s="172"/>
      <c r="HM156" s="172"/>
      <c r="HN156" s="172"/>
      <c r="HO156" s="172"/>
      <c r="HP156" s="172"/>
      <c r="HQ156" s="172"/>
      <c r="HR156" s="172"/>
      <c r="HS156" s="172"/>
      <c r="HT156" s="172"/>
      <c r="HU156" s="172"/>
      <c r="HV156" s="172"/>
      <c r="HW156" s="172"/>
      <c r="HX156" s="172"/>
      <c r="HY156" s="172"/>
      <c r="HZ156" s="172"/>
      <c r="IA156" s="172"/>
      <c r="IB156" s="172"/>
      <c r="IC156" s="172"/>
      <c r="ID156" s="172"/>
      <c r="IE156" s="172"/>
      <c r="IF156" s="172"/>
      <c r="IG156" s="172"/>
      <c r="IH156" s="172"/>
      <c r="II156" s="172"/>
      <c r="IJ156" s="172"/>
      <c r="IK156" s="172"/>
      <c r="IL156" s="172"/>
      <c r="IM156" s="172"/>
      <c r="IN156" s="172"/>
      <c r="IO156" s="172"/>
      <c r="IP156" s="172"/>
      <c r="IQ156" s="172"/>
      <c r="IR156" s="172"/>
      <c r="IS156" s="172"/>
      <c r="IT156" s="172"/>
      <c r="IU156" s="172"/>
      <c r="IV156" s="172"/>
      <c r="IW156" s="172"/>
      <c r="IX156" s="172"/>
      <c r="IY156" s="172"/>
      <c r="IZ156" s="172"/>
      <c r="JA156" s="172"/>
      <c r="JB156" s="172"/>
      <c r="JC156" s="172"/>
      <c r="JD156" s="172"/>
      <c r="JE156" s="172"/>
      <c r="JF156" s="172"/>
      <c r="JG156" s="172"/>
      <c r="JH156" s="172"/>
      <c r="JI156" s="172"/>
      <c r="JJ156" s="172"/>
      <c r="JK156" s="172"/>
      <c r="JL156" s="172"/>
      <c r="JM156" s="172"/>
      <c r="JN156" s="172"/>
      <c r="JO156" s="172"/>
      <c r="JP156" s="172"/>
      <c r="JQ156" s="172"/>
      <c r="JR156" s="172"/>
      <c r="JS156" s="172"/>
      <c r="JT156" s="172"/>
      <c r="JU156" s="172"/>
      <c r="JV156" s="172"/>
      <c r="JW156" s="172"/>
      <c r="JX156" s="172"/>
      <c r="JY156" s="172"/>
      <c r="JZ156" s="172"/>
      <c r="KA156" s="172"/>
      <c r="KB156" s="172"/>
      <c r="KC156" s="172"/>
      <c r="KD156" s="172"/>
      <c r="KE156" s="172"/>
      <c r="KF156" s="172"/>
      <c r="KG156" s="172"/>
      <c r="KH156" s="172"/>
      <c r="KI156" s="172"/>
      <c r="KJ156" s="172"/>
      <c r="KK156" s="172"/>
      <c r="KL156" s="172"/>
      <c r="KM156" s="172"/>
      <c r="KN156" s="172"/>
      <c r="KO156" s="172"/>
      <c r="KP156" s="172"/>
      <c r="KQ156" s="172"/>
      <c r="KR156" s="172"/>
      <c r="KS156" s="172"/>
      <c r="KT156" s="172"/>
      <c r="KU156" s="172"/>
      <c r="KV156" s="172"/>
      <c r="KW156" s="172"/>
      <c r="KX156" s="172"/>
      <c r="KY156" s="172"/>
      <c r="KZ156" s="172"/>
      <c r="LA156" s="172"/>
      <c r="LB156" s="172"/>
      <c r="LC156" s="172"/>
      <c r="LD156" s="172"/>
      <c r="LE156" s="172"/>
      <c r="LF156" s="172"/>
      <c r="LG156" s="172"/>
      <c r="LH156" s="172"/>
      <c r="LI156" s="172"/>
      <c r="LJ156" s="172"/>
      <c r="LK156" s="172"/>
      <c r="LL156" s="172"/>
      <c r="LM156" s="172"/>
      <c r="LN156" s="172"/>
      <c r="LO156" s="172"/>
      <c r="LP156" s="172"/>
      <c r="LQ156" s="172"/>
      <c r="LR156" s="172"/>
      <c r="LS156" s="172"/>
      <c r="LT156" s="172"/>
      <c r="LU156" s="172"/>
      <c r="LV156" s="172"/>
      <c r="LW156" s="172"/>
      <c r="LX156" s="172"/>
      <c r="LY156" s="172"/>
      <c r="LZ156" s="172"/>
      <c r="MA156" s="172"/>
      <c r="MB156" s="172"/>
      <c r="MC156" s="172"/>
      <c r="MD156" s="172"/>
      <c r="ME156" s="172"/>
      <c r="MF156" s="172"/>
      <c r="MG156" s="172"/>
      <c r="MH156" s="172"/>
      <c r="MI156" s="172"/>
      <c r="MJ156" s="172"/>
      <c r="MK156" s="172"/>
      <c r="ML156" s="172"/>
      <c r="MM156" s="172"/>
      <c r="MN156" s="172"/>
      <c r="MO156" s="172"/>
      <c r="MP156" s="172"/>
      <c r="MQ156" s="172"/>
      <c r="MR156" s="172"/>
      <c r="MS156" s="172"/>
      <c r="MT156" s="172"/>
      <c r="MU156" s="172"/>
      <c r="MV156" s="172"/>
      <c r="MW156" s="172"/>
      <c r="MX156" s="172"/>
      <c r="MY156" s="172"/>
      <c r="MZ156" s="172"/>
      <c r="NA156" s="172"/>
      <c r="NB156" s="172"/>
      <c r="NC156" s="172"/>
      <c r="ND156" s="172"/>
      <c r="NE156" s="172"/>
      <c r="NF156" s="172"/>
      <c r="NG156" s="172"/>
      <c r="NH156" s="172"/>
      <c r="NI156" s="172"/>
      <c r="NJ156" s="172"/>
      <c r="NK156" s="172"/>
      <c r="NL156" s="172"/>
      <c r="NM156" s="172"/>
      <c r="NN156" s="172"/>
      <c r="NO156" s="172"/>
      <c r="NP156" s="172"/>
      <c r="NQ156" s="172"/>
      <c r="NR156" s="172"/>
      <c r="NS156" s="172"/>
      <c r="NT156" s="172"/>
      <c r="NU156" s="172"/>
      <c r="NV156" s="172"/>
      <c r="NW156" s="172"/>
      <c r="NX156" s="172"/>
      <c r="NY156" s="172"/>
      <c r="NZ156" s="172"/>
      <c r="OA156" s="172"/>
      <c r="OB156" s="172"/>
      <c r="OC156" s="172"/>
      <c r="OD156" s="172"/>
      <c r="OE156" s="172"/>
      <c r="OF156" s="172"/>
      <c r="OG156" s="172"/>
      <c r="OH156" s="172"/>
      <c r="OI156" s="172"/>
      <c r="OJ156" s="172"/>
      <c r="OK156" s="172"/>
      <c r="OL156" s="172"/>
      <c r="OM156" s="172"/>
      <c r="ON156" s="172"/>
      <c r="OO156" s="172"/>
      <c r="OP156" s="172"/>
      <c r="OQ156" s="172"/>
      <c r="OR156" s="172"/>
      <c r="OS156" s="172"/>
      <c r="OT156" s="172"/>
      <c r="OU156" s="172"/>
      <c r="OV156" s="172"/>
      <c r="OW156" s="172"/>
      <c r="OX156" s="172"/>
      <c r="OY156" s="172"/>
      <c r="OZ156" s="172"/>
      <c r="PA156" s="172"/>
      <c r="PB156" s="172"/>
      <c r="PC156" s="172"/>
      <c r="PD156" s="172"/>
      <c r="PE156" s="172"/>
      <c r="PF156" s="172"/>
      <c r="PG156" s="172"/>
      <c r="PH156" s="172"/>
      <c r="PI156" s="172"/>
      <c r="PJ156" s="172"/>
      <c r="PK156" s="172"/>
      <c r="PL156" s="172"/>
      <c r="PM156" s="172"/>
      <c r="PN156" s="172"/>
      <c r="PO156" s="172"/>
      <c r="PP156" s="172"/>
      <c r="PQ156" s="172"/>
      <c r="PR156" s="172"/>
      <c r="PS156" s="172"/>
      <c r="PT156" s="172"/>
      <c r="PU156" s="172"/>
      <c r="PV156" s="172"/>
      <c r="PW156" s="172"/>
      <c r="PX156" s="172"/>
      <c r="PY156" s="172"/>
      <c r="PZ156" s="172"/>
      <c r="QA156" s="172"/>
      <c r="QB156" s="172"/>
      <c r="QC156" s="172"/>
      <c r="QD156" s="172"/>
      <c r="QE156" s="172"/>
      <c r="QF156" s="172"/>
      <c r="QG156" s="172"/>
      <c r="QH156" s="172"/>
      <c r="QI156" s="172"/>
      <c r="QJ156" s="172"/>
      <c r="QK156" s="172"/>
      <c r="QL156" s="172"/>
      <c r="QM156" s="172"/>
      <c r="QN156" s="172"/>
      <c r="QO156" s="172"/>
      <c r="QP156" s="172"/>
      <c r="QQ156" s="172"/>
      <c r="QR156" s="172"/>
      <c r="QS156" s="172"/>
      <c r="QT156" s="172"/>
      <c r="QU156" s="172"/>
      <c r="QV156" s="172"/>
      <c r="QW156" s="172"/>
      <c r="QX156" s="172"/>
      <c r="QY156" s="172"/>
      <c r="QZ156" s="172"/>
      <c r="RA156" s="172"/>
      <c r="RB156" s="172"/>
      <c r="RC156" s="172"/>
      <c r="RD156" s="172"/>
      <c r="RE156" s="172"/>
      <c r="RF156" s="172"/>
      <c r="RG156" s="172"/>
      <c r="RH156" s="172"/>
      <c r="RI156" s="172"/>
      <c r="RJ156" s="172"/>
      <c r="RK156" s="172"/>
      <c r="RL156" s="172"/>
      <c r="RM156" s="172"/>
      <c r="RN156" s="172"/>
      <c r="RO156" s="172"/>
      <c r="RP156" s="172"/>
      <c r="RQ156" s="172"/>
      <c r="RR156" s="172"/>
      <c r="RS156" s="172"/>
      <c r="RT156" s="172"/>
      <c r="RU156" s="172"/>
      <c r="RV156" s="172"/>
      <c r="RW156" s="172"/>
      <c r="RX156" s="172"/>
      <c r="RY156" s="172"/>
      <c r="RZ156" s="172"/>
      <c r="SA156" s="172"/>
      <c r="SB156" s="172"/>
      <c r="SC156" s="172"/>
      <c r="SD156" s="172"/>
      <c r="SE156" s="172"/>
      <c r="SF156" s="172"/>
      <c r="SG156" s="172"/>
      <c r="SH156" s="172"/>
      <c r="SI156" s="172"/>
      <c r="SJ156" s="172"/>
      <c r="SK156" s="172"/>
      <c r="SL156" s="172"/>
      <c r="SM156" s="172"/>
      <c r="SN156" s="172"/>
      <c r="SO156" s="172"/>
      <c r="SP156" s="172"/>
      <c r="SQ156" s="172"/>
      <c r="SR156" s="172"/>
      <c r="SS156" s="172"/>
      <c r="ST156" s="172"/>
      <c r="SU156" s="172"/>
      <c r="SV156" s="172"/>
      <c r="SW156" s="172"/>
      <c r="SX156" s="172"/>
      <c r="SY156" s="172"/>
      <c r="SZ156" s="172"/>
      <c r="TA156" s="172"/>
      <c r="TB156" s="172"/>
      <c r="TC156" s="172"/>
      <c r="TD156" s="172"/>
      <c r="TE156" s="172"/>
      <c r="TF156" s="172"/>
      <c r="TG156" s="172"/>
      <c r="TH156" s="172"/>
      <c r="TI156" s="172"/>
      <c r="TJ156" s="172"/>
      <c r="TK156" s="172"/>
      <c r="TL156" s="172"/>
      <c r="TM156" s="172"/>
      <c r="TN156" s="172"/>
      <c r="TO156" s="172"/>
      <c r="TP156" s="172"/>
      <c r="TQ156" s="172"/>
      <c r="TR156" s="172"/>
      <c r="TS156" s="172"/>
      <c r="TT156" s="172"/>
      <c r="TU156" s="172"/>
      <c r="TV156" s="172"/>
      <c r="TW156" s="172"/>
      <c r="TX156" s="172"/>
      <c r="TY156" s="172"/>
      <c r="TZ156" s="172"/>
      <c r="UA156" s="172"/>
      <c r="UB156" s="172"/>
      <c r="UC156" s="172"/>
      <c r="UD156" s="172"/>
      <c r="UE156" s="172"/>
      <c r="UF156" s="172"/>
      <c r="UG156" s="172"/>
      <c r="UH156" s="172"/>
      <c r="UI156" s="172"/>
      <c r="UJ156" s="172"/>
      <c r="UK156" s="172"/>
      <c r="UL156" s="172"/>
      <c r="UM156" s="172"/>
      <c r="UN156" s="172"/>
      <c r="UO156" s="172"/>
      <c r="UP156" s="172"/>
      <c r="UQ156" s="172"/>
      <c r="UR156" s="172"/>
      <c r="US156" s="172"/>
      <c r="UT156" s="172"/>
      <c r="UU156" s="172"/>
      <c r="UV156" s="172"/>
      <c r="UW156" s="172"/>
      <c r="UX156" s="172"/>
      <c r="UY156" s="172"/>
      <c r="UZ156" s="172"/>
      <c r="VA156" s="172"/>
      <c r="VB156" s="172"/>
      <c r="VC156" s="172"/>
      <c r="VD156" s="172"/>
      <c r="VE156" s="172"/>
      <c r="VF156" s="172"/>
      <c r="VG156" s="172"/>
      <c r="VH156" s="172"/>
      <c r="VI156" s="172"/>
      <c r="VJ156" s="172"/>
      <c r="VK156" s="172"/>
      <c r="VL156" s="172"/>
      <c r="VM156" s="172"/>
      <c r="VN156" s="172"/>
      <c r="VO156" s="172"/>
      <c r="VP156" s="172"/>
      <c r="VQ156" s="172"/>
      <c r="VR156" s="172"/>
      <c r="VS156" s="172"/>
      <c r="VT156" s="172"/>
      <c r="VU156" s="172"/>
      <c r="VV156" s="172"/>
      <c r="VW156" s="172"/>
      <c r="VX156" s="172"/>
      <c r="VY156" s="172"/>
      <c r="VZ156" s="172"/>
      <c r="WA156" s="172"/>
      <c r="WB156" s="172"/>
      <c r="WC156" s="172"/>
      <c r="WD156" s="172"/>
      <c r="WE156" s="172"/>
      <c r="WF156" s="172"/>
      <c r="WG156" s="172"/>
      <c r="WH156" s="172"/>
      <c r="WI156" s="172"/>
      <c r="WJ156" s="172"/>
      <c r="WK156" s="172"/>
      <c r="WL156" s="172"/>
      <c r="WM156" s="172"/>
      <c r="WN156" s="172"/>
      <c r="WO156" s="172"/>
      <c r="WP156" s="172"/>
      <c r="WQ156" s="172"/>
      <c r="WR156" s="172"/>
      <c r="WS156" s="172"/>
      <c r="WT156" s="172"/>
      <c r="WU156" s="172"/>
      <c r="WV156" s="172"/>
      <c r="WW156" s="172"/>
      <c r="WX156" s="172"/>
      <c r="WY156" s="172"/>
      <c r="WZ156" s="172"/>
      <c r="XA156" s="172"/>
      <c r="XB156" s="172"/>
      <c r="XC156" s="172"/>
      <c r="XD156" s="172"/>
      <c r="XE156" s="172"/>
      <c r="XF156" s="172"/>
      <c r="XG156" s="172"/>
      <c r="XH156" s="172"/>
      <c r="XI156" s="172"/>
      <c r="XJ156" s="172"/>
      <c r="XK156" s="172"/>
      <c r="XL156" s="172"/>
      <c r="XM156" s="172"/>
      <c r="XN156" s="172"/>
      <c r="XO156" s="172"/>
      <c r="XP156" s="172"/>
      <c r="XQ156" s="172"/>
      <c r="XR156" s="172"/>
      <c r="XS156" s="172"/>
      <c r="XT156" s="172"/>
      <c r="XU156" s="172"/>
      <c r="XV156" s="172"/>
      <c r="XW156" s="172"/>
      <c r="XX156" s="172"/>
      <c r="XY156" s="172"/>
      <c r="XZ156" s="172"/>
      <c r="YA156" s="172"/>
      <c r="YB156" s="172"/>
      <c r="YC156" s="172"/>
      <c r="YD156" s="172"/>
      <c r="YE156" s="172"/>
      <c r="YF156" s="172"/>
      <c r="YG156" s="172"/>
      <c r="YH156" s="172"/>
      <c r="YI156" s="172"/>
      <c r="YJ156" s="172"/>
      <c r="YK156" s="172"/>
      <c r="YL156" s="172"/>
      <c r="YM156" s="172"/>
      <c r="YN156" s="172"/>
      <c r="YO156" s="172"/>
      <c r="YP156" s="172"/>
      <c r="YQ156" s="172"/>
      <c r="YR156" s="172"/>
      <c r="YS156" s="172"/>
      <c r="YT156" s="172"/>
      <c r="YU156" s="172"/>
      <c r="YV156" s="172"/>
      <c r="YW156" s="172"/>
      <c r="YX156" s="172"/>
      <c r="YY156" s="172"/>
      <c r="YZ156" s="172"/>
      <c r="ZA156" s="172"/>
      <c r="ZB156" s="172"/>
      <c r="ZC156" s="172"/>
      <c r="ZD156" s="172"/>
      <c r="ZE156" s="172"/>
      <c r="ZF156" s="172"/>
      <c r="ZG156" s="172"/>
      <c r="ZH156" s="172"/>
      <c r="ZI156" s="172"/>
      <c r="ZJ156" s="172"/>
      <c r="ZK156" s="172"/>
      <c r="ZL156" s="172"/>
      <c r="ZM156" s="172"/>
      <c r="ZN156" s="172"/>
      <c r="ZO156" s="172"/>
      <c r="ZP156" s="172"/>
      <c r="ZQ156" s="172"/>
      <c r="ZR156" s="172"/>
      <c r="ZS156" s="172"/>
      <c r="ZT156" s="172"/>
      <c r="ZU156" s="172"/>
      <c r="ZV156" s="172"/>
      <c r="ZW156" s="172"/>
      <c r="ZX156" s="172"/>
      <c r="ZY156" s="172"/>
      <c r="ZZ156" s="172"/>
      <c r="AAA156" s="172"/>
      <c r="AAB156" s="172"/>
      <c r="AAC156" s="172"/>
      <c r="AAD156" s="172"/>
      <c r="AAE156" s="172"/>
      <c r="AAF156" s="172"/>
      <c r="AAG156" s="172"/>
      <c r="AAH156" s="172"/>
      <c r="AAI156" s="172"/>
      <c r="AAJ156" s="172"/>
      <c r="AAK156" s="172"/>
      <c r="AAL156" s="172"/>
      <c r="AAM156" s="172"/>
      <c r="AAN156" s="172"/>
      <c r="AAO156" s="172"/>
      <c r="AAP156" s="172"/>
      <c r="AAQ156" s="172"/>
      <c r="AAR156" s="172"/>
      <c r="AAS156" s="172"/>
      <c r="AAT156" s="172"/>
      <c r="AAU156" s="172"/>
      <c r="AAV156" s="172"/>
      <c r="AAW156" s="172"/>
      <c r="AAX156" s="172"/>
      <c r="AAY156" s="172"/>
      <c r="AAZ156" s="172"/>
      <c r="ABA156" s="172"/>
      <c r="ABB156" s="172"/>
      <c r="ABC156" s="172"/>
      <c r="ABD156" s="172"/>
      <c r="ABE156" s="172"/>
      <c r="ABF156" s="172"/>
      <c r="ABG156" s="172"/>
      <c r="ABH156" s="172"/>
      <c r="ABI156" s="172"/>
      <c r="ABJ156" s="172"/>
      <c r="ABK156" s="172"/>
      <c r="ABL156" s="172"/>
      <c r="ABM156" s="172"/>
      <c r="ABN156" s="172"/>
      <c r="ABO156" s="172"/>
      <c r="ABP156" s="172"/>
      <c r="ABQ156" s="172"/>
      <c r="ABR156" s="172"/>
      <c r="ABS156" s="172"/>
      <c r="ABT156" s="172"/>
      <c r="ABU156" s="172"/>
      <c r="ABV156" s="172"/>
      <c r="ABW156" s="172"/>
      <c r="ABX156" s="172"/>
      <c r="ABY156" s="172"/>
      <c r="ABZ156" s="172"/>
      <c r="ACA156" s="172"/>
      <c r="ACB156" s="172"/>
      <c r="ACC156" s="172"/>
      <c r="ACD156" s="172"/>
      <c r="ACE156" s="172"/>
      <c r="ACF156" s="172"/>
      <c r="ACG156" s="172"/>
      <c r="ACH156" s="172"/>
      <c r="ACI156" s="172"/>
      <c r="ACJ156" s="172"/>
      <c r="ACK156" s="172"/>
      <c r="ACL156" s="172"/>
      <c r="ACM156" s="172"/>
      <c r="ACN156" s="172"/>
      <c r="ACO156" s="172"/>
      <c r="ACP156" s="172"/>
      <c r="ACQ156" s="172"/>
      <c r="ACR156" s="172"/>
      <c r="ACS156" s="172"/>
      <c r="ACT156" s="172"/>
      <c r="ACU156" s="172"/>
      <c r="ACV156" s="172"/>
      <c r="ACW156" s="172"/>
      <c r="ACX156" s="172"/>
      <c r="ACY156" s="172"/>
      <c r="ACZ156" s="172"/>
      <c r="ADA156" s="172"/>
      <c r="ADB156" s="172"/>
      <c r="ADC156" s="172"/>
      <c r="ADD156" s="172"/>
      <c r="ADE156" s="172"/>
      <c r="ADF156" s="172"/>
      <c r="ADG156" s="172"/>
      <c r="ADH156" s="172"/>
      <c r="ADI156" s="172"/>
      <c r="ADJ156" s="172"/>
      <c r="ADK156" s="172"/>
      <c r="ADL156" s="172"/>
      <c r="ADM156" s="172"/>
      <c r="ADN156" s="172"/>
      <c r="ADO156" s="172"/>
      <c r="ADP156" s="172"/>
      <c r="ADQ156" s="172"/>
      <c r="ADR156" s="172"/>
      <c r="ADS156" s="172"/>
      <c r="ADT156" s="172"/>
      <c r="ADU156" s="172"/>
      <c r="ADV156" s="172"/>
      <c r="ADW156" s="172"/>
      <c r="ADX156" s="172"/>
      <c r="ADY156" s="172"/>
      <c r="ADZ156" s="172"/>
      <c r="AEA156" s="172"/>
      <c r="AEB156" s="172"/>
      <c r="AEC156" s="172"/>
      <c r="AED156" s="172"/>
      <c r="AEE156" s="172"/>
      <c r="AEF156" s="172"/>
      <c r="AEG156" s="172"/>
      <c r="AEH156" s="172"/>
      <c r="AEI156" s="172"/>
      <c r="AEJ156" s="172"/>
      <c r="AEK156" s="172"/>
      <c r="AEL156" s="172"/>
      <c r="AEM156" s="172"/>
      <c r="AEN156" s="172"/>
      <c r="AEO156" s="172"/>
      <c r="AEP156" s="172"/>
      <c r="AEQ156" s="172"/>
      <c r="AER156" s="172"/>
      <c r="AES156" s="172"/>
      <c r="AET156" s="172"/>
      <c r="AEU156" s="172"/>
      <c r="AEV156" s="172"/>
      <c r="AEW156" s="172"/>
      <c r="AEX156" s="172"/>
      <c r="AEY156" s="172"/>
      <c r="AEZ156" s="172"/>
      <c r="AFA156" s="172"/>
      <c r="AFB156" s="172"/>
      <c r="AFC156" s="172"/>
      <c r="AFD156" s="172"/>
      <c r="AFE156" s="172"/>
      <c r="AFF156" s="172"/>
      <c r="AFG156" s="172"/>
      <c r="AFH156" s="172"/>
      <c r="AFI156" s="172"/>
      <c r="AFJ156" s="172"/>
      <c r="AFK156" s="172"/>
      <c r="AFL156" s="172"/>
      <c r="AFM156" s="172"/>
      <c r="AFN156" s="172"/>
      <c r="AFO156" s="172"/>
      <c r="AFP156" s="172"/>
      <c r="AFQ156" s="172"/>
      <c r="AFR156" s="172"/>
      <c r="AFS156" s="172"/>
      <c r="AFT156" s="172"/>
      <c r="AFU156" s="172"/>
      <c r="AFV156" s="172"/>
      <c r="AFW156" s="172"/>
      <c r="AFX156" s="172"/>
      <c r="AFY156" s="172"/>
      <c r="AFZ156" s="172"/>
      <c r="AGA156" s="172"/>
      <c r="AGB156" s="172"/>
      <c r="AGC156" s="172"/>
      <c r="AGD156" s="172"/>
      <c r="AGE156" s="172"/>
      <c r="AGF156" s="172"/>
      <c r="AGG156" s="172"/>
      <c r="AGH156" s="172"/>
      <c r="AGI156" s="172"/>
      <c r="AGJ156" s="172"/>
      <c r="AGK156" s="172"/>
      <c r="AGL156" s="172"/>
      <c r="AGM156" s="172"/>
      <c r="AGN156" s="172"/>
      <c r="AGO156" s="172"/>
      <c r="AGP156" s="172"/>
      <c r="AGQ156" s="172"/>
      <c r="AGR156" s="172"/>
      <c r="AGS156" s="172"/>
      <c r="AGT156" s="172"/>
      <c r="AGU156" s="172"/>
      <c r="AGV156" s="172"/>
      <c r="AGW156" s="172"/>
      <c r="AGX156" s="172"/>
      <c r="AGY156" s="172"/>
      <c r="AGZ156" s="172"/>
      <c r="AHA156" s="172"/>
      <c r="AHB156" s="172"/>
      <c r="AHC156" s="172"/>
      <c r="AHD156" s="172"/>
      <c r="AHE156" s="172"/>
      <c r="AHF156" s="172"/>
      <c r="AHG156" s="172"/>
      <c r="AHH156" s="172"/>
      <c r="AHI156" s="172"/>
      <c r="AHJ156" s="172"/>
      <c r="AHK156" s="172"/>
      <c r="AHL156" s="172"/>
      <c r="AHM156" s="172"/>
      <c r="AHN156" s="172"/>
      <c r="AHO156" s="172"/>
      <c r="AHP156" s="172"/>
      <c r="AHQ156" s="172"/>
      <c r="AHR156" s="172"/>
      <c r="AHS156" s="172"/>
      <c r="AHT156" s="172"/>
      <c r="AHU156" s="172"/>
      <c r="AHV156" s="172"/>
      <c r="AHW156" s="172"/>
      <c r="AHX156" s="172"/>
      <c r="AHY156" s="172"/>
      <c r="AHZ156" s="172"/>
      <c r="AIA156" s="172"/>
      <c r="AIB156" s="172"/>
      <c r="AIC156" s="172"/>
      <c r="AID156" s="172"/>
      <c r="AIE156" s="172"/>
      <c r="AIF156" s="172"/>
      <c r="AIG156" s="172"/>
      <c r="AIH156" s="172"/>
      <c r="AII156" s="172"/>
      <c r="AIJ156" s="172"/>
      <c r="AIK156" s="172"/>
      <c r="AIL156" s="172"/>
      <c r="AIM156" s="172"/>
      <c r="AIN156" s="172"/>
      <c r="AIO156" s="172"/>
      <c r="AIP156" s="172"/>
      <c r="AIQ156" s="172"/>
      <c r="AIR156" s="172"/>
      <c r="AIS156" s="172"/>
      <c r="AIT156" s="172"/>
      <c r="AIU156" s="172"/>
      <c r="AIV156" s="172"/>
      <c r="AIW156" s="172"/>
      <c r="AIX156" s="172"/>
      <c r="AIY156" s="172"/>
      <c r="AIZ156" s="172"/>
      <c r="AJA156" s="172"/>
      <c r="AJB156" s="172"/>
      <c r="AJC156" s="172"/>
      <c r="AJD156" s="172"/>
      <c r="AJE156" s="172"/>
      <c r="AJF156" s="172"/>
      <c r="AJG156" s="172"/>
      <c r="AJH156" s="172"/>
      <c r="AJI156" s="172"/>
      <c r="AJJ156" s="172"/>
      <c r="AJK156" s="172"/>
      <c r="AJL156" s="172"/>
      <c r="AJM156" s="172"/>
      <c r="AJN156" s="172"/>
      <c r="AJO156" s="172"/>
      <c r="AJP156" s="172"/>
      <c r="AJQ156" s="172"/>
      <c r="AJR156" s="172"/>
      <c r="AJS156" s="172"/>
      <c r="AJT156" s="172"/>
      <c r="AJU156" s="172"/>
      <c r="AJV156" s="172"/>
      <c r="AJW156" s="172"/>
      <c r="AJX156" s="172"/>
      <c r="AJY156" s="172"/>
      <c r="AJZ156" s="172"/>
      <c r="AKA156" s="172"/>
      <c r="AKB156" s="172"/>
      <c r="AKC156" s="172"/>
      <c r="AKD156" s="172"/>
      <c r="AKE156" s="172"/>
      <c r="AKF156" s="172"/>
      <c r="AKG156" s="172"/>
      <c r="AKH156" s="172"/>
      <c r="AKI156" s="172"/>
      <c r="AKJ156" s="172"/>
      <c r="AKK156" s="172"/>
      <c r="AKL156" s="172"/>
      <c r="AKM156" s="172"/>
      <c r="AKN156" s="172"/>
      <c r="AKO156" s="172"/>
      <c r="AKP156" s="172"/>
      <c r="AKQ156" s="172"/>
      <c r="AKR156" s="172"/>
      <c r="AKS156" s="172"/>
      <c r="AKT156" s="172"/>
      <c r="AKU156" s="172"/>
      <c r="AKV156" s="172"/>
      <c r="AKW156" s="172"/>
      <c r="AKX156" s="172"/>
      <c r="AKY156" s="172"/>
      <c r="AKZ156" s="172"/>
      <c r="ALA156" s="172"/>
      <c r="ALB156" s="172"/>
      <c r="ALC156" s="172"/>
      <c r="ALD156" s="172"/>
      <c r="ALE156" s="172"/>
      <c r="ALF156" s="172"/>
      <c r="ALG156" s="172"/>
      <c r="ALH156" s="172"/>
      <c r="ALI156" s="172"/>
      <c r="ALJ156" s="172"/>
      <c r="ALK156" s="172"/>
      <c r="ALL156" s="172"/>
      <c r="ALM156" s="172"/>
      <c r="ALN156" s="172"/>
      <c r="ALO156" s="172"/>
      <c r="ALP156" s="172"/>
      <c r="ALQ156" s="172"/>
      <c r="ALR156" s="172"/>
      <c r="ALS156" s="172"/>
      <c r="ALT156" s="172"/>
      <c r="ALU156" s="172"/>
      <c r="ALV156" s="172"/>
      <c r="ALW156" s="172"/>
      <c r="ALX156" s="172"/>
      <c r="ALY156" s="172"/>
      <c r="ALZ156" s="172"/>
      <c r="AMA156" s="172"/>
      <c r="AMB156" s="172"/>
      <c r="AMC156" s="172"/>
      <c r="AMD156" s="172"/>
      <c r="AME156" s="172"/>
      <c r="AMF156" s="172"/>
      <c r="AMG156" s="172"/>
      <c r="AMH156" s="172"/>
      <c r="AMI156" s="172"/>
      <c r="AMJ156" s="172"/>
      <c r="AMK156" s="172"/>
      <c r="AML156" s="172"/>
      <c r="AMM156" s="172"/>
      <c r="AMN156" s="172"/>
      <c r="AMO156" s="172"/>
      <c r="AMP156" s="172"/>
      <c r="AMQ156" s="172"/>
      <c r="AMR156" s="172"/>
      <c r="AMS156" s="172"/>
      <c r="AMT156" s="172"/>
      <c r="AMU156" s="172"/>
      <c r="AMV156" s="172"/>
      <c r="AMW156" s="172"/>
      <c r="AMX156" s="172"/>
      <c r="AMY156" s="172"/>
      <c r="AMZ156" s="172"/>
      <c r="ANA156" s="172"/>
      <c r="ANB156" s="172"/>
      <c r="ANC156" s="172"/>
      <c r="AND156" s="172"/>
      <c r="ANE156" s="172"/>
      <c r="ANF156" s="172"/>
      <c r="ANG156" s="172"/>
      <c r="ANH156" s="172"/>
      <c r="ANI156" s="172"/>
      <c r="ANJ156" s="172"/>
      <c r="ANK156" s="172"/>
      <c r="ANL156" s="172"/>
      <c r="ANM156" s="172"/>
      <c r="ANN156" s="172"/>
      <c r="ANO156" s="172"/>
      <c r="ANP156" s="172"/>
      <c r="ANQ156" s="172"/>
      <c r="ANR156" s="172"/>
      <c r="ANS156" s="172"/>
      <c r="ANT156" s="172"/>
      <c r="ANU156" s="172"/>
      <c r="ANV156" s="172"/>
      <c r="ANW156" s="172"/>
      <c r="ANX156" s="172"/>
      <c r="ANY156" s="172"/>
      <c r="ANZ156" s="172"/>
      <c r="AOA156" s="172"/>
      <c r="AOB156" s="172"/>
      <c r="AOC156" s="172"/>
      <c r="AOD156" s="172"/>
      <c r="AOE156" s="172"/>
      <c r="AOF156" s="172"/>
      <c r="AOG156" s="172"/>
      <c r="AOH156" s="172"/>
      <c r="AOI156" s="172"/>
      <c r="AOJ156" s="172"/>
      <c r="AOK156" s="172"/>
      <c r="AOL156" s="172"/>
      <c r="AOM156" s="172"/>
      <c r="AON156" s="172"/>
      <c r="AOO156" s="172"/>
      <c r="AOP156" s="172"/>
      <c r="AOQ156" s="172"/>
      <c r="AOR156" s="172"/>
      <c r="AOS156" s="172"/>
      <c r="AOT156" s="172"/>
      <c r="AOU156" s="172"/>
      <c r="AOV156" s="172"/>
      <c r="AOW156" s="172"/>
      <c r="AOX156" s="172"/>
      <c r="AOY156" s="172"/>
      <c r="AOZ156" s="172"/>
      <c r="APA156" s="172"/>
      <c r="APB156" s="172"/>
      <c r="APC156" s="172"/>
      <c r="APD156" s="172"/>
      <c r="APE156" s="172"/>
      <c r="APF156" s="172"/>
      <c r="APG156" s="172"/>
      <c r="APH156" s="172"/>
      <c r="API156" s="172"/>
      <c r="APJ156" s="172"/>
      <c r="APK156" s="172"/>
      <c r="APL156" s="172"/>
      <c r="APM156" s="172"/>
      <c r="APN156" s="172"/>
      <c r="APO156" s="172"/>
      <c r="APP156" s="172"/>
      <c r="APQ156" s="172"/>
      <c r="APR156" s="172"/>
      <c r="APS156" s="172"/>
      <c r="APT156" s="172"/>
      <c r="APU156" s="172"/>
      <c r="APV156" s="172"/>
      <c r="APW156" s="172"/>
      <c r="APX156" s="172"/>
      <c r="APY156" s="172"/>
      <c r="APZ156" s="172"/>
      <c r="AQA156" s="172"/>
      <c r="AQB156" s="172"/>
      <c r="AQC156" s="172"/>
      <c r="AQD156" s="172"/>
      <c r="AQE156" s="172"/>
      <c r="AQF156" s="172"/>
      <c r="AQG156" s="172"/>
      <c r="AQH156" s="172"/>
      <c r="AQI156" s="172"/>
      <c r="AQJ156" s="172"/>
      <c r="AQK156" s="172"/>
      <c r="AQL156" s="172"/>
      <c r="AQM156" s="172"/>
      <c r="AQN156" s="172"/>
      <c r="AQO156" s="172"/>
      <c r="AQP156" s="172"/>
      <c r="AQQ156" s="172"/>
      <c r="AQR156" s="172"/>
      <c r="AQS156" s="172"/>
      <c r="AQT156" s="172"/>
      <c r="AQU156" s="172"/>
      <c r="AQV156" s="172"/>
      <c r="AQW156" s="172"/>
      <c r="AQX156" s="172"/>
      <c r="AQY156" s="172"/>
      <c r="AQZ156" s="172"/>
      <c r="ARA156" s="172"/>
      <c r="ARB156" s="172"/>
      <c r="ARC156" s="172"/>
      <c r="ARD156" s="172"/>
      <c r="ARE156" s="172"/>
      <c r="ARF156" s="172"/>
      <c r="ARG156" s="172"/>
      <c r="ARH156" s="172"/>
      <c r="ARI156" s="172"/>
      <c r="ARJ156" s="172"/>
      <c r="ARK156" s="172"/>
      <c r="ARL156" s="172"/>
      <c r="ARM156" s="172"/>
      <c r="ARN156" s="172"/>
      <c r="ARO156" s="172"/>
      <c r="ARP156" s="172"/>
      <c r="ARQ156" s="172"/>
      <c r="ARR156" s="172"/>
      <c r="ARS156" s="172"/>
      <c r="ART156" s="172"/>
      <c r="ARU156" s="172"/>
    </row>
    <row r="157" spans="1:1165" s="257" customFormat="1">
      <c r="A157" s="1483" t="s">
        <v>255</v>
      </c>
      <c r="B157" s="1511" t="s">
        <v>87</v>
      </c>
      <c r="C157" s="1512">
        <v>60376</v>
      </c>
      <c r="D157" s="1512">
        <v>1075116</v>
      </c>
      <c r="E157" s="1512">
        <v>0</v>
      </c>
      <c r="F157" s="1512">
        <v>0</v>
      </c>
      <c r="G157" s="1512">
        <v>0</v>
      </c>
      <c r="H157" s="1512">
        <v>0</v>
      </c>
      <c r="I157" s="1512">
        <v>0</v>
      </c>
      <c r="J157" s="1512">
        <v>0</v>
      </c>
      <c r="K157" s="1512">
        <v>0</v>
      </c>
      <c r="L157" s="1512">
        <v>0</v>
      </c>
      <c r="M157" s="1512">
        <v>16729</v>
      </c>
      <c r="N157" s="1512">
        <v>215936</v>
      </c>
      <c r="O157" s="1489">
        <v>0</v>
      </c>
      <c r="P157" s="1489">
        <v>0</v>
      </c>
      <c r="Q157" s="1489">
        <v>0</v>
      </c>
      <c r="R157" s="1489">
        <v>0</v>
      </c>
      <c r="S157" s="1489">
        <v>0</v>
      </c>
      <c r="T157" s="1489">
        <v>0</v>
      </c>
      <c r="U157" s="1489">
        <v>0</v>
      </c>
      <c r="V157" s="1489">
        <v>0</v>
      </c>
      <c r="W157" s="1489">
        <v>0</v>
      </c>
      <c r="X157" s="1489">
        <v>0</v>
      </c>
      <c r="Y157" s="1489">
        <v>0</v>
      </c>
      <c r="Z157" s="1489">
        <v>0</v>
      </c>
      <c r="AA157" s="1489">
        <v>0</v>
      </c>
      <c r="AB157" s="1489">
        <v>0</v>
      </c>
      <c r="AC157" s="1489">
        <v>0</v>
      </c>
      <c r="AD157" s="1489">
        <v>0</v>
      </c>
      <c r="AE157" s="1489">
        <v>0</v>
      </c>
      <c r="AF157" s="1489">
        <v>0</v>
      </c>
      <c r="AG157" s="1489">
        <v>0</v>
      </c>
      <c r="AH157" s="1489">
        <v>0</v>
      </c>
      <c r="AI157" s="1489">
        <v>0</v>
      </c>
      <c r="AJ157" s="1489">
        <v>0</v>
      </c>
      <c r="AK157" s="1489">
        <v>0</v>
      </c>
      <c r="AL157" s="1489">
        <v>0</v>
      </c>
      <c r="AM157" s="1489">
        <v>0</v>
      </c>
      <c r="AN157" s="1489">
        <v>0</v>
      </c>
      <c r="AO157" s="1489">
        <v>0</v>
      </c>
      <c r="AP157" s="1489">
        <v>0</v>
      </c>
      <c r="AQ157" s="1489">
        <v>0</v>
      </c>
      <c r="AR157" s="1489">
        <v>0</v>
      </c>
      <c r="AS157" s="1489">
        <v>0</v>
      </c>
      <c r="AT157" s="1489">
        <v>0</v>
      </c>
      <c r="AU157" s="1489">
        <v>0</v>
      </c>
      <c r="AV157" s="1489">
        <v>0</v>
      </c>
      <c r="AW157" s="1512">
        <v>0</v>
      </c>
      <c r="AX157" s="1512">
        <v>0</v>
      </c>
      <c r="AY157" s="1512">
        <v>0</v>
      </c>
      <c r="AZ157" s="1512">
        <v>0</v>
      </c>
      <c r="BA157" s="1513"/>
      <c r="BB157" s="1512"/>
      <c r="BC157" s="1512"/>
      <c r="BD157" s="1512"/>
      <c r="BE157" s="1512"/>
      <c r="BF157" s="1512"/>
      <c r="BG157" s="1512"/>
      <c r="BH157" s="1512"/>
      <c r="BI157" s="1513"/>
      <c r="BJ157" s="1512">
        <f>C157+G157+I157+K157+M157+O157+Q157+S157+U157+W157+Y157+AA157+AC157+AE157+AG157+AI157+AK157+AM157+AO157+AQ157+AS157+AU157+AW157+AY157+BB157+BF157</f>
        <v>77105</v>
      </c>
      <c r="BK157" s="1514">
        <f>D157+H157+J157+L157+N157+P157+R157+T157+V157+X157+Z157+AB157+AD157+AF157+AH157+AJ157+AL157+AN157+AP157+AR157+AT157+AV157+AX157+AZ157+BD157+BH157</f>
        <v>1291052</v>
      </c>
      <c r="BL157" s="172"/>
      <c r="BM157" s="231"/>
      <c r="BN157" s="231"/>
      <c r="BO157" s="231"/>
      <c r="BP157" s="231"/>
      <c r="BQ157" s="172"/>
      <c r="BR157" s="172"/>
      <c r="BS157" s="172"/>
      <c r="BT157" s="172"/>
      <c r="BU157" s="172"/>
      <c r="BV157" s="172"/>
      <c r="BW157" s="172"/>
      <c r="BX157" s="172"/>
      <c r="BY157" s="172"/>
      <c r="BZ157" s="172"/>
      <c r="CA157" s="172"/>
      <c r="CB157" s="172"/>
      <c r="CC157" s="172"/>
      <c r="CD157" s="172"/>
      <c r="CE157" s="172"/>
      <c r="CF157" s="172"/>
      <c r="CG157" s="172"/>
      <c r="CH157" s="172"/>
      <c r="CI157" s="172"/>
      <c r="CJ157" s="172"/>
      <c r="CK157" s="172"/>
      <c r="CL157" s="172"/>
      <c r="CM157" s="172"/>
      <c r="CN157" s="172"/>
      <c r="CO157" s="172"/>
      <c r="CP157" s="172"/>
      <c r="CQ157" s="172"/>
      <c r="CR157" s="172"/>
      <c r="CS157" s="172"/>
      <c r="CT157" s="172"/>
      <c r="CU157" s="172"/>
      <c r="CV157" s="172"/>
      <c r="CW157" s="172"/>
      <c r="CX157" s="172"/>
      <c r="CY157" s="172"/>
      <c r="CZ157" s="172"/>
      <c r="DA157" s="172"/>
      <c r="DB157" s="172"/>
      <c r="DC157" s="172"/>
      <c r="DD157" s="172"/>
      <c r="DE157" s="172"/>
      <c r="DF157" s="172"/>
      <c r="DG157" s="172"/>
      <c r="DH157" s="172"/>
      <c r="DI157" s="172"/>
      <c r="DJ157" s="172"/>
      <c r="DK157" s="172"/>
      <c r="DL157" s="172"/>
      <c r="DM157" s="172"/>
      <c r="DN157" s="172"/>
      <c r="DO157" s="172"/>
      <c r="DP157" s="172"/>
      <c r="DQ157" s="172"/>
      <c r="DR157" s="172"/>
      <c r="DS157" s="172"/>
      <c r="DT157" s="172"/>
      <c r="DU157" s="172"/>
      <c r="DV157" s="172"/>
      <c r="DW157" s="172"/>
      <c r="DX157" s="172"/>
      <c r="DY157" s="172"/>
      <c r="DZ157" s="172"/>
      <c r="EA157" s="172"/>
      <c r="EB157" s="172"/>
      <c r="EC157" s="172"/>
      <c r="ED157" s="172"/>
      <c r="EE157" s="172"/>
      <c r="EF157" s="172"/>
      <c r="EG157" s="172"/>
      <c r="EH157" s="172"/>
      <c r="EI157" s="172"/>
      <c r="EJ157" s="172"/>
      <c r="EK157" s="172"/>
      <c r="EL157" s="172"/>
      <c r="EM157" s="172"/>
      <c r="EN157" s="172"/>
      <c r="EO157" s="172"/>
      <c r="EP157" s="172"/>
      <c r="EQ157" s="172"/>
      <c r="ER157" s="172"/>
      <c r="ES157" s="172"/>
      <c r="ET157" s="172"/>
      <c r="EU157" s="172"/>
      <c r="EV157" s="172"/>
      <c r="EW157" s="172"/>
      <c r="EX157" s="172"/>
      <c r="EY157" s="172"/>
      <c r="EZ157" s="172"/>
      <c r="FA157" s="172"/>
      <c r="FB157" s="172"/>
      <c r="FC157" s="172"/>
      <c r="FD157" s="172"/>
      <c r="FE157" s="172"/>
      <c r="FF157" s="172"/>
      <c r="FG157" s="172"/>
      <c r="FH157" s="172"/>
      <c r="FI157" s="172"/>
      <c r="FJ157" s="172"/>
      <c r="FK157" s="172"/>
      <c r="FL157" s="172"/>
      <c r="FM157" s="172"/>
      <c r="FN157" s="172"/>
      <c r="FO157" s="172"/>
      <c r="FP157" s="172"/>
      <c r="FQ157" s="172"/>
      <c r="FR157" s="172"/>
      <c r="FS157" s="172"/>
      <c r="FT157" s="172"/>
      <c r="FU157" s="172"/>
      <c r="FV157" s="172"/>
      <c r="FW157" s="172"/>
      <c r="FX157" s="172"/>
      <c r="FY157" s="172"/>
      <c r="FZ157" s="172"/>
      <c r="GA157" s="172"/>
      <c r="GB157" s="172"/>
      <c r="GC157" s="172"/>
      <c r="GD157" s="172"/>
      <c r="GE157" s="172"/>
      <c r="GF157" s="172"/>
      <c r="GG157" s="172"/>
      <c r="GH157" s="172"/>
      <c r="GI157" s="172"/>
      <c r="GJ157" s="172"/>
      <c r="GK157" s="172"/>
      <c r="GL157" s="172"/>
      <c r="GM157" s="172"/>
      <c r="GN157" s="172"/>
      <c r="GO157" s="172"/>
      <c r="GP157" s="172"/>
      <c r="GQ157" s="172"/>
      <c r="GR157" s="172"/>
      <c r="GS157" s="172"/>
      <c r="GT157" s="172"/>
      <c r="GU157" s="172"/>
      <c r="GV157" s="172"/>
      <c r="GW157" s="172"/>
      <c r="GX157" s="172"/>
      <c r="GY157" s="172"/>
      <c r="GZ157" s="172"/>
      <c r="HA157" s="172"/>
      <c r="HB157" s="172"/>
      <c r="HC157" s="172"/>
      <c r="HD157" s="172"/>
      <c r="HE157" s="172"/>
      <c r="HF157" s="172"/>
      <c r="HG157" s="172"/>
      <c r="HH157" s="172"/>
      <c r="HI157" s="172"/>
      <c r="HJ157" s="172"/>
      <c r="HK157" s="172"/>
      <c r="HL157" s="172"/>
      <c r="HM157" s="172"/>
      <c r="HN157" s="172"/>
      <c r="HO157" s="172"/>
      <c r="HP157" s="172"/>
      <c r="HQ157" s="172"/>
      <c r="HR157" s="172"/>
      <c r="HS157" s="172"/>
      <c r="HT157" s="172"/>
      <c r="HU157" s="172"/>
      <c r="HV157" s="172"/>
      <c r="HW157" s="172"/>
      <c r="HX157" s="172"/>
      <c r="HY157" s="172"/>
      <c r="HZ157" s="172"/>
      <c r="IA157" s="172"/>
      <c r="IB157" s="172"/>
      <c r="IC157" s="172"/>
      <c r="ID157" s="172"/>
      <c r="IE157" s="172"/>
      <c r="IF157" s="172"/>
      <c r="IG157" s="172"/>
      <c r="IH157" s="172"/>
      <c r="II157" s="172"/>
      <c r="IJ157" s="172"/>
      <c r="IK157" s="172"/>
      <c r="IL157" s="172"/>
      <c r="IM157" s="172"/>
      <c r="IN157" s="172"/>
      <c r="IO157" s="172"/>
      <c r="IP157" s="172"/>
      <c r="IQ157" s="172"/>
      <c r="IR157" s="172"/>
      <c r="IS157" s="172"/>
      <c r="IT157" s="172"/>
      <c r="IU157" s="172"/>
      <c r="IV157" s="172"/>
      <c r="IW157" s="172"/>
      <c r="IX157" s="172"/>
      <c r="IY157" s="172"/>
      <c r="IZ157" s="172"/>
      <c r="JA157" s="172"/>
      <c r="JB157" s="172"/>
      <c r="JC157" s="172"/>
      <c r="JD157" s="172"/>
      <c r="JE157" s="172"/>
      <c r="JF157" s="172"/>
      <c r="JG157" s="172"/>
      <c r="JH157" s="172"/>
      <c r="JI157" s="172"/>
      <c r="JJ157" s="172"/>
      <c r="JK157" s="172"/>
      <c r="JL157" s="172"/>
      <c r="JM157" s="172"/>
      <c r="JN157" s="172"/>
      <c r="JO157" s="172"/>
      <c r="JP157" s="172"/>
      <c r="JQ157" s="172"/>
      <c r="JR157" s="172"/>
      <c r="JS157" s="172"/>
      <c r="JT157" s="172"/>
      <c r="JU157" s="172"/>
      <c r="JV157" s="172"/>
      <c r="JW157" s="172"/>
      <c r="JX157" s="172"/>
      <c r="JY157" s="172"/>
      <c r="JZ157" s="172"/>
      <c r="KA157" s="172"/>
      <c r="KB157" s="172"/>
      <c r="KC157" s="172"/>
      <c r="KD157" s="172"/>
      <c r="KE157" s="172"/>
      <c r="KF157" s="172"/>
      <c r="KG157" s="172"/>
      <c r="KH157" s="172"/>
      <c r="KI157" s="172"/>
      <c r="KJ157" s="172"/>
      <c r="KK157" s="172"/>
      <c r="KL157" s="172"/>
      <c r="KM157" s="172"/>
      <c r="KN157" s="172"/>
      <c r="KO157" s="172"/>
      <c r="KP157" s="172"/>
      <c r="KQ157" s="172"/>
      <c r="KR157" s="172"/>
      <c r="KS157" s="172"/>
      <c r="KT157" s="172"/>
      <c r="KU157" s="172"/>
      <c r="KV157" s="172"/>
      <c r="KW157" s="172"/>
      <c r="KX157" s="172"/>
      <c r="KY157" s="172"/>
      <c r="KZ157" s="172"/>
      <c r="LA157" s="172"/>
      <c r="LB157" s="172"/>
      <c r="LC157" s="172"/>
      <c r="LD157" s="172"/>
      <c r="LE157" s="172"/>
      <c r="LF157" s="172"/>
      <c r="LG157" s="172"/>
      <c r="LH157" s="172"/>
      <c r="LI157" s="172"/>
      <c r="LJ157" s="172"/>
      <c r="LK157" s="172"/>
      <c r="LL157" s="172"/>
      <c r="LM157" s="172"/>
      <c r="LN157" s="172"/>
      <c r="LO157" s="172"/>
      <c r="LP157" s="172"/>
      <c r="LQ157" s="172"/>
      <c r="LR157" s="172"/>
      <c r="LS157" s="172"/>
      <c r="LT157" s="172"/>
      <c r="LU157" s="172"/>
      <c r="LV157" s="172"/>
      <c r="LW157" s="172"/>
      <c r="LX157" s="172"/>
      <c r="LY157" s="172"/>
      <c r="LZ157" s="172"/>
      <c r="MA157" s="172"/>
      <c r="MB157" s="172"/>
      <c r="MC157" s="172"/>
      <c r="MD157" s="172"/>
      <c r="ME157" s="172"/>
      <c r="MF157" s="172"/>
      <c r="MG157" s="172"/>
      <c r="MH157" s="172"/>
      <c r="MI157" s="172"/>
      <c r="MJ157" s="172"/>
      <c r="MK157" s="172"/>
      <c r="ML157" s="172"/>
      <c r="MM157" s="172"/>
      <c r="MN157" s="172"/>
      <c r="MO157" s="172"/>
      <c r="MP157" s="172"/>
      <c r="MQ157" s="172"/>
      <c r="MR157" s="172"/>
      <c r="MS157" s="172"/>
      <c r="MT157" s="172"/>
      <c r="MU157" s="172"/>
      <c r="MV157" s="172"/>
      <c r="MW157" s="172"/>
      <c r="MX157" s="172"/>
      <c r="MY157" s="172"/>
      <c r="MZ157" s="172"/>
      <c r="NA157" s="172"/>
      <c r="NB157" s="172"/>
      <c r="NC157" s="172"/>
      <c r="ND157" s="172"/>
      <c r="NE157" s="172"/>
      <c r="NF157" s="172"/>
      <c r="NG157" s="172"/>
      <c r="NH157" s="172"/>
      <c r="NI157" s="172"/>
      <c r="NJ157" s="172"/>
      <c r="NK157" s="172"/>
      <c r="NL157" s="172"/>
      <c r="NM157" s="172"/>
      <c r="NN157" s="172"/>
      <c r="NO157" s="172"/>
      <c r="NP157" s="172"/>
      <c r="NQ157" s="172"/>
      <c r="NR157" s="172"/>
      <c r="NS157" s="172"/>
      <c r="NT157" s="172"/>
      <c r="NU157" s="172"/>
      <c r="NV157" s="172"/>
      <c r="NW157" s="172"/>
      <c r="NX157" s="172"/>
      <c r="NY157" s="172"/>
      <c r="NZ157" s="172"/>
      <c r="OA157" s="172"/>
      <c r="OB157" s="172"/>
      <c r="OC157" s="172"/>
      <c r="OD157" s="172"/>
      <c r="OE157" s="172"/>
      <c r="OF157" s="172"/>
      <c r="OG157" s="172"/>
      <c r="OH157" s="172"/>
      <c r="OI157" s="172"/>
      <c r="OJ157" s="172"/>
      <c r="OK157" s="172"/>
      <c r="OL157" s="172"/>
      <c r="OM157" s="172"/>
      <c r="ON157" s="172"/>
      <c r="OO157" s="172"/>
      <c r="OP157" s="172"/>
      <c r="OQ157" s="172"/>
      <c r="OR157" s="172"/>
      <c r="OS157" s="172"/>
      <c r="OT157" s="172"/>
      <c r="OU157" s="172"/>
      <c r="OV157" s="172"/>
      <c r="OW157" s="172"/>
      <c r="OX157" s="172"/>
      <c r="OY157" s="172"/>
      <c r="OZ157" s="172"/>
      <c r="PA157" s="172"/>
      <c r="PB157" s="172"/>
      <c r="PC157" s="172"/>
      <c r="PD157" s="172"/>
      <c r="PE157" s="172"/>
      <c r="PF157" s="172"/>
      <c r="PG157" s="172"/>
      <c r="PH157" s="172"/>
      <c r="PI157" s="172"/>
      <c r="PJ157" s="172"/>
      <c r="PK157" s="172"/>
      <c r="PL157" s="172"/>
      <c r="PM157" s="172"/>
      <c r="PN157" s="172"/>
      <c r="PO157" s="172"/>
      <c r="PP157" s="172"/>
      <c r="PQ157" s="172"/>
      <c r="PR157" s="172"/>
      <c r="PS157" s="172"/>
      <c r="PT157" s="172"/>
      <c r="PU157" s="172"/>
      <c r="PV157" s="172"/>
      <c r="PW157" s="172"/>
      <c r="PX157" s="172"/>
      <c r="PY157" s="172"/>
      <c r="PZ157" s="172"/>
      <c r="QA157" s="172"/>
      <c r="QB157" s="172"/>
      <c r="QC157" s="172"/>
      <c r="QD157" s="172"/>
      <c r="QE157" s="172"/>
      <c r="QF157" s="172"/>
      <c r="QG157" s="172"/>
      <c r="QH157" s="172"/>
      <c r="QI157" s="172"/>
      <c r="QJ157" s="172"/>
      <c r="QK157" s="172"/>
      <c r="QL157" s="172"/>
      <c r="QM157" s="172"/>
      <c r="QN157" s="172"/>
      <c r="QO157" s="172"/>
      <c r="QP157" s="172"/>
      <c r="QQ157" s="172"/>
      <c r="QR157" s="172"/>
      <c r="QS157" s="172"/>
      <c r="QT157" s="172"/>
      <c r="QU157" s="172"/>
      <c r="QV157" s="172"/>
      <c r="QW157" s="172"/>
      <c r="QX157" s="172"/>
      <c r="QY157" s="172"/>
      <c r="QZ157" s="172"/>
      <c r="RA157" s="172"/>
      <c r="RB157" s="172"/>
      <c r="RC157" s="172"/>
      <c r="RD157" s="172"/>
      <c r="RE157" s="172"/>
      <c r="RF157" s="172"/>
      <c r="RG157" s="172"/>
      <c r="RH157" s="172"/>
      <c r="RI157" s="172"/>
      <c r="RJ157" s="172"/>
      <c r="RK157" s="172"/>
      <c r="RL157" s="172"/>
      <c r="RM157" s="172"/>
      <c r="RN157" s="172"/>
      <c r="RO157" s="172"/>
      <c r="RP157" s="172"/>
      <c r="RQ157" s="172"/>
      <c r="RR157" s="172"/>
      <c r="RS157" s="172"/>
      <c r="RT157" s="172"/>
      <c r="RU157" s="172"/>
      <c r="RV157" s="172"/>
      <c r="RW157" s="172"/>
      <c r="RX157" s="172"/>
      <c r="RY157" s="172"/>
      <c r="RZ157" s="172"/>
      <c r="SA157" s="172"/>
      <c r="SB157" s="172"/>
      <c r="SC157" s="172"/>
      <c r="SD157" s="172"/>
      <c r="SE157" s="172"/>
      <c r="SF157" s="172"/>
      <c r="SG157" s="172"/>
      <c r="SH157" s="172"/>
      <c r="SI157" s="172"/>
      <c r="SJ157" s="172"/>
      <c r="SK157" s="172"/>
      <c r="SL157" s="172"/>
      <c r="SM157" s="172"/>
      <c r="SN157" s="172"/>
      <c r="SO157" s="172"/>
      <c r="SP157" s="172"/>
      <c r="SQ157" s="172"/>
      <c r="SR157" s="172"/>
      <c r="SS157" s="172"/>
      <c r="ST157" s="172"/>
      <c r="SU157" s="172"/>
      <c r="SV157" s="172"/>
      <c r="SW157" s="172"/>
      <c r="SX157" s="172"/>
      <c r="SY157" s="172"/>
      <c r="SZ157" s="172"/>
      <c r="TA157" s="172"/>
      <c r="TB157" s="172"/>
      <c r="TC157" s="172"/>
      <c r="TD157" s="172"/>
      <c r="TE157" s="172"/>
      <c r="TF157" s="172"/>
      <c r="TG157" s="172"/>
      <c r="TH157" s="172"/>
      <c r="TI157" s="172"/>
      <c r="TJ157" s="172"/>
      <c r="TK157" s="172"/>
      <c r="TL157" s="172"/>
      <c r="TM157" s="172"/>
      <c r="TN157" s="172"/>
      <c r="TO157" s="172"/>
      <c r="TP157" s="172"/>
      <c r="TQ157" s="172"/>
      <c r="TR157" s="172"/>
      <c r="TS157" s="172"/>
      <c r="TT157" s="172"/>
      <c r="TU157" s="172"/>
      <c r="TV157" s="172"/>
      <c r="TW157" s="172"/>
      <c r="TX157" s="172"/>
      <c r="TY157" s="172"/>
      <c r="TZ157" s="172"/>
      <c r="UA157" s="172"/>
      <c r="UB157" s="172"/>
      <c r="UC157" s="172"/>
      <c r="UD157" s="172"/>
      <c r="UE157" s="172"/>
      <c r="UF157" s="172"/>
      <c r="UG157" s="172"/>
      <c r="UH157" s="172"/>
      <c r="UI157" s="172"/>
      <c r="UJ157" s="172"/>
      <c r="UK157" s="172"/>
      <c r="UL157" s="172"/>
      <c r="UM157" s="172"/>
      <c r="UN157" s="172"/>
      <c r="UO157" s="172"/>
      <c r="UP157" s="172"/>
      <c r="UQ157" s="172"/>
      <c r="UR157" s="172"/>
      <c r="US157" s="172"/>
      <c r="UT157" s="172"/>
      <c r="UU157" s="172"/>
      <c r="UV157" s="172"/>
      <c r="UW157" s="172"/>
      <c r="UX157" s="172"/>
      <c r="UY157" s="172"/>
      <c r="UZ157" s="172"/>
      <c r="VA157" s="172"/>
      <c r="VB157" s="172"/>
      <c r="VC157" s="172"/>
      <c r="VD157" s="172"/>
      <c r="VE157" s="172"/>
      <c r="VF157" s="172"/>
      <c r="VG157" s="172"/>
      <c r="VH157" s="172"/>
      <c r="VI157" s="172"/>
      <c r="VJ157" s="172"/>
      <c r="VK157" s="172"/>
      <c r="VL157" s="172"/>
      <c r="VM157" s="172"/>
      <c r="VN157" s="172"/>
      <c r="VO157" s="172"/>
      <c r="VP157" s="172"/>
      <c r="VQ157" s="172"/>
      <c r="VR157" s="172"/>
      <c r="VS157" s="172"/>
      <c r="VT157" s="172"/>
      <c r="VU157" s="172"/>
      <c r="VV157" s="172"/>
      <c r="VW157" s="172"/>
      <c r="VX157" s="172"/>
      <c r="VY157" s="172"/>
      <c r="VZ157" s="172"/>
      <c r="WA157" s="172"/>
      <c r="WB157" s="172"/>
      <c r="WC157" s="172"/>
      <c r="WD157" s="172"/>
      <c r="WE157" s="172"/>
      <c r="WF157" s="172"/>
      <c r="WG157" s="172"/>
      <c r="WH157" s="172"/>
      <c r="WI157" s="172"/>
      <c r="WJ157" s="172"/>
      <c r="WK157" s="172"/>
      <c r="WL157" s="172"/>
      <c r="WM157" s="172"/>
      <c r="WN157" s="172"/>
      <c r="WO157" s="172"/>
      <c r="WP157" s="172"/>
      <c r="WQ157" s="172"/>
      <c r="WR157" s="172"/>
      <c r="WS157" s="172"/>
      <c r="WT157" s="172"/>
      <c r="WU157" s="172"/>
      <c r="WV157" s="172"/>
      <c r="WW157" s="172"/>
      <c r="WX157" s="172"/>
      <c r="WY157" s="172"/>
      <c r="WZ157" s="172"/>
      <c r="XA157" s="172"/>
      <c r="XB157" s="172"/>
      <c r="XC157" s="172"/>
      <c r="XD157" s="172"/>
      <c r="XE157" s="172"/>
      <c r="XF157" s="172"/>
      <c r="XG157" s="172"/>
      <c r="XH157" s="172"/>
      <c r="XI157" s="172"/>
      <c r="XJ157" s="172"/>
      <c r="XK157" s="172"/>
      <c r="XL157" s="172"/>
      <c r="XM157" s="172"/>
      <c r="XN157" s="172"/>
      <c r="XO157" s="172"/>
      <c r="XP157" s="172"/>
      <c r="XQ157" s="172"/>
      <c r="XR157" s="172"/>
      <c r="XS157" s="172"/>
      <c r="XT157" s="172"/>
      <c r="XU157" s="172"/>
      <c r="XV157" s="172"/>
      <c r="XW157" s="172"/>
      <c r="XX157" s="172"/>
      <c r="XY157" s="172"/>
      <c r="XZ157" s="172"/>
      <c r="YA157" s="172"/>
      <c r="YB157" s="172"/>
      <c r="YC157" s="172"/>
      <c r="YD157" s="172"/>
      <c r="YE157" s="172"/>
      <c r="YF157" s="172"/>
      <c r="YG157" s="172"/>
      <c r="YH157" s="172"/>
      <c r="YI157" s="172"/>
      <c r="YJ157" s="172"/>
      <c r="YK157" s="172"/>
      <c r="YL157" s="172"/>
      <c r="YM157" s="172"/>
      <c r="YN157" s="172"/>
      <c r="YO157" s="172"/>
      <c r="YP157" s="172"/>
      <c r="YQ157" s="172"/>
      <c r="YR157" s="172"/>
      <c r="YS157" s="172"/>
      <c r="YT157" s="172"/>
      <c r="YU157" s="172"/>
      <c r="YV157" s="172"/>
      <c r="YW157" s="172"/>
      <c r="YX157" s="172"/>
      <c r="YY157" s="172"/>
      <c r="YZ157" s="172"/>
      <c r="ZA157" s="172"/>
      <c r="ZB157" s="172"/>
      <c r="ZC157" s="172"/>
      <c r="ZD157" s="172"/>
      <c r="ZE157" s="172"/>
      <c r="ZF157" s="172"/>
      <c r="ZG157" s="172"/>
      <c r="ZH157" s="172"/>
      <c r="ZI157" s="172"/>
      <c r="ZJ157" s="172"/>
      <c r="ZK157" s="172"/>
      <c r="ZL157" s="172"/>
      <c r="ZM157" s="172"/>
      <c r="ZN157" s="172"/>
      <c r="ZO157" s="172"/>
      <c r="ZP157" s="172"/>
      <c r="ZQ157" s="172"/>
      <c r="ZR157" s="172"/>
      <c r="ZS157" s="172"/>
      <c r="ZT157" s="172"/>
      <c r="ZU157" s="172"/>
      <c r="ZV157" s="172"/>
      <c r="ZW157" s="172"/>
      <c r="ZX157" s="172"/>
      <c r="ZY157" s="172"/>
      <c r="ZZ157" s="172"/>
      <c r="AAA157" s="172"/>
      <c r="AAB157" s="172"/>
      <c r="AAC157" s="172"/>
      <c r="AAD157" s="172"/>
      <c r="AAE157" s="172"/>
      <c r="AAF157" s="172"/>
      <c r="AAG157" s="172"/>
      <c r="AAH157" s="172"/>
      <c r="AAI157" s="172"/>
      <c r="AAJ157" s="172"/>
      <c r="AAK157" s="172"/>
      <c r="AAL157" s="172"/>
      <c r="AAM157" s="172"/>
      <c r="AAN157" s="172"/>
      <c r="AAO157" s="172"/>
      <c r="AAP157" s="172"/>
      <c r="AAQ157" s="172"/>
      <c r="AAR157" s="172"/>
      <c r="AAS157" s="172"/>
      <c r="AAT157" s="172"/>
      <c r="AAU157" s="172"/>
      <c r="AAV157" s="172"/>
      <c r="AAW157" s="172"/>
      <c r="AAX157" s="172"/>
      <c r="AAY157" s="172"/>
      <c r="AAZ157" s="172"/>
      <c r="ABA157" s="172"/>
      <c r="ABB157" s="172"/>
      <c r="ABC157" s="172"/>
      <c r="ABD157" s="172"/>
      <c r="ABE157" s="172"/>
      <c r="ABF157" s="172"/>
      <c r="ABG157" s="172"/>
      <c r="ABH157" s="172"/>
      <c r="ABI157" s="172"/>
      <c r="ABJ157" s="172"/>
      <c r="ABK157" s="172"/>
      <c r="ABL157" s="172"/>
      <c r="ABM157" s="172"/>
      <c r="ABN157" s="172"/>
      <c r="ABO157" s="172"/>
      <c r="ABP157" s="172"/>
      <c r="ABQ157" s="172"/>
      <c r="ABR157" s="172"/>
      <c r="ABS157" s="172"/>
      <c r="ABT157" s="172"/>
      <c r="ABU157" s="172"/>
      <c r="ABV157" s="172"/>
      <c r="ABW157" s="172"/>
      <c r="ABX157" s="172"/>
      <c r="ABY157" s="172"/>
      <c r="ABZ157" s="172"/>
      <c r="ACA157" s="172"/>
      <c r="ACB157" s="172"/>
      <c r="ACC157" s="172"/>
      <c r="ACD157" s="172"/>
      <c r="ACE157" s="172"/>
      <c r="ACF157" s="172"/>
      <c r="ACG157" s="172"/>
      <c r="ACH157" s="172"/>
      <c r="ACI157" s="172"/>
      <c r="ACJ157" s="172"/>
      <c r="ACK157" s="172"/>
      <c r="ACL157" s="172"/>
      <c r="ACM157" s="172"/>
      <c r="ACN157" s="172"/>
      <c r="ACO157" s="172"/>
      <c r="ACP157" s="172"/>
      <c r="ACQ157" s="172"/>
      <c r="ACR157" s="172"/>
      <c r="ACS157" s="172"/>
      <c r="ACT157" s="172"/>
      <c r="ACU157" s="172"/>
      <c r="ACV157" s="172"/>
      <c r="ACW157" s="172"/>
      <c r="ACX157" s="172"/>
      <c r="ACY157" s="172"/>
      <c r="ACZ157" s="172"/>
      <c r="ADA157" s="172"/>
      <c r="ADB157" s="172"/>
      <c r="ADC157" s="172"/>
      <c r="ADD157" s="172"/>
      <c r="ADE157" s="172"/>
      <c r="ADF157" s="172"/>
      <c r="ADG157" s="172"/>
      <c r="ADH157" s="172"/>
      <c r="ADI157" s="172"/>
      <c r="ADJ157" s="172"/>
      <c r="ADK157" s="172"/>
      <c r="ADL157" s="172"/>
      <c r="ADM157" s="172"/>
      <c r="ADN157" s="172"/>
      <c r="ADO157" s="172"/>
      <c r="ADP157" s="172"/>
      <c r="ADQ157" s="172"/>
      <c r="ADR157" s="172"/>
      <c r="ADS157" s="172"/>
      <c r="ADT157" s="172"/>
      <c r="ADU157" s="172"/>
      <c r="ADV157" s="172"/>
      <c r="ADW157" s="172"/>
      <c r="ADX157" s="172"/>
      <c r="ADY157" s="172"/>
      <c r="ADZ157" s="172"/>
      <c r="AEA157" s="172"/>
      <c r="AEB157" s="172"/>
      <c r="AEC157" s="172"/>
      <c r="AED157" s="172"/>
      <c r="AEE157" s="172"/>
      <c r="AEF157" s="172"/>
      <c r="AEG157" s="172"/>
      <c r="AEH157" s="172"/>
      <c r="AEI157" s="172"/>
      <c r="AEJ157" s="172"/>
      <c r="AEK157" s="172"/>
      <c r="AEL157" s="172"/>
      <c r="AEM157" s="172"/>
      <c r="AEN157" s="172"/>
      <c r="AEO157" s="172"/>
      <c r="AEP157" s="172"/>
      <c r="AEQ157" s="172"/>
      <c r="AER157" s="172"/>
      <c r="AES157" s="172"/>
      <c r="AET157" s="172"/>
      <c r="AEU157" s="172"/>
      <c r="AEV157" s="172"/>
      <c r="AEW157" s="172"/>
      <c r="AEX157" s="172"/>
      <c r="AEY157" s="172"/>
      <c r="AEZ157" s="172"/>
      <c r="AFA157" s="172"/>
      <c r="AFB157" s="172"/>
      <c r="AFC157" s="172"/>
      <c r="AFD157" s="172"/>
      <c r="AFE157" s="172"/>
      <c r="AFF157" s="172"/>
      <c r="AFG157" s="172"/>
      <c r="AFH157" s="172"/>
      <c r="AFI157" s="172"/>
      <c r="AFJ157" s="172"/>
      <c r="AFK157" s="172"/>
      <c r="AFL157" s="172"/>
      <c r="AFM157" s="172"/>
      <c r="AFN157" s="172"/>
      <c r="AFO157" s="172"/>
      <c r="AFP157" s="172"/>
      <c r="AFQ157" s="172"/>
      <c r="AFR157" s="172"/>
      <c r="AFS157" s="172"/>
      <c r="AFT157" s="172"/>
      <c r="AFU157" s="172"/>
      <c r="AFV157" s="172"/>
      <c r="AFW157" s="172"/>
      <c r="AFX157" s="172"/>
      <c r="AFY157" s="172"/>
      <c r="AFZ157" s="172"/>
      <c r="AGA157" s="172"/>
      <c r="AGB157" s="172"/>
      <c r="AGC157" s="172"/>
      <c r="AGD157" s="172"/>
      <c r="AGE157" s="172"/>
      <c r="AGF157" s="172"/>
      <c r="AGG157" s="172"/>
      <c r="AGH157" s="172"/>
      <c r="AGI157" s="172"/>
      <c r="AGJ157" s="172"/>
      <c r="AGK157" s="172"/>
      <c r="AGL157" s="172"/>
      <c r="AGM157" s="172"/>
      <c r="AGN157" s="172"/>
      <c r="AGO157" s="172"/>
      <c r="AGP157" s="172"/>
      <c r="AGQ157" s="172"/>
      <c r="AGR157" s="172"/>
      <c r="AGS157" s="172"/>
      <c r="AGT157" s="172"/>
      <c r="AGU157" s="172"/>
      <c r="AGV157" s="172"/>
      <c r="AGW157" s="172"/>
      <c r="AGX157" s="172"/>
      <c r="AGY157" s="172"/>
      <c r="AGZ157" s="172"/>
      <c r="AHA157" s="172"/>
      <c r="AHB157" s="172"/>
      <c r="AHC157" s="172"/>
      <c r="AHD157" s="172"/>
      <c r="AHE157" s="172"/>
      <c r="AHF157" s="172"/>
      <c r="AHG157" s="172"/>
      <c r="AHH157" s="172"/>
      <c r="AHI157" s="172"/>
      <c r="AHJ157" s="172"/>
      <c r="AHK157" s="172"/>
      <c r="AHL157" s="172"/>
      <c r="AHM157" s="172"/>
      <c r="AHN157" s="172"/>
      <c r="AHO157" s="172"/>
      <c r="AHP157" s="172"/>
      <c r="AHQ157" s="172"/>
      <c r="AHR157" s="172"/>
      <c r="AHS157" s="172"/>
      <c r="AHT157" s="172"/>
      <c r="AHU157" s="172"/>
      <c r="AHV157" s="172"/>
      <c r="AHW157" s="172"/>
      <c r="AHX157" s="172"/>
      <c r="AHY157" s="172"/>
      <c r="AHZ157" s="172"/>
      <c r="AIA157" s="172"/>
      <c r="AIB157" s="172"/>
      <c r="AIC157" s="172"/>
      <c r="AID157" s="172"/>
      <c r="AIE157" s="172"/>
      <c r="AIF157" s="172"/>
      <c r="AIG157" s="172"/>
      <c r="AIH157" s="172"/>
      <c r="AII157" s="172"/>
      <c r="AIJ157" s="172"/>
      <c r="AIK157" s="172"/>
      <c r="AIL157" s="172"/>
      <c r="AIM157" s="172"/>
      <c r="AIN157" s="172"/>
      <c r="AIO157" s="172"/>
      <c r="AIP157" s="172"/>
      <c r="AIQ157" s="172"/>
      <c r="AIR157" s="172"/>
      <c r="AIS157" s="172"/>
      <c r="AIT157" s="172"/>
      <c r="AIU157" s="172"/>
      <c r="AIV157" s="172"/>
      <c r="AIW157" s="172"/>
      <c r="AIX157" s="172"/>
      <c r="AIY157" s="172"/>
      <c r="AIZ157" s="172"/>
      <c r="AJA157" s="172"/>
      <c r="AJB157" s="172"/>
      <c r="AJC157" s="172"/>
      <c r="AJD157" s="172"/>
      <c r="AJE157" s="172"/>
      <c r="AJF157" s="172"/>
      <c r="AJG157" s="172"/>
      <c r="AJH157" s="172"/>
      <c r="AJI157" s="172"/>
      <c r="AJJ157" s="172"/>
      <c r="AJK157" s="172"/>
      <c r="AJL157" s="172"/>
      <c r="AJM157" s="172"/>
      <c r="AJN157" s="172"/>
      <c r="AJO157" s="172"/>
      <c r="AJP157" s="172"/>
      <c r="AJQ157" s="172"/>
      <c r="AJR157" s="172"/>
      <c r="AJS157" s="172"/>
      <c r="AJT157" s="172"/>
      <c r="AJU157" s="172"/>
      <c r="AJV157" s="172"/>
      <c r="AJW157" s="172"/>
      <c r="AJX157" s="172"/>
      <c r="AJY157" s="172"/>
      <c r="AJZ157" s="172"/>
      <c r="AKA157" s="172"/>
      <c r="AKB157" s="172"/>
      <c r="AKC157" s="172"/>
      <c r="AKD157" s="172"/>
      <c r="AKE157" s="172"/>
      <c r="AKF157" s="172"/>
      <c r="AKG157" s="172"/>
      <c r="AKH157" s="172"/>
      <c r="AKI157" s="172"/>
      <c r="AKJ157" s="172"/>
      <c r="AKK157" s="172"/>
      <c r="AKL157" s="172"/>
      <c r="AKM157" s="172"/>
      <c r="AKN157" s="172"/>
      <c r="AKO157" s="172"/>
      <c r="AKP157" s="172"/>
      <c r="AKQ157" s="172"/>
      <c r="AKR157" s="172"/>
      <c r="AKS157" s="172"/>
      <c r="AKT157" s="172"/>
      <c r="AKU157" s="172"/>
      <c r="AKV157" s="172"/>
      <c r="AKW157" s="172"/>
      <c r="AKX157" s="172"/>
      <c r="AKY157" s="172"/>
      <c r="AKZ157" s="172"/>
      <c r="ALA157" s="172"/>
      <c r="ALB157" s="172"/>
      <c r="ALC157" s="172"/>
      <c r="ALD157" s="172"/>
      <c r="ALE157" s="172"/>
      <c r="ALF157" s="172"/>
      <c r="ALG157" s="172"/>
      <c r="ALH157" s="172"/>
      <c r="ALI157" s="172"/>
      <c r="ALJ157" s="172"/>
      <c r="ALK157" s="172"/>
      <c r="ALL157" s="172"/>
      <c r="ALM157" s="172"/>
      <c r="ALN157" s="172"/>
      <c r="ALO157" s="172"/>
      <c r="ALP157" s="172"/>
      <c r="ALQ157" s="172"/>
      <c r="ALR157" s="172"/>
      <c r="ALS157" s="172"/>
      <c r="ALT157" s="172"/>
      <c r="ALU157" s="172"/>
      <c r="ALV157" s="172"/>
      <c r="ALW157" s="172"/>
      <c r="ALX157" s="172"/>
      <c r="ALY157" s="172"/>
      <c r="ALZ157" s="172"/>
      <c r="AMA157" s="172"/>
      <c r="AMB157" s="172"/>
      <c r="AMC157" s="172"/>
      <c r="AMD157" s="172"/>
      <c r="AME157" s="172"/>
      <c r="AMF157" s="172"/>
      <c r="AMG157" s="172"/>
      <c r="AMH157" s="172"/>
      <c r="AMI157" s="172"/>
      <c r="AMJ157" s="172"/>
      <c r="AMK157" s="172"/>
      <c r="AML157" s="172"/>
      <c r="AMM157" s="172"/>
      <c r="AMN157" s="172"/>
      <c r="AMO157" s="172"/>
      <c r="AMP157" s="172"/>
      <c r="AMQ157" s="172"/>
      <c r="AMR157" s="172"/>
      <c r="AMS157" s="172"/>
      <c r="AMT157" s="172"/>
      <c r="AMU157" s="172"/>
      <c r="AMV157" s="172"/>
      <c r="AMW157" s="172"/>
      <c r="AMX157" s="172"/>
      <c r="AMY157" s="172"/>
      <c r="AMZ157" s="172"/>
      <c r="ANA157" s="172"/>
      <c r="ANB157" s="172"/>
      <c r="ANC157" s="172"/>
      <c r="AND157" s="172"/>
      <c r="ANE157" s="172"/>
      <c r="ANF157" s="172"/>
      <c r="ANG157" s="172"/>
      <c r="ANH157" s="172"/>
      <c r="ANI157" s="172"/>
      <c r="ANJ157" s="172"/>
      <c r="ANK157" s="172"/>
      <c r="ANL157" s="172"/>
      <c r="ANM157" s="172"/>
      <c r="ANN157" s="172"/>
      <c r="ANO157" s="172"/>
      <c r="ANP157" s="172"/>
      <c r="ANQ157" s="172"/>
      <c r="ANR157" s="172"/>
      <c r="ANS157" s="172"/>
      <c r="ANT157" s="172"/>
      <c r="ANU157" s="172"/>
      <c r="ANV157" s="172"/>
      <c r="ANW157" s="172"/>
      <c r="ANX157" s="172"/>
      <c r="ANY157" s="172"/>
      <c r="ANZ157" s="172"/>
      <c r="AOA157" s="172"/>
      <c r="AOB157" s="172"/>
      <c r="AOC157" s="172"/>
      <c r="AOD157" s="172"/>
      <c r="AOE157" s="172"/>
      <c r="AOF157" s="172"/>
      <c r="AOG157" s="172"/>
      <c r="AOH157" s="172"/>
      <c r="AOI157" s="172"/>
      <c r="AOJ157" s="172"/>
      <c r="AOK157" s="172"/>
      <c r="AOL157" s="172"/>
      <c r="AOM157" s="172"/>
      <c r="AON157" s="172"/>
      <c r="AOO157" s="172"/>
      <c r="AOP157" s="172"/>
      <c r="AOQ157" s="172"/>
      <c r="AOR157" s="172"/>
      <c r="AOS157" s="172"/>
      <c r="AOT157" s="172"/>
      <c r="AOU157" s="172"/>
      <c r="AOV157" s="172"/>
      <c r="AOW157" s="172"/>
      <c r="AOX157" s="172"/>
      <c r="AOY157" s="172"/>
      <c r="AOZ157" s="172"/>
      <c r="APA157" s="172"/>
      <c r="APB157" s="172"/>
      <c r="APC157" s="172"/>
      <c r="APD157" s="172"/>
      <c r="APE157" s="172"/>
      <c r="APF157" s="172"/>
      <c r="APG157" s="172"/>
      <c r="APH157" s="172"/>
      <c r="API157" s="172"/>
      <c r="APJ157" s="172"/>
      <c r="APK157" s="172"/>
      <c r="APL157" s="172"/>
      <c r="APM157" s="172"/>
      <c r="APN157" s="172"/>
      <c r="APO157" s="172"/>
      <c r="APP157" s="172"/>
      <c r="APQ157" s="172"/>
      <c r="APR157" s="172"/>
      <c r="APS157" s="172"/>
      <c r="APT157" s="172"/>
      <c r="APU157" s="172"/>
      <c r="APV157" s="172"/>
      <c r="APW157" s="172"/>
      <c r="APX157" s="172"/>
      <c r="APY157" s="172"/>
      <c r="APZ157" s="172"/>
      <c r="AQA157" s="172"/>
      <c r="AQB157" s="172"/>
      <c r="AQC157" s="172"/>
      <c r="AQD157" s="172"/>
      <c r="AQE157" s="172"/>
      <c r="AQF157" s="172"/>
      <c r="AQG157" s="172"/>
      <c r="AQH157" s="172"/>
      <c r="AQI157" s="172"/>
      <c r="AQJ157" s="172"/>
      <c r="AQK157" s="172"/>
      <c r="AQL157" s="172"/>
      <c r="AQM157" s="172"/>
      <c r="AQN157" s="172"/>
      <c r="AQO157" s="172"/>
      <c r="AQP157" s="172"/>
      <c r="AQQ157" s="172"/>
      <c r="AQR157" s="172"/>
      <c r="AQS157" s="172"/>
      <c r="AQT157" s="172"/>
      <c r="AQU157" s="172"/>
      <c r="AQV157" s="172"/>
      <c r="AQW157" s="172"/>
      <c r="AQX157" s="172"/>
      <c r="AQY157" s="172"/>
      <c r="AQZ157" s="172"/>
      <c r="ARA157" s="172"/>
      <c r="ARB157" s="172"/>
      <c r="ARC157" s="172"/>
      <c r="ARD157" s="172"/>
      <c r="ARE157" s="172"/>
      <c r="ARF157" s="172"/>
      <c r="ARG157" s="172"/>
      <c r="ARH157" s="172"/>
      <c r="ARI157" s="172"/>
      <c r="ARJ157" s="172"/>
      <c r="ARK157" s="172"/>
      <c r="ARL157" s="172"/>
      <c r="ARM157" s="172"/>
      <c r="ARN157" s="172"/>
      <c r="ARO157" s="172"/>
      <c r="ARP157" s="172"/>
      <c r="ARQ157" s="172"/>
      <c r="ARR157" s="172"/>
      <c r="ARS157" s="172"/>
      <c r="ART157" s="172"/>
      <c r="ARU157" s="172"/>
    </row>
    <row r="158" spans="1:1165">
      <c r="A158" s="1515"/>
      <c r="B158" s="1484"/>
      <c r="C158" s="1512"/>
      <c r="D158" s="1512"/>
      <c r="E158" s="1489"/>
      <c r="F158" s="1489"/>
      <c r="G158" s="1489"/>
      <c r="H158" s="1489"/>
      <c r="I158" s="1489"/>
      <c r="J158" s="1489"/>
      <c r="K158" s="1489"/>
      <c r="L158" s="1489"/>
      <c r="M158" s="1489"/>
      <c r="N158" s="1489"/>
      <c r="O158" s="1489"/>
      <c r="P158" s="1489"/>
      <c r="Q158" s="1489"/>
      <c r="R158" s="1489"/>
      <c r="S158" s="1489"/>
      <c r="T158" s="1489"/>
      <c r="U158" s="1513"/>
      <c r="V158" s="1513"/>
      <c r="W158" s="1516"/>
      <c r="X158" s="1489"/>
      <c r="Y158" s="1516"/>
      <c r="Z158" s="1489"/>
      <c r="AA158" s="1516"/>
      <c r="AB158" s="1517"/>
      <c r="AC158" s="1512"/>
      <c r="AD158" s="1512"/>
      <c r="AE158" s="1517"/>
      <c r="AF158" s="1517"/>
      <c r="AG158" s="1517"/>
      <c r="AH158" s="1517"/>
      <c r="AI158" s="1517"/>
      <c r="AJ158" s="1517"/>
      <c r="AK158" s="1517"/>
      <c r="AL158" s="1517"/>
      <c r="AM158" s="1516"/>
      <c r="AN158" s="1516"/>
      <c r="AO158" s="1516"/>
      <c r="AP158" s="1516"/>
      <c r="AQ158" s="1516"/>
      <c r="AR158" s="1516"/>
      <c r="AS158" s="1516"/>
      <c r="AT158" s="1516"/>
      <c r="AU158" s="1516"/>
      <c r="AV158" s="1517"/>
      <c r="AW158" s="1485"/>
      <c r="AX158" s="1485"/>
      <c r="AY158" s="1518"/>
      <c r="AZ158" s="1518"/>
      <c r="BA158" s="1486"/>
      <c r="BB158" s="1485"/>
      <c r="BC158" s="1485"/>
      <c r="BD158" s="1485"/>
      <c r="BE158" s="1485"/>
      <c r="BF158" s="1485"/>
      <c r="BG158" s="1485"/>
      <c r="BH158" s="1485"/>
      <c r="BI158" s="1486"/>
      <c r="BJ158" s="1485"/>
      <c r="BK158" s="1485"/>
      <c r="BL158" s="172"/>
      <c r="BM158" s="231"/>
      <c r="BP158" s="231"/>
    </row>
    <row r="159" spans="1:1165">
      <c r="A159" s="194" t="s">
        <v>256</v>
      </c>
      <c r="B159" s="195" t="s">
        <v>87</v>
      </c>
      <c r="C159" s="284">
        <f>1933359+2254+5135</f>
        <v>1940748</v>
      </c>
      <c r="D159" s="284">
        <f>41514513+90860+81538</f>
        <v>41686911</v>
      </c>
      <c r="E159" s="258">
        <v>1693</v>
      </c>
      <c r="F159" s="258">
        <v>36738</v>
      </c>
      <c r="G159" s="258">
        <v>1196</v>
      </c>
      <c r="H159" s="258">
        <v>29885</v>
      </c>
      <c r="I159" s="258">
        <v>74</v>
      </c>
      <c r="J159" s="258">
        <v>1852</v>
      </c>
      <c r="K159" s="258">
        <v>0</v>
      </c>
      <c r="L159" s="258">
        <v>0</v>
      </c>
      <c r="M159" s="258">
        <v>0</v>
      </c>
      <c r="N159" s="258">
        <v>0</v>
      </c>
      <c r="O159" s="284">
        <v>0</v>
      </c>
      <c r="P159" s="284">
        <v>0</v>
      </c>
      <c r="Q159" s="284">
        <v>0</v>
      </c>
      <c r="R159" s="284">
        <v>0</v>
      </c>
      <c r="S159" s="284">
        <v>0</v>
      </c>
      <c r="T159" s="284">
        <v>0</v>
      </c>
      <c r="U159" s="284">
        <v>0</v>
      </c>
      <c r="V159" s="284">
        <v>0</v>
      </c>
      <c r="W159" s="284">
        <v>11375</v>
      </c>
      <c r="X159" s="284">
        <v>50000</v>
      </c>
      <c r="Y159" s="284">
        <v>364577</v>
      </c>
      <c r="Z159" s="284">
        <v>57927462</v>
      </c>
      <c r="AA159" s="302">
        <v>209640</v>
      </c>
      <c r="AB159" s="302">
        <v>37774547</v>
      </c>
      <c r="AC159" s="258">
        <v>402844</v>
      </c>
      <c r="AD159" s="258">
        <v>72200142</v>
      </c>
      <c r="AE159" s="302">
        <v>247858</v>
      </c>
      <c r="AF159" s="302">
        <v>43403053</v>
      </c>
      <c r="AG159" s="288">
        <v>202523</v>
      </c>
      <c r="AH159" s="288">
        <v>22742452</v>
      </c>
      <c r="AI159" s="288">
        <v>227900</v>
      </c>
      <c r="AJ159" s="288">
        <v>28424450</v>
      </c>
      <c r="AK159" s="288">
        <v>296807</v>
      </c>
      <c r="AL159" s="288">
        <v>32668655</v>
      </c>
      <c r="AM159" s="261">
        <v>176990</v>
      </c>
      <c r="AN159" s="261">
        <v>22153201</v>
      </c>
      <c r="AO159" s="288">
        <v>79430</v>
      </c>
      <c r="AP159" s="288">
        <v>8129205</v>
      </c>
      <c r="AQ159" s="288">
        <v>108155</v>
      </c>
      <c r="AR159" s="288">
        <v>13201137</v>
      </c>
      <c r="AS159" s="288">
        <v>259536</v>
      </c>
      <c r="AT159" s="288">
        <v>33614116</v>
      </c>
      <c r="AU159" s="302">
        <v>498603</v>
      </c>
      <c r="AV159" s="302">
        <v>76091438</v>
      </c>
      <c r="AW159" s="302">
        <v>578388</v>
      </c>
      <c r="AX159" s="302">
        <v>75626451</v>
      </c>
      <c r="AY159" s="258">
        <v>587836</v>
      </c>
      <c r="AZ159" s="258">
        <v>65180987</v>
      </c>
      <c r="BA159" s="285"/>
      <c r="BB159" s="258"/>
      <c r="BC159" s="288"/>
      <c r="BD159" s="258"/>
      <c r="BE159" s="288"/>
      <c r="BF159" s="291"/>
      <c r="BG159" s="291"/>
      <c r="BH159" s="291"/>
      <c r="BI159" s="288"/>
      <c r="BJ159" s="258">
        <f>C159+G159+I159+K159+M159+O159+Q159+S159+U159+W159+Y159+AA159+AC159+AE159+AG159+AI159+AK159+AM159+AO159+AQ159+AS159+AU159+AW159+AY159+BB159+BF159</f>
        <v>6194480</v>
      </c>
      <c r="BK159" s="258">
        <f>D159+H159+J159+L159+N159+P159+R159+T159+V159+X159+Z159+AB159+AD159+AF159+AH159+AJ159+AL159+AN159+AP159+AR159+AT159+AV159+AX159+AZ159+BD159+BH159</f>
        <v>630905944</v>
      </c>
      <c r="BL159" s="172"/>
      <c r="BM159" s="231"/>
      <c r="BN159" s="231"/>
      <c r="BP159" s="231"/>
    </row>
    <row r="160" spans="1:1165">
      <c r="A160" s="194"/>
      <c r="B160" s="195"/>
      <c r="C160" s="284"/>
      <c r="D160" s="284"/>
      <c r="E160" s="258"/>
      <c r="F160" s="258"/>
      <c r="G160" s="258"/>
      <c r="H160" s="258"/>
      <c r="I160" s="258"/>
      <c r="J160" s="258"/>
      <c r="K160" s="258"/>
      <c r="L160" s="258"/>
      <c r="M160" s="258"/>
      <c r="N160" s="258"/>
      <c r="O160" s="284"/>
      <c r="P160" s="284"/>
      <c r="Q160" s="284"/>
      <c r="R160" s="284"/>
      <c r="S160" s="284"/>
      <c r="T160" s="284"/>
      <c r="U160" s="284"/>
      <c r="V160" s="284"/>
      <c r="W160" s="284"/>
      <c r="X160" s="284"/>
      <c r="Y160" s="284"/>
      <c r="Z160" s="284"/>
      <c r="AA160" s="302"/>
      <c r="AB160" s="302"/>
      <c r="AC160" s="258"/>
      <c r="AD160" s="258"/>
      <c r="AE160" s="302"/>
      <c r="AF160" s="302"/>
      <c r="AG160" s="288"/>
      <c r="AH160" s="288"/>
      <c r="AI160" s="288"/>
      <c r="AJ160" s="288"/>
      <c r="AK160" s="288"/>
      <c r="AL160" s="288"/>
      <c r="AM160" s="261"/>
      <c r="AN160" s="261"/>
      <c r="AO160" s="288"/>
      <c r="AP160" s="288"/>
      <c r="AQ160" s="288"/>
      <c r="AR160" s="288"/>
      <c r="AS160" s="288"/>
      <c r="AT160" s="288"/>
      <c r="AU160" s="302"/>
      <c r="AV160" s="302"/>
      <c r="AW160" s="286"/>
      <c r="AX160" s="286"/>
      <c r="AY160" s="1186"/>
      <c r="AZ160" s="1186"/>
      <c r="BA160" s="285"/>
      <c r="BB160" s="286"/>
      <c r="BC160" s="286"/>
      <c r="BD160" s="286"/>
      <c r="BE160" s="286"/>
      <c r="BF160" s="286"/>
      <c r="BG160" s="286"/>
      <c r="BH160" s="286"/>
      <c r="BI160" s="285"/>
      <c r="BJ160" s="286"/>
      <c r="BK160" s="286"/>
      <c r="BL160" s="172"/>
      <c r="BM160" s="231"/>
      <c r="BN160" s="231"/>
      <c r="BP160" s="231"/>
    </row>
    <row r="161" spans="1:1165" s="257" customFormat="1">
      <c r="A161" s="1483" t="s">
        <v>257</v>
      </c>
      <c r="B161" s="1511" t="s">
        <v>87</v>
      </c>
      <c r="C161" s="1512">
        <v>79</v>
      </c>
      <c r="D161" s="1512">
        <v>1730</v>
      </c>
      <c r="E161" s="1512">
        <v>0</v>
      </c>
      <c r="F161" s="1512">
        <v>0</v>
      </c>
      <c r="G161" s="1512">
        <v>0</v>
      </c>
      <c r="H161" s="1512">
        <v>0</v>
      </c>
      <c r="I161" s="1512">
        <v>0</v>
      </c>
      <c r="J161" s="1512">
        <v>0</v>
      </c>
      <c r="K161" s="1512">
        <v>0</v>
      </c>
      <c r="L161" s="1512">
        <v>0</v>
      </c>
      <c r="M161" s="1512">
        <v>16729</v>
      </c>
      <c r="N161" s="1512">
        <v>215936</v>
      </c>
      <c r="O161" s="1489">
        <v>0</v>
      </c>
      <c r="P161" s="1489">
        <v>0</v>
      </c>
      <c r="Q161" s="1489">
        <v>0</v>
      </c>
      <c r="R161" s="1489">
        <v>0</v>
      </c>
      <c r="S161" s="1489">
        <v>0</v>
      </c>
      <c r="T161" s="1489">
        <v>0</v>
      </c>
      <c r="U161" s="1489">
        <v>0</v>
      </c>
      <c r="V161" s="1489">
        <v>0</v>
      </c>
      <c r="W161" s="1489">
        <v>0</v>
      </c>
      <c r="X161" s="1489">
        <v>0</v>
      </c>
      <c r="Y161" s="1489">
        <v>0</v>
      </c>
      <c r="Z161" s="1489">
        <v>0</v>
      </c>
      <c r="AA161" s="1489">
        <v>0</v>
      </c>
      <c r="AB161" s="1489">
        <v>0</v>
      </c>
      <c r="AC161" s="1489">
        <v>0</v>
      </c>
      <c r="AD161" s="1489">
        <v>0</v>
      </c>
      <c r="AE161" s="1489">
        <v>0</v>
      </c>
      <c r="AF161" s="1489">
        <v>0</v>
      </c>
      <c r="AG161" s="1489">
        <v>0</v>
      </c>
      <c r="AH161" s="1489">
        <v>0</v>
      </c>
      <c r="AI161" s="1489">
        <v>0</v>
      </c>
      <c r="AJ161" s="1489">
        <v>0</v>
      </c>
      <c r="AK161" s="1489">
        <v>0</v>
      </c>
      <c r="AL161" s="1489">
        <v>0</v>
      </c>
      <c r="AM161" s="1489">
        <v>0</v>
      </c>
      <c r="AN161" s="1489">
        <v>0</v>
      </c>
      <c r="AO161" s="1489">
        <v>0</v>
      </c>
      <c r="AP161" s="1489">
        <v>0</v>
      </c>
      <c r="AQ161" s="1489">
        <v>0</v>
      </c>
      <c r="AR161" s="1489">
        <v>0</v>
      </c>
      <c r="AS161" s="1489">
        <v>0</v>
      </c>
      <c r="AT161" s="1489">
        <v>0</v>
      </c>
      <c r="AU161" s="1489">
        <v>0</v>
      </c>
      <c r="AV161" s="1489">
        <v>0</v>
      </c>
      <c r="AW161" s="1512">
        <v>0</v>
      </c>
      <c r="AX161" s="1512">
        <v>0</v>
      </c>
      <c r="AY161" s="1512">
        <v>0</v>
      </c>
      <c r="AZ161" s="1512">
        <v>0</v>
      </c>
      <c r="BA161" s="1513"/>
      <c r="BB161" s="1512"/>
      <c r="BC161" s="1512"/>
      <c r="BD161" s="1512"/>
      <c r="BE161" s="1512"/>
      <c r="BF161" s="1512"/>
      <c r="BG161" s="1512"/>
      <c r="BH161" s="1512"/>
      <c r="BI161" s="1512"/>
      <c r="BJ161" s="1512">
        <f>C161+G161+I161+K161+M161+O161+Q161+S161+U161+W161+Y161+AA161+AC161+AE161+AG161+AI161+AK161+AM161+AO161+AQ161+AS161+AU161+AW161+AY161+BB161+BF161</f>
        <v>16808</v>
      </c>
      <c r="BK161" s="1514">
        <f>D161+H161+J161+L161+N161+P161+R161+T161+V161+X161+Z161+AB161+AD161+AF161+AH161+AJ161+AL161+AN161+AP161+AR161+AT161+AV161+AX161+AZ161+BD161+BH161</f>
        <v>217666</v>
      </c>
      <c r="BL161" s="172"/>
      <c r="BM161" s="231"/>
      <c r="BN161" s="172"/>
      <c r="BO161" s="172"/>
      <c r="BP161" s="231"/>
      <c r="BQ161" s="172"/>
      <c r="BR161" s="172"/>
      <c r="BS161" s="172"/>
      <c r="BT161" s="172"/>
      <c r="BU161" s="172"/>
      <c r="BV161" s="172"/>
      <c r="BW161" s="172"/>
      <c r="BX161" s="172"/>
      <c r="BY161" s="172"/>
      <c r="BZ161" s="172"/>
      <c r="CA161" s="172"/>
      <c r="CB161" s="172"/>
      <c r="CC161" s="172"/>
      <c r="CD161" s="172"/>
      <c r="CE161" s="172"/>
      <c r="CF161" s="172"/>
      <c r="CG161" s="172"/>
      <c r="CH161" s="172"/>
      <c r="CI161" s="172"/>
      <c r="CJ161" s="172"/>
      <c r="CK161" s="172"/>
      <c r="CL161" s="172"/>
      <c r="CM161" s="172"/>
      <c r="CN161" s="172"/>
      <c r="CO161" s="172"/>
      <c r="CP161" s="172"/>
      <c r="CQ161" s="172"/>
      <c r="CR161" s="172"/>
      <c r="CS161" s="172"/>
      <c r="CT161" s="172"/>
      <c r="CU161" s="172"/>
      <c r="CV161" s="172"/>
      <c r="CW161" s="172"/>
      <c r="CX161" s="172"/>
      <c r="CY161" s="172"/>
      <c r="CZ161" s="172"/>
      <c r="DA161" s="172"/>
      <c r="DB161" s="172"/>
      <c r="DC161" s="172"/>
      <c r="DD161" s="172"/>
      <c r="DE161" s="172"/>
      <c r="DF161" s="172"/>
      <c r="DG161" s="172"/>
      <c r="DH161" s="172"/>
      <c r="DI161" s="172"/>
      <c r="DJ161" s="172"/>
      <c r="DK161" s="172"/>
      <c r="DL161" s="172"/>
      <c r="DM161" s="172"/>
      <c r="DN161" s="172"/>
      <c r="DO161" s="172"/>
      <c r="DP161" s="172"/>
      <c r="DQ161" s="172"/>
      <c r="DR161" s="172"/>
      <c r="DS161" s="172"/>
      <c r="DT161" s="172"/>
      <c r="DU161" s="172"/>
      <c r="DV161" s="172"/>
      <c r="DW161" s="172"/>
      <c r="DX161" s="172"/>
      <c r="DY161" s="172"/>
      <c r="DZ161" s="172"/>
      <c r="EA161" s="172"/>
      <c r="EB161" s="172"/>
      <c r="EC161" s="172"/>
      <c r="ED161" s="172"/>
      <c r="EE161" s="172"/>
      <c r="EF161" s="172"/>
      <c r="EG161" s="172"/>
      <c r="EH161" s="172"/>
      <c r="EI161" s="172"/>
      <c r="EJ161" s="172"/>
      <c r="EK161" s="172"/>
      <c r="EL161" s="172"/>
      <c r="EM161" s="172"/>
      <c r="EN161" s="172"/>
      <c r="EO161" s="172"/>
      <c r="EP161" s="172"/>
      <c r="EQ161" s="172"/>
      <c r="ER161" s="172"/>
      <c r="ES161" s="172"/>
      <c r="ET161" s="172"/>
      <c r="EU161" s="172"/>
      <c r="EV161" s="172"/>
      <c r="EW161" s="172"/>
      <c r="EX161" s="172"/>
      <c r="EY161" s="172"/>
      <c r="EZ161" s="172"/>
      <c r="FA161" s="172"/>
      <c r="FB161" s="172"/>
      <c r="FC161" s="172"/>
      <c r="FD161" s="172"/>
      <c r="FE161" s="172"/>
      <c r="FF161" s="172"/>
      <c r="FG161" s="172"/>
      <c r="FH161" s="172"/>
      <c r="FI161" s="172"/>
      <c r="FJ161" s="172"/>
      <c r="FK161" s="172"/>
      <c r="FL161" s="172"/>
      <c r="FM161" s="172"/>
      <c r="FN161" s="172"/>
      <c r="FO161" s="172"/>
      <c r="FP161" s="172"/>
      <c r="FQ161" s="172"/>
      <c r="FR161" s="172"/>
      <c r="FS161" s="172"/>
      <c r="FT161" s="172"/>
      <c r="FU161" s="172"/>
      <c r="FV161" s="172"/>
      <c r="FW161" s="172"/>
      <c r="FX161" s="172"/>
      <c r="FY161" s="172"/>
      <c r="FZ161" s="172"/>
      <c r="GA161" s="172"/>
      <c r="GB161" s="172"/>
      <c r="GC161" s="172"/>
      <c r="GD161" s="172"/>
      <c r="GE161" s="172"/>
      <c r="GF161" s="172"/>
      <c r="GG161" s="172"/>
      <c r="GH161" s="172"/>
      <c r="GI161" s="172"/>
      <c r="GJ161" s="172"/>
      <c r="GK161" s="172"/>
      <c r="GL161" s="172"/>
      <c r="GM161" s="172"/>
      <c r="GN161" s="172"/>
      <c r="GO161" s="172"/>
      <c r="GP161" s="172"/>
      <c r="GQ161" s="172"/>
      <c r="GR161" s="172"/>
      <c r="GS161" s="172"/>
      <c r="GT161" s="172"/>
      <c r="GU161" s="172"/>
      <c r="GV161" s="172"/>
      <c r="GW161" s="172"/>
      <c r="GX161" s="172"/>
      <c r="GY161" s="172"/>
      <c r="GZ161" s="172"/>
      <c r="HA161" s="172"/>
      <c r="HB161" s="172"/>
      <c r="HC161" s="172"/>
      <c r="HD161" s="172"/>
      <c r="HE161" s="172"/>
      <c r="HF161" s="172"/>
      <c r="HG161" s="172"/>
      <c r="HH161" s="172"/>
      <c r="HI161" s="172"/>
      <c r="HJ161" s="172"/>
      <c r="HK161" s="172"/>
      <c r="HL161" s="172"/>
      <c r="HM161" s="172"/>
      <c r="HN161" s="172"/>
      <c r="HO161" s="172"/>
      <c r="HP161" s="172"/>
      <c r="HQ161" s="172"/>
      <c r="HR161" s="172"/>
      <c r="HS161" s="172"/>
      <c r="HT161" s="172"/>
      <c r="HU161" s="172"/>
      <c r="HV161" s="172"/>
      <c r="HW161" s="172"/>
      <c r="HX161" s="172"/>
      <c r="HY161" s="172"/>
      <c r="HZ161" s="172"/>
      <c r="IA161" s="172"/>
      <c r="IB161" s="172"/>
      <c r="IC161" s="172"/>
      <c r="ID161" s="172"/>
      <c r="IE161" s="172"/>
      <c r="IF161" s="172"/>
      <c r="IG161" s="172"/>
      <c r="IH161" s="172"/>
      <c r="II161" s="172"/>
      <c r="IJ161" s="172"/>
      <c r="IK161" s="172"/>
      <c r="IL161" s="172"/>
      <c r="IM161" s="172"/>
      <c r="IN161" s="172"/>
      <c r="IO161" s="172"/>
      <c r="IP161" s="172"/>
      <c r="IQ161" s="172"/>
      <c r="IR161" s="172"/>
      <c r="IS161" s="172"/>
      <c r="IT161" s="172"/>
      <c r="IU161" s="172"/>
      <c r="IV161" s="172"/>
      <c r="IW161" s="172"/>
      <c r="IX161" s="172"/>
      <c r="IY161" s="172"/>
      <c r="IZ161" s="172"/>
      <c r="JA161" s="172"/>
      <c r="JB161" s="172"/>
      <c r="JC161" s="172"/>
      <c r="JD161" s="172"/>
      <c r="JE161" s="172"/>
      <c r="JF161" s="172"/>
      <c r="JG161" s="172"/>
      <c r="JH161" s="172"/>
      <c r="JI161" s="172"/>
      <c r="JJ161" s="172"/>
      <c r="JK161" s="172"/>
      <c r="JL161" s="172"/>
      <c r="JM161" s="172"/>
      <c r="JN161" s="172"/>
      <c r="JO161" s="172"/>
      <c r="JP161" s="172"/>
      <c r="JQ161" s="172"/>
      <c r="JR161" s="172"/>
      <c r="JS161" s="172"/>
      <c r="JT161" s="172"/>
      <c r="JU161" s="172"/>
      <c r="JV161" s="172"/>
      <c r="JW161" s="172"/>
      <c r="JX161" s="172"/>
      <c r="JY161" s="172"/>
      <c r="JZ161" s="172"/>
      <c r="KA161" s="172"/>
      <c r="KB161" s="172"/>
      <c r="KC161" s="172"/>
      <c r="KD161" s="172"/>
      <c r="KE161" s="172"/>
      <c r="KF161" s="172"/>
      <c r="KG161" s="172"/>
      <c r="KH161" s="172"/>
      <c r="KI161" s="172"/>
      <c r="KJ161" s="172"/>
      <c r="KK161" s="172"/>
      <c r="KL161" s="172"/>
      <c r="KM161" s="172"/>
      <c r="KN161" s="172"/>
      <c r="KO161" s="172"/>
      <c r="KP161" s="172"/>
      <c r="KQ161" s="172"/>
      <c r="KR161" s="172"/>
      <c r="KS161" s="172"/>
      <c r="KT161" s="172"/>
      <c r="KU161" s="172"/>
      <c r="KV161" s="172"/>
      <c r="KW161" s="172"/>
      <c r="KX161" s="172"/>
      <c r="KY161" s="172"/>
      <c r="KZ161" s="172"/>
      <c r="LA161" s="172"/>
      <c r="LB161" s="172"/>
      <c r="LC161" s="172"/>
      <c r="LD161" s="172"/>
      <c r="LE161" s="172"/>
      <c r="LF161" s="172"/>
      <c r="LG161" s="172"/>
      <c r="LH161" s="172"/>
      <c r="LI161" s="172"/>
      <c r="LJ161" s="172"/>
      <c r="LK161" s="172"/>
      <c r="LL161" s="172"/>
      <c r="LM161" s="172"/>
      <c r="LN161" s="172"/>
      <c r="LO161" s="172"/>
      <c r="LP161" s="172"/>
      <c r="LQ161" s="172"/>
      <c r="LR161" s="172"/>
      <c r="LS161" s="172"/>
      <c r="LT161" s="172"/>
      <c r="LU161" s="172"/>
      <c r="LV161" s="172"/>
      <c r="LW161" s="172"/>
      <c r="LX161" s="172"/>
      <c r="LY161" s="172"/>
      <c r="LZ161" s="172"/>
      <c r="MA161" s="172"/>
      <c r="MB161" s="172"/>
      <c r="MC161" s="172"/>
      <c r="MD161" s="172"/>
      <c r="ME161" s="172"/>
      <c r="MF161" s="172"/>
      <c r="MG161" s="172"/>
      <c r="MH161" s="172"/>
      <c r="MI161" s="172"/>
      <c r="MJ161" s="172"/>
      <c r="MK161" s="172"/>
      <c r="ML161" s="172"/>
      <c r="MM161" s="172"/>
      <c r="MN161" s="172"/>
      <c r="MO161" s="172"/>
      <c r="MP161" s="172"/>
      <c r="MQ161" s="172"/>
      <c r="MR161" s="172"/>
      <c r="MS161" s="172"/>
      <c r="MT161" s="172"/>
      <c r="MU161" s="172"/>
      <c r="MV161" s="172"/>
      <c r="MW161" s="172"/>
      <c r="MX161" s="172"/>
      <c r="MY161" s="172"/>
      <c r="MZ161" s="172"/>
      <c r="NA161" s="172"/>
      <c r="NB161" s="172"/>
      <c r="NC161" s="172"/>
      <c r="ND161" s="172"/>
      <c r="NE161" s="172"/>
      <c r="NF161" s="172"/>
      <c r="NG161" s="172"/>
      <c r="NH161" s="172"/>
      <c r="NI161" s="172"/>
      <c r="NJ161" s="172"/>
      <c r="NK161" s="172"/>
      <c r="NL161" s="172"/>
      <c r="NM161" s="172"/>
      <c r="NN161" s="172"/>
      <c r="NO161" s="172"/>
      <c r="NP161" s="172"/>
      <c r="NQ161" s="172"/>
      <c r="NR161" s="172"/>
      <c r="NS161" s="172"/>
      <c r="NT161" s="172"/>
      <c r="NU161" s="172"/>
      <c r="NV161" s="172"/>
      <c r="NW161" s="172"/>
      <c r="NX161" s="172"/>
      <c r="NY161" s="172"/>
      <c r="NZ161" s="172"/>
      <c r="OA161" s="172"/>
      <c r="OB161" s="172"/>
      <c r="OC161" s="172"/>
      <c r="OD161" s="172"/>
      <c r="OE161" s="172"/>
      <c r="OF161" s="172"/>
      <c r="OG161" s="172"/>
      <c r="OH161" s="172"/>
      <c r="OI161" s="172"/>
      <c r="OJ161" s="172"/>
      <c r="OK161" s="172"/>
      <c r="OL161" s="172"/>
      <c r="OM161" s="172"/>
      <c r="ON161" s="172"/>
      <c r="OO161" s="172"/>
      <c r="OP161" s="172"/>
      <c r="OQ161" s="172"/>
      <c r="OR161" s="172"/>
      <c r="OS161" s="172"/>
      <c r="OT161" s="172"/>
      <c r="OU161" s="172"/>
      <c r="OV161" s="172"/>
      <c r="OW161" s="172"/>
      <c r="OX161" s="172"/>
      <c r="OY161" s="172"/>
      <c r="OZ161" s="172"/>
      <c r="PA161" s="172"/>
      <c r="PB161" s="172"/>
      <c r="PC161" s="172"/>
      <c r="PD161" s="172"/>
      <c r="PE161" s="172"/>
      <c r="PF161" s="172"/>
      <c r="PG161" s="172"/>
      <c r="PH161" s="172"/>
      <c r="PI161" s="172"/>
      <c r="PJ161" s="172"/>
      <c r="PK161" s="172"/>
      <c r="PL161" s="172"/>
      <c r="PM161" s="172"/>
      <c r="PN161" s="172"/>
      <c r="PO161" s="172"/>
      <c r="PP161" s="172"/>
      <c r="PQ161" s="172"/>
      <c r="PR161" s="172"/>
      <c r="PS161" s="172"/>
      <c r="PT161" s="172"/>
      <c r="PU161" s="172"/>
      <c r="PV161" s="172"/>
      <c r="PW161" s="172"/>
      <c r="PX161" s="172"/>
      <c r="PY161" s="172"/>
      <c r="PZ161" s="172"/>
      <c r="QA161" s="172"/>
      <c r="QB161" s="172"/>
      <c r="QC161" s="172"/>
      <c r="QD161" s="172"/>
      <c r="QE161" s="172"/>
      <c r="QF161" s="172"/>
      <c r="QG161" s="172"/>
      <c r="QH161" s="172"/>
      <c r="QI161" s="172"/>
      <c r="QJ161" s="172"/>
      <c r="QK161" s="172"/>
      <c r="QL161" s="172"/>
      <c r="QM161" s="172"/>
      <c r="QN161" s="172"/>
      <c r="QO161" s="172"/>
      <c r="QP161" s="172"/>
      <c r="QQ161" s="172"/>
      <c r="QR161" s="172"/>
      <c r="QS161" s="172"/>
      <c r="QT161" s="172"/>
      <c r="QU161" s="172"/>
      <c r="QV161" s="172"/>
      <c r="QW161" s="172"/>
      <c r="QX161" s="172"/>
      <c r="QY161" s="172"/>
      <c r="QZ161" s="172"/>
      <c r="RA161" s="172"/>
      <c r="RB161" s="172"/>
      <c r="RC161" s="172"/>
      <c r="RD161" s="172"/>
      <c r="RE161" s="172"/>
      <c r="RF161" s="172"/>
      <c r="RG161" s="172"/>
      <c r="RH161" s="172"/>
      <c r="RI161" s="172"/>
      <c r="RJ161" s="172"/>
      <c r="RK161" s="172"/>
      <c r="RL161" s="172"/>
      <c r="RM161" s="172"/>
      <c r="RN161" s="172"/>
      <c r="RO161" s="172"/>
      <c r="RP161" s="172"/>
      <c r="RQ161" s="172"/>
      <c r="RR161" s="172"/>
      <c r="RS161" s="172"/>
      <c r="RT161" s="172"/>
      <c r="RU161" s="172"/>
      <c r="RV161" s="172"/>
      <c r="RW161" s="172"/>
      <c r="RX161" s="172"/>
      <c r="RY161" s="172"/>
      <c r="RZ161" s="172"/>
      <c r="SA161" s="172"/>
      <c r="SB161" s="172"/>
      <c r="SC161" s="172"/>
      <c r="SD161" s="172"/>
      <c r="SE161" s="172"/>
      <c r="SF161" s="172"/>
      <c r="SG161" s="172"/>
      <c r="SH161" s="172"/>
      <c r="SI161" s="172"/>
      <c r="SJ161" s="172"/>
      <c r="SK161" s="172"/>
      <c r="SL161" s="172"/>
      <c r="SM161" s="172"/>
      <c r="SN161" s="172"/>
      <c r="SO161" s="172"/>
      <c r="SP161" s="172"/>
      <c r="SQ161" s="172"/>
      <c r="SR161" s="172"/>
      <c r="SS161" s="172"/>
      <c r="ST161" s="172"/>
      <c r="SU161" s="172"/>
      <c r="SV161" s="172"/>
      <c r="SW161" s="172"/>
      <c r="SX161" s="172"/>
      <c r="SY161" s="172"/>
      <c r="SZ161" s="172"/>
      <c r="TA161" s="172"/>
      <c r="TB161" s="172"/>
      <c r="TC161" s="172"/>
      <c r="TD161" s="172"/>
      <c r="TE161" s="172"/>
      <c r="TF161" s="172"/>
      <c r="TG161" s="172"/>
      <c r="TH161" s="172"/>
      <c r="TI161" s="172"/>
      <c r="TJ161" s="172"/>
      <c r="TK161" s="172"/>
      <c r="TL161" s="172"/>
      <c r="TM161" s="172"/>
      <c r="TN161" s="172"/>
      <c r="TO161" s="172"/>
      <c r="TP161" s="172"/>
      <c r="TQ161" s="172"/>
      <c r="TR161" s="172"/>
      <c r="TS161" s="172"/>
      <c r="TT161" s="172"/>
      <c r="TU161" s="172"/>
      <c r="TV161" s="172"/>
      <c r="TW161" s="172"/>
      <c r="TX161" s="172"/>
      <c r="TY161" s="172"/>
      <c r="TZ161" s="172"/>
      <c r="UA161" s="172"/>
      <c r="UB161" s="172"/>
      <c r="UC161" s="172"/>
      <c r="UD161" s="172"/>
      <c r="UE161" s="172"/>
      <c r="UF161" s="172"/>
      <c r="UG161" s="172"/>
      <c r="UH161" s="172"/>
      <c r="UI161" s="172"/>
      <c r="UJ161" s="172"/>
      <c r="UK161" s="172"/>
      <c r="UL161" s="172"/>
      <c r="UM161" s="172"/>
      <c r="UN161" s="172"/>
      <c r="UO161" s="172"/>
      <c r="UP161" s="172"/>
      <c r="UQ161" s="172"/>
      <c r="UR161" s="172"/>
      <c r="US161" s="172"/>
      <c r="UT161" s="172"/>
      <c r="UU161" s="172"/>
      <c r="UV161" s="172"/>
      <c r="UW161" s="172"/>
      <c r="UX161" s="172"/>
      <c r="UY161" s="172"/>
      <c r="UZ161" s="172"/>
      <c r="VA161" s="172"/>
      <c r="VB161" s="172"/>
      <c r="VC161" s="172"/>
      <c r="VD161" s="172"/>
      <c r="VE161" s="172"/>
      <c r="VF161" s="172"/>
      <c r="VG161" s="172"/>
      <c r="VH161" s="172"/>
      <c r="VI161" s="172"/>
      <c r="VJ161" s="172"/>
      <c r="VK161" s="172"/>
      <c r="VL161" s="172"/>
      <c r="VM161" s="172"/>
      <c r="VN161" s="172"/>
      <c r="VO161" s="172"/>
      <c r="VP161" s="172"/>
      <c r="VQ161" s="172"/>
      <c r="VR161" s="172"/>
      <c r="VS161" s="172"/>
      <c r="VT161" s="172"/>
      <c r="VU161" s="172"/>
      <c r="VV161" s="172"/>
      <c r="VW161" s="172"/>
      <c r="VX161" s="172"/>
      <c r="VY161" s="172"/>
      <c r="VZ161" s="172"/>
      <c r="WA161" s="172"/>
      <c r="WB161" s="172"/>
      <c r="WC161" s="172"/>
      <c r="WD161" s="172"/>
      <c r="WE161" s="172"/>
      <c r="WF161" s="172"/>
      <c r="WG161" s="172"/>
      <c r="WH161" s="172"/>
      <c r="WI161" s="172"/>
      <c r="WJ161" s="172"/>
      <c r="WK161" s="172"/>
      <c r="WL161" s="172"/>
      <c r="WM161" s="172"/>
      <c r="WN161" s="172"/>
      <c r="WO161" s="172"/>
      <c r="WP161" s="172"/>
      <c r="WQ161" s="172"/>
      <c r="WR161" s="172"/>
      <c r="WS161" s="172"/>
      <c r="WT161" s="172"/>
      <c r="WU161" s="172"/>
      <c r="WV161" s="172"/>
      <c r="WW161" s="172"/>
      <c r="WX161" s="172"/>
      <c r="WY161" s="172"/>
      <c r="WZ161" s="172"/>
      <c r="XA161" s="172"/>
      <c r="XB161" s="172"/>
      <c r="XC161" s="172"/>
      <c r="XD161" s="172"/>
      <c r="XE161" s="172"/>
      <c r="XF161" s="172"/>
      <c r="XG161" s="172"/>
      <c r="XH161" s="172"/>
      <c r="XI161" s="172"/>
      <c r="XJ161" s="172"/>
      <c r="XK161" s="172"/>
      <c r="XL161" s="172"/>
      <c r="XM161" s="172"/>
      <c r="XN161" s="172"/>
      <c r="XO161" s="172"/>
      <c r="XP161" s="172"/>
      <c r="XQ161" s="172"/>
      <c r="XR161" s="172"/>
      <c r="XS161" s="172"/>
      <c r="XT161" s="172"/>
      <c r="XU161" s="172"/>
      <c r="XV161" s="172"/>
      <c r="XW161" s="172"/>
      <c r="XX161" s="172"/>
      <c r="XY161" s="172"/>
      <c r="XZ161" s="172"/>
      <c r="YA161" s="172"/>
      <c r="YB161" s="172"/>
      <c r="YC161" s="172"/>
      <c r="YD161" s="172"/>
      <c r="YE161" s="172"/>
      <c r="YF161" s="172"/>
      <c r="YG161" s="172"/>
      <c r="YH161" s="172"/>
      <c r="YI161" s="172"/>
      <c r="YJ161" s="172"/>
      <c r="YK161" s="172"/>
      <c r="YL161" s="172"/>
      <c r="YM161" s="172"/>
      <c r="YN161" s="172"/>
      <c r="YO161" s="172"/>
      <c r="YP161" s="172"/>
      <c r="YQ161" s="172"/>
      <c r="YR161" s="172"/>
      <c r="YS161" s="172"/>
      <c r="YT161" s="172"/>
      <c r="YU161" s="172"/>
      <c r="YV161" s="172"/>
      <c r="YW161" s="172"/>
      <c r="YX161" s="172"/>
      <c r="YY161" s="172"/>
      <c r="YZ161" s="172"/>
      <c r="ZA161" s="172"/>
      <c r="ZB161" s="172"/>
      <c r="ZC161" s="172"/>
      <c r="ZD161" s="172"/>
      <c r="ZE161" s="172"/>
      <c r="ZF161" s="172"/>
      <c r="ZG161" s="172"/>
      <c r="ZH161" s="172"/>
      <c r="ZI161" s="172"/>
      <c r="ZJ161" s="172"/>
      <c r="ZK161" s="172"/>
      <c r="ZL161" s="172"/>
      <c r="ZM161" s="172"/>
      <c r="ZN161" s="172"/>
      <c r="ZO161" s="172"/>
      <c r="ZP161" s="172"/>
      <c r="ZQ161" s="172"/>
      <c r="ZR161" s="172"/>
      <c r="ZS161" s="172"/>
      <c r="ZT161" s="172"/>
      <c r="ZU161" s="172"/>
      <c r="ZV161" s="172"/>
      <c r="ZW161" s="172"/>
      <c r="ZX161" s="172"/>
      <c r="ZY161" s="172"/>
      <c r="ZZ161" s="172"/>
      <c r="AAA161" s="172"/>
      <c r="AAB161" s="172"/>
      <c r="AAC161" s="172"/>
      <c r="AAD161" s="172"/>
      <c r="AAE161" s="172"/>
      <c r="AAF161" s="172"/>
      <c r="AAG161" s="172"/>
      <c r="AAH161" s="172"/>
      <c r="AAI161" s="172"/>
      <c r="AAJ161" s="172"/>
      <c r="AAK161" s="172"/>
      <c r="AAL161" s="172"/>
      <c r="AAM161" s="172"/>
      <c r="AAN161" s="172"/>
      <c r="AAO161" s="172"/>
      <c r="AAP161" s="172"/>
      <c r="AAQ161" s="172"/>
      <c r="AAR161" s="172"/>
      <c r="AAS161" s="172"/>
      <c r="AAT161" s="172"/>
      <c r="AAU161" s="172"/>
      <c r="AAV161" s="172"/>
      <c r="AAW161" s="172"/>
      <c r="AAX161" s="172"/>
      <c r="AAY161" s="172"/>
      <c r="AAZ161" s="172"/>
      <c r="ABA161" s="172"/>
      <c r="ABB161" s="172"/>
      <c r="ABC161" s="172"/>
      <c r="ABD161" s="172"/>
      <c r="ABE161" s="172"/>
      <c r="ABF161" s="172"/>
      <c r="ABG161" s="172"/>
      <c r="ABH161" s="172"/>
      <c r="ABI161" s="172"/>
      <c r="ABJ161" s="172"/>
      <c r="ABK161" s="172"/>
      <c r="ABL161" s="172"/>
      <c r="ABM161" s="172"/>
      <c r="ABN161" s="172"/>
      <c r="ABO161" s="172"/>
      <c r="ABP161" s="172"/>
      <c r="ABQ161" s="172"/>
      <c r="ABR161" s="172"/>
      <c r="ABS161" s="172"/>
      <c r="ABT161" s="172"/>
      <c r="ABU161" s="172"/>
      <c r="ABV161" s="172"/>
      <c r="ABW161" s="172"/>
      <c r="ABX161" s="172"/>
      <c r="ABY161" s="172"/>
      <c r="ABZ161" s="172"/>
      <c r="ACA161" s="172"/>
      <c r="ACB161" s="172"/>
      <c r="ACC161" s="172"/>
      <c r="ACD161" s="172"/>
      <c r="ACE161" s="172"/>
      <c r="ACF161" s="172"/>
      <c r="ACG161" s="172"/>
      <c r="ACH161" s="172"/>
      <c r="ACI161" s="172"/>
      <c r="ACJ161" s="172"/>
      <c r="ACK161" s="172"/>
      <c r="ACL161" s="172"/>
      <c r="ACM161" s="172"/>
      <c r="ACN161" s="172"/>
      <c r="ACO161" s="172"/>
      <c r="ACP161" s="172"/>
      <c r="ACQ161" s="172"/>
      <c r="ACR161" s="172"/>
      <c r="ACS161" s="172"/>
      <c r="ACT161" s="172"/>
      <c r="ACU161" s="172"/>
      <c r="ACV161" s="172"/>
      <c r="ACW161" s="172"/>
      <c r="ACX161" s="172"/>
      <c r="ACY161" s="172"/>
      <c r="ACZ161" s="172"/>
      <c r="ADA161" s="172"/>
      <c r="ADB161" s="172"/>
      <c r="ADC161" s="172"/>
      <c r="ADD161" s="172"/>
      <c r="ADE161" s="172"/>
      <c r="ADF161" s="172"/>
      <c r="ADG161" s="172"/>
      <c r="ADH161" s="172"/>
      <c r="ADI161" s="172"/>
      <c r="ADJ161" s="172"/>
      <c r="ADK161" s="172"/>
      <c r="ADL161" s="172"/>
      <c r="ADM161" s="172"/>
      <c r="ADN161" s="172"/>
      <c r="ADO161" s="172"/>
      <c r="ADP161" s="172"/>
      <c r="ADQ161" s="172"/>
      <c r="ADR161" s="172"/>
      <c r="ADS161" s="172"/>
      <c r="ADT161" s="172"/>
      <c r="ADU161" s="172"/>
      <c r="ADV161" s="172"/>
      <c r="ADW161" s="172"/>
      <c r="ADX161" s="172"/>
      <c r="ADY161" s="172"/>
      <c r="ADZ161" s="172"/>
      <c r="AEA161" s="172"/>
      <c r="AEB161" s="172"/>
      <c r="AEC161" s="172"/>
      <c r="AED161" s="172"/>
      <c r="AEE161" s="172"/>
      <c r="AEF161" s="172"/>
      <c r="AEG161" s="172"/>
      <c r="AEH161" s="172"/>
      <c r="AEI161" s="172"/>
      <c r="AEJ161" s="172"/>
      <c r="AEK161" s="172"/>
      <c r="AEL161" s="172"/>
      <c r="AEM161" s="172"/>
      <c r="AEN161" s="172"/>
      <c r="AEO161" s="172"/>
      <c r="AEP161" s="172"/>
      <c r="AEQ161" s="172"/>
      <c r="AER161" s="172"/>
      <c r="AES161" s="172"/>
      <c r="AET161" s="172"/>
      <c r="AEU161" s="172"/>
      <c r="AEV161" s="172"/>
      <c r="AEW161" s="172"/>
      <c r="AEX161" s="172"/>
      <c r="AEY161" s="172"/>
      <c r="AEZ161" s="172"/>
      <c r="AFA161" s="172"/>
      <c r="AFB161" s="172"/>
      <c r="AFC161" s="172"/>
      <c r="AFD161" s="172"/>
      <c r="AFE161" s="172"/>
      <c r="AFF161" s="172"/>
      <c r="AFG161" s="172"/>
      <c r="AFH161" s="172"/>
      <c r="AFI161" s="172"/>
      <c r="AFJ161" s="172"/>
      <c r="AFK161" s="172"/>
      <c r="AFL161" s="172"/>
      <c r="AFM161" s="172"/>
      <c r="AFN161" s="172"/>
      <c r="AFO161" s="172"/>
      <c r="AFP161" s="172"/>
      <c r="AFQ161" s="172"/>
      <c r="AFR161" s="172"/>
      <c r="AFS161" s="172"/>
      <c r="AFT161" s="172"/>
      <c r="AFU161" s="172"/>
      <c r="AFV161" s="172"/>
      <c r="AFW161" s="172"/>
      <c r="AFX161" s="172"/>
      <c r="AFY161" s="172"/>
      <c r="AFZ161" s="172"/>
      <c r="AGA161" s="172"/>
      <c r="AGB161" s="172"/>
      <c r="AGC161" s="172"/>
      <c r="AGD161" s="172"/>
      <c r="AGE161" s="172"/>
      <c r="AGF161" s="172"/>
      <c r="AGG161" s="172"/>
      <c r="AGH161" s="172"/>
      <c r="AGI161" s="172"/>
      <c r="AGJ161" s="172"/>
      <c r="AGK161" s="172"/>
      <c r="AGL161" s="172"/>
      <c r="AGM161" s="172"/>
      <c r="AGN161" s="172"/>
      <c r="AGO161" s="172"/>
      <c r="AGP161" s="172"/>
      <c r="AGQ161" s="172"/>
      <c r="AGR161" s="172"/>
      <c r="AGS161" s="172"/>
      <c r="AGT161" s="172"/>
      <c r="AGU161" s="172"/>
      <c r="AGV161" s="172"/>
      <c r="AGW161" s="172"/>
      <c r="AGX161" s="172"/>
      <c r="AGY161" s="172"/>
      <c r="AGZ161" s="172"/>
      <c r="AHA161" s="172"/>
      <c r="AHB161" s="172"/>
      <c r="AHC161" s="172"/>
      <c r="AHD161" s="172"/>
      <c r="AHE161" s="172"/>
      <c r="AHF161" s="172"/>
      <c r="AHG161" s="172"/>
      <c r="AHH161" s="172"/>
      <c r="AHI161" s="172"/>
      <c r="AHJ161" s="172"/>
      <c r="AHK161" s="172"/>
      <c r="AHL161" s="172"/>
      <c r="AHM161" s="172"/>
      <c r="AHN161" s="172"/>
      <c r="AHO161" s="172"/>
      <c r="AHP161" s="172"/>
      <c r="AHQ161" s="172"/>
      <c r="AHR161" s="172"/>
      <c r="AHS161" s="172"/>
      <c r="AHT161" s="172"/>
      <c r="AHU161" s="172"/>
      <c r="AHV161" s="172"/>
      <c r="AHW161" s="172"/>
      <c r="AHX161" s="172"/>
      <c r="AHY161" s="172"/>
      <c r="AHZ161" s="172"/>
      <c r="AIA161" s="172"/>
      <c r="AIB161" s="172"/>
      <c r="AIC161" s="172"/>
      <c r="AID161" s="172"/>
      <c r="AIE161" s="172"/>
      <c r="AIF161" s="172"/>
      <c r="AIG161" s="172"/>
      <c r="AIH161" s="172"/>
      <c r="AII161" s="172"/>
      <c r="AIJ161" s="172"/>
      <c r="AIK161" s="172"/>
      <c r="AIL161" s="172"/>
      <c r="AIM161" s="172"/>
      <c r="AIN161" s="172"/>
      <c r="AIO161" s="172"/>
      <c r="AIP161" s="172"/>
      <c r="AIQ161" s="172"/>
      <c r="AIR161" s="172"/>
      <c r="AIS161" s="172"/>
      <c r="AIT161" s="172"/>
      <c r="AIU161" s="172"/>
      <c r="AIV161" s="172"/>
      <c r="AIW161" s="172"/>
      <c r="AIX161" s="172"/>
      <c r="AIY161" s="172"/>
      <c r="AIZ161" s="172"/>
      <c r="AJA161" s="172"/>
      <c r="AJB161" s="172"/>
      <c r="AJC161" s="172"/>
      <c r="AJD161" s="172"/>
      <c r="AJE161" s="172"/>
      <c r="AJF161" s="172"/>
      <c r="AJG161" s="172"/>
      <c r="AJH161" s="172"/>
      <c r="AJI161" s="172"/>
      <c r="AJJ161" s="172"/>
      <c r="AJK161" s="172"/>
      <c r="AJL161" s="172"/>
      <c r="AJM161" s="172"/>
      <c r="AJN161" s="172"/>
      <c r="AJO161" s="172"/>
      <c r="AJP161" s="172"/>
      <c r="AJQ161" s="172"/>
      <c r="AJR161" s="172"/>
      <c r="AJS161" s="172"/>
      <c r="AJT161" s="172"/>
      <c r="AJU161" s="172"/>
      <c r="AJV161" s="172"/>
      <c r="AJW161" s="172"/>
      <c r="AJX161" s="172"/>
      <c r="AJY161" s="172"/>
      <c r="AJZ161" s="172"/>
      <c r="AKA161" s="172"/>
      <c r="AKB161" s="172"/>
      <c r="AKC161" s="172"/>
      <c r="AKD161" s="172"/>
      <c r="AKE161" s="172"/>
      <c r="AKF161" s="172"/>
      <c r="AKG161" s="172"/>
      <c r="AKH161" s="172"/>
      <c r="AKI161" s="172"/>
      <c r="AKJ161" s="172"/>
      <c r="AKK161" s="172"/>
      <c r="AKL161" s="172"/>
      <c r="AKM161" s="172"/>
      <c r="AKN161" s="172"/>
      <c r="AKO161" s="172"/>
      <c r="AKP161" s="172"/>
      <c r="AKQ161" s="172"/>
      <c r="AKR161" s="172"/>
      <c r="AKS161" s="172"/>
      <c r="AKT161" s="172"/>
      <c r="AKU161" s="172"/>
      <c r="AKV161" s="172"/>
      <c r="AKW161" s="172"/>
      <c r="AKX161" s="172"/>
      <c r="AKY161" s="172"/>
      <c r="AKZ161" s="172"/>
      <c r="ALA161" s="172"/>
      <c r="ALB161" s="172"/>
      <c r="ALC161" s="172"/>
      <c r="ALD161" s="172"/>
      <c r="ALE161" s="172"/>
      <c r="ALF161" s="172"/>
      <c r="ALG161" s="172"/>
      <c r="ALH161" s="172"/>
      <c r="ALI161" s="172"/>
      <c r="ALJ161" s="172"/>
      <c r="ALK161" s="172"/>
      <c r="ALL161" s="172"/>
      <c r="ALM161" s="172"/>
      <c r="ALN161" s="172"/>
      <c r="ALO161" s="172"/>
      <c r="ALP161" s="172"/>
      <c r="ALQ161" s="172"/>
      <c r="ALR161" s="172"/>
      <c r="ALS161" s="172"/>
      <c r="ALT161" s="172"/>
      <c r="ALU161" s="172"/>
      <c r="ALV161" s="172"/>
      <c r="ALW161" s="172"/>
      <c r="ALX161" s="172"/>
      <c r="ALY161" s="172"/>
      <c r="ALZ161" s="172"/>
      <c r="AMA161" s="172"/>
      <c r="AMB161" s="172"/>
      <c r="AMC161" s="172"/>
      <c r="AMD161" s="172"/>
      <c r="AME161" s="172"/>
      <c r="AMF161" s="172"/>
      <c r="AMG161" s="172"/>
      <c r="AMH161" s="172"/>
      <c r="AMI161" s="172"/>
      <c r="AMJ161" s="172"/>
      <c r="AMK161" s="172"/>
      <c r="AML161" s="172"/>
      <c r="AMM161" s="172"/>
      <c r="AMN161" s="172"/>
      <c r="AMO161" s="172"/>
      <c r="AMP161" s="172"/>
      <c r="AMQ161" s="172"/>
      <c r="AMR161" s="172"/>
      <c r="AMS161" s="172"/>
      <c r="AMT161" s="172"/>
      <c r="AMU161" s="172"/>
      <c r="AMV161" s="172"/>
      <c r="AMW161" s="172"/>
      <c r="AMX161" s="172"/>
      <c r="AMY161" s="172"/>
      <c r="AMZ161" s="172"/>
      <c r="ANA161" s="172"/>
      <c r="ANB161" s="172"/>
      <c r="ANC161" s="172"/>
      <c r="AND161" s="172"/>
      <c r="ANE161" s="172"/>
      <c r="ANF161" s="172"/>
      <c r="ANG161" s="172"/>
      <c r="ANH161" s="172"/>
      <c r="ANI161" s="172"/>
      <c r="ANJ161" s="172"/>
      <c r="ANK161" s="172"/>
      <c r="ANL161" s="172"/>
      <c r="ANM161" s="172"/>
      <c r="ANN161" s="172"/>
      <c r="ANO161" s="172"/>
      <c r="ANP161" s="172"/>
      <c r="ANQ161" s="172"/>
      <c r="ANR161" s="172"/>
      <c r="ANS161" s="172"/>
      <c r="ANT161" s="172"/>
      <c r="ANU161" s="172"/>
      <c r="ANV161" s="172"/>
      <c r="ANW161" s="172"/>
      <c r="ANX161" s="172"/>
      <c r="ANY161" s="172"/>
      <c r="ANZ161" s="172"/>
      <c r="AOA161" s="172"/>
      <c r="AOB161" s="172"/>
      <c r="AOC161" s="172"/>
      <c r="AOD161" s="172"/>
      <c r="AOE161" s="172"/>
      <c r="AOF161" s="172"/>
      <c r="AOG161" s="172"/>
      <c r="AOH161" s="172"/>
      <c r="AOI161" s="172"/>
      <c r="AOJ161" s="172"/>
      <c r="AOK161" s="172"/>
      <c r="AOL161" s="172"/>
      <c r="AOM161" s="172"/>
      <c r="AON161" s="172"/>
      <c r="AOO161" s="172"/>
      <c r="AOP161" s="172"/>
      <c r="AOQ161" s="172"/>
      <c r="AOR161" s="172"/>
      <c r="AOS161" s="172"/>
      <c r="AOT161" s="172"/>
      <c r="AOU161" s="172"/>
      <c r="AOV161" s="172"/>
      <c r="AOW161" s="172"/>
      <c r="AOX161" s="172"/>
      <c r="AOY161" s="172"/>
      <c r="AOZ161" s="172"/>
      <c r="APA161" s="172"/>
      <c r="APB161" s="172"/>
      <c r="APC161" s="172"/>
      <c r="APD161" s="172"/>
      <c r="APE161" s="172"/>
      <c r="APF161" s="172"/>
      <c r="APG161" s="172"/>
      <c r="APH161" s="172"/>
      <c r="API161" s="172"/>
      <c r="APJ161" s="172"/>
      <c r="APK161" s="172"/>
      <c r="APL161" s="172"/>
      <c r="APM161" s="172"/>
      <c r="APN161" s="172"/>
      <c r="APO161" s="172"/>
      <c r="APP161" s="172"/>
      <c r="APQ161" s="172"/>
      <c r="APR161" s="172"/>
      <c r="APS161" s="172"/>
      <c r="APT161" s="172"/>
      <c r="APU161" s="172"/>
      <c r="APV161" s="172"/>
      <c r="APW161" s="172"/>
      <c r="APX161" s="172"/>
      <c r="APY161" s="172"/>
      <c r="APZ161" s="172"/>
      <c r="AQA161" s="172"/>
      <c r="AQB161" s="172"/>
      <c r="AQC161" s="172"/>
      <c r="AQD161" s="172"/>
      <c r="AQE161" s="172"/>
      <c r="AQF161" s="172"/>
      <c r="AQG161" s="172"/>
      <c r="AQH161" s="172"/>
      <c r="AQI161" s="172"/>
      <c r="AQJ161" s="172"/>
      <c r="AQK161" s="172"/>
      <c r="AQL161" s="172"/>
      <c r="AQM161" s="172"/>
      <c r="AQN161" s="172"/>
      <c r="AQO161" s="172"/>
      <c r="AQP161" s="172"/>
      <c r="AQQ161" s="172"/>
      <c r="AQR161" s="172"/>
      <c r="AQS161" s="172"/>
      <c r="AQT161" s="172"/>
      <c r="AQU161" s="172"/>
      <c r="AQV161" s="172"/>
      <c r="AQW161" s="172"/>
      <c r="AQX161" s="172"/>
      <c r="AQY161" s="172"/>
      <c r="AQZ161" s="172"/>
      <c r="ARA161" s="172"/>
      <c r="ARB161" s="172"/>
      <c r="ARC161" s="172"/>
      <c r="ARD161" s="172"/>
      <c r="ARE161" s="172"/>
      <c r="ARF161" s="172"/>
      <c r="ARG161" s="172"/>
      <c r="ARH161" s="172"/>
      <c r="ARI161" s="172"/>
      <c r="ARJ161" s="172"/>
      <c r="ARK161" s="172"/>
      <c r="ARL161" s="172"/>
      <c r="ARM161" s="172"/>
      <c r="ARN161" s="172"/>
      <c r="ARO161" s="172"/>
      <c r="ARP161" s="172"/>
      <c r="ARQ161" s="172"/>
      <c r="ARR161" s="172"/>
      <c r="ARS161" s="172"/>
      <c r="ART161" s="172"/>
      <c r="ARU161" s="172"/>
    </row>
    <row r="162" spans="1:1165">
      <c r="A162" s="1483"/>
      <c r="B162" s="1511"/>
      <c r="C162" s="1512"/>
      <c r="D162" s="1512"/>
      <c r="E162" s="1512"/>
      <c r="F162" s="1512"/>
      <c r="G162" s="1512"/>
      <c r="H162" s="1512"/>
      <c r="I162" s="1512"/>
      <c r="J162" s="1512"/>
      <c r="K162" s="1512"/>
      <c r="L162" s="1512"/>
      <c r="M162" s="1512"/>
      <c r="N162" s="1512"/>
      <c r="O162" s="1512"/>
      <c r="P162" s="1512"/>
      <c r="Q162" s="1512"/>
      <c r="R162" s="1512"/>
      <c r="S162" s="1512"/>
      <c r="T162" s="1512"/>
      <c r="U162" s="1513"/>
      <c r="V162" s="1513"/>
      <c r="W162" s="1516"/>
      <c r="X162" s="1516"/>
      <c r="Y162" s="1516"/>
      <c r="Z162" s="1516"/>
      <c r="AA162" s="1517"/>
      <c r="AB162" s="1517"/>
      <c r="AC162" s="1489"/>
      <c r="AD162" s="1489"/>
      <c r="AE162" s="1517"/>
      <c r="AF162" s="1517"/>
      <c r="AG162" s="1517"/>
      <c r="AH162" s="1517"/>
      <c r="AI162" s="1517"/>
      <c r="AJ162" s="1517"/>
      <c r="AK162" s="1517"/>
      <c r="AL162" s="1517"/>
      <c r="AM162" s="1516"/>
      <c r="AN162" s="1516"/>
      <c r="AO162" s="1516"/>
      <c r="AP162" s="1516"/>
      <c r="AQ162" s="1516"/>
      <c r="AR162" s="1516"/>
      <c r="AS162" s="1516"/>
      <c r="AT162" s="1516"/>
      <c r="AU162" s="1517"/>
      <c r="AV162" s="1517"/>
      <c r="AW162" s="1487"/>
      <c r="AX162" s="1487"/>
      <c r="AY162" s="1519"/>
      <c r="AZ162" s="1519"/>
      <c r="BA162" s="1488"/>
      <c r="BB162" s="1487"/>
      <c r="BC162" s="1487"/>
      <c r="BD162" s="1487"/>
      <c r="BE162" s="1487"/>
      <c r="BF162" s="1487"/>
      <c r="BG162" s="1487"/>
      <c r="BH162" s="1487"/>
      <c r="BI162" s="1488"/>
      <c r="BJ162" s="1487"/>
      <c r="BK162" s="1487"/>
      <c r="BL162" s="172"/>
      <c r="BM162" s="231"/>
      <c r="BO162" s="231"/>
      <c r="BP162" s="231"/>
    </row>
    <row r="163" spans="1:1165">
      <c r="A163" s="194" t="s">
        <v>258</v>
      </c>
      <c r="B163" s="195"/>
      <c r="C163" s="258"/>
      <c r="D163" s="258"/>
      <c r="E163" s="258"/>
      <c r="F163" s="258"/>
      <c r="G163" s="258"/>
      <c r="H163" s="258"/>
      <c r="I163" s="258"/>
      <c r="J163" s="258"/>
      <c r="K163" s="258"/>
      <c r="L163" s="258"/>
      <c r="M163" s="258"/>
      <c r="N163" s="258"/>
      <c r="O163" s="258"/>
      <c r="P163" s="258"/>
      <c r="Q163" s="258"/>
      <c r="R163" s="258"/>
      <c r="S163" s="258"/>
      <c r="T163" s="258"/>
      <c r="U163" s="284"/>
      <c r="V163" s="284"/>
      <c r="W163" s="227"/>
      <c r="X163" s="227"/>
      <c r="Y163" s="288"/>
      <c r="Z163" s="288"/>
      <c r="AA163" s="302"/>
      <c r="AB163" s="302"/>
      <c r="AC163" s="284"/>
      <c r="AD163" s="284"/>
      <c r="AE163" s="302"/>
      <c r="AF163" s="302"/>
      <c r="AG163" s="302"/>
      <c r="AH163" s="302"/>
      <c r="AI163" s="302"/>
      <c r="AJ163" s="302"/>
      <c r="AK163" s="302"/>
      <c r="AL163" s="302"/>
      <c r="AM163" s="288"/>
      <c r="AN163" s="288"/>
      <c r="AO163" s="288"/>
      <c r="AP163" s="288"/>
      <c r="AQ163" s="288"/>
      <c r="AR163" s="288"/>
      <c r="AS163" s="288"/>
      <c r="AT163" s="288"/>
      <c r="AU163" s="302"/>
      <c r="AV163" s="302"/>
      <c r="AW163" s="256"/>
      <c r="AX163" s="256"/>
      <c r="AY163" s="255"/>
      <c r="AZ163" s="255"/>
      <c r="BA163" s="262"/>
      <c r="BB163" s="256"/>
      <c r="BC163" s="256"/>
      <c r="BD163" s="256"/>
      <c r="BE163" s="256"/>
      <c r="BF163" s="256"/>
      <c r="BG163" s="256"/>
      <c r="BH163" s="256"/>
      <c r="BI163" s="262"/>
      <c r="BJ163" s="256"/>
      <c r="BK163" s="256"/>
      <c r="BL163" s="172"/>
      <c r="BM163" s="231"/>
      <c r="BP163" s="231"/>
    </row>
    <row r="164" spans="1:1165">
      <c r="A164" s="222" t="s">
        <v>415</v>
      </c>
      <c r="B164" s="195" t="s">
        <v>87</v>
      </c>
      <c r="C164" s="258">
        <v>3008</v>
      </c>
      <c r="D164" s="258">
        <v>21968147</v>
      </c>
      <c r="E164" s="258">
        <v>983</v>
      </c>
      <c r="F164" s="258">
        <v>13023142</v>
      </c>
      <c r="G164" s="258">
        <v>609</v>
      </c>
      <c r="H164" s="258">
        <v>7689911</v>
      </c>
      <c r="I164" s="258">
        <v>534</v>
      </c>
      <c r="J164" s="258">
        <v>5314179</v>
      </c>
      <c r="K164" s="258">
        <v>447</v>
      </c>
      <c r="L164" s="258">
        <v>3169424</v>
      </c>
      <c r="M164" s="258">
        <v>520</v>
      </c>
      <c r="N164" s="258">
        <v>6556752</v>
      </c>
      <c r="O164" s="258">
        <v>508</v>
      </c>
      <c r="P164" s="258">
        <v>9629912</v>
      </c>
      <c r="Q164" s="258">
        <v>484</v>
      </c>
      <c r="R164" s="258">
        <v>5564158</v>
      </c>
      <c r="S164" s="258">
        <v>368</v>
      </c>
      <c r="T164" s="258">
        <v>1858290</v>
      </c>
      <c r="U164" s="284">
        <v>287</v>
      </c>
      <c r="V164" s="284">
        <v>4456414</v>
      </c>
      <c r="W164" s="284">
        <v>261</v>
      </c>
      <c r="X164" s="284">
        <v>4472086</v>
      </c>
      <c r="Y164" s="284">
        <v>268</v>
      </c>
      <c r="Z164" s="284">
        <v>4264988</v>
      </c>
      <c r="AA164" s="302">
        <v>288</v>
      </c>
      <c r="AB164" s="302">
        <v>6062266</v>
      </c>
      <c r="AC164" s="258">
        <v>557</v>
      </c>
      <c r="AD164" s="258">
        <v>30281378</v>
      </c>
      <c r="AE164" s="302">
        <v>297</v>
      </c>
      <c r="AF164" s="302">
        <v>10916333</v>
      </c>
      <c r="AG164" s="288">
        <v>657</v>
      </c>
      <c r="AH164" s="288">
        <v>35844989</v>
      </c>
      <c r="AI164" s="288">
        <v>824</v>
      </c>
      <c r="AJ164" s="288">
        <v>56374547</v>
      </c>
      <c r="AK164" s="288">
        <v>942.28099999999995</v>
      </c>
      <c r="AL164" s="288">
        <v>63521086</v>
      </c>
      <c r="AM164" s="261">
        <v>1219.008</v>
      </c>
      <c r="AN164" s="261">
        <v>58771721</v>
      </c>
      <c r="AO164" s="288">
        <v>1269</v>
      </c>
      <c r="AP164" s="288">
        <v>84579343</v>
      </c>
      <c r="AQ164" s="288">
        <v>1010.34484</v>
      </c>
      <c r="AR164" s="288">
        <v>37681101.764114715</v>
      </c>
      <c r="AS164" s="288">
        <v>1564.39</v>
      </c>
      <c r="AT164" s="288">
        <v>79316782</v>
      </c>
      <c r="AU164" s="302">
        <v>2008</v>
      </c>
      <c r="AV164" s="302">
        <v>77843596</v>
      </c>
      <c r="AW164" s="302">
        <v>2068</v>
      </c>
      <c r="AX164" s="302">
        <v>53657040</v>
      </c>
      <c r="AY164" s="258">
        <v>1779</v>
      </c>
      <c r="AZ164" s="258">
        <v>52756999</v>
      </c>
      <c r="BA164" s="258"/>
      <c r="BB164" s="258"/>
      <c r="BC164" s="291"/>
      <c r="BD164" s="258"/>
      <c r="BE164" s="291"/>
      <c r="BF164" s="291"/>
      <c r="BG164" s="291"/>
      <c r="BH164" s="291"/>
      <c r="BI164" s="291"/>
      <c r="BJ164" s="258">
        <f t="shared" ref="BJ164:BJ173" si="71">C164+G164+I164+K164+M164+O164+Q164+S164+U164+W164+Y164+AA164+AC164+AE164+AG164+AI164+AK164+AM164+AO164+AQ164+AS164+AU164+AW164+AY164+BB164+BF164</f>
        <v>21777.023839999998</v>
      </c>
      <c r="BK164" s="258">
        <f t="shared" ref="BK164:BK174" si="72">D164+H164+J164+L164+N164+P164+R164+T164+V164+X164+Z164+AB164+AD164+AF164+AH164+AJ164+AL164+AN164+AP164+AR164+AT164+AV164+AX164+AZ164+BD164+BH164</f>
        <v>722551442.76411474</v>
      </c>
      <c r="BL164" s="172"/>
      <c r="BM164" s="231"/>
      <c r="BP164" s="231"/>
    </row>
    <row r="165" spans="1:1165">
      <c r="A165" s="222" t="s">
        <v>416</v>
      </c>
      <c r="B165" s="195" t="s">
        <v>87</v>
      </c>
      <c r="C165" s="288">
        <v>0</v>
      </c>
      <c r="D165" s="288">
        <v>0</v>
      </c>
      <c r="E165" s="288">
        <v>0</v>
      </c>
      <c r="F165" s="288">
        <v>0</v>
      </c>
      <c r="G165" s="288">
        <v>0</v>
      </c>
      <c r="H165" s="288">
        <v>0</v>
      </c>
      <c r="I165" s="288">
        <v>0</v>
      </c>
      <c r="J165" s="288">
        <v>0</v>
      </c>
      <c r="K165" s="288">
        <v>0</v>
      </c>
      <c r="L165" s="288">
        <v>0</v>
      </c>
      <c r="M165" s="288">
        <v>0</v>
      </c>
      <c r="N165" s="288">
        <v>0</v>
      </c>
      <c r="O165" s="288">
        <v>0</v>
      </c>
      <c r="P165" s="288">
        <v>0</v>
      </c>
      <c r="Q165" s="288">
        <v>0</v>
      </c>
      <c r="R165" s="288">
        <v>0</v>
      </c>
      <c r="S165" s="288">
        <v>0</v>
      </c>
      <c r="T165" s="288">
        <v>0</v>
      </c>
      <c r="U165" s="288">
        <v>0</v>
      </c>
      <c r="V165" s="288">
        <v>0</v>
      </c>
      <c r="W165" s="288">
        <v>0</v>
      </c>
      <c r="X165" s="288">
        <v>0</v>
      </c>
      <c r="Y165" s="288">
        <v>0</v>
      </c>
      <c r="Z165" s="288">
        <v>0</v>
      </c>
      <c r="AA165" s="288">
        <v>0</v>
      </c>
      <c r="AB165" s="288">
        <v>0</v>
      </c>
      <c r="AC165" s="288">
        <v>0</v>
      </c>
      <c r="AD165" s="288">
        <v>0</v>
      </c>
      <c r="AE165" s="288">
        <v>0</v>
      </c>
      <c r="AF165" s="288">
        <v>0</v>
      </c>
      <c r="AG165" s="288">
        <v>0</v>
      </c>
      <c r="AH165" s="288">
        <v>0</v>
      </c>
      <c r="AI165" s="288">
        <v>0</v>
      </c>
      <c r="AJ165" s="288">
        <v>0</v>
      </c>
      <c r="AK165" s="288">
        <v>0</v>
      </c>
      <c r="AL165" s="288">
        <v>0</v>
      </c>
      <c r="AM165" s="288">
        <v>0</v>
      </c>
      <c r="AN165" s="288">
        <v>0</v>
      </c>
      <c r="AO165" s="288">
        <v>0</v>
      </c>
      <c r="AP165" s="288">
        <v>0</v>
      </c>
      <c r="AQ165" s="288">
        <v>0</v>
      </c>
      <c r="AR165" s="288">
        <v>0</v>
      </c>
      <c r="AS165" s="288">
        <v>1013.16</v>
      </c>
      <c r="AT165" s="288">
        <v>47020250</v>
      </c>
      <c r="AU165" s="302">
        <v>1482.9</v>
      </c>
      <c r="AV165" s="302">
        <v>48471747</v>
      </c>
      <c r="AW165" s="302">
        <v>2116</v>
      </c>
      <c r="AX165" s="302">
        <v>51122414</v>
      </c>
      <c r="AY165" s="258">
        <v>3004.54</v>
      </c>
      <c r="AZ165" s="258">
        <v>79296234</v>
      </c>
      <c r="BA165" s="225"/>
      <c r="BB165" s="266"/>
      <c r="BC165" s="266"/>
      <c r="BD165" s="266"/>
      <c r="BE165" s="291"/>
      <c r="BF165" s="291"/>
      <c r="BG165" s="291"/>
      <c r="BH165" s="291"/>
      <c r="BI165" s="291"/>
      <c r="BJ165" s="258">
        <f t="shared" si="71"/>
        <v>7616.5999999999995</v>
      </c>
      <c r="BK165" s="258">
        <f t="shared" si="72"/>
        <v>225910645</v>
      </c>
      <c r="BL165" s="172"/>
      <c r="BM165" s="231"/>
      <c r="BN165" s="231"/>
      <c r="BP165" s="231"/>
    </row>
    <row r="166" spans="1:1165">
      <c r="A166" s="222" t="s">
        <v>417</v>
      </c>
      <c r="B166" s="195" t="s">
        <v>87</v>
      </c>
      <c r="C166" s="288">
        <v>0</v>
      </c>
      <c r="D166" s="288">
        <v>0</v>
      </c>
      <c r="E166" s="288">
        <v>0</v>
      </c>
      <c r="F166" s="288">
        <v>0</v>
      </c>
      <c r="G166" s="288">
        <v>0</v>
      </c>
      <c r="H166" s="288">
        <v>0</v>
      </c>
      <c r="I166" s="288">
        <v>0</v>
      </c>
      <c r="J166" s="288">
        <v>0</v>
      </c>
      <c r="K166" s="288">
        <v>0</v>
      </c>
      <c r="L166" s="288">
        <v>0</v>
      </c>
      <c r="M166" s="288">
        <v>0</v>
      </c>
      <c r="N166" s="288">
        <v>0</v>
      </c>
      <c r="O166" s="288">
        <v>0</v>
      </c>
      <c r="P166" s="288">
        <v>0</v>
      </c>
      <c r="Q166" s="288">
        <v>0</v>
      </c>
      <c r="R166" s="288">
        <v>0</v>
      </c>
      <c r="S166" s="288">
        <v>0</v>
      </c>
      <c r="T166" s="288">
        <v>0</v>
      </c>
      <c r="U166" s="288">
        <v>0</v>
      </c>
      <c r="V166" s="288">
        <v>0</v>
      </c>
      <c r="W166" s="288">
        <v>0</v>
      </c>
      <c r="X166" s="288">
        <v>0</v>
      </c>
      <c r="Y166" s="288">
        <v>0</v>
      </c>
      <c r="Z166" s="288">
        <v>0</v>
      </c>
      <c r="AA166" s="288">
        <v>0</v>
      </c>
      <c r="AB166" s="288">
        <v>0</v>
      </c>
      <c r="AC166" s="288">
        <v>0</v>
      </c>
      <c r="AD166" s="288">
        <v>0</v>
      </c>
      <c r="AE166" s="288">
        <v>0</v>
      </c>
      <c r="AF166" s="288">
        <v>0</v>
      </c>
      <c r="AG166" s="288">
        <v>0</v>
      </c>
      <c r="AH166" s="288">
        <v>0</v>
      </c>
      <c r="AI166" s="288">
        <v>0</v>
      </c>
      <c r="AJ166" s="288">
        <v>0</v>
      </c>
      <c r="AK166" s="288">
        <v>0</v>
      </c>
      <c r="AL166" s="288">
        <v>0</v>
      </c>
      <c r="AM166" s="288">
        <v>0</v>
      </c>
      <c r="AN166" s="288">
        <v>0</v>
      </c>
      <c r="AO166" s="288">
        <v>0</v>
      </c>
      <c r="AP166" s="288">
        <v>0</v>
      </c>
      <c r="AQ166" s="288">
        <v>0</v>
      </c>
      <c r="AR166" s="288">
        <v>0</v>
      </c>
      <c r="AS166" s="288">
        <v>1021.84</v>
      </c>
      <c r="AT166" s="288">
        <v>31317780</v>
      </c>
      <c r="AU166" s="302">
        <v>774</v>
      </c>
      <c r="AV166" s="302">
        <v>19958728</v>
      </c>
      <c r="AW166" s="302">
        <v>514.27</v>
      </c>
      <c r="AX166" s="302">
        <v>14166005</v>
      </c>
      <c r="AY166" s="258">
        <v>381</v>
      </c>
      <c r="AZ166" s="258">
        <v>12985078</v>
      </c>
      <c r="BA166" s="258"/>
      <c r="BB166" s="258"/>
      <c r="BC166" s="258"/>
      <c r="BD166" s="258"/>
      <c r="BE166" s="258"/>
      <c r="BF166" s="291"/>
      <c r="BG166" s="291"/>
      <c r="BH166" s="291"/>
      <c r="BI166" s="291"/>
      <c r="BJ166" s="258">
        <f t="shared" si="71"/>
        <v>2691.11</v>
      </c>
      <c r="BK166" s="258">
        <f t="shared" si="72"/>
        <v>78427591</v>
      </c>
      <c r="BL166" s="172"/>
      <c r="BM166" s="231"/>
      <c r="BP166" s="231"/>
    </row>
    <row r="167" spans="1:1165">
      <c r="A167" s="220" t="s">
        <v>259</v>
      </c>
      <c r="B167" s="195"/>
      <c r="C167" s="258">
        <f t="shared" ref="C167:R167" si="73">SUM(C164:C166)</f>
        <v>3008</v>
      </c>
      <c r="D167" s="258">
        <f t="shared" si="73"/>
        <v>21968147</v>
      </c>
      <c r="E167" s="258">
        <f t="shared" si="73"/>
        <v>983</v>
      </c>
      <c r="F167" s="258">
        <f t="shared" si="73"/>
        <v>13023142</v>
      </c>
      <c r="G167" s="258">
        <f t="shared" si="73"/>
        <v>609</v>
      </c>
      <c r="H167" s="258">
        <f t="shared" si="73"/>
        <v>7689911</v>
      </c>
      <c r="I167" s="258">
        <f t="shared" si="73"/>
        <v>534</v>
      </c>
      <c r="J167" s="258">
        <f t="shared" si="73"/>
        <v>5314179</v>
      </c>
      <c r="K167" s="258">
        <f t="shared" si="73"/>
        <v>447</v>
      </c>
      <c r="L167" s="258">
        <f t="shared" si="73"/>
        <v>3169424</v>
      </c>
      <c r="M167" s="258">
        <f t="shared" si="73"/>
        <v>520</v>
      </c>
      <c r="N167" s="258">
        <f t="shared" si="73"/>
        <v>6556752</v>
      </c>
      <c r="O167" s="258">
        <f t="shared" si="73"/>
        <v>508</v>
      </c>
      <c r="P167" s="258">
        <f t="shared" si="73"/>
        <v>9629912</v>
      </c>
      <c r="Q167" s="288">
        <f t="shared" si="73"/>
        <v>484</v>
      </c>
      <c r="R167" s="288">
        <f t="shared" si="73"/>
        <v>5564158</v>
      </c>
      <c r="S167" s="288"/>
      <c r="T167" s="288">
        <f>SUM(T164:T166)</f>
        <v>1858290</v>
      </c>
      <c r="U167" s="284"/>
      <c r="V167" s="288">
        <f t="shared" ref="V167:AV167" si="74">SUM(V164:V166)</f>
        <v>4456414</v>
      </c>
      <c r="W167" s="284">
        <f t="shared" si="74"/>
        <v>261</v>
      </c>
      <c r="X167" s="284">
        <f t="shared" si="74"/>
        <v>4472086</v>
      </c>
      <c r="Y167" s="284">
        <f t="shared" si="74"/>
        <v>268</v>
      </c>
      <c r="Z167" s="284">
        <f t="shared" si="74"/>
        <v>4264988</v>
      </c>
      <c r="AA167" s="284">
        <f t="shared" si="74"/>
        <v>288</v>
      </c>
      <c r="AB167" s="302">
        <f t="shared" si="74"/>
        <v>6062266</v>
      </c>
      <c r="AC167" s="284">
        <f t="shared" si="74"/>
        <v>557</v>
      </c>
      <c r="AD167" s="302">
        <f t="shared" si="74"/>
        <v>30281378</v>
      </c>
      <c r="AE167" s="302">
        <f t="shared" si="74"/>
        <v>297</v>
      </c>
      <c r="AF167" s="302">
        <f t="shared" si="74"/>
        <v>10916333</v>
      </c>
      <c r="AG167" s="288">
        <f t="shared" si="74"/>
        <v>657</v>
      </c>
      <c r="AH167" s="288">
        <f t="shared" si="74"/>
        <v>35844989</v>
      </c>
      <c r="AI167" s="288">
        <f t="shared" si="74"/>
        <v>824</v>
      </c>
      <c r="AJ167" s="288">
        <f t="shared" si="74"/>
        <v>56374547</v>
      </c>
      <c r="AK167" s="288">
        <f t="shared" si="74"/>
        <v>942.28099999999995</v>
      </c>
      <c r="AL167" s="288">
        <f t="shared" si="74"/>
        <v>63521086</v>
      </c>
      <c r="AM167" s="288">
        <f t="shared" si="74"/>
        <v>1219.008</v>
      </c>
      <c r="AN167" s="288">
        <f t="shared" si="74"/>
        <v>58771721</v>
      </c>
      <c r="AO167" s="288">
        <f t="shared" si="74"/>
        <v>1269</v>
      </c>
      <c r="AP167" s="288">
        <f t="shared" si="74"/>
        <v>84579343</v>
      </c>
      <c r="AQ167" s="288">
        <f t="shared" si="74"/>
        <v>1010.34484</v>
      </c>
      <c r="AR167" s="288">
        <f t="shared" si="74"/>
        <v>37681101.764114715</v>
      </c>
      <c r="AS167" s="288">
        <f t="shared" si="74"/>
        <v>3599.3900000000003</v>
      </c>
      <c r="AT167" s="288">
        <f t="shared" si="74"/>
        <v>157654812</v>
      </c>
      <c r="AU167" s="302">
        <f t="shared" si="74"/>
        <v>4264.8999999999996</v>
      </c>
      <c r="AV167" s="302">
        <f t="shared" si="74"/>
        <v>146274071</v>
      </c>
      <c r="AW167" s="302"/>
      <c r="AX167" s="302">
        <f>SUM(AX164:AX166)</f>
        <v>118945459</v>
      </c>
      <c r="AY167" s="258"/>
      <c r="AZ167" s="258">
        <f>SUM(AZ164:AZ166)</f>
        <v>145038311</v>
      </c>
      <c r="BA167" s="265"/>
      <c r="BB167" s="258"/>
      <c r="BC167" s="258"/>
      <c r="BD167" s="258"/>
      <c r="BE167" s="291"/>
      <c r="BF167" s="291"/>
      <c r="BG167" s="291"/>
      <c r="BH167" s="291"/>
      <c r="BI167" s="291"/>
      <c r="BJ167" s="258">
        <f t="shared" si="71"/>
        <v>21566.923839999996</v>
      </c>
      <c r="BK167" s="258">
        <f t="shared" si="72"/>
        <v>1026889678.7641147</v>
      </c>
      <c r="BL167" s="172"/>
      <c r="BM167" s="231"/>
      <c r="BO167" s="231"/>
      <c r="BP167" s="231"/>
    </row>
    <row r="168" spans="1:1165">
      <c r="A168" s="222" t="s">
        <v>576</v>
      </c>
      <c r="B168" s="195" t="s">
        <v>87</v>
      </c>
      <c r="C168" s="258">
        <v>4109967</v>
      </c>
      <c r="D168" s="258">
        <v>1838854785</v>
      </c>
      <c r="E168" s="258">
        <v>396534</v>
      </c>
      <c r="F168" s="258">
        <v>303751597</v>
      </c>
      <c r="G168" s="258">
        <v>405946</v>
      </c>
      <c r="H168" s="258">
        <v>306484456</v>
      </c>
      <c r="I168" s="258">
        <v>457785</v>
      </c>
      <c r="J168" s="258">
        <v>332138957</v>
      </c>
      <c r="K168" s="258">
        <v>494007</v>
      </c>
      <c r="L168" s="258">
        <v>288621810</v>
      </c>
      <c r="M168" s="258">
        <v>496630</v>
      </c>
      <c r="N168" s="258">
        <v>320229972</v>
      </c>
      <c r="O168" s="258">
        <v>483207</v>
      </c>
      <c r="P168" s="258">
        <v>379142920</v>
      </c>
      <c r="Q168" s="258">
        <v>402398</v>
      </c>
      <c r="R168" s="258">
        <v>262931472</v>
      </c>
      <c r="S168" s="258">
        <v>416152</v>
      </c>
      <c r="T168" s="258">
        <v>291185395</v>
      </c>
      <c r="U168" s="284">
        <v>337723</v>
      </c>
      <c r="V168" s="284">
        <v>480849980</v>
      </c>
      <c r="W168" s="284">
        <v>384381</v>
      </c>
      <c r="X168" s="284">
        <v>678568855</v>
      </c>
      <c r="Y168" s="284">
        <v>486225</v>
      </c>
      <c r="Z168" s="284">
        <v>543077506</v>
      </c>
      <c r="AA168" s="302">
        <v>521511</v>
      </c>
      <c r="AB168" s="302">
        <v>567874813</v>
      </c>
      <c r="AC168" s="258">
        <v>462786</v>
      </c>
      <c r="AD168" s="258">
        <v>457569201</v>
      </c>
      <c r="AE168" s="302">
        <v>529997</v>
      </c>
      <c r="AF168" s="302">
        <v>437744354</v>
      </c>
      <c r="AG168" s="288">
        <v>677185</v>
      </c>
      <c r="AH168" s="288">
        <v>630129006</v>
      </c>
      <c r="AI168" s="288">
        <v>751788</v>
      </c>
      <c r="AJ168" s="288">
        <v>1094171929</v>
      </c>
      <c r="AK168" s="288">
        <v>764281</v>
      </c>
      <c r="AL168" s="288">
        <v>1033883708</v>
      </c>
      <c r="AM168" s="261">
        <v>873119</v>
      </c>
      <c r="AN168" s="261">
        <v>1136002794</v>
      </c>
      <c r="AO168" s="288">
        <v>952901</v>
      </c>
      <c r="AP168" s="288">
        <v>1039122520</v>
      </c>
      <c r="AQ168" s="288">
        <v>790080</v>
      </c>
      <c r="AR168" s="288">
        <v>1046218365</v>
      </c>
      <c r="AS168" s="288">
        <v>860689</v>
      </c>
      <c r="AT168" s="288">
        <v>1912004771</v>
      </c>
      <c r="AU168" s="302">
        <v>1010418</v>
      </c>
      <c r="AV168" s="302">
        <v>1671766445</v>
      </c>
      <c r="AW168" s="302">
        <v>1234067</v>
      </c>
      <c r="AX168" s="302">
        <v>1841344135</v>
      </c>
      <c r="AY168" s="258">
        <v>1501997</v>
      </c>
      <c r="AZ168" s="258">
        <v>2158863411</v>
      </c>
      <c r="BA168" s="258"/>
      <c r="BB168" s="258"/>
      <c r="BC168" s="291"/>
      <c r="BD168" s="258"/>
      <c r="BE168" s="291"/>
      <c r="BF168" s="291"/>
      <c r="BG168" s="291"/>
      <c r="BH168" s="291"/>
      <c r="BI168" s="291"/>
      <c r="BJ168" s="258">
        <f t="shared" si="71"/>
        <v>19405240</v>
      </c>
      <c r="BK168" s="258">
        <f t="shared" si="72"/>
        <v>20748781560</v>
      </c>
      <c r="BL168" s="172"/>
      <c r="BM168" s="231"/>
      <c r="BP168" s="231"/>
    </row>
    <row r="169" spans="1:1165">
      <c r="A169" s="222" t="s">
        <v>414</v>
      </c>
      <c r="B169" s="195" t="s">
        <v>87</v>
      </c>
      <c r="C169" s="258">
        <v>0</v>
      </c>
      <c r="D169" s="258">
        <v>0</v>
      </c>
      <c r="E169" s="258">
        <v>0</v>
      </c>
      <c r="F169" s="258">
        <v>0</v>
      </c>
      <c r="G169" s="288">
        <v>0</v>
      </c>
      <c r="H169" s="288">
        <v>0</v>
      </c>
      <c r="I169" s="288">
        <v>0</v>
      </c>
      <c r="J169" s="288">
        <v>0</v>
      </c>
      <c r="K169" s="258">
        <v>0</v>
      </c>
      <c r="L169" s="258">
        <v>0</v>
      </c>
      <c r="M169" s="258">
        <v>0</v>
      </c>
      <c r="N169" s="258">
        <v>0</v>
      </c>
      <c r="O169" s="258">
        <v>0</v>
      </c>
      <c r="P169" s="258">
        <v>0</v>
      </c>
      <c r="Q169" s="288">
        <v>0</v>
      </c>
      <c r="R169" s="288">
        <v>0</v>
      </c>
      <c r="S169" s="288">
        <v>0</v>
      </c>
      <c r="T169" s="288">
        <v>0</v>
      </c>
      <c r="U169" s="284">
        <v>0</v>
      </c>
      <c r="V169" s="284">
        <v>0</v>
      </c>
      <c r="W169" s="284">
        <v>0</v>
      </c>
      <c r="X169" s="284">
        <v>0</v>
      </c>
      <c r="Y169" s="302"/>
      <c r="Z169" s="302"/>
      <c r="AA169" s="302">
        <v>0</v>
      </c>
      <c r="AB169" s="302">
        <v>0</v>
      </c>
      <c r="AC169" s="288">
        <v>1056</v>
      </c>
      <c r="AD169" s="288">
        <v>2202178</v>
      </c>
      <c r="AE169" s="288">
        <v>0</v>
      </c>
      <c r="AF169" s="288">
        <v>0</v>
      </c>
      <c r="AG169" s="288">
        <v>0</v>
      </c>
      <c r="AH169" s="288">
        <v>0</v>
      </c>
      <c r="AI169" s="288">
        <v>0</v>
      </c>
      <c r="AJ169" s="288">
        <v>0</v>
      </c>
      <c r="AK169" s="288">
        <v>0</v>
      </c>
      <c r="AL169" s="288">
        <v>0</v>
      </c>
      <c r="AM169" s="288">
        <v>0</v>
      </c>
      <c r="AN169" s="288">
        <v>0</v>
      </c>
      <c r="AO169" s="288">
        <v>0</v>
      </c>
      <c r="AP169" s="288">
        <v>0</v>
      </c>
      <c r="AQ169" s="288">
        <v>3800.9760000000001</v>
      </c>
      <c r="AR169" s="288">
        <v>38741570</v>
      </c>
      <c r="AS169" s="288">
        <v>23939</v>
      </c>
      <c r="AT169" s="288">
        <v>339672398</v>
      </c>
      <c r="AU169" s="302">
        <v>35301.370000000003</v>
      </c>
      <c r="AV169" s="302">
        <v>402713927</v>
      </c>
      <c r="AW169" s="288">
        <v>32011.991000000002</v>
      </c>
      <c r="AX169" s="302">
        <v>401212339</v>
      </c>
      <c r="AY169" s="258">
        <v>38213</v>
      </c>
      <c r="AZ169" s="258">
        <v>521380522</v>
      </c>
      <c r="BA169" s="225"/>
      <c r="BB169" s="266"/>
      <c r="BC169" s="291"/>
      <c r="BD169" s="266"/>
      <c r="BE169" s="291"/>
      <c r="BF169" s="291"/>
      <c r="BG169" s="291"/>
      <c r="BH169" s="291"/>
      <c r="BI169" s="291"/>
      <c r="BJ169" s="258">
        <f t="shared" si="71"/>
        <v>134322.337</v>
      </c>
      <c r="BK169" s="258">
        <f t="shared" si="72"/>
        <v>1705922934</v>
      </c>
      <c r="BL169" s="172"/>
      <c r="BM169" s="231"/>
      <c r="BO169" s="231"/>
      <c r="BP169" s="231"/>
    </row>
    <row r="170" spans="1:1165">
      <c r="A170" s="222" t="s">
        <v>260</v>
      </c>
      <c r="B170" s="195" t="s">
        <v>87</v>
      </c>
      <c r="C170" s="258">
        <v>782698</v>
      </c>
      <c r="D170" s="258">
        <v>70699625</v>
      </c>
      <c r="E170" s="258">
        <v>86565</v>
      </c>
      <c r="F170" s="258">
        <v>18554973</v>
      </c>
      <c r="G170" s="258">
        <v>85894</v>
      </c>
      <c r="H170" s="258">
        <v>17869788</v>
      </c>
      <c r="I170" s="258">
        <v>98187</v>
      </c>
      <c r="J170" s="258">
        <v>19411692</v>
      </c>
      <c r="K170" s="258">
        <v>19399</v>
      </c>
      <c r="L170" s="258">
        <v>2919743</v>
      </c>
      <c r="M170" s="258">
        <v>0</v>
      </c>
      <c r="N170" s="258">
        <v>0</v>
      </c>
      <c r="O170" s="258">
        <v>17877</v>
      </c>
      <c r="P170" s="258">
        <v>3383183</v>
      </c>
      <c r="Q170" s="258">
        <v>66715</v>
      </c>
      <c r="R170" s="258">
        <v>12207125</v>
      </c>
      <c r="S170" s="258">
        <v>20602</v>
      </c>
      <c r="T170" s="258">
        <v>2965739</v>
      </c>
      <c r="U170" s="284">
        <v>0</v>
      </c>
      <c r="V170" s="284">
        <v>0</v>
      </c>
      <c r="W170" s="284">
        <v>17101</v>
      </c>
      <c r="X170" s="284">
        <v>10281141</v>
      </c>
      <c r="Y170" s="284">
        <v>28649</v>
      </c>
      <c r="Z170" s="284">
        <v>14892472</v>
      </c>
      <c r="AA170" s="302">
        <v>2318</v>
      </c>
      <c r="AB170" s="302">
        <v>1368276</v>
      </c>
      <c r="AC170" s="284">
        <v>2892</v>
      </c>
      <c r="AD170" s="284">
        <v>1767117</v>
      </c>
      <c r="AE170" s="288">
        <v>0</v>
      </c>
      <c r="AF170" s="288">
        <v>0</v>
      </c>
      <c r="AG170" s="288">
        <v>0</v>
      </c>
      <c r="AH170" s="288">
        <v>0</v>
      </c>
      <c r="AI170" s="288">
        <v>0</v>
      </c>
      <c r="AJ170" s="288">
        <v>0</v>
      </c>
      <c r="AK170" s="288">
        <v>0</v>
      </c>
      <c r="AL170" s="288">
        <v>0</v>
      </c>
      <c r="AM170" s="288">
        <v>0</v>
      </c>
      <c r="AN170" s="288">
        <v>0</v>
      </c>
      <c r="AO170" s="288">
        <v>0</v>
      </c>
      <c r="AP170" s="288">
        <v>0</v>
      </c>
      <c r="AQ170" s="288">
        <v>0</v>
      </c>
      <c r="AR170" s="288">
        <v>0</v>
      </c>
      <c r="AS170" s="288">
        <v>0</v>
      </c>
      <c r="AT170" s="288">
        <v>0</v>
      </c>
      <c r="AU170" s="288">
        <v>0</v>
      </c>
      <c r="AV170" s="288">
        <v>0</v>
      </c>
      <c r="AW170" s="288">
        <v>0</v>
      </c>
      <c r="AX170" s="302">
        <v>0</v>
      </c>
      <c r="AY170" s="258">
        <v>0</v>
      </c>
      <c r="AZ170" s="258">
        <v>0</v>
      </c>
      <c r="BA170" s="225"/>
      <c r="BB170" s="266"/>
      <c r="BC170" s="266"/>
      <c r="BD170" s="266"/>
      <c r="BE170" s="266"/>
      <c r="BF170" s="266"/>
      <c r="BG170" s="266"/>
      <c r="BH170" s="266"/>
      <c r="BI170" s="225"/>
      <c r="BJ170" s="266">
        <f t="shared" si="71"/>
        <v>1142332</v>
      </c>
      <c r="BK170" s="258">
        <f t="shared" si="72"/>
        <v>157765901</v>
      </c>
      <c r="BL170" s="172"/>
      <c r="BM170" s="231"/>
      <c r="BN170" s="231"/>
      <c r="BO170" s="231"/>
      <c r="BP170" s="231"/>
    </row>
    <row r="171" spans="1:1165">
      <c r="A171" s="222" t="s">
        <v>409</v>
      </c>
      <c r="B171" s="195" t="s">
        <v>160</v>
      </c>
      <c r="C171" s="258">
        <v>1622</v>
      </c>
      <c r="D171" s="258">
        <v>4426647</v>
      </c>
      <c r="E171" s="258">
        <v>328</v>
      </c>
      <c r="F171" s="258">
        <v>1834614</v>
      </c>
      <c r="G171" s="258">
        <v>401</v>
      </c>
      <c r="H171" s="258">
        <v>1254422</v>
      </c>
      <c r="I171" s="258">
        <v>416</v>
      </c>
      <c r="J171" s="258">
        <v>1112023</v>
      </c>
      <c r="K171" s="258">
        <v>449</v>
      </c>
      <c r="L171" s="258">
        <v>1963478</v>
      </c>
      <c r="M171" s="258">
        <v>523</v>
      </c>
      <c r="N171" s="258">
        <v>2693559</v>
      </c>
      <c r="O171" s="258">
        <v>476</v>
      </c>
      <c r="P171" s="258">
        <v>2382702</v>
      </c>
      <c r="Q171" s="258">
        <v>482</v>
      </c>
      <c r="R171" s="258">
        <v>2557435</v>
      </c>
      <c r="S171" s="258">
        <v>450</v>
      </c>
      <c r="T171" s="258">
        <v>2980875</v>
      </c>
      <c r="U171" s="284">
        <v>360</v>
      </c>
      <c r="V171" s="284">
        <v>2118657</v>
      </c>
      <c r="W171" s="284">
        <v>323</v>
      </c>
      <c r="X171" s="284">
        <v>1917445</v>
      </c>
      <c r="Y171" s="284">
        <v>435</v>
      </c>
      <c r="Z171" s="284">
        <v>1185127</v>
      </c>
      <c r="AA171" s="302">
        <v>351</v>
      </c>
      <c r="AB171" s="302">
        <v>1260296</v>
      </c>
      <c r="AC171" s="284">
        <v>539</v>
      </c>
      <c r="AD171" s="284">
        <v>1372039</v>
      </c>
      <c r="AE171" s="288">
        <v>405</v>
      </c>
      <c r="AF171" s="302">
        <v>2035430</v>
      </c>
      <c r="AG171" s="288">
        <v>450</v>
      </c>
      <c r="AH171" s="288">
        <v>2904466</v>
      </c>
      <c r="AI171" s="288">
        <v>528</v>
      </c>
      <c r="AJ171" s="288">
        <v>3065446</v>
      </c>
      <c r="AK171" s="288">
        <v>558.78599999999994</v>
      </c>
      <c r="AL171" s="288">
        <v>2416416</v>
      </c>
      <c r="AM171" s="261">
        <v>429.30700000000002</v>
      </c>
      <c r="AN171" s="261">
        <v>3227915</v>
      </c>
      <c r="AO171" s="288">
        <v>827</v>
      </c>
      <c r="AP171" s="288">
        <v>10096972</v>
      </c>
      <c r="AQ171" s="288">
        <v>815.52119984889157</v>
      </c>
      <c r="AR171" s="288">
        <v>10566068.640663452</v>
      </c>
      <c r="AS171" s="288">
        <v>812.19299999999998</v>
      </c>
      <c r="AT171" s="288">
        <v>28280483</v>
      </c>
      <c r="AU171" s="302">
        <v>827.71299999999997</v>
      </c>
      <c r="AV171" s="302">
        <v>32267391</v>
      </c>
      <c r="AW171" s="288">
        <v>810.452</v>
      </c>
      <c r="AX171" s="302">
        <v>16146791</v>
      </c>
      <c r="AY171" s="258">
        <v>477.05799999999999</v>
      </c>
      <c r="AZ171" s="258">
        <v>4002358</v>
      </c>
      <c r="BA171" s="262"/>
      <c r="BB171" s="284"/>
      <c r="BC171" s="284"/>
      <c r="BD171" s="284"/>
      <c r="BE171" s="284"/>
      <c r="BF171" s="291"/>
      <c r="BG171" s="291"/>
      <c r="BH171" s="291"/>
      <c r="BI171" s="262"/>
      <c r="BJ171" s="266">
        <f t="shared" si="71"/>
        <v>13768.03019984889</v>
      </c>
      <c r="BK171" s="258">
        <f t="shared" si="72"/>
        <v>142234441.64066344</v>
      </c>
      <c r="BL171" s="172"/>
      <c r="BM171" s="231"/>
      <c r="BN171" s="231"/>
      <c r="BP171" s="231"/>
    </row>
    <row r="172" spans="1:1165">
      <c r="A172" s="222" t="s">
        <v>410</v>
      </c>
      <c r="B172" s="195" t="s">
        <v>160</v>
      </c>
      <c r="C172" s="258">
        <v>626</v>
      </c>
      <c r="D172" s="258">
        <v>3918687</v>
      </c>
      <c r="E172" s="258">
        <v>64</v>
      </c>
      <c r="F172" s="258">
        <v>954184</v>
      </c>
      <c r="G172" s="258">
        <v>65</v>
      </c>
      <c r="H172" s="258">
        <v>868736</v>
      </c>
      <c r="I172" s="258">
        <v>74</v>
      </c>
      <c r="J172" s="258">
        <v>933357</v>
      </c>
      <c r="K172" s="258">
        <v>52</v>
      </c>
      <c r="L172" s="258">
        <v>863905</v>
      </c>
      <c r="M172" s="258">
        <v>66</v>
      </c>
      <c r="N172" s="258">
        <v>1010176</v>
      </c>
      <c r="O172" s="258">
        <v>95</v>
      </c>
      <c r="P172" s="258">
        <v>1405304</v>
      </c>
      <c r="Q172" s="258">
        <v>115</v>
      </c>
      <c r="R172" s="258">
        <v>2459690</v>
      </c>
      <c r="S172" s="258">
        <v>84</v>
      </c>
      <c r="T172" s="258">
        <v>2150013</v>
      </c>
      <c r="U172" s="288">
        <v>73</v>
      </c>
      <c r="V172" s="288">
        <v>1584833</v>
      </c>
      <c r="W172" s="284">
        <v>61</v>
      </c>
      <c r="X172" s="284">
        <v>1275979</v>
      </c>
      <c r="Y172" s="284">
        <v>96</v>
      </c>
      <c r="Z172" s="284">
        <v>1235806</v>
      </c>
      <c r="AA172" s="302">
        <v>82</v>
      </c>
      <c r="AB172" s="302">
        <v>1494173</v>
      </c>
      <c r="AC172" s="258">
        <v>143</v>
      </c>
      <c r="AD172" s="258">
        <v>1249742</v>
      </c>
      <c r="AE172" s="288">
        <v>79</v>
      </c>
      <c r="AF172" s="302">
        <v>1142319</v>
      </c>
      <c r="AG172" s="288">
        <v>113</v>
      </c>
      <c r="AH172" s="288">
        <v>1266118</v>
      </c>
      <c r="AI172" s="288">
        <v>74</v>
      </c>
      <c r="AJ172" s="288">
        <v>1734790</v>
      </c>
      <c r="AK172" s="288">
        <v>119.31399999999999</v>
      </c>
      <c r="AL172" s="288">
        <v>1584578</v>
      </c>
      <c r="AM172" s="261">
        <v>314.654</v>
      </c>
      <c r="AN172" s="261">
        <v>2419386</v>
      </c>
      <c r="AO172" s="288">
        <v>155</v>
      </c>
      <c r="AP172" s="288">
        <v>2852073</v>
      </c>
      <c r="AQ172" s="288">
        <v>90.426869773498154</v>
      </c>
      <c r="AR172" s="288">
        <v>1700644.5099171938</v>
      </c>
      <c r="AS172" s="288">
        <v>170.58199999999999</v>
      </c>
      <c r="AT172" s="288">
        <v>4976316</v>
      </c>
      <c r="AU172" s="302">
        <v>173.685</v>
      </c>
      <c r="AV172" s="302">
        <v>5302472</v>
      </c>
      <c r="AW172" s="288">
        <v>122.00200000000001</v>
      </c>
      <c r="AX172" s="302">
        <v>2945218</v>
      </c>
      <c r="AY172" s="258">
        <v>133.346</v>
      </c>
      <c r="AZ172" s="258">
        <v>4306903</v>
      </c>
      <c r="BA172" s="262"/>
      <c r="BB172" s="284"/>
      <c r="BC172" s="284"/>
      <c r="BD172" s="284"/>
      <c r="BE172" s="284"/>
      <c r="BF172" s="291"/>
      <c r="BG172" s="291"/>
      <c r="BH172" s="291"/>
      <c r="BI172" s="262"/>
      <c r="BJ172" s="266">
        <f t="shared" si="71"/>
        <v>3177.0098697734979</v>
      </c>
      <c r="BK172" s="258">
        <f t="shared" si="72"/>
        <v>50681218.509917192</v>
      </c>
      <c r="BL172" s="172"/>
      <c r="BM172" s="231"/>
      <c r="BN172" s="231"/>
      <c r="BP172" s="231"/>
    </row>
    <row r="173" spans="1:1165">
      <c r="A173" s="222" t="s">
        <v>261</v>
      </c>
      <c r="B173" s="195" t="s">
        <v>160</v>
      </c>
      <c r="C173" s="258">
        <v>32</v>
      </c>
      <c r="D173" s="258">
        <v>51640</v>
      </c>
      <c r="E173" s="258">
        <v>0</v>
      </c>
      <c r="F173" s="258">
        <v>0</v>
      </c>
      <c r="G173" s="258">
        <v>0</v>
      </c>
      <c r="H173" s="258">
        <v>0</v>
      </c>
      <c r="I173" s="258">
        <v>0</v>
      </c>
      <c r="J173" s="258">
        <v>0</v>
      </c>
      <c r="K173" s="258">
        <v>0</v>
      </c>
      <c r="L173" s="258">
        <v>0</v>
      </c>
      <c r="M173" s="258">
        <v>0</v>
      </c>
      <c r="N173" s="258">
        <v>0</v>
      </c>
      <c r="O173" s="258">
        <v>0</v>
      </c>
      <c r="P173" s="258">
        <v>0</v>
      </c>
      <c r="Q173" s="258">
        <v>0</v>
      </c>
      <c r="R173" s="258">
        <v>0</v>
      </c>
      <c r="S173" s="258">
        <v>0</v>
      </c>
      <c r="T173" s="258">
        <v>0</v>
      </c>
      <c r="U173" s="258">
        <v>0</v>
      </c>
      <c r="V173" s="258">
        <v>0</v>
      </c>
      <c r="W173" s="258">
        <v>0</v>
      </c>
      <c r="X173" s="258">
        <v>0</v>
      </c>
      <c r="Y173" s="258">
        <v>0</v>
      </c>
      <c r="Z173" s="258">
        <v>0</v>
      </c>
      <c r="AA173" s="258">
        <v>0</v>
      </c>
      <c r="AB173" s="258">
        <v>0</v>
      </c>
      <c r="AC173" s="258">
        <v>0</v>
      </c>
      <c r="AD173" s="258">
        <v>0</v>
      </c>
      <c r="AE173" s="258">
        <v>0</v>
      </c>
      <c r="AF173" s="258">
        <v>0</v>
      </c>
      <c r="AG173" s="258">
        <v>0</v>
      </c>
      <c r="AH173" s="258">
        <v>0</v>
      </c>
      <c r="AI173" s="258">
        <v>0</v>
      </c>
      <c r="AJ173" s="258">
        <v>0</v>
      </c>
      <c r="AK173" s="258">
        <v>0</v>
      </c>
      <c r="AL173" s="258">
        <v>0</v>
      </c>
      <c r="AM173" s="258">
        <v>0</v>
      </c>
      <c r="AN173" s="258">
        <v>0</v>
      </c>
      <c r="AO173" s="258">
        <v>0</v>
      </c>
      <c r="AP173" s="258">
        <v>0</v>
      </c>
      <c r="AQ173" s="258">
        <v>0</v>
      </c>
      <c r="AR173" s="258">
        <v>0</v>
      </c>
      <c r="AS173" s="258">
        <v>0</v>
      </c>
      <c r="AT173" s="258">
        <v>0</v>
      </c>
      <c r="AU173" s="258">
        <v>0</v>
      </c>
      <c r="AV173" s="258">
        <v>0</v>
      </c>
      <c r="AW173" s="302">
        <v>0</v>
      </c>
      <c r="AX173" s="302">
        <v>0</v>
      </c>
      <c r="AY173" s="258">
        <v>0</v>
      </c>
      <c r="AZ173" s="258">
        <v>0</v>
      </c>
      <c r="BA173" s="195"/>
      <c r="BB173" s="224"/>
      <c r="BC173" s="224"/>
      <c r="BD173" s="224"/>
      <c r="BE173" s="224"/>
      <c r="BF173" s="224"/>
      <c r="BG173" s="224"/>
      <c r="BH173" s="224"/>
      <c r="BI173" s="195"/>
      <c r="BJ173" s="224">
        <f t="shared" si="71"/>
        <v>32</v>
      </c>
      <c r="BK173" s="258">
        <f t="shared" si="72"/>
        <v>51640</v>
      </c>
      <c r="BL173" s="172"/>
      <c r="BM173" s="231"/>
      <c r="BN173" s="231"/>
      <c r="BP173" s="231"/>
    </row>
    <row r="174" spans="1:1165">
      <c r="A174" s="220" t="s">
        <v>262</v>
      </c>
      <c r="B174" s="215"/>
      <c r="C174" s="284"/>
      <c r="D174" s="284">
        <f>SUM(D167:D173)</f>
        <v>1939919531</v>
      </c>
      <c r="E174" s="284"/>
      <c r="F174" s="284">
        <f>SUM(F167:F173)</f>
        <v>338118510</v>
      </c>
      <c r="G174" s="284"/>
      <c r="H174" s="284">
        <f>SUM(H167:H173)</f>
        <v>334167313</v>
      </c>
      <c r="I174" s="284"/>
      <c r="J174" s="284">
        <f>SUM(J167:J173)</f>
        <v>358910208</v>
      </c>
      <c r="K174" s="284"/>
      <c r="L174" s="284">
        <f>SUM(L167:L173)</f>
        <v>297538360</v>
      </c>
      <c r="M174" s="284"/>
      <c r="N174" s="284">
        <f>SUM(N167:N173)</f>
        <v>330490459</v>
      </c>
      <c r="O174" s="284"/>
      <c r="P174" s="284">
        <f>SUM(P167:P173)</f>
        <v>395944021</v>
      </c>
      <c r="Q174" s="284"/>
      <c r="R174" s="284">
        <f>SUM(R167:R173)</f>
        <v>285719880</v>
      </c>
      <c r="S174" s="284"/>
      <c r="T174" s="284">
        <f>SUM(T167:T173)</f>
        <v>301140312</v>
      </c>
      <c r="U174" s="288"/>
      <c r="V174" s="288">
        <f>SUM(V167:V173)</f>
        <v>489009884</v>
      </c>
      <c r="W174" s="288"/>
      <c r="X174" s="284">
        <f>SUM(X167:X173)</f>
        <v>696515506</v>
      </c>
      <c r="Y174" s="288"/>
      <c r="Z174" s="284">
        <f>SUM(Z167:Z173)</f>
        <v>564655899</v>
      </c>
      <c r="AA174" s="288"/>
      <c r="AB174" s="302">
        <f>SUM(AB167:AB173)</f>
        <v>578059824</v>
      </c>
      <c r="AC174" s="258"/>
      <c r="AD174" s="302">
        <f>SUM(AD167:AD173)</f>
        <v>494441655</v>
      </c>
      <c r="AE174" s="302"/>
      <c r="AF174" s="302">
        <f>SUM(AF167:AF173)</f>
        <v>451838436</v>
      </c>
      <c r="AG174" s="288"/>
      <c r="AH174" s="288">
        <f>SUM(AH167:AH173)</f>
        <v>670144579</v>
      </c>
      <c r="AI174" s="288"/>
      <c r="AJ174" s="288">
        <f>SUM(AJ167:AJ173)</f>
        <v>1155346712</v>
      </c>
      <c r="AK174" s="288"/>
      <c r="AL174" s="288">
        <f>SUM(AL167:AL173)</f>
        <v>1101405788</v>
      </c>
      <c r="AM174" s="261"/>
      <c r="AN174" s="261">
        <f>SUM(AN167:AN173)</f>
        <v>1200421816</v>
      </c>
      <c r="AO174" s="288"/>
      <c r="AP174" s="288">
        <f>SUM(AP167:AP173)</f>
        <v>1136650908</v>
      </c>
      <c r="AQ174" s="288"/>
      <c r="AR174" s="288">
        <f>SUM(AR167:AR173)</f>
        <v>1134907749.9146953</v>
      </c>
      <c r="AS174" s="288"/>
      <c r="AT174" s="288">
        <f>SUM(AT167:AT173)</f>
        <v>2442588780</v>
      </c>
      <c r="AU174" s="288"/>
      <c r="AV174" s="302">
        <f>SUM(AV167:AV173)</f>
        <v>2258324306</v>
      </c>
      <c r="AW174" s="258"/>
      <c r="AX174" s="258">
        <f>SUM(AX167:AX173)</f>
        <v>2380593942</v>
      </c>
      <c r="AY174" s="265"/>
      <c r="AZ174" s="258">
        <f>SUM(AZ167:AZ173)</f>
        <v>2833591505</v>
      </c>
      <c r="BA174" s="265"/>
      <c r="BB174" s="258"/>
      <c r="BC174" s="258"/>
      <c r="BD174" s="258"/>
      <c r="BE174" s="291"/>
      <c r="BF174" s="258"/>
      <c r="BG174" s="258"/>
      <c r="BH174" s="291"/>
      <c r="BI174" s="291"/>
      <c r="BJ174" s="258"/>
      <c r="BK174" s="258">
        <f t="shared" si="72"/>
        <v>23832327373.914696</v>
      </c>
      <c r="BL174" s="172"/>
      <c r="BM174" s="231"/>
      <c r="BP174" s="231"/>
    </row>
    <row r="175" spans="1:1165">
      <c r="A175" s="220"/>
      <c r="B175" s="215"/>
      <c r="C175" s="284"/>
      <c r="D175" s="284"/>
      <c r="E175" s="284"/>
      <c r="F175" s="284"/>
      <c r="G175" s="284"/>
      <c r="H175" s="284"/>
      <c r="I175" s="284"/>
      <c r="J175" s="284"/>
      <c r="K175" s="284"/>
      <c r="L175" s="284"/>
      <c r="M175" s="284"/>
      <c r="N175" s="284"/>
      <c r="O175" s="284"/>
      <c r="P175" s="284"/>
      <c r="Q175" s="284"/>
      <c r="R175" s="284"/>
      <c r="S175" s="284"/>
      <c r="T175" s="284"/>
      <c r="U175" s="288"/>
      <c r="V175" s="288"/>
      <c r="W175" s="288"/>
      <c r="X175" s="284"/>
      <c r="Y175" s="288"/>
      <c r="Z175" s="284"/>
      <c r="AA175" s="288"/>
      <c r="AB175" s="302"/>
      <c r="AC175" s="258"/>
      <c r="AD175" s="302"/>
      <c r="AE175" s="302"/>
      <c r="AF175" s="302"/>
      <c r="AG175" s="288"/>
      <c r="AH175" s="288"/>
      <c r="AI175" s="288"/>
      <c r="AJ175" s="288"/>
      <c r="AK175" s="288"/>
      <c r="AL175" s="288"/>
      <c r="AM175" s="261"/>
      <c r="AN175" s="261"/>
      <c r="AO175" s="288"/>
      <c r="AP175" s="288"/>
      <c r="AQ175" s="288"/>
      <c r="AR175" s="288"/>
      <c r="AS175" s="288"/>
      <c r="AT175" s="288"/>
      <c r="AU175" s="288"/>
      <c r="AV175" s="302"/>
      <c r="AW175" s="256"/>
      <c r="AX175" s="256"/>
      <c r="AY175" s="255"/>
      <c r="AZ175" s="258"/>
      <c r="BA175" s="262"/>
      <c r="BB175" s="256"/>
      <c r="BC175" s="256"/>
      <c r="BD175" s="256"/>
      <c r="BE175" s="256"/>
      <c r="BF175" s="256"/>
      <c r="BG175" s="256"/>
      <c r="BH175" s="256"/>
      <c r="BI175" s="262"/>
      <c r="BJ175" s="256"/>
      <c r="BK175" s="256"/>
      <c r="BL175" s="172"/>
      <c r="BM175" s="231"/>
      <c r="BP175" s="231"/>
    </row>
    <row r="176" spans="1:1165" s="257" customFormat="1">
      <c r="A176" s="1483" t="s">
        <v>263</v>
      </c>
      <c r="B176" s="1511"/>
      <c r="C176" s="1512"/>
      <c r="D176" s="1512">
        <v>3893</v>
      </c>
      <c r="E176" s="1512">
        <v>0</v>
      </c>
      <c r="F176" s="1512">
        <v>0</v>
      </c>
      <c r="G176" s="1512">
        <v>0</v>
      </c>
      <c r="H176" s="1512">
        <v>0</v>
      </c>
      <c r="I176" s="1512">
        <v>0</v>
      </c>
      <c r="J176" s="1512">
        <v>0</v>
      </c>
      <c r="K176" s="1512">
        <v>0</v>
      </c>
      <c r="L176" s="1512">
        <v>0</v>
      </c>
      <c r="M176" s="1512">
        <v>16729</v>
      </c>
      <c r="N176" s="1512">
        <v>215936</v>
      </c>
      <c r="O176" s="1489">
        <v>0</v>
      </c>
      <c r="P176" s="1489">
        <v>0</v>
      </c>
      <c r="Q176" s="1489">
        <v>0</v>
      </c>
      <c r="R176" s="1489">
        <v>0</v>
      </c>
      <c r="S176" s="1489">
        <v>0</v>
      </c>
      <c r="T176" s="1489">
        <v>0</v>
      </c>
      <c r="U176" s="1489">
        <v>0</v>
      </c>
      <c r="V176" s="1489">
        <v>0</v>
      </c>
      <c r="W176" s="1489">
        <v>0</v>
      </c>
      <c r="X176" s="1489">
        <v>0</v>
      </c>
      <c r="Y176" s="1489">
        <v>0</v>
      </c>
      <c r="Z176" s="1489">
        <v>0</v>
      </c>
      <c r="AA176" s="1489">
        <v>0</v>
      </c>
      <c r="AB176" s="1489">
        <v>0</v>
      </c>
      <c r="AC176" s="1489">
        <v>0</v>
      </c>
      <c r="AD176" s="1489">
        <v>0</v>
      </c>
      <c r="AE176" s="1489">
        <v>0</v>
      </c>
      <c r="AF176" s="1489">
        <v>0</v>
      </c>
      <c r="AG176" s="1489">
        <v>0</v>
      </c>
      <c r="AH176" s="1489">
        <v>0</v>
      </c>
      <c r="AI176" s="1489">
        <v>0</v>
      </c>
      <c r="AJ176" s="1489">
        <v>0</v>
      </c>
      <c r="AK176" s="1489">
        <v>0</v>
      </c>
      <c r="AL176" s="1489">
        <v>0</v>
      </c>
      <c r="AM176" s="1489">
        <v>0</v>
      </c>
      <c r="AN176" s="1489">
        <v>0</v>
      </c>
      <c r="AO176" s="1489">
        <v>0</v>
      </c>
      <c r="AP176" s="1489">
        <v>0</v>
      </c>
      <c r="AQ176" s="1489">
        <v>0</v>
      </c>
      <c r="AR176" s="1489">
        <v>0</v>
      </c>
      <c r="AS176" s="1489">
        <v>0</v>
      </c>
      <c r="AT176" s="1489">
        <v>0</v>
      </c>
      <c r="AU176" s="1489">
        <v>0</v>
      </c>
      <c r="AV176" s="1489">
        <v>0</v>
      </c>
      <c r="AW176" s="1512">
        <v>0</v>
      </c>
      <c r="AX176" s="1512">
        <v>0</v>
      </c>
      <c r="AY176" s="1512">
        <v>0</v>
      </c>
      <c r="AZ176" s="1512">
        <v>0</v>
      </c>
      <c r="BA176" s="1513"/>
      <c r="BB176" s="1512"/>
      <c r="BC176" s="1512"/>
      <c r="BD176" s="1512"/>
      <c r="BE176" s="1513"/>
      <c r="BF176" s="1512"/>
      <c r="BG176" s="1512"/>
      <c r="BH176" s="1512"/>
      <c r="BI176" s="1513"/>
      <c r="BJ176" s="1512">
        <f>C176+G176+I176+K176+M176+O176+Q176+S176+U176+W176+Y176+AA176+AC176+AE176+AG176+AI176+AK176+AM176+AO176+AQ176+AS176+AU176+AW176+AY176+BB176+BF176</f>
        <v>16729</v>
      </c>
      <c r="BK176" s="1514">
        <f>D176+H176+J176+L176+N176+P176+R176+T176+V176+X176+Z176+AB176+AD176+AF176+AH176+AJ176+AL176+AN176+AP176+AR176+AT176+AV176+AX176+AZ176+BD176+BH176</f>
        <v>219829</v>
      </c>
      <c r="BL176" s="172"/>
      <c r="BM176" s="231"/>
      <c r="BN176" s="172"/>
      <c r="BO176" s="172"/>
      <c r="BP176" s="231"/>
      <c r="BQ176" s="172"/>
      <c r="BR176" s="172"/>
      <c r="BS176" s="172"/>
      <c r="BT176" s="172"/>
      <c r="BU176" s="172"/>
      <c r="BV176" s="172"/>
      <c r="BW176" s="172"/>
      <c r="BX176" s="172"/>
      <c r="BY176" s="172"/>
      <c r="BZ176" s="172"/>
      <c r="CA176" s="172"/>
      <c r="CB176" s="172"/>
      <c r="CC176" s="172"/>
      <c r="CD176" s="172"/>
      <c r="CE176" s="172"/>
      <c r="CF176" s="172"/>
      <c r="CG176" s="172"/>
      <c r="CH176" s="172"/>
      <c r="CI176" s="172"/>
      <c r="CJ176" s="172"/>
      <c r="CK176" s="172"/>
      <c r="CL176" s="172"/>
      <c r="CM176" s="172"/>
      <c r="CN176" s="172"/>
      <c r="CO176" s="172"/>
      <c r="CP176" s="172"/>
      <c r="CQ176" s="172"/>
      <c r="CR176" s="172"/>
      <c r="CS176" s="172"/>
      <c r="CT176" s="172"/>
      <c r="CU176" s="172"/>
      <c r="CV176" s="172"/>
      <c r="CW176" s="172"/>
      <c r="CX176" s="172"/>
      <c r="CY176" s="172"/>
      <c r="CZ176" s="172"/>
      <c r="DA176" s="172"/>
      <c r="DB176" s="172"/>
      <c r="DC176" s="172"/>
      <c r="DD176" s="172"/>
      <c r="DE176" s="172"/>
      <c r="DF176" s="172"/>
      <c r="DG176" s="172"/>
      <c r="DH176" s="172"/>
      <c r="DI176" s="172"/>
      <c r="DJ176" s="172"/>
      <c r="DK176" s="172"/>
      <c r="DL176" s="172"/>
      <c r="DM176" s="172"/>
      <c r="DN176" s="172"/>
      <c r="DO176" s="172"/>
      <c r="DP176" s="172"/>
      <c r="DQ176" s="172"/>
      <c r="DR176" s="172"/>
      <c r="DS176" s="172"/>
      <c r="DT176" s="172"/>
      <c r="DU176" s="172"/>
      <c r="DV176" s="172"/>
      <c r="DW176" s="172"/>
      <c r="DX176" s="172"/>
      <c r="DY176" s="172"/>
      <c r="DZ176" s="172"/>
      <c r="EA176" s="172"/>
      <c r="EB176" s="172"/>
      <c r="EC176" s="172"/>
      <c r="ED176" s="172"/>
      <c r="EE176" s="172"/>
      <c r="EF176" s="172"/>
      <c r="EG176" s="172"/>
      <c r="EH176" s="172"/>
      <c r="EI176" s="172"/>
      <c r="EJ176" s="172"/>
      <c r="EK176" s="172"/>
      <c r="EL176" s="172"/>
      <c r="EM176" s="172"/>
      <c r="EN176" s="172"/>
      <c r="EO176" s="172"/>
      <c r="EP176" s="172"/>
      <c r="EQ176" s="172"/>
      <c r="ER176" s="172"/>
      <c r="ES176" s="172"/>
      <c r="ET176" s="172"/>
      <c r="EU176" s="172"/>
      <c r="EV176" s="172"/>
      <c r="EW176" s="172"/>
      <c r="EX176" s="172"/>
      <c r="EY176" s="172"/>
      <c r="EZ176" s="172"/>
      <c r="FA176" s="172"/>
      <c r="FB176" s="172"/>
      <c r="FC176" s="172"/>
      <c r="FD176" s="172"/>
      <c r="FE176" s="172"/>
      <c r="FF176" s="172"/>
      <c r="FG176" s="172"/>
      <c r="FH176" s="172"/>
      <c r="FI176" s="172"/>
      <c r="FJ176" s="172"/>
      <c r="FK176" s="172"/>
      <c r="FL176" s="172"/>
      <c r="FM176" s="172"/>
      <c r="FN176" s="172"/>
      <c r="FO176" s="172"/>
      <c r="FP176" s="172"/>
      <c r="FQ176" s="172"/>
      <c r="FR176" s="172"/>
      <c r="FS176" s="172"/>
      <c r="FT176" s="172"/>
      <c r="FU176" s="172"/>
      <c r="FV176" s="172"/>
      <c r="FW176" s="172"/>
      <c r="FX176" s="172"/>
      <c r="FY176" s="172"/>
      <c r="FZ176" s="172"/>
      <c r="GA176" s="172"/>
      <c r="GB176" s="172"/>
      <c r="GC176" s="172"/>
      <c r="GD176" s="172"/>
      <c r="GE176" s="172"/>
      <c r="GF176" s="172"/>
      <c r="GG176" s="172"/>
      <c r="GH176" s="172"/>
      <c r="GI176" s="172"/>
      <c r="GJ176" s="172"/>
      <c r="GK176" s="172"/>
      <c r="GL176" s="172"/>
      <c r="GM176" s="172"/>
      <c r="GN176" s="172"/>
      <c r="GO176" s="172"/>
      <c r="GP176" s="172"/>
      <c r="GQ176" s="172"/>
      <c r="GR176" s="172"/>
      <c r="GS176" s="172"/>
      <c r="GT176" s="172"/>
      <c r="GU176" s="172"/>
      <c r="GV176" s="172"/>
      <c r="GW176" s="172"/>
      <c r="GX176" s="172"/>
      <c r="GY176" s="172"/>
      <c r="GZ176" s="172"/>
      <c r="HA176" s="172"/>
      <c r="HB176" s="172"/>
      <c r="HC176" s="172"/>
      <c r="HD176" s="172"/>
      <c r="HE176" s="172"/>
      <c r="HF176" s="172"/>
      <c r="HG176" s="172"/>
      <c r="HH176" s="172"/>
      <c r="HI176" s="172"/>
      <c r="HJ176" s="172"/>
      <c r="HK176" s="172"/>
      <c r="HL176" s="172"/>
      <c r="HM176" s="172"/>
      <c r="HN176" s="172"/>
      <c r="HO176" s="172"/>
      <c r="HP176" s="172"/>
      <c r="HQ176" s="172"/>
      <c r="HR176" s="172"/>
      <c r="HS176" s="172"/>
      <c r="HT176" s="172"/>
      <c r="HU176" s="172"/>
      <c r="HV176" s="172"/>
      <c r="HW176" s="172"/>
      <c r="HX176" s="172"/>
      <c r="HY176" s="172"/>
      <c r="HZ176" s="172"/>
      <c r="IA176" s="172"/>
      <c r="IB176" s="172"/>
      <c r="IC176" s="172"/>
      <c r="ID176" s="172"/>
      <c r="IE176" s="172"/>
      <c r="IF176" s="172"/>
      <c r="IG176" s="172"/>
      <c r="IH176" s="172"/>
      <c r="II176" s="172"/>
      <c r="IJ176" s="172"/>
      <c r="IK176" s="172"/>
      <c r="IL176" s="172"/>
      <c r="IM176" s="172"/>
      <c r="IN176" s="172"/>
      <c r="IO176" s="172"/>
      <c r="IP176" s="172"/>
      <c r="IQ176" s="172"/>
      <c r="IR176" s="172"/>
      <c r="IS176" s="172"/>
      <c r="IT176" s="172"/>
      <c r="IU176" s="172"/>
      <c r="IV176" s="172"/>
      <c r="IW176" s="172"/>
      <c r="IX176" s="172"/>
      <c r="IY176" s="172"/>
      <c r="IZ176" s="172"/>
      <c r="JA176" s="172"/>
      <c r="JB176" s="172"/>
      <c r="JC176" s="172"/>
      <c r="JD176" s="172"/>
      <c r="JE176" s="172"/>
      <c r="JF176" s="172"/>
      <c r="JG176" s="172"/>
      <c r="JH176" s="172"/>
      <c r="JI176" s="172"/>
      <c r="JJ176" s="172"/>
      <c r="JK176" s="172"/>
      <c r="JL176" s="172"/>
      <c r="JM176" s="172"/>
      <c r="JN176" s="172"/>
      <c r="JO176" s="172"/>
      <c r="JP176" s="172"/>
      <c r="JQ176" s="172"/>
      <c r="JR176" s="172"/>
      <c r="JS176" s="172"/>
      <c r="JT176" s="172"/>
      <c r="JU176" s="172"/>
      <c r="JV176" s="172"/>
      <c r="JW176" s="172"/>
      <c r="JX176" s="172"/>
      <c r="JY176" s="172"/>
      <c r="JZ176" s="172"/>
      <c r="KA176" s="172"/>
      <c r="KB176" s="172"/>
      <c r="KC176" s="172"/>
      <c r="KD176" s="172"/>
      <c r="KE176" s="172"/>
      <c r="KF176" s="172"/>
      <c r="KG176" s="172"/>
      <c r="KH176" s="172"/>
      <c r="KI176" s="172"/>
      <c r="KJ176" s="172"/>
      <c r="KK176" s="172"/>
      <c r="KL176" s="172"/>
      <c r="KM176" s="172"/>
      <c r="KN176" s="172"/>
      <c r="KO176" s="172"/>
      <c r="KP176" s="172"/>
      <c r="KQ176" s="172"/>
      <c r="KR176" s="172"/>
      <c r="KS176" s="172"/>
      <c r="KT176" s="172"/>
      <c r="KU176" s="172"/>
      <c r="KV176" s="172"/>
      <c r="KW176" s="172"/>
      <c r="KX176" s="172"/>
      <c r="KY176" s="172"/>
      <c r="KZ176" s="172"/>
      <c r="LA176" s="172"/>
      <c r="LB176" s="172"/>
      <c r="LC176" s="172"/>
      <c r="LD176" s="172"/>
      <c r="LE176" s="172"/>
      <c r="LF176" s="172"/>
      <c r="LG176" s="172"/>
      <c r="LH176" s="172"/>
      <c r="LI176" s="172"/>
      <c r="LJ176" s="172"/>
      <c r="LK176" s="172"/>
      <c r="LL176" s="172"/>
      <c r="LM176" s="172"/>
      <c r="LN176" s="172"/>
      <c r="LO176" s="172"/>
      <c r="LP176" s="172"/>
      <c r="LQ176" s="172"/>
      <c r="LR176" s="172"/>
      <c r="LS176" s="172"/>
      <c r="LT176" s="172"/>
      <c r="LU176" s="172"/>
      <c r="LV176" s="172"/>
      <c r="LW176" s="172"/>
      <c r="LX176" s="172"/>
      <c r="LY176" s="172"/>
      <c r="LZ176" s="172"/>
      <c r="MA176" s="172"/>
      <c r="MB176" s="172"/>
      <c r="MC176" s="172"/>
      <c r="MD176" s="172"/>
      <c r="ME176" s="172"/>
      <c r="MF176" s="172"/>
      <c r="MG176" s="172"/>
      <c r="MH176" s="172"/>
      <c r="MI176" s="172"/>
      <c r="MJ176" s="172"/>
      <c r="MK176" s="172"/>
      <c r="ML176" s="172"/>
      <c r="MM176" s="172"/>
      <c r="MN176" s="172"/>
      <c r="MO176" s="172"/>
      <c r="MP176" s="172"/>
      <c r="MQ176" s="172"/>
      <c r="MR176" s="172"/>
      <c r="MS176" s="172"/>
      <c r="MT176" s="172"/>
      <c r="MU176" s="172"/>
      <c r="MV176" s="172"/>
      <c r="MW176" s="172"/>
      <c r="MX176" s="172"/>
      <c r="MY176" s="172"/>
      <c r="MZ176" s="172"/>
      <c r="NA176" s="172"/>
      <c r="NB176" s="172"/>
      <c r="NC176" s="172"/>
      <c r="ND176" s="172"/>
      <c r="NE176" s="172"/>
      <c r="NF176" s="172"/>
      <c r="NG176" s="172"/>
      <c r="NH176" s="172"/>
      <c r="NI176" s="172"/>
      <c r="NJ176" s="172"/>
      <c r="NK176" s="172"/>
      <c r="NL176" s="172"/>
      <c r="NM176" s="172"/>
      <c r="NN176" s="172"/>
      <c r="NO176" s="172"/>
      <c r="NP176" s="172"/>
      <c r="NQ176" s="172"/>
      <c r="NR176" s="172"/>
      <c r="NS176" s="172"/>
      <c r="NT176" s="172"/>
      <c r="NU176" s="172"/>
      <c r="NV176" s="172"/>
      <c r="NW176" s="172"/>
      <c r="NX176" s="172"/>
      <c r="NY176" s="172"/>
      <c r="NZ176" s="172"/>
      <c r="OA176" s="172"/>
      <c r="OB176" s="172"/>
      <c r="OC176" s="172"/>
      <c r="OD176" s="172"/>
      <c r="OE176" s="172"/>
      <c r="OF176" s="172"/>
      <c r="OG176" s="172"/>
      <c r="OH176" s="172"/>
      <c r="OI176" s="172"/>
      <c r="OJ176" s="172"/>
      <c r="OK176" s="172"/>
      <c r="OL176" s="172"/>
      <c r="OM176" s="172"/>
      <c r="ON176" s="172"/>
      <c r="OO176" s="172"/>
      <c r="OP176" s="172"/>
      <c r="OQ176" s="172"/>
      <c r="OR176" s="172"/>
      <c r="OS176" s="172"/>
      <c r="OT176" s="172"/>
      <c r="OU176" s="172"/>
      <c r="OV176" s="172"/>
      <c r="OW176" s="172"/>
      <c r="OX176" s="172"/>
      <c r="OY176" s="172"/>
      <c r="OZ176" s="172"/>
      <c r="PA176" s="172"/>
      <c r="PB176" s="172"/>
      <c r="PC176" s="172"/>
      <c r="PD176" s="172"/>
      <c r="PE176" s="172"/>
      <c r="PF176" s="172"/>
      <c r="PG176" s="172"/>
      <c r="PH176" s="172"/>
      <c r="PI176" s="172"/>
      <c r="PJ176" s="172"/>
      <c r="PK176" s="172"/>
      <c r="PL176" s="172"/>
      <c r="PM176" s="172"/>
      <c r="PN176" s="172"/>
      <c r="PO176" s="172"/>
      <c r="PP176" s="172"/>
      <c r="PQ176" s="172"/>
      <c r="PR176" s="172"/>
      <c r="PS176" s="172"/>
      <c r="PT176" s="172"/>
      <c r="PU176" s="172"/>
      <c r="PV176" s="172"/>
      <c r="PW176" s="172"/>
      <c r="PX176" s="172"/>
      <c r="PY176" s="172"/>
      <c r="PZ176" s="172"/>
      <c r="QA176" s="172"/>
      <c r="QB176" s="172"/>
      <c r="QC176" s="172"/>
      <c r="QD176" s="172"/>
      <c r="QE176" s="172"/>
      <c r="QF176" s="172"/>
      <c r="QG176" s="172"/>
      <c r="QH176" s="172"/>
      <c r="QI176" s="172"/>
      <c r="QJ176" s="172"/>
      <c r="QK176" s="172"/>
      <c r="QL176" s="172"/>
      <c r="QM176" s="172"/>
      <c r="QN176" s="172"/>
      <c r="QO176" s="172"/>
      <c r="QP176" s="172"/>
      <c r="QQ176" s="172"/>
      <c r="QR176" s="172"/>
      <c r="QS176" s="172"/>
      <c r="QT176" s="172"/>
      <c r="QU176" s="172"/>
      <c r="QV176" s="172"/>
      <c r="QW176" s="172"/>
      <c r="QX176" s="172"/>
      <c r="QY176" s="172"/>
      <c r="QZ176" s="172"/>
      <c r="RA176" s="172"/>
      <c r="RB176" s="172"/>
      <c r="RC176" s="172"/>
      <c r="RD176" s="172"/>
      <c r="RE176" s="172"/>
      <c r="RF176" s="172"/>
      <c r="RG176" s="172"/>
      <c r="RH176" s="172"/>
      <c r="RI176" s="172"/>
      <c r="RJ176" s="172"/>
      <c r="RK176" s="172"/>
      <c r="RL176" s="172"/>
      <c r="RM176" s="172"/>
      <c r="RN176" s="172"/>
      <c r="RO176" s="172"/>
      <c r="RP176" s="172"/>
      <c r="RQ176" s="172"/>
      <c r="RR176" s="172"/>
      <c r="RS176" s="172"/>
      <c r="RT176" s="172"/>
      <c r="RU176" s="172"/>
      <c r="RV176" s="172"/>
      <c r="RW176" s="172"/>
      <c r="RX176" s="172"/>
      <c r="RY176" s="172"/>
      <c r="RZ176" s="172"/>
      <c r="SA176" s="172"/>
      <c r="SB176" s="172"/>
      <c r="SC176" s="172"/>
      <c r="SD176" s="172"/>
      <c r="SE176" s="172"/>
      <c r="SF176" s="172"/>
      <c r="SG176" s="172"/>
      <c r="SH176" s="172"/>
      <c r="SI176" s="172"/>
      <c r="SJ176" s="172"/>
      <c r="SK176" s="172"/>
      <c r="SL176" s="172"/>
      <c r="SM176" s="172"/>
      <c r="SN176" s="172"/>
      <c r="SO176" s="172"/>
      <c r="SP176" s="172"/>
      <c r="SQ176" s="172"/>
      <c r="SR176" s="172"/>
      <c r="SS176" s="172"/>
      <c r="ST176" s="172"/>
      <c r="SU176" s="172"/>
      <c r="SV176" s="172"/>
      <c r="SW176" s="172"/>
      <c r="SX176" s="172"/>
      <c r="SY176" s="172"/>
      <c r="SZ176" s="172"/>
      <c r="TA176" s="172"/>
      <c r="TB176" s="172"/>
      <c r="TC176" s="172"/>
      <c r="TD176" s="172"/>
      <c r="TE176" s="172"/>
      <c r="TF176" s="172"/>
      <c r="TG176" s="172"/>
      <c r="TH176" s="172"/>
      <c r="TI176" s="172"/>
      <c r="TJ176" s="172"/>
      <c r="TK176" s="172"/>
      <c r="TL176" s="172"/>
      <c r="TM176" s="172"/>
      <c r="TN176" s="172"/>
      <c r="TO176" s="172"/>
      <c r="TP176" s="172"/>
      <c r="TQ176" s="172"/>
      <c r="TR176" s="172"/>
      <c r="TS176" s="172"/>
      <c r="TT176" s="172"/>
      <c r="TU176" s="172"/>
      <c r="TV176" s="172"/>
      <c r="TW176" s="172"/>
      <c r="TX176" s="172"/>
      <c r="TY176" s="172"/>
      <c r="TZ176" s="172"/>
      <c r="UA176" s="172"/>
      <c r="UB176" s="172"/>
      <c r="UC176" s="172"/>
      <c r="UD176" s="172"/>
      <c r="UE176" s="172"/>
      <c r="UF176" s="172"/>
      <c r="UG176" s="172"/>
      <c r="UH176" s="172"/>
      <c r="UI176" s="172"/>
      <c r="UJ176" s="172"/>
      <c r="UK176" s="172"/>
      <c r="UL176" s="172"/>
      <c r="UM176" s="172"/>
      <c r="UN176" s="172"/>
      <c r="UO176" s="172"/>
      <c r="UP176" s="172"/>
      <c r="UQ176" s="172"/>
      <c r="UR176" s="172"/>
      <c r="US176" s="172"/>
      <c r="UT176" s="172"/>
      <c r="UU176" s="172"/>
      <c r="UV176" s="172"/>
      <c r="UW176" s="172"/>
      <c r="UX176" s="172"/>
      <c r="UY176" s="172"/>
      <c r="UZ176" s="172"/>
      <c r="VA176" s="172"/>
      <c r="VB176" s="172"/>
      <c r="VC176" s="172"/>
      <c r="VD176" s="172"/>
      <c r="VE176" s="172"/>
      <c r="VF176" s="172"/>
      <c r="VG176" s="172"/>
      <c r="VH176" s="172"/>
      <c r="VI176" s="172"/>
      <c r="VJ176" s="172"/>
      <c r="VK176" s="172"/>
      <c r="VL176" s="172"/>
      <c r="VM176" s="172"/>
      <c r="VN176" s="172"/>
      <c r="VO176" s="172"/>
      <c r="VP176" s="172"/>
      <c r="VQ176" s="172"/>
      <c r="VR176" s="172"/>
      <c r="VS176" s="172"/>
      <c r="VT176" s="172"/>
      <c r="VU176" s="172"/>
      <c r="VV176" s="172"/>
      <c r="VW176" s="172"/>
      <c r="VX176" s="172"/>
      <c r="VY176" s="172"/>
      <c r="VZ176" s="172"/>
      <c r="WA176" s="172"/>
      <c r="WB176" s="172"/>
      <c r="WC176" s="172"/>
      <c r="WD176" s="172"/>
      <c r="WE176" s="172"/>
      <c r="WF176" s="172"/>
      <c r="WG176" s="172"/>
      <c r="WH176" s="172"/>
      <c r="WI176" s="172"/>
      <c r="WJ176" s="172"/>
      <c r="WK176" s="172"/>
      <c r="WL176" s="172"/>
      <c r="WM176" s="172"/>
      <c r="WN176" s="172"/>
      <c r="WO176" s="172"/>
      <c r="WP176" s="172"/>
      <c r="WQ176" s="172"/>
      <c r="WR176" s="172"/>
      <c r="WS176" s="172"/>
      <c r="WT176" s="172"/>
      <c r="WU176" s="172"/>
      <c r="WV176" s="172"/>
      <c r="WW176" s="172"/>
      <c r="WX176" s="172"/>
      <c r="WY176" s="172"/>
      <c r="WZ176" s="172"/>
      <c r="XA176" s="172"/>
      <c r="XB176" s="172"/>
      <c r="XC176" s="172"/>
      <c r="XD176" s="172"/>
      <c r="XE176" s="172"/>
      <c r="XF176" s="172"/>
      <c r="XG176" s="172"/>
      <c r="XH176" s="172"/>
      <c r="XI176" s="172"/>
      <c r="XJ176" s="172"/>
      <c r="XK176" s="172"/>
      <c r="XL176" s="172"/>
      <c r="XM176" s="172"/>
      <c r="XN176" s="172"/>
      <c r="XO176" s="172"/>
      <c r="XP176" s="172"/>
      <c r="XQ176" s="172"/>
      <c r="XR176" s="172"/>
      <c r="XS176" s="172"/>
      <c r="XT176" s="172"/>
      <c r="XU176" s="172"/>
      <c r="XV176" s="172"/>
      <c r="XW176" s="172"/>
      <c r="XX176" s="172"/>
      <c r="XY176" s="172"/>
      <c r="XZ176" s="172"/>
      <c r="YA176" s="172"/>
      <c r="YB176" s="172"/>
      <c r="YC176" s="172"/>
      <c r="YD176" s="172"/>
      <c r="YE176" s="172"/>
      <c r="YF176" s="172"/>
      <c r="YG176" s="172"/>
      <c r="YH176" s="172"/>
      <c r="YI176" s="172"/>
      <c r="YJ176" s="172"/>
      <c r="YK176" s="172"/>
      <c r="YL176" s="172"/>
      <c r="YM176" s="172"/>
      <c r="YN176" s="172"/>
      <c r="YO176" s="172"/>
      <c r="YP176" s="172"/>
      <c r="YQ176" s="172"/>
      <c r="YR176" s="172"/>
      <c r="YS176" s="172"/>
      <c r="YT176" s="172"/>
      <c r="YU176" s="172"/>
      <c r="YV176" s="172"/>
      <c r="YW176" s="172"/>
      <c r="YX176" s="172"/>
      <c r="YY176" s="172"/>
      <c r="YZ176" s="172"/>
      <c r="ZA176" s="172"/>
      <c r="ZB176" s="172"/>
      <c r="ZC176" s="172"/>
      <c r="ZD176" s="172"/>
      <c r="ZE176" s="172"/>
      <c r="ZF176" s="172"/>
      <c r="ZG176" s="172"/>
      <c r="ZH176" s="172"/>
      <c r="ZI176" s="172"/>
      <c r="ZJ176" s="172"/>
      <c r="ZK176" s="172"/>
      <c r="ZL176" s="172"/>
      <c r="ZM176" s="172"/>
      <c r="ZN176" s="172"/>
      <c r="ZO176" s="172"/>
      <c r="ZP176" s="172"/>
      <c r="ZQ176" s="172"/>
      <c r="ZR176" s="172"/>
      <c r="ZS176" s="172"/>
      <c r="ZT176" s="172"/>
      <c r="ZU176" s="172"/>
      <c r="ZV176" s="172"/>
      <c r="ZW176" s="172"/>
      <c r="ZX176" s="172"/>
      <c r="ZY176" s="172"/>
      <c r="ZZ176" s="172"/>
      <c r="AAA176" s="172"/>
      <c r="AAB176" s="172"/>
      <c r="AAC176" s="172"/>
      <c r="AAD176" s="172"/>
      <c r="AAE176" s="172"/>
      <c r="AAF176" s="172"/>
      <c r="AAG176" s="172"/>
      <c r="AAH176" s="172"/>
      <c r="AAI176" s="172"/>
      <c r="AAJ176" s="172"/>
      <c r="AAK176" s="172"/>
      <c r="AAL176" s="172"/>
      <c r="AAM176" s="172"/>
      <c r="AAN176" s="172"/>
      <c r="AAO176" s="172"/>
      <c r="AAP176" s="172"/>
      <c r="AAQ176" s="172"/>
      <c r="AAR176" s="172"/>
      <c r="AAS176" s="172"/>
      <c r="AAT176" s="172"/>
      <c r="AAU176" s="172"/>
      <c r="AAV176" s="172"/>
      <c r="AAW176" s="172"/>
      <c r="AAX176" s="172"/>
      <c r="AAY176" s="172"/>
      <c r="AAZ176" s="172"/>
      <c r="ABA176" s="172"/>
      <c r="ABB176" s="172"/>
      <c r="ABC176" s="172"/>
      <c r="ABD176" s="172"/>
      <c r="ABE176" s="172"/>
      <c r="ABF176" s="172"/>
      <c r="ABG176" s="172"/>
      <c r="ABH176" s="172"/>
      <c r="ABI176" s="172"/>
      <c r="ABJ176" s="172"/>
      <c r="ABK176" s="172"/>
      <c r="ABL176" s="172"/>
      <c r="ABM176" s="172"/>
      <c r="ABN176" s="172"/>
      <c r="ABO176" s="172"/>
      <c r="ABP176" s="172"/>
      <c r="ABQ176" s="172"/>
      <c r="ABR176" s="172"/>
      <c r="ABS176" s="172"/>
      <c r="ABT176" s="172"/>
      <c r="ABU176" s="172"/>
      <c r="ABV176" s="172"/>
      <c r="ABW176" s="172"/>
      <c r="ABX176" s="172"/>
      <c r="ABY176" s="172"/>
      <c r="ABZ176" s="172"/>
      <c r="ACA176" s="172"/>
      <c r="ACB176" s="172"/>
      <c r="ACC176" s="172"/>
      <c r="ACD176" s="172"/>
      <c r="ACE176" s="172"/>
      <c r="ACF176" s="172"/>
      <c r="ACG176" s="172"/>
      <c r="ACH176" s="172"/>
      <c r="ACI176" s="172"/>
      <c r="ACJ176" s="172"/>
      <c r="ACK176" s="172"/>
      <c r="ACL176" s="172"/>
      <c r="ACM176" s="172"/>
      <c r="ACN176" s="172"/>
      <c r="ACO176" s="172"/>
      <c r="ACP176" s="172"/>
      <c r="ACQ176" s="172"/>
      <c r="ACR176" s="172"/>
      <c r="ACS176" s="172"/>
      <c r="ACT176" s="172"/>
      <c r="ACU176" s="172"/>
      <c r="ACV176" s="172"/>
      <c r="ACW176" s="172"/>
      <c r="ACX176" s="172"/>
      <c r="ACY176" s="172"/>
      <c r="ACZ176" s="172"/>
      <c r="ADA176" s="172"/>
      <c r="ADB176" s="172"/>
      <c r="ADC176" s="172"/>
      <c r="ADD176" s="172"/>
      <c r="ADE176" s="172"/>
      <c r="ADF176" s="172"/>
      <c r="ADG176" s="172"/>
      <c r="ADH176" s="172"/>
      <c r="ADI176" s="172"/>
      <c r="ADJ176" s="172"/>
      <c r="ADK176" s="172"/>
      <c r="ADL176" s="172"/>
      <c r="ADM176" s="172"/>
      <c r="ADN176" s="172"/>
      <c r="ADO176" s="172"/>
      <c r="ADP176" s="172"/>
      <c r="ADQ176" s="172"/>
      <c r="ADR176" s="172"/>
      <c r="ADS176" s="172"/>
      <c r="ADT176" s="172"/>
      <c r="ADU176" s="172"/>
      <c r="ADV176" s="172"/>
      <c r="ADW176" s="172"/>
      <c r="ADX176" s="172"/>
      <c r="ADY176" s="172"/>
      <c r="ADZ176" s="172"/>
      <c r="AEA176" s="172"/>
      <c r="AEB176" s="172"/>
      <c r="AEC176" s="172"/>
      <c r="AED176" s="172"/>
      <c r="AEE176" s="172"/>
      <c r="AEF176" s="172"/>
      <c r="AEG176" s="172"/>
      <c r="AEH176" s="172"/>
      <c r="AEI176" s="172"/>
      <c r="AEJ176" s="172"/>
      <c r="AEK176" s="172"/>
      <c r="AEL176" s="172"/>
      <c r="AEM176" s="172"/>
      <c r="AEN176" s="172"/>
      <c r="AEO176" s="172"/>
      <c r="AEP176" s="172"/>
      <c r="AEQ176" s="172"/>
      <c r="AER176" s="172"/>
      <c r="AES176" s="172"/>
      <c r="AET176" s="172"/>
      <c r="AEU176" s="172"/>
      <c r="AEV176" s="172"/>
      <c r="AEW176" s="172"/>
      <c r="AEX176" s="172"/>
      <c r="AEY176" s="172"/>
      <c r="AEZ176" s="172"/>
      <c r="AFA176" s="172"/>
      <c r="AFB176" s="172"/>
      <c r="AFC176" s="172"/>
      <c r="AFD176" s="172"/>
      <c r="AFE176" s="172"/>
      <c r="AFF176" s="172"/>
      <c r="AFG176" s="172"/>
      <c r="AFH176" s="172"/>
      <c r="AFI176" s="172"/>
      <c r="AFJ176" s="172"/>
      <c r="AFK176" s="172"/>
      <c r="AFL176" s="172"/>
      <c r="AFM176" s="172"/>
      <c r="AFN176" s="172"/>
      <c r="AFO176" s="172"/>
      <c r="AFP176" s="172"/>
      <c r="AFQ176" s="172"/>
      <c r="AFR176" s="172"/>
      <c r="AFS176" s="172"/>
      <c r="AFT176" s="172"/>
      <c r="AFU176" s="172"/>
      <c r="AFV176" s="172"/>
      <c r="AFW176" s="172"/>
      <c r="AFX176" s="172"/>
      <c r="AFY176" s="172"/>
      <c r="AFZ176" s="172"/>
      <c r="AGA176" s="172"/>
      <c r="AGB176" s="172"/>
      <c r="AGC176" s="172"/>
      <c r="AGD176" s="172"/>
      <c r="AGE176" s="172"/>
      <c r="AGF176" s="172"/>
      <c r="AGG176" s="172"/>
      <c r="AGH176" s="172"/>
      <c r="AGI176" s="172"/>
      <c r="AGJ176" s="172"/>
      <c r="AGK176" s="172"/>
      <c r="AGL176" s="172"/>
      <c r="AGM176" s="172"/>
      <c r="AGN176" s="172"/>
      <c r="AGO176" s="172"/>
      <c r="AGP176" s="172"/>
      <c r="AGQ176" s="172"/>
      <c r="AGR176" s="172"/>
      <c r="AGS176" s="172"/>
      <c r="AGT176" s="172"/>
      <c r="AGU176" s="172"/>
      <c r="AGV176" s="172"/>
      <c r="AGW176" s="172"/>
      <c r="AGX176" s="172"/>
      <c r="AGY176" s="172"/>
      <c r="AGZ176" s="172"/>
      <c r="AHA176" s="172"/>
      <c r="AHB176" s="172"/>
      <c r="AHC176" s="172"/>
      <c r="AHD176" s="172"/>
      <c r="AHE176" s="172"/>
      <c r="AHF176" s="172"/>
      <c r="AHG176" s="172"/>
      <c r="AHH176" s="172"/>
      <c r="AHI176" s="172"/>
      <c r="AHJ176" s="172"/>
      <c r="AHK176" s="172"/>
      <c r="AHL176" s="172"/>
      <c r="AHM176" s="172"/>
      <c r="AHN176" s="172"/>
      <c r="AHO176" s="172"/>
      <c r="AHP176" s="172"/>
      <c r="AHQ176" s="172"/>
      <c r="AHR176" s="172"/>
      <c r="AHS176" s="172"/>
      <c r="AHT176" s="172"/>
      <c r="AHU176" s="172"/>
      <c r="AHV176" s="172"/>
      <c r="AHW176" s="172"/>
      <c r="AHX176" s="172"/>
      <c r="AHY176" s="172"/>
      <c r="AHZ176" s="172"/>
      <c r="AIA176" s="172"/>
      <c r="AIB176" s="172"/>
      <c r="AIC176" s="172"/>
      <c r="AID176" s="172"/>
      <c r="AIE176" s="172"/>
      <c r="AIF176" s="172"/>
      <c r="AIG176" s="172"/>
      <c r="AIH176" s="172"/>
      <c r="AII176" s="172"/>
      <c r="AIJ176" s="172"/>
      <c r="AIK176" s="172"/>
      <c r="AIL176" s="172"/>
      <c r="AIM176" s="172"/>
      <c r="AIN176" s="172"/>
      <c r="AIO176" s="172"/>
      <c r="AIP176" s="172"/>
      <c r="AIQ176" s="172"/>
      <c r="AIR176" s="172"/>
      <c r="AIS176" s="172"/>
      <c r="AIT176" s="172"/>
      <c r="AIU176" s="172"/>
      <c r="AIV176" s="172"/>
      <c r="AIW176" s="172"/>
      <c r="AIX176" s="172"/>
      <c r="AIY176" s="172"/>
      <c r="AIZ176" s="172"/>
      <c r="AJA176" s="172"/>
      <c r="AJB176" s="172"/>
      <c r="AJC176" s="172"/>
      <c r="AJD176" s="172"/>
      <c r="AJE176" s="172"/>
      <c r="AJF176" s="172"/>
      <c r="AJG176" s="172"/>
      <c r="AJH176" s="172"/>
      <c r="AJI176" s="172"/>
      <c r="AJJ176" s="172"/>
      <c r="AJK176" s="172"/>
      <c r="AJL176" s="172"/>
      <c r="AJM176" s="172"/>
      <c r="AJN176" s="172"/>
      <c r="AJO176" s="172"/>
      <c r="AJP176" s="172"/>
      <c r="AJQ176" s="172"/>
      <c r="AJR176" s="172"/>
      <c r="AJS176" s="172"/>
      <c r="AJT176" s="172"/>
      <c r="AJU176" s="172"/>
      <c r="AJV176" s="172"/>
      <c r="AJW176" s="172"/>
      <c r="AJX176" s="172"/>
      <c r="AJY176" s="172"/>
      <c r="AJZ176" s="172"/>
      <c r="AKA176" s="172"/>
      <c r="AKB176" s="172"/>
      <c r="AKC176" s="172"/>
      <c r="AKD176" s="172"/>
      <c r="AKE176" s="172"/>
      <c r="AKF176" s="172"/>
      <c r="AKG176" s="172"/>
      <c r="AKH176" s="172"/>
      <c r="AKI176" s="172"/>
      <c r="AKJ176" s="172"/>
      <c r="AKK176" s="172"/>
      <c r="AKL176" s="172"/>
      <c r="AKM176" s="172"/>
      <c r="AKN176" s="172"/>
      <c r="AKO176" s="172"/>
      <c r="AKP176" s="172"/>
      <c r="AKQ176" s="172"/>
      <c r="AKR176" s="172"/>
      <c r="AKS176" s="172"/>
      <c r="AKT176" s="172"/>
      <c r="AKU176" s="172"/>
      <c r="AKV176" s="172"/>
      <c r="AKW176" s="172"/>
      <c r="AKX176" s="172"/>
      <c r="AKY176" s="172"/>
      <c r="AKZ176" s="172"/>
      <c r="ALA176" s="172"/>
      <c r="ALB176" s="172"/>
      <c r="ALC176" s="172"/>
      <c r="ALD176" s="172"/>
      <c r="ALE176" s="172"/>
      <c r="ALF176" s="172"/>
      <c r="ALG176" s="172"/>
      <c r="ALH176" s="172"/>
      <c r="ALI176" s="172"/>
      <c r="ALJ176" s="172"/>
      <c r="ALK176" s="172"/>
      <c r="ALL176" s="172"/>
      <c r="ALM176" s="172"/>
      <c r="ALN176" s="172"/>
      <c r="ALO176" s="172"/>
      <c r="ALP176" s="172"/>
      <c r="ALQ176" s="172"/>
      <c r="ALR176" s="172"/>
      <c r="ALS176" s="172"/>
      <c r="ALT176" s="172"/>
      <c r="ALU176" s="172"/>
      <c r="ALV176" s="172"/>
      <c r="ALW176" s="172"/>
      <c r="ALX176" s="172"/>
      <c r="ALY176" s="172"/>
      <c r="ALZ176" s="172"/>
      <c r="AMA176" s="172"/>
      <c r="AMB176" s="172"/>
      <c r="AMC176" s="172"/>
      <c r="AMD176" s="172"/>
      <c r="AME176" s="172"/>
      <c r="AMF176" s="172"/>
      <c r="AMG176" s="172"/>
      <c r="AMH176" s="172"/>
      <c r="AMI176" s="172"/>
      <c r="AMJ176" s="172"/>
      <c r="AMK176" s="172"/>
      <c r="AML176" s="172"/>
      <c r="AMM176" s="172"/>
      <c r="AMN176" s="172"/>
      <c r="AMO176" s="172"/>
      <c r="AMP176" s="172"/>
      <c r="AMQ176" s="172"/>
      <c r="AMR176" s="172"/>
      <c r="AMS176" s="172"/>
      <c r="AMT176" s="172"/>
      <c r="AMU176" s="172"/>
      <c r="AMV176" s="172"/>
      <c r="AMW176" s="172"/>
      <c r="AMX176" s="172"/>
      <c r="AMY176" s="172"/>
      <c r="AMZ176" s="172"/>
      <c r="ANA176" s="172"/>
      <c r="ANB176" s="172"/>
      <c r="ANC176" s="172"/>
      <c r="AND176" s="172"/>
      <c r="ANE176" s="172"/>
      <c r="ANF176" s="172"/>
      <c r="ANG176" s="172"/>
      <c r="ANH176" s="172"/>
      <c r="ANI176" s="172"/>
      <c r="ANJ176" s="172"/>
      <c r="ANK176" s="172"/>
      <c r="ANL176" s="172"/>
      <c r="ANM176" s="172"/>
      <c r="ANN176" s="172"/>
      <c r="ANO176" s="172"/>
      <c r="ANP176" s="172"/>
      <c r="ANQ176" s="172"/>
      <c r="ANR176" s="172"/>
      <c r="ANS176" s="172"/>
      <c r="ANT176" s="172"/>
      <c r="ANU176" s="172"/>
      <c r="ANV176" s="172"/>
      <c r="ANW176" s="172"/>
      <c r="ANX176" s="172"/>
      <c r="ANY176" s="172"/>
      <c r="ANZ176" s="172"/>
      <c r="AOA176" s="172"/>
      <c r="AOB176" s="172"/>
      <c r="AOC176" s="172"/>
      <c r="AOD176" s="172"/>
      <c r="AOE176" s="172"/>
      <c r="AOF176" s="172"/>
      <c r="AOG176" s="172"/>
      <c r="AOH176" s="172"/>
      <c r="AOI176" s="172"/>
      <c r="AOJ176" s="172"/>
      <c r="AOK176" s="172"/>
      <c r="AOL176" s="172"/>
      <c r="AOM176" s="172"/>
      <c r="AON176" s="172"/>
      <c r="AOO176" s="172"/>
      <c r="AOP176" s="172"/>
      <c r="AOQ176" s="172"/>
      <c r="AOR176" s="172"/>
      <c r="AOS176" s="172"/>
      <c r="AOT176" s="172"/>
      <c r="AOU176" s="172"/>
      <c r="AOV176" s="172"/>
      <c r="AOW176" s="172"/>
      <c r="AOX176" s="172"/>
      <c r="AOY176" s="172"/>
      <c r="AOZ176" s="172"/>
      <c r="APA176" s="172"/>
      <c r="APB176" s="172"/>
      <c r="APC176" s="172"/>
      <c r="APD176" s="172"/>
      <c r="APE176" s="172"/>
      <c r="APF176" s="172"/>
      <c r="APG176" s="172"/>
      <c r="APH176" s="172"/>
      <c r="API176" s="172"/>
      <c r="APJ176" s="172"/>
      <c r="APK176" s="172"/>
      <c r="APL176" s="172"/>
      <c r="APM176" s="172"/>
      <c r="APN176" s="172"/>
      <c r="APO176" s="172"/>
      <c r="APP176" s="172"/>
      <c r="APQ176" s="172"/>
      <c r="APR176" s="172"/>
      <c r="APS176" s="172"/>
      <c r="APT176" s="172"/>
      <c r="APU176" s="172"/>
      <c r="APV176" s="172"/>
      <c r="APW176" s="172"/>
      <c r="APX176" s="172"/>
      <c r="APY176" s="172"/>
      <c r="APZ176" s="172"/>
      <c r="AQA176" s="172"/>
      <c r="AQB176" s="172"/>
      <c r="AQC176" s="172"/>
      <c r="AQD176" s="172"/>
      <c r="AQE176" s="172"/>
      <c r="AQF176" s="172"/>
      <c r="AQG176" s="172"/>
      <c r="AQH176" s="172"/>
      <c r="AQI176" s="172"/>
      <c r="AQJ176" s="172"/>
      <c r="AQK176" s="172"/>
      <c r="AQL176" s="172"/>
      <c r="AQM176" s="172"/>
      <c r="AQN176" s="172"/>
      <c r="AQO176" s="172"/>
      <c r="AQP176" s="172"/>
      <c r="AQQ176" s="172"/>
      <c r="AQR176" s="172"/>
      <c r="AQS176" s="172"/>
      <c r="AQT176" s="172"/>
      <c r="AQU176" s="172"/>
      <c r="AQV176" s="172"/>
      <c r="AQW176" s="172"/>
      <c r="AQX176" s="172"/>
      <c r="AQY176" s="172"/>
      <c r="AQZ176" s="172"/>
      <c r="ARA176" s="172"/>
      <c r="ARB176" s="172"/>
      <c r="ARC176" s="172"/>
      <c r="ARD176" s="172"/>
      <c r="ARE176" s="172"/>
      <c r="ARF176" s="172"/>
      <c r="ARG176" s="172"/>
      <c r="ARH176" s="172"/>
      <c r="ARI176" s="172"/>
      <c r="ARJ176" s="172"/>
      <c r="ARK176" s="172"/>
      <c r="ARL176" s="172"/>
      <c r="ARM176" s="172"/>
      <c r="ARN176" s="172"/>
      <c r="ARO176" s="172"/>
      <c r="ARP176" s="172"/>
      <c r="ARQ176" s="172"/>
      <c r="ARR176" s="172"/>
      <c r="ARS176" s="172"/>
      <c r="ART176" s="172"/>
      <c r="ARU176" s="172"/>
    </row>
    <row r="177" spans="1:1165">
      <c r="A177" s="1520"/>
      <c r="B177" s="1484"/>
      <c r="C177" s="1489"/>
      <c r="D177" s="1489"/>
      <c r="E177" s="1489"/>
      <c r="F177" s="1489"/>
      <c r="G177" s="1489"/>
      <c r="H177" s="1489"/>
      <c r="I177" s="1489"/>
      <c r="J177" s="1489"/>
      <c r="K177" s="1489"/>
      <c r="L177" s="1489"/>
      <c r="M177" s="1489"/>
      <c r="N177" s="1489"/>
      <c r="O177" s="1489"/>
      <c r="P177" s="1489"/>
      <c r="Q177" s="1489"/>
      <c r="R177" s="1489"/>
      <c r="S177" s="1489"/>
      <c r="T177" s="1489"/>
      <c r="U177" s="1521"/>
      <c r="V177" s="1521"/>
      <c r="W177" s="1516"/>
      <c r="X177" s="1516"/>
      <c r="Y177" s="1513"/>
      <c r="Z177" s="1513"/>
      <c r="AA177" s="1516"/>
      <c r="AB177" s="1517"/>
      <c r="AC177" s="1489"/>
      <c r="AD177" s="1489"/>
      <c r="AE177" s="1517"/>
      <c r="AF177" s="1517"/>
      <c r="AG177" s="1517"/>
      <c r="AH177" s="1517"/>
      <c r="AI177" s="1517"/>
      <c r="AJ177" s="1517"/>
      <c r="AK177" s="1516"/>
      <c r="AL177" s="1516"/>
      <c r="AM177" s="1516"/>
      <c r="AN177" s="1516"/>
      <c r="AO177" s="1516"/>
      <c r="AP177" s="1516"/>
      <c r="AQ177" s="1486"/>
      <c r="AR177" s="1516"/>
      <c r="AS177" s="1516"/>
      <c r="AT177" s="1516"/>
      <c r="AU177" s="1516"/>
      <c r="AV177" s="1517"/>
      <c r="AW177" s="1485"/>
      <c r="AX177" s="1485"/>
      <c r="AY177" s="1518"/>
      <c r="AZ177" s="1518"/>
      <c r="BA177" s="1486"/>
      <c r="BB177" s="1485"/>
      <c r="BC177" s="1485"/>
      <c r="BD177" s="1485"/>
      <c r="BE177" s="1485"/>
      <c r="BF177" s="1485"/>
      <c r="BG177" s="1485"/>
      <c r="BH177" s="1485"/>
      <c r="BI177" s="1486"/>
      <c r="BJ177" s="1485"/>
      <c r="BK177" s="1485"/>
      <c r="BL177" s="172"/>
      <c r="BM177" s="231"/>
      <c r="BP177" s="231"/>
    </row>
    <row r="178" spans="1:1165">
      <c r="A178" s="194" t="s">
        <v>264</v>
      </c>
      <c r="B178" s="213" t="s">
        <v>87</v>
      </c>
      <c r="C178" s="284">
        <v>4052</v>
      </c>
      <c r="D178" s="284">
        <v>62633</v>
      </c>
      <c r="E178" s="284">
        <v>0</v>
      </c>
      <c r="F178" s="284">
        <v>0</v>
      </c>
      <c r="G178" s="284">
        <v>0</v>
      </c>
      <c r="H178" s="284">
        <v>0</v>
      </c>
      <c r="I178" s="284">
        <v>0</v>
      </c>
      <c r="J178" s="284">
        <v>0</v>
      </c>
      <c r="K178" s="284">
        <v>0</v>
      </c>
      <c r="L178" s="284">
        <v>0</v>
      </c>
      <c r="M178" s="284">
        <v>0</v>
      </c>
      <c r="N178" s="284">
        <v>0</v>
      </c>
      <c r="O178" s="284">
        <v>9620</v>
      </c>
      <c r="P178" s="284">
        <v>423303</v>
      </c>
      <c r="Q178" s="284">
        <v>1474</v>
      </c>
      <c r="R178" s="284">
        <v>44315</v>
      </c>
      <c r="S178" s="284">
        <v>1236</v>
      </c>
      <c r="T178" s="284">
        <v>53041</v>
      </c>
      <c r="U178" s="284">
        <v>1151</v>
      </c>
      <c r="V178" s="284">
        <v>67245</v>
      </c>
      <c r="W178" s="284">
        <v>1212</v>
      </c>
      <c r="X178" s="284">
        <v>72557</v>
      </c>
      <c r="Y178" s="258">
        <v>861</v>
      </c>
      <c r="Z178" s="258">
        <v>58774</v>
      </c>
      <c r="AA178" s="302">
        <v>403</v>
      </c>
      <c r="AB178" s="302">
        <v>29974</v>
      </c>
      <c r="AC178" s="284">
        <v>918</v>
      </c>
      <c r="AD178" s="284">
        <v>68315</v>
      </c>
      <c r="AE178" s="288">
        <v>1025</v>
      </c>
      <c r="AF178" s="288">
        <v>76189</v>
      </c>
      <c r="AG178" s="288">
        <v>786</v>
      </c>
      <c r="AH178" s="288">
        <v>58531</v>
      </c>
      <c r="AI178" s="288">
        <v>1113</v>
      </c>
      <c r="AJ178" s="288">
        <v>78400</v>
      </c>
      <c r="AK178" s="288">
        <v>0</v>
      </c>
      <c r="AL178" s="288">
        <v>0</v>
      </c>
      <c r="AM178" s="288">
        <v>0</v>
      </c>
      <c r="AN178" s="288">
        <v>0</v>
      </c>
      <c r="AO178" s="288">
        <v>0</v>
      </c>
      <c r="AP178" s="288">
        <v>0</v>
      </c>
      <c r="AQ178" s="288">
        <v>0</v>
      </c>
      <c r="AR178" s="288">
        <v>0</v>
      </c>
      <c r="AS178" s="288">
        <v>0</v>
      </c>
      <c r="AT178" s="288">
        <v>0</v>
      </c>
      <c r="AU178" s="288">
        <v>0</v>
      </c>
      <c r="AV178" s="288">
        <v>0</v>
      </c>
      <c r="AW178" s="266">
        <v>0</v>
      </c>
      <c r="AX178" s="266">
        <v>0</v>
      </c>
      <c r="AY178" s="266">
        <v>0</v>
      </c>
      <c r="AZ178" s="266">
        <v>0</v>
      </c>
      <c r="BA178" s="225"/>
      <c r="BB178" s="266"/>
      <c r="BC178" s="266"/>
      <c r="BD178" s="266"/>
      <c r="BE178" s="225"/>
      <c r="BF178" s="266"/>
      <c r="BG178" s="266"/>
      <c r="BH178" s="266"/>
      <c r="BI178" s="225"/>
      <c r="BJ178" s="266">
        <f>C178+G178+I178+K178+M178+O178+Q178+S178+U178+W178+Y178+AA178+AC178+AE178+AG178+AI178+AK178+AM178+AO178+AQ178+AS178+AU178+AW178+AY178+BB178+BF178</f>
        <v>23851</v>
      </c>
      <c r="BK178" s="258">
        <f>D178+H178+J178+L178+N178+P178+R178+T178+V178+X178+Z178+AB178+AD178+AF178+AH178+AJ178+AL178+AN178+AP178+AR178+AT178+AV178+AX178+AZ178+BD178+BH178</f>
        <v>1093277</v>
      </c>
      <c r="BL178" s="172"/>
      <c r="BM178" s="231"/>
      <c r="BO178" s="231"/>
      <c r="BP178" s="231"/>
    </row>
    <row r="179" spans="1:1165">
      <c r="A179" s="214" t="s">
        <v>265</v>
      </c>
      <c r="B179" s="215"/>
      <c r="C179" s="284"/>
      <c r="D179" s="284"/>
      <c r="E179" s="284"/>
      <c r="F179" s="284"/>
      <c r="G179" s="284"/>
      <c r="H179" s="284"/>
      <c r="I179" s="284"/>
      <c r="J179" s="284"/>
      <c r="K179" s="284"/>
      <c r="L179" s="284"/>
      <c r="M179" s="284"/>
      <c r="N179" s="284"/>
      <c r="O179" s="284"/>
      <c r="P179" s="284"/>
      <c r="Q179" s="284"/>
      <c r="R179" s="284"/>
      <c r="S179" s="284"/>
      <c r="T179" s="284"/>
      <c r="U179" s="288"/>
      <c r="V179" s="288"/>
      <c r="W179" s="288"/>
      <c r="X179" s="288"/>
      <c r="Y179" s="284"/>
      <c r="Z179" s="284"/>
      <c r="AA179" s="302"/>
      <c r="AB179" s="302"/>
      <c r="AC179" s="258"/>
      <c r="AD179" s="258"/>
      <c r="AE179" s="288"/>
      <c r="AF179" s="288"/>
      <c r="AG179" s="288"/>
      <c r="AH179" s="288"/>
      <c r="AI179" s="288"/>
      <c r="AJ179" s="288"/>
      <c r="AK179" s="288"/>
      <c r="AL179" s="288"/>
      <c r="AM179" s="288"/>
      <c r="AN179" s="288"/>
      <c r="AO179" s="288"/>
      <c r="AP179" s="288"/>
      <c r="AQ179" s="288"/>
      <c r="AR179" s="288"/>
      <c r="AS179" s="288"/>
      <c r="AT179" s="288"/>
      <c r="AU179" s="288"/>
      <c r="AV179" s="302"/>
      <c r="AW179" s="256"/>
      <c r="AX179" s="256"/>
      <c r="AY179" s="255"/>
      <c r="AZ179" s="255"/>
      <c r="BA179" s="262"/>
      <c r="BB179" s="256"/>
      <c r="BC179" s="256"/>
      <c r="BD179" s="256"/>
      <c r="BE179" s="256"/>
      <c r="BF179" s="256"/>
      <c r="BG179" s="256"/>
      <c r="BH179" s="256"/>
      <c r="BI179" s="262"/>
      <c r="BJ179" s="256"/>
      <c r="BK179" s="256"/>
      <c r="BL179" s="172"/>
      <c r="BM179" s="231"/>
      <c r="BO179" s="231"/>
      <c r="BP179" s="231"/>
    </row>
    <row r="180" spans="1:1165" s="257" customFormat="1">
      <c r="A180" s="1483" t="s">
        <v>266</v>
      </c>
      <c r="B180" s="1484"/>
      <c r="C180" s="1489"/>
      <c r="D180" s="1489"/>
      <c r="E180" s="1489"/>
      <c r="F180" s="1489"/>
      <c r="G180" s="1489"/>
      <c r="H180" s="1489"/>
      <c r="I180" s="1489"/>
      <c r="J180" s="1489"/>
      <c r="K180" s="1489"/>
      <c r="L180" s="1489"/>
      <c r="M180" s="1489"/>
      <c r="N180" s="1489"/>
      <c r="O180" s="1489"/>
      <c r="P180" s="1489"/>
      <c r="Q180" s="1489"/>
      <c r="R180" s="1489"/>
      <c r="S180" s="1489"/>
      <c r="T180" s="1489"/>
      <c r="U180" s="1513"/>
      <c r="V180" s="1513"/>
      <c r="W180" s="1516"/>
      <c r="X180" s="1516"/>
      <c r="Y180" s="1489"/>
      <c r="Z180" s="1489"/>
      <c r="AA180" s="1517"/>
      <c r="AB180" s="1517"/>
      <c r="AC180" s="1512"/>
      <c r="AD180" s="1512"/>
      <c r="AE180" s="1516"/>
      <c r="AF180" s="1516"/>
      <c r="AG180" s="1516"/>
      <c r="AH180" s="1516"/>
      <c r="AI180" s="1516"/>
      <c r="AJ180" s="1516"/>
      <c r="AK180" s="1516"/>
      <c r="AL180" s="1516"/>
      <c r="AM180" s="1516"/>
      <c r="AN180" s="1516"/>
      <c r="AO180" s="1516"/>
      <c r="AP180" s="1516"/>
      <c r="AQ180" s="1516"/>
      <c r="AR180" s="1516"/>
      <c r="AS180" s="1516"/>
      <c r="AT180" s="1516"/>
      <c r="AU180" s="1517"/>
      <c r="AV180" s="1517"/>
      <c r="AW180" s="1485"/>
      <c r="AX180" s="1485"/>
      <c r="AY180" s="1518"/>
      <c r="AZ180" s="1518"/>
      <c r="BA180" s="1486"/>
      <c r="BB180" s="1485"/>
      <c r="BC180" s="1485"/>
      <c r="BD180" s="1485"/>
      <c r="BE180" s="1485"/>
      <c r="BF180" s="1485"/>
      <c r="BG180" s="1485"/>
      <c r="BH180" s="1485"/>
      <c r="BI180" s="1486"/>
      <c r="BJ180" s="1485"/>
      <c r="BK180" s="1485"/>
      <c r="BL180" s="172"/>
      <c r="BM180" s="231"/>
      <c r="BN180" s="172"/>
      <c r="BO180" s="172"/>
      <c r="BP180" s="231"/>
      <c r="BQ180" s="172"/>
      <c r="BR180" s="172"/>
      <c r="BS180" s="172"/>
      <c r="BT180" s="172"/>
      <c r="BU180" s="172"/>
      <c r="BV180" s="172"/>
      <c r="BW180" s="172"/>
      <c r="BX180" s="172"/>
      <c r="BY180" s="172"/>
      <c r="BZ180" s="172"/>
      <c r="CA180" s="172"/>
      <c r="CB180" s="172"/>
      <c r="CC180" s="172"/>
      <c r="CD180" s="172"/>
      <c r="CE180" s="172"/>
      <c r="CF180" s="172"/>
      <c r="CG180" s="172"/>
      <c r="CH180" s="172"/>
      <c r="CI180" s="172"/>
      <c r="CJ180" s="172"/>
      <c r="CK180" s="172"/>
      <c r="CL180" s="172"/>
      <c r="CM180" s="172"/>
      <c r="CN180" s="172"/>
      <c r="CO180" s="172"/>
      <c r="CP180" s="172"/>
      <c r="CQ180" s="172"/>
      <c r="CR180" s="172"/>
      <c r="CS180" s="172"/>
      <c r="CT180" s="172"/>
      <c r="CU180" s="172"/>
      <c r="CV180" s="172"/>
      <c r="CW180" s="172"/>
      <c r="CX180" s="172"/>
      <c r="CY180" s="172"/>
      <c r="CZ180" s="172"/>
      <c r="DA180" s="172"/>
      <c r="DB180" s="172"/>
      <c r="DC180" s="172"/>
      <c r="DD180" s="172"/>
      <c r="DE180" s="172"/>
      <c r="DF180" s="172"/>
      <c r="DG180" s="172"/>
      <c r="DH180" s="172"/>
      <c r="DI180" s="172"/>
      <c r="DJ180" s="172"/>
      <c r="DK180" s="172"/>
      <c r="DL180" s="172"/>
      <c r="DM180" s="172"/>
      <c r="DN180" s="172"/>
      <c r="DO180" s="172"/>
      <c r="DP180" s="172"/>
      <c r="DQ180" s="172"/>
      <c r="DR180" s="172"/>
      <c r="DS180" s="172"/>
      <c r="DT180" s="172"/>
      <c r="DU180" s="172"/>
      <c r="DV180" s="172"/>
      <c r="DW180" s="172"/>
      <c r="DX180" s="172"/>
      <c r="DY180" s="172"/>
      <c r="DZ180" s="172"/>
      <c r="EA180" s="172"/>
      <c r="EB180" s="172"/>
      <c r="EC180" s="172"/>
      <c r="ED180" s="172"/>
      <c r="EE180" s="172"/>
      <c r="EF180" s="172"/>
      <c r="EG180" s="172"/>
      <c r="EH180" s="172"/>
      <c r="EI180" s="172"/>
      <c r="EJ180" s="172"/>
      <c r="EK180" s="172"/>
      <c r="EL180" s="172"/>
      <c r="EM180" s="172"/>
      <c r="EN180" s="172"/>
      <c r="EO180" s="172"/>
      <c r="EP180" s="172"/>
      <c r="EQ180" s="172"/>
      <c r="ER180" s="172"/>
      <c r="ES180" s="172"/>
      <c r="ET180" s="172"/>
      <c r="EU180" s="172"/>
      <c r="EV180" s="172"/>
      <c r="EW180" s="172"/>
      <c r="EX180" s="172"/>
      <c r="EY180" s="172"/>
      <c r="EZ180" s="172"/>
      <c r="FA180" s="172"/>
      <c r="FB180" s="172"/>
      <c r="FC180" s="172"/>
      <c r="FD180" s="172"/>
      <c r="FE180" s="172"/>
      <c r="FF180" s="172"/>
      <c r="FG180" s="172"/>
      <c r="FH180" s="172"/>
      <c r="FI180" s="172"/>
      <c r="FJ180" s="172"/>
      <c r="FK180" s="172"/>
      <c r="FL180" s="172"/>
      <c r="FM180" s="172"/>
      <c r="FN180" s="172"/>
      <c r="FO180" s="172"/>
      <c r="FP180" s="172"/>
      <c r="FQ180" s="172"/>
      <c r="FR180" s="172"/>
      <c r="FS180" s="172"/>
      <c r="FT180" s="172"/>
      <c r="FU180" s="172"/>
      <c r="FV180" s="172"/>
      <c r="FW180" s="172"/>
      <c r="FX180" s="172"/>
      <c r="FY180" s="172"/>
      <c r="FZ180" s="172"/>
      <c r="GA180" s="172"/>
      <c r="GB180" s="172"/>
      <c r="GC180" s="172"/>
      <c r="GD180" s="172"/>
      <c r="GE180" s="172"/>
      <c r="GF180" s="172"/>
      <c r="GG180" s="172"/>
      <c r="GH180" s="172"/>
      <c r="GI180" s="172"/>
      <c r="GJ180" s="172"/>
      <c r="GK180" s="172"/>
      <c r="GL180" s="172"/>
      <c r="GM180" s="172"/>
      <c r="GN180" s="172"/>
      <c r="GO180" s="172"/>
      <c r="GP180" s="172"/>
      <c r="GQ180" s="172"/>
      <c r="GR180" s="172"/>
      <c r="GS180" s="172"/>
      <c r="GT180" s="172"/>
      <c r="GU180" s="172"/>
      <c r="GV180" s="172"/>
      <c r="GW180" s="172"/>
      <c r="GX180" s="172"/>
      <c r="GY180" s="172"/>
      <c r="GZ180" s="172"/>
      <c r="HA180" s="172"/>
      <c r="HB180" s="172"/>
      <c r="HC180" s="172"/>
      <c r="HD180" s="172"/>
      <c r="HE180" s="172"/>
      <c r="HF180" s="172"/>
      <c r="HG180" s="172"/>
      <c r="HH180" s="172"/>
      <c r="HI180" s="172"/>
      <c r="HJ180" s="172"/>
      <c r="HK180" s="172"/>
      <c r="HL180" s="172"/>
      <c r="HM180" s="172"/>
      <c r="HN180" s="172"/>
      <c r="HO180" s="172"/>
      <c r="HP180" s="172"/>
      <c r="HQ180" s="172"/>
      <c r="HR180" s="172"/>
      <c r="HS180" s="172"/>
      <c r="HT180" s="172"/>
      <c r="HU180" s="172"/>
      <c r="HV180" s="172"/>
      <c r="HW180" s="172"/>
      <c r="HX180" s="172"/>
      <c r="HY180" s="172"/>
      <c r="HZ180" s="172"/>
      <c r="IA180" s="172"/>
      <c r="IB180" s="172"/>
      <c r="IC180" s="172"/>
      <c r="ID180" s="172"/>
      <c r="IE180" s="172"/>
      <c r="IF180" s="172"/>
      <c r="IG180" s="172"/>
      <c r="IH180" s="172"/>
      <c r="II180" s="172"/>
      <c r="IJ180" s="172"/>
      <c r="IK180" s="172"/>
      <c r="IL180" s="172"/>
      <c r="IM180" s="172"/>
      <c r="IN180" s="172"/>
      <c r="IO180" s="172"/>
      <c r="IP180" s="172"/>
      <c r="IQ180" s="172"/>
      <c r="IR180" s="172"/>
      <c r="IS180" s="172"/>
      <c r="IT180" s="172"/>
      <c r="IU180" s="172"/>
      <c r="IV180" s="172"/>
      <c r="IW180" s="172"/>
      <c r="IX180" s="172"/>
      <c r="IY180" s="172"/>
      <c r="IZ180" s="172"/>
      <c r="JA180" s="172"/>
      <c r="JB180" s="172"/>
      <c r="JC180" s="172"/>
      <c r="JD180" s="172"/>
      <c r="JE180" s="172"/>
      <c r="JF180" s="172"/>
      <c r="JG180" s="172"/>
      <c r="JH180" s="172"/>
      <c r="JI180" s="172"/>
      <c r="JJ180" s="172"/>
      <c r="JK180" s="172"/>
      <c r="JL180" s="172"/>
      <c r="JM180" s="172"/>
      <c r="JN180" s="172"/>
      <c r="JO180" s="172"/>
      <c r="JP180" s="172"/>
      <c r="JQ180" s="172"/>
      <c r="JR180" s="172"/>
      <c r="JS180" s="172"/>
      <c r="JT180" s="172"/>
      <c r="JU180" s="172"/>
      <c r="JV180" s="172"/>
      <c r="JW180" s="172"/>
      <c r="JX180" s="172"/>
      <c r="JY180" s="172"/>
      <c r="JZ180" s="172"/>
      <c r="KA180" s="172"/>
      <c r="KB180" s="172"/>
      <c r="KC180" s="172"/>
      <c r="KD180" s="172"/>
      <c r="KE180" s="172"/>
      <c r="KF180" s="172"/>
      <c r="KG180" s="172"/>
      <c r="KH180" s="172"/>
      <c r="KI180" s="172"/>
      <c r="KJ180" s="172"/>
      <c r="KK180" s="172"/>
      <c r="KL180" s="172"/>
      <c r="KM180" s="172"/>
      <c r="KN180" s="172"/>
      <c r="KO180" s="172"/>
      <c r="KP180" s="172"/>
      <c r="KQ180" s="172"/>
      <c r="KR180" s="172"/>
      <c r="KS180" s="172"/>
      <c r="KT180" s="172"/>
      <c r="KU180" s="172"/>
      <c r="KV180" s="172"/>
      <c r="KW180" s="172"/>
      <c r="KX180" s="172"/>
      <c r="KY180" s="172"/>
      <c r="KZ180" s="172"/>
      <c r="LA180" s="172"/>
      <c r="LB180" s="172"/>
      <c r="LC180" s="172"/>
      <c r="LD180" s="172"/>
      <c r="LE180" s="172"/>
      <c r="LF180" s="172"/>
      <c r="LG180" s="172"/>
      <c r="LH180" s="172"/>
      <c r="LI180" s="172"/>
      <c r="LJ180" s="172"/>
      <c r="LK180" s="172"/>
      <c r="LL180" s="172"/>
      <c r="LM180" s="172"/>
      <c r="LN180" s="172"/>
      <c r="LO180" s="172"/>
      <c r="LP180" s="172"/>
      <c r="LQ180" s="172"/>
      <c r="LR180" s="172"/>
      <c r="LS180" s="172"/>
      <c r="LT180" s="172"/>
      <c r="LU180" s="172"/>
      <c r="LV180" s="172"/>
      <c r="LW180" s="172"/>
      <c r="LX180" s="172"/>
      <c r="LY180" s="172"/>
      <c r="LZ180" s="172"/>
      <c r="MA180" s="172"/>
      <c r="MB180" s="172"/>
      <c r="MC180" s="172"/>
      <c r="MD180" s="172"/>
      <c r="ME180" s="172"/>
      <c r="MF180" s="172"/>
      <c r="MG180" s="172"/>
      <c r="MH180" s="172"/>
      <c r="MI180" s="172"/>
      <c r="MJ180" s="172"/>
      <c r="MK180" s="172"/>
      <c r="ML180" s="172"/>
      <c r="MM180" s="172"/>
      <c r="MN180" s="172"/>
      <c r="MO180" s="172"/>
      <c r="MP180" s="172"/>
      <c r="MQ180" s="172"/>
      <c r="MR180" s="172"/>
      <c r="MS180" s="172"/>
      <c r="MT180" s="172"/>
      <c r="MU180" s="172"/>
      <c r="MV180" s="172"/>
      <c r="MW180" s="172"/>
      <c r="MX180" s="172"/>
      <c r="MY180" s="172"/>
      <c r="MZ180" s="172"/>
      <c r="NA180" s="172"/>
      <c r="NB180" s="172"/>
      <c r="NC180" s="172"/>
      <c r="ND180" s="172"/>
      <c r="NE180" s="172"/>
      <c r="NF180" s="172"/>
      <c r="NG180" s="172"/>
      <c r="NH180" s="172"/>
      <c r="NI180" s="172"/>
      <c r="NJ180" s="172"/>
      <c r="NK180" s="172"/>
      <c r="NL180" s="172"/>
      <c r="NM180" s="172"/>
      <c r="NN180" s="172"/>
      <c r="NO180" s="172"/>
      <c r="NP180" s="172"/>
      <c r="NQ180" s="172"/>
      <c r="NR180" s="172"/>
      <c r="NS180" s="172"/>
      <c r="NT180" s="172"/>
      <c r="NU180" s="172"/>
      <c r="NV180" s="172"/>
      <c r="NW180" s="172"/>
      <c r="NX180" s="172"/>
      <c r="NY180" s="172"/>
      <c r="NZ180" s="172"/>
      <c r="OA180" s="172"/>
      <c r="OB180" s="172"/>
      <c r="OC180" s="172"/>
      <c r="OD180" s="172"/>
      <c r="OE180" s="172"/>
      <c r="OF180" s="172"/>
      <c r="OG180" s="172"/>
      <c r="OH180" s="172"/>
      <c r="OI180" s="172"/>
      <c r="OJ180" s="172"/>
      <c r="OK180" s="172"/>
      <c r="OL180" s="172"/>
      <c r="OM180" s="172"/>
      <c r="ON180" s="172"/>
      <c r="OO180" s="172"/>
      <c r="OP180" s="172"/>
      <c r="OQ180" s="172"/>
      <c r="OR180" s="172"/>
      <c r="OS180" s="172"/>
      <c r="OT180" s="172"/>
      <c r="OU180" s="172"/>
      <c r="OV180" s="172"/>
      <c r="OW180" s="172"/>
      <c r="OX180" s="172"/>
      <c r="OY180" s="172"/>
      <c r="OZ180" s="172"/>
      <c r="PA180" s="172"/>
      <c r="PB180" s="172"/>
      <c r="PC180" s="172"/>
      <c r="PD180" s="172"/>
      <c r="PE180" s="172"/>
      <c r="PF180" s="172"/>
      <c r="PG180" s="172"/>
      <c r="PH180" s="172"/>
      <c r="PI180" s="172"/>
      <c r="PJ180" s="172"/>
      <c r="PK180" s="172"/>
      <c r="PL180" s="172"/>
      <c r="PM180" s="172"/>
      <c r="PN180" s="172"/>
      <c r="PO180" s="172"/>
      <c r="PP180" s="172"/>
      <c r="PQ180" s="172"/>
      <c r="PR180" s="172"/>
      <c r="PS180" s="172"/>
      <c r="PT180" s="172"/>
      <c r="PU180" s="172"/>
      <c r="PV180" s="172"/>
      <c r="PW180" s="172"/>
      <c r="PX180" s="172"/>
      <c r="PY180" s="172"/>
      <c r="PZ180" s="172"/>
      <c r="QA180" s="172"/>
      <c r="QB180" s="172"/>
      <c r="QC180" s="172"/>
      <c r="QD180" s="172"/>
      <c r="QE180" s="172"/>
      <c r="QF180" s="172"/>
      <c r="QG180" s="172"/>
      <c r="QH180" s="172"/>
      <c r="QI180" s="172"/>
      <c r="QJ180" s="172"/>
      <c r="QK180" s="172"/>
      <c r="QL180" s="172"/>
      <c r="QM180" s="172"/>
      <c r="QN180" s="172"/>
      <c r="QO180" s="172"/>
      <c r="QP180" s="172"/>
      <c r="QQ180" s="172"/>
      <c r="QR180" s="172"/>
      <c r="QS180" s="172"/>
      <c r="QT180" s="172"/>
      <c r="QU180" s="172"/>
      <c r="QV180" s="172"/>
      <c r="QW180" s="172"/>
      <c r="QX180" s="172"/>
      <c r="QY180" s="172"/>
      <c r="QZ180" s="172"/>
      <c r="RA180" s="172"/>
      <c r="RB180" s="172"/>
      <c r="RC180" s="172"/>
      <c r="RD180" s="172"/>
      <c r="RE180" s="172"/>
      <c r="RF180" s="172"/>
      <c r="RG180" s="172"/>
      <c r="RH180" s="172"/>
      <c r="RI180" s="172"/>
      <c r="RJ180" s="172"/>
      <c r="RK180" s="172"/>
      <c r="RL180" s="172"/>
      <c r="RM180" s="172"/>
      <c r="RN180" s="172"/>
      <c r="RO180" s="172"/>
      <c r="RP180" s="172"/>
      <c r="RQ180" s="172"/>
      <c r="RR180" s="172"/>
      <c r="RS180" s="172"/>
      <c r="RT180" s="172"/>
      <c r="RU180" s="172"/>
      <c r="RV180" s="172"/>
      <c r="RW180" s="172"/>
      <c r="RX180" s="172"/>
      <c r="RY180" s="172"/>
      <c r="RZ180" s="172"/>
      <c r="SA180" s="172"/>
      <c r="SB180" s="172"/>
      <c r="SC180" s="172"/>
      <c r="SD180" s="172"/>
      <c r="SE180" s="172"/>
      <c r="SF180" s="172"/>
      <c r="SG180" s="172"/>
      <c r="SH180" s="172"/>
      <c r="SI180" s="172"/>
      <c r="SJ180" s="172"/>
      <c r="SK180" s="172"/>
      <c r="SL180" s="172"/>
      <c r="SM180" s="172"/>
      <c r="SN180" s="172"/>
      <c r="SO180" s="172"/>
      <c r="SP180" s="172"/>
      <c r="SQ180" s="172"/>
      <c r="SR180" s="172"/>
      <c r="SS180" s="172"/>
      <c r="ST180" s="172"/>
      <c r="SU180" s="172"/>
      <c r="SV180" s="172"/>
      <c r="SW180" s="172"/>
      <c r="SX180" s="172"/>
      <c r="SY180" s="172"/>
      <c r="SZ180" s="172"/>
      <c r="TA180" s="172"/>
      <c r="TB180" s="172"/>
      <c r="TC180" s="172"/>
      <c r="TD180" s="172"/>
      <c r="TE180" s="172"/>
      <c r="TF180" s="172"/>
      <c r="TG180" s="172"/>
      <c r="TH180" s="172"/>
      <c r="TI180" s="172"/>
      <c r="TJ180" s="172"/>
      <c r="TK180" s="172"/>
      <c r="TL180" s="172"/>
      <c r="TM180" s="172"/>
      <c r="TN180" s="172"/>
      <c r="TO180" s="172"/>
      <c r="TP180" s="172"/>
      <c r="TQ180" s="172"/>
      <c r="TR180" s="172"/>
      <c r="TS180" s="172"/>
      <c r="TT180" s="172"/>
      <c r="TU180" s="172"/>
      <c r="TV180" s="172"/>
      <c r="TW180" s="172"/>
      <c r="TX180" s="172"/>
      <c r="TY180" s="172"/>
      <c r="TZ180" s="172"/>
      <c r="UA180" s="172"/>
      <c r="UB180" s="172"/>
      <c r="UC180" s="172"/>
      <c r="UD180" s="172"/>
      <c r="UE180" s="172"/>
      <c r="UF180" s="172"/>
      <c r="UG180" s="172"/>
      <c r="UH180" s="172"/>
      <c r="UI180" s="172"/>
      <c r="UJ180" s="172"/>
      <c r="UK180" s="172"/>
      <c r="UL180" s="172"/>
      <c r="UM180" s="172"/>
      <c r="UN180" s="172"/>
      <c r="UO180" s="172"/>
      <c r="UP180" s="172"/>
      <c r="UQ180" s="172"/>
      <c r="UR180" s="172"/>
      <c r="US180" s="172"/>
      <c r="UT180" s="172"/>
      <c r="UU180" s="172"/>
      <c r="UV180" s="172"/>
      <c r="UW180" s="172"/>
      <c r="UX180" s="172"/>
      <c r="UY180" s="172"/>
      <c r="UZ180" s="172"/>
      <c r="VA180" s="172"/>
      <c r="VB180" s="172"/>
      <c r="VC180" s="172"/>
      <c r="VD180" s="172"/>
      <c r="VE180" s="172"/>
      <c r="VF180" s="172"/>
      <c r="VG180" s="172"/>
      <c r="VH180" s="172"/>
      <c r="VI180" s="172"/>
      <c r="VJ180" s="172"/>
      <c r="VK180" s="172"/>
      <c r="VL180" s="172"/>
      <c r="VM180" s="172"/>
      <c r="VN180" s="172"/>
      <c r="VO180" s="172"/>
      <c r="VP180" s="172"/>
      <c r="VQ180" s="172"/>
      <c r="VR180" s="172"/>
      <c r="VS180" s="172"/>
      <c r="VT180" s="172"/>
      <c r="VU180" s="172"/>
      <c r="VV180" s="172"/>
      <c r="VW180" s="172"/>
      <c r="VX180" s="172"/>
      <c r="VY180" s="172"/>
      <c r="VZ180" s="172"/>
      <c r="WA180" s="172"/>
      <c r="WB180" s="172"/>
      <c r="WC180" s="172"/>
      <c r="WD180" s="172"/>
      <c r="WE180" s="172"/>
      <c r="WF180" s="172"/>
      <c r="WG180" s="172"/>
      <c r="WH180" s="172"/>
      <c r="WI180" s="172"/>
      <c r="WJ180" s="172"/>
      <c r="WK180" s="172"/>
      <c r="WL180" s="172"/>
      <c r="WM180" s="172"/>
      <c r="WN180" s="172"/>
      <c r="WO180" s="172"/>
      <c r="WP180" s="172"/>
      <c r="WQ180" s="172"/>
      <c r="WR180" s="172"/>
      <c r="WS180" s="172"/>
      <c r="WT180" s="172"/>
      <c r="WU180" s="172"/>
      <c r="WV180" s="172"/>
      <c r="WW180" s="172"/>
      <c r="WX180" s="172"/>
      <c r="WY180" s="172"/>
      <c r="WZ180" s="172"/>
      <c r="XA180" s="172"/>
      <c r="XB180" s="172"/>
      <c r="XC180" s="172"/>
      <c r="XD180" s="172"/>
      <c r="XE180" s="172"/>
      <c r="XF180" s="172"/>
      <c r="XG180" s="172"/>
      <c r="XH180" s="172"/>
      <c r="XI180" s="172"/>
      <c r="XJ180" s="172"/>
      <c r="XK180" s="172"/>
      <c r="XL180" s="172"/>
      <c r="XM180" s="172"/>
      <c r="XN180" s="172"/>
      <c r="XO180" s="172"/>
      <c r="XP180" s="172"/>
      <c r="XQ180" s="172"/>
      <c r="XR180" s="172"/>
      <c r="XS180" s="172"/>
      <c r="XT180" s="172"/>
      <c r="XU180" s="172"/>
      <c r="XV180" s="172"/>
      <c r="XW180" s="172"/>
      <c r="XX180" s="172"/>
      <c r="XY180" s="172"/>
      <c r="XZ180" s="172"/>
      <c r="YA180" s="172"/>
      <c r="YB180" s="172"/>
      <c r="YC180" s="172"/>
      <c r="YD180" s="172"/>
      <c r="YE180" s="172"/>
      <c r="YF180" s="172"/>
      <c r="YG180" s="172"/>
      <c r="YH180" s="172"/>
      <c r="YI180" s="172"/>
      <c r="YJ180" s="172"/>
      <c r="YK180" s="172"/>
      <c r="YL180" s="172"/>
      <c r="YM180" s="172"/>
      <c r="YN180" s="172"/>
      <c r="YO180" s="172"/>
      <c r="YP180" s="172"/>
      <c r="YQ180" s="172"/>
      <c r="YR180" s="172"/>
      <c r="YS180" s="172"/>
      <c r="YT180" s="172"/>
      <c r="YU180" s="172"/>
      <c r="YV180" s="172"/>
      <c r="YW180" s="172"/>
      <c r="YX180" s="172"/>
      <c r="YY180" s="172"/>
      <c r="YZ180" s="172"/>
      <c r="ZA180" s="172"/>
      <c r="ZB180" s="172"/>
      <c r="ZC180" s="172"/>
      <c r="ZD180" s="172"/>
      <c r="ZE180" s="172"/>
      <c r="ZF180" s="172"/>
      <c r="ZG180" s="172"/>
      <c r="ZH180" s="172"/>
      <c r="ZI180" s="172"/>
      <c r="ZJ180" s="172"/>
      <c r="ZK180" s="172"/>
      <c r="ZL180" s="172"/>
      <c r="ZM180" s="172"/>
      <c r="ZN180" s="172"/>
      <c r="ZO180" s="172"/>
      <c r="ZP180" s="172"/>
      <c r="ZQ180" s="172"/>
      <c r="ZR180" s="172"/>
      <c r="ZS180" s="172"/>
      <c r="ZT180" s="172"/>
      <c r="ZU180" s="172"/>
      <c r="ZV180" s="172"/>
      <c r="ZW180" s="172"/>
      <c r="ZX180" s="172"/>
      <c r="ZY180" s="172"/>
      <c r="ZZ180" s="172"/>
      <c r="AAA180" s="172"/>
      <c r="AAB180" s="172"/>
      <c r="AAC180" s="172"/>
      <c r="AAD180" s="172"/>
      <c r="AAE180" s="172"/>
      <c r="AAF180" s="172"/>
      <c r="AAG180" s="172"/>
      <c r="AAH180" s="172"/>
      <c r="AAI180" s="172"/>
      <c r="AAJ180" s="172"/>
      <c r="AAK180" s="172"/>
      <c r="AAL180" s="172"/>
      <c r="AAM180" s="172"/>
      <c r="AAN180" s="172"/>
      <c r="AAO180" s="172"/>
      <c r="AAP180" s="172"/>
      <c r="AAQ180" s="172"/>
      <c r="AAR180" s="172"/>
      <c r="AAS180" s="172"/>
      <c r="AAT180" s="172"/>
      <c r="AAU180" s="172"/>
      <c r="AAV180" s="172"/>
      <c r="AAW180" s="172"/>
      <c r="AAX180" s="172"/>
      <c r="AAY180" s="172"/>
      <c r="AAZ180" s="172"/>
      <c r="ABA180" s="172"/>
      <c r="ABB180" s="172"/>
      <c r="ABC180" s="172"/>
      <c r="ABD180" s="172"/>
      <c r="ABE180" s="172"/>
      <c r="ABF180" s="172"/>
      <c r="ABG180" s="172"/>
      <c r="ABH180" s="172"/>
      <c r="ABI180" s="172"/>
      <c r="ABJ180" s="172"/>
      <c r="ABK180" s="172"/>
      <c r="ABL180" s="172"/>
      <c r="ABM180" s="172"/>
      <c r="ABN180" s="172"/>
      <c r="ABO180" s="172"/>
      <c r="ABP180" s="172"/>
      <c r="ABQ180" s="172"/>
      <c r="ABR180" s="172"/>
      <c r="ABS180" s="172"/>
      <c r="ABT180" s="172"/>
      <c r="ABU180" s="172"/>
      <c r="ABV180" s="172"/>
      <c r="ABW180" s="172"/>
      <c r="ABX180" s="172"/>
      <c r="ABY180" s="172"/>
      <c r="ABZ180" s="172"/>
      <c r="ACA180" s="172"/>
      <c r="ACB180" s="172"/>
      <c r="ACC180" s="172"/>
      <c r="ACD180" s="172"/>
      <c r="ACE180" s="172"/>
      <c r="ACF180" s="172"/>
      <c r="ACG180" s="172"/>
      <c r="ACH180" s="172"/>
      <c r="ACI180" s="172"/>
      <c r="ACJ180" s="172"/>
      <c r="ACK180" s="172"/>
      <c r="ACL180" s="172"/>
      <c r="ACM180" s="172"/>
      <c r="ACN180" s="172"/>
      <c r="ACO180" s="172"/>
      <c r="ACP180" s="172"/>
      <c r="ACQ180" s="172"/>
      <c r="ACR180" s="172"/>
      <c r="ACS180" s="172"/>
      <c r="ACT180" s="172"/>
      <c r="ACU180" s="172"/>
      <c r="ACV180" s="172"/>
      <c r="ACW180" s="172"/>
      <c r="ACX180" s="172"/>
      <c r="ACY180" s="172"/>
      <c r="ACZ180" s="172"/>
      <c r="ADA180" s="172"/>
      <c r="ADB180" s="172"/>
      <c r="ADC180" s="172"/>
      <c r="ADD180" s="172"/>
      <c r="ADE180" s="172"/>
      <c r="ADF180" s="172"/>
      <c r="ADG180" s="172"/>
      <c r="ADH180" s="172"/>
      <c r="ADI180" s="172"/>
      <c r="ADJ180" s="172"/>
      <c r="ADK180" s="172"/>
      <c r="ADL180" s="172"/>
      <c r="ADM180" s="172"/>
      <c r="ADN180" s="172"/>
      <c r="ADO180" s="172"/>
      <c r="ADP180" s="172"/>
      <c r="ADQ180" s="172"/>
      <c r="ADR180" s="172"/>
      <c r="ADS180" s="172"/>
      <c r="ADT180" s="172"/>
      <c r="ADU180" s="172"/>
      <c r="ADV180" s="172"/>
      <c r="ADW180" s="172"/>
      <c r="ADX180" s="172"/>
      <c r="ADY180" s="172"/>
      <c r="ADZ180" s="172"/>
      <c r="AEA180" s="172"/>
      <c r="AEB180" s="172"/>
      <c r="AEC180" s="172"/>
      <c r="AED180" s="172"/>
      <c r="AEE180" s="172"/>
      <c r="AEF180" s="172"/>
      <c r="AEG180" s="172"/>
      <c r="AEH180" s="172"/>
      <c r="AEI180" s="172"/>
      <c r="AEJ180" s="172"/>
      <c r="AEK180" s="172"/>
      <c r="AEL180" s="172"/>
      <c r="AEM180" s="172"/>
      <c r="AEN180" s="172"/>
      <c r="AEO180" s="172"/>
      <c r="AEP180" s="172"/>
      <c r="AEQ180" s="172"/>
      <c r="AER180" s="172"/>
      <c r="AES180" s="172"/>
      <c r="AET180" s="172"/>
      <c r="AEU180" s="172"/>
      <c r="AEV180" s="172"/>
      <c r="AEW180" s="172"/>
      <c r="AEX180" s="172"/>
      <c r="AEY180" s="172"/>
      <c r="AEZ180" s="172"/>
      <c r="AFA180" s="172"/>
      <c r="AFB180" s="172"/>
      <c r="AFC180" s="172"/>
      <c r="AFD180" s="172"/>
      <c r="AFE180" s="172"/>
      <c r="AFF180" s="172"/>
      <c r="AFG180" s="172"/>
      <c r="AFH180" s="172"/>
      <c r="AFI180" s="172"/>
      <c r="AFJ180" s="172"/>
      <c r="AFK180" s="172"/>
      <c r="AFL180" s="172"/>
      <c r="AFM180" s="172"/>
      <c r="AFN180" s="172"/>
      <c r="AFO180" s="172"/>
      <c r="AFP180" s="172"/>
      <c r="AFQ180" s="172"/>
      <c r="AFR180" s="172"/>
      <c r="AFS180" s="172"/>
      <c r="AFT180" s="172"/>
      <c r="AFU180" s="172"/>
      <c r="AFV180" s="172"/>
      <c r="AFW180" s="172"/>
      <c r="AFX180" s="172"/>
      <c r="AFY180" s="172"/>
      <c r="AFZ180" s="172"/>
      <c r="AGA180" s="172"/>
      <c r="AGB180" s="172"/>
      <c r="AGC180" s="172"/>
      <c r="AGD180" s="172"/>
      <c r="AGE180" s="172"/>
      <c r="AGF180" s="172"/>
      <c r="AGG180" s="172"/>
      <c r="AGH180" s="172"/>
      <c r="AGI180" s="172"/>
      <c r="AGJ180" s="172"/>
      <c r="AGK180" s="172"/>
      <c r="AGL180" s="172"/>
      <c r="AGM180" s="172"/>
      <c r="AGN180" s="172"/>
      <c r="AGO180" s="172"/>
      <c r="AGP180" s="172"/>
      <c r="AGQ180" s="172"/>
      <c r="AGR180" s="172"/>
      <c r="AGS180" s="172"/>
      <c r="AGT180" s="172"/>
      <c r="AGU180" s="172"/>
      <c r="AGV180" s="172"/>
      <c r="AGW180" s="172"/>
      <c r="AGX180" s="172"/>
      <c r="AGY180" s="172"/>
      <c r="AGZ180" s="172"/>
      <c r="AHA180" s="172"/>
      <c r="AHB180" s="172"/>
      <c r="AHC180" s="172"/>
      <c r="AHD180" s="172"/>
      <c r="AHE180" s="172"/>
      <c r="AHF180" s="172"/>
      <c r="AHG180" s="172"/>
      <c r="AHH180" s="172"/>
      <c r="AHI180" s="172"/>
      <c r="AHJ180" s="172"/>
      <c r="AHK180" s="172"/>
      <c r="AHL180" s="172"/>
      <c r="AHM180" s="172"/>
      <c r="AHN180" s="172"/>
      <c r="AHO180" s="172"/>
      <c r="AHP180" s="172"/>
      <c r="AHQ180" s="172"/>
      <c r="AHR180" s="172"/>
      <c r="AHS180" s="172"/>
      <c r="AHT180" s="172"/>
      <c r="AHU180" s="172"/>
      <c r="AHV180" s="172"/>
      <c r="AHW180" s="172"/>
      <c r="AHX180" s="172"/>
      <c r="AHY180" s="172"/>
      <c r="AHZ180" s="172"/>
      <c r="AIA180" s="172"/>
      <c r="AIB180" s="172"/>
      <c r="AIC180" s="172"/>
      <c r="AID180" s="172"/>
      <c r="AIE180" s="172"/>
      <c r="AIF180" s="172"/>
      <c r="AIG180" s="172"/>
      <c r="AIH180" s="172"/>
      <c r="AII180" s="172"/>
      <c r="AIJ180" s="172"/>
      <c r="AIK180" s="172"/>
      <c r="AIL180" s="172"/>
      <c r="AIM180" s="172"/>
      <c r="AIN180" s="172"/>
      <c r="AIO180" s="172"/>
      <c r="AIP180" s="172"/>
      <c r="AIQ180" s="172"/>
      <c r="AIR180" s="172"/>
      <c r="AIS180" s="172"/>
      <c r="AIT180" s="172"/>
      <c r="AIU180" s="172"/>
      <c r="AIV180" s="172"/>
      <c r="AIW180" s="172"/>
      <c r="AIX180" s="172"/>
      <c r="AIY180" s="172"/>
      <c r="AIZ180" s="172"/>
      <c r="AJA180" s="172"/>
      <c r="AJB180" s="172"/>
      <c r="AJC180" s="172"/>
      <c r="AJD180" s="172"/>
      <c r="AJE180" s="172"/>
      <c r="AJF180" s="172"/>
      <c r="AJG180" s="172"/>
      <c r="AJH180" s="172"/>
      <c r="AJI180" s="172"/>
      <c r="AJJ180" s="172"/>
      <c r="AJK180" s="172"/>
      <c r="AJL180" s="172"/>
      <c r="AJM180" s="172"/>
      <c r="AJN180" s="172"/>
      <c r="AJO180" s="172"/>
      <c r="AJP180" s="172"/>
      <c r="AJQ180" s="172"/>
      <c r="AJR180" s="172"/>
      <c r="AJS180" s="172"/>
      <c r="AJT180" s="172"/>
      <c r="AJU180" s="172"/>
      <c r="AJV180" s="172"/>
      <c r="AJW180" s="172"/>
      <c r="AJX180" s="172"/>
      <c r="AJY180" s="172"/>
      <c r="AJZ180" s="172"/>
      <c r="AKA180" s="172"/>
      <c r="AKB180" s="172"/>
      <c r="AKC180" s="172"/>
      <c r="AKD180" s="172"/>
      <c r="AKE180" s="172"/>
      <c r="AKF180" s="172"/>
      <c r="AKG180" s="172"/>
      <c r="AKH180" s="172"/>
      <c r="AKI180" s="172"/>
      <c r="AKJ180" s="172"/>
      <c r="AKK180" s="172"/>
      <c r="AKL180" s="172"/>
      <c r="AKM180" s="172"/>
      <c r="AKN180" s="172"/>
      <c r="AKO180" s="172"/>
      <c r="AKP180" s="172"/>
      <c r="AKQ180" s="172"/>
      <c r="AKR180" s="172"/>
      <c r="AKS180" s="172"/>
      <c r="AKT180" s="172"/>
      <c r="AKU180" s="172"/>
      <c r="AKV180" s="172"/>
      <c r="AKW180" s="172"/>
      <c r="AKX180" s="172"/>
      <c r="AKY180" s="172"/>
      <c r="AKZ180" s="172"/>
      <c r="ALA180" s="172"/>
      <c r="ALB180" s="172"/>
      <c r="ALC180" s="172"/>
      <c r="ALD180" s="172"/>
      <c r="ALE180" s="172"/>
      <c r="ALF180" s="172"/>
      <c r="ALG180" s="172"/>
      <c r="ALH180" s="172"/>
      <c r="ALI180" s="172"/>
      <c r="ALJ180" s="172"/>
      <c r="ALK180" s="172"/>
      <c r="ALL180" s="172"/>
      <c r="ALM180" s="172"/>
      <c r="ALN180" s="172"/>
      <c r="ALO180" s="172"/>
      <c r="ALP180" s="172"/>
      <c r="ALQ180" s="172"/>
      <c r="ALR180" s="172"/>
      <c r="ALS180" s="172"/>
      <c r="ALT180" s="172"/>
      <c r="ALU180" s="172"/>
      <c r="ALV180" s="172"/>
      <c r="ALW180" s="172"/>
      <c r="ALX180" s="172"/>
      <c r="ALY180" s="172"/>
      <c r="ALZ180" s="172"/>
      <c r="AMA180" s="172"/>
      <c r="AMB180" s="172"/>
      <c r="AMC180" s="172"/>
      <c r="AMD180" s="172"/>
      <c r="AME180" s="172"/>
      <c r="AMF180" s="172"/>
      <c r="AMG180" s="172"/>
      <c r="AMH180" s="172"/>
      <c r="AMI180" s="172"/>
      <c r="AMJ180" s="172"/>
      <c r="AMK180" s="172"/>
      <c r="AML180" s="172"/>
      <c r="AMM180" s="172"/>
      <c r="AMN180" s="172"/>
      <c r="AMO180" s="172"/>
      <c r="AMP180" s="172"/>
      <c r="AMQ180" s="172"/>
      <c r="AMR180" s="172"/>
      <c r="AMS180" s="172"/>
      <c r="AMT180" s="172"/>
      <c r="AMU180" s="172"/>
      <c r="AMV180" s="172"/>
      <c r="AMW180" s="172"/>
      <c r="AMX180" s="172"/>
      <c r="AMY180" s="172"/>
      <c r="AMZ180" s="172"/>
      <c r="ANA180" s="172"/>
      <c r="ANB180" s="172"/>
      <c r="ANC180" s="172"/>
      <c r="AND180" s="172"/>
      <c r="ANE180" s="172"/>
      <c r="ANF180" s="172"/>
      <c r="ANG180" s="172"/>
      <c r="ANH180" s="172"/>
      <c r="ANI180" s="172"/>
      <c r="ANJ180" s="172"/>
      <c r="ANK180" s="172"/>
      <c r="ANL180" s="172"/>
      <c r="ANM180" s="172"/>
      <c r="ANN180" s="172"/>
      <c r="ANO180" s="172"/>
      <c r="ANP180" s="172"/>
      <c r="ANQ180" s="172"/>
      <c r="ANR180" s="172"/>
      <c r="ANS180" s="172"/>
      <c r="ANT180" s="172"/>
      <c r="ANU180" s="172"/>
      <c r="ANV180" s="172"/>
      <c r="ANW180" s="172"/>
      <c r="ANX180" s="172"/>
      <c r="ANY180" s="172"/>
      <c r="ANZ180" s="172"/>
      <c r="AOA180" s="172"/>
      <c r="AOB180" s="172"/>
      <c r="AOC180" s="172"/>
      <c r="AOD180" s="172"/>
      <c r="AOE180" s="172"/>
      <c r="AOF180" s="172"/>
      <c r="AOG180" s="172"/>
      <c r="AOH180" s="172"/>
      <c r="AOI180" s="172"/>
      <c r="AOJ180" s="172"/>
      <c r="AOK180" s="172"/>
      <c r="AOL180" s="172"/>
      <c r="AOM180" s="172"/>
      <c r="AON180" s="172"/>
      <c r="AOO180" s="172"/>
      <c r="AOP180" s="172"/>
      <c r="AOQ180" s="172"/>
      <c r="AOR180" s="172"/>
      <c r="AOS180" s="172"/>
      <c r="AOT180" s="172"/>
      <c r="AOU180" s="172"/>
      <c r="AOV180" s="172"/>
      <c r="AOW180" s="172"/>
      <c r="AOX180" s="172"/>
      <c r="AOY180" s="172"/>
      <c r="AOZ180" s="172"/>
      <c r="APA180" s="172"/>
      <c r="APB180" s="172"/>
      <c r="APC180" s="172"/>
      <c r="APD180" s="172"/>
      <c r="APE180" s="172"/>
      <c r="APF180" s="172"/>
      <c r="APG180" s="172"/>
      <c r="APH180" s="172"/>
      <c r="API180" s="172"/>
      <c r="APJ180" s="172"/>
      <c r="APK180" s="172"/>
      <c r="APL180" s="172"/>
      <c r="APM180" s="172"/>
      <c r="APN180" s="172"/>
      <c r="APO180" s="172"/>
      <c r="APP180" s="172"/>
      <c r="APQ180" s="172"/>
      <c r="APR180" s="172"/>
      <c r="APS180" s="172"/>
      <c r="APT180" s="172"/>
      <c r="APU180" s="172"/>
      <c r="APV180" s="172"/>
      <c r="APW180" s="172"/>
      <c r="APX180" s="172"/>
      <c r="APY180" s="172"/>
      <c r="APZ180" s="172"/>
      <c r="AQA180" s="172"/>
      <c r="AQB180" s="172"/>
      <c r="AQC180" s="172"/>
      <c r="AQD180" s="172"/>
      <c r="AQE180" s="172"/>
      <c r="AQF180" s="172"/>
      <c r="AQG180" s="172"/>
      <c r="AQH180" s="172"/>
      <c r="AQI180" s="172"/>
      <c r="AQJ180" s="172"/>
      <c r="AQK180" s="172"/>
      <c r="AQL180" s="172"/>
      <c r="AQM180" s="172"/>
      <c r="AQN180" s="172"/>
      <c r="AQO180" s="172"/>
      <c r="AQP180" s="172"/>
      <c r="AQQ180" s="172"/>
      <c r="AQR180" s="172"/>
      <c r="AQS180" s="172"/>
      <c r="AQT180" s="172"/>
      <c r="AQU180" s="172"/>
      <c r="AQV180" s="172"/>
      <c r="AQW180" s="172"/>
      <c r="AQX180" s="172"/>
      <c r="AQY180" s="172"/>
      <c r="AQZ180" s="172"/>
      <c r="ARA180" s="172"/>
      <c r="ARB180" s="172"/>
      <c r="ARC180" s="172"/>
      <c r="ARD180" s="172"/>
      <c r="ARE180" s="172"/>
      <c r="ARF180" s="172"/>
      <c r="ARG180" s="172"/>
      <c r="ARH180" s="172"/>
      <c r="ARI180" s="172"/>
      <c r="ARJ180" s="172"/>
      <c r="ARK180" s="172"/>
      <c r="ARL180" s="172"/>
      <c r="ARM180" s="172"/>
      <c r="ARN180" s="172"/>
      <c r="ARO180" s="172"/>
      <c r="ARP180" s="172"/>
      <c r="ARQ180" s="172"/>
      <c r="ARR180" s="172"/>
      <c r="ARS180" s="172"/>
      <c r="ART180" s="172"/>
      <c r="ARU180" s="172"/>
    </row>
    <row r="181" spans="1:1165" s="257" customFormat="1">
      <c r="A181" s="1524" t="s">
        <v>80</v>
      </c>
      <c r="B181" s="1511" t="s">
        <v>267</v>
      </c>
      <c r="C181" s="1512">
        <v>38667</v>
      </c>
      <c r="D181" s="1512">
        <v>1150798</v>
      </c>
      <c r="E181" s="1512">
        <v>2435</v>
      </c>
      <c r="F181" s="1512">
        <v>310780</v>
      </c>
      <c r="G181" s="1512">
        <v>2630</v>
      </c>
      <c r="H181" s="1512">
        <v>355899</v>
      </c>
      <c r="I181" s="1512">
        <f>2750+658</f>
        <v>3408</v>
      </c>
      <c r="J181" s="1512">
        <v>518900</v>
      </c>
      <c r="K181" s="1512">
        <f>SUM(979+2191)*1.28311707</f>
        <v>4067.4811119000001</v>
      </c>
      <c r="L181" s="1512">
        <v>715898</v>
      </c>
      <c r="M181" s="1512">
        <f>SUM(872+2062+19271)*1.28311707</f>
        <v>28491.614539350001</v>
      </c>
      <c r="N181" s="1512">
        <v>5558723</v>
      </c>
      <c r="O181" s="1512">
        <f>209264*1.28311707</f>
        <v>268510.21053648001</v>
      </c>
      <c r="P181" s="1512">
        <v>64885784</v>
      </c>
      <c r="Q181" s="1512">
        <f>329396*1.28311707</f>
        <v>422653.63038972003</v>
      </c>
      <c r="R181" s="1512">
        <v>58584914</v>
      </c>
      <c r="S181" s="1512">
        <v>921912</v>
      </c>
      <c r="T181" s="1512">
        <v>135427471</v>
      </c>
      <c r="U181" s="1489">
        <v>1129983</v>
      </c>
      <c r="V181" s="1489">
        <v>146254032</v>
      </c>
      <c r="W181" s="1489">
        <v>1353197</v>
      </c>
      <c r="X181" s="1489">
        <v>197155951</v>
      </c>
      <c r="Y181" s="1489">
        <v>1719444</v>
      </c>
      <c r="Z181" s="1489">
        <v>333903937</v>
      </c>
      <c r="AA181" s="1517">
        <v>1869768</v>
      </c>
      <c r="AB181" s="1517">
        <v>313744896</v>
      </c>
      <c r="AC181" s="1512">
        <v>2060353</v>
      </c>
      <c r="AD181" s="1512">
        <v>366702321</v>
      </c>
      <c r="AE181" s="1516">
        <v>2168549</v>
      </c>
      <c r="AF181" s="1516">
        <v>359859020</v>
      </c>
      <c r="AG181" s="1516">
        <v>2341459</v>
      </c>
      <c r="AH181" s="1516">
        <v>331191631</v>
      </c>
      <c r="AI181" s="1516">
        <v>3828078</v>
      </c>
      <c r="AJ181" s="1516">
        <v>564909332</v>
      </c>
      <c r="AK181" s="1516">
        <v>4965927</v>
      </c>
      <c r="AL181" s="1516">
        <v>773723615</v>
      </c>
      <c r="AM181" s="1525">
        <v>6436741</v>
      </c>
      <c r="AN181" s="1525">
        <v>1103314266</v>
      </c>
      <c r="AO181" s="1516">
        <v>6406169</v>
      </c>
      <c r="AP181" s="1516">
        <v>887059959</v>
      </c>
      <c r="AQ181" s="1516">
        <v>5565129</v>
      </c>
      <c r="AR181" s="1516">
        <v>1013297673.5700001</v>
      </c>
      <c r="AS181" s="1516">
        <v>6196347</v>
      </c>
      <c r="AT181" s="1516">
        <v>1946370988</v>
      </c>
      <c r="AU181" s="1517">
        <v>6015068</v>
      </c>
      <c r="AV181" s="1517">
        <v>1787908337</v>
      </c>
      <c r="AW181" s="1489">
        <v>6878561</v>
      </c>
      <c r="AX181" s="1489">
        <v>1928576225</v>
      </c>
      <c r="AY181" s="1489">
        <v>6393743</v>
      </c>
      <c r="AZ181" s="1489">
        <v>1765463476</v>
      </c>
      <c r="BA181" s="1486"/>
      <c r="BB181" s="1489"/>
      <c r="BC181" s="1489"/>
      <c r="BD181" s="1489"/>
      <c r="BE181" s="1526"/>
      <c r="BF181" s="1489"/>
      <c r="BG181" s="1489"/>
      <c r="BH181" s="1489"/>
      <c r="BI181" s="1526"/>
      <c r="BJ181" s="1512">
        <f t="shared" ref="BJ181:BJ186" si="75">C181+G181+I181+K181+M181+O181+Q181+S181+U181+W181+Y181+AA181+AC181+AE181+AG181+AI181+AK181+AM181+AO181+AQ181+AS181+AU181+AW181+AY181+BB181+BF181</f>
        <v>67018855.936577454</v>
      </c>
      <c r="BK181" s="1514">
        <f t="shared" ref="BK181:BK187" si="76">D181+H181+J181+L181+N181+P181+R181+T181+V181+X181+Z181+AB181+AD181+AF181+AH181+AJ181+AL181+AN181+AP181+AR181+AT181+AV181+AX181+AZ181+BD181+BH181</f>
        <v>14086634046.57</v>
      </c>
      <c r="BL181" s="172"/>
      <c r="BM181" s="231"/>
      <c r="BN181" s="231"/>
      <c r="BO181" s="231"/>
      <c r="BP181" s="231"/>
      <c r="BQ181" s="172"/>
      <c r="BR181" s="172"/>
      <c r="BS181" s="172"/>
      <c r="BT181" s="172"/>
      <c r="BU181" s="172"/>
      <c r="BV181" s="172"/>
      <c r="BW181" s="172"/>
      <c r="BX181" s="172"/>
      <c r="BY181" s="172"/>
      <c r="BZ181" s="172"/>
      <c r="CA181" s="172"/>
      <c r="CB181" s="172"/>
      <c r="CC181" s="172"/>
      <c r="CD181" s="172"/>
      <c r="CE181" s="172"/>
      <c r="CF181" s="172"/>
      <c r="CG181" s="172"/>
      <c r="CH181" s="172"/>
      <c r="CI181" s="172"/>
      <c r="CJ181" s="172"/>
      <c r="CK181" s="172"/>
      <c r="CL181" s="172"/>
      <c r="CM181" s="172"/>
      <c r="CN181" s="172"/>
      <c r="CO181" s="172"/>
      <c r="CP181" s="172"/>
      <c r="CQ181" s="172"/>
      <c r="CR181" s="172"/>
      <c r="CS181" s="172"/>
      <c r="CT181" s="172"/>
      <c r="CU181" s="172"/>
      <c r="CV181" s="172"/>
      <c r="CW181" s="172"/>
      <c r="CX181" s="172"/>
      <c r="CY181" s="172"/>
      <c r="CZ181" s="172"/>
      <c r="DA181" s="172"/>
      <c r="DB181" s="172"/>
      <c r="DC181" s="172"/>
      <c r="DD181" s="172"/>
      <c r="DE181" s="172"/>
      <c r="DF181" s="172"/>
      <c r="DG181" s="172"/>
      <c r="DH181" s="172"/>
      <c r="DI181" s="172"/>
      <c r="DJ181" s="172"/>
      <c r="DK181" s="172"/>
      <c r="DL181" s="172"/>
      <c r="DM181" s="172"/>
      <c r="DN181" s="172"/>
      <c r="DO181" s="172"/>
      <c r="DP181" s="172"/>
      <c r="DQ181" s="172"/>
      <c r="DR181" s="172"/>
      <c r="DS181" s="172"/>
      <c r="DT181" s="172"/>
      <c r="DU181" s="172"/>
      <c r="DV181" s="172"/>
      <c r="DW181" s="172"/>
      <c r="DX181" s="172"/>
      <c r="DY181" s="172"/>
      <c r="DZ181" s="172"/>
      <c r="EA181" s="172"/>
      <c r="EB181" s="172"/>
      <c r="EC181" s="172"/>
      <c r="ED181" s="172"/>
      <c r="EE181" s="172"/>
      <c r="EF181" s="172"/>
      <c r="EG181" s="172"/>
      <c r="EH181" s="172"/>
      <c r="EI181" s="172"/>
      <c r="EJ181" s="172"/>
      <c r="EK181" s="172"/>
      <c r="EL181" s="172"/>
      <c r="EM181" s="172"/>
      <c r="EN181" s="172"/>
      <c r="EO181" s="172"/>
      <c r="EP181" s="172"/>
      <c r="EQ181" s="172"/>
      <c r="ER181" s="172"/>
      <c r="ES181" s="172"/>
      <c r="ET181" s="172"/>
      <c r="EU181" s="172"/>
      <c r="EV181" s="172"/>
      <c r="EW181" s="172"/>
      <c r="EX181" s="172"/>
      <c r="EY181" s="172"/>
      <c r="EZ181" s="172"/>
      <c r="FA181" s="172"/>
      <c r="FB181" s="172"/>
      <c r="FC181" s="172"/>
      <c r="FD181" s="172"/>
      <c r="FE181" s="172"/>
      <c r="FF181" s="172"/>
      <c r="FG181" s="172"/>
      <c r="FH181" s="172"/>
      <c r="FI181" s="172"/>
      <c r="FJ181" s="172"/>
      <c r="FK181" s="172"/>
      <c r="FL181" s="172"/>
      <c r="FM181" s="172"/>
      <c r="FN181" s="172"/>
      <c r="FO181" s="172"/>
      <c r="FP181" s="172"/>
      <c r="FQ181" s="172"/>
      <c r="FR181" s="172"/>
      <c r="FS181" s="172"/>
      <c r="FT181" s="172"/>
      <c r="FU181" s="172"/>
      <c r="FV181" s="172"/>
      <c r="FW181" s="172"/>
      <c r="FX181" s="172"/>
      <c r="FY181" s="172"/>
      <c r="FZ181" s="172"/>
      <c r="GA181" s="172"/>
      <c r="GB181" s="172"/>
      <c r="GC181" s="172"/>
      <c r="GD181" s="172"/>
      <c r="GE181" s="172"/>
      <c r="GF181" s="172"/>
      <c r="GG181" s="172"/>
      <c r="GH181" s="172"/>
      <c r="GI181" s="172"/>
      <c r="GJ181" s="172"/>
      <c r="GK181" s="172"/>
      <c r="GL181" s="172"/>
      <c r="GM181" s="172"/>
      <c r="GN181" s="172"/>
      <c r="GO181" s="172"/>
      <c r="GP181" s="172"/>
      <c r="GQ181" s="172"/>
      <c r="GR181" s="172"/>
      <c r="GS181" s="172"/>
      <c r="GT181" s="172"/>
      <c r="GU181" s="172"/>
      <c r="GV181" s="172"/>
      <c r="GW181" s="172"/>
      <c r="GX181" s="172"/>
      <c r="GY181" s="172"/>
      <c r="GZ181" s="172"/>
      <c r="HA181" s="172"/>
      <c r="HB181" s="172"/>
      <c r="HC181" s="172"/>
      <c r="HD181" s="172"/>
      <c r="HE181" s="172"/>
      <c r="HF181" s="172"/>
      <c r="HG181" s="172"/>
      <c r="HH181" s="172"/>
      <c r="HI181" s="172"/>
      <c r="HJ181" s="172"/>
      <c r="HK181" s="172"/>
      <c r="HL181" s="172"/>
      <c r="HM181" s="172"/>
      <c r="HN181" s="172"/>
      <c r="HO181" s="172"/>
      <c r="HP181" s="172"/>
      <c r="HQ181" s="172"/>
      <c r="HR181" s="172"/>
      <c r="HS181" s="172"/>
      <c r="HT181" s="172"/>
      <c r="HU181" s="172"/>
      <c r="HV181" s="172"/>
      <c r="HW181" s="172"/>
      <c r="HX181" s="172"/>
      <c r="HY181" s="172"/>
      <c r="HZ181" s="172"/>
      <c r="IA181" s="172"/>
      <c r="IB181" s="172"/>
      <c r="IC181" s="172"/>
      <c r="ID181" s="172"/>
      <c r="IE181" s="172"/>
      <c r="IF181" s="172"/>
      <c r="IG181" s="172"/>
      <c r="IH181" s="172"/>
      <c r="II181" s="172"/>
      <c r="IJ181" s="172"/>
      <c r="IK181" s="172"/>
      <c r="IL181" s="172"/>
      <c r="IM181" s="172"/>
      <c r="IN181" s="172"/>
      <c r="IO181" s="172"/>
      <c r="IP181" s="172"/>
      <c r="IQ181" s="172"/>
      <c r="IR181" s="172"/>
      <c r="IS181" s="172"/>
      <c r="IT181" s="172"/>
      <c r="IU181" s="172"/>
      <c r="IV181" s="172"/>
      <c r="IW181" s="172"/>
      <c r="IX181" s="172"/>
      <c r="IY181" s="172"/>
      <c r="IZ181" s="172"/>
      <c r="JA181" s="172"/>
      <c r="JB181" s="172"/>
      <c r="JC181" s="172"/>
      <c r="JD181" s="172"/>
      <c r="JE181" s="172"/>
      <c r="JF181" s="172"/>
      <c r="JG181" s="172"/>
      <c r="JH181" s="172"/>
      <c r="JI181" s="172"/>
      <c r="JJ181" s="172"/>
      <c r="JK181" s="172"/>
      <c r="JL181" s="172"/>
      <c r="JM181" s="172"/>
      <c r="JN181" s="172"/>
      <c r="JO181" s="172"/>
      <c r="JP181" s="172"/>
      <c r="JQ181" s="172"/>
      <c r="JR181" s="172"/>
      <c r="JS181" s="172"/>
      <c r="JT181" s="172"/>
      <c r="JU181" s="172"/>
      <c r="JV181" s="172"/>
      <c r="JW181" s="172"/>
      <c r="JX181" s="172"/>
      <c r="JY181" s="172"/>
      <c r="JZ181" s="172"/>
      <c r="KA181" s="172"/>
      <c r="KB181" s="172"/>
      <c r="KC181" s="172"/>
      <c r="KD181" s="172"/>
      <c r="KE181" s="172"/>
      <c r="KF181" s="172"/>
      <c r="KG181" s="172"/>
      <c r="KH181" s="172"/>
      <c r="KI181" s="172"/>
      <c r="KJ181" s="172"/>
      <c r="KK181" s="172"/>
      <c r="KL181" s="172"/>
      <c r="KM181" s="172"/>
      <c r="KN181" s="172"/>
      <c r="KO181" s="172"/>
      <c r="KP181" s="172"/>
      <c r="KQ181" s="172"/>
      <c r="KR181" s="172"/>
      <c r="KS181" s="172"/>
      <c r="KT181" s="172"/>
      <c r="KU181" s="172"/>
      <c r="KV181" s="172"/>
      <c r="KW181" s="172"/>
      <c r="KX181" s="172"/>
      <c r="KY181" s="172"/>
      <c r="KZ181" s="172"/>
      <c r="LA181" s="172"/>
      <c r="LB181" s="172"/>
      <c r="LC181" s="172"/>
      <c r="LD181" s="172"/>
      <c r="LE181" s="172"/>
      <c r="LF181" s="172"/>
      <c r="LG181" s="172"/>
      <c r="LH181" s="172"/>
      <c r="LI181" s="172"/>
      <c r="LJ181" s="172"/>
      <c r="LK181" s="172"/>
      <c r="LL181" s="172"/>
      <c r="LM181" s="172"/>
      <c r="LN181" s="172"/>
      <c r="LO181" s="172"/>
      <c r="LP181" s="172"/>
      <c r="LQ181" s="172"/>
      <c r="LR181" s="172"/>
      <c r="LS181" s="172"/>
      <c r="LT181" s="172"/>
      <c r="LU181" s="172"/>
      <c r="LV181" s="172"/>
      <c r="LW181" s="172"/>
      <c r="LX181" s="172"/>
      <c r="LY181" s="172"/>
      <c r="LZ181" s="172"/>
      <c r="MA181" s="172"/>
      <c r="MB181" s="172"/>
      <c r="MC181" s="172"/>
      <c r="MD181" s="172"/>
      <c r="ME181" s="172"/>
      <c r="MF181" s="172"/>
      <c r="MG181" s="172"/>
      <c r="MH181" s="172"/>
      <c r="MI181" s="172"/>
      <c r="MJ181" s="172"/>
      <c r="MK181" s="172"/>
      <c r="ML181" s="172"/>
      <c r="MM181" s="172"/>
      <c r="MN181" s="172"/>
      <c r="MO181" s="172"/>
      <c r="MP181" s="172"/>
      <c r="MQ181" s="172"/>
      <c r="MR181" s="172"/>
      <c r="MS181" s="172"/>
      <c r="MT181" s="172"/>
      <c r="MU181" s="172"/>
      <c r="MV181" s="172"/>
      <c r="MW181" s="172"/>
      <c r="MX181" s="172"/>
      <c r="MY181" s="172"/>
      <c r="MZ181" s="172"/>
      <c r="NA181" s="172"/>
      <c r="NB181" s="172"/>
      <c r="NC181" s="172"/>
      <c r="ND181" s="172"/>
      <c r="NE181" s="172"/>
      <c r="NF181" s="172"/>
      <c r="NG181" s="172"/>
      <c r="NH181" s="172"/>
      <c r="NI181" s="172"/>
      <c r="NJ181" s="172"/>
      <c r="NK181" s="172"/>
      <c r="NL181" s="172"/>
      <c r="NM181" s="172"/>
      <c r="NN181" s="172"/>
      <c r="NO181" s="172"/>
      <c r="NP181" s="172"/>
      <c r="NQ181" s="172"/>
      <c r="NR181" s="172"/>
      <c r="NS181" s="172"/>
      <c r="NT181" s="172"/>
      <c r="NU181" s="172"/>
      <c r="NV181" s="172"/>
      <c r="NW181" s="172"/>
      <c r="NX181" s="172"/>
      <c r="NY181" s="172"/>
      <c r="NZ181" s="172"/>
      <c r="OA181" s="172"/>
      <c r="OB181" s="172"/>
      <c r="OC181" s="172"/>
      <c r="OD181" s="172"/>
      <c r="OE181" s="172"/>
      <c r="OF181" s="172"/>
      <c r="OG181" s="172"/>
      <c r="OH181" s="172"/>
      <c r="OI181" s="172"/>
      <c r="OJ181" s="172"/>
      <c r="OK181" s="172"/>
      <c r="OL181" s="172"/>
      <c r="OM181" s="172"/>
      <c r="ON181" s="172"/>
      <c r="OO181" s="172"/>
      <c r="OP181" s="172"/>
      <c r="OQ181" s="172"/>
      <c r="OR181" s="172"/>
      <c r="OS181" s="172"/>
      <c r="OT181" s="172"/>
      <c r="OU181" s="172"/>
      <c r="OV181" s="172"/>
      <c r="OW181" s="172"/>
      <c r="OX181" s="172"/>
      <c r="OY181" s="172"/>
      <c r="OZ181" s="172"/>
      <c r="PA181" s="172"/>
      <c r="PB181" s="172"/>
      <c r="PC181" s="172"/>
      <c r="PD181" s="172"/>
      <c r="PE181" s="172"/>
      <c r="PF181" s="172"/>
      <c r="PG181" s="172"/>
      <c r="PH181" s="172"/>
      <c r="PI181" s="172"/>
      <c r="PJ181" s="172"/>
      <c r="PK181" s="172"/>
      <c r="PL181" s="172"/>
      <c r="PM181" s="172"/>
      <c r="PN181" s="172"/>
      <c r="PO181" s="172"/>
      <c r="PP181" s="172"/>
      <c r="PQ181" s="172"/>
      <c r="PR181" s="172"/>
      <c r="PS181" s="172"/>
      <c r="PT181" s="172"/>
      <c r="PU181" s="172"/>
      <c r="PV181" s="172"/>
      <c r="PW181" s="172"/>
      <c r="PX181" s="172"/>
      <c r="PY181" s="172"/>
      <c r="PZ181" s="172"/>
      <c r="QA181" s="172"/>
      <c r="QB181" s="172"/>
      <c r="QC181" s="172"/>
      <c r="QD181" s="172"/>
      <c r="QE181" s="172"/>
      <c r="QF181" s="172"/>
      <c r="QG181" s="172"/>
      <c r="QH181" s="172"/>
      <c r="QI181" s="172"/>
      <c r="QJ181" s="172"/>
      <c r="QK181" s="172"/>
      <c r="QL181" s="172"/>
      <c r="QM181" s="172"/>
      <c r="QN181" s="172"/>
      <c r="QO181" s="172"/>
      <c r="QP181" s="172"/>
      <c r="QQ181" s="172"/>
      <c r="QR181" s="172"/>
      <c r="QS181" s="172"/>
      <c r="QT181" s="172"/>
      <c r="QU181" s="172"/>
      <c r="QV181" s="172"/>
      <c r="QW181" s="172"/>
      <c r="QX181" s="172"/>
      <c r="QY181" s="172"/>
      <c r="QZ181" s="172"/>
      <c r="RA181" s="172"/>
      <c r="RB181" s="172"/>
      <c r="RC181" s="172"/>
      <c r="RD181" s="172"/>
      <c r="RE181" s="172"/>
      <c r="RF181" s="172"/>
      <c r="RG181" s="172"/>
      <c r="RH181" s="172"/>
      <c r="RI181" s="172"/>
      <c r="RJ181" s="172"/>
      <c r="RK181" s="172"/>
      <c r="RL181" s="172"/>
      <c r="RM181" s="172"/>
      <c r="RN181" s="172"/>
      <c r="RO181" s="172"/>
      <c r="RP181" s="172"/>
      <c r="RQ181" s="172"/>
      <c r="RR181" s="172"/>
      <c r="RS181" s="172"/>
      <c r="RT181" s="172"/>
      <c r="RU181" s="172"/>
      <c r="RV181" s="172"/>
      <c r="RW181" s="172"/>
      <c r="RX181" s="172"/>
      <c r="RY181" s="172"/>
      <c r="RZ181" s="172"/>
      <c r="SA181" s="172"/>
      <c r="SB181" s="172"/>
      <c r="SC181" s="172"/>
      <c r="SD181" s="172"/>
      <c r="SE181" s="172"/>
      <c r="SF181" s="172"/>
      <c r="SG181" s="172"/>
      <c r="SH181" s="172"/>
      <c r="SI181" s="172"/>
      <c r="SJ181" s="172"/>
      <c r="SK181" s="172"/>
      <c r="SL181" s="172"/>
      <c r="SM181" s="172"/>
      <c r="SN181" s="172"/>
      <c r="SO181" s="172"/>
      <c r="SP181" s="172"/>
      <c r="SQ181" s="172"/>
      <c r="SR181" s="172"/>
      <c r="SS181" s="172"/>
      <c r="ST181" s="172"/>
      <c r="SU181" s="172"/>
      <c r="SV181" s="172"/>
      <c r="SW181" s="172"/>
      <c r="SX181" s="172"/>
      <c r="SY181" s="172"/>
      <c r="SZ181" s="172"/>
      <c r="TA181" s="172"/>
      <c r="TB181" s="172"/>
      <c r="TC181" s="172"/>
      <c r="TD181" s="172"/>
      <c r="TE181" s="172"/>
      <c r="TF181" s="172"/>
      <c r="TG181" s="172"/>
      <c r="TH181" s="172"/>
      <c r="TI181" s="172"/>
      <c r="TJ181" s="172"/>
      <c r="TK181" s="172"/>
      <c r="TL181" s="172"/>
      <c r="TM181" s="172"/>
      <c r="TN181" s="172"/>
      <c r="TO181" s="172"/>
      <c r="TP181" s="172"/>
      <c r="TQ181" s="172"/>
      <c r="TR181" s="172"/>
      <c r="TS181" s="172"/>
      <c r="TT181" s="172"/>
      <c r="TU181" s="172"/>
      <c r="TV181" s="172"/>
      <c r="TW181" s="172"/>
      <c r="TX181" s="172"/>
      <c r="TY181" s="172"/>
      <c r="TZ181" s="172"/>
      <c r="UA181" s="172"/>
      <c r="UB181" s="172"/>
      <c r="UC181" s="172"/>
      <c r="UD181" s="172"/>
      <c r="UE181" s="172"/>
      <c r="UF181" s="172"/>
      <c r="UG181" s="172"/>
      <c r="UH181" s="172"/>
      <c r="UI181" s="172"/>
      <c r="UJ181" s="172"/>
      <c r="UK181" s="172"/>
      <c r="UL181" s="172"/>
      <c r="UM181" s="172"/>
      <c r="UN181" s="172"/>
      <c r="UO181" s="172"/>
      <c r="UP181" s="172"/>
      <c r="UQ181" s="172"/>
      <c r="UR181" s="172"/>
      <c r="US181" s="172"/>
      <c r="UT181" s="172"/>
      <c r="UU181" s="172"/>
      <c r="UV181" s="172"/>
      <c r="UW181" s="172"/>
      <c r="UX181" s="172"/>
      <c r="UY181" s="172"/>
      <c r="UZ181" s="172"/>
      <c r="VA181" s="172"/>
      <c r="VB181" s="172"/>
      <c r="VC181" s="172"/>
      <c r="VD181" s="172"/>
      <c r="VE181" s="172"/>
      <c r="VF181" s="172"/>
      <c r="VG181" s="172"/>
      <c r="VH181" s="172"/>
      <c r="VI181" s="172"/>
      <c r="VJ181" s="172"/>
      <c r="VK181" s="172"/>
      <c r="VL181" s="172"/>
      <c r="VM181" s="172"/>
      <c r="VN181" s="172"/>
      <c r="VO181" s="172"/>
      <c r="VP181" s="172"/>
      <c r="VQ181" s="172"/>
      <c r="VR181" s="172"/>
      <c r="VS181" s="172"/>
      <c r="VT181" s="172"/>
      <c r="VU181" s="172"/>
      <c r="VV181" s="172"/>
      <c r="VW181" s="172"/>
      <c r="VX181" s="172"/>
      <c r="VY181" s="172"/>
      <c r="VZ181" s="172"/>
      <c r="WA181" s="172"/>
      <c r="WB181" s="172"/>
      <c r="WC181" s="172"/>
      <c r="WD181" s="172"/>
      <c r="WE181" s="172"/>
      <c r="WF181" s="172"/>
      <c r="WG181" s="172"/>
      <c r="WH181" s="172"/>
      <c r="WI181" s="172"/>
      <c r="WJ181" s="172"/>
      <c r="WK181" s="172"/>
      <c r="WL181" s="172"/>
      <c r="WM181" s="172"/>
      <c r="WN181" s="172"/>
      <c r="WO181" s="172"/>
      <c r="WP181" s="172"/>
      <c r="WQ181" s="172"/>
      <c r="WR181" s="172"/>
      <c r="WS181" s="172"/>
      <c r="WT181" s="172"/>
      <c r="WU181" s="172"/>
      <c r="WV181" s="172"/>
      <c r="WW181" s="172"/>
      <c r="WX181" s="172"/>
      <c r="WY181" s="172"/>
      <c r="WZ181" s="172"/>
      <c r="XA181" s="172"/>
      <c r="XB181" s="172"/>
      <c r="XC181" s="172"/>
      <c r="XD181" s="172"/>
      <c r="XE181" s="172"/>
      <c r="XF181" s="172"/>
      <c r="XG181" s="172"/>
      <c r="XH181" s="172"/>
      <c r="XI181" s="172"/>
      <c r="XJ181" s="172"/>
      <c r="XK181" s="172"/>
      <c r="XL181" s="172"/>
      <c r="XM181" s="172"/>
      <c r="XN181" s="172"/>
      <c r="XO181" s="172"/>
      <c r="XP181" s="172"/>
      <c r="XQ181" s="172"/>
      <c r="XR181" s="172"/>
      <c r="XS181" s="172"/>
      <c r="XT181" s="172"/>
      <c r="XU181" s="172"/>
      <c r="XV181" s="172"/>
      <c r="XW181" s="172"/>
      <c r="XX181" s="172"/>
      <c r="XY181" s="172"/>
      <c r="XZ181" s="172"/>
      <c r="YA181" s="172"/>
      <c r="YB181" s="172"/>
      <c r="YC181" s="172"/>
      <c r="YD181" s="172"/>
      <c r="YE181" s="172"/>
      <c r="YF181" s="172"/>
      <c r="YG181" s="172"/>
      <c r="YH181" s="172"/>
      <c r="YI181" s="172"/>
      <c r="YJ181" s="172"/>
      <c r="YK181" s="172"/>
      <c r="YL181" s="172"/>
      <c r="YM181" s="172"/>
      <c r="YN181" s="172"/>
      <c r="YO181" s="172"/>
      <c r="YP181" s="172"/>
      <c r="YQ181" s="172"/>
      <c r="YR181" s="172"/>
      <c r="YS181" s="172"/>
      <c r="YT181" s="172"/>
      <c r="YU181" s="172"/>
      <c r="YV181" s="172"/>
      <c r="YW181" s="172"/>
      <c r="YX181" s="172"/>
      <c r="YY181" s="172"/>
      <c r="YZ181" s="172"/>
      <c r="ZA181" s="172"/>
      <c r="ZB181" s="172"/>
      <c r="ZC181" s="172"/>
      <c r="ZD181" s="172"/>
      <c r="ZE181" s="172"/>
      <c r="ZF181" s="172"/>
      <c r="ZG181" s="172"/>
      <c r="ZH181" s="172"/>
      <c r="ZI181" s="172"/>
      <c r="ZJ181" s="172"/>
      <c r="ZK181" s="172"/>
      <c r="ZL181" s="172"/>
      <c r="ZM181" s="172"/>
      <c r="ZN181" s="172"/>
      <c r="ZO181" s="172"/>
      <c r="ZP181" s="172"/>
      <c r="ZQ181" s="172"/>
      <c r="ZR181" s="172"/>
      <c r="ZS181" s="172"/>
      <c r="ZT181" s="172"/>
      <c r="ZU181" s="172"/>
      <c r="ZV181" s="172"/>
      <c r="ZW181" s="172"/>
      <c r="ZX181" s="172"/>
      <c r="ZY181" s="172"/>
      <c r="ZZ181" s="172"/>
      <c r="AAA181" s="172"/>
      <c r="AAB181" s="172"/>
      <c r="AAC181" s="172"/>
      <c r="AAD181" s="172"/>
      <c r="AAE181" s="172"/>
      <c r="AAF181" s="172"/>
      <c r="AAG181" s="172"/>
      <c r="AAH181" s="172"/>
      <c r="AAI181" s="172"/>
      <c r="AAJ181" s="172"/>
      <c r="AAK181" s="172"/>
      <c r="AAL181" s="172"/>
      <c r="AAM181" s="172"/>
      <c r="AAN181" s="172"/>
      <c r="AAO181" s="172"/>
      <c r="AAP181" s="172"/>
      <c r="AAQ181" s="172"/>
      <c r="AAR181" s="172"/>
      <c r="AAS181" s="172"/>
      <c r="AAT181" s="172"/>
      <c r="AAU181" s="172"/>
      <c r="AAV181" s="172"/>
      <c r="AAW181" s="172"/>
      <c r="AAX181" s="172"/>
      <c r="AAY181" s="172"/>
      <c r="AAZ181" s="172"/>
      <c r="ABA181" s="172"/>
      <c r="ABB181" s="172"/>
      <c r="ABC181" s="172"/>
      <c r="ABD181" s="172"/>
      <c r="ABE181" s="172"/>
      <c r="ABF181" s="172"/>
      <c r="ABG181" s="172"/>
      <c r="ABH181" s="172"/>
      <c r="ABI181" s="172"/>
      <c r="ABJ181" s="172"/>
      <c r="ABK181" s="172"/>
      <c r="ABL181" s="172"/>
      <c r="ABM181" s="172"/>
      <c r="ABN181" s="172"/>
      <c r="ABO181" s="172"/>
      <c r="ABP181" s="172"/>
      <c r="ABQ181" s="172"/>
      <c r="ABR181" s="172"/>
      <c r="ABS181" s="172"/>
      <c r="ABT181" s="172"/>
      <c r="ABU181" s="172"/>
      <c r="ABV181" s="172"/>
      <c r="ABW181" s="172"/>
      <c r="ABX181" s="172"/>
      <c r="ABY181" s="172"/>
      <c r="ABZ181" s="172"/>
      <c r="ACA181" s="172"/>
      <c r="ACB181" s="172"/>
      <c r="ACC181" s="172"/>
      <c r="ACD181" s="172"/>
      <c r="ACE181" s="172"/>
      <c r="ACF181" s="172"/>
      <c r="ACG181" s="172"/>
      <c r="ACH181" s="172"/>
      <c r="ACI181" s="172"/>
      <c r="ACJ181" s="172"/>
      <c r="ACK181" s="172"/>
      <c r="ACL181" s="172"/>
      <c r="ACM181" s="172"/>
      <c r="ACN181" s="172"/>
      <c r="ACO181" s="172"/>
      <c r="ACP181" s="172"/>
      <c r="ACQ181" s="172"/>
      <c r="ACR181" s="172"/>
      <c r="ACS181" s="172"/>
      <c r="ACT181" s="172"/>
      <c r="ACU181" s="172"/>
      <c r="ACV181" s="172"/>
      <c r="ACW181" s="172"/>
      <c r="ACX181" s="172"/>
      <c r="ACY181" s="172"/>
      <c r="ACZ181" s="172"/>
      <c r="ADA181" s="172"/>
      <c r="ADB181" s="172"/>
      <c r="ADC181" s="172"/>
      <c r="ADD181" s="172"/>
      <c r="ADE181" s="172"/>
      <c r="ADF181" s="172"/>
      <c r="ADG181" s="172"/>
      <c r="ADH181" s="172"/>
      <c r="ADI181" s="172"/>
      <c r="ADJ181" s="172"/>
      <c r="ADK181" s="172"/>
      <c r="ADL181" s="172"/>
      <c r="ADM181" s="172"/>
      <c r="ADN181" s="172"/>
      <c r="ADO181" s="172"/>
      <c r="ADP181" s="172"/>
      <c r="ADQ181" s="172"/>
      <c r="ADR181" s="172"/>
      <c r="ADS181" s="172"/>
      <c r="ADT181" s="172"/>
      <c r="ADU181" s="172"/>
      <c r="ADV181" s="172"/>
      <c r="ADW181" s="172"/>
      <c r="ADX181" s="172"/>
      <c r="ADY181" s="172"/>
      <c r="ADZ181" s="172"/>
      <c r="AEA181" s="172"/>
      <c r="AEB181" s="172"/>
      <c r="AEC181" s="172"/>
      <c r="AED181" s="172"/>
      <c r="AEE181" s="172"/>
      <c r="AEF181" s="172"/>
      <c r="AEG181" s="172"/>
      <c r="AEH181" s="172"/>
      <c r="AEI181" s="172"/>
      <c r="AEJ181" s="172"/>
      <c r="AEK181" s="172"/>
      <c r="AEL181" s="172"/>
      <c r="AEM181" s="172"/>
      <c r="AEN181" s="172"/>
      <c r="AEO181" s="172"/>
      <c r="AEP181" s="172"/>
      <c r="AEQ181" s="172"/>
      <c r="AER181" s="172"/>
      <c r="AES181" s="172"/>
      <c r="AET181" s="172"/>
      <c r="AEU181" s="172"/>
      <c r="AEV181" s="172"/>
      <c r="AEW181" s="172"/>
      <c r="AEX181" s="172"/>
      <c r="AEY181" s="172"/>
      <c r="AEZ181" s="172"/>
      <c r="AFA181" s="172"/>
      <c r="AFB181" s="172"/>
      <c r="AFC181" s="172"/>
      <c r="AFD181" s="172"/>
      <c r="AFE181" s="172"/>
      <c r="AFF181" s="172"/>
      <c r="AFG181" s="172"/>
      <c r="AFH181" s="172"/>
      <c r="AFI181" s="172"/>
      <c r="AFJ181" s="172"/>
      <c r="AFK181" s="172"/>
      <c r="AFL181" s="172"/>
      <c r="AFM181" s="172"/>
      <c r="AFN181" s="172"/>
      <c r="AFO181" s="172"/>
      <c r="AFP181" s="172"/>
      <c r="AFQ181" s="172"/>
      <c r="AFR181" s="172"/>
      <c r="AFS181" s="172"/>
      <c r="AFT181" s="172"/>
      <c r="AFU181" s="172"/>
      <c r="AFV181" s="172"/>
      <c r="AFW181" s="172"/>
      <c r="AFX181" s="172"/>
      <c r="AFY181" s="172"/>
      <c r="AFZ181" s="172"/>
      <c r="AGA181" s="172"/>
      <c r="AGB181" s="172"/>
      <c r="AGC181" s="172"/>
      <c r="AGD181" s="172"/>
      <c r="AGE181" s="172"/>
      <c r="AGF181" s="172"/>
      <c r="AGG181" s="172"/>
      <c r="AGH181" s="172"/>
      <c r="AGI181" s="172"/>
      <c r="AGJ181" s="172"/>
      <c r="AGK181" s="172"/>
      <c r="AGL181" s="172"/>
      <c r="AGM181" s="172"/>
      <c r="AGN181" s="172"/>
      <c r="AGO181" s="172"/>
      <c r="AGP181" s="172"/>
      <c r="AGQ181" s="172"/>
      <c r="AGR181" s="172"/>
      <c r="AGS181" s="172"/>
      <c r="AGT181" s="172"/>
      <c r="AGU181" s="172"/>
      <c r="AGV181" s="172"/>
      <c r="AGW181" s="172"/>
      <c r="AGX181" s="172"/>
      <c r="AGY181" s="172"/>
      <c r="AGZ181" s="172"/>
      <c r="AHA181" s="172"/>
      <c r="AHB181" s="172"/>
      <c r="AHC181" s="172"/>
      <c r="AHD181" s="172"/>
      <c r="AHE181" s="172"/>
      <c r="AHF181" s="172"/>
      <c r="AHG181" s="172"/>
      <c r="AHH181" s="172"/>
      <c r="AHI181" s="172"/>
      <c r="AHJ181" s="172"/>
      <c r="AHK181" s="172"/>
      <c r="AHL181" s="172"/>
      <c r="AHM181" s="172"/>
      <c r="AHN181" s="172"/>
      <c r="AHO181" s="172"/>
      <c r="AHP181" s="172"/>
      <c r="AHQ181" s="172"/>
      <c r="AHR181" s="172"/>
      <c r="AHS181" s="172"/>
      <c r="AHT181" s="172"/>
      <c r="AHU181" s="172"/>
      <c r="AHV181" s="172"/>
      <c r="AHW181" s="172"/>
      <c r="AHX181" s="172"/>
      <c r="AHY181" s="172"/>
      <c r="AHZ181" s="172"/>
      <c r="AIA181" s="172"/>
      <c r="AIB181" s="172"/>
      <c r="AIC181" s="172"/>
      <c r="AID181" s="172"/>
      <c r="AIE181" s="172"/>
      <c r="AIF181" s="172"/>
      <c r="AIG181" s="172"/>
      <c r="AIH181" s="172"/>
      <c r="AII181" s="172"/>
      <c r="AIJ181" s="172"/>
      <c r="AIK181" s="172"/>
      <c r="AIL181" s="172"/>
      <c r="AIM181" s="172"/>
      <c r="AIN181" s="172"/>
      <c r="AIO181" s="172"/>
      <c r="AIP181" s="172"/>
      <c r="AIQ181" s="172"/>
      <c r="AIR181" s="172"/>
      <c r="AIS181" s="172"/>
      <c r="AIT181" s="172"/>
      <c r="AIU181" s="172"/>
      <c r="AIV181" s="172"/>
      <c r="AIW181" s="172"/>
      <c r="AIX181" s="172"/>
      <c r="AIY181" s="172"/>
      <c r="AIZ181" s="172"/>
      <c r="AJA181" s="172"/>
      <c r="AJB181" s="172"/>
      <c r="AJC181" s="172"/>
      <c r="AJD181" s="172"/>
      <c r="AJE181" s="172"/>
      <c r="AJF181" s="172"/>
      <c r="AJG181" s="172"/>
      <c r="AJH181" s="172"/>
      <c r="AJI181" s="172"/>
      <c r="AJJ181" s="172"/>
      <c r="AJK181" s="172"/>
      <c r="AJL181" s="172"/>
      <c r="AJM181" s="172"/>
      <c r="AJN181" s="172"/>
      <c r="AJO181" s="172"/>
      <c r="AJP181" s="172"/>
      <c r="AJQ181" s="172"/>
      <c r="AJR181" s="172"/>
      <c r="AJS181" s="172"/>
      <c r="AJT181" s="172"/>
      <c r="AJU181" s="172"/>
      <c r="AJV181" s="172"/>
      <c r="AJW181" s="172"/>
      <c r="AJX181" s="172"/>
      <c r="AJY181" s="172"/>
      <c r="AJZ181" s="172"/>
      <c r="AKA181" s="172"/>
      <c r="AKB181" s="172"/>
      <c r="AKC181" s="172"/>
      <c r="AKD181" s="172"/>
      <c r="AKE181" s="172"/>
      <c r="AKF181" s="172"/>
      <c r="AKG181" s="172"/>
      <c r="AKH181" s="172"/>
      <c r="AKI181" s="172"/>
      <c r="AKJ181" s="172"/>
      <c r="AKK181" s="172"/>
      <c r="AKL181" s="172"/>
      <c r="AKM181" s="172"/>
      <c r="AKN181" s="172"/>
      <c r="AKO181" s="172"/>
      <c r="AKP181" s="172"/>
      <c r="AKQ181" s="172"/>
      <c r="AKR181" s="172"/>
      <c r="AKS181" s="172"/>
      <c r="AKT181" s="172"/>
      <c r="AKU181" s="172"/>
      <c r="AKV181" s="172"/>
      <c r="AKW181" s="172"/>
      <c r="AKX181" s="172"/>
      <c r="AKY181" s="172"/>
      <c r="AKZ181" s="172"/>
      <c r="ALA181" s="172"/>
      <c r="ALB181" s="172"/>
      <c r="ALC181" s="172"/>
      <c r="ALD181" s="172"/>
      <c r="ALE181" s="172"/>
      <c r="ALF181" s="172"/>
      <c r="ALG181" s="172"/>
      <c r="ALH181" s="172"/>
      <c r="ALI181" s="172"/>
      <c r="ALJ181" s="172"/>
      <c r="ALK181" s="172"/>
      <c r="ALL181" s="172"/>
      <c r="ALM181" s="172"/>
      <c r="ALN181" s="172"/>
      <c r="ALO181" s="172"/>
      <c r="ALP181" s="172"/>
      <c r="ALQ181" s="172"/>
      <c r="ALR181" s="172"/>
      <c r="ALS181" s="172"/>
      <c r="ALT181" s="172"/>
      <c r="ALU181" s="172"/>
      <c r="ALV181" s="172"/>
      <c r="ALW181" s="172"/>
      <c r="ALX181" s="172"/>
      <c r="ALY181" s="172"/>
      <c r="ALZ181" s="172"/>
      <c r="AMA181" s="172"/>
      <c r="AMB181" s="172"/>
      <c r="AMC181" s="172"/>
      <c r="AMD181" s="172"/>
      <c r="AME181" s="172"/>
      <c r="AMF181" s="172"/>
      <c r="AMG181" s="172"/>
      <c r="AMH181" s="172"/>
      <c r="AMI181" s="172"/>
      <c r="AMJ181" s="172"/>
      <c r="AMK181" s="172"/>
      <c r="AML181" s="172"/>
      <c r="AMM181" s="172"/>
      <c r="AMN181" s="172"/>
      <c r="AMO181" s="172"/>
      <c r="AMP181" s="172"/>
      <c r="AMQ181" s="172"/>
      <c r="AMR181" s="172"/>
      <c r="AMS181" s="172"/>
      <c r="AMT181" s="172"/>
      <c r="AMU181" s="172"/>
      <c r="AMV181" s="172"/>
      <c r="AMW181" s="172"/>
      <c r="AMX181" s="172"/>
      <c r="AMY181" s="172"/>
      <c r="AMZ181" s="172"/>
      <c r="ANA181" s="172"/>
      <c r="ANB181" s="172"/>
      <c r="ANC181" s="172"/>
      <c r="AND181" s="172"/>
      <c r="ANE181" s="172"/>
      <c r="ANF181" s="172"/>
      <c r="ANG181" s="172"/>
      <c r="ANH181" s="172"/>
      <c r="ANI181" s="172"/>
      <c r="ANJ181" s="172"/>
      <c r="ANK181" s="172"/>
      <c r="ANL181" s="172"/>
      <c r="ANM181" s="172"/>
      <c r="ANN181" s="172"/>
      <c r="ANO181" s="172"/>
      <c r="ANP181" s="172"/>
      <c r="ANQ181" s="172"/>
      <c r="ANR181" s="172"/>
      <c r="ANS181" s="172"/>
      <c r="ANT181" s="172"/>
      <c r="ANU181" s="172"/>
      <c r="ANV181" s="172"/>
      <c r="ANW181" s="172"/>
      <c r="ANX181" s="172"/>
      <c r="ANY181" s="172"/>
      <c r="ANZ181" s="172"/>
      <c r="AOA181" s="172"/>
      <c r="AOB181" s="172"/>
      <c r="AOC181" s="172"/>
      <c r="AOD181" s="172"/>
      <c r="AOE181" s="172"/>
      <c r="AOF181" s="172"/>
      <c r="AOG181" s="172"/>
      <c r="AOH181" s="172"/>
      <c r="AOI181" s="172"/>
      <c r="AOJ181" s="172"/>
      <c r="AOK181" s="172"/>
      <c r="AOL181" s="172"/>
      <c r="AOM181" s="172"/>
      <c r="AON181" s="172"/>
      <c r="AOO181" s="172"/>
      <c r="AOP181" s="172"/>
      <c r="AOQ181" s="172"/>
      <c r="AOR181" s="172"/>
      <c r="AOS181" s="172"/>
      <c r="AOT181" s="172"/>
      <c r="AOU181" s="172"/>
      <c r="AOV181" s="172"/>
      <c r="AOW181" s="172"/>
      <c r="AOX181" s="172"/>
      <c r="AOY181" s="172"/>
      <c r="AOZ181" s="172"/>
      <c r="APA181" s="172"/>
      <c r="APB181" s="172"/>
      <c r="APC181" s="172"/>
      <c r="APD181" s="172"/>
      <c r="APE181" s="172"/>
      <c r="APF181" s="172"/>
      <c r="APG181" s="172"/>
      <c r="APH181" s="172"/>
      <c r="API181" s="172"/>
      <c r="APJ181" s="172"/>
      <c r="APK181" s="172"/>
      <c r="APL181" s="172"/>
      <c r="APM181" s="172"/>
      <c r="APN181" s="172"/>
      <c r="APO181" s="172"/>
      <c r="APP181" s="172"/>
      <c r="APQ181" s="172"/>
      <c r="APR181" s="172"/>
      <c r="APS181" s="172"/>
      <c r="APT181" s="172"/>
      <c r="APU181" s="172"/>
      <c r="APV181" s="172"/>
      <c r="APW181" s="172"/>
      <c r="APX181" s="172"/>
      <c r="APY181" s="172"/>
      <c r="APZ181" s="172"/>
      <c r="AQA181" s="172"/>
      <c r="AQB181" s="172"/>
      <c r="AQC181" s="172"/>
      <c r="AQD181" s="172"/>
      <c r="AQE181" s="172"/>
      <c r="AQF181" s="172"/>
      <c r="AQG181" s="172"/>
      <c r="AQH181" s="172"/>
      <c r="AQI181" s="172"/>
      <c r="AQJ181" s="172"/>
      <c r="AQK181" s="172"/>
      <c r="AQL181" s="172"/>
      <c r="AQM181" s="172"/>
      <c r="AQN181" s="172"/>
      <c r="AQO181" s="172"/>
      <c r="AQP181" s="172"/>
      <c r="AQQ181" s="172"/>
      <c r="AQR181" s="172"/>
      <c r="AQS181" s="172"/>
      <c r="AQT181" s="172"/>
      <c r="AQU181" s="172"/>
      <c r="AQV181" s="172"/>
      <c r="AQW181" s="172"/>
      <c r="AQX181" s="172"/>
      <c r="AQY181" s="172"/>
      <c r="AQZ181" s="172"/>
      <c r="ARA181" s="172"/>
      <c r="ARB181" s="172"/>
      <c r="ARC181" s="172"/>
      <c r="ARD181" s="172"/>
      <c r="ARE181" s="172"/>
      <c r="ARF181" s="172"/>
      <c r="ARG181" s="172"/>
      <c r="ARH181" s="172"/>
      <c r="ARI181" s="172"/>
      <c r="ARJ181" s="172"/>
      <c r="ARK181" s="172"/>
      <c r="ARL181" s="172"/>
      <c r="ARM181" s="172"/>
      <c r="ARN181" s="172"/>
      <c r="ARO181" s="172"/>
      <c r="ARP181" s="172"/>
      <c r="ARQ181" s="172"/>
      <c r="ARR181" s="172"/>
      <c r="ARS181" s="172"/>
      <c r="ART181" s="172"/>
      <c r="ARU181" s="172"/>
    </row>
    <row r="182" spans="1:1165" s="257" customFormat="1">
      <c r="A182" s="1524" t="s">
        <v>79</v>
      </c>
      <c r="B182" s="1511" t="s">
        <v>267</v>
      </c>
      <c r="C182" s="1512">
        <v>27285996</v>
      </c>
      <c r="D182" s="1512">
        <v>879157349</v>
      </c>
      <c r="E182" s="1512">
        <v>624748</v>
      </c>
      <c r="F182" s="1512">
        <v>268782192</v>
      </c>
      <c r="G182" s="1512">
        <v>1439274</v>
      </c>
      <c r="H182" s="1512">
        <v>278612808</v>
      </c>
      <c r="I182" s="1512">
        <v>1278000</v>
      </c>
      <c r="J182" s="1512">
        <v>258602636</v>
      </c>
      <c r="K182" s="1512">
        <v>1260801</v>
      </c>
      <c r="L182" s="1512">
        <v>300712136</v>
      </c>
      <c r="M182" s="1512">
        <v>1295520</v>
      </c>
      <c r="N182" s="1512">
        <v>283635789</v>
      </c>
      <c r="O182" s="1512">
        <v>1207875</v>
      </c>
      <c r="P182" s="1512">
        <v>318717603</v>
      </c>
      <c r="Q182" s="1512">
        <v>1607251</v>
      </c>
      <c r="R182" s="1512">
        <v>260582180</v>
      </c>
      <c r="S182" s="1512">
        <v>1764084</v>
      </c>
      <c r="T182" s="1512">
        <v>314913379</v>
      </c>
      <c r="U182" s="1489">
        <v>2056808</v>
      </c>
      <c r="V182" s="1489">
        <v>246110792</v>
      </c>
      <c r="W182" s="1489">
        <v>2514049</v>
      </c>
      <c r="X182" s="1489">
        <v>369850063</v>
      </c>
      <c r="Y182" s="1512">
        <v>5200749</v>
      </c>
      <c r="Z182" s="1512">
        <v>1023216415</v>
      </c>
      <c r="AA182" s="1517">
        <v>5214637</v>
      </c>
      <c r="AB182" s="1517">
        <v>901415578</v>
      </c>
      <c r="AC182" s="1512">
        <v>5046694</v>
      </c>
      <c r="AD182" s="1512">
        <v>917363371</v>
      </c>
      <c r="AE182" s="1516">
        <v>4048865</v>
      </c>
      <c r="AF182" s="1516">
        <v>709316334</v>
      </c>
      <c r="AG182" s="1516">
        <v>8752619</v>
      </c>
      <c r="AH182" s="1516">
        <v>1299752620</v>
      </c>
      <c r="AI182" s="1516">
        <v>8683505</v>
      </c>
      <c r="AJ182" s="1516">
        <v>1384829505</v>
      </c>
      <c r="AK182" s="1516">
        <v>11258708</v>
      </c>
      <c r="AL182" s="1516">
        <v>1958824698</v>
      </c>
      <c r="AM182" s="1525">
        <v>9539869</v>
      </c>
      <c r="AN182" s="1525">
        <v>1719801811.3599999</v>
      </c>
      <c r="AO182" s="1516">
        <v>10977222</v>
      </c>
      <c r="AP182" s="1516">
        <v>1497550122</v>
      </c>
      <c r="AQ182" s="1516">
        <v>8490438.5938721336</v>
      </c>
      <c r="AR182" s="1516">
        <v>1559291022.8499999</v>
      </c>
      <c r="AS182" s="1516">
        <v>13743415</v>
      </c>
      <c r="AT182" s="1516">
        <v>4472416146.1800003</v>
      </c>
      <c r="AU182" s="1517">
        <v>14061255</v>
      </c>
      <c r="AV182" s="1517">
        <v>4246653099</v>
      </c>
      <c r="AW182" s="1489">
        <v>15216491</v>
      </c>
      <c r="AX182" s="1489">
        <v>4457025360</v>
      </c>
      <c r="AY182" s="1489">
        <v>14119334</v>
      </c>
      <c r="AZ182" s="1489">
        <v>4034630921</v>
      </c>
      <c r="BA182" s="1486"/>
      <c r="BB182" s="1489"/>
      <c r="BC182" s="1526"/>
      <c r="BD182" s="1489"/>
      <c r="BE182" s="1526"/>
      <c r="BF182" s="1489"/>
      <c r="BG182" s="1489"/>
      <c r="BH182" s="1489"/>
      <c r="BI182" s="1526"/>
      <c r="BJ182" s="1512">
        <f t="shared" si="75"/>
        <v>176063459.59387213</v>
      </c>
      <c r="BK182" s="1514">
        <f t="shared" si="76"/>
        <v>33692981738.389999</v>
      </c>
      <c r="BL182" s="172"/>
      <c r="BM182" s="231"/>
      <c r="BN182" s="231"/>
      <c r="BO182" s="172"/>
      <c r="BP182" s="231"/>
      <c r="BQ182" s="172"/>
      <c r="BR182" s="172"/>
      <c r="BS182" s="172"/>
      <c r="BT182" s="172"/>
      <c r="BU182" s="172"/>
      <c r="BV182" s="172"/>
      <c r="BW182" s="172"/>
      <c r="BX182" s="172"/>
      <c r="BY182" s="172"/>
      <c r="BZ182" s="172"/>
      <c r="CA182" s="172"/>
      <c r="CB182" s="172"/>
      <c r="CC182" s="172"/>
      <c r="CD182" s="172"/>
      <c r="CE182" s="172"/>
      <c r="CF182" s="172"/>
      <c r="CG182" s="172"/>
      <c r="CH182" s="172"/>
      <c r="CI182" s="172"/>
      <c r="CJ182" s="172"/>
      <c r="CK182" s="172"/>
      <c r="CL182" s="172"/>
      <c r="CM182" s="172"/>
      <c r="CN182" s="172"/>
      <c r="CO182" s="172"/>
      <c r="CP182" s="172"/>
      <c r="CQ182" s="172"/>
      <c r="CR182" s="172"/>
      <c r="CS182" s="172"/>
      <c r="CT182" s="172"/>
      <c r="CU182" s="172"/>
      <c r="CV182" s="172"/>
      <c r="CW182" s="172"/>
      <c r="CX182" s="172"/>
      <c r="CY182" s="172"/>
      <c r="CZ182" s="172"/>
      <c r="DA182" s="172"/>
      <c r="DB182" s="172"/>
      <c r="DC182" s="172"/>
      <c r="DD182" s="172"/>
      <c r="DE182" s="172"/>
      <c r="DF182" s="172"/>
      <c r="DG182" s="172"/>
      <c r="DH182" s="172"/>
      <c r="DI182" s="172"/>
      <c r="DJ182" s="172"/>
      <c r="DK182" s="172"/>
      <c r="DL182" s="172"/>
      <c r="DM182" s="172"/>
      <c r="DN182" s="172"/>
      <c r="DO182" s="172"/>
      <c r="DP182" s="172"/>
      <c r="DQ182" s="172"/>
      <c r="DR182" s="172"/>
      <c r="DS182" s="172"/>
      <c r="DT182" s="172"/>
      <c r="DU182" s="172"/>
      <c r="DV182" s="172"/>
      <c r="DW182" s="172"/>
      <c r="DX182" s="172"/>
      <c r="DY182" s="172"/>
      <c r="DZ182" s="172"/>
      <c r="EA182" s="172"/>
      <c r="EB182" s="172"/>
      <c r="EC182" s="172"/>
      <c r="ED182" s="172"/>
      <c r="EE182" s="172"/>
      <c r="EF182" s="172"/>
      <c r="EG182" s="172"/>
      <c r="EH182" s="172"/>
      <c r="EI182" s="172"/>
      <c r="EJ182" s="172"/>
      <c r="EK182" s="172"/>
      <c r="EL182" s="172"/>
      <c r="EM182" s="172"/>
      <c r="EN182" s="172"/>
      <c r="EO182" s="172"/>
      <c r="EP182" s="172"/>
      <c r="EQ182" s="172"/>
      <c r="ER182" s="172"/>
      <c r="ES182" s="172"/>
      <c r="ET182" s="172"/>
      <c r="EU182" s="172"/>
      <c r="EV182" s="172"/>
      <c r="EW182" s="172"/>
      <c r="EX182" s="172"/>
      <c r="EY182" s="172"/>
      <c r="EZ182" s="172"/>
      <c r="FA182" s="172"/>
      <c r="FB182" s="172"/>
      <c r="FC182" s="172"/>
      <c r="FD182" s="172"/>
      <c r="FE182" s="172"/>
      <c r="FF182" s="172"/>
      <c r="FG182" s="172"/>
      <c r="FH182" s="172"/>
      <c r="FI182" s="172"/>
      <c r="FJ182" s="172"/>
      <c r="FK182" s="172"/>
      <c r="FL182" s="172"/>
      <c r="FM182" s="172"/>
      <c r="FN182" s="172"/>
      <c r="FO182" s="172"/>
      <c r="FP182" s="172"/>
      <c r="FQ182" s="172"/>
      <c r="FR182" s="172"/>
      <c r="FS182" s="172"/>
      <c r="FT182" s="172"/>
      <c r="FU182" s="172"/>
      <c r="FV182" s="172"/>
      <c r="FW182" s="172"/>
      <c r="FX182" s="172"/>
      <c r="FY182" s="172"/>
      <c r="FZ182" s="172"/>
      <c r="GA182" s="172"/>
      <c r="GB182" s="172"/>
      <c r="GC182" s="172"/>
      <c r="GD182" s="172"/>
      <c r="GE182" s="172"/>
      <c r="GF182" s="172"/>
      <c r="GG182" s="172"/>
      <c r="GH182" s="172"/>
      <c r="GI182" s="172"/>
      <c r="GJ182" s="172"/>
      <c r="GK182" s="172"/>
      <c r="GL182" s="172"/>
      <c r="GM182" s="172"/>
      <c r="GN182" s="172"/>
      <c r="GO182" s="172"/>
      <c r="GP182" s="172"/>
      <c r="GQ182" s="172"/>
      <c r="GR182" s="172"/>
      <c r="GS182" s="172"/>
      <c r="GT182" s="172"/>
      <c r="GU182" s="172"/>
      <c r="GV182" s="172"/>
      <c r="GW182" s="172"/>
      <c r="GX182" s="172"/>
      <c r="GY182" s="172"/>
      <c r="GZ182" s="172"/>
      <c r="HA182" s="172"/>
      <c r="HB182" s="172"/>
      <c r="HC182" s="172"/>
      <c r="HD182" s="172"/>
      <c r="HE182" s="172"/>
      <c r="HF182" s="172"/>
      <c r="HG182" s="172"/>
      <c r="HH182" s="172"/>
      <c r="HI182" s="172"/>
      <c r="HJ182" s="172"/>
      <c r="HK182" s="172"/>
      <c r="HL182" s="172"/>
      <c r="HM182" s="172"/>
      <c r="HN182" s="172"/>
      <c r="HO182" s="172"/>
      <c r="HP182" s="172"/>
      <c r="HQ182" s="172"/>
      <c r="HR182" s="172"/>
      <c r="HS182" s="172"/>
      <c r="HT182" s="172"/>
      <c r="HU182" s="172"/>
      <c r="HV182" s="172"/>
      <c r="HW182" s="172"/>
      <c r="HX182" s="172"/>
      <c r="HY182" s="172"/>
      <c r="HZ182" s="172"/>
      <c r="IA182" s="172"/>
      <c r="IB182" s="172"/>
      <c r="IC182" s="172"/>
      <c r="ID182" s="172"/>
      <c r="IE182" s="172"/>
      <c r="IF182" s="172"/>
      <c r="IG182" s="172"/>
      <c r="IH182" s="172"/>
      <c r="II182" s="172"/>
      <c r="IJ182" s="172"/>
      <c r="IK182" s="172"/>
      <c r="IL182" s="172"/>
      <c r="IM182" s="172"/>
      <c r="IN182" s="172"/>
      <c r="IO182" s="172"/>
      <c r="IP182" s="172"/>
      <c r="IQ182" s="172"/>
      <c r="IR182" s="172"/>
      <c r="IS182" s="172"/>
      <c r="IT182" s="172"/>
      <c r="IU182" s="172"/>
      <c r="IV182" s="172"/>
      <c r="IW182" s="172"/>
      <c r="IX182" s="172"/>
      <c r="IY182" s="172"/>
      <c r="IZ182" s="172"/>
      <c r="JA182" s="172"/>
      <c r="JB182" s="172"/>
      <c r="JC182" s="172"/>
      <c r="JD182" s="172"/>
      <c r="JE182" s="172"/>
      <c r="JF182" s="172"/>
      <c r="JG182" s="172"/>
      <c r="JH182" s="172"/>
      <c r="JI182" s="172"/>
      <c r="JJ182" s="172"/>
      <c r="JK182" s="172"/>
      <c r="JL182" s="172"/>
      <c r="JM182" s="172"/>
      <c r="JN182" s="172"/>
      <c r="JO182" s="172"/>
      <c r="JP182" s="172"/>
      <c r="JQ182" s="172"/>
      <c r="JR182" s="172"/>
      <c r="JS182" s="172"/>
      <c r="JT182" s="172"/>
      <c r="JU182" s="172"/>
      <c r="JV182" s="172"/>
      <c r="JW182" s="172"/>
      <c r="JX182" s="172"/>
      <c r="JY182" s="172"/>
      <c r="JZ182" s="172"/>
      <c r="KA182" s="172"/>
      <c r="KB182" s="172"/>
      <c r="KC182" s="172"/>
      <c r="KD182" s="172"/>
      <c r="KE182" s="172"/>
      <c r="KF182" s="172"/>
      <c r="KG182" s="172"/>
      <c r="KH182" s="172"/>
      <c r="KI182" s="172"/>
      <c r="KJ182" s="172"/>
      <c r="KK182" s="172"/>
      <c r="KL182" s="172"/>
      <c r="KM182" s="172"/>
      <c r="KN182" s="172"/>
      <c r="KO182" s="172"/>
      <c r="KP182" s="172"/>
      <c r="KQ182" s="172"/>
      <c r="KR182" s="172"/>
      <c r="KS182" s="172"/>
      <c r="KT182" s="172"/>
      <c r="KU182" s="172"/>
      <c r="KV182" s="172"/>
      <c r="KW182" s="172"/>
      <c r="KX182" s="172"/>
      <c r="KY182" s="172"/>
      <c r="KZ182" s="172"/>
      <c r="LA182" s="172"/>
      <c r="LB182" s="172"/>
      <c r="LC182" s="172"/>
      <c r="LD182" s="172"/>
      <c r="LE182" s="172"/>
      <c r="LF182" s="172"/>
      <c r="LG182" s="172"/>
      <c r="LH182" s="172"/>
      <c r="LI182" s="172"/>
      <c r="LJ182" s="172"/>
      <c r="LK182" s="172"/>
      <c r="LL182" s="172"/>
      <c r="LM182" s="172"/>
      <c r="LN182" s="172"/>
      <c r="LO182" s="172"/>
      <c r="LP182" s="172"/>
      <c r="LQ182" s="172"/>
      <c r="LR182" s="172"/>
      <c r="LS182" s="172"/>
      <c r="LT182" s="172"/>
      <c r="LU182" s="172"/>
      <c r="LV182" s="172"/>
      <c r="LW182" s="172"/>
      <c r="LX182" s="172"/>
      <c r="LY182" s="172"/>
      <c r="LZ182" s="172"/>
      <c r="MA182" s="172"/>
      <c r="MB182" s="172"/>
      <c r="MC182" s="172"/>
      <c r="MD182" s="172"/>
      <c r="ME182" s="172"/>
      <c r="MF182" s="172"/>
      <c r="MG182" s="172"/>
      <c r="MH182" s="172"/>
      <c r="MI182" s="172"/>
      <c r="MJ182" s="172"/>
      <c r="MK182" s="172"/>
      <c r="ML182" s="172"/>
      <c r="MM182" s="172"/>
      <c r="MN182" s="172"/>
      <c r="MO182" s="172"/>
      <c r="MP182" s="172"/>
      <c r="MQ182" s="172"/>
      <c r="MR182" s="172"/>
      <c r="MS182" s="172"/>
      <c r="MT182" s="172"/>
      <c r="MU182" s="172"/>
      <c r="MV182" s="172"/>
      <c r="MW182" s="172"/>
      <c r="MX182" s="172"/>
      <c r="MY182" s="172"/>
      <c r="MZ182" s="172"/>
      <c r="NA182" s="172"/>
      <c r="NB182" s="172"/>
      <c r="NC182" s="172"/>
      <c r="ND182" s="172"/>
      <c r="NE182" s="172"/>
      <c r="NF182" s="172"/>
      <c r="NG182" s="172"/>
      <c r="NH182" s="172"/>
      <c r="NI182" s="172"/>
      <c r="NJ182" s="172"/>
      <c r="NK182" s="172"/>
      <c r="NL182" s="172"/>
      <c r="NM182" s="172"/>
      <c r="NN182" s="172"/>
      <c r="NO182" s="172"/>
      <c r="NP182" s="172"/>
      <c r="NQ182" s="172"/>
      <c r="NR182" s="172"/>
      <c r="NS182" s="172"/>
      <c r="NT182" s="172"/>
      <c r="NU182" s="172"/>
      <c r="NV182" s="172"/>
      <c r="NW182" s="172"/>
      <c r="NX182" s="172"/>
      <c r="NY182" s="172"/>
      <c r="NZ182" s="172"/>
      <c r="OA182" s="172"/>
      <c r="OB182" s="172"/>
      <c r="OC182" s="172"/>
      <c r="OD182" s="172"/>
      <c r="OE182" s="172"/>
      <c r="OF182" s="172"/>
      <c r="OG182" s="172"/>
      <c r="OH182" s="172"/>
      <c r="OI182" s="172"/>
      <c r="OJ182" s="172"/>
      <c r="OK182" s="172"/>
      <c r="OL182" s="172"/>
      <c r="OM182" s="172"/>
      <c r="ON182" s="172"/>
      <c r="OO182" s="172"/>
      <c r="OP182" s="172"/>
      <c r="OQ182" s="172"/>
      <c r="OR182" s="172"/>
      <c r="OS182" s="172"/>
      <c r="OT182" s="172"/>
      <c r="OU182" s="172"/>
      <c r="OV182" s="172"/>
      <c r="OW182" s="172"/>
      <c r="OX182" s="172"/>
      <c r="OY182" s="172"/>
      <c r="OZ182" s="172"/>
      <c r="PA182" s="172"/>
      <c r="PB182" s="172"/>
      <c r="PC182" s="172"/>
      <c r="PD182" s="172"/>
      <c r="PE182" s="172"/>
      <c r="PF182" s="172"/>
      <c r="PG182" s="172"/>
      <c r="PH182" s="172"/>
      <c r="PI182" s="172"/>
      <c r="PJ182" s="172"/>
      <c r="PK182" s="172"/>
      <c r="PL182" s="172"/>
      <c r="PM182" s="172"/>
      <c r="PN182" s="172"/>
      <c r="PO182" s="172"/>
      <c r="PP182" s="172"/>
      <c r="PQ182" s="172"/>
      <c r="PR182" s="172"/>
      <c r="PS182" s="172"/>
      <c r="PT182" s="172"/>
      <c r="PU182" s="172"/>
      <c r="PV182" s="172"/>
      <c r="PW182" s="172"/>
      <c r="PX182" s="172"/>
      <c r="PY182" s="172"/>
      <c r="PZ182" s="172"/>
      <c r="QA182" s="172"/>
      <c r="QB182" s="172"/>
      <c r="QC182" s="172"/>
      <c r="QD182" s="172"/>
      <c r="QE182" s="172"/>
      <c r="QF182" s="172"/>
      <c r="QG182" s="172"/>
      <c r="QH182" s="172"/>
      <c r="QI182" s="172"/>
      <c r="QJ182" s="172"/>
      <c r="QK182" s="172"/>
      <c r="QL182" s="172"/>
      <c r="QM182" s="172"/>
      <c r="QN182" s="172"/>
      <c r="QO182" s="172"/>
      <c r="QP182" s="172"/>
      <c r="QQ182" s="172"/>
      <c r="QR182" s="172"/>
      <c r="QS182" s="172"/>
      <c r="QT182" s="172"/>
      <c r="QU182" s="172"/>
      <c r="QV182" s="172"/>
      <c r="QW182" s="172"/>
      <c r="QX182" s="172"/>
      <c r="QY182" s="172"/>
      <c r="QZ182" s="172"/>
      <c r="RA182" s="172"/>
      <c r="RB182" s="172"/>
      <c r="RC182" s="172"/>
      <c r="RD182" s="172"/>
      <c r="RE182" s="172"/>
      <c r="RF182" s="172"/>
      <c r="RG182" s="172"/>
      <c r="RH182" s="172"/>
      <c r="RI182" s="172"/>
      <c r="RJ182" s="172"/>
      <c r="RK182" s="172"/>
      <c r="RL182" s="172"/>
      <c r="RM182" s="172"/>
      <c r="RN182" s="172"/>
      <c r="RO182" s="172"/>
      <c r="RP182" s="172"/>
      <c r="RQ182" s="172"/>
      <c r="RR182" s="172"/>
      <c r="RS182" s="172"/>
      <c r="RT182" s="172"/>
      <c r="RU182" s="172"/>
      <c r="RV182" s="172"/>
      <c r="RW182" s="172"/>
      <c r="RX182" s="172"/>
      <c r="RY182" s="172"/>
      <c r="RZ182" s="172"/>
      <c r="SA182" s="172"/>
      <c r="SB182" s="172"/>
      <c r="SC182" s="172"/>
      <c r="SD182" s="172"/>
      <c r="SE182" s="172"/>
      <c r="SF182" s="172"/>
      <c r="SG182" s="172"/>
      <c r="SH182" s="172"/>
      <c r="SI182" s="172"/>
      <c r="SJ182" s="172"/>
      <c r="SK182" s="172"/>
      <c r="SL182" s="172"/>
      <c r="SM182" s="172"/>
      <c r="SN182" s="172"/>
      <c r="SO182" s="172"/>
      <c r="SP182" s="172"/>
      <c r="SQ182" s="172"/>
      <c r="SR182" s="172"/>
      <c r="SS182" s="172"/>
      <c r="ST182" s="172"/>
      <c r="SU182" s="172"/>
      <c r="SV182" s="172"/>
      <c r="SW182" s="172"/>
      <c r="SX182" s="172"/>
      <c r="SY182" s="172"/>
      <c r="SZ182" s="172"/>
      <c r="TA182" s="172"/>
      <c r="TB182" s="172"/>
      <c r="TC182" s="172"/>
      <c r="TD182" s="172"/>
      <c r="TE182" s="172"/>
      <c r="TF182" s="172"/>
      <c r="TG182" s="172"/>
      <c r="TH182" s="172"/>
      <c r="TI182" s="172"/>
      <c r="TJ182" s="172"/>
      <c r="TK182" s="172"/>
      <c r="TL182" s="172"/>
      <c r="TM182" s="172"/>
      <c r="TN182" s="172"/>
      <c r="TO182" s="172"/>
      <c r="TP182" s="172"/>
      <c r="TQ182" s="172"/>
      <c r="TR182" s="172"/>
      <c r="TS182" s="172"/>
      <c r="TT182" s="172"/>
      <c r="TU182" s="172"/>
      <c r="TV182" s="172"/>
      <c r="TW182" s="172"/>
      <c r="TX182" s="172"/>
      <c r="TY182" s="172"/>
      <c r="TZ182" s="172"/>
      <c r="UA182" s="172"/>
      <c r="UB182" s="172"/>
      <c r="UC182" s="172"/>
      <c r="UD182" s="172"/>
      <c r="UE182" s="172"/>
      <c r="UF182" s="172"/>
      <c r="UG182" s="172"/>
      <c r="UH182" s="172"/>
      <c r="UI182" s="172"/>
      <c r="UJ182" s="172"/>
      <c r="UK182" s="172"/>
      <c r="UL182" s="172"/>
      <c r="UM182" s="172"/>
      <c r="UN182" s="172"/>
      <c r="UO182" s="172"/>
      <c r="UP182" s="172"/>
      <c r="UQ182" s="172"/>
      <c r="UR182" s="172"/>
      <c r="US182" s="172"/>
      <c r="UT182" s="172"/>
      <c r="UU182" s="172"/>
      <c r="UV182" s="172"/>
      <c r="UW182" s="172"/>
      <c r="UX182" s="172"/>
      <c r="UY182" s="172"/>
      <c r="UZ182" s="172"/>
      <c r="VA182" s="172"/>
      <c r="VB182" s="172"/>
      <c r="VC182" s="172"/>
      <c r="VD182" s="172"/>
      <c r="VE182" s="172"/>
      <c r="VF182" s="172"/>
      <c r="VG182" s="172"/>
      <c r="VH182" s="172"/>
      <c r="VI182" s="172"/>
      <c r="VJ182" s="172"/>
      <c r="VK182" s="172"/>
      <c r="VL182" s="172"/>
      <c r="VM182" s="172"/>
      <c r="VN182" s="172"/>
      <c r="VO182" s="172"/>
      <c r="VP182" s="172"/>
      <c r="VQ182" s="172"/>
      <c r="VR182" s="172"/>
      <c r="VS182" s="172"/>
      <c r="VT182" s="172"/>
      <c r="VU182" s="172"/>
      <c r="VV182" s="172"/>
      <c r="VW182" s="172"/>
      <c r="VX182" s="172"/>
      <c r="VY182" s="172"/>
      <c r="VZ182" s="172"/>
      <c r="WA182" s="172"/>
      <c r="WB182" s="172"/>
      <c r="WC182" s="172"/>
      <c r="WD182" s="172"/>
      <c r="WE182" s="172"/>
      <c r="WF182" s="172"/>
      <c r="WG182" s="172"/>
      <c r="WH182" s="172"/>
      <c r="WI182" s="172"/>
      <c r="WJ182" s="172"/>
      <c r="WK182" s="172"/>
      <c r="WL182" s="172"/>
      <c r="WM182" s="172"/>
      <c r="WN182" s="172"/>
      <c r="WO182" s="172"/>
      <c r="WP182" s="172"/>
      <c r="WQ182" s="172"/>
      <c r="WR182" s="172"/>
      <c r="WS182" s="172"/>
      <c r="WT182" s="172"/>
      <c r="WU182" s="172"/>
      <c r="WV182" s="172"/>
      <c r="WW182" s="172"/>
      <c r="WX182" s="172"/>
      <c r="WY182" s="172"/>
      <c r="WZ182" s="172"/>
      <c r="XA182" s="172"/>
      <c r="XB182" s="172"/>
      <c r="XC182" s="172"/>
      <c r="XD182" s="172"/>
      <c r="XE182" s="172"/>
      <c r="XF182" s="172"/>
      <c r="XG182" s="172"/>
      <c r="XH182" s="172"/>
      <c r="XI182" s="172"/>
      <c r="XJ182" s="172"/>
      <c r="XK182" s="172"/>
      <c r="XL182" s="172"/>
      <c r="XM182" s="172"/>
      <c r="XN182" s="172"/>
      <c r="XO182" s="172"/>
      <c r="XP182" s="172"/>
      <c r="XQ182" s="172"/>
      <c r="XR182" s="172"/>
      <c r="XS182" s="172"/>
      <c r="XT182" s="172"/>
      <c r="XU182" s="172"/>
      <c r="XV182" s="172"/>
      <c r="XW182" s="172"/>
      <c r="XX182" s="172"/>
      <c r="XY182" s="172"/>
      <c r="XZ182" s="172"/>
      <c r="YA182" s="172"/>
      <c r="YB182" s="172"/>
      <c r="YC182" s="172"/>
      <c r="YD182" s="172"/>
      <c r="YE182" s="172"/>
      <c r="YF182" s="172"/>
      <c r="YG182" s="172"/>
      <c r="YH182" s="172"/>
      <c r="YI182" s="172"/>
      <c r="YJ182" s="172"/>
      <c r="YK182" s="172"/>
      <c r="YL182" s="172"/>
      <c r="YM182" s="172"/>
      <c r="YN182" s="172"/>
      <c r="YO182" s="172"/>
      <c r="YP182" s="172"/>
      <c r="YQ182" s="172"/>
      <c r="YR182" s="172"/>
      <c r="YS182" s="172"/>
      <c r="YT182" s="172"/>
      <c r="YU182" s="172"/>
      <c r="YV182" s="172"/>
      <c r="YW182" s="172"/>
      <c r="YX182" s="172"/>
      <c r="YY182" s="172"/>
      <c r="YZ182" s="172"/>
      <c r="ZA182" s="172"/>
      <c r="ZB182" s="172"/>
      <c r="ZC182" s="172"/>
      <c r="ZD182" s="172"/>
      <c r="ZE182" s="172"/>
      <c r="ZF182" s="172"/>
      <c r="ZG182" s="172"/>
      <c r="ZH182" s="172"/>
      <c r="ZI182" s="172"/>
      <c r="ZJ182" s="172"/>
      <c r="ZK182" s="172"/>
      <c r="ZL182" s="172"/>
      <c r="ZM182" s="172"/>
      <c r="ZN182" s="172"/>
      <c r="ZO182" s="172"/>
      <c r="ZP182" s="172"/>
      <c r="ZQ182" s="172"/>
      <c r="ZR182" s="172"/>
      <c r="ZS182" s="172"/>
      <c r="ZT182" s="172"/>
      <c r="ZU182" s="172"/>
      <c r="ZV182" s="172"/>
      <c r="ZW182" s="172"/>
      <c r="ZX182" s="172"/>
      <c r="ZY182" s="172"/>
      <c r="ZZ182" s="172"/>
      <c r="AAA182" s="172"/>
      <c r="AAB182" s="172"/>
      <c r="AAC182" s="172"/>
      <c r="AAD182" s="172"/>
      <c r="AAE182" s="172"/>
      <c r="AAF182" s="172"/>
      <c r="AAG182" s="172"/>
      <c r="AAH182" s="172"/>
      <c r="AAI182" s="172"/>
      <c r="AAJ182" s="172"/>
      <c r="AAK182" s="172"/>
      <c r="AAL182" s="172"/>
      <c r="AAM182" s="172"/>
      <c r="AAN182" s="172"/>
      <c r="AAO182" s="172"/>
      <c r="AAP182" s="172"/>
      <c r="AAQ182" s="172"/>
      <c r="AAR182" s="172"/>
      <c r="AAS182" s="172"/>
      <c r="AAT182" s="172"/>
      <c r="AAU182" s="172"/>
      <c r="AAV182" s="172"/>
      <c r="AAW182" s="172"/>
      <c r="AAX182" s="172"/>
      <c r="AAY182" s="172"/>
      <c r="AAZ182" s="172"/>
      <c r="ABA182" s="172"/>
      <c r="ABB182" s="172"/>
      <c r="ABC182" s="172"/>
      <c r="ABD182" s="172"/>
      <c r="ABE182" s="172"/>
      <c r="ABF182" s="172"/>
      <c r="ABG182" s="172"/>
      <c r="ABH182" s="172"/>
      <c r="ABI182" s="172"/>
      <c r="ABJ182" s="172"/>
      <c r="ABK182" s="172"/>
      <c r="ABL182" s="172"/>
      <c r="ABM182" s="172"/>
      <c r="ABN182" s="172"/>
      <c r="ABO182" s="172"/>
      <c r="ABP182" s="172"/>
      <c r="ABQ182" s="172"/>
      <c r="ABR182" s="172"/>
      <c r="ABS182" s="172"/>
      <c r="ABT182" s="172"/>
      <c r="ABU182" s="172"/>
      <c r="ABV182" s="172"/>
      <c r="ABW182" s="172"/>
      <c r="ABX182" s="172"/>
      <c r="ABY182" s="172"/>
      <c r="ABZ182" s="172"/>
      <c r="ACA182" s="172"/>
      <c r="ACB182" s="172"/>
      <c r="ACC182" s="172"/>
      <c r="ACD182" s="172"/>
      <c r="ACE182" s="172"/>
      <c r="ACF182" s="172"/>
      <c r="ACG182" s="172"/>
      <c r="ACH182" s="172"/>
      <c r="ACI182" s="172"/>
      <c r="ACJ182" s="172"/>
      <c r="ACK182" s="172"/>
      <c r="ACL182" s="172"/>
      <c r="ACM182" s="172"/>
      <c r="ACN182" s="172"/>
      <c r="ACO182" s="172"/>
      <c r="ACP182" s="172"/>
      <c r="ACQ182" s="172"/>
      <c r="ACR182" s="172"/>
      <c r="ACS182" s="172"/>
      <c r="ACT182" s="172"/>
      <c r="ACU182" s="172"/>
      <c r="ACV182" s="172"/>
      <c r="ACW182" s="172"/>
      <c r="ACX182" s="172"/>
      <c r="ACY182" s="172"/>
      <c r="ACZ182" s="172"/>
      <c r="ADA182" s="172"/>
      <c r="ADB182" s="172"/>
      <c r="ADC182" s="172"/>
      <c r="ADD182" s="172"/>
      <c r="ADE182" s="172"/>
      <c r="ADF182" s="172"/>
      <c r="ADG182" s="172"/>
      <c r="ADH182" s="172"/>
      <c r="ADI182" s="172"/>
      <c r="ADJ182" s="172"/>
      <c r="ADK182" s="172"/>
      <c r="ADL182" s="172"/>
      <c r="ADM182" s="172"/>
      <c r="ADN182" s="172"/>
      <c r="ADO182" s="172"/>
      <c r="ADP182" s="172"/>
      <c r="ADQ182" s="172"/>
      <c r="ADR182" s="172"/>
      <c r="ADS182" s="172"/>
      <c r="ADT182" s="172"/>
      <c r="ADU182" s="172"/>
      <c r="ADV182" s="172"/>
      <c r="ADW182" s="172"/>
      <c r="ADX182" s="172"/>
      <c r="ADY182" s="172"/>
      <c r="ADZ182" s="172"/>
      <c r="AEA182" s="172"/>
      <c r="AEB182" s="172"/>
      <c r="AEC182" s="172"/>
      <c r="AED182" s="172"/>
      <c r="AEE182" s="172"/>
      <c r="AEF182" s="172"/>
      <c r="AEG182" s="172"/>
      <c r="AEH182" s="172"/>
      <c r="AEI182" s="172"/>
      <c r="AEJ182" s="172"/>
      <c r="AEK182" s="172"/>
      <c r="AEL182" s="172"/>
      <c r="AEM182" s="172"/>
      <c r="AEN182" s="172"/>
      <c r="AEO182" s="172"/>
      <c r="AEP182" s="172"/>
      <c r="AEQ182" s="172"/>
      <c r="AER182" s="172"/>
      <c r="AES182" s="172"/>
      <c r="AET182" s="172"/>
      <c r="AEU182" s="172"/>
      <c r="AEV182" s="172"/>
      <c r="AEW182" s="172"/>
      <c r="AEX182" s="172"/>
      <c r="AEY182" s="172"/>
      <c r="AEZ182" s="172"/>
      <c r="AFA182" s="172"/>
      <c r="AFB182" s="172"/>
      <c r="AFC182" s="172"/>
      <c r="AFD182" s="172"/>
      <c r="AFE182" s="172"/>
      <c r="AFF182" s="172"/>
      <c r="AFG182" s="172"/>
      <c r="AFH182" s="172"/>
      <c r="AFI182" s="172"/>
      <c r="AFJ182" s="172"/>
      <c r="AFK182" s="172"/>
      <c r="AFL182" s="172"/>
      <c r="AFM182" s="172"/>
      <c r="AFN182" s="172"/>
      <c r="AFO182" s="172"/>
      <c r="AFP182" s="172"/>
      <c r="AFQ182" s="172"/>
      <c r="AFR182" s="172"/>
      <c r="AFS182" s="172"/>
      <c r="AFT182" s="172"/>
      <c r="AFU182" s="172"/>
      <c r="AFV182" s="172"/>
      <c r="AFW182" s="172"/>
      <c r="AFX182" s="172"/>
      <c r="AFY182" s="172"/>
      <c r="AFZ182" s="172"/>
      <c r="AGA182" s="172"/>
      <c r="AGB182" s="172"/>
      <c r="AGC182" s="172"/>
      <c r="AGD182" s="172"/>
      <c r="AGE182" s="172"/>
      <c r="AGF182" s="172"/>
      <c r="AGG182" s="172"/>
      <c r="AGH182" s="172"/>
      <c r="AGI182" s="172"/>
      <c r="AGJ182" s="172"/>
      <c r="AGK182" s="172"/>
      <c r="AGL182" s="172"/>
      <c r="AGM182" s="172"/>
      <c r="AGN182" s="172"/>
      <c r="AGO182" s="172"/>
      <c r="AGP182" s="172"/>
      <c r="AGQ182" s="172"/>
      <c r="AGR182" s="172"/>
      <c r="AGS182" s="172"/>
      <c r="AGT182" s="172"/>
      <c r="AGU182" s="172"/>
      <c r="AGV182" s="172"/>
      <c r="AGW182" s="172"/>
      <c r="AGX182" s="172"/>
      <c r="AGY182" s="172"/>
      <c r="AGZ182" s="172"/>
      <c r="AHA182" s="172"/>
      <c r="AHB182" s="172"/>
      <c r="AHC182" s="172"/>
      <c r="AHD182" s="172"/>
      <c r="AHE182" s="172"/>
      <c r="AHF182" s="172"/>
      <c r="AHG182" s="172"/>
      <c r="AHH182" s="172"/>
      <c r="AHI182" s="172"/>
      <c r="AHJ182" s="172"/>
      <c r="AHK182" s="172"/>
      <c r="AHL182" s="172"/>
      <c r="AHM182" s="172"/>
      <c r="AHN182" s="172"/>
      <c r="AHO182" s="172"/>
      <c r="AHP182" s="172"/>
      <c r="AHQ182" s="172"/>
      <c r="AHR182" s="172"/>
      <c r="AHS182" s="172"/>
      <c r="AHT182" s="172"/>
      <c r="AHU182" s="172"/>
      <c r="AHV182" s="172"/>
      <c r="AHW182" s="172"/>
      <c r="AHX182" s="172"/>
      <c r="AHY182" s="172"/>
      <c r="AHZ182" s="172"/>
      <c r="AIA182" s="172"/>
      <c r="AIB182" s="172"/>
      <c r="AIC182" s="172"/>
      <c r="AID182" s="172"/>
      <c r="AIE182" s="172"/>
      <c r="AIF182" s="172"/>
      <c r="AIG182" s="172"/>
      <c r="AIH182" s="172"/>
      <c r="AII182" s="172"/>
      <c r="AIJ182" s="172"/>
      <c r="AIK182" s="172"/>
      <c r="AIL182" s="172"/>
      <c r="AIM182" s="172"/>
      <c r="AIN182" s="172"/>
      <c r="AIO182" s="172"/>
      <c r="AIP182" s="172"/>
      <c r="AIQ182" s="172"/>
      <c r="AIR182" s="172"/>
      <c r="AIS182" s="172"/>
      <c r="AIT182" s="172"/>
      <c r="AIU182" s="172"/>
      <c r="AIV182" s="172"/>
      <c r="AIW182" s="172"/>
      <c r="AIX182" s="172"/>
      <c r="AIY182" s="172"/>
      <c r="AIZ182" s="172"/>
      <c r="AJA182" s="172"/>
      <c r="AJB182" s="172"/>
      <c r="AJC182" s="172"/>
      <c r="AJD182" s="172"/>
      <c r="AJE182" s="172"/>
      <c r="AJF182" s="172"/>
      <c r="AJG182" s="172"/>
      <c r="AJH182" s="172"/>
      <c r="AJI182" s="172"/>
      <c r="AJJ182" s="172"/>
      <c r="AJK182" s="172"/>
      <c r="AJL182" s="172"/>
      <c r="AJM182" s="172"/>
      <c r="AJN182" s="172"/>
      <c r="AJO182" s="172"/>
      <c r="AJP182" s="172"/>
      <c r="AJQ182" s="172"/>
      <c r="AJR182" s="172"/>
      <c r="AJS182" s="172"/>
      <c r="AJT182" s="172"/>
      <c r="AJU182" s="172"/>
      <c r="AJV182" s="172"/>
      <c r="AJW182" s="172"/>
      <c r="AJX182" s="172"/>
      <c r="AJY182" s="172"/>
      <c r="AJZ182" s="172"/>
      <c r="AKA182" s="172"/>
      <c r="AKB182" s="172"/>
      <c r="AKC182" s="172"/>
      <c r="AKD182" s="172"/>
      <c r="AKE182" s="172"/>
      <c r="AKF182" s="172"/>
      <c r="AKG182" s="172"/>
      <c r="AKH182" s="172"/>
      <c r="AKI182" s="172"/>
      <c r="AKJ182" s="172"/>
      <c r="AKK182" s="172"/>
      <c r="AKL182" s="172"/>
      <c r="AKM182" s="172"/>
      <c r="AKN182" s="172"/>
      <c r="AKO182" s="172"/>
      <c r="AKP182" s="172"/>
      <c r="AKQ182" s="172"/>
      <c r="AKR182" s="172"/>
      <c r="AKS182" s="172"/>
      <c r="AKT182" s="172"/>
      <c r="AKU182" s="172"/>
      <c r="AKV182" s="172"/>
      <c r="AKW182" s="172"/>
      <c r="AKX182" s="172"/>
      <c r="AKY182" s="172"/>
      <c r="AKZ182" s="172"/>
      <c r="ALA182" s="172"/>
      <c r="ALB182" s="172"/>
      <c r="ALC182" s="172"/>
      <c r="ALD182" s="172"/>
      <c r="ALE182" s="172"/>
      <c r="ALF182" s="172"/>
      <c r="ALG182" s="172"/>
      <c r="ALH182" s="172"/>
      <c r="ALI182" s="172"/>
      <c r="ALJ182" s="172"/>
      <c r="ALK182" s="172"/>
      <c r="ALL182" s="172"/>
      <c r="ALM182" s="172"/>
      <c r="ALN182" s="172"/>
      <c r="ALO182" s="172"/>
      <c r="ALP182" s="172"/>
      <c r="ALQ182" s="172"/>
      <c r="ALR182" s="172"/>
      <c r="ALS182" s="172"/>
      <c r="ALT182" s="172"/>
      <c r="ALU182" s="172"/>
      <c r="ALV182" s="172"/>
      <c r="ALW182" s="172"/>
      <c r="ALX182" s="172"/>
      <c r="ALY182" s="172"/>
      <c r="ALZ182" s="172"/>
      <c r="AMA182" s="172"/>
      <c r="AMB182" s="172"/>
      <c r="AMC182" s="172"/>
      <c r="AMD182" s="172"/>
      <c r="AME182" s="172"/>
      <c r="AMF182" s="172"/>
      <c r="AMG182" s="172"/>
      <c r="AMH182" s="172"/>
      <c r="AMI182" s="172"/>
      <c r="AMJ182" s="172"/>
      <c r="AMK182" s="172"/>
      <c r="AML182" s="172"/>
      <c r="AMM182" s="172"/>
      <c r="AMN182" s="172"/>
      <c r="AMO182" s="172"/>
      <c r="AMP182" s="172"/>
      <c r="AMQ182" s="172"/>
      <c r="AMR182" s="172"/>
      <c r="AMS182" s="172"/>
      <c r="AMT182" s="172"/>
      <c r="AMU182" s="172"/>
      <c r="AMV182" s="172"/>
      <c r="AMW182" s="172"/>
      <c r="AMX182" s="172"/>
      <c r="AMY182" s="172"/>
      <c r="AMZ182" s="172"/>
      <c r="ANA182" s="172"/>
      <c r="ANB182" s="172"/>
      <c r="ANC182" s="172"/>
      <c r="AND182" s="172"/>
      <c r="ANE182" s="172"/>
      <c r="ANF182" s="172"/>
      <c r="ANG182" s="172"/>
      <c r="ANH182" s="172"/>
      <c r="ANI182" s="172"/>
      <c r="ANJ182" s="172"/>
      <c r="ANK182" s="172"/>
      <c r="ANL182" s="172"/>
      <c r="ANM182" s="172"/>
      <c r="ANN182" s="172"/>
      <c r="ANO182" s="172"/>
      <c r="ANP182" s="172"/>
      <c r="ANQ182" s="172"/>
      <c r="ANR182" s="172"/>
      <c r="ANS182" s="172"/>
      <c r="ANT182" s="172"/>
      <c r="ANU182" s="172"/>
      <c r="ANV182" s="172"/>
      <c r="ANW182" s="172"/>
      <c r="ANX182" s="172"/>
      <c r="ANY182" s="172"/>
      <c r="ANZ182" s="172"/>
      <c r="AOA182" s="172"/>
      <c r="AOB182" s="172"/>
      <c r="AOC182" s="172"/>
      <c r="AOD182" s="172"/>
      <c r="AOE182" s="172"/>
      <c r="AOF182" s="172"/>
      <c r="AOG182" s="172"/>
      <c r="AOH182" s="172"/>
      <c r="AOI182" s="172"/>
      <c r="AOJ182" s="172"/>
      <c r="AOK182" s="172"/>
      <c r="AOL182" s="172"/>
      <c r="AOM182" s="172"/>
      <c r="AON182" s="172"/>
      <c r="AOO182" s="172"/>
      <c r="AOP182" s="172"/>
      <c r="AOQ182" s="172"/>
      <c r="AOR182" s="172"/>
      <c r="AOS182" s="172"/>
      <c r="AOT182" s="172"/>
      <c r="AOU182" s="172"/>
      <c r="AOV182" s="172"/>
      <c r="AOW182" s="172"/>
      <c r="AOX182" s="172"/>
      <c r="AOY182" s="172"/>
      <c r="AOZ182" s="172"/>
      <c r="APA182" s="172"/>
      <c r="APB182" s="172"/>
      <c r="APC182" s="172"/>
      <c r="APD182" s="172"/>
      <c r="APE182" s="172"/>
      <c r="APF182" s="172"/>
      <c r="APG182" s="172"/>
      <c r="APH182" s="172"/>
      <c r="API182" s="172"/>
      <c r="APJ182" s="172"/>
      <c r="APK182" s="172"/>
      <c r="APL182" s="172"/>
      <c r="APM182" s="172"/>
      <c r="APN182" s="172"/>
      <c r="APO182" s="172"/>
      <c r="APP182" s="172"/>
      <c r="APQ182" s="172"/>
      <c r="APR182" s="172"/>
      <c r="APS182" s="172"/>
      <c r="APT182" s="172"/>
      <c r="APU182" s="172"/>
      <c r="APV182" s="172"/>
      <c r="APW182" s="172"/>
      <c r="APX182" s="172"/>
      <c r="APY182" s="172"/>
      <c r="APZ182" s="172"/>
      <c r="AQA182" s="172"/>
      <c r="AQB182" s="172"/>
      <c r="AQC182" s="172"/>
      <c r="AQD182" s="172"/>
      <c r="AQE182" s="172"/>
      <c r="AQF182" s="172"/>
      <c r="AQG182" s="172"/>
      <c r="AQH182" s="172"/>
      <c r="AQI182" s="172"/>
      <c r="AQJ182" s="172"/>
      <c r="AQK182" s="172"/>
      <c r="AQL182" s="172"/>
      <c r="AQM182" s="172"/>
      <c r="AQN182" s="172"/>
      <c r="AQO182" s="172"/>
      <c r="AQP182" s="172"/>
      <c r="AQQ182" s="172"/>
      <c r="AQR182" s="172"/>
      <c r="AQS182" s="172"/>
      <c r="AQT182" s="172"/>
      <c r="AQU182" s="172"/>
      <c r="AQV182" s="172"/>
      <c r="AQW182" s="172"/>
      <c r="AQX182" s="172"/>
      <c r="AQY182" s="172"/>
      <c r="AQZ182" s="172"/>
      <c r="ARA182" s="172"/>
      <c r="ARB182" s="172"/>
      <c r="ARC182" s="172"/>
      <c r="ARD182" s="172"/>
      <c r="ARE182" s="172"/>
      <c r="ARF182" s="172"/>
      <c r="ARG182" s="172"/>
      <c r="ARH182" s="172"/>
      <c r="ARI182" s="172"/>
      <c r="ARJ182" s="172"/>
      <c r="ARK182" s="172"/>
      <c r="ARL182" s="172"/>
      <c r="ARM182" s="172"/>
      <c r="ARN182" s="172"/>
      <c r="ARO182" s="172"/>
      <c r="ARP182" s="172"/>
      <c r="ARQ182" s="172"/>
      <c r="ARR182" s="172"/>
      <c r="ARS182" s="172"/>
      <c r="ART182" s="172"/>
      <c r="ARU182" s="172"/>
    </row>
    <row r="183" spans="1:1165" s="257" customFormat="1">
      <c r="A183" s="1524" t="s">
        <v>303</v>
      </c>
      <c r="B183" s="1511" t="s">
        <v>87</v>
      </c>
      <c r="C183" s="1489">
        <v>0</v>
      </c>
      <c r="D183" s="1489">
        <v>0</v>
      </c>
      <c r="E183" s="1489">
        <v>0</v>
      </c>
      <c r="F183" s="1489">
        <v>0</v>
      </c>
      <c r="G183" s="1489">
        <v>0</v>
      </c>
      <c r="H183" s="1489">
        <v>0</v>
      </c>
      <c r="I183" s="1489">
        <v>0</v>
      </c>
      <c r="J183" s="1489">
        <v>0</v>
      </c>
      <c r="K183" s="1489">
        <v>0</v>
      </c>
      <c r="L183" s="1489">
        <v>0</v>
      </c>
      <c r="M183" s="1489">
        <v>0</v>
      </c>
      <c r="N183" s="1489">
        <v>0</v>
      </c>
      <c r="O183" s="1489">
        <v>0</v>
      </c>
      <c r="P183" s="1489">
        <v>0</v>
      </c>
      <c r="Q183" s="1489">
        <v>0</v>
      </c>
      <c r="R183" s="1489">
        <v>0</v>
      </c>
      <c r="S183" s="1489">
        <v>0</v>
      </c>
      <c r="T183" s="1489">
        <v>0</v>
      </c>
      <c r="U183" s="1489">
        <v>0</v>
      </c>
      <c r="V183" s="1489">
        <v>0</v>
      </c>
      <c r="W183" s="1489">
        <v>724675</v>
      </c>
      <c r="X183" s="1489">
        <v>113427505</v>
      </c>
      <c r="Y183" s="1489">
        <v>2945027.3076923075</v>
      </c>
      <c r="Z183" s="1489">
        <v>508103078</v>
      </c>
      <c r="AA183" s="1489">
        <v>3938443.6153846155</v>
      </c>
      <c r="AB183" s="1489">
        <v>957953276</v>
      </c>
      <c r="AC183" s="1489">
        <v>4570048.634615385</v>
      </c>
      <c r="AD183" s="1489">
        <v>966473640</v>
      </c>
      <c r="AE183" s="1489">
        <v>5091341.923076923</v>
      </c>
      <c r="AF183" s="1489">
        <v>997875786</v>
      </c>
      <c r="AG183" s="1489">
        <v>6445317.692307692</v>
      </c>
      <c r="AH183" s="1489">
        <v>1431962934</v>
      </c>
      <c r="AI183" s="1489">
        <v>7218118.519230769</v>
      </c>
      <c r="AJ183" s="1489">
        <v>1827784494</v>
      </c>
      <c r="AK183" s="1516">
        <v>7265855</v>
      </c>
      <c r="AL183" s="1516">
        <v>1789397826</v>
      </c>
      <c r="AM183" s="1525">
        <v>7252140</v>
      </c>
      <c r="AN183" s="1525">
        <v>2037600251</v>
      </c>
      <c r="AO183" s="1516">
        <v>7460694.230769231</v>
      </c>
      <c r="AP183" s="1516">
        <v>2044370517</v>
      </c>
      <c r="AQ183" s="1516">
        <v>7449647.192307692</v>
      </c>
      <c r="AR183" s="1516">
        <v>1934438941</v>
      </c>
      <c r="AS183" s="1516">
        <v>7415618.076923077</v>
      </c>
      <c r="AT183" s="1516">
        <v>2986974950</v>
      </c>
      <c r="AU183" s="1517">
        <v>7491659.538461538</v>
      </c>
      <c r="AV183" s="1517">
        <v>3482872967</v>
      </c>
      <c r="AW183" s="1489">
        <v>7372240.615384615</v>
      </c>
      <c r="AX183" s="1489">
        <v>2974400068</v>
      </c>
      <c r="AY183" s="1489">
        <v>7851384.692307692</v>
      </c>
      <c r="AZ183" s="1489">
        <v>2874614163</v>
      </c>
      <c r="BA183" s="1526"/>
      <c r="BB183" s="1512"/>
      <c r="BC183" s="1512"/>
      <c r="BD183" s="1512"/>
      <c r="BE183" s="1512"/>
      <c r="BF183" s="1489"/>
      <c r="BG183" s="1489"/>
      <c r="BH183" s="1489"/>
      <c r="BI183" s="1526"/>
      <c r="BJ183" s="1512">
        <f t="shared" si="75"/>
        <v>90492212.038461536</v>
      </c>
      <c r="BK183" s="1514">
        <f t="shared" si="76"/>
        <v>26928250396</v>
      </c>
      <c r="BL183" s="172"/>
      <c r="BM183" s="231"/>
      <c r="BN183" s="172"/>
      <c r="BO183" s="231"/>
      <c r="BP183" s="231"/>
      <c r="BQ183" s="172"/>
      <c r="BR183" s="172"/>
      <c r="BS183" s="172"/>
      <c r="BT183" s="172"/>
      <c r="BU183" s="172"/>
      <c r="BV183" s="172"/>
      <c r="BW183" s="172"/>
      <c r="BX183" s="172"/>
      <c r="BY183" s="172"/>
      <c r="BZ183" s="172"/>
      <c r="CA183" s="172"/>
      <c r="CB183" s="172"/>
      <c r="CC183" s="172"/>
      <c r="CD183" s="172"/>
      <c r="CE183" s="172"/>
      <c r="CF183" s="172"/>
      <c r="CG183" s="172"/>
      <c r="CH183" s="172"/>
      <c r="CI183" s="172"/>
      <c r="CJ183" s="172"/>
      <c r="CK183" s="172"/>
      <c r="CL183" s="172"/>
      <c r="CM183" s="172"/>
      <c r="CN183" s="172"/>
      <c r="CO183" s="172"/>
      <c r="CP183" s="172"/>
      <c r="CQ183" s="172"/>
      <c r="CR183" s="172"/>
      <c r="CS183" s="172"/>
      <c r="CT183" s="172"/>
      <c r="CU183" s="172"/>
      <c r="CV183" s="172"/>
      <c r="CW183" s="172"/>
      <c r="CX183" s="172"/>
      <c r="CY183" s="172"/>
      <c r="CZ183" s="172"/>
      <c r="DA183" s="172"/>
      <c r="DB183" s="172"/>
      <c r="DC183" s="172"/>
      <c r="DD183" s="172"/>
      <c r="DE183" s="172"/>
      <c r="DF183" s="172"/>
      <c r="DG183" s="172"/>
      <c r="DH183" s="172"/>
      <c r="DI183" s="172"/>
      <c r="DJ183" s="172"/>
      <c r="DK183" s="172"/>
      <c r="DL183" s="172"/>
      <c r="DM183" s="172"/>
      <c r="DN183" s="172"/>
      <c r="DO183" s="172"/>
      <c r="DP183" s="172"/>
      <c r="DQ183" s="172"/>
      <c r="DR183" s="172"/>
      <c r="DS183" s="172"/>
      <c r="DT183" s="172"/>
      <c r="DU183" s="172"/>
      <c r="DV183" s="172"/>
      <c r="DW183" s="172"/>
      <c r="DX183" s="172"/>
      <c r="DY183" s="172"/>
      <c r="DZ183" s="172"/>
      <c r="EA183" s="172"/>
      <c r="EB183" s="172"/>
      <c r="EC183" s="172"/>
      <c r="ED183" s="172"/>
      <c r="EE183" s="172"/>
      <c r="EF183" s="172"/>
      <c r="EG183" s="172"/>
      <c r="EH183" s="172"/>
      <c r="EI183" s="172"/>
      <c r="EJ183" s="172"/>
      <c r="EK183" s="172"/>
      <c r="EL183" s="172"/>
      <c r="EM183" s="172"/>
      <c r="EN183" s="172"/>
      <c r="EO183" s="172"/>
      <c r="EP183" s="172"/>
      <c r="EQ183" s="172"/>
      <c r="ER183" s="172"/>
      <c r="ES183" s="172"/>
      <c r="ET183" s="172"/>
      <c r="EU183" s="172"/>
      <c r="EV183" s="172"/>
      <c r="EW183" s="172"/>
      <c r="EX183" s="172"/>
      <c r="EY183" s="172"/>
      <c r="EZ183" s="172"/>
      <c r="FA183" s="172"/>
      <c r="FB183" s="172"/>
      <c r="FC183" s="172"/>
      <c r="FD183" s="172"/>
      <c r="FE183" s="172"/>
      <c r="FF183" s="172"/>
      <c r="FG183" s="172"/>
      <c r="FH183" s="172"/>
      <c r="FI183" s="172"/>
      <c r="FJ183" s="172"/>
      <c r="FK183" s="172"/>
      <c r="FL183" s="172"/>
      <c r="FM183" s="172"/>
      <c r="FN183" s="172"/>
      <c r="FO183" s="172"/>
      <c r="FP183" s="172"/>
      <c r="FQ183" s="172"/>
      <c r="FR183" s="172"/>
      <c r="FS183" s="172"/>
      <c r="FT183" s="172"/>
      <c r="FU183" s="172"/>
      <c r="FV183" s="172"/>
      <c r="FW183" s="172"/>
      <c r="FX183" s="172"/>
      <c r="FY183" s="172"/>
      <c r="FZ183" s="172"/>
      <c r="GA183" s="172"/>
      <c r="GB183" s="172"/>
      <c r="GC183" s="172"/>
      <c r="GD183" s="172"/>
      <c r="GE183" s="172"/>
      <c r="GF183" s="172"/>
      <c r="GG183" s="172"/>
      <c r="GH183" s="172"/>
      <c r="GI183" s="172"/>
      <c r="GJ183" s="172"/>
      <c r="GK183" s="172"/>
      <c r="GL183" s="172"/>
      <c r="GM183" s="172"/>
      <c r="GN183" s="172"/>
      <c r="GO183" s="172"/>
      <c r="GP183" s="172"/>
      <c r="GQ183" s="172"/>
      <c r="GR183" s="172"/>
      <c r="GS183" s="172"/>
      <c r="GT183" s="172"/>
      <c r="GU183" s="172"/>
      <c r="GV183" s="172"/>
      <c r="GW183" s="172"/>
      <c r="GX183" s="172"/>
      <c r="GY183" s="172"/>
      <c r="GZ183" s="172"/>
      <c r="HA183" s="172"/>
      <c r="HB183" s="172"/>
      <c r="HC183" s="172"/>
      <c r="HD183" s="172"/>
      <c r="HE183" s="172"/>
      <c r="HF183" s="172"/>
      <c r="HG183" s="172"/>
      <c r="HH183" s="172"/>
      <c r="HI183" s="172"/>
      <c r="HJ183" s="172"/>
      <c r="HK183" s="172"/>
      <c r="HL183" s="172"/>
      <c r="HM183" s="172"/>
      <c r="HN183" s="172"/>
      <c r="HO183" s="172"/>
      <c r="HP183" s="172"/>
      <c r="HQ183" s="172"/>
      <c r="HR183" s="172"/>
      <c r="HS183" s="172"/>
      <c r="HT183" s="172"/>
      <c r="HU183" s="172"/>
      <c r="HV183" s="172"/>
      <c r="HW183" s="172"/>
      <c r="HX183" s="172"/>
      <c r="HY183" s="172"/>
      <c r="HZ183" s="172"/>
      <c r="IA183" s="172"/>
      <c r="IB183" s="172"/>
      <c r="IC183" s="172"/>
      <c r="ID183" s="172"/>
      <c r="IE183" s="172"/>
      <c r="IF183" s="172"/>
      <c r="IG183" s="172"/>
      <c r="IH183" s="172"/>
      <c r="II183" s="172"/>
      <c r="IJ183" s="172"/>
      <c r="IK183" s="172"/>
      <c r="IL183" s="172"/>
      <c r="IM183" s="172"/>
      <c r="IN183" s="172"/>
      <c r="IO183" s="172"/>
      <c r="IP183" s="172"/>
      <c r="IQ183" s="172"/>
      <c r="IR183" s="172"/>
      <c r="IS183" s="172"/>
      <c r="IT183" s="172"/>
      <c r="IU183" s="172"/>
      <c r="IV183" s="172"/>
      <c r="IW183" s="172"/>
      <c r="IX183" s="172"/>
      <c r="IY183" s="172"/>
      <c r="IZ183" s="172"/>
      <c r="JA183" s="172"/>
      <c r="JB183" s="172"/>
      <c r="JC183" s="172"/>
      <c r="JD183" s="172"/>
      <c r="JE183" s="172"/>
      <c r="JF183" s="172"/>
      <c r="JG183" s="172"/>
      <c r="JH183" s="172"/>
      <c r="JI183" s="172"/>
      <c r="JJ183" s="172"/>
      <c r="JK183" s="172"/>
      <c r="JL183" s="172"/>
      <c r="JM183" s="172"/>
      <c r="JN183" s="172"/>
      <c r="JO183" s="172"/>
      <c r="JP183" s="172"/>
      <c r="JQ183" s="172"/>
      <c r="JR183" s="172"/>
      <c r="JS183" s="172"/>
      <c r="JT183" s="172"/>
      <c r="JU183" s="172"/>
      <c r="JV183" s="172"/>
      <c r="JW183" s="172"/>
      <c r="JX183" s="172"/>
      <c r="JY183" s="172"/>
      <c r="JZ183" s="172"/>
      <c r="KA183" s="172"/>
      <c r="KB183" s="172"/>
      <c r="KC183" s="172"/>
      <c r="KD183" s="172"/>
      <c r="KE183" s="172"/>
      <c r="KF183" s="172"/>
      <c r="KG183" s="172"/>
      <c r="KH183" s="172"/>
      <c r="KI183" s="172"/>
      <c r="KJ183" s="172"/>
      <c r="KK183" s="172"/>
      <c r="KL183" s="172"/>
      <c r="KM183" s="172"/>
      <c r="KN183" s="172"/>
      <c r="KO183" s="172"/>
      <c r="KP183" s="172"/>
      <c r="KQ183" s="172"/>
      <c r="KR183" s="172"/>
      <c r="KS183" s="172"/>
      <c r="KT183" s="172"/>
      <c r="KU183" s="172"/>
      <c r="KV183" s="172"/>
      <c r="KW183" s="172"/>
      <c r="KX183" s="172"/>
      <c r="KY183" s="172"/>
      <c r="KZ183" s="172"/>
      <c r="LA183" s="172"/>
      <c r="LB183" s="172"/>
      <c r="LC183" s="172"/>
      <c r="LD183" s="172"/>
      <c r="LE183" s="172"/>
      <c r="LF183" s="172"/>
      <c r="LG183" s="172"/>
      <c r="LH183" s="172"/>
      <c r="LI183" s="172"/>
      <c r="LJ183" s="172"/>
      <c r="LK183" s="172"/>
      <c r="LL183" s="172"/>
      <c r="LM183" s="172"/>
      <c r="LN183" s="172"/>
      <c r="LO183" s="172"/>
      <c r="LP183" s="172"/>
      <c r="LQ183" s="172"/>
      <c r="LR183" s="172"/>
      <c r="LS183" s="172"/>
      <c r="LT183" s="172"/>
      <c r="LU183" s="172"/>
      <c r="LV183" s="172"/>
      <c r="LW183" s="172"/>
      <c r="LX183" s="172"/>
      <c r="LY183" s="172"/>
      <c r="LZ183" s="172"/>
      <c r="MA183" s="172"/>
      <c r="MB183" s="172"/>
      <c r="MC183" s="172"/>
      <c r="MD183" s="172"/>
      <c r="ME183" s="172"/>
      <c r="MF183" s="172"/>
      <c r="MG183" s="172"/>
      <c r="MH183" s="172"/>
      <c r="MI183" s="172"/>
      <c r="MJ183" s="172"/>
      <c r="MK183" s="172"/>
      <c r="ML183" s="172"/>
      <c r="MM183" s="172"/>
      <c r="MN183" s="172"/>
      <c r="MO183" s="172"/>
      <c r="MP183" s="172"/>
      <c r="MQ183" s="172"/>
      <c r="MR183" s="172"/>
      <c r="MS183" s="172"/>
      <c r="MT183" s="172"/>
      <c r="MU183" s="172"/>
      <c r="MV183" s="172"/>
      <c r="MW183" s="172"/>
      <c r="MX183" s="172"/>
      <c r="MY183" s="172"/>
      <c r="MZ183" s="172"/>
      <c r="NA183" s="172"/>
      <c r="NB183" s="172"/>
      <c r="NC183" s="172"/>
      <c r="ND183" s="172"/>
      <c r="NE183" s="172"/>
      <c r="NF183" s="172"/>
      <c r="NG183" s="172"/>
      <c r="NH183" s="172"/>
      <c r="NI183" s="172"/>
      <c r="NJ183" s="172"/>
      <c r="NK183" s="172"/>
      <c r="NL183" s="172"/>
      <c r="NM183" s="172"/>
      <c r="NN183" s="172"/>
      <c r="NO183" s="172"/>
      <c r="NP183" s="172"/>
      <c r="NQ183" s="172"/>
      <c r="NR183" s="172"/>
      <c r="NS183" s="172"/>
      <c r="NT183" s="172"/>
      <c r="NU183" s="172"/>
      <c r="NV183" s="172"/>
      <c r="NW183" s="172"/>
      <c r="NX183" s="172"/>
      <c r="NY183" s="172"/>
      <c r="NZ183" s="172"/>
      <c r="OA183" s="172"/>
      <c r="OB183" s="172"/>
      <c r="OC183" s="172"/>
      <c r="OD183" s="172"/>
      <c r="OE183" s="172"/>
      <c r="OF183" s="172"/>
      <c r="OG183" s="172"/>
      <c r="OH183" s="172"/>
      <c r="OI183" s="172"/>
      <c r="OJ183" s="172"/>
      <c r="OK183" s="172"/>
      <c r="OL183" s="172"/>
      <c r="OM183" s="172"/>
      <c r="ON183" s="172"/>
      <c r="OO183" s="172"/>
      <c r="OP183" s="172"/>
      <c r="OQ183" s="172"/>
      <c r="OR183" s="172"/>
      <c r="OS183" s="172"/>
      <c r="OT183" s="172"/>
      <c r="OU183" s="172"/>
      <c r="OV183" s="172"/>
      <c r="OW183" s="172"/>
      <c r="OX183" s="172"/>
      <c r="OY183" s="172"/>
      <c r="OZ183" s="172"/>
      <c r="PA183" s="172"/>
      <c r="PB183" s="172"/>
      <c r="PC183" s="172"/>
      <c r="PD183" s="172"/>
      <c r="PE183" s="172"/>
      <c r="PF183" s="172"/>
      <c r="PG183" s="172"/>
      <c r="PH183" s="172"/>
      <c r="PI183" s="172"/>
      <c r="PJ183" s="172"/>
      <c r="PK183" s="172"/>
      <c r="PL183" s="172"/>
      <c r="PM183" s="172"/>
      <c r="PN183" s="172"/>
      <c r="PO183" s="172"/>
      <c r="PP183" s="172"/>
      <c r="PQ183" s="172"/>
      <c r="PR183" s="172"/>
      <c r="PS183" s="172"/>
      <c r="PT183" s="172"/>
      <c r="PU183" s="172"/>
      <c r="PV183" s="172"/>
      <c r="PW183" s="172"/>
      <c r="PX183" s="172"/>
      <c r="PY183" s="172"/>
      <c r="PZ183" s="172"/>
      <c r="QA183" s="172"/>
      <c r="QB183" s="172"/>
      <c r="QC183" s="172"/>
      <c r="QD183" s="172"/>
      <c r="QE183" s="172"/>
      <c r="QF183" s="172"/>
      <c r="QG183" s="172"/>
      <c r="QH183" s="172"/>
      <c r="QI183" s="172"/>
      <c r="QJ183" s="172"/>
      <c r="QK183" s="172"/>
      <c r="QL183" s="172"/>
      <c r="QM183" s="172"/>
      <c r="QN183" s="172"/>
      <c r="QO183" s="172"/>
      <c r="QP183" s="172"/>
      <c r="QQ183" s="172"/>
      <c r="QR183" s="172"/>
      <c r="QS183" s="172"/>
      <c r="QT183" s="172"/>
      <c r="QU183" s="172"/>
      <c r="QV183" s="172"/>
      <c r="QW183" s="172"/>
      <c r="QX183" s="172"/>
      <c r="QY183" s="172"/>
      <c r="QZ183" s="172"/>
      <c r="RA183" s="172"/>
      <c r="RB183" s="172"/>
      <c r="RC183" s="172"/>
      <c r="RD183" s="172"/>
      <c r="RE183" s="172"/>
      <c r="RF183" s="172"/>
      <c r="RG183" s="172"/>
      <c r="RH183" s="172"/>
      <c r="RI183" s="172"/>
      <c r="RJ183" s="172"/>
      <c r="RK183" s="172"/>
      <c r="RL183" s="172"/>
      <c r="RM183" s="172"/>
      <c r="RN183" s="172"/>
      <c r="RO183" s="172"/>
      <c r="RP183" s="172"/>
      <c r="RQ183" s="172"/>
      <c r="RR183" s="172"/>
      <c r="RS183" s="172"/>
      <c r="RT183" s="172"/>
      <c r="RU183" s="172"/>
      <c r="RV183" s="172"/>
      <c r="RW183" s="172"/>
      <c r="RX183" s="172"/>
      <c r="RY183" s="172"/>
      <c r="RZ183" s="172"/>
      <c r="SA183" s="172"/>
      <c r="SB183" s="172"/>
      <c r="SC183" s="172"/>
      <c r="SD183" s="172"/>
      <c r="SE183" s="172"/>
      <c r="SF183" s="172"/>
      <c r="SG183" s="172"/>
      <c r="SH183" s="172"/>
      <c r="SI183" s="172"/>
      <c r="SJ183" s="172"/>
      <c r="SK183" s="172"/>
      <c r="SL183" s="172"/>
      <c r="SM183" s="172"/>
      <c r="SN183" s="172"/>
      <c r="SO183" s="172"/>
      <c r="SP183" s="172"/>
      <c r="SQ183" s="172"/>
      <c r="SR183" s="172"/>
      <c r="SS183" s="172"/>
      <c r="ST183" s="172"/>
      <c r="SU183" s="172"/>
      <c r="SV183" s="172"/>
      <c r="SW183" s="172"/>
      <c r="SX183" s="172"/>
      <c r="SY183" s="172"/>
      <c r="SZ183" s="172"/>
      <c r="TA183" s="172"/>
      <c r="TB183" s="172"/>
      <c r="TC183" s="172"/>
      <c r="TD183" s="172"/>
      <c r="TE183" s="172"/>
      <c r="TF183" s="172"/>
      <c r="TG183" s="172"/>
      <c r="TH183" s="172"/>
      <c r="TI183" s="172"/>
      <c r="TJ183" s="172"/>
      <c r="TK183" s="172"/>
      <c r="TL183" s="172"/>
      <c r="TM183" s="172"/>
      <c r="TN183" s="172"/>
      <c r="TO183" s="172"/>
      <c r="TP183" s="172"/>
      <c r="TQ183" s="172"/>
      <c r="TR183" s="172"/>
      <c r="TS183" s="172"/>
      <c r="TT183" s="172"/>
      <c r="TU183" s="172"/>
      <c r="TV183" s="172"/>
      <c r="TW183" s="172"/>
      <c r="TX183" s="172"/>
      <c r="TY183" s="172"/>
      <c r="TZ183" s="172"/>
      <c r="UA183" s="172"/>
      <c r="UB183" s="172"/>
      <c r="UC183" s="172"/>
      <c r="UD183" s="172"/>
      <c r="UE183" s="172"/>
      <c r="UF183" s="172"/>
      <c r="UG183" s="172"/>
      <c r="UH183" s="172"/>
      <c r="UI183" s="172"/>
      <c r="UJ183" s="172"/>
      <c r="UK183" s="172"/>
      <c r="UL183" s="172"/>
      <c r="UM183" s="172"/>
      <c r="UN183" s="172"/>
      <c r="UO183" s="172"/>
      <c r="UP183" s="172"/>
      <c r="UQ183" s="172"/>
      <c r="UR183" s="172"/>
      <c r="US183" s="172"/>
      <c r="UT183" s="172"/>
      <c r="UU183" s="172"/>
      <c r="UV183" s="172"/>
      <c r="UW183" s="172"/>
      <c r="UX183" s="172"/>
      <c r="UY183" s="172"/>
      <c r="UZ183" s="172"/>
      <c r="VA183" s="172"/>
      <c r="VB183" s="172"/>
      <c r="VC183" s="172"/>
      <c r="VD183" s="172"/>
      <c r="VE183" s="172"/>
      <c r="VF183" s="172"/>
      <c r="VG183" s="172"/>
      <c r="VH183" s="172"/>
      <c r="VI183" s="172"/>
      <c r="VJ183" s="172"/>
      <c r="VK183" s="172"/>
      <c r="VL183" s="172"/>
      <c r="VM183" s="172"/>
      <c r="VN183" s="172"/>
      <c r="VO183" s="172"/>
      <c r="VP183" s="172"/>
      <c r="VQ183" s="172"/>
      <c r="VR183" s="172"/>
      <c r="VS183" s="172"/>
      <c r="VT183" s="172"/>
      <c r="VU183" s="172"/>
      <c r="VV183" s="172"/>
      <c r="VW183" s="172"/>
      <c r="VX183" s="172"/>
      <c r="VY183" s="172"/>
      <c r="VZ183" s="172"/>
      <c r="WA183" s="172"/>
      <c r="WB183" s="172"/>
      <c r="WC183" s="172"/>
      <c r="WD183" s="172"/>
      <c r="WE183" s="172"/>
      <c r="WF183" s="172"/>
      <c r="WG183" s="172"/>
      <c r="WH183" s="172"/>
      <c r="WI183" s="172"/>
      <c r="WJ183" s="172"/>
      <c r="WK183" s="172"/>
      <c r="WL183" s="172"/>
      <c r="WM183" s="172"/>
      <c r="WN183" s="172"/>
      <c r="WO183" s="172"/>
      <c r="WP183" s="172"/>
      <c r="WQ183" s="172"/>
      <c r="WR183" s="172"/>
      <c r="WS183" s="172"/>
      <c r="WT183" s="172"/>
      <c r="WU183" s="172"/>
      <c r="WV183" s="172"/>
      <c r="WW183" s="172"/>
      <c r="WX183" s="172"/>
      <c r="WY183" s="172"/>
      <c r="WZ183" s="172"/>
      <c r="XA183" s="172"/>
      <c r="XB183" s="172"/>
      <c r="XC183" s="172"/>
      <c r="XD183" s="172"/>
      <c r="XE183" s="172"/>
      <c r="XF183" s="172"/>
      <c r="XG183" s="172"/>
      <c r="XH183" s="172"/>
      <c r="XI183" s="172"/>
      <c r="XJ183" s="172"/>
      <c r="XK183" s="172"/>
      <c r="XL183" s="172"/>
      <c r="XM183" s="172"/>
      <c r="XN183" s="172"/>
      <c r="XO183" s="172"/>
      <c r="XP183" s="172"/>
      <c r="XQ183" s="172"/>
      <c r="XR183" s="172"/>
      <c r="XS183" s="172"/>
      <c r="XT183" s="172"/>
      <c r="XU183" s="172"/>
      <c r="XV183" s="172"/>
      <c r="XW183" s="172"/>
      <c r="XX183" s="172"/>
      <c r="XY183" s="172"/>
      <c r="XZ183" s="172"/>
      <c r="YA183" s="172"/>
      <c r="YB183" s="172"/>
      <c r="YC183" s="172"/>
      <c r="YD183" s="172"/>
      <c r="YE183" s="172"/>
      <c r="YF183" s="172"/>
      <c r="YG183" s="172"/>
      <c r="YH183" s="172"/>
      <c r="YI183" s="172"/>
      <c r="YJ183" s="172"/>
      <c r="YK183" s="172"/>
      <c r="YL183" s="172"/>
      <c r="YM183" s="172"/>
      <c r="YN183" s="172"/>
      <c r="YO183" s="172"/>
      <c r="YP183" s="172"/>
      <c r="YQ183" s="172"/>
      <c r="YR183" s="172"/>
      <c r="YS183" s="172"/>
      <c r="YT183" s="172"/>
      <c r="YU183" s="172"/>
      <c r="YV183" s="172"/>
      <c r="YW183" s="172"/>
      <c r="YX183" s="172"/>
      <c r="YY183" s="172"/>
      <c r="YZ183" s="172"/>
      <c r="ZA183" s="172"/>
      <c r="ZB183" s="172"/>
      <c r="ZC183" s="172"/>
      <c r="ZD183" s="172"/>
      <c r="ZE183" s="172"/>
      <c r="ZF183" s="172"/>
      <c r="ZG183" s="172"/>
      <c r="ZH183" s="172"/>
      <c r="ZI183" s="172"/>
      <c r="ZJ183" s="172"/>
      <c r="ZK183" s="172"/>
      <c r="ZL183" s="172"/>
      <c r="ZM183" s="172"/>
      <c r="ZN183" s="172"/>
      <c r="ZO183" s="172"/>
      <c r="ZP183" s="172"/>
      <c r="ZQ183" s="172"/>
      <c r="ZR183" s="172"/>
      <c r="ZS183" s="172"/>
      <c r="ZT183" s="172"/>
      <c r="ZU183" s="172"/>
      <c r="ZV183" s="172"/>
      <c r="ZW183" s="172"/>
      <c r="ZX183" s="172"/>
      <c r="ZY183" s="172"/>
      <c r="ZZ183" s="172"/>
      <c r="AAA183" s="172"/>
      <c r="AAB183" s="172"/>
      <c r="AAC183" s="172"/>
      <c r="AAD183" s="172"/>
      <c r="AAE183" s="172"/>
      <c r="AAF183" s="172"/>
      <c r="AAG183" s="172"/>
      <c r="AAH183" s="172"/>
      <c r="AAI183" s="172"/>
      <c r="AAJ183" s="172"/>
      <c r="AAK183" s="172"/>
      <c r="AAL183" s="172"/>
      <c r="AAM183" s="172"/>
      <c r="AAN183" s="172"/>
      <c r="AAO183" s="172"/>
      <c r="AAP183" s="172"/>
      <c r="AAQ183" s="172"/>
      <c r="AAR183" s="172"/>
      <c r="AAS183" s="172"/>
      <c r="AAT183" s="172"/>
      <c r="AAU183" s="172"/>
      <c r="AAV183" s="172"/>
      <c r="AAW183" s="172"/>
      <c r="AAX183" s="172"/>
      <c r="AAY183" s="172"/>
      <c r="AAZ183" s="172"/>
      <c r="ABA183" s="172"/>
      <c r="ABB183" s="172"/>
      <c r="ABC183" s="172"/>
      <c r="ABD183" s="172"/>
      <c r="ABE183" s="172"/>
      <c r="ABF183" s="172"/>
      <c r="ABG183" s="172"/>
      <c r="ABH183" s="172"/>
      <c r="ABI183" s="172"/>
      <c r="ABJ183" s="172"/>
      <c r="ABK183" s="172"/>
      <c r="ABL183" s="172"/>
      <c r="ABM183" s="172"/>
      <c r="ABN183" s="172"/>
      <c r="ABO183" s="172"/>
      <c r="ABP183" s="172"/>
      <c r="ABQ183" s="172"/>
      <c r="ABR183" s="172"/>
      <c r="ABS183" s="172"/>
      <c r="ABT183" s="172"/>
      <c r="ABU183" s="172"/>
      <c r="ABV183" s="172"/>
      <c r="ABW183" s="172"/>
      <c r="ABX183" s="172"/>
      <c r="ABY183" s="172"/>
      <c r="ABZ183" s="172"/>
      <c r="ACA183" s="172"/>
      <c r="ACB183" s="172"/>
      <c r="ACC183" s="172"/>
      <c r="ACD183" s="172"/>
      <c r="ACE183" s="172"/>
      <c r="ACF183" s="172"/>
      <c r="ACG183" s="172"/>
      <c r="ACH183" s="172"/>
      <c r="ACI183" s="172"/>
      <c r="ACJ183" s="172"/>
      <c r="ACK183" s="172"/>
      <c r="ACL183" s="172"/>
      <c r="ACM183" s="172"/>
      <c r="ACN183" s="172"/>
      <c r="ACO183" s="172"/>
      <c r="ACP183" s="172"/>
      <c r="ACQ183" s="172"/>
      <c r="ACR183" s="172"/>
      <c r="ACS183" s="172"/>
      <c r="ACT183" s="172"/>
      <c r="ACU183" s="172"/>
      <c r="ACV183" s="172"/>
      <c r="ACW183" s="172"/>
      <c r="ACX183" s="172"/>
      <c r="ACY183" s="172"/>
      <c r="ACZ183" s="172"/>
      <c r="ADA183" s="172"/>
      <c r="ADB183" s="172"/>
      <c r="ADC183" s="172"/>
      <c r="ADD183" s="172"/>
      <c r="ADE183" s="172"/>
      <c r="ADF183" s="172"/>
      <c r="ADG183" s="172"/>
      <c r="ADH183" s="172"/>
      <c r="ADI183" s="172"/>
      <c r="ADJ183" s="172"/>
      <c r="ADK183" s="172"/>
      <c r="ADL183" s="172"/>
      <c r="ADM183" s="172"/>
      <c r="ADN183" s="172"/>
      <c r="ADO183" s="172"/>
      <c r="ADP183" s="172"/>
      <c r="ADQ183" s="172"/>
      <c r="ADR183" s="172"/>
      <c r="ADS183" s="172"/>
      <c r="ADT183" s="172"/>
      <c r="ADU183" s="172"/>
      <c r="ADV183" s="172"/>
      <c r="ADW183" s="172"/>
      <c r="ADX183" s="172"/>
      <c r="ADY183" s="172"/>
      <c r="ADZ183" s="172"/>
      <c r="AEA183" s="172"/>
      <c r="AEB183" s="172"/>
      <c r="AEC183" s="172"/>
      <c r="AED183" s="172"/>
      <c r="AEE183" s="172"/>
      <c r="AEF183" s="172"/>
      <c r="AEG183" s="172"/>
      <c r="AEH183" s="172"/>
      <c r="AEI183" s="172"/>
      <c r="AEJ183" s="172"/>
      <c r="AEK183" s="172"/>
      <c r="AEL183" s="172"/>
      <c r="AEM183" s="172"/>
      <c r="AEN183" s="172"/>
      <c r="AEO183" s="172"/>
      <c r="AEP183" s="172"/>
      <c r="AEQ183" s="172"/>
      <c r="AER183" s="172"/>
      <c r="AES183" s="172"/>
      <c r="AET183" s="172"/>
      <c r="AEU183" s="172"/>
      <c r="AEV183" s="172"/>
      <c r="AEW183" s="172"/>
      <c r="AEX183" s="172"/>
      <c r="AEY183" s="172"/>
      <c r="AEZ183" s="172"/>
      <c r="AFA183" s="172"/>
      <c r="AFB183" s="172"/>
      <c r="AFC183" s="172"/>
      <c r="AFD183" s="172"/>
      <c r="AFE183" s="172"/>
      <c r="AFF183" s="172"/>
      <c r="AFG183" s="172"/>
      <c r="AFH183" s="172"/>
      <c r="AFI183" s="172"/>
      <c r="AFJ183" s="172"/>
      <c r="AFK183" s="172"/>
      <c r="AFL183" s="172"/>
      <c r="AFM183" s="172"/>
      <c r="AFN183" s="172"/>
      <c r="AFO183" s="172"/>
      <c r="AFP183" s="172"/>
      <c r="AFQ183" s="172"/>
      <c r="AFR183" s="172"/>
      <c r="AFS183" s="172"/>
      <c r="AFT183" s="172"/>
      <c r="AFU183" s="172"/>
      <c r="AFV183" s="172"/>
      <c r="AFW183" s="172"/>
      <c r="AFX183" s="172"/>
      <c r="AFY183" s="172"/>
      <c r="AFZ183" s="172"/>
      <c r="AGA183" s="172"/>
      <c r="AGB183" s="172"/>
      <c r="AGC183" s="172"/>
      <c r="AGD183" s="172"/>
      <c r="AGE183" s="172"/>
      <c r="AGF183" s="172"/>
      <c r="AGG183" s="172"/>
      <c r="AGH183" s="172"/>
      <c r="AGI183" s="172"/>
      <c r="AGJ183" s="172"/>
      <c r="AGK183" s="172"/>
      <c r="AGL183" s="172"/>
      <c r="AGM183" s="172"/>
      <c r="AGN183" s="172"/>
      <c r="AGO183" s="172"/>
      <c r="AGP183" s="172"/>
      <c r="AGQ183" s="172"/>
      <c r="AGR183" s="172"/>
      <c r="AGS183" s="172"/>
      <c r="AGT183" s="172"/>
      <c r="AGU183" s="172"/>
      <c r="AGV183" s="172"/>
      <c r="AGW183" s="172"/>
      <c r="AGX183" s="172"/>
      <c r="AGY183" s="172"/>
      <c r="AGZ183" s="172"/>
      <c r="AHA183" s="172"/>
      <c r="AHB183" s="172"/>
      <c r="AHC183" s="172"/>
      <c r="AHD183" s="172"/>
      <c r="AHE183" s="172"/>
      <c r="AHF183" s="172"/>
      <c r="AHG183" s="172"/>
      <c r="AHH183" s="172"/>
      <c r="AHI183" s="172"/>
      <c r="AHJ183" s="172"/>
      <c r="AHK183" s="172"/>
      <c r="AHL183" s="172"/>
      <c r="AHM183" s="172"/>
      <c r="AHN183" s="172"/>
      <c r="AHO183" s="172"/>
      <c r="AHP183" s="172"/>
      <c r="AHQ183" s="172"/>
      <c r="AHR183" s="172"/>
      <c r="AHS183" s="172"/>
      <c r="AHT183" s="172"/>
      <c r="AHU183" s="172"/>
      <c r="AHV183" s="172"/>
      <c r="AHW183" s="172"/>
      <c r="AHX183" s="172"/>
      <c r="AHY183" s="172"/>
      <c r="AHZ183" s="172"/>
      <c r="AIA183" s="172"/>
      <c r="AIB183" s="172"/>
      <c r="AIC183" s="172"/>
      <c r="AID183" s="172"/>
      <c r="AIE183" s="172"/>
      <c r="AIF183" s="172"/>
      <c r="AIG183" s="172"/>
      <c r="AIH183" s="172"/>
      <c r="AII183" s="172"/>
      <c r="AIJ183" s="172"/>
      <c r="AIK183" s="172"/>
      <c r="AIL183" s="172"/>
      <c r="AIM183" s="172"/>
      <c r="AIN183" s="172"/>
      <c r="AIO183" s="172"/>
      <c r="AIP183" s="172"/>
      <c r="AIQ183" s="172"/>
      <c r="AIR183" s="172"/>
      <c r="AIS183" s="172"/>
      <c r="AIT183" s="172"/>
      <c r="AIU183" s="172"/>
      <c r="AIV183" s="172"/>
      <c r="AIW183" s="172"/>
      <c r="AIX183" s="172"/>
      <c r="AIY183" s="172"/>
      <c r="AIZ183" s="172"/>
      <c r="AJA183" s="172"/>
      <c r="AJB183" s="172"/>
      <c r="AJC183" s="172"/>
      <c r="AJD183" s="172"/>
      <c r="AJE183" s="172"/>
      <c r="AJF183" s="172"/>
      <c r="AJG183" s="172"/>
      <c r="AJH183" s="172"/>
      <c r="AJI183" s="172"/>
      <c r="AJJ183" s="172"/>
      <c r="AJK183" s="172"/>
      <c r="AJL183" s="172"/>
      <c r="AJM183" s="172"/>
      <c r="AJN183" s="172"/>
      <c r="AJO183" s="172"/>
      <c r="AJP183" s="172"/>
      <c r="AJQ183" s="172"/>
      <c r="AJR183" s="172"/>
      <c r="AJS183" s="172"/>
      <c r="AJT183" s="172"/>
      <c r="AJU183" s="172"/>
      <c r="AJV183" s="172"/>
      <c r="AJW183" s="172"/>
      <c r="AJX183" s="172"/>
      <c r="AJY183" s="172"/>
      <c r="AJZ183" s="172"/>
      <c r="AKA183" s="172"/>
      <c r="AKB183" s="172"/>
      <c r="AKC183" s="172"/>
      <c r="AKD183" s="172"/>
      <c r="AKE183" s="172"/>
      <c r="AKF183" s="172"/>
      <c r="AKG183" s="172"/>
      <c r="AKH183" s="172"/>
      <c r="AKI183" s="172"/>
      <c r="AKJ183" s="172"/>
      <c r="AKK183" s="172"/>
      <c r="AKL183" s="172"/>
      <c r="AKM183" s="172"/>
      <c r="AKN183" s="172"/>
      <c r="AKO183" s="172"/>
      <c r="AKP183" s="172"/>
      <c r="AKQ183" s="172"/>
      <c r="AKR183" s="172"/>
      <c r="AKS183" s="172"/>
      <c r="AKT183" s="172"/>
      <c r="AKU183" s="172"/>
      <c r="AKV183" s="172"/>
      <c r="AKW183" s="172"/>
      <c r="AKX183" s="172"/>
      <c r="AKY183" s="172"/>
      <c r="AKZ183" s="172"/>
      <c r="ALA183" s="172"/>
      <c r="ALB183" s="172"/>
      <c r="ALC183" s="172"/>
      <c r="ALD183" s="172"/>
      <c r="ALE183" s="172"/>
      <c r="ALF183" s="172"/>
      <c r="ALG183" s="172"/>
      <c r="ALH183" s="172"/>
      <c r="ALI183" s="172"/>
      <c r="ALJ183" s="172"/>
      <c r="ALK183" s="172"/>
      <c r="ALL183" s="172"/>
      <c r="ALM183" s="172"/>
      <c r="ALN183" s="172"/>
      <c r="ALO183" s="172"/>
      <c r="ALP183" s="172"/>
      <c r="ALQ183" s="172"/>
      <c r="ALR183" s="172"/>
      <c r="ALS183" s="172"/>
      <c r="ALT183" s="172"/>
      <c r="ALU183" s="172"/>
      <c r="ALV183" s="172"/>
      <c r="ALW183" s="172"/>
      <c r="ALX183" s="172"/>
      <c r="ALY183" s="172"/>
      <c r="ALZ183" s="172"/>
      <c r="AMA183" s="172"/>
      <c r="AMB183" s="172"/>
      <c r="AMC183" s="172"/>
      <c r="AMD183" s="172"/>
      <c r="AME183" s="172"/>
      <c r="AMF183" s="172"/>
      <c r="AMG183" s="172"/>
      <c r="AMH183" s="172"/>
      <c r="AMI183" s="172"/>
      <c r="AMJ183" s="172"/>
      <c r="AMK183" s="172"/>
      <c r="AML183" s="172"/>
      <c r="AMM183" s="172"/>
      <c r="AMN183" s="172"/>
      <c r="AMO183" s="172"/>
      <c r="AMP183" s="172"/>
      <c r="AMQ183" s="172"/>
      <c r="AMR183" s="172"/>
      <c r="AMS183" s="172"/>
      <c r="AMT183" s="172"/>
      <c r="AMU183" s="172"/>
      <c r="AMV183" s="172"/>
      <c r="AMW183" s="172"/>
      <c r="AMX183" s="172"/>
      <c r="AMY183" s="172"/>
      <c r="AMZ183" s="172"/>
      <c r="ANA183" s="172"/>
      <c r="ANB183" s="172"/>
      <c r="ANC183" s="172"/>
      <c r="AND183" s="172"/>
      <c r="ANE183" s="172"/>
      <c r="ANF183" s="172"/>
      <c r="ANG183" s="172"/>
      <c r="ANH183" s="172"/>
      <c r="ANI183" s="172"/>
      <c r="ANJ183" s="172"/>
      <c r="ANK183" s="172"/>
      <c r="ANL183" s="172"/>
      <c r="ANM183" s="172"/>
      <c r="ANN183" s="172"/>
      <c r="ANO183" s="172"/>
      <c r="ANP183" s="172"/>
      <c r="ANQ183" s="172"/>
      <c r="ANR183" s="172"/>
      <c r="ANS183" s="172"/>
      <c r="ANT183" s="172"/>
      <c r="ANU183" s="172"/>
      <c r="ANV183" s="172"/>
      <c r="ANW183" s="172"/>
      <c r="ANX183" s="172"/>
      <c r="ANY183" s="172"/>
      <c r="ANZ183" s="172"/>
      <c r="AOA183" s="172"/>
      <c r="AOB183" s="172"/>
      <c r="AOC183" s="172"/>
      <c r="AOD183" s="172"/>
      <c r="AOE183" s="172"/>
      <c r="AOF183" s="172"/>
      <c r="AOG183" s="172"/>
      <c r="AOH183" s="172"/>
      <c r="AOI183" s="172"/>
      <c r="AOJ183" s="172"/>
      <c r="AOK183" s="172"/>
      <c r="AOL183" s="172"/>
      <c r="AOM183" s="172"/>
      <c r="AON183" s="172"/>
      <c r="AOO183" s="172"/>
      <c r="AOP183" s="172"/>
      <c r="AOQ183" s="172"/>
      <c r="AOR183" s="172"/>
      <c r="AOS183" s="172"/>
      <c r="AOT183" s="172"/>
      <c r="AOU183" s="172"/>
      <c r="AOV183" s="172"/>
      <c r="AOW183" s="172"/>
      <c r="AOX183" s="172"/>
      <c r="AOY183" s="172"/>
      <c r="AOZ183" s="172"/>
      <c r="APA183" s="172"/>
      <c r="APB183" s="172"/>
      <c r="APC183" s="172"/>
      <c r="APD183" s="172"/>
      <c r="APE183" s="172"/>
      <c r="APF183" s="172"/>
      <c r="APG183" s="172"/>
      <c r="APH183" s="172"/>
      <c r="API183" s="172"/>
      <c r="APJ183" s="172"/>
      <c r="APK183" s="172"/>
      <c r="APL183" s="172"/>
      <c r="APM183" s="172"/>
      <c r="APN183" s="172"/>
      <c r="APO183" s="172"/>
      <c r="APP183" s="172"/>
      <c r="APQ183" s="172"/>
      <c r="APR183" s="172"/>
      <c r="APS183" s="172"/>
      <c r="APT183" s="172"/>
      <c r="APU183" s="172"/>
      <c r="APV183" s="172"/>
      <c r="APW183" s="172"/>
      <c r="APX183" s="172"/>
      <c r="APY183" s="172"/>
      <c r="APZ183" s="172"/>
      <c r="AQA183" s="172"/>
      <c r="AQB183" s="172"/>
      <c r="AQC183" s="172"/>
      <c r="AQD183" s="172"/>
      <c r="AQE183" s="172"/>
      <c r="AQF183" s="172"/>
      <c r="AQG183" s="172"/>
      <c r="AQH183" s="172"/>
      <c r="AQI183" s="172"/>
      <c r="AQJ183" s="172"/>
      <c r="AQK183" s="172"/>
      <c r="AQL183" s="172"/>
      <c r="AQM183" s="172"/>
      <c r="AQN183" s="172"/>
      <c r="AQO183" s="172"/>
      <c r="AQP183" s="172"/>
      <c r="AQQ183" s="172"/>
      <c r="AQR183" s="172"/>
      <c r="AQS183" s="172"/>
      <c r="AQT183" s="172"/>
      <c r="AQU183" s="172"/>
      <c r="AQV183" s="172"/>
      <c r="AQW183" s="172"/>
      <c r="AQX183" s="172"/>
      <c r="AQY183" s="172"/>
      <c r="AQZ183" s="172"/>
      <c r="ARA183" s="172"/>
      <c r="ARB183" s="172"/>
      <c r="ARC183" s="172"/>
      <c r="ARD183" s="172"/>
      <c r="ARE183" s="172"/>
      <c r="ARF183" s="172"/>
      <c r="ARG183" s="172"/>
      <c r="ARH183" s="172"/>
      <c r="ARI183" s="172"/>
      <c r="ARJ183" s="172"/>
      <c r="ARK183" s="172"/>
      <c r="ARL183" s="172"/>
      <c r="ARM183" s="172"/>
      <c r="ARN183" s="172"/>
      <c r="ARO183" s="172"/>
      <c r="ARP183" s="172"/>
      <c r="ARQ183" s="172"/>
      <c r="ARR183" s="172"/>
      <c r="ARS183" s="172"/>
      <c r="ART183" s="172"/>
      <c r="ARU183" s="172"/>
    </row>
    <row r="184" spans="1:1165" s="257" customFormat="1">
      <c r="A184" s="1524" t="s">
        <v>412</v>
      </c>
      <c r="B184" s="1511" t="s">
        <v>87</v>
      </c>
      <c r="C184" s="1489">
        <v>0</v>
      </c>
      <c r="D184" s="1489">
        <v>0</v>
      </c>
      <c r="E184" s="1489">
        <v>0</v>
      </c>
      <c r="F184" s="1489">
        <v>0</v>
      </c>
      <c r="G184" s="1489">
        <v>0</v>
      </c>
      <c r="H184" s="1489">
        <v>0</v>
      </c>
      <c r="I184" s="1489">
        <v>0</v>
      </c>
      <c r="J184" s="1489">
        <v>0</v>
      </c>
      <c r="K184" s="1516">
        <v>0</v>
      </c>
      <c r="L184" s="1516">
        <v>0</v>
      </c>
      <c r="M184" s="1516">
        <v>0</v>
      </c>
      <c r="N184" s="1516">
        <v>0</v>
      </c>
      <c r="O184" s="1516">
        <v>0</v>
      </c>
      <c r="P184" s="1516">
        <v>0</v>
      </c>
      <c r="Q184" s="1516">
        <v>0</v>
      </c>
      <c r="R184" s="1516">
        <v>0</v>
      </c>
      <c r="S184" s="1516">
        <v>0</v>
      </c>
      <c r="T184" s="1516">
        <v>0</v>
      </c>
      <c r="U184" s="1516">
        <v>0</v>
      </c>
      <c r="V184" s="1516">
        <v>0</v>
      </c>
      <c r="W184" s="1516">
        <v>0</v>
      </c>
      <c r="X184" s="1516">
        <v>0</v>
      </c>
      <c r="Y184" s="1516">
        <v>0</v>
      </c>
      <c r="Z184" s="1516">
        <v>0</v>
      </c>
      <c r="AA184" s="1516">
        <v>0</v>
      </c>
      <c r="AB184" s="1516">
        <v>0</v>
      </c>
      <c r="AC184" s="1516">
        <v>0</v>
      </c>
      <c r="AD184" s="1516">
        <v>0</v>
      </c>
      <c r="AE184" s="1516">
        <v>0</v>
      </c>
      <c r="AF184" s="1516">
        <v>0</v>
      </c>
      <c r="AG184" s="1516">
        <v>0</v>
      </c>
      <c r="AH184" s="1516">
        <v>0</v>
      </c>
      <c r="AI184" s="1516">
        <v>19423</v>
      </c>
      <c r="AJ184" s="1516">
        <v>4729257</v>
      </c>
      <c r="AK184" s="1516">
        <v>158962</v>
      </c>
      <c r="AL184" s="1516">
        <v>37441182</v>
      </c>
      <c r="AM184" s="1525">
        <v>320425</v>
      </c>
      <c r="AN184" s="1525">
        <v>93168890</v>
      </c>
      <c r="AO184" s="1516">
        <v>384535</v>
      </c>
      <c r="AP184" s="1516">
        <v>86631007</v>
      </c>
      <c r="AQ184" s="1516">
        <v>390075</v>
      </c>
      <c r="AR184" s="1516">
        <v>116548575</v>
      </c>
      <c r="AS184" s="1516">
        <v>450571</v>
      </c>
      <c r="AT184" s="1516">
        <v>225367267.99999997</v>
      </c>
      <c r="AU184" s="1517">
        <v>475246</v>
      </c>
      <c r="AV184" s="1517">
        <v>217539558</v>
      </c>
      <c r="AW184" s="1489">
        <v>458153</v>
      </c>
      <c r="AX184" s="1489">
        <v>197559482</v>
      </c>
      <c r="AY184" s="1489">
        <v>425199</v>
      </c>
      <c r="AZ184" s="1489">
        <v>182825510</v>
      </c>
      <c r="BA184" s="1486"/>
      <c r="BB184" s="1489"/>
      <c r="BC184" s="1489"/>
      <c r="BD184" s="1489"/>
      <c r="BE184" s="1489"/>
      <c r="BF184" s="1489"/>
      <c r="BG184" s="1489"/>
      <c r="BH184" s="1489"/>
      <c r="BI184" s="1526"/>
      <c r="BJ184" s="1512">
        <f t="shared" si="75"/>
        <v>3082589</v>
      </c>
      <c r="BK184" s="1514">
        <f t="shared" si="76"/>
        <v>1161810729</v>
      </c>
      <c r="BL184" s="172"/>
      <c r="BM184" s="231"/>
      <c r="BN184" s="231"/>
      <c r="BO184" s="231"/>
      <c r="BP184" s="231"/>
      <c r="BQ184" s="172"/>
      <c r="BR184" s="172"/>
      <c r="BS184" s="172"/>
      <c r="BT184" s="172"/>
      <c r="BU184" s="172"/>
      <c r="BV184" s="172"/>
      <c r="BW184" s="172"/>
      <c r="BX184" s="172"/>
      <c r="BY184" s="172"/>
      <c r="BZ184" s="172"/>
      <c r="CA184" s="172"/>
      <c r="CB184" s="172"/>
      <c r="CC184" s="172"/>
      <c r="CD184" s="172"/>
      <c r="CE184" s="172"/>
      <c r="CF184" s="172"/>
      <c r="CG184" s="172"/>
      <c r="CH184" s="172"/>
      <c r="CI184" s="172"/>
      <c r="CJ184" s="172"/>
      <c r="CK184" s="172"/>
      <c r="CL184" s="172"/>
      <c r="CM184" s="172"/>
      <c r="CN184" s="172"/>
      <c r="CO184" s="172"/>
      <c r="CP184" s="172"/>
      <c r="CQ184" s="172"/>
      <c r="CR184" s="172"/>
      <c r="CS184" s="172"/>
      <c r="CT184" s="172"/>
      <c r="CU184" s="172"/>
      <c r="CV184" s="172"/>
      <c r="CW184" s="172"/>
      <c r="CX184" s="172"/>
      <c r="CY184" s="172"/>
      <c r="CZ184" s="172"/>
      <c r="DA184" s="172"/>
      <c r="DB184" s="172"/>
      <c r="DC184" s="172"/>
      <c r="DD184" s="172"/>
      <c r="DE184" s="172"/>
      <c r="DF184" s="172"/>
      <c r="DG184" s="172"/>
      <c r="DH184" s="172"/>
      <c r="DI184" s="172"/>
      <c r="DJ184" s="172"/>
      <c r="DK184" s="172"/>
      <c r="DL184" s="172"/>
      <c r="DM184" s="172"/>
      <c r="DN184" s="172"/>
      <c r="DO184" s="172"/>
      <c r="DP184" s="172"/>
      <c r="DQ184" s="172"/>
      <c r="DR184" s="172"/>
      <c r="DS184" s="172"/>
      <c r="DT184" s="172"/>
      <c r="DU184" s="172"/>
      <c r="DV184" s="172"/>
      <c r="DW184" s="172"/>
      <c r="DX184" s="172"/>
      <c r="DY184" s="172"/>
      <c r="DZ184" s="172"/>
      <c r="EA184" s="172"/>
      <c r="EB184" s="172"/>
      <c r="EC184" s="172"/>
      <c r="ED184" s="172"/>
      <c r="EE184" s="172"/>
      <c r="EF184" s="172"/>
      <c r="EG184" s="172"/>
      <c r="EH184" s="172"/>
      <c r="EI184" s="172"/>
      <c r="EJ184" s="172"/>
      <c r="EK184" s="172"/>
      <c r="EL184" s="172"/>
      <c r="EM184" s="172"/>
      <c r="EN184" s="172"/>
      <c r="EO184" s="172"/>
      <c r="EP184" s="172"/>
      <c r="EQ184" s="172"/>
      <c r="ER184" s="172"/>
      <c r="ES184" s="172"/>
      <c r="ET184" s="172"/>
      <c r="EU184" s="172"/>
      <c r="EV184" s="172"/>
      <c r="EW184" s="172"/>
      <c r="EX184" s="172"/>
      <c r="EY184" s="172"/>
      <c r="EZ184" s="172"/>
      <c r="FA184" s="172"/>
      <c r="FB184" s="172"/>
      <c r="FC184" s="172"/>
      <c r="FD184" s="172"/>
      <c r="FE184" s="172"/>
      <c r="FF184" s="172"/>
      <c r="FG184" s="172"/>
      <c r="FH184" s="172"/>
      <c r="FI184" s="172"/>
      <c r="FJ184" s="172"/>
      <c r="FK184" s="172"/>
      <c r="FL184" s="172"/>
      <c r="FM184" s="172"/>
      <c r="FN184" s="172"/>
      <c r="FO184" s="172"/>
      <c r="FP184" s="172"/>
      <c r="FQ184" s="172"/>
      <c r="FR184" s="172"/>
      <c r="FS184" s="172"/>
      <c r="FT184" s="172"/>
      <c r="FU184" s="172"/>
      <c r="FV184" s="172"/>
      <c r="FW184" s="172"/>
      <c r="FX184" s="172"/>
      <c r="FY184" s="172"/>
      <c r="FZ184" s="172"/>
      <c r="GA184" s="172"/>
      <c r="GB184" s="172"/>
      <c r="GC184" s="172"/>
      <c r="GD184" s="172"/>
      <c r="GE184" s="172"/>
      <c r="GF184" s="172"/>
      <c r="GG184" s="172"/>
      <c r="GH184" s="172"/>
      <c r="GI184" s="172"/>
      <c r="GJ184" s="172"/>
      <c r="GK184" s="172"/>
      <c r="GL184" s="172"/>
      <c r="GM184" s="172"/>
      <c r="GN184" s="172"/>
      <c r="GO184" s="172"/>
      <c r="GP184" s="172"/>
      <c r="GQ184" s="172"/>
      <c r="GR184" s="172"/>
      <c r="GS184" s="172"/>
      <c r="GT184" s="172"/>
      <c r="GU184" s="172"/>
      <c r="GV184" s="172"/>
      <c r="GW184" s="172"/>
      <c r="GX184" s="172"/>
      <c r="GY184" s="172"/>
      <c r="GZ184" s="172"/>
      <c r="HA184" s="172"/>
      <c r="HB184" s="172"/>
      <c r="HC184" s="172"/>
      <c r="HD184" s="172"/>
      <c r="HE184" s="172"/>
      <c r="HF184" s="172"/>
      <c r="HG184" s="172"/>
      <c r="HH184" s="172"/>
      <c r="HI184" s="172"/>
      <c r="HJ184" s="172"/>
      <c r="HK184" s="172"/>
      <c r="HL184" s="172"/>
      <c r="HM184" s="172"/>
      <c r="HN184" s="172"/>
      <c r="HO184" s="172"/>
      <c r="HP184" s="172"/>
      <c r="HQ184" s="172"/>
      <c r="HR184" s="172"/>
      <c r="HS184" s="172"/>
      <c r="HT184" s="172"/>
      <c r="HU184" s="172"/>
      <c r="HV184" s="172"/>
      <c r="HW184" s="172"/>
      <c r="HX184" s="172"/>
      <c r="HY184" s="172"/>
      <c r="HZ184" s="172"/>
      <c r="IA184" s="172"/>
      <c r="IB184" s="172"/>
      <c r="IC184" s="172"/>
      <c r="ID184" s="172"/>
      <c r="IE184" s="172"/>
      <c r="IF184" s="172"/>
      <c r="IG184" s="172"/>
      <c r="IH184" s="172"/>
      <c r="II184" s="172"/>
      <c r="IJ184" s="172"/>
      <c r="IK184" s="172"/>
      <c r="IL184" s="172"/>
      <c r="IM184" s="172"/>
      <c r="IN184" s="172"/>
      <c r="IO184" s="172"/>
      <c r="IP184" s="172"/>
      <c r="IQ184" s="172"/>
      <c r="IR184" s="172"/>
      <c r="IS184" s="172"/>
      <c r="IT184" s="172"/>
      <c r="IU184" s="172"/>
      <c r="IV184" s="172"/>
      <c r="IW184" s="172"/>
      <c r="IX184" s="172"/>
      <c r="IY184" s="172"/>
      <c r="IZ184" s="172"/>
      <c r="JA184" s="172"/>
      <c r="JB184" s="172"/>
      <c r="JC184" s="172"/>
      <c r="JD184" s="172"/>
      <c r="JE184" s="172"/>
      <c r="JF184" s="172"/>
      <c r="JG184" s="172"/>
      <c r="JH184" s="172"/>
      <c r="JI184" s="172"/>
      <c r="JJ184" s="172"/>
      <c r="JK184" s="172"/>
      <c r="JL184" s="172"/>
      <c r="JM184" s="172"/>
      <c r="JN184" s="172"/>
      <c r="JO184" s="172"/>
      <c r="JP184" s="172"/>
      <c r="JQ184" s="172"/>
      <c r="JR184" s="172"/>
      <c r="JS184" s="172"/>
      <c r="JT184" s="172"/>
      <c r="JU184" s="172"/>
      <c r="JV184" s="172"/>
      <c r="JW184" s="172"/>
      <c r="JX184" s="172"/>
      <c r="JY184" s="172"/>
      <c r="JZ184" s="172"/>
      <c r="KA184" s="172"/>
      <c r="KB184" s="172"/>
      <c r="KC184" s="172"/>
      <c r="KD184" s="172"/>
      <c r="KE184" s="172"/>
      <c r="KF184" s="172"/>
      <c r="KG184" s="172"/>
      <c r="KH184" s="172"/>
      <c r="KI184" s="172"/>
      <c r="KJ184" s="172"/>
      <c r="KK184" s="172"/>
      <c r="KL184" s="172"/>
      <c r="KM184" s="172"/>
      <c r="KN184" s="172"/>
      <c r="KO184" s="172"/>
      <c r="KP184" s="172"/>
      <c r="KQ184" s="172"/>
      <c r="KR184" s="172"/>
      <c r="KS184" s="172"/>
      <c r="KT184" s="172"/>
      <c r="KU184" s="172"/>
      <c r="KV184" s="172"/>
      <c r="KW184" s="172"/>
      <c r="KX184" s="172"/>
      <c r="KY184" s="172"/>
      <c r="KZ184" s="172"/>
      <c r="LA184" s="172"/>
      <c r="LB184" s="172"/>
      <c r="LC184" s="172"/>
      <c r="LD184" s="172"/>
      <c r="LE184" s="172"/>
      <c r="LF184" s="172"/>
      <c r="LG184" s="172"/>
      <c r="LH184" s="172"/>
      <c r="LI184" s="172"/>
      <c r="LJ184" s="172"/>
      <c r="LK184" s="172"/>
      <c r="LL184" s="172"/>
      <c r="LM184" s="172"/>
      <c r="LN184" s="172"/>
      <c r="LO184" s="172"/>
      <c r="LP184" s="172"/>
      <c r="LQ184" s="172"/>
      <c r="LR184" s="172"/>
      <c r="LS184" s="172"/>
      <c r="LT184" s="172"/>
      <c r="LU184" s="172"/>
      <c r="LV184" s="172"/>
      <c r="LW184" s="172"/>
      <c r="LX184" s="172"/>
      <c r="LY184" s="172"/>
      <c r="LZ184" s="172"/>
      <c r="MA184" s="172"/>
      <c r="MB184" s="172"/>
      <c r="MC184" s="172"/>
      <c r="MD184" s="172"/>
      <c r="ME184" s="172"/>
      <c r="MF184" s="172"/>
      <c r="MG184" s="172"/>
      <c r="MH184" s="172"/>
      <c r="MI184" s="172"/>
      <c r="MJ184" s="172"/>
      <c r="MK184" s="172"/>
      <c r="ML184" s="172"/>
      <c r="MM184" s="172"/>
      <c r="MN184" s="172"/>
      <c r="MO184" s="172"/>
      <c r="MP184" s="172"/>
      <c r="MQ184" s="172"/>
      <c r="MR184" s="172"/>
      <c r="MS184" s="172"/>
      <c r="MT184" s="172"/>
      <c r="MU184" s="172"/>
      <c r="MV184" s="172"/>
      <c r="MW184" s="172"/>
      <c r="MX184" s="172"/>
      <c r="MY184" s="172"/>
      <c r="MZ184" s="172"/>
      <c r="NA184" s="172"/>
      <c r="NB184" s="172"/>
      <c r="NC184" s="172"/>
      <c r="ND184" s="172"/>
      <c r="NE184" s="172"/>
      <c r="NF184" s="172"/>
      <c r="NG184" s="172"/>
      <c r="NH184" s="172"/>
      <c r="NI184" s="172"/>
      <c r="NJ184" s="172"/>
      <c r="NK184" s="172"/>
      <c r="NL184" s="172"/>
      <c r="NM184" s="172"/>
      <c r="NN184" s="172"/>
      <c r="NO184" s="172"/>
      <c r="NP184" s="172"/>
      <c r="NQ184" s="172"/>
      <c r="NR184" s="172"/>
      <c r="NS184" s="172"/>
      <c r="NT184" s="172"/>
      <c r="NU184" s="172"/>
      <c r="NV184" s="172"/>
      <c r="NW184" s="172"/>
      <c r="NX184" s="172"/>
      <c r="NY184" s="172"/>
      <c r="NZ184" s="172"/>
      <c r="OA184" s="172"/>
      <c r="OB184" s="172"/>
      <c r="OC184" s="172"/>
      <c r="OD184" s="172"/>
      <c r="OE184" s="172"/>
      <c r="OF184" s="172"/>
      <c r="OG184" s="172"/>
      <c r="OH184" s="172"/>
      <c r="OI184" s="172"/>
      <c r="OJ184" s="172"/>
      <c r="OK184" s="172"/>
      <c r="OL184" s="172"/>
      <c r="OM184" s="172"/>
      <c r="ON184" s="172"/>
      <c r="OO184" s="172"/>
      <c r="OP184" s="172"/>
      <c r="OQ184" s="172"/>
      <c r="OR184" s="172"/>
      <c r="OS184" s="172"/>
      <c r="OT184" s="172"/>
      <c r="OU184" s="172"/>
      <c r="OV184" s="172"/>
      <c r="OW184" s="172"/>
      <c r="OX184" s="172"/>
      <c r="OY184" s="172"/>
      <c r="OZ184" s="172"/>
      <c r="PA184" s="172"/>
      <c r="PB184" s="172"/>
      <c r="PC184" s="172"/>
      <c r="PD184" s="172"/>
      <c r="PE184" s="172"/>
      <c r="PF184" s="172"/>
      <c r="PG184" s="172"/>
      <c r="PH184" s="172"/>
      <c r="PI184" s="172"/>
      <c r="PJ184" s="172"/>
      <c r="PK184" s="172"/>
      <c r="PL184" s="172"/>
      <c r="PM184" s="172"/>
      <c r="PN184" s="172"/>
      <c r="PO184" s="172"/>
      <c r="PP184" s="172"/>
      <c r="PQ184" s="172"/>
      <c r="PR184" s="172"/>
      <c r="PS184" s="172"/>
      <c r="PT184" s="172"/>
      <c r="PU184" s="172"/>
      <c r="PV184" s="172"/>
      <c r="PW184" s="172"/>
      <c r="PX184" s="172"/>
      <c r="PY184" s="172"/>
      <c r="PZ184" s="172"/>
      <c r="QA184" s="172"/>
      <c r="QB184" s="172"/>
      <c r="QC184" s="172"/>
      <c r="QD184" s="172"/>
      <c r="QE184" s="172"/>
      <c r="QF184" s="172"/>
      <c r="QG184" s="172"/>
      <c r="QH184" s="172"/>
      <c r="QI184" s="172"/>
      <c r="QJ184" s="172"/>
      <c r="QK184" s="172"/>
      <c r="QL184" s="172"/>
      <c r="QM184" s="172"/>
      <c r="QN184" s="172"/>
      <c r="QO184" s="172"/>
      <c r="QP184" s="172"/>
      <c r="QQ184" s="172"/>
      <c r="QR184" s="172"/>
      <c r="QS184" s="172"/>
      <c r="QT184" s="172"/>
      <c r="QU184" s="172"/>
      <c r="QV184" s="172"/>
      <c r="QW184" s="172"/>
      <c r="QX184" s="172"/>
      <c r="QY184" s="172"/>
      <c r="QZ184" s="172"/>
      <c r="RA184" s="172"/>
      <c r="RB184" s="172"/>
      <c r="RC184" s="172"/>
      <c r="RD184" s="172"/>
      <c r="RE184" s="172"/>
      <c r="RF184" s="172"/>
      <c r="RG184" s="172"/>
      <c r="RH184" s="172"/>
      <c r="RI184" s="172"/>
      <c r="RJ184" s="172"/>
      <c r="RK184" s="172"/>
      <c r="RL184" s="172"/>
      <c r="RM184" s="172"/>
      <c r="RN184" s="172"/>
      <c r="RO184" s="172"/>
      <c r="RP184" s="172"/>
      <c r="RQ184" s="172"/>
      <c r="RR184" s="172"/>
      <c r="RS184" s="172"/>
      <c r="RT184" s="172"/>
      <c r="RU184" s="172"/>
      <c r="RV184" s="172"/>
      <c r="RW184" s="172"/>
      <c r="RX184" s="172"/>
      <c r="RY184" s="172"/>
      <c r="RZ184" s="172"/>
      <c r="SA184" s="172"/>
      <c r="SB184" s="172"/>
      <c r="SC184" s="172"/>
      <c r="SD184" s="172"/>
      <c r="SE184" s="172"/>
      <c r="SF184" s="172"/>
      <c r="SG184" s="172"/>
      <c r="SH184" s="172"/>
      <c r="SI184" s="172"/>
      <c r="SJ184" s="172"/>
      <c r="SK184" s="172"/>
      <c r="SL184" s="172"/>
      <c r="SM184" s="172"/>
      <c r="SN184" s="172"/>
      <c r="SO184" s="172"/>
      <c r="SP184" s="172"/>
      <c r="SQ184" s="172"/>
      <c r="SR184" s="172"/>
      <c r="SS184" s="172"/>
      <c r="ST184" s="172"/>
      <c r="SU184" s="172"/>
      <c r="SV184" s="172"/>
      <c r="SW184" s="172"/>
      <c r="SX184" s="172"/>
      <c r="SY184" s="172"/>
      <c r="SZ184" s="172"/>
      <c r="TA184" s="172"/>
      <c r="TB184" s="172"/>
      <c r="TC184" s="172"/>
      <c r="TD184" s="172"/>
      <c r="TE184" s="172"/>
      <c r="TF184" s="172"/>
      <c r="TG184" s="172"/>
      <c r="TH184" s="172"/>
      <c r="TI184" s="172"/>
      <c r="TJ184" s="172"/>
      <c r="TK184" s="172"/>
      <c r="TL184" s="172"/>
      <c r="TM184" s="172"/>
      <c r="TN184" s="172"/>
      <c r="TO184" s="172"/>
      <c r="TP184" s="172"/>
      <c r="TQ184" s="172"/>
      <c r="TR184" s="172"/>
      <c r="TS184" s="172"/>
      <c r="TT184" s="172"/>
      <c r="TU184" s="172"/>
      <c r="TV184" s="172"/>
      <c r="TW184" s="172"/>
      <c r="TX184" s="172"/>
      <c r="TY184" s="172"/>
      <c r="TZ184" s="172"/>
      <c r="UA184" s="172"/>
      <c r="UB184" s="172"/>
      <c r="UC184" s="172"/>
      <c r="UD184" s="172"/>
      <c r="UE184" s="172"/>
      <c r="UF184" s="172"/>
      <c r="UG184" s="172"/>
      <c r="UH184" s="172"/>
      <c r="UI184" s="172"/>
      <c r="UJ184" s="172"/>
      <c r="UK184" s="172"/>
      <c r="UL184" s="172"/>
      <c r="UM184" s="172"/>
      <c r="UN184" s="172"/>
      <c r="UO184" s="172"/>
      <c r="UP184" s="172"/>
      <c r="UQ184" s="172"/>
      <c r="UR184" s="172"/>
      <c r="US184" s="172"/>
      <c r="UT184" s="172"/>
      <c r="UU184" s="172"/>
      <c r="UV184" s="172"/>
      <c r="UW184" s="172"/>
      <c r="UX184" s="172"/>
      <c r="UY184" s="172"/>
      <c r="UZ184" s="172"/>
      <c r="VA184" s="172"/>
      <c r="VB184" s="172"/>
      <c r="VC184" s="172"/>
      <c r="VD184" s="172"/>
      <c r="VE184" s="172"/>
      <c r="VF184" s="172"/>
      <c r="VG184" s="172"/>
      <c r="VH184" s="172"/>
      <c r="VI184" s="172"/>
      <c r="VJ184" s="172"/>
      <c r="VK184" s="172"/>
      <c r="VL184" s="172"/>
      <c r="VM184" s="172"/>
      <c r="VN184" s="172"/>
      <c r="VO184" s="172"/>
      <c r="VP184" s="172"/>
      <c r="VQ184" s="172"/>
      <c r="VR184" s="172"/>
      <c r="VS184" s="172"/>
      <c r="VT184" s="172"/>
      <c r="VU184" s="172"/>
      <c r="VV184" s="172"/>
      <c r="VW184" s="172"/>
      <c r="VX184" s="172"/>
      <c r="VY184" s="172"/>
      <c r="VZ184" s="172"/>
      <c r="WA184" s="172"/>
      <c r="WB184" s="172"/>
      <c r="WC184" s="172"/>
      <c r="WD184" s="172"/>
      <c r="WE184" s="172"/>
      <c r="WF184" s="172"/>
      <c r="WG184" s="172"/>
      <c r="WH184" s="172"/>
      <c r="WI184" s="172"/>
      <c r="WJ184" s="172"/>
      <c r="WK184" s="172"/>
      <c r="WL184" s="172"/>
      <c r="WM184" s="172"/>
      <c r="WN184" s="172"/>
      <c r="WO184" s="172"/>
      <c r="WP184" s="172"/>
      <c r="WQ184" s="172"/>
      <c r="WR184" s="172"/>
      <c r="WS184" s="172"/>
      <c r="WT184" s="172"/>
      <c r="WU184" s="172"/>
      <c r="WV184" s="172"/>
      <c r="WW184" s="172"/>
      <c r="WX184" s="172"/>
      <c r="WY184" s="172"/>
      <c r="WZ184" s="172"/>
      <c r="XA184" s="172"/>
      <c r="XB184" s="172"/>
      <c r="XC184" s="172"/>
      <c r="XD184" s="172"/>
      <c r="XE184" s="172"/>
      <c r="XF184" s="172"/>
      <c r="XG184" s="172"/>
      <c r="XH184" s="172"/>
      <c r="XI184" s="172"/>
      <c r="XJ184" s="172"/>
      <c r="XK184" s="172"/>
      <c r="XL184" s="172"/>
      <c r="XM184" s="172"/>
      <c r="XN184" s="172"/>
      <c r="XO184" s="172"/>
      <c r="XP184" s="172"/>
      <c r="XQ184" s="172"/>
      <c r="XR184" s="172"/>
      <c r="XS184" s="172"/>
      <c r="XT184" s="172"/>
      <c r="XU184" s="172"/>
      <c r="XV184" s="172"/>
      <c r="XW184" s="172"/>
      <c r="XX184" s="172"/>
      <c r="XY184" s="172"/>
      <c r="XZ184" s="172"/>
      <c r="YA184" s="172"/>
      <c r="YB184" s="172"/>
      <c r="YC184" s="172"/>
      <c r="YD184" s="172"/>
      <c r="YE184" s="172"/>
      <c r="YF184" s="172"/>
      <c r="YG184" s="172"/>
      <c r="YH184" s="172"/>
      <c r="YI184" s="172"/>
      <c r="YJ184" s="172"/>
      <c r="YK184" s="172"/>
      <c r="YL184" s="172"/>
      <c r="YM184" s="172"/>
      <c r="YN184" s="172"/>
      <c r="YO184" s="172"/>
      <c r="YP184" s="172"/>
      <c r="YQ184" s="172"/>
      <c r="YR184" s="172"/>
      <c r="YS184" s="172"/>
      <c r="YT184" s="172"/>
      <c r="YU184" s="172"/>
      <c r="YV184" s="172"/>
      <c r="YW184" s="172"/>
      <c r="YX184" s="172"/>
      <c r="YY184" s="172"/>
      <c r="YZ184" s="172"/>
      <c r="ZA184" s="172"/>
      <c r="ZB184" s="172"/>
      <c r="ZC184" s="172"/>
      <c r="ZD184" s="172"/>
      <c r="ZE184" s="172"/>
      <c r="ZF184" s="172"/>
      <c r="ZG184" s="172"/>
      <c r="ZH184" s="172"/>
      <c r="ZI184" s="172"/>
      <c r="ZJ184" s="172"/>
      <c r="ZK184" s="172"/>
      <c r="ZL184" s="172"/>
      <c r="ZM184" s="172"/>
      <c r="ZN184" s="172"/>
      <c r="ZO184" s="172"/>
      <c r="ZP184" s="172"/>
      <c r="ZQ184" s="172"/>
      <c r="ZR184" s="172"/>
      <c r="ZS184" s="172"/>
      <c r="ZT184" s="172"/>
      <c r="ZU184" s="172"/>
      <c r="ZV184" s="172"/>
      <c r="ZW184" s="172"/>
      <c r="ZX184" s="172"/>
      <c r="ZY184" s="172"/>
      <c r="ZZ184" s="172"/>
      <c r="AAA184" s="172"/>
      <c r="AAB184" s="172"/>
      <c r="AAC184" s="172"/>
      <c r="AAD184" s="172"/>
      <c r="AAE184" s="172"/>
      <c r="AAF184" s="172"/>
      <c r="AAG184" s="172"/>
      <c r="AAH184" s="172"/>
      <c r="AAI184" s="172"/>
      <c r="AAJ184" s="172"/>
      <c r="AAK184" s="172"/>
      <c r="AAL184" s="172"/>
      <c r="AAM184" s="172"/>
      <c r="AAN184" s="172"/>
      <c r="AAO184" s="172"/>
      <c r="AAP184" s="172"/>
      <c r="AAQ184" s="172"/>
      <c r="AAR184" s="172"/>
      <c r="AAS184" s="172"/>
      <c r="AAT184" s="172"/>
      <c r="AAU184" s="172"/>
      <c r="AAV184" s="172"/>
      <c r="AAW184" s="172"/>
      <c r="AAX184" s="172"/>
      <c r="AAY184" s="172"/>
      <c r="AAZ184" s="172"/>
      <c r="ABA184" s="172"/>
      <c r="ABB184" s="172"/>
      <c r="ABC184" s="172"/>
      <c r="ABD184" s="172"/>
      <c r="ABE184" s="172"/>
      <c r="ABF184" s="172"/>
      <c r="ABG184" s="172"/>
      <c r="ABH184" s="172"/>
      <c r="ABI184" s="172"/>
      <c r="ABJ184" s="172"/>
      <c r="ABK184" s="172"/>
      <c r="ABL184" s="172"/>
      <c r="ABM184" s="172"/>
      <c r="ABN184" s="172"/>
      <c r="ABO184" s="172"/>
      <c r="ABP184" s="172"/>
      <c r="ABQ184" s="172"/>
      <c r="ABR184" s="172"/>
      <c r="ABS184" s="172"/>
      <c r="ABT184" s="172"/>
      <c r="ABU184" s="172"/>
      <c r="ABV184" s="172"/>
      <c r="ABW184" s="172"/>
      <c r="ABX184" s="172"/>
      <c r="ABY184" s="172"/>
      <c r="ABZ184" s="172"/>
      <c r="ACA184" s="172"/>
      <c r="ACB184" s="172"/>
      <c r="ACC184" s="172"/>
      <c r="ACD184" s="172"/>
      <c r="ACE184" s="172"/>
      <c r="ACF184" s="172"/>
      <c r="ACG184" s="172"/>
      <c r="ACH184" s="172"/>
      <c r="ACI184" s="172"/>
      <c r="ACJ184" s="172"/>
      <c r="ACK184" s="172"/>
      <c r="ACL184" s="172"/>
      <c r="ACM184" s="172"/>
      <c r="ACN184" s="172"/>
      <c r="ACO184" s="172"/>
      <c r="ACP184" s="172"/>
      <c r="ACQ184" s="172"/>
      <c r="ACR184" s="172"/>
      <c r="ACS184" s="172"/>
      <c r="ACT184" s="172"/>
      <c r="ACU184" s="172"/>
      <c r="ACV184" s="172"/>
      <c r="ACW184" s="172"/>
      <c r="ACX184" s="172"/>
      <c r="ACY184" s="172"/>
      <c r="ACZ184" s="172"/>
      <c r="ADA184" s="172"/>
      <c r="ADB184" s="172"/>
      <c r="ADC184" s="172"/>
      <c r="ADD184" s="172"/>
      <c r="ADE184" s="172"/>
      <c r="ADF184" s="172"/>
      <c r="ADG184" s="172"/>
      <c r="ADH184" s="172"/>
      <c r="ADI184" s="172"/>
      <c r="ADJ184" s="172"/>
      <c r="ADK184" s="172"/>
      <c r="ADL184" s="172"/>
      <c r="ADM184" s="172"/>
      <c r="ADN184" s="172"/>
      <c r="ADO184" s="172"/>
      <c r="ADP184" s="172"/>
      <c r="ADQ184" s="172"/>
      <c r="ADR184" s="172"/>
      <c r="ADS184" s="172"/>
      <c r="ADT184" s="172"/>
      <c r="ADU184" s="172"/>
      <c r="ADV184" s="172"/>
      <c r="ADW184" s="172"/>
      <c r="ADX184" s="172"/>
      <c r="ADY184" s="172"/>
      <c r="ADZ184" s="172"/>
      <c r="AEA184" s="172"/>
      <c r="AEB184" s="172"/>
      <c r="AEC184" s="172"/>
      <c r="AED184" s="172"/>
      <c r="AEE184" s="172"/>
      <c r="AEF184" s="172"/>
      <c r="AEG184" s="172"/>
      <c r="AEH184" s="172"/>
      <c r="AEI184" s="172"/>
      <c r="AEJ184" s="172"/>
      <c r="AEK184" s="172"/>
      <c r="AEL184" s="172"/>
      <c r="AEM184" s="172"/>
      <c r="AEN184" s="172"/>
      <c r="AEO184" s="172"/>
      <c r="AEP184" s="172"/>
      <c r="AEQ184" s="172"/>
      <c r="AER184" s="172"/>
      <c r="AES184" s="172"/>
      <c r="AET184" s="172"/>
      <c r="AEU184" s="172"/>
      <c r="AEV184" s="172"/>
      <c r="AEW184" s="172"/>
      <c r="AEX184" s="172"/>
      <c r="AEY184" s="172"/>
      <c r="AEZ184" s="172"/>
      <c r="AFA184" s="172"/>
      <c r="AFB184" s="172"/>
      <c r="AFC184" s="172"/>
      <c r="AFD184" s="172"/>
      <c r="AFE184" s="172"/>
      <c r="AFF184" s="172"/>
      <c r="AFG184" s="172"/>
      <c r="AFH184" s="172"/>
      <c r="AFI184" s="172"/>
      <c r="AFJ184" s="172"/>
      <c r="AFK184" s="172"/>
      <c r="AFL184" s="172"/>
      <c r="AFM184" s="172"/>
      <c r="AFN184" s="172"/>
      <c r="AFO184" s="172"/>
      <c r="AFP184" s="172"/>
      <c r="AFQ184" s="172"/>
      <c r="AFR184" s="172"/>
      <c r="AFS184" s="172"/>
      <c r="AFT184" s="172"/>
      <c r="AFU184" s="172"/>
      <c r="AFV184" s="172"/>
      <c r="AFW184" s="172"/>
      <c r="AFX184" s="172"/>
      <c r="AFY184" s="172"/>
      <c r="AFZ184" s="172"/>
      <c r="AGA184" s="172"/>
      <c r="AGB184" s="172"/>
      <c r="AGC184" s="172"/>
      <c r="AGD184" s="172"/>
      <c r="AGE184" s="172"/>
      <c r="AGF184" s="172"/>
      <c r="AGG184" s="172"/>
      <c r="AGH184" s="172"/>
      <c r="AGI184" s="172"/>
      <c r="AGJ184" s="172"/>
      <c r="AGK184" s="172"/>
      <c r="AGL184" s="172"/>
      <c r="AGM184" s="172"/>
      <c r="AGN184" s="172"/>
      <c r="AGO184" s="172"/>
      <c r="AGP184" s="172"/>
      <c r="AGQ184" s="172"/>
      <c r="AGR184" s="172"/>
      <c r="AGS184" s="172"/>
      <c r="AGT184" s="172"/>
      <c r="AGU184" s="172"/>
      <c r="AGV184" s="172"/>
      <c r="AGW184" s="172"/>
      <c r="AGX184" s="172"/>
      <c r="AGY184" s="172"/>
      <c r="AGZ184" s="172"/>
      <c r="AHA184" s="172"/>
      <c r="AHB184" s="172"/>
      <c r="AHC184" s="172"/>
      <c r="AHD184" s="172"/>
      <c r="AHE184" s="172"/>
      <c r="AHF184" s="172"/>
      <c r="AHG184" s="172"/>
      <c r="AHH184" s="172"/>
      <c r="AHI184" s="172"/>
      <c r="AHJ184" s="172"/>
      <c r="AHK184" s="172"/>
      <c r="AHL184" s="172"/>
      <c r="AHM184" s="172"/>
      <c r="AHN184" s="172"/>
      <c r="AHO184" s="172"/>
      <c r="AHP184" s="172"/>
      <c r="AHQ184" s="172"/>
      <c r="AHR184" s="172"/>
      <c r="AHS184" s="172"/>
      <c r="AHT184" s="172"/>
      <c r="AHU184" s="172"/>
      <c r="AHV184" s="172"/>
      <c r="AHW184" s="172"/>
      <c r="AHX184" s="172"/>
      <c r="AHY184" s="172"/>
      <c r="AHZ184" s="172"/>
      <c r="AIA184" s="172"/>
      <c r="AIB184" s="172"/>
      <c r="AIC184" s="172"/>
      <c r="AID184" s="172"/>
      <c r="AIE184" s="172"/>
      <c r="AIF184" s="172"/>
      <c r="AIG184" s="172"/>
      <c r="AIH184" s="172"/>
      <c r="AII184" s="172"/>
      <c r="AIJ184" s="172"/>
      <c r="AIK184" s="172"/>
      <c r="AIL184" s="172"/>
      <c r="AIM184" s="172"/>
      <c r="AIN184" s="172"/>
      <c r="AIO184" s="172"/>
      <c r="AIP184" s="172"/>
      <c r="AIQ184" s="172"/>
      <c r="AIR184" s="172"/>
      <c r="AIS184" s="172"/>
      <c r="AIT184" s="172"/>
      <c r="AIU184" s="172"/>
      <c r="AIV184" s="172"/>
      <c r="AIW184" s="172"/>
      <c r="AIX184" s="172"/>
      <c r="AIY184" s="172"/>
      <c r="AIZ184" s="172"/>
      <c r="AJA184" s="172"/>
      <c r="AJB184" s="172"/>
      <c r="AJC184" s="172"/>
      <c r="AJD184" s="172"/>
      <c r="AJE184" s="172"/>
      <c r="AJF184" s="172"/>
      <c r="AJG184" s="172"/>
      <c r="AJH184" s="172"/>
      <c r="AJI184" s="172"/>
      <c r="AJJ184" s="172"/>
      <c r="AJK184" s="172"/>
      <c r="AJL184" s="172"/>
      <c r="AJM184" s="172"/>
      <c r="AJN184" s="172"/>
      <c r="AJO184" s="172"/>
      <c r="AJP184" s="172"/>
      <c r="AJQ184" s="172"/>
      <c r="AJR184" s="172"/>
      <c r="AJS184" s="172"/>
      <c r="AJT184" s="172"/>
      <c r="AJU184" s="172"/>
      <c r="AJV184" s="172"/>
      <c r="AJW184" s="172"/>
      <c r="AJX184" s="172"/>
      <c r="AJY184" s="172"/>
      <c r="AJZ184" s="172"/>
      <c r="AKA184" s="172"/>
      <c r="AKB184" s="172"/>
      <c r="AKC184" s="172"/>
      <c r="AKD184" s="172"/>
      <c r="AKE184" s="172"/>
      <c r="AKF184" s="172"/>
      <c r="AKG184" s="172"/>
      <c r="AKH184" s="172"/>
      <c r="AKI184" s="172"/>
      <c r="AKJ184" s="172"/>
      <c r="AKK184" s="172"/>
      <c r="AKL184" s="172"/>
      <c r="AKM184" s="172"/>
      <c r="AKN184" s="172"/>
      <c r="AKO184" s="172"/>
      <c r="AKP184" s="172"/>
      <c r="AKQ184" s="172"/>
      <c r="AKR184" s="172"/>
      <c r="AKS184" s="172"/>
      <c r="AKT184" s="172"/>
      <c r="AKU184" s="172"/>
      <c r="AKV184" s="172"/>
      <c r="AKW184" s="172"/>
      <c r="AKX184" s="172"/>
      <c r="AKY184" s="172"/>
      <c r="AKZ184" s="172"/>
      <c r="ALA184" s="172"/>
      <c r="ALB184" s="172"/>
      <c r="ALC184" s="172"/>
      <c r="ALD184" s="172"/>
      <c r="ALE184" s="172"/>
      <c r="ALF184" s="172"/>
      <c r="ALG184" s="172"/>
      <c r="ALH184" s="172"/>
      <c r="ALI184" s="172"/>
      <c r="ALJ184" s="172"/>
      <c r="ALK184" s="172"/>
      <c r="ALL184" s="172"/>
      <c r="ALM184" s="172"/>
      <c r="ALN184" s="172"/>
      <c r="ALO184" s="172"/>
      <c r="ALP184" s="172"/>
      <c r="ALQ184" s="172"/>
      <c r="ALR184" s="172"/>
      <c r="ALS184" s="172"/>
      <c r="ALT184" s="172"/>
      <c r="ALU184" s="172"/>
      <c r="ALV184" s="172"/>
      <c r="ALW184" s="172"/>
      <c r="ALX184" s="172"/>
      <c r="ALY184" s="172"/>
      <c r="ALZ184" s="172"/>
      <c r="AMA184" s="172"/>
      <c r="AMB184" s="172"/>
      <c r="AMC184" s="172"/>
      <c r="AMD184" s="172"/>
      <c r="AME184" s="172"/>
      <c r="AMF184" s="172"/>
      <c r="AMG184" s="172"/>
      <c r="AMH184" s="172"/>
      <c r="AMI184" s="172"/>
      <c r="AMJ184" s="172"/>
      <c r="AMK184" s="172"/>
      <c r="AML184" s="172"/>
      <c r="AMM184" s="172"/>
      <c r="AMN184" s="172"/>
      <c r="AMO184" s="172"/>
      <c r="AMP184" s="172"/>
      <c r="AMQ184" s="172"/>
      <c r="AMR184" s="172"/>
      <c r="AMS184" s="172"/>
      <c r="AMT184" s="172"/>
      <c r="AMU184" s="172"/>
      <c r="AMV184" s="172"/>
      <c r="AMW184" s="172"/>
      <c r="AMX184" s="172"/>
      <c r="AMY184" s="172"/>
      <c r="AMZ184" s="172"/>
      <c r="ANA184" s="172"/>
      <c r="ANB184" s="172"/>
      <c r="ANC184" s="172"/>
      <c r="AND184" s="172"/>
      <c r="ANE184" s="172"/>
      <c r="ANF184" s="172"/>
      <c r="ANG184" s="172"/>
      <c r="ANH184" s="172"/>
      <c r="ANI184" s="172"/>
      <c r="ANJ184" s="172"/>
      <c r="ANK184" s="172"/>
      <c r="ANL184" s="172"/>
      <c r="ANM184" s="172"/>
      <c r="ANN184" s="172"/>
      <c r="ANO184" s="172"/>
      <c r="ANP184" s="172"/>
      <c r="ANQ184" s="172"/>
      <c r="ANR184" s="172"/>
      <c r="ANS184" s="172"/>
      <c r="ANT184" s="172"/>
      <c r="ANU184" s="172"/>
      <c r="ANV184" s="172"/>
      <c r="ANW184" s="172"/>
      <c r="ANX184" s="172"/>
      <c r="ANY184" s="172"/>
      <c r="ANZ184" s="172"/>
      <c r="AOA184" s="172"/>
      <c r="AOB184" s="172"/>
      <c r="AOC184" s="172"/>
      <c r="AOD184" s="172"/>
      <c r="AOE184" s="172"/>
      <c r="AOF184" s="172"/>
      <c r="AOG184" s="172"/>
      <c r="AOH184" s="172"/>
      <c r="AOI184" s="172"/>
      <c r="AOJ184" s="172"/>
      <c r="AOK184" s="172"/>
      <c r="AOL184" s="172"/>
      <c r="AOM184" s="172"/>
      <c r="AON184" s="172"/>
      <c r="AOO184" s="172"/>
      <c r="AOP184" s="172"/>
      <c r="AOQ184" s="172"/>
      <c r="AOR184" s="172"/>
      <c r="AOS184" s="172"/>
      <c r="AOT184" s="172"/>
      <c r="AOU184" s="172"/>
      <c r="AOV184" s="172"/>
      <c r="AOW184" s="172"/>
      <c r="AOX184" s="172"/>
      <c r="AOY184" s="172"/>
      <c r="AOZ184" s="172"/>
      <c r="APA184" s="172"/>
      <c r="APB184" s="172"/>
      <c r="APC184" s="172"/>
      <c r="APD184" s="172"/>
      <c r="APE184" s="172"/>
      <c r="APF184" s="172"/>
      <c r="APG184" s="172"/>
      <c r="APH184" s="172"/>
      <c r="API184" s="172"/>
      <c r="APJ184" s="172"/>
      <c r="APK184" s="172"/>
      <c r="APL184" s="172"/>
      <c r="APM184" s="172"/>
      <c r="APN184" s="172"/>
      <c r="APO184" s="172"/>
      <c r="APP184" s="172"/>
      <c r="APQ184" s="172"/>
      <c r="APR184" s="172"/>
      <c r="APS184" s="172"/>
      <c r="APT184" s="172"/>
      <c r="APU184" s="172"/>
      <c r="APV184" s="172"/>
      <c r="APW184" s="172"/>
      <c r="APX184" s="172"/>
      <c r="APY184" s="172"/>
      <c r="APZ184" s="172"/>
      <c r="AQA184" s="172"/>
      <c r="AQB184" s="172"/>
      <c r="AQC184" s="172"/>
      <c r="AQD184" s="172"/>
      <c r="AQE184" s="172"/>
      <c r="AQF184" s="172"/>
      <c r="AQG184" s="172"/>
      <c r="AQH184" s="172"/>
      <c r="AQI184" s="172"/>
      <c r="AQJ184" s="172"/>
      <c r="AQK184" s="172"/>
      <c r="AQL184" s="172"/>
      <c r="AQM184" s="172"/>
      <c r="AQN184" s="172"/>
      <c r="AQO184" s="172"/>
      <c r="AQP184" s="172"/>
      <c r="AQQ184" s="172"/>
      <c r="AQR184" s="172"/>
      <c r="AQS184" s="172"/>
      <c r="AQT184" s="172"/>
      <c r="AQU184" s="172"/>
      <c r="AQV184" s="172"/>
      <c r="AQW184" s="172"/>
      <c r="AQX184" s="172"/>
      <c r="AQY184" s="172"/>
      <c r="AQZ184" s="172"/>
      <c r="ARA184" s="172"/>
      <c r="ARB184" s="172"/>
      <c r="ARC184" s="172"/>
      <c r="ARD184" s="172"/>
      <c r="ARE184" s="172"/>
      <c r="ARF184" s="172"/>
      <c r="ARG184" s="172"/>
      <c r="ARH184" s="172"/>
      <c r="ARI184" s="172"/>
      <c r="ARJ184" s="172"/>
      <c r="ARK184" s="172"/>
      <c r="ARL184" s="172"/>
      <c r="ARM184" s="172"/>
      <c r="ARN184" s="172"/>
      <c r="ARO184" s="172"/>
      <c r="ARP184" s="172"/>
      <c r="ARQ184" s="172"/>
      <c r="ARR184" s="172"/>
      <c r="ARS184" s="172"/>
      <c r="ART184" s="172"/>
      <c r="ARU184" s="172"/>
    </row>
    <row r="185" spans="1:1165" s="257" customFormat="1">
      <c r="A185" s="1524" t="s">
        <v>413</v>
      </c>
      <c r="B185" s="1511" t="s">
        <v>87</v>
      </c>
      <c r="C185" s="1489">
        <v>0</v>
      </c>
      <c r="D185" s="1489">
        <v>0</v>
      </c>
      <c r="E185" s="1489">
        <v>0</v>
      </c>
      <c r="F185" s="1489">
        <v>0</v>
      </c>
      <c r="G185" s="1489">
        <v>0</v>
      </c>
      <c r="H185" s="1489">
        <v>0</v>
      </c>
      <c r="I185" s="1489">
        <v>0</v>
      </c>
      <c r="J185" s="1489">
        <v>0</v>
      </c>
      <c r="K185" s="1516">
        <v>0</v>
      </c>
      <c r="L185" s="1516">
        <v>0</v>
      </c>
      <c r="M185" s="1516">
        <v>0</v>
      </c>
      <c r="N185" s="1516">
        <v>0</v>
      </c>
      <c r="O185" s="1516">
        <v>0</v>
      </c>
      <c r="P185" s="1516">
        <v>0</v>
      </c>
      <c r="Q185" s="1516">
        <v>0</v>
      </c>
      <c r="R185" s="1516">
        <v>0</v>
      </c>
      <c r="S185" s="1516">
        <v>0</v>
      </c>
      <c r="T185" s="1516">
        <v>0</v>
      </c>
      <c r="U185" s="1516">
        <v>0</v>
      </c>
      <c r="V185" s="1516">
        <v>0</v>
      </c>
      <c r="W185" s="1516">
        <v>0</v>
      </c>
      <c r="X185" s="1516">
        <v>0</v>
      </c>
      <c r="Y185" s="1516">
        <v>0</v>
      </c>
      <c r="Z185" s="1516">
        <v>0</v>
      </c>
      <c r="AA185" s="1516">
        <v>0</v>
      </c>
      <c r="AB185" s="1516">
        <v>0</v>
      </c>
      <c r="AC185" s="1516">
        <v>0</v>
      </c>
      <c r="AD185" s="1516">
        <v>0</v>
      </c>
      <c r="AE185" s="1516">
        <v>0</v>
      </c>
      <c r="AF185" s="1516">
        <v>0</v>
      </c>
      <c r="AG185" s="1516">
        <v>0</v>
      </c>
      <c r="AH185" s="1516">
        <v>0</v>
      </c>
      <c r="AI185" s="1516">
        <v>14139</v>
      </c>
      <c r="AJ185" s="1516">
        <v>3442453</v>
      </c>
      <c r="AK185" s="1516">
        <v>150835</v>
      </c>
      <c r="AL185" s="1516">
        <v>36929761</v>
      </c>
      <c r="AM185" s="1525">
        <v>253817</v>
      </c>
      <c r="AN185" s="1525">
        <v>73825137</v>
      </c>
      <c r="AO185" s="1516">
        <v>263815</v>
      </c>
      <c r="AP185" s="1516">
        <v>55870605</v>
      </c>
      <c r="AQ185" s="1516">
        <v>260443</v>
      </c>
      <c r="AR185" s="1516">
        <v>81771642.760000005</v>
      </c>
      <c r="AS185" s="1516">
        <v>364533</v>
      </c>
      <c r="AT185" s="1516">
        <v>183355542</v>
      </c>
      <c r="AU185" s="1517">
        <v>385834</v>
      </c>
      <c r="AV185" s="1517">
        <v>185081893</v>
      </c>
      <c r="AW185" s="1489">
        <v>357413</v>
      </c>
      <c r="AX185" s="1489">
        <v>165884336</v>
      </c>
      <c r="AY185" s="1489">
        <v>319970</v>
      </c>
      <c r="AZ185" s="1489">
        <v>142721362</v>
      </c>
      <c r="BA185" s="1486"/>
      <c r="BB185" s="1489"/>
      <c r="BC185" s="1489"/>
      <c r="BD185" s="1489"/>
      <c r="BE185" s="1489"/>
      <c r="BF185" s="1489"/>
      <c r="BG185" s="1489"/>
      <c r="BH185" s="1489"/>
      <c r="BI185" s="1526"/>
      <c r="BJ185" s="1512">
        <f t="shared" si="75"/>
        <v>2370799</v>
      </c>
      <c r="BK185" s="1514">
        <f t="shared" si="76"/>
        <v>928882731.75999999</v>
      </c>
      <c r="BL185" s="172"/>
      <c r="BM185" s="231"/>
      <c r="BN185" s="172"/>
      <c r="BO185" s="172"/>
      <c r="BP185" s="231"/>
      <c r="BQ185" s="172"/>
      <c r="BR185" s="172"/>
      <c r="BS185" s="172"/>
      <c r="BT185" s="172"/>
      <c r="BU185" s="172"/>
      <c r="BV185" s="172"/>
      <c r="BW185" s="172"/>
      <c r="BX185" s="172"/>
      <c r="BY185" s="172"/>
      <c r="BZ185" s="172"/>
      <c r="CA185" s="172"/>
      <c r="CB185" s="172"/>
      <c r="CC185" s="172"/>
      <c r="CD185" s="172"/>
      <c r="CE185" s="172"/>
      <c r="CF185" s="172"/>
      <c r="CG185" s="172"/>
      <c r="CH185" s="172"/>
      <c r="CI185" s="172"/>
      <c r="CJ185" s="172"/>
      <c r="CK185" s="172"/>
      <c r="CL185" s="172"/>
      <c r="CM185" s="172"/>
      <c r="CN185" s="172"/>
      <c r="CO185" s="172"/>
      <c r="CP185" s="172"/>
      <c r="CQ185" s="172"/>
      <c r="CR185" s="172"/>
      <c r="CS185" s="172"/>
      <c r="CT185" s="172"/>
      <c r="CU185" s="172"/>
      <c r="CV185" s="172"/>
      <c r="CW185" s="172"/>
      <c r="CX185" s="172"/>
      <c r="CY185" s="172"/>
      <c r="CZ185" s="172"/>
      <c r="DA185" s="172"/>
      <c r="DB185" s="172"/>
      <c r="DC185" s="172"/>
      <c r="DD185" s="172"/>
      <c r="DE185" s="172"/>
      <c r="DF185" s="172"/>
      <c r="DG185" s="172"/>
      <c r="DH185" s="172"/>
      <c r="DI185" s="172"/>
      <c r="DJ185" s="172"/>
      <c r="DK185" s="172"/>
      <c r="DL185" s="172"/>
      <c r="DM185" s="172"/>
      <c r="DN185" s="172"/>
      <c r="DO185" s="172"/>
      <c r="DP185" s="172"/>
      <c r="DQ185" s="172"/>
      <c r="DR185" s="172"/>
      <c r="DS185" s="172"/>
      <c r="DT185" s="172"/>
      <c r="DU185" s="172"/>
      <c r="DV185" s="172"/>
      <c r="DW185" s="172"/>
      <c r="DX185" s="172"/>
      <c r="DY185" s="172"/>
      <c r="DZ185" s="172"/>
      <c r="EA185" s="172"/>
      <c r="EB185" s="172"/>
      <c r="EC185" s="172"/>
      <c r="ED185" s="172"/>
      <c r="EE185" s="172"/>
      <c r="EF185" s="172"/>
      <c r="EG185" s="172"/>
      <c r="EH185" s="172"/>
      <c r="EI185" s="172"/>
      <c r="EJ185" s="172"/>
      <c r="EK185" s="172"/>
      <c r="EL185" s="172"/>
      <c r="EM185" s="172"/>
      <c r="EN185" s="172"/>
      <c r="EO185" s="172"/>
      <c r="EP185" s="172"/>
      <c r="EQ185" s="172"/>
      <c r="ER185" s="172"/>
      <c r="ES185" s="172"/>
      <c r="ET185" s="172"/>
      <c r="EU185" s="172"/>
      <c r="EV185" s="172"/>
      <c r="EW185" s="172"/>
      <c r="EX185" s="172"/>
      <c r="EY185" s="172"/>
      <c r="EZ185" s="172"/>
      <c r="FA185" s="172"/>
      <c r="FB185" s="172"/>
      <c r="FC185" s="172"/>
      <c r="FD185" s="172"/>
      <c r="FE185" s="172"/>
      <c r="FF185" s="172"/>
      <c r="FG185" s="172"/>
      <c r="FH185" s="172"/>
      <c r="FI185" s="172"/>
      <c r="FJ185" s="172"/>
      <c r="FK185" s="172"/>
      <c r="FL185" s="172"/>
      <c r="FM185" s="172"/>
      <c r="FN185" s="172"/>
      <c r="FO185" s="172"/>
      <c r="FP185" s="172"/>
      <c r="FQ185" s="172"/>
      <c r="FR185" s="172"/>
      <c r="FS185" s="172"/>
      <c r="FT185" s="172"/>
      <c r="FU185" s="172"/>
      <c r="FV185" s="172"/>
      <c r="FW185" s="172"/>
      <c r="FX185" s="172"/>
      <c r="FY185" s="172"/>
      <c r="FZ185" s="172"/>
      <c r="GA185" s="172"/>
      <c r="GB185" s="172"/>
      <c r="GC185" s="172"/>
      <c r="GD185" s="172"/>
      <c r="GE185" s="172"/>
      <c r="GF185" s="172"/>
      <c r="GG185" s="172"/>
      <c r="GH185" s="172"/>
      <c r="GI185" s="172"/>
      <c r="GJ185" s="172"/>
      <c r="GK185" s="172"/>
      <c r="GL185" s="172"/>
      <c r="GM185" s="172"/>
      <c r="GN185" s="172"/>
      <c r="GO185" s="172"/>
      <c r="GP185" s="172"/>
      <c r="GQ185" s="172"/>
      <c r="GR185" s="172"/>
      <c r="GS185" s="172"/>
      <c r="GT185" s="172"/>
      <c r="GU185" s="172"/>
      <c r="GV185" s="172"/>
      <c r="GW185" s="172"/>
      <c r="GX185" s="172"/>
      <c r="GY185" s="172"/>
      <c r="GZ185" s="172"/>
      <c r="HA185" s="172"/>
      <c r="HB185" s="172"/>
      <c r="HC185" s="172"/>
      <c r="HD185" s="172"/>
      <c r="HE185" s="172"/>
      <c r="HF185" s="172"/>
      <c r="HG185" s="172"/>
      <c r="HH185" s="172"/>
      <c r="HI185" s="172"/>
      <c r="HJ185" s="172"/>
      <c r="HK185" s="172"/>
      <c r="HL185" s="172"/>
      <c r="HM185" s="172"/>
      <c r="HN185" s="172"/>
      <c r="HO185" s="172"/>
      <c r="HP185" s="172"/>
      <c r="HQ185" s="172"/>
      <c r="HR185" s="172"/>
      <c r="HS185" s="172"/>
      <c r="HT185" s="172"/>
      <c r="HU185" s="172"/>
      <c r="HV185" s="172"/>
      <c r="HW185" s="172"/>
      <c r="HX185" s="172"/>
      <c r="HY185" s="172"/>
      <c r="HZ185" s="172"/>
      <c r="IA185" s="172"/>
      <c r="IB185" s="172"/>
      <c r="IC185" s="172"/>
      <c r="ID185" s="172"/>
      <c r="IE185" s="172"/>
      <c r="IF185" s="172"/>
      <c r="IG185" s="172"/>
      <c r="IH185" s="172"/>
      <c r="II185" s="172"/>
      <c r="IJ185" s="172"/>
      <c r="IK185" s="172"/>
      <c r="IL185" s="172"/>
      <c r="IM185" s="172"/>
      <c r="IN185" s="172"/>
      <c r="IO185" s="172"/>
      <c r="IP185" s="172"/>
      <c r="IQ185" s="172"/>
      <c r="IR185" s="172"/>
      <c r="IS185" s="172"/>
      <c r="IT185" s="172"/>
      <c r="IU185" s="172"/>
      <c r="IV185" s="172"/>
      <c r="IW185" s="172"/>
      <c r="IX185" s="172"/>
      <c r="IY185" s="172"/>
      <c r="IZ185" s="172"/>
      <c r="JA185" s="172"/>
      <c r="JB185" s="172"/>
      <c r="JC185" s="172"/>
      <c r="JD185" s="172"/>
      <c r="JE185" s="172"/>
      <c r="JF185" s="172"/>
      <c r="JG185" s="172"/>
      <c r="JH185" s="172"/>
      <c r="JI185" s="172"/>
      <c r="JJ185" s="172"/>
      <c r="JK185" s="172"/>
      <c r="JL185" s="172"/>
      <c r="JM185" s="172"/>
      <c r="JN185" s="172"/>
      <c r="JO185" s="172"/>
      <c r="JP185" s="172"/>
      <c r="JQ185" s="172"/>
      <c r="JR185" s="172"/>
      <c r="JS185" s="172"/>
      <c r="JT185" s="172"/>
      <c r="JU185" s="172"/>
      <c r="JV185" s="172"/>
      <c r="JW185" s="172"/>
      <c r="JX185" s="172"/>
      <c r="JY185" s="172"/>
      <c r="JZ185" s="172"/>
      <c r="KA185" s="172"/>
      <c r="KB185" s="172"/>
      <c r="KC185" s="172"/>
      <c r="KD185" s="172"/>
      <c r="KE185" s="172"/>
      <c r="KF185" s="172"/>
      <c r="KG185" s="172"/>
      <c r="KH185" s="172"/>
      <c r="KI185" s="172"/>
      <c r="KJ185" s="172"/>
      <c r="KK185" s="172"/>
      <c r="KL185" s="172"/>
      <c r="KM185" s="172"/>
      <c r="KN185" s="172"/>
      <c r="KO185" s="172"/>
      <c r="KP185" s="172"/>
      <c r="KQ185" s="172"/>
      <c r="KR185" s="172"/>
      <c r="KS185" s="172"/>
      <c r="KT185" s="172"/>
      <c r="KU185" s="172"/>
      <c r="KV185" s="172"/>
      <c r="KW185" s="172"/>
      <c r="KX185" s="172"/>
      <c r="KY185" s="172"/>
      <c r="KZ185" s="172"/>
      <c r="LA185" s="172"/>
      <c r="LB185" s="172"/>
      <c r="LC185" s="172"/>
      <c r="LD185" s="172"/>
      <c r="LE185" s="172"/>
      <c r="LF185" s="172"/>
      <c r="LG185" s="172"/>
      <c r="LH185" s="172"/>
      <c r="LI185" s="172"/>
      <c r="LJ185" s="172"/>
      <c r="LK185" s="172"/>
      <c r="LL185" s="172"/>
      <c r="LM185" s="172"/>
      <c r="LN185" s="172"/>
      <c r="LO185" s="172"/>
      <c r="LP185" s="172"/>
      <c r="LQ185" s="172"/>
      <c r="LR185" s="172"/>
      <c r="LS185" s="172"/>
      <c r="LT185" s="172"/>
      <c r="LU185" s="172"/>
      <c r="LV185" s="172"/>
      <c r="LW185" s="172"/>
      <c r="LX185" s="172"/>
      <c r="LY185" s="172"/>
      <c r="LZ185" s="172"/>
      <c r="MA185" s="172"/>
      <c r="MB185" s="172"/>
      <c r="MC185" s="172"/>
      <c r="MD185" s="172"/>
      <c r="ME185" s="172"/>
      <c r="MF185" s="172"/>
      <c r="MG185" s="172"/>
      <c r="MH185" s="172"/>
      <c r="MI185" s="172"/>
      <c r="MJ185" s="172"/>
      <c r="MK185" s="172"/>
      <c r="ML185" s="172"/>
      <c r="MM185" s="172"/>
      <c r="MN185" s="172"/>
      <c r="MO185" s="172"/>
      <c r="MP185" s="172"/>
      <c r="MQ185" s="172"/>
      <c r="MR185" s="172"/>
      <c r="MS185" s="172"/>
      <c r="MT185" s="172"/>
      <c r="MU185" s="172"/>
      <c r="MV185" s="172"/>
      <c r="MW185" s="172"/>
      <c r="MX185" s="172"/>
      <c r="MY185" s="172"/>
      <c r="MZ185" s="172"/>
      <c r="NA185" s="172"/>
      <c r="NB185" s="172"/>
      <c r="NC185" s="172"/>
      <c r="ND185" s="172"/>
      <c r="NE185" s="172"/>
      <c r="NF185" s="172"/>
      <c r="NG185" s="172"/>
      <c r="NH185" s="172"/>
      <c r="NI185" s="172"/>
      <c r="NJ185" s="172"/>
      <c r="NK185" s="172"/>
      <c r="NL185" s="172"/>
      <c r="NM185" s="172"/>
      <c r="NN185" s="172"/>
      <c r="NO185" s="172"/>
      <c r="NP185" s="172"/>
      <c r="NQ185" s="172"/>
      <c r="NR185" s="172"/>
      <c r="NS185" s="172"/>
      <c r="NT185" s="172"/>
      <c r="NU185" s="172"/>
      <c r="NV185" s="172"/>
      <c r="NW185" s="172"/>
      <c r="NX185" s="172"/>
      <c r="NY185" s="172"/>
      <c r="NZ185" s="172"/>
      <c r="OA185" s="172"/>
      <c r="OB185" s="172"/>
      <c r="OC185" s="172"/>
      <c r="OD185" s="172"/>
      <c r="OE185" s="172"/>
      <c r="OF185" s="172"/>
      <c r="OG185" s="172"/>
      <c r="OH185" s="172"/>
      <c r="OI185" s="172"/>
      <c r="OJ185" s="172"/>
      <c r="OK185" s="172"/>
      <c r="OL185" s="172"/>
      <c r="OM185" s="172"/>
      <c r="ON185" s="172"/>
      <c r="OO185" s="172"/>
      <c r="OP185" s="172"/>
      <c r="OQ185" s="172"/>
      <c r="OR185" s="172"/>
      <c r="OS185" s="172"/>
      <c r="OT185" s="172"/>
      <c r="OU185" s="172"/>
      <c r="OV185" s="172"/>
      <c r="OW185" s="172"/>
      <c r="OX185" s="172"/>
      <c r="OY185" s="172"/>
      <c r="OZ185" s="172"/>
      <c r="PA185" s="172"/>
      <c r="PB185" s="172"/>
      <c r="PC185" s="172"/>
      <c r="PD185" s="172"/>
      <c r="PE185" s="172"/>
      <c r="PF185" s="172"/>
      <c r="PG185" s="172"/>
      <c r="PH185" s="172"/>
      <c r="PI185" s="172"/>
      <c r="PJ185" s="172"/>
      <c r="PK185" s="172"/>
      <c r="PL185" s="172"/>
      <c r="PM185" s="172"/>
      <c r="PN185" s="172"/>
      <c r="PO185" s="172"/>
      <c r="PP185" s="172"/>
      <c r="PQ185" s="172"/>
      <c r="PR185" s="172"/>
      <c r="PS185" s="172"/>
      <c r="PT185" s="172"/>
      <c r="PU185" s="172"/>
      <c r="PV185" s="172"/>
      <c r="PW185" s="172"/>
      <c r="PX185" s="172"/>
      <c r="PY185" s="172"/>
      <c r="PZ185" s="172"/>
      <c r="QA185" s="172"/>
      <c r="QB185" s="172"/>
      <c r="QC185" s="172"/>
      <c r="QD185" s="172"/>
      <c r="QE185" s="172"/>
      <c r="QF185" s="172"/>
      <c r="QG185" s="172"/>
      <c r="QH185" s="172"/>
      <c r="QI185" s="172"/>
      <c r="QJ185" s="172"/>
      <c r="QK185" s="172"/>
      <c r="QL185" s="172"/>
      <c r="QM185" s="172"/>
      <c r="QN185" s="172"/>
      <c r="QO185" s="172"/>
      <c r="QP185" s="172"/>
      <c r="QQ185" s="172"/>
      <c r="QR185" s="172"/>
      <c r="QS185" s="172"/>
      <c r="QT185" s="172"/>
      <c r="QU185" s="172"/>
      <c r="QV185" s="172"/>
      <c r="QW185" s="172"/>
      <c r="QX185" s="172"/>
      <c r="QY185" s="172"/>
      <c r="QZ185" s="172"/>
      <c r="RA185" s="172"/>
      <c r="RB185" s="172"/>
      <c r="RC185" s="172"/>
      <c r="RD185" s="172"/>
      <c r="RE185" s="172"/>
      <c r="RF185" s="172"/>
      <c r="RG185" s="172"/>
      <c r="RH185" s="172"/>
      <c r="RI185" s="172"/>
      <c r="RJ185" s="172"/>
      <c r="RK185" s="172"/>
      <c r="RL185" s="172"/>
      <c r="RM185" s="172"/>
      <c r="RN185" s="172"/>
      <c r="RO185" s="172"/>
      <c r="RP185" s="172"/>
      <c r="RQ185" s="172"/>
      <c r="RR185" s="172"/>
      <c r="RS185" s="172"/>
      <c r="RT185" s="172"/>
      <c r="RU185" s="172"/>
      <c r="RV185" s="172"/>
      <c r="RW185" s="172"/>
      <c r="RX185" s="172"/>
      <c r="RY185" s="172"/>
      <c r="RZ185" s="172"/>
      <c r="SA185" s="172"/>
      <c r="SB185" s="172"/>
      <c r="SC185" s="172"/>
      <c r="SD185" s="172"/>
      <c r="SE185" s="172"/>
      <c r="SF185" s="172"/>
      <c r="SG185" s="172"/>
      <c r="SH185" s="172"/>
      <c r="SI185" s="172"/>
      <c r="SJ185" s="172"/>
      <c r="SK185" s="172"/>
      <c r="SL185" s="172"/>
      <c r="SM185" s="172"/>
      <c r="SN185" s="172"/>
      <c r="SO185" s="172"/>
      <c r="SP185" s="172"/>
      <c r="SQ185" s="172"/>
      <c r="SR185" s="172"/>
      <c r="SS185" s="172"/>
      <c r="ST185" s="172"/>
      <c r="SU185" s="172"/>
      <c r="SV185" s="172"/>
      <c r="SW185" s="172"/>
      <c r="SX185" s="172"/>
      <c r="SY185" s="172"/>
      <c r="SZ185" s="172"/>
      <c r="TA185" s="172"/>
      <c r="TB185" s="172"/>
      <c r="TC185" s="172"/>
      <c r="TD185" s="172"/>
      <c r="TE185" s="172"/>
      <c r="TF185" s="172"/>
      <c r="TG185" s="172"/>
      <c r="TH185" s="172"/>
      <c r="TI185" s="172"/>
      <c r="TJ185" s="172"/>
      <c r="TK185" s="172"/>
      <c r="TL185" s="172"/>
      <c r="TM185" s="172"/>
      <c r="TN185" s="172"/>
      <c r="TO185" s="172"/>
      <c r="TP185" s="172"/>
      <c r="TQ185" s="172"/>
      <c r="TR185" s="172"/>
      <c r="TS185" s="172"/>
      <c r="TT185" s="172"/>
      <c r="TU185" s="172"/>
      <c r="TV185" s="172"/>
      <c r="TW185" s="172"/>
      <c r="TX185" s="172"/>
      <c r="TY185" s="172"/>
      <c r="TZ185" s="172"/>
      <c r="UA185" s="172"/>
      <c r="UB185" s="172"/>
      <c r="UC185" s="172"/>
      <c r="UD185" s="172"/>
      <c r="UE185" s="172"/>
      <c r="UF185" s="172"/>
      <c r="UG185" s="172"/>
      <c r="UH185" s="172"/>
      <c r="UI185" s="172"/>
      <c r="UJ185" s="172"/>
      <c r="UK185" s="172"/>
      <c r="UL185" s="172"/>
      <c r="UM185" s="172"/>
      <c r="UN185" s="172"/>
      <c r="UO185" s="172"/>
      <c r="UP185" s="172"/>
      <c r="UQ185" s="172"/>
      <c r="UR185" s="172"/>
      <c r="US185" s="172"/>
      <c r="UT185" s="172"/>
      <c r="UU185" s="172"/>
      <c r="UV185" s="172"/>
      <c r="UW185" s="172"/>
      <c r="UX185" s="172"/>
      <c r="UY185" s="172"/>
      <c r="UZ185" s="172"/>
      <c r="VA185" s="172"/>
      <c r="VB185" s="172"/>
      <c r="VC185" s="172"/>
      <c r="VD185" s="172"/>
      <c r="VE185" s="172"/>
      <c r="VF185" s="172"/>
      <c r="VG185" s="172"/>
      <c r="VH185" s="172"/>
      <c r="VI185" s="172"/>
      <c r="VJ185" s="172"/>
      <c r="VK185" s="172"/>
      <c r="VL185" s="172"/>
      <c r="VM185" s="172"/>
      <c r="VN185" s="172"/>
      <c r="VO185" s="172"/>
      <c r="VP185" s="172"/>
      <c r="VQ185" s="172"/>
      <c r="VR185" s="172"/>
      <c r="VS185" s="172"/>
      <c r="VT185" s="172"/>
      <c r="VU185" s="172"/>
      <c r="VV185" s="172"/>
      <c r="VW185" s="172"/>
      <c r="VX185" s="172"/>
      <c r="VY185" s="172"/>
      <c r="VZ185" s="172"/>
      <c r="WA185" s="172"/>
      <c r="WB185" s="172"/>
      <c r="WC185" s="172"/>
      <c r="WD185" s="172"/>
      <c r="WE185" s="172"/>
      <c r="WF185" s="172"/>
      <c r="WG185" s="172"/>
      <c r="WH185" s="172"/>
      <c r="WI185" s="172"/>
      <c r="WJ185" s="172"/>
      <c r="WK185" s="172"/>
      <c r="WL185" s="172"/>
      <c r="WM185" s="172"/>
      <c r="WN185" s="172"/>
      <c r="WO185" s="172"/>
      <c r="WP185" s="172"/>
      <c r="WQ185" s="172"/>
      <c r="WR185" s="172"/>
      <c r="WS185" s="172"/>
      <c r="WT185" s="172"/>
      <c r="WU185" s="172"/>
      <c r="WV185" s="172"/>
      <c r="WW185" s="172"/>
      <c r="WX185" s="172"/>
      <c r="WY185" s="172"/>
      <c r="WZ185" s="172"/>
      <c r="XA185" s="172"/>
      <c r="XB185" s="172"/>
      <c r="XC185" s="172"/>
      <c r="XD185" s="172"/>
      <c r="XE185" s="172"/>
      <c r="XF185" s="172"/>
      <c r="XG185" s="172"/>
      <c r="XH185" s="172"/>
      <c r="XI185" s="172"/>
      <c r="XJ185" s="172"/>
      <c r="XK185" s="172"/>
      <c r="XL185" s="172"/>
      <c r="XM185" s="172"/>
      <c r="XN185" s="172"/>
      <c r="XO185" s="172"/>
      <c r="XP185" s="172"/>
      <c r="XQ185" s="172"/>
      <c r="XR185" s="172"/>
      <c r="XS185" s="172"/>
      <c r="XT185" s="172"/>
      <c r="XU185" s="172"/>
      <c r="XV185" s="172"/>
      <c r="XW185" s="172"/>
      <c r="XX185" s="172"/>
      <c r="XY185" s="172"/>
      <c r="XZ185" s="172"/>
      <c r="YA185" s="172"/>
      <c r="YB185" s="172"/>
      <c r="YC185" s="172"/>
      <c r="YD185" s="172"/>
      <c r="YE185" s="172"/>
      <c r="YF185" s="172"/>
      <c r="YG185" s="172"/>
      <c r="YH185" s="172"/>
      <c r="YI185" s="172"/>
      <c r="YJ185" s="172"/>
      <c r="YK185" s="172"/>
      <c r="YL185" s="172"/>
      <c r="YM185" s="172"/>
      <c r="YN185" s="172"/>
      <c r="YO185" s="172"/>
      <c r="YP185" s="172"/>
      <c r="YQ185" s="172"/>
      <c r="YR185" s="172"/>
      <c r="YS185" s="172"/>
      <c r="YT185" s="172"/>
      <c r="YU185" s="172"/>
      <c r="YV185" s="172"/>
      <c r="YW185" s="172"/>
      <c r="YX185" s="172"/>
      <c r="YY185" s="172"/>
      <c r="YZ185" s="172"/>
      <c r="ZA185" s="172"/>
      <c r="ZB185" s="172"/>
      <c r="ZC185" s="172"/>
      <c r="ZD185" s="172"/>
      <c r="ZE185" s="172"/>
      <c r="ZF185" s="172"/>
      <c r="ZG185" s="172"/>
      <c r="ZH185" s="172"/>
      <c r="ZI185" s="172"/>
      <c r="ZJ185" s="172"/>
      <c r="ZK185" s="172"/>
      <c r="ZL185" s="172"/>
      <c r="ZM185" s="172"/>
      <c r="ZN185" s="172"/>
      <c r="ZO185" s="172"/>
      <c r="ZP185" s="172"/>
      <c r="ZQ185" s="172"/>
      <c r="ZR185" s="172"/>
      <c r="ZS185" s="172"/>
      <c r="ZT185" s="172"/>
      <c r="ZU185" s="172"/>
      <c r="ZV185" s="172"/>
      <c r="ZW185" s="172"/>
      <c r="ZX185" s="172"/>
      <c r="ZY185" s="172"/>
      <c r="ZZ185" s="172"/>
      <c r="AAA185" s="172"/>
      <c r="AAB185" s="172"/>
      <c r="AAC185" s="172"/>
      <c r="AAD185" s="172"/>
      <c r="AAE185" s="172"/>
      <c r="AAF185" s="172"/>
      <c r="AAG185" s="172"/>
      <c r="AAH185" s="172"/>
      <c r="AAI185" s="172"/>
      <c r="AAJ185" s="172"/>
      <c r="AAK185" s="172"/>
      <c r="AAL185" s="172"/>
      <c r="AAM185" s="172"/>
      <c r="AAN185" s="172"/>
      <c r="AAO185" s="172"/>
      <c r="AAP185" s="172"/>
      <c r="AAQ185" s="172"/>
      <c r="AAR185" s="172"/>
      <c r="AAS185" s="172"/>
      <c r="AAT185" s="172"/>
      <c r="AAU185" s="172"/>
      <c r="AAV185" s="172"/>
      <c r="AAW185" s="172"/>
      <c r="AAX185" s="172"/>
      <c r="AAY185" s="172"/>
      <c r="AAZ185" s="172"/>
      <c r="ABA185" s="172"/>
      <c r="ABB185" s="172"/>
      <c r="ABC185" s="172"/>
      <c r="ABD185" s="172"/>
      <c r="ABE185" s="172"/>
      <c r="ABF185" s="172"/>
      <c r="ABG185" s="172"/>
      <c r="ABH185" s="172"/>
      <c r="ABI185" s="172"/>
      <c r="ABJ185" s="172"/>
      <c r="ABK185" s="172"/>
      <c r="ABL185" s="172"/>
      <c r="ABM185" s="172"/>
      <c r="ABN185" s="172"/>
      <c r="ABO185" s="172"/>
      <c r="ABP185" s="172"/>
      <c r="ABQ185" s="172"/>
      <c r="ABR185" s="172"/>
      <c r="ABS185" s="172"/>
      <c r="ABT185" s="172"/>
      <c r="ABU185" s="172"/>
      <c r="ABV185" s="172"/>
      <c r="ABW185" s="172"/>
      <c r="ABX185" s="172"/>
      <c r="ABY185" s="172"/>
      <c r="ABZ185" s="172"/>
      <c r="ACA185" s="172"/>
      <c r="ACB185" s="172"/>
      <c r="ACC185" s="172"/>
      <c r="ACD185" s="172"/>
      <c r="ACE185" s="172"/>
      <c r="ACF185" s="172"/>
      <c r="ACG185" s="172"/>
      <c r="ACH185" s="172"/>
      <c r="ACI185" s="172"/>
      <c r="ACJ185" s="172"/>
      <c r="ACK185" s="172"/>
      <c r="ACL185" s="172"/>
      <c r="ACM185" s="172"/>
      <c r="ACN185" s="172"/>
      <c r="ACO185" s="172"/>
      <c r="ACP185" s="172"/>
      <c r="ACQ185" s="172"/>
      <c r="ACR185" s="172"/>
      <c r="ACS185" s="172"/>
      <c r="ACT185" s="172"/>
      <c r="ACU185" s="172"/>
      <c r="ACV185" s="172"/>
      <c r="ACW185" s="172"/>
      <c r="ACX185" s="172"/>
      <c r="ACY185" s="172"/>
      <c r="ACZ185" s="172"/>
      <c r="ADA185" s="172"/>
      <c r="ADB185" s="172"/>
      <c r="ADC185" s="172"/>
      <c r="ADD185" s="172"/>
      <c r="ADE185" s="172"/>
      <c r="ADF185" s="172"/>
      <c r="ADG185" s="172"/>
      <c r="ADH185" s="172"/>
      <c r="ADI185" s="172"/>
      <c r="ADJ185" s="172"/>
      <c r="ADK185" s="172"/>
      <c r="ADL185" s="172"/>
      <c r="ADM185" s="172"/>
      <c r="ADN185" s="172"/>
      <c r="ADO185" s="172"/>
      <c r="ADP185" s="172"/>
      <c r="ADQ185" s="172"/>
      <c r="ADR185" s="172"/>
      <c r="ADS185" s="172"/>
      <c r="ADT185" s="172"/>
      <c r="ADU185" s="172"/>
      <c r="ADV185" s="172"/>
      <c r="ADW185" s="172"/>
      <c r="ADX185" s="172"/>
      <c r="ADY185" s="172"/>
      <c r="ADZ185" s="172"/>
      <c r="AEA185" s="172"/>
      <c r="AEB185" s="172"/>
      <c r="AEC185" s="172"/>
      <c r="AED185" s="172"/>
      <c r="AEE185" s="172"/>
      <c r="AEF185" s="172"/>
      <c r="AEG185" s="172"/>
      <c r="AEH185" s="172"/>
      <c r="AEI185" s="172"/>
      <c r="AEJ185" s="172"/>
      <c r="AEK185" s="172"/>
      <c r="AEL185" s="172"/>
      <c r="AEM185" s="172"/>
      <c r="AEN185" s="172"/>
      <c r="AEO185" s="172"/>
      <c r="AEP185" s="172"/>
      <c r="AEQ185" s="172"/>
      <c r="AER185" s="172"/>
      <c r="AES185" s="172"/>
      <c r="AET185" s="172"/>
      <c r="AEU185" s="172"/>
      <c r="AEV185" s="172"/>
      <c r="AEW185" s="172"/>
      <c r="AEX185" s="172"/>
      <c r="AEY185" s="172"/>
      <c r="AEZ185" s="172"/>
      <c r="AFA185" s="172"/>
      <c r="AFB185" s="172"/>
      <c r="AFC185" s="172"/>
      <c r="AFD185" s="172"/>
      <c r="AFE185" s="172"/>
      <c r="AFF185" s="172"/>
      <c r="AFG185" s="172"/>
      <c r="AFH185" s="172"/>
      <c r="AFI185" s="172"/>
      <c r="AFJ185" s="172"/>
      <c r="AFK185" s="172"/>
      <c r="AFL185" s="172"/>
      <c r="AFM185" s="172"/>
      <c r="AFN185" s="172"/>
      <c r="AFO185" s="172"/>
      <c r="AFP185" s="172"/>
      <c r="AFQ185" s="172"/>
      <c r="AFR185" s="172"/>
      <c r="AFS185" s="172"/>
      <c r="AFT185" s="172"/>
      <c r="AFU185" s="172"/>
      <c r="AFV185" s="172"/>
      <c r="AFW185" s="172"/>
      <c r="AFX185" s="172"/>
      <c r="AFY185" s="172"/>
      <c r="AFZ185" s="172"/>
      <c r="AGA185" s="172"/>
      <c r="AGB185" s="172"/>
      <c r="AGC185" s="172"/>
      <c r="AGD185" s="172"/>
      <c r="AGE185" s="172"/>
      <c r="AGF185" s="172"/>
      <c r="AGG185" s="172"/>
      <c r="AGH185" s="172"/>
      <c r="AGI185" s="172"/>
      <c r="AGJ185" s="172"/>
      <c r="AGK185" s="172"/>
      <c r="AGL185" s="172"/>
      <c r="AGM185" s="172"/>
      <c r="AGN185" s="172"/>
      <c r="AGO185" s="172"/>
      <c r="AGP185" s="172"/>
      <c r="AGQ185" s="172"/>
      <c r="AGR185" s="172"/>
      <c r="AGS185" s="172"/>
      <c r="AGT185" s="172"/>
      <c r="AGU185" s="172"/>
      <c r="AGV185" s="172"/>
      <c r="AGW185" s="172"/>
      <c r="AGX185" s="172"/>
      <c r="AGY185" s="172"/>
      <c r="AGZ185" s="172"/>
      <c r="AHA185" s="172"/>
      <c r="AHB185" s="172"/>
      <c r="AHC185" s="172"/>
      <c r="AHD185" s="172"/>
      <c r="AHE185" s="172"/>
      <c r="AHF185" s="172"/>
      <c r="AHG185" s="172"/>
      <c r="AHH185" s="172"/>
      <c r="AHI185" s="172"/>
      <c r="AHJ185" s="172"/>
      <c r="AHK185" s="172"/>
      <c r="AHL185" s="172"/>
      <c r="AHM185" s="172"/>
      <c r="AHN185" s="172"/>
      <c r="AHO185" s="172"/>
      <c r="AHP185" s="172"/>
      <c r="AHQ185" s="172"/>
      <c r="AHR185" s="172"/>
      <c r="AHS185" s="172"/>
      <c r="AHT185" s="172"/>
      <c r="AHU185" s="172"/>
      <c r="AHV185" s="172"/>
      <c r="AHW185" s="172"/>
      <c r="AHX185" s="172"/>
      <c r="AHY185" s="172"/>
      <c r="AHZ185" s="172"/>
      <c r="AIA185" s="172"/>
      <c r="AIB185" s="172"/>
      <c r="AIC185" s="172"/>
      <c r="AID185" s="172"/>
      <c r="AIE185" s="172"/>
      <c r="AIF185" s="172"/>
      <c r="AIG185" s="172"/>
      <c r="AIH185" s="172"/>
      <c r="AII185" s="172"/>
      <c r="AIJ185" s="172"/>
      <c r="AIK185" s="172"/>
      <c r="AIL185" s="172"/>
      <c r="AIM185" s="172"/>
      <c r="AIN185" s="172"/>
      <c r="AIO185" s="172"/>
      <c r="AIP185" s="172"/>
      <c r="AIQ185" s="172"/>
      <c r="AIR185" s="172"/>
      <c r="AIS185" s="172"/>
      <c r="AIT185" s="172"/>
      <c r="AIU185" s="172"/>
      <c r="AIV185" s="172"/>
      <c r="AIW185" s="172"/>
      <c r="AIX185" s="172"/>
      <c r="AIY185" s="172"/>
      <c r="AIZ185" s="172"/>
      <c r="AJA185" s="172"/>
      <c r="AJB185" s="172"/>
      <c r="AJC185" s="172"/>
      <c r="AJD185" s="172"/>
      <c r="AJE185" s="172"/>
      <c r="AJF185" s="172"/>
      <c r="AJG185" s="172"/>
      <c r="AJH185" s="172"/>
      <c r="AJI185" s="172"/>
      <c r="AJJ185" s="172"/>
      <c r="AJK185" s="172"/>
      <c r="AJL185" s="172"/>
      <c r="AJM185" s="172"/>
      <c r="AJN185" s="172"/>
      <c r="AJO185" s="172"/>
      <c r="AJP185" s="172"/>
      <c r="AJQ185" s="172"/>
      <c r="AJR185" s="172"/>
      <c r="AJS185" s="172"/>
      <c r="AJT185" s="172"/>
      <c r="AJU185" s="172"/>
      <c r="AJV185" s="172"/>
      <c r="AJW185" s="172"/>
      <c r="AJX185" s="172"/>
      <c r="AJY185" s="172"/>
      <c r="AJZ185" s="172"/>
      <c r="AKA185" s="172"/>
      <c r="AKB185" s="172"/>
      <c r="AKC185" s="172"/>
      <c r="AKD185" s="172"/>
      <c r="AKE185" s="172"/>
      <c r="AKF185" s="172"/>
      <c r="AKG185" s="172"/>
      <c r="AKH185" s="172"/>
      <c r="AKI185" s="172"/>
      <c r="AKJ185" s="172"/>
      <c r="AKK185" s="172"/>
      <c r="AKL185" s="172"/>
      <c r="AKM185" s="172"/>
      <c r="AKN185" s="172"/>
      <c r="AKO185" s="172"/>
      <c r="AKP185" s="172"/>
      <c r="AKQ185" s="172"/>
      <c r="AKR185" s="172"/>
      <c r="AKS185" s="172"/>
      <c r="AKT185" s="172"/>
      <c r="AKU185" s="172"/>
      <c r="AKV185" s="172"/>
      <c r="AKW185" s="172"/>
      <c r="AKX185" s="172"/>
      <c r="AKY185" s="172"/>
      <c r="AKZ185" s="172"/>
      <c r="ALA185" s="172"/>
      <c r="ALB185" s="172"/>
      <c r="ALC185" s="172"/>
      <c r="ALD185" s="172"/>
      <c r="ALE185" s="172"/>
      <c r="ALF185" s="172"/>
      <c r="ALG185" s="172"/>
      <c r="ALH185" s="172"/>
      <c r="ALI185" s="172"/>
      <c r="ALJ185" s="172"/>
      <c r="ALK185" s="172"/>
      <c r="ALL185" s="172"/>
      <c r="ALM185" s="172"/>
      <c r="ALN185" s="172"/>
      <c r="ALO185" s="172"/>
      <c r="ALP185" s="172"/>
      <c r="ALQ185" s="172"/>
      <c r="ALR185" s="172"/>
      <c r="ALS185" s="172"/>
      <c r="ALT185" s="172"/>
      <c r="ALU185" s="172"/>
      <c r="ALV185" s="172"/>
      <c r="ALW185" s="172"/>
      <c r="ALX185" s="172"/>
      <c r="ALY185" s="172"/>
      <c r="ALZ185" s="172"/>
      <c r="AMA185" s="172"/>
      <c r="AMB185" s="172"/>
      <c r="AMC185" s="172"/>
      <c r="AMD185" s="172"/>
      <c r="AME185" s="172"/>
      <c r="AMF185" s="172"/>
      <c r="AMG185" s="172"/>
      <c r="AMH185" s="172"/>
      <c r="AMI185" s="172"/>
      <c r="AMJ185" s="172"/>
      <c r="AMK185" s="172"/>
      <c r="AML185" s="172"/>
      <c r="AMM185" s="172"/>
      <c r="AMN185" s="172"/>
      <c r="AMO185" s="172"/>
      <c r="AMP185" s="172"/>
      <c r="AMQ185" s="172"/>
      <c r="AMR185" s="172"/>
      <c r="AMS185" s="172"/>
      <c r="AMT185" s="172"/>
      <c r="AMU185" s="172"/>
      <c r="AMV185" s="172"/>
      <c r="AMW185" s="172"/>
      <c r="AMX185" s="172"/>
      <c r="AMY185" s="172"/>
      <c r="AMZ185" s="172"/>
      <c r="ANA185" s="172"/>
      <c r="ANB185" s="172"/>
      <c r="ANC185" s="172"/>
      <c r="AND185" s="172"/>
      <c r="ANE185" s="172"/>
      <c r="ANF185" s="172"/>
      <c r="ANG185" s="172"/>
      <c r="ANH185" s="172"/>
      <c r="ANI185" s="172"/>
      <c r="ANJ185" s="172"/>
      <c r="ANK185" s="172"/>
      <c r="ANL185" s="172"/>
      <c r="ANM185" s="172"/>
      <c r="ANN185" s="172"/>
      <c r="ANO185" s="172"/>
      <c r="ANP185" s="172"/>
      <c r="ANQ185" s="172"/>
      <c r="ANR185" s="172"/>
      <c r="ANS185" s="172"/>
      <c r="ANT185" s="172"/>
      <c r="ANU185" s="172"/>
      <c r="ANV185" s="172"/>
      <c r="ANW185" s="172"/>
      <c r="ANX185" s="172"/>
      <c r="ANY185" s="172"/>
      <c r="ANZ185" s="172"/>
      <c r="AOA185" s="172"/>
      <c r="AOB185" s="172"/>
      <c r="AOC185" s="172"/>
      <c r="AOD185" s="172"/>
      <c r="AOE185" s="172"/>
      <c r="AOF185" s="172"/>
      <c r="AOG185" s="172"/>
      <c r="AOH185" s="172"/>
      <c r="AOI185" s="172"/>
      <c r="AOJ185" s="172"/>
      <c r="AOK185" s="172"/>
      <c r="AOL185" s="172"/>
      <c r="AOM185" s="172"/>
      <c r="AON185" s="172"/>
      <c r="AOO185" s="172"/>
      <c r="AOP185" s="172"/>
      <c r="AOQ185" s="172"/>
      <c r="AOR185" s="172"/>
      <c r="AOS185" s="172"/>
      <c r="AOT185" s="172"/>
      <c r="AOU185" s="172"/>
      <c r="AOV185" s="172"/>
      <c r="AOW185" s="172"/>
      <c r="AOX185" s="172"/>
      <c r="AOY185" s="172"/>
      <c r="AOZ185" s="172"/>
      <c r="APA185" s="172"/>
      <c r="APB185" s="172"/>
      <c r="APC185" s="172"/>
      <c r="APD185" s="172"/>
      <c r="APE185" s="172"/>
      <c r="APF185" s="172"/>
      <c r="APG185" s="172"/>
      <c r="APH185" s="172"/>
      <c r="API185" s="172"/>
      <c r="APJ185" s="172"/>
      <c r="APK185" s="172"/>
      <c r="APL185" s="172"/>
      <c r="APM185" s="172"/>
      <c r="APN185" s="172"/>
      <c r="APO185" s="172"/>
      <c r="APP185" s="172"/>
      <c r="APQ185" s="172"/>
      <c r="APR185" s="172"/>
      <c r="APS185" s="172"/>
      <c r="APT185" s="172"/>
      <c r="APU185" s="172"/>
      <c r="APV185" s="172"/>
      <c r="APW185" s="172"/>
      <c r="APX185" s="172"/>
      <c r="APY185" s="172"/>
      <c r="APZ185" s="172"/>
      <c r="AQA185" s="172"/>
      <c r="AQB185" s="172"/>
      <c r="AQC185" s="172"/>
      <c r="AQD185" s="172"/>
      <c r="AQE185" s="172"/>
      <c r="AQF185" s="172"/>
      <c r="AQG185" s="172"/>
      <c r="AQH185" s="172"/>
      <c r="AQI185" s="172"/>
      <c r="AQJ185" s="172"/>
      <c r="AQK185" s="172"/>
      <c r="AQL185" s="172"/>
      <c r="AQM185" s="172"/>
      <c r="AQN185" s="172"/>
      <c r="AQO185" s="172"/>
      <c r="AQP185" s="172"/>
      <c r="AQQ185" s="172"/>
      <c r="AQR185" s="172"/>
      <c r="AQS185" s="172"/>
      <c r="AQT185" s="172"/>
      <c r="AQU185" s="172"/>
      <c r="AQV185" s="172"/>
      <c r="AQW185" s="172"/>
      <c r="AQX185" s="172"/>
      <c r="AQY185" s="172"/>
      <c r="AQZ185" s="172"/>
      <c r="ARA185" s="172"/>
      <c r="ARB185" s="172"/>
      <c r="ARC185" s="172"/>
      <c r="ARD185" s="172"/>
      <c r="ARE185" s="172"/>
      <c r="ARF185" s="172"/>
      <c r="ARG185" s="172"/>
      <c r="ARH185" s="172"/>
      <c r="ARI185" s="172"/>
      <c r="ARJ185" s="172"/>
      <c r="ARK185" s="172"/>
      <c r="ARL185" s="172"/>
      <c r="ARM185" s="172"/>
      <c r="ARN185" s="172"/>
      <c r="ARO185" s="172"/>
      <c r="ARP185" s="172"/>
      <c r="ARQ185" s="172"/>
      <c r="ARR185" s="172"/>
      <c r="ARS185" s="172"/>
      <c r="ART185" s="172"/>
      <c r="ARU185" s="172"/>
    </row>
    <row r="186" spans="1:1165" s="257" customFormat="1" ht="17.25">
      <c r="A186" s="1524" t="s">
        <v>124</v>
      </c>
      <c r="B186" s="1527" t="s">
        <v>423</v>
      </c>
      <c r="C186" s="1528">
        <v>7324642</v>
      </c>
      <c r="D186" s="1528">
        <v>104169646</v>
      </c>
      <c r="E186" s="1528">
        <v>859688</v>
      </c>
      <c r="F186" s="1528">
        <v>25494035</v>
      </c>
      <c r="G186" s="1528">
        <v>831929</v>
      </c>
      <c r="H186" s="1528">
        <v>28927638</v>
      </c>
      <c r="I186" s="1528">
        <v>881154</v>
      </c>
      <c r="J186" s="1528">
        <v>36018694</v>
      </c>
      <c r="K186" s="1528">
        <v>1052738</v>
      </c>
      <c r="L186" s="1528">
        <v>54528779</v>
      </c>
      <c r="M186" s="1528">
        <v>1332156</v>
      </c>
      <c r="N186" s="1528">
        <v>99538071</v>
      </c>
      <c r="O186" s="1528">
        <v>2226409</v>
      </c>
      <c r="P186" s="1528">
        <v>229954622</v>
      </c>
      <c r="Q186" s="1528">
        <v>2974410</v>
      </c>
      <c r="R186" s="1528">
        <v>264200592</v>
      </c>
      <c r="S186" s="1528">
        <v>3453947</v>
      </c>
      <c r="T186" s="1528">
        <v>325888999</v>
      </c>
      <c r="U186" s="1516">
        <v>3653278</v>
      </c>
      <c r="V186" s="1516">
        <v>301429132</v>
      </c>
      <c r="W186" s="1489">
        <v>3742658</v>
      </c>
      <c r="X186" s="1489">
        <v>321733867</v>
      </c>
      <c r="Y186" s="1512">
        <v>3698843</v>
      </c>
      <c r="Z186" s="1512">
        <v>366425052</v>
      </c>
      <c r="AA186" s="1517">
        <v>3738455</v>
      </c>
      <c r="AB186" s="1517">
        <v>372203226</v>
      </c>
      <c r="AC186" s="1512">
        <v>3776068</v>
      </c>
      <c r="AD186" s="1512">
        <v>368955578</v>
      </c>
      <c r="AE186" s="1517">
        <v>4210825</v>
      </c>
      <c r="AF186" s="1517">
        <v>422956897</v>
      </c>
      <c r="AG186" s="1516">
        <v>4915310</v>
      </c>
      <c r="AH186" s="1516">
        <v>441964508</v>
      </c>
      <c r="AI186" s="1516">
        <v>5827413</v>
      </c>
      <c r="AJ186" s="1516">
        <v>421922592</v>
      </c>
      <c r="AK186" s="1516">
        <v>6624510</v>
      </c>
      <c r="AL186" s="1516">
        <v>494681365</v>
      </c>
      <c r="AM186" s="1525">
        <v>7331730</v>
      </c>
      <c r="AN186" s="1525">
        <v>571510515.80999994</v>
      </c>
      <c r="AO186" s="1516">
        <v>6328179</v>
      </c>
      <c r="AP186" s="1516">
        <v>527964048</v>
      </c>
      <c r="AQ186" s="1516">
        <v>6600274.6600000001</v>
      </c>
      <c r="AR186" s="1516">
        <v>569333370.60000002</v>
      </c>
      <c r="AS186" s="1516">
        <v>6929520</v>
      </c>
      <c r="AT186" s="1516">
        <v>607642506.55303144</v>
      </c>
      <c r="AU186" s="1517">
        <v>7741021</v>
      </c>
      <c r="AV186" s="1517">
        <v>646370704.71992362</v>
      </c>
      <c r="AW186" s="1489">
        <v>7851893</v>
      </c>
      <c r="AX186" s="1489">
        <v>659905719</v>
      </c>
      <c r="AY186" s="1489">
        <v>8112617</v>
      </c>
      <c r="AZ186" s="1489">
        <v>690454885</v>
      </c>
      <c r="BA186" s="1486"/>
      <c r="BB186" s="1489"/>
      <c r="BC186" s="1526"/>
      <c r="BD186" s="1489"/>
      <c r="BE186" s="1526"/>
      <c r="BF186" s="1489"/>
      <c r="BG186" s="1489"/>
      <c r="BH186" s="1489"/>
      <c r="BI186" s="1526"/>
      <c r="BJ186" s="1512">
        <f t="shared" si="75"/>
        <v>111159979.66</v>
      </c>
      <c r="BK186" s="1514">
        <f t="shared" si="76"/>
        <v>8928681007.6829567</v>
      </c>
      <c r="BL186" s="172"/>
      <c r="BM186" s="231"/>
      <c r="BN186" s="231"/>
      <c r="BO186" s="172"/>
      <c r="BP186" s="231"/>
      <c r="BQ186" s="172"/>
      <c r="BR186" s="172"/>
      <c r="BS186" s="13"/>
      <c r="BT186" s="172"/>
      <c r="BU186" s="172"/>
      <c r="BV186" s="172"/>
      <c r="BW186" s="172"/>
      <c r="BX186" s="172"/>
      <c r="BY186" s="172"/>
      <c r="BZ186" s="172"/>
      <c r="CA186" s="172"/>
      <c r="CB186" s="172"/>
      <c r="CC186" s="172"/>
      <c r="CD186" s="172"/>
      <c r="CE186" s="172"/>
      <c r="CF186" s="172"/>
      <c r="CG186" s="172"/>
      <c r="CH186" s="172"/>
      <c r="CI186" s="172"/>
      <c r="CJ186" s="172"/>
      <c r="CK186" s="172"/>
      <c r="CL186" s="172"/>
      <c r="CM186" s="172"/>
      <c r="CN186" s="172"/>
      <c r="CO186" s="172"/>
      <c r="CP186" s="172"/>
      <c r="CQ186" s="172"/>
      <c r="CR186" s="172"/>
      <c r="CS186" s="172"/>
      <c r="CT186" s="172"/>
      <c r="CU186" s="172"/>
      <c r="CV186" s="172"/>
      <c r="CW186" s="172"/>
      <c r="CX186" s="172"/>
      <c r="CY186" s="172"/>
      <c r="CZ186" s="172"/>
      <c r="DA186" s="172"/>
      <c r="DB186" s="172"/>
      <c r="DC186" s="172"/>
      <c r="DD186" s="172"/>
      <c r="DE186" s="172"/>
      <c r="DF186" s="172"/>
      <c r="DG186" s="172"/>
      <c r="DH186" s="172"/>
      <c r="DI186" s="172"/>
      <c r="DJ186" s="172"/>
      <c r="DK186" s="172"/>
      <c r="DL186" s="172"/>
      <c r="DM186" s="172"/>
      <c r="DN186" s="172"/>
      <c r="DO186" s="172"/>
      <c r="DP186" s="172"/>
      <c r="DQ186" s="172"/>
      <c r="DR186" s="172"/>
      <c r="DS186" s="172"/>
      <c r="DT186" s="172"/>
      <c r="DU186" s="172"/>
      <c r="DV186" s="172"/>
      <c r="DW186" s="172"/>
      <c r="DX186" s="172"/>
      <c r="DY186" s="172"/>
      <c r="DZ186" s="172"/>
      <c r="EA186" s="172"/>
      <c r="EB186" s="172"/>
      <c r="EC186" s="172"/>
      <c r="ED186" s="172"/>
      <c r="EE186" s="172"/>
      <c r="EF186" s="172"/>
      <c r="EG186" s="172"/>
      <c r="EH186" s="172"/>
      <c r="EI186" s="172"/>
      <c r="EJ186" s="172"/>
      <c r="EK186" s="172"/>
      <c r="EL186" s="172"/>
      <c r="EM186" s="172"/>
      <c r="EN186" s="172"/>
      <c r="EO186" s="172"/>
      <c r="EP186" s="172"/>
      <c r="EQ186" s="172"/>
      <c r="ER186" s="172"/>
      <c r="ES186" s="172"/>
      <c r="ET186" s="172"/>
      <c r="EU186" s="172"/>
      <c r="EV186" s="172"/>
      <c r="EW186" s="172"/>
      <c r="EX186" s="172"/>
      <c r="EY186" s="172"/>
      <c r="EZ186" s="172"/>
      <c r="FA186" s="172"/>
      <c r="FB186" s="172"/>
      <c r="FC186" s="172"/>
      <c r="FD186" s="172"/>
      <c r="FE186" s="172"/>
      <c r="FF186" s="172"/>
      <c r="FG186" s="172"/>
      <c r="FH186" s="172"/>
      <c r="FI186" s="172"/>
      <c r="FJ186" s="172"/>
      <c r="FK186" s="172"/>
      <c r="FL186" s="172"/>
      <c r="FM186" s="172"/>
      <c r="FN186" s="172"/>
      <c r="FO186" s="172"/>
      <c r="FP186" s="172"/>
      <c r="FQ186" s="172"/>
      <c r="FR186" s="172"/>
      <c r="FS186" s="172"/>
      <c r="FT186" s="172"/>
      <c r="FU186" s="172"/>
      <c r="FV186" s="172"/>
      <c r="FW186" s="172"/>
      <c r="FX186" s="172"/>
      <c r="FY186" s="172"/>
      <c r="FZ186" s="172"/>
      <c r="GA186" s="172"/>
      <c r="GB186" s="172"/>
      <c r="GC186" s="172"/>
      <c r="GD186" s="172"/>
      <c r="GE186" s="172"/>
      <c r="GF186" s="172"/>
      <c r="GG186" s="172"/>
      <c r="GH186" s="172"/>
      <c r="GI186" s="172"/>
      <c r="GJ186" s="172"/>
      <c r="GK186" s="172"/>
      <c r="GL186" s="172"/>
      <c r="GM186" s="172"/>
      <c r="GN186" s="172"/>
      <c r="GO186" s="172"/>
      <c r="GP186" s="172"/>
      <c r="GQ186" s="172"/>
      <c r="GR186" s="172"/>
      <c r="GS186" s="172"/>
      <c r="GT186" s="172"/>
      <c r="GU186" s="172"/>
      <c r="GV186" s="172"/>
      <c r="GW186" s="172"/>
      <c r="GX186" s="172"/>
      <c r="GY186" s="172"/>
      <c r="GZ186" s="172"/>
      <c r="HA186" s="172"/>
      <c r="HB186" s="172"/>
      <c r="HC186" s="172"/>
      <c r="HD186" s="172"/>
      <c r="HE186" s="172"/>
      <c r="HF186" s="172"/>
      <c r="HG186" s="172"/>
      <c r="HH186" s="172"/>
      <c r="HI186" s="172"/>
      <c r="HJ186" s="172"/>
      <c r="HK186" s="172"/>
      <c r="HL186" s="172"/>
      <c r="HM186" s="172"/>
      <c r="HN186" s="172"/>
      <c r="HO186" s="172"/>
      <c r="HP186" s="172"/>
      <c r="HQ186" s="172"/>
      <c r="HR186" s="172"/>
      <c r="HS186" s="172"/>
      <c r="HT186" s="172"/>
      <c r="HU186" s="172"/>
      <c r="HV186" s="172"/>
      <c r="HW186" s="172"/>
      <c r="HX186" s="172"/>
      <c r="HY186" s="172"/>
      <c r="HZ186" s="172"/>
      <c r="IA186" s="172"/>
      <c r="IB186" s="172"/>
      <c r="IC186" s="172"/>
      <c r="ID186" s="172"/>
      <c r="IE186" s="172"/>
      <c r="IF186" s="172"/>
      <c r="IG186" s="172"/>
      <c r="IH186" s="172"/>
      <c r="II186" s="172"/>
      <c r="IJ186" s="172"/>
      <c r="IK186" s="172"/>
      <c r="IL186" s="172"/>
      <c r="IM186" s="172"/>
      <c r="IN186" s="172"/>
      <c r="IO186" s="172"/>
      <c r="IP186" s="172"/>
      <c r="IQ186" s="172"/>
      <c r="IR186" s="172"/>
      <c r="IS186" s="172"/>
      <c r="IT186" s="172"/>
      <c r="IU186" s="172"/>
      <c r="IV186" s="172"/>
      <c r="IW186" s="172"/>
      <c r="IX186" s="172"/>
      <c r="IY186" s="172"/>
      <c r="IZ186" s="172"/>
      <c r="JA186" s="172"/>
      <c r="JB186" s="172"/>
      <c r="JC186" s="172"/>
      <c r="JD186" s="172"/>
      <c r="JE186" s="172"/>
      <c r="JF186" s="172"/>
      <c r="JG186" s="172"/>
      <c r="JH186" s="172"/>
      <c r="JI186" s="172"/>
      <c r="JJ186" s="172"/>
      <c r="JK186" s="172"/>
      <c r="JL186" s="172"/>
      <c r="JM186" s="172"/>
      <c r="JN186" s="172"/>
      <c r="JO186" s="172"/>
      <c r="JP186" s="172"/>
      <c r="JQ186" s="172"/>
      <c r="JR186" s="172"/>
      <c r="JS186" s="172"/>
      <c r="JT186" s="172"/>
      <c r="JU186" s="172"/>
      <c r="JV186" s="172"/>
      <c r="JW186" s="172"/>
      <c r="JX186" s="172"/>
      <c r="JY186" s="172"/>
      <c r="JZ186" s="172"/>
      <c r="KA186" s="172"/>
      <c r="KB186" s="172"/>
      <c r="KC186" s="172"/>
      <c r="KD186" s="172"/>
      <c r="KE186" s="172"/>
      <c r="KF186" s="172"/>
      <c r="KG186" s="172"/>
      <c r="KH186" s="172"/>
      <c r="KI186" s="172"/>
      <c r="KJ186" s="172"/>
      <c r="KK186" s="172"/>
      <c r="KL186" s="172"/>
      <c r="KM186" s="172"/>
      <c r="KN186" s="172"/>
      <c r="KO186" s="172"/>
      <c r="KP186" s="172"/>
      <c r="KQ186" s="172"/>
      <c r="KR186" s="172"/>
      <c r="KS186" s="172"/>
      <c r="KT186" s="172"/>
      <c r="KU186" s="172"/>
      <c r="KV186" s="172"/>
      <c r="KW186" s="172"/>
      <c r="KX186" s="172"/>
      <c r="KY186" s="172"/>
      <c r="KZ186" s="172"/>
      <c r="LA186" s="172"/>
      <c r="LB186" s="172"/>
      <c r="LC186" s="172"/>
      <c r="LD186" s="172"/>
      <c r="LE186" s="172"/>
      <c r="LF186" s="172"/>
      <c r="LG186" s="172"/>
      <c r="LH186" s="172"/>
      <c r="LI186" s="172"/>
      <c r="LJ186" s="172"/>
      <c r="LK186" s="172"/>
      <c r="LL186" s="172"/>
      <c r="LM186" s="172"/>
      <c r="LN186" s="172"/>
      <c r="LO186" s="172"/>
      <c r="LP186" s="172"/>
      <c r="LQ186" s="172"/>
      <c r="LR186" s="172"/>
      <c r="LS186" s="172"/>
      <c r="LT186" s="172"/>
      <c r="LU186" s="172"/>
      <c r="LV186" s="172"/>
      <c r="LW186" s="172"/>
      <c r="LX186" s="172"/>
      <c r="LY186" s="172"/>
      <c r="LZ186" s="172"/>
      <c r="MA186" s="172"/>
      <c r="MB186" s="172"/>
      <c r="MC186" s="172"/>
      <c r="MD186" s="172"/>
      <c r="ME186" s="172"/>
      <c r="MF186" s="172"/>
      <c r="MG186" s="172"/>
      <c r="MH186" s="172"/>
      <c r="MI186" s="172"/>
      <c r="MJ186" s="172"/>
      <c r="MK186" s="172"/>
      <c r="ML186" s="172"/>
      <c r="MM186" s="172"/>
      <c r="MN186" s="172"/>
      <c r="MO186" s="172"/>
      <c r="MP186" s="172"/>
      <c r="MQ186" s="172"/>
      <c r="MR186" s="172"/>
      <c r="MS186" s="172"/>
      <c r="MT186" s="172"/>
      <c r="MU186" s="172"/>
      <c r="MV186" s="172"/>
      <c r="MW186" s="172"/>
      <c r="MX186" s="172"/>
      <c r="MY186" s="172"/>
      <c r="MZ186" s="172"/>
      <c r="NA186" s="172"/>
      <c r="NB186" s="172"/>
      <c r="NC186" s="172"/>
      <c r="ND186" s="172"/>
      <c r="NE186" s="172"/>
      <c r="NF186" s="172"/>
      <c r="NG186" s="172"/>
      <c r="NH186" s="172"/>
      <c r="NI186" s="172"/>
      <c r="NJ186" s="172"/>
      <c r="NK186" s="172"/>
      <c r="NL186" s="172"/>
      <c r="NM186" s="172"/>
      <c r="NN186" s="172"/>
      <c r="NO186" s="172"/>
      <c r="NP186" s="172"/>
      <c r="NQ186" s="172"/>
      <c r="NR186" s="172"/>
      <c r="NS186" s="172"/>
      <c r="NT186" s="172"/>
      <c r="NU186" s="172"/>
      <c r="NV186" s="172"/>
      <c r="NW186" s="172"/>
      <c r="NX186" s="172"/>
      <c r="NY186" s="172"/>
      <c r="NZ186" s="172"/>
      <c r="OA186" s="172"/>
      <c r="OB186" s="172"/>
      <c r="OC186" s="172"/>
      <c r="OD186" s="172"/>
      <c r="OE186" s="172"/>
      <c r="OF186" s="172"/>
      <c r="OG186" s="172"/>
      <c r="OH186" s="172"/>
      <c r="OI186" s="172"/>
      <c r="OJ186" s="172"/>
      <c r="OK186" s="172"/>
      <c r="OL186" s="172"/>
      <c r="OM186" s="172"/>
      <c r="ON186" s="172"/>
      <c r="OO186" s="172"/>
      <c r="OP186" s="172"/>
      <c r="OQ186" s="172"/>
      <c r="OR186" s="172"/>
      <c r="OS186" s="172"/>
      <c r="OT186" s="172"/>
      <c r="OU186" s="172"/>
      <c r="OV186" s="172"/>
      <c r="OW186" s="172"/>
      <c r="OX186" s="172"/>
      <c r="OY186" s="172"/>
      <c r="OZ186" s="172"/>
      <c r="PA186" s="172"/>
      <c r="PB186" s="172"/>
      <c r="PC186" s="172"/>
      <c r="PD186" s="172"/>
      <c r="PE186" s="172"/>
      <c r="PF186" s="172"/>
      <c r="PG186" s="172"/>
      <c r="PH186" s="172"/>
      <c r="PI186" s="172"/>
      <c r="PJ186" s="172"/>
      <c r="PK186" s="172"/>
      <c r="PL186" s="172"/>
      <c r="PM186" s="172"/>
      <c r="PN186" s="172"/>
      <c r="PO186" s="172"/>
      <c r="PP186" s="172"/>
      <c r="PQ186" s="172"/>
      <c r="PR186" s="172"/>
      <c r="PS186" s="172"/>
      <c r="PT186" s="172"/>
      <c r="PU186" s="172"/>
      <c r="PV186" s="172"/>
      <c r="PW186" s="172"/>
      <c r="PX186" s="172"/>
      <c r="PY186" s="172"/>
      <c r="PZ186" s="172"/>
      <c r="QA186" s="172"/>
      <c r="QB186" s="172"/>
      <c r="QC186" s="172"/>
      <c r="QD186" s="172"/>
      <c r="QE186" s="172"/>
      <c r="QF186" s="172"/>
      <c r="QG186" s="172"/>
      <c r="QH186" s="172"/>
      <c r="QI186" s="172"/>
      <c r="QJ186" s="172"/>
      <c r="QK186" s="172"/>
      <c r="QL186" s="172"/>
      <c r="QM186" s="172"/>
      <c r="QN186" s="172"/>
      <c r="QO186" s="172"/>
      <c r="QP186" s="172"/>
      <c r="QQ186" s="172"/>
      <c r="QR186" s="172"/>
      <c r="QS186" s="172"/>
      <c r="QT186" s="172"/>
      <c r="QU186" s="172"/>
      <c r="QV186" s="172"/>
      <c r="QW186" s="172"/>
      <c r="QX186" s="172"/>
      <c r="QY186" s="172"/>
      <c r="QZ186" s="172"/>
      <c r="RA186" s="172"/>
      <c r="RB186" s="172"/>
      <c r="RC186" s="172"/>
      <c r="RD186" s="172"/>
      <c r="RE186" s="172"/>
      <c r="RF186" s="172"/>
      <c r="RG186" s="172"/>
      <c r="RH186" s="172"/>
      <c r="RI186" s="172"/>
      <c r="RJ186" s="172"/>
      <c r="RK186" s="172"/>
      <c r="RL186" s="172"/>
      <c r="RM186" s="172"/>
      <c r="RN186" s="172"/>
      <c r="RO186" s="172"/>
      <c r="RP186" s="172"/>
      <c r="RQ186" s="172"/>
      <c r="RR186" s="172"/>
      <c r="RS186" s="172"/>
      <c r="RT186" s="172"/>
      <c r="RU186" s="172"/>
      <c r="RV186" s="172"/>
      <c r="RW186" s="172"/>
      <c r="RX186" s="172"/>
      <c r="RY186" s="172"/>
      <c r="RZ186" s="172"/>
      <c r="SA186" s="172"/>
      <c r="SB186" s="172"/>
      <c r="SC186" s="172"/>
      <c r="SD186" s="172"/>
      <c r="SE186" s="172"/>
      <c r="SF186" s="172"/>
      <c r="SG186" s="172"/>
      <c r="SH186" s="172"/>
      <c r="SI186" s="172"/>
      <c r="SJ186" s="172"/>
      <c r="SK186" s="172"/>
      <c r="SL186" s="172"/>
      <c r="SM186" s="172"/>
      <c r="SN186" s="172"/>
      <c r="SO186" s="172"/>
      <c r="SP186" s="172"/>
      <c r="SQ186" s="172"/>
      <c r="SR186" s="172"/>
      <c r="SS186" s="172"/>
      <c r="ST186" s="172"/>
      <c r="SU186" s="172"/>
      <c r="SV186" s="172"/>
      <c r="SW186" s="172"/>
      <c r="SX186" s="172"/>
      <c r="SY186" s="172"/>
      <c r="SZ186" s="172"/>
      <c r="TA186" s="172"/>
      <c r="TB186" s="172"/>
      <c r="TC186" s="172"/>
      <c r="TD186" s="172"/>
      <c r="TE186" s="172"/>
      <c r="TF186" s="172"/>
      <c r="TG186" s="172"/>
      <c r="TH186" s="172"/>
      <c r="TI186" s="172"/>
      <c r="TJ186" s="172"/>
      <c r="TK186" s="172"/>
      <c r="TL186" s="172"/>
      <c r="TM186" s="172"/>
      <c r="TN186" s="172"/>
      <c r="TO186" s="172"/>
      <c r="TP186" s="172"/>
      <c r="TQ186" s="172"/>
      <c r="TR186" s="172"/>
      <c r="TS186" s="172"/>
      <c r="TT186" s="172"/>
      <c r="TU186" s="172"/>
      <c r="TV186" s="172"/>
      <c r="TW186" s="172"/>
      <c r="TX186" s="172"/>
      <c r="TY186" s="172"/>
      <c r="TZ186" s="172"/>
      <c r="UA186" s="172"/>
      <c r="UB186" s="172"/>
      <c r="UC186" s="172"/>
      <c r="UD186" s="172"/>
      <c r="UE186" s="172"/>
      <c r="UF186" s="172"/>
      <c r="UG186" s="172"/>
      <c r="UH186" s="172"/>
      <c r="UI186" s="172"/>
      <c r="UJ186" s="172"/>
      <c r="UK186" s="172"/>
      <c r="UL186" s="172"/>
      <c r="UM186" s="172"/>
      <c r="UN186" s="172"/>
      <c r="UO186" s="172"/>
      <c r="UP186" s="172"/>
      <c r="UQ186" s="172"/>
      <c r="UR186" s="172"/>
      <c r="US186" s="172"/>
      <c r="UT186" s="172"/>
      <c r="UU186" s="172"/>
      <c r="UV186" s="172"/>
      <c r="UW186" s="172"/>
      <c r="UX186" s="172"/>
      <c r="UY186" s="172"/>
      <c r="UZ186" s="172"/>
      <c r="VA186" s="172"/>
      <c r="VB186" s="172"/>
      <c r="VC186" s="172"/>
      <c r="VD186" s="172"/>
      <c r="VE186" s="172"/>
      <c r="VF186" s="172"/>
      <c r="VG186" s="172"/>
      <c r="VH186" s="172"/>
      <c r="VI186" s="172"/>
      <c r="VJ186" s="172"/>
      <c r="VK186" s="172"/>
      <c r="VL186" s="172"/>
      <c r="VM186" s="172"/>
      <c r="VN186" s="172"/>
      <c r="VO186" s="172"/>
      <c r="VP186" s="172"/>
      <c r="VQ186" s="172"/>
      <c r="VR186" s="172"/>
      <c r="VS186" s="172"/>
      <c r="VT186" s="172"/>
      <c r="VU186" s="172"/>
      <c r="VV186" s="172"/>
      <c r="VW186" s="172"/>
      <c r="VX186" s="172"/>
      <c r="VY186" s="172"/>
      <c r="VZ186" s="172"/>
      <c r="WA186" s="172"/>
      <c r="WB186" s="172"/>
      <c r="WC186" s="172"/>
      <c r="WD186" s="172"/>
      <c r="WE186" s="172"/>
      <c r="WF186" s="172"/>
      <c r="WG186" s="172"/>
      <c r="WH186" s="172"/>
      <c r="WI186" s="172"/>
      <c r="WJ186" s="172"/>
      <c r="WK186" s="172"/>
      <c r="WL186" s="172"/>
      <c r="WM186" s="172"/>
      <c r="WN186" s="172"/>
      <c r="WO186" s="172"/>
      <c r="WP186" s="172"/>
      <c r="WQ186" s="172"/>
      <c r="WR186" s="172"/>
      <c r="WS186" s="172"/>
      <c r="WT186" s="172"/>
      <c r="WU186" s="172"/>
      <c r="WV186" s="172"/>
      <c r="WW186" s="172"/>
      <c r="WX186" s="172"/>
      <c r="WY186" s="172"/>
      <c r="WZ186" s="172"/>
      <c r="XA186" s="172"/>
      <c r="XB186" s="172"/>
      <c r="XC186" s="172"/>
      <c r="XD186" s="172"/>
      <c r="XE186" s="172"/>
      <c r="XF186" s="172"/>
      <c r="XG186" s="172"/>
      <c r="XH186" s="172"/>
      <c r="XI186" s="172"/>
      <c r="XJ186" s="172"/>
      <c r="XK186" s="172"/>
      <c r="XL186" s="172"/>
      <c r="XM186" s="172"/>
      <c r="XN186" s="172"/>
      <c r="XO186" s="172"/>
      <c r="XP186" s="172"/>
      <c r="XQ186" s="172"/>
      <c r="XR186" s="172"/>
      <c r="XS186" s="172"/>
      <c r="XT186" s="172"/>
      <c r="XU186" s="172"/>
      <c r="XV186" s="172"/>
      <c r="XW186" s="172"/>
      <c r="XX186" s="172"/>
      <c r="XY186" s="172"/>
      <c r="XZ186" s="172"/>
      <c r="YA186" s="172"/>
      <c r="YB186" s="172"/>
      <c r="YC186" s="172"/>
      <c r="YD186" s="172"/>
      <c r="YE186" s="172"/>
      <c r="YF186" s="172"/>
      <c r="YG186" s="172"/>
      <c r="YH186" s="172"/>
      <c r="YI186" s="172"/>
      <c r="YJ186" s="172"/>
      <c r="YK186" s="172"/>
      <c r="YL186" s="172"/>
      <c r="YM186" s="172"/>
      <c r="YN186" s="172"/>
      <c r="YO186" s="172"/>
      <c r="YP186" s="172"/>
      <c r="YQ186" s="172"/>
      <c r="YR186" s="172"/>
      <c r="YS186" s="172"/>
      <c r="YT186" s="172"/>
      <c r="YU186" s="172"/>
      <c r="YV186" s="172"/>
      <c r="YW186" s="172"/>
      <c r="YX186" s="172"/>
      <c r="YY186" s="172"/>
      <c r="YZ186" s="172"/>
      <c r="ZA186" s="172"/>
      <c r="ZB186" s="172"/>
      <c r="ZC186" s="172"/>
      <c r="ZD186" s="172"/>
      <c r="ZE186" s="172"/>
      <c r="ZF186" s="172"/>
      <c r="ZG186" s="172"/>
      <c r="ZH186" s="172"/>
      <c r="ZI186" s="172"/>
      <c r="ZJ186" s="172"/>
      <c r="ZK186" s="172"/>
      <c r="ZL186" s="172"/>
      <c r="ZM186" s="172"/>
      <c r="ZN186" s="172"/>
      <c r="ZO186" s="172"/>
      <c r="ZP186" s="172"/>
      <c r="ZQ186" s="172"/>
      <c r="ZR186" s="172"/>
      <c r="ZS186" s="172"/>
      <c r="ZT186" s="172"/>
      <c r="ZU186" s="172"/>
      <c r="ZV186" s="172"/>
      <c r="ZW186" s="172"/>
      <c r="ZX186" s="172"/>
      <c r="ZY186" s="172"/>
      <c r="ZZ186" s="172"/>
      <c r="AAA186" s="172"/>
      <c r="AAB186" s="172"/>
      <c r="AAC186" s="172"/>
      <c r="AAD186" s="172"/>
      <c r="AAE186" s="172"/>
      <c r="AAF186" s="172"/>
      <c r="AAG186" s="172"/>
      <c r="AAH186" s="172"/>
      <c r="AAI186" s="172"/>
      <c r="AAJ186" s="172"/>
      <c r="AAK186" s="172"/>
      <c r="AAL186" s="172"/>
      <c r="AAM186" s="172"/>
      <c r="AAN186" s="172"/>
      <c r="AAO186" s="172"/>
      <c r="AAP186" s="172"/>
      <c r="AAQ186" s="172"/>
      <c r="AAR186" s="172"/>
      <c r="AAS186" s="172"/>
      <c r="AAT186" s="172"/>
      <c r="AAU186" s="172"/>
      <c r="AAV186" s="172"/>
      <c r="AAW186" s="172"/>
      <c r="AAX186" s="172"/>
      <c r="AAY186" s="172"/>
      <c r="AAZ186" s="172"/>
      <c r="ABA186" s="172"/>
      <c r="ABB186" s="172"/>
      <c r="ABC186" s="172"/>
      <c r="ABD186" s="172"/>
      <c r="ABE186" s="172"/>
      <c r="ABF186" s="172"/>
      <c r="ABG186" s="172"/>
      <c r="ABH186" s="172"/>
      <c r="ABI186" s="172"/>
      <c r="ABJ186" s="172"/>
      <c r="ABK186" s="172"/>
      <c r="ABL186" s="172"/>
      <c r="ABM186" s="172"/>
      <c r="ABN186" s="172"/>
      <c r="ABO186" s="172"/>
      <c r="ABP186" s="172"/>
      <c r="ABQ186" s="172"/>
      <c r="ABR186" s="172"/>
      <c r="ABS186" s="172"/>
      <c r="ABT186" s="172"/>
      <c r="ABU186" s="172"/>
      <c r="ABV186" s="172"/>
      <c r="ABW186" s="172"/>
      <c r="ABX186" s="172"/>
      <c r="ABY186" s="172"/>
      <c r="ABZ186" s="172"/>
      <c r="ACA186" s="172"/>
      <c r="ACB186" s="172"/>
      <c r="ACC186" s="172"/>
      <c r="ACD186" s="172"/>
      <c r="ACE186" s="172"/>
      <c r="ACF186" s="172"/>
      <c r="ACG186" s="172"/>
      <c r="ACH186" s="172"/>
      <c r="ACI186" s="172"/>
      <c r="ACJ186" s="172"/>
      <c r="ACK186" s="172"/>
      <c r="ACL186" s="172"/>
      <c r="ACM186" s="172"/>
      <c r="ACN186" s="172"/>
      <c r="ACO186" s="172"/>
      <c r="ACP186" s="172"/>
      <c r="ACQ186" s="172"/>
      <c r="ACR186" s="172"/>
      <c r="ACS186" s="172"/>
      <c r="ACT186" s="172"/>
      <c r="ACU186" s="172"/>
      <c r="ACV186" s="172"/>
      <c r="ACW186" s="172"/>
      <c r="ACX186" s="172"/>
      <c r="ACY186" s="172"/>
      <c r="ACZ186" s="172"/>
      <c r="ADA186" s="172"/>
      <c r="ADB186" s="172"/>
      <c r="ADC186" s="172"/>
      <c r="ADD186" s="172"/>
      <c r="ADE186" s="172"/>
      <c r="ADF186" s="172"/>
      <c r="ADG186" s="172"/>
      <c r="ADH186" s="172"/>
      <c r="ADI186" s="172"/>
      <c r="ADJ186" s="172"/>
      <c r="ADK186" s="172"/>
      <c r="ADL186" s="172"/>
      <c r="ADM186" s="172"/>
      <c r="ADN186" s="172"/>
      <c r="ADO186" s="172"/>
      <c r="ADP186" s="172"/>
      <c r="ADQ186" s="172"/>
      <c r="ADR186" s="172"/>
      <c r="ADS186" s="172"/>
      <c r="ADT186" s="172"/>
      <c r="ADU186" s="172"/>
      <c r="ADV186" s="172"/>
      <c r="ADW186" s="172"/>
      <c r="ADX186" s="172"/>
      <c r="ADY186" s="172"/>
      <c r="ADZ186" s="172"/>
      <c r="AEA186" s="172"/>
      <c r="AEB186" s="172"/>
      <c r="AEC186" s="172"/>
      <c r="AED186" s="172"/>
      <c r="AEE186" s="172"/>
      <c r="AEF186" s="172"/>
      <c r="AEG186" s="172"/>
      <c r="AEH186" s="172"/>
      <c r="AEI186" s="172"/>
      <c r="AEJ186" s="172"/>
      <c r="AEK186" s="172"/>
      <c r="AEL186" s="172"/>
      <c r="AEM186" s="172"/>
      <c r="AEN186" s="172"/>
      <c r="AEO186" s="172"/>
      <c r="AEP186" s="172"/>
      <c r="AEQ186" s="172"/>
      <c r="AER186" s="172"/>
      <c r="AES186" s="172"/>
      <c r="AET186" s="172"/>
      <c r="AEU186" s="172"/>
      <c r="AEV186" s="172"/>
      <c r="AEW186" s="172"/>
      <c r="AEX186" s="172"/>
      <c r="AEY186" s="172"/>
      <c r="AEZ186" s="172"/>
      <c r="AFA186" s="172"/>
      <c r="AFB186" s="172"/>
      <c r="AFC186" s="172"/>
      <c r="AFD186" s="172"/>
      <c r="AFE186" s="172"/>
      <c r="AFF186" s="172"/>
      <c r="AFG186" s="172"/>
      <c r="AFH186" s="172"/>
      <c r="AFI186" s="172"/>
      <c r="AFJ186" s="172"/>
      <c r="AFK186" s="172"/>
      <c r="AFL186" s="172"/>
      <c r="AFM186" s="172"/>
      <c r="AFN186" s="172"/>
      <c r="AFO186" s="172"/>
      <c r="AFP186" s="172"/>
      <c r="AFQ186" s="172"/>
      <c r="AFR186" s="172"/>
      <c r="AFS186" s="172"/>
      <c r="AFT186" s="172"/>
      <c r="AFU186" s="172"/>
      <c r="AFV186" s="172"/>
      <c r="AFW186" s="172"/>
      <c r="AFX186" s="172"/>
      <c r="AFY186" s="172"/>
      <c r="AFZ186" s="172"/>
      <c r="AGA186" s="172"/>
      <c r="AGB186" s="172"/>
      <c r="AGC186" s="172"/>
      <c r="AGD186" s="172"/>
      <c r="AGE186" s="172"/>
      <c r="AGF186" s="172"/>
      <c r="AGG186" s="172"/>
      <c r="AGH186" s="172"/>
      <c r="AGI186" s="172"/>
      <c r="AGJ186" s="172"/>
      <c r="AGK186" s="172"/>
      <c r="AGL186" s="172"/>
      <c r="AGM186" s="172"/>
      <c r="AGN186" s="172"/>
      <c r="AGO186" s="172"/>
      <c r="AGP186" s="172"/>
      <c r="AGQ186" s="172"/>
      <c r="AGR186" s="172"/>
      <c r="AGS186" s="172"/>
      <c r="AGT186" s="172"/>
      <c r="AGU186" s="172"/>
      <c r="AGV186" s="172"/>
      <c r="AGW186" s="172"/>
      <c r="AGX186" s="172"/>
      <c r="AGY186" s="172"/>
      <c r="AGZ186" s="172"/>
      <c r="AHA186" s="172"/>
      <c r="AHB186" s="172"/>
      <c r="AHC186" s="172"/>
      <c r="AHD186" s="172"/>
      <c r="AHE186" s="172"/>
      <c r="AHF186" s="172"/>
      <c r="AHG186" s="172"/>
      <c r="AHH186" s="172"/>
      <c r="AHI186" s="172"/>
      <c r="AHJ186" s="172"/>
      <c r="AHK186" s="172"/>
      <c r="AHL186" s="172"/>
      <c r="AHM186" s="172"/>
      <c r="AHN186" s="172"/>
      <c r="AHO186" s="172"/>
      <c r="AHP186" s="172"/>
      <c r="AHQ186" s="172"/>
      <c r="AHR186" s="172"/>
      <c r="AHS186" s="172"/>
      <c r="AHT186" s="172"/>
      <c r="AHU186" s="172"/>
      <c r="AHV186" s="172"/>
      <c r="AHW186" s="172"/>
      <c r="AHX186" s="172"/>
      <c r="AHY186" s="172"/>
      <c r="AHZ186" s="172"/>
      <c r="AIA186" s="172"/>
      <c r="AIB186" s="172"/>
      <c r="AIC186" s="172"/>
      <c r="AID186" s="172"/>
      <c r="AIE186" s="172"/>
      <c r="AIF186" s="172"/>
      <c r="AIG186" s="172"/>
      <c r="AIH186" s="172"/>
      <c r="AII186" s="172"/>
      <c r="AIJ186" s="172"/>
      <c r="AIK186" s="172"/>
      <c r="AIL186" s="172"/>
      <c r="AIM186" s="172"/>
      <c r="AIN186" s="172"/>
      <c r="AIO186" s="172"/>
      <c r="AIP186" s="172"/>
      <c r="AIQ186" s="172"/>
      <c r="AIR186" s="172"/>
      <c r="AIS186" s="172"/>
      <c r="AIT186" s="172"/>
      <c r="AIU186" s="172"/>
      <c r="AIV186" s="172"/>
      <c r="AIW186" s="172"/>
      <c r="AIX186" s="172"/>
      <c r="AIY186" s="172"/>
      <c r="AIZ186" s="172"/>
      <c r="AJA186" s="172"/>
      <c r="AJB186" s="172"/>
      <c r="AJC186" s="172"/>
      <c r="AJD186" s="172"/>
      <c r="AJE186" s="172"/>
      <c r="AJF186" s="172"/>
      <c r="AJG186" s="172"/>
      <c r="AJH186" s="172"/>
      <c r="AJI186" s="172"/>
      <c r="AJJ186" s="172"/>
      <c r="AJK186" s="172"/>
      <c r="AJL186" s="172"/>
      <c r="AJM186" s="172"/>
      <c r="AJN186" s="172"/>
      <c r="AJO186" s="172"/>
      <c r="AJP186" s="172"/>
      <c r="AJQ186" s="172"/>
      <c r="AJR186" s="172"/>
      <c r="AJS186" s="172"/>
      <c r="AJT186" s="172"/>
      <c r="AJU186" s="172"/>
      <c r="AJV186" s="172"/>
      <c r="AJW186" s="172"/>
      <c r="AJX186" s="172"/>
      <c r="AJY186" s="172"/>
      <c r="AJZ186" s="172"/>
      <c r="AKA186" s="172"/>
      <c r="AKB186" s="172"/>
      <c r="AKC186" s="172"/>
      <c r="AKD186" s="172"/>
      <c r="AKE186" s="172"/>
      <c r="AKF186" s="172"/>
      <c r="AKG186" s="172"/>
      <c r="AKH186" s="172"/>
      <c r="AKI186" s="172"/>
      <c r="AKJ186" s="172"/>
      <c r="AKK186" s="172"/>
      <c r="AKL186" s="172"/>
      <c r="AKM186" s="172"/>
      <c r="AKN186" s="172"/>
      <c r="AKO186" s="172"/>
      <c r="AKP186" s="172"/>
      <c r="AKQ186" s="172"/>
      <c r="AKR186" s="172"/>
      <c r="AKS186" s="172"/>
      <c r="AKT186" s="172"/>
      <c r="AKU186" s="172"/>
      <c r="AKV186" s="172"/>
      <c r="AKW186" s="172"/>
      <c r="AKX186" s="172"/>
      <c r="AKY186" s="172"/>
      <c r="AKZ186" s="172"/>
      <c r="ALA186" s="172"/>
      <c r="ALB186" s="172"/>
      <c r="ALC186" s="172"/>
      <c r="ALD186" s="172"/>
      <c r="ALE186" s="172"/>
      <c r="ALF186" s="172"/>
      <c r="ALG186" s="172"/>
      <c r="ALH186" s="172"/>
      <c r="ALI186" s="172"/>
      <c r="ALJ186" s="172"/>
      <c r="ALK186" s="172"/>
      <c r="ALL186" s="172"/>
      <c r="ALM186" s="172"/>
      <c r="ALN186" s="172"/>
      <c r="ALO186" s="172"/>
      <c r="ALP186" s="172"/>
      <c r="ALQ186" s="172"/>
      <c r="ALR186" s="172"/>
      <c r="ALS186" s="172"/>
      <c r="ALT186" s="172"/>
      <c r="ALU186" s="172"/>
      <c r="ALV186" s="172"/>
      <c r="ALW186" s="172"/>
      <c r="ALX186" s="172"/>
      <c r="ALY186" s="172"/>
      <c r="ALZ186" s="172"/>
      <c r="AMA186" s="172"/>
      <c r="AMB186" s="172"/>
      <c r="AMC186" s="172"/>
      <c r="AMD186" s="172"/>
      <c r="AME186" s="172"/>
      <c r="AMF186" s="172"/>
      <c r="AMG186" s="172"/>
      <c r="AMH186" s="172"/>
      <c r="AMI186" s="172"/>
      <c r="AMJ186" s="172"/>
      <c r="AMK186" s="172"/>
      <c r="AML186" s="172"/>
      <c r="AMM186" s="172"/>
      <c r="AMN186" s="172"/>
      <c r="AMO186" s="172"/>
      <c r="AMP186" s="172"/>
      <c r="AMQ186" s="172"/>
      <c r="AMR186" s="172"/>
      <c r="AMS186" s="172"/>
      <c r="AMT186" s="172"/>
      <c r="AMU186" s="172"/>
      <c r="AMV186" s="172"/>
      <c r="AMW186" s="172"/>
      <c r="AMX186" s="172"/>
      <c r="AMY186" s="172"/>
      <c r="AMZ186" s="172"/>
      <c r="ANA186" s="172"/>
      <c r="ANB186" s="172"/>
      <c r="ANC186" s="172"/>
      <c r="AND186" s="172"/>
      <c r="ANE186" s="172"/>
      <c r="ANF186" s="172"/>
      <c r="ANG186" s="172"/>
      <c r="ANH186" s="172"/>
      <c r="ANI186" s="172"/>
      <c r="ANJ186" s="172"/>
      <c r="ANK186" s="172"/>
      <c r="ANL186" s="172"/>
      <c r="ANM186" s="172"/>
      <c r="ANN186" s="172"/>
      <c r="ANO186" s="172"/>
      <c r="ANP186" s="172"/>
      <c r="ANQ186" s="172"/>
      <c r="ANR186" s="172"/>
      <c r="ANS186" s="172"/>
      <c r="ANT186" s="172"/>
      <c r="ANU186" s="172"/>
      <c r="ANV186" s="172"/>
      <c r="ANW186" s="172"/>
      <c r="ANX186" s="172"/>
      <c r="ANY186" s="172"/>
      <c r="ANZ186" s="172"/>
      <c r="AOA186" s="172"/>
      <c r="AOB186" s="172"/>
      <c r="AOC186" s="172"/>
      <c r="AOD186" s="172"/>
      <c r="AOE186" s="172"/>
      <c r="AOF186" s="172"/>
      <c r="AOG186" s="172"/>
      <c r="AOH186" s="172"/>
      <c r="AOI186" s="172"/>
      <c r="AOJ186" s="172"/>
      <c r="AOK186" s="172"/>
      <c r="AOL186" s="172"/>
      <c r="AOM186" s="172"/>
      <c r="AON186" s="172"/>
      <c r="AOO186" s="172"/>
      <c r="AOP186" s="172"/>
      <c r="AOQ186" s="172"/>
      <c r="AOR186" s="172"/>
      <c r="AOS186" s="172"/>
      <c r="AOT186" s="172"/>
      <c r="AOU186" s="172"/>
      <c r="AOV186" s="172"/>
      <c r="AOW186" s="172"/>
      <c r="AOX186" s="172"/>
      <c r="AOY186" s="172"/>
      <c r="AOZ186" s="172"/>
      <c r="APA186" s="172"/>
      <c r="APB186" s="172"/>
      <c r="APC186" s="172"/>
      <c r="APD186" s="172"/>
      <c r="APE186" s="172"/>
      <c r="APF186" s="172"/>
      <c r="APG186" s="172"/>
      <c r="APH186" s="172"/>
      <c r="API186" s="172"/>
      <c r="APJ186" s="172"/>
      <c r="APK186" s="172"/>
      <c r="APL186" s="172"/>
      <c r="APM186" s="172"/>
      <c r="APN186" s="172"/>
      <c r="APO186" s="172"/>
      <c r="APP186" s="172"/>
      <c r="APQ186" s="172"/>
      <c r="APR186" s="172"/>
      <c r="APS186" s="172"/>
      <c r="APT186" s="172"/>
      <c r="APU186" s="172"/>
      <c r="APV186" s="172"/>
      <c r="APW186" s="172"/>
      <c r="APX186" s="172"/>
      <c r="APY186" s="172"/>
      <c r="APZ186" s="172"/>
      <c r="AQA186" s="172"/>
      <c r="AQB186" s="172"/>
      <c r="AQC186" s="172"/>
      <c r="AQD186" s="172"/>
      <c r="AQE186" s="172"/>
      <c r="AQF186" s="172"/>
      <c r="AQG186" s="172"/>
      <c r="AQH186" s="172"/>
      <c r="AQI186" s="172"/>
      <c r="AQJ186" s="172"/>
      <c r="AQK186" s="172"/>
      <c r="AQL186" s="172"/>
      <c r="AQM186" s="172"/>
      <c r="AQN186" s="172"/>
      <c r="AQO186" s="172"/>
      <c r="AQP186" s="172"/>
      <c r="AQQ186" s="172"/>
      <c r="AQR186" s="172"/>
      <c r="AQS186" s="172"/>
      <c r="AQT186" s="172"/>
      <c r="AQU186" s="172"/>
      <c r="AQV186" s="172"/>
      <c r="AQW186" s="172"/>
      <c r="AQX186" s="172"/>
      <c r="AQY186" s="172"/>
      <c r="AQZ186" s="172"/>
      <c r="ARA186" s="172"/>
      <c r="ARB186" s="172"/>
      <c r="ARC186" s="172"/>
      <c r="ARD186" s="172"/>
      <c r="ARE186" s="172"/>
      <c r="ARF186" s="172"/>
      <c r="ARG186" s="172"/>
      <c r="ARH186" s="172"/>
      <c r="ARI186" s="172"/>
      <c r="ARJ186" s="172"/>
      <c r="ARK186" s="172"/>
      <c r="ARL186" s="172"/>
      <c r="ARM186" s="172"/>
      <c r="ARN186" s="172"/>
      <c r="ARO186" s="172"/>
      <c r="ARP186" s="172"/>
      <c r="ARQ186" s="172"/>
      <c r="ARR186" s="172"/>
      <c r="ARS186" s="172"/>
      <c r="ART186" s="172"/>
      <c r="ARU186" s="172"/>
    </row>
    <row r="187" spans="1:1165" s="257" customFormat="1">
      <c r="A187" s="1520" t="s">
        <v>268</v>
      </c>
      <c r="B187" s="1484"/>
      <c r="C187" s="1489"/>
      <c r="D187" s="1489">
        <f>SUM(D181:D186)</f>
        <v>984477793</v>
      </c>
      <c r="E187" s="1489"/>
      <c r="F187" s="1489">
        <f>SUM(F181:F186)</f>
        <v>294587007</v>
      </c>
      <c r="G187" s="1489"/>
      <c r="H187" s="1489">
        <f>SUM(H181:H186)</f>
        <v>307896345</v>
      </c>
      <c r="I187" s="1489"/>
      <c r="J187" s="1489">
        <f>SUM(J181:J186)</f>
        <v>295140230</v>
      </c>
      <c r="K187" s="1489"/>
      <c r="L187" s="1489">
        <f>SUM(L181:L186)</f>
        <v>355956813</v>
      </c>
      <c r="M187" s="1489"/>
      <c r="N187" s="1489">
        <f>SUM(N181:N186)</f>
        <v>388732583</v>
      </c>
      <c r="O187" s="1489"/>
      <c r="P187" s="1489">
        <f>SUM(P181:P186)</f>
        <v>613558009</v>
      </c>
      <c r="Q187" s="1489"/>
      <c r="R187" s="1489">
        <f>SUM(R181:R186)</f>
        <v>583367686</v>
      </c>
      <c r="S187" s="1489"/>
      <c r="T187" s="1489">
        <f>SUM(T181:T186)</f>
        <v>776229849</v>
      </c>
      <c r="U187" s="1513"/>
      <c r="V187" s="1512">
        <f>SUM(V181:V186)</f>
        <v>693793956</v>
      </c>
      <c r="W187" s="1516"/>
      <c r="X187" s="1489">
        <f>SUM(X181:X186)</f>
        <v>1002167386</v>
      </c>
      <c r="Y187" s="1512"/>
      <c r="Z187" s="1512">
        <f>SUM(Z181:Z186)</f>
        <v>2231648482</v>
      </c>
      <c r="AA187" s="1516"/>
      <c r="AB187" s="1517">
        <f>SUM(AB181:AB186)</f>
        <v>2545316976</v>
      </c>
      <c r="AC187" s="1512"/>
      <c r="AD187" s="1512">
        <f>SUM(AD181:AD186)</f>
        <v>2619494910</v>
      </c>
      <c r="AE187" s="1516"/>
      <c r="AF187" s="1516">
        <f>SUM(AF181:AF186)</f>
        <v>2490008037</v>
      </c>
      <c r="AG187" s="1516"/>
      <c r="AH187" s="1516">
        <f>SUM(AH181:AH186)</f>
        <v>3504871693</v>
      </c>
      <c r="AI187" s="1516"/>
      <c r="AJ187" s="1516">
        <f>SUM(AJ181:AJ186)</f>
        <v>4207617633</v>
      </c>
      <c r="AK187" s="1516"/>
      <c r="AL187" s="1516">
        <f>SUM(AL181:AL186)</f>
        <v>5090998447</v>
      </c>
      <c r="AM187" s="1525"/>
      <c r="AN187" s="1525">
        <v>5157093468.5500002</v>
      </c>
      <c r="AO187" s="1516"/>
      <c r="AP187" s="1516">
        <v>4457200121</v>
      </c>
      <c r="AQ187" s="1516"/>
      <c r="AR187" s="1516">
        <f>SUM(AR181:AR186)</f>
        <v>5274681225.7800007</v>
      </c>
      <c r="AS187" s="1516"/>
      <c r="AT187" s="1516">
        <f>SUM(AT181:AT186)</f>
        <v>10422127400.733032</v>
      </c>
      <c r="AU187" s="1516"/>
      <c r="AV187" s="1517">
        <f>SUM(AV181:AV186)</f>
        <v>10566426558.719923</v>
      </c>
      <c r="AW187" s="1489"/>
      <c r="AX187" s="1489">
        <v>10419342179</v>
      </c>
      <c r="AY187" s="1489"/>
      <c r="AZ187" s="1489">
        <f>SUM(AZ181:AZ186)</f>
        <v>9690710317</v>
      </c>
      <c r="BA187" s="1529"/>
      <c r="BB187" s="1489"/>
      <c r="BC187" s="1489"/>
      <c r="BD187" s="1489"/>
      <c r="BE187" s="1526"/>
      <c r="BF187" s="1489"/>
      <c r="BG187" s="1489"/>
      <c r="BH187" s="1489"/>
      <c r="BI187" s="1526"/>
      <c r="BJ187" s="1489"/>
      <c r="BK187" s="1514">
        <f t="shared" si="76"/>
        <v>84678858098.782959</v>
      </c>
      <c r="BL187" s="172"/>
      <c r="BM187" s="231"/>
      <c r="BN187" s="231"/>
      <c r="BO187" s="172"/>
      <c r="BP187" s="231"/>
      <c r="BQ187" s="172"/>
      <c r="BR187" s="172"/>
      <c r="BS187" s="172"/>
      <c r="BT187" s="172"/>
      <c r="BU187" s="172"/>
      <c r="BV187" s="172"/>
      <c r="BW187" s="172"/>
      <c r="BX187" s="172"/>
      <c r="BY187" s="172"/>
      <c r="BZ187" s="172"/>
      <c r="CA187" s="172"/>
      <c r="CB187" s="172"/>
      <c r="CC187" s="172"/>
      <c r="CD187" s="172"/>
      <c r="CE187" s="172"/>
      <c r="CF187" s="172"/>
      <c r="CG187" s="172"/>
      <c r="CH187" s="172"/>
      <c r="CI187" s="172"/>
      <c r="CJ187" s="172"/>
      <c r="CK187" s="172"/>
      <c r="CL187" s="172"/>
      <c r="CM187" s="172"/>
      <c r="CN187" s="172"/>
      <c r="CO187" s="172"/>
      <c r="CP187" s="172"/>
      <c r="CQ187" s="172"/>
      <c r="CR187" s="172"/>
      <c r="CS187" s="172"/>
      <c r="CT187" s="172"/>
      <c r="CU187" s="172"/>
      <c r="CV187" s="172"/>
      <c r="CW187" s="172"/>
      <c r="CX187" s="172"/>
      <c r="CY187" s="172"/>
      <c r="CZ187" s="172"/>
      <c r="DA187" s="172"/>
      <c r="DB187" s="172"/>
      <c r="DC187" s="172"/>
      <c r="DD187" s="172"/>
      <c r="DE187" s="172"/>
      <c r="DF187" s="172"/>
      <c r="DG187" s="172"/>
      <c r="DH187" s="172"/>
      <c r="DI187" s="172"/>
      <c r="DJ187" s="172"/>
      <c r="DK187" s="172"/>
      <c r="DL187" s="172"/>
      <c r="DM187" s="172"/>
      <c r="DN187" s="172"/>
      <c r="DO187" s="172"/>
      <c r="DP187" s="172"/>
      <c r="DQ187" s="172"/>
      <c r="DR187" s="172"/>
      <c r="DS187" s="172"/>
      <c r="DT187" s="172"/>
      <c r="DU187" s="172"/>
      <c r="DV187" s="172"/>
      <c r="DW187" s="172"/>
      <c r="DX187" s="172"/>
      <c r="DY187" s="172"/>
      <c r="DZ187" s="172"/>
      <c r="EA187" s="172"/>
      <c r="EB187" s="172"/>
      <c r="EC187" s="172"/>
      <c r="ED187" s="172"/>
      <c r="EE187" s="172"/>
      <c r="EF187" s="172"/>
      <c r="EG187" s="172"/>
      <c r="EH187" s="172"/>
      <c r="EI187" s="172"/>
      <c r="EJ187" s="172"/>
      <c r="EK187" s="172"/>
      <c r="EL187" s="172"/>
      <c r="EM187" s="172"/>
      <c r="EN187" s="172"/>
      <c r="EO187" s="172"/>
      <c r="EP187" s="172"/>
      <c r="EQ187" s="172"/>
      <c r="ER187" s="172"/>
      <c r="ES187" s="172"/>
      <c r="ET187" s="172"/>
      <c r="EU187" s="172"/>
      <c r="EV187" s="172"/>
      <c r="EW187" s="172"/>
      <c r="EX187" s="172"/>
      <c r="EY187" s="172"/>
      <c r="EZ187" s="172"/>
      <c r="FA187" s="172"/>
      <c r="FB187" s="172"/>
      <c r="FC187" s="172"/>
      <c r="FD187" s="172"/>
      <c r="FE187" s="172"/>
      <c r="FF187" s="172"/>
      <c r="FG187" s="172"/>
      <c r="FH187" s="172"/>
      <c r="FI187" s="172"/>
      <c r="FJ187" s="172"/>
      <c r="FK187" s="172"/>
      <c r="FL187" s="172"/>
      <c r="FM187" s="172"/>
      <c r="FN187" s="172"/>
      <c r="FO187" s="172"/>
      <c r="FP187" s="172"/>
      <c r="FQ187" s="172"/>
      <c r="FR187" s="172"/>
      <c r="FS187" s="172"/>
      <c r="FT187" s="172"/>
      <c r="FU187" s="172"/>
      <c r="FV187" s="172"/>
      <c r="FW187" s="172"/>
      <c r="FX187" s="172"/>
      <c r="FY187" s="172"/>
      <c r="FZ187" s="172"/>
      <c r="GA187" s="172"/>
      <c r="GB187" s="172"/>
      <c r="GC187" s="172"/>
      <c r="GD187" s="172"/>
      <c r="GE187" s="172"/>
      <c r="GF187" s="172"/>
      <c r="GG187" s="172"/>
      <c r="GH187" s="172"/>
      <c r="GI187" s="172"/>
      <c r="GJ187" s="172"/>
      <c r="GK187" s="172"/>
      <c r="GL187" s="172"/>
      <c r="GM187" s="172"/>
      <c r="GN187" s="172"/>
      <c r="GO187" s="172"/>
      <c r="GP187" s="172"/>
      <c r="GQ187" s="172"/>
      <c r="GR187" s="172"/>
      <c r="GS187" s="172"/>
      <c r="GT187" s="172"/>
      <c r="GU187" s="172"/>
      <c r="GV187" s="172"/>
      <c r="GW187" s="172"/>
      <c r="GX187" s="172"/>
      <c r="GY187" s="172"/>
      <c r="GZ187" s="172"/>
      <c r="HA187" s="172"/>
      <c r="HB187" s="172"/>
      <c r="HC187" s="172"/>
      <c r="HD187" s="172"/>
      <c r="HE187" s="172"/>
      <c r="HF187" s="172"/>
      <c r="HG187" s="172"/>
      <c r="HH187" s="172"/>
      <c r="HI187" s="172"/>
      <c r="HJ187" s="172"/>
      <c r="HK187" s="172"/>
      <c r="HL187" s="172"/>
      <c r="HM187" s="172"/>
      <c r="HN187" s="172"/>
      <c r="HO187" s="172"/>
      <c r="HP187" s="172"/>
      <c r="HQ187" s="172"/>
      <c r="HR187" s="172"/>
      <c r="HS187" s="172"/>
      <c r="HT187" s="172"/>
      <c r="HU187" s="172"/>
      <c r="HV187" s="172"/>
      <c r="HW187" s="172"/>
      <c r="HX187" s="172"/>
      <c r="HY187" s="172"/>
      <c r="HZ187" s="172"/>
      <c r="IA187" s="172"/>
      <c r="IB187" s="172"/>
      <c r="IC187" s="172"/>
      <c r="ID187" s="172"/>
      <c r="IE187" s="172"/>
      <c r="IF187" s="172"/>
      <c r="IG187" s="172"/>
      <c r="IH187" s="172"/>
      <c r="II187" s="172"/>
      <c r="IJ187" s="172"/>
      <c r="IK187" s="172"/>
      <c r="IL187" s="172"/>
      <c r="IM187" s="172"/>
      <c r="IN187" s="172"/>
      <c r="IO187" s="172"/>
      <c r="IP187" s="172"/>
      <c r="IQ187" s="172"/>
      <c r="IR187" s="172"/>
      <c r="IS187" s="172"/>
      <c r="IT187" s="172"/>
      <c r="IU187" s="172"/>
      <c r="IV187" s="172"/>
      <c r="IW187" s="172"/>
      <c r="IX187" s="172"/>
      <c r="IY187" s="172"/>
      <c r="IZ187" s="172"/>
      <c r="JA187" s="172"/>
      <c r="JB187" s="172"/>
      <c r="JC187" s="172"/>
      <c r="JD187" s="172"/>
      <c r="JE187" s="172"/>
      <c r="JF187" s="172"/>
      <c r="JG187" s="172"/>
      <c r="JH187" s="172"/>
      <c r="JI187" s="172"/>
      <c r="JJ187" s="172"/>
      <c r="JK187" s="172"/>
      <c r="JL187" s="172"/>
      <c r="JM187" s="172"/>
      <c r="JN187" s="172"/>
      <c r="JO187" s="172"/>
      <c r="JP187" s="172"/>
      <c r="JQ187" s="172"/>
      <c r="JR187" s="172"/>
      <c r="JS187" s="172"/>
      <c r="JT187" s="172"/>
      <c r="JU187" s="172"/>
      <c r="JV187" s="172"/>
      <c r="JW187" s="172"/>
      <c r="JX187" s="172"/>
      <c r="JY187" s="172"/>
      <c r="JZ187" s="172"/>
      <c r="KA187" s="172"/>
      <c r="KB187" s="172"/>
      <c r="KC187" s="172"/>
      <c r="KD187" s="172"/>
      <c r="KE187" s="172"/>
      <c r="KF187" s="172"/>
      <c r="KG187" s="172"/>
      <c r="KH187" s="172"/>
      <c r="KI187" s="172"/>
      <c r="KJ187" s="172"/>
      <c r="KK187" s="172"/>
      <c r="KL187" s="172"/>
      <c r="KM187" s="172"/>
      <c r="KN187" s="172"/>
      <c r="KO187" s="172"/>
      <c r="KP187" s="172"/>
      <c r="KQ187" s="172"/>
      <c r="KR187" s="172"/>
      <c r="KS187" s="172"/>
      <c r="KT187" s="172"/>
      <c r="KU187" s="172"/>
      <c r="KV187" s="172"/>
      <c r="KW187" s="172"/>
      <c r="KX187" s="172"/>
      <c r="KY187" s="172"/>
      <c r="KZ187" s="172"/>
      <c r="LA187" s="172"/>
      <c r="LB187" s="172"/>
      <c r="LC187" s="172"/>
      <c r="LD187" s="172"/>
      <c r="LE187" s="172"/>
      <c r="LF187" s="172"/>
      <c r="LG187" s="172"/>
      <c r="LH187" s="172"/>
      <c r="LI187" s="172"/>
      <c r="LJ187" s="172"/>
      <c r="LK187" s="172"/>
      <c r="LL187" s="172"/>
      <c r="LM187" s="172"/>
      <c r="LN187" s="172"/>
      <c r="LO187" s="172"/>
      <c r="LP187" s="172"/>
      <c r="LQ187" s="172"/>
      <c r="LR187" s="172"/>
      <c r="LS187" s="172"/>
      <c r="LT187" s="172"/>
      <c r="LU187" s="172"/>
      <c r="LV187" s="172"/>
      <c r="LW187" s="172"/>
      <c r="LX187" s="172"/>
      <c r="LY187" s="172"/>
      <c r="LZ187" s="172"/>
      <c r="MA187" s="172"/>
      <c r="MB187" s="172"/>
      <c r="MC187" s="172"/>
      <c r="MD187" s="172"/>
      <c r="ME187" s="172"/>
      <c r="MF187" s="172"/>
      <c r="MG187" s="172"/>
      <c r="MH187" s="172"/>
      <c r="MI187" s="172"/>
      <c r="MJ187" s="172"/>
      <c r="MK187" s="172"/>
      <c r="ML187" s="172"/>
      <c r="MM187" s="172"/>
      <c r="MN187" s="172"/>
      <c r="MO187" s="172"/>
      <c r="MP187" s="172"/>
      <c r="MQ187" s="172"/>
      <c r="MR187" s="172"/>
      <c r="MS187" s="172"/>
      <c r="MT187" s="172"/>
      <c r="MU187" s="172"/>
      <c r="MV187" s="172"/>
      <c r="MW187" s="172"/>
      <c r="MX187" s="172"/>
      <c r="MY187" s="172"/>
      <c r="MZ187" s="172"/>
      <c r="NA187" s="172"/>
      <c r="NB187" s="172"/>
      <c r="NC187" s="172"/>
      <c r="ND187" s="172"/>
      <c r="NE187" s="172"/>
      <c r="NF187" s="172"/>
      <c r="NG187" s="172"/>
      <c r="NH187" s="172"/>
      <c r="NI187" s="172"/>
      <c r="NJ187" s="172"/>
      <c r="NK187" s="172"/>
      <c r="NL187" s="172"/>
      <c r="NM187" s="172"/>
      <c r="NN187" s="172"/>
      <c r="NO187" s="172"/>
      <c r="NP187" s="172"/>
      <c r="NQ187" s="172"/>
      <c r="NR187" s="172"/>
      <c r="NS187" s="172"/>
      <c r="NT187" s="172"/>
      <c r="NU187" s="172"/>
      <c r="NV187" s="172"/>
      <c r="NW187" s="172"/>
      <c r="NX187" s="172"/>
      <c r="NY187" s="172"/>
      <c r="NZ187" s="172"/>
      <c r="OA187" s="172"/>
      <c r="OB187" s="172"/>
      <c r="OC187" s="172"/>
      <c r="OD187" s="172"/>
      <c r="OE187" s="172"/>
      <c r="OF187" s="172"/>
      <c r="OG187" s="172"/>
      <c r="OH187" s="172"/>
      <c r="OI187" s="172"/>
      <c r="OJ187" s="172"/>
      <c r="OK187" s="172"/>
      <c r="OL187" s="172"/>
      <c r="OM187" s="172"/>
      <c r="ON187" s="172"/>
      <c r="OO187" s="172"/>
      <c r="OP187" s="172"/>
      <c r="OQ187" s="172"/>
      <c r="OR187" s="172"/>
      <c r="OS187" s="172"/>
      <c r="OT187" s="172"/>
      <c r="OU187" s="172"/>
      <c r="OV187" s="172"/>
      <c r="OW187" s="172"/>
      <c r="OX187" s="172"/>
      <c r="OY187" s="172"/>
      <c r="OZ187" s="172"/>
      <c r="PA187" s="172"/>
      <c r="PB187" s="172"/>
      <c r="PC187" s="172"/>
      <c r="PD187" s="172"/>
      <c r="PE187" s="172"/>
      <c r="PF187" s="172"/>
      <c r="PG187" s="172"/>
      <c r="PH187" s="172"/>
      <c r="PI187" s="172"/>
      <c r="PJ187" s="172"/>
      <c r="PK187" s="172"/>
      <c r="PL187" s="172"/>
      <c r="PM187" s="172"/>
      <c r="PN187" s="172"/>
      <c r="PO187" s="172"/>
      <c r="PP187" s="172"/>
      <c r="PQ187" s="172"/>
      <c r="PR187" s="172"/>
      <c r="PS187" s="172"/>
      <c r="PT187" s="172"/>
      <c r="PU187" s="172"/>
      <c r="PV187" s="172"/>
      <c r="PW187" s="172"/>
      <c r="PX187" s="172"/>
      <c r="PY187" s="172"/>
      <c r="PZ187" s="172"/>
      <c r="QA187" s="172"/>
      <c r="QB187" s="172"/>
      <c r="QC187" s="172"/>
      <c r="QD187" s="172"/>
      <c r="QE187" s="172"/>
      <c r="QF187" s="172"/>
      <c r="QG187" s="172"/>
      <c r="QH187" s="172"/>
      <c r="QI187" s="172"/>
      <c r="QJ187" s="172"/>
      <c r="QK187" s="172"/>
      <c r="QL187" s="172"/>
      <c r="QM187" s="172"/>
      <c r="QN187" s="172"/>
      <c r="QO187" s="172"/>
      <c r="QP187" s="172"/>
      <c r="QQ187" s="172"/>
      <c r="QR187" s="172"/>
      <c r="QS187" s="172"/>
      <c r="QT187" s="172"/>
      <c r="QU187" s="172"/>
      <c r="QV187" s="172"/>
      <c r="QW187" s="172"/>
      <c r="QX187" s="172"/>
      <c r="QY187" s="172"/>
      <c r="QZ187" s="172"/>
      <c r="RA187" s="172"/>
      <c r="RB187" s="172"/>
      <c r="RC187" s="172"/>
      <c r="RD187" s="172"/>
      <c r="RE187" s="172"/>
      <c r="RF187" s="172"/>
      <c r="RG187" s="172"/>
      <c r="RH187" s="172"/>
      <c r="RI187" s="172"/>
      <c r="RJ187" s="172"/>
      <c r="RK187" s="172"/>
      <c r="RL187" s="172"/>
      <c r="RM187" s="172"/>
      <c r="RN187" s="172"/>
      <c r="RO187" s="172"/>
      <c r="RP187" s="172"/>
      <c r="RQ187" s="172"/>
      <c r="RR187" s="172"/>
      <c r="RS187" s="172"/>
      <c r="RT187" s="172"/>
      <c r="RU187" s="172"/>
      <c r="RV187" s="172"/>
      <c r="RW187" s="172"/>
      <c r="RX187" s="172"/>
      <c r="RY187" s="172"/>
      <c r="RZ187" s="172"/>
      <c r="SA187" s="172"/>
      <c r="SB187" s="172"/>
      <c r="SC187" s="172"/>
      <c r="SD187" s="172"/>
      <c r="SE187" s="172"/>
      <c r="SF187" s="172"/>
      <c r="SG187" s="172"/>
      <c r="SH187" s="172"/>
      <c r="SI187" s="172"/>
      <c r="SJ187" s="172"/>
      <c r="SK187" s="172"/>
      <c r="SL187" s="172"/>
      <c r="SM187" s="172"/>
      <c r="SN187" s="172"/>
      <c r="SO187" s="172"/>
      <c r="SP187" s="172"/>
      <c r="SQ187" s="172"/>
      <c r="SR187" s="172"/>
      <c r="SS187" s="172"/>
      <c r="ST187" s="172"/>
      <c r="SU187" s="172"/>
      <c r="SV187" s="172"/>
      <c r="SW187" s="172"/>
      <c r="SX187" s="172"/>
      <c r="SY187" s="172"/>
      <c r="SZ187" s="172"/>
      <c r="TA187" s="172"/>
      <c r="TB187" s="172"/>
      <c r="TC187" s="172"/>
      <c r="TD187" s="172"/>
      <c r="TE187" s="172"/>
      <c r="TF187" s="172"/>
      <c r="TG187" s="172"/>
      <c r="TH187" s="172"/>
      <c r="TI187" s="172"/>
      <c r="TJ187" s="172"/>
      <c r="TK187" s="172"/>
      <c r="TL187" s="172"/>
      <c r="TM187" s="172"/>
      <c r="TN187" s="172"/>
      <c r="TO187" s="172"/>
      <c r="TP187" s="172"/>
      <c r="TQ187" s="172"/>
      <c r="TR187" s="172"/>
      <c r="TS187" s="172"/>
      <c r="TT187" s="172"/>
      <c r="TU187" s="172"/>
      <c r="TV187" s="172"/>
      <c r="TW187" s="172"/>
      <c r="TX187" s="172"/>
      <c r="TY187" s="172"/>
      <c r="TZ187" s="172"/>
      <c r="UA187" s="172"/>
      <c r="UB187" s="172"/>
      <c r="UC187" s="172"/>
      <c r="UD187" s="172"/>
      <c r="UE187" s="172"/>
      <c r="UF187" s="172"/>
      <c r="UG187" s="172"/>
      <c r="UH187" s="172"/>
      <c r="UI187" s="172"/>
      <c r="UJ187" s="172"/>
      <c r="UK187" s="172"/>
      <c r="UL187" s="172"/>
      <c r="UM187" s="172"/>
      <c r="UN187" s="172"/>
      <c r="UO187" s="172"/>
      <c r="UP187" s="172"/>
      <c r="UQ187" s="172"/>
      <c r="UR187" s="172"/>
      <c r="US187" s="172"/>
      <c r="UT187" s="172"/>
      <c r="UU187" s="172"/>
      <c r="UV187" s="172"/>
      <c r="UW187" s="172"/>
      <c r="UX187" s="172"/>
      <c r="UY187" s="172"/>
      <c r="UZ187" s="172"/>
      <c r="VA187" s="172"/>
      <c r="VB187" s="172"/>
      <c r="VC187" s="172"/>
      <c r="VD187" s="172"/>
      <c r="VE187" s="172"/>
      <c r="VF187" s="172"/>
      <c r="VG187" s="172"/>
      <c r="VH187" s="172"/>
      <c r="VI187" s="172"/>
      <c r="VJ187" s="172"/>
      <c r="VK187" s="172"/>
      <c r="VL187" s="172"/>
      <c r="VM187" s="172"/>
      <c r="VN187" s="172"/>
      <c r="VO187" s="172"/>
      <c r="VP187" s="172"/>
      <c r="VQ187" s="172"/>
      <c r="VR187" s="172"/>
      <c r="VS187" s="172"/>
      <c r="VT187" s="172"/>
      <c r="VU187" s="172"/>
      <c r="VV187" s="172"/>
      <c r="VW187" s="172"/>
      <c r="VX187" s="172"/>
      <c r="VY187" s="172"/>
      <c r="VZ187" s="172"/>
      <c r="WA187" s="172"/>
      <c r="WB187" s="172"/>
      <c r="WC187" s="172"/>
      <c r="WD187" s="172"/>
      <c r="WE187" s="172"/>
      <c r="WF187" s="172"/>
      <c r="WG187" s="172"/>
      <c r="WH187" s="172"/>
      <c r="WI187" s="172"/>
      <c r="WJ187" s="172"/>
      <c r="WK187" s="172"/>
      <c r="WL187" s="172"/>
      <c r="WM187" s="172"/>
      <c r="WN187" s="172"/>
      <c r="WO187" s="172"/>
      <c r="WP187" s="172"/>
      <c r="WQ187" s="172"/>
      <c r="WR187" s="172"/>
      <c r="WS187" s="172"/>
      <c r="WT187" s="172"/>
      <c r="WU187" s="172"/>
      <c r="WV187" s="172"/>
      <c r="WW187" s="172"/>
      <c r="WX187" s="172"/>
      <c r="WY187" s="172"/>
      <c r="WZ187" s="172"/>
      <c r="XA187" s="172"/>
      <c r="XB187" s="172"/>
      <c r="XC187" s="172"/>
      <c r="XD187" s="172"/>
      <c r="XE187" s="172"/>
      <c r="XF187" s="172"/>
      <c r="XG187" s="172"/>
      <c r="XH187" s="172"/>
      <c r="XI187" s="172"/>
      <c r="XJ187" s="172"/>
      <c r="XK187" s="172"/>
      <c r="XL187" s="172"/>
      <c r="XM187" s="172"/>
      <c r="XN187" s="172"/>
      <c r="XO187" s="172"/>
      <c r="XP187" s="172"/>
      <c r="XQ187" s="172"/>
      <c r="XR187" s="172"/>
      <c r="XS187" s="172"/>
      <c r="XT187" s="172"/>
      <c r="XU187" s="172"/>
      <c r="XV187" s="172"/>
      <c r="XW187" s="172"/>
      <c r="XX187" s="172"/>
      <c r="XY187" s="172"/>
      <c r="XZ187" s="172"/>
      <c r="YA187" s="172"/>
      <c r="YB187" s="172"/>
      <c r="YC187" s="172"/>
      <c r="YD187" s="172"/>
      <c r="YE187" s="172"/>
      <c r="YF187" s="172"/>
      <c r="YG187" s="172"/>
      <c r="YH187" s="172"/>
      <c r="YI187" s="172"/>
      <c r="YJ187" s="172"/>
      <c r="YK187" s="172"/>
      <c r="YL187" s="172"/>
      <c r="YM187" s="172"/>
      <c r="YN187" s="172"/>
      <c r="YO187" s="172"/>
      <c r="YP187" s="172"/>
      <c r="YQ187" s="172"/>
      <c r="YR187" s="172"/>
      <c r="YS187" s="172"/>
      <c r="YT187" s="172"/>
      <c r="YU187" s="172"/>
      <c r="YV187" s="172"/>
      <c r="YW187" s="172"/>
      <c r="YX187" s="172"/>
      <c r="YY187" s="172"/>
      <c r="YZ187" s="172"/>
      <c r="ZA187" s="172"/>
      <c r="ZB187" s="172"/>
      <c r="ZC187" s="172"/>
      <c r="ZD187" s="172"/>
      <c r="ZE187" s="172"/>
      <c r="ZF187" s="172"/>
      <c r="ZG187" s="172"/>
      <c r="ZH187" s="172"/>
      <c r="ZI187" s="172"/>
      <c r="ZJ187" s="172"/>
      <c r="ZK187" s="172"/>
      <c r="ZL187" s="172"/>
      <c r="ZM187" s="172"/>
      <c r="ZN187" s="172"/>
      <c r="ZO187" s="172"/>
      <c r="ZP187" s="172"/>
      <c r="ZQ187" s="172"/>
      <c r="ZR187" s="172"/>
      <c r="ZS187" s="172"/>
      <c r="ZT187" s="172"/>
      <c r="ZU187" s="172"/>
      <c r="ZV187" s="172"/>
      <c r="ZW187" s="172"/>
      <c r="ZX187" s="172"/>
      <c r="ZY187" s="172"/>
      <c r="ZZ187" s="172"/>
      <c r="AAA187" s="172"/>
      <c r="AAB187" s="172"/>
      <c r="AAC187" s="172"/>
      <c r="AAD187" s="172"/>
      <c r="AAE187" s="172"/>
      <c r="AAF187" s="172"/>
      <c r="AAG187" s="172"/>
      <c r="AAH187" s="172"/>
      <c r="AAI187" s="172"/>
      <c r="AAJ187" s="172"/>
      <c r="AAK187" s="172"/>
      <c r="AAL187" s="172"/>
      <c r="AAM187" s="172"/>
      <c r="AAN187" s="172"/>
      <c r="AAO187" s="172"/>
      <c r="AAP187" s="172"/>
      <c r="AAQ187" s="172"/>
      <c r="AAR187" s="172"/>
      <c r="AAS187" s="172"/>
      <c r="AAT187" s="172"/>
      <c r="AAU187" s="172"/>
      <c r="AAV187" s="172"/>
      <c r="AAW187" s="172"/>
      <c r="AAX187" s="172"/>
      <c r="AAY187" s="172"/>
      <c r="AAZ187" s="172"/>
      <c r="ABA187" s="172"/>
      <c r="ABB187" s="172"/>
      <c r="ABC187" s="172"/>
      <c r="ABD187" s="172"/>
      <c r="ABE187" s="172"/>
      <c r="ABF187" s="172"/>
      <c r="ABG187" s="172"/>
      <c r="ABH187" s="172"/>
      <c r="ABI187" s="172"/>
      <c r="ABJ187" s="172"/>
      <c r="ABK187" s="172"/>
      <c r="ABL187" s="172"/>
      <c r="ABM187" s="172"/>
      <c r="ABN187" s="172"/>
      <c r="ABO187" s="172"/>
      <c r="ABP187" s="172"/>
      <c r="ABQ187" s="172"/>
      <c r="ABR187" s="172"/>
      <c r="ABS187" s="172"/>
      <c r="ABT187" s="172"/>
      <c r="ABU187" s="172"/>
      <c r="ABV187" s="172"/>
      <c r="ABW187" s="172"/>
      <c r="ABX187" s="172"/>
      <c r="ABY187" s="172"/>
      <c r="ABZ187" s="172"/>
      <c r="ACA187" s="172"/>
      <c r="ACB187" s="172"/>
      <c r="ACC187" s="172"/>
      <c r="ACD187" s="172"/>
      <c r="ACE187" s="172"/>
      <c r="ACF187" s="172"/>
      <c r="ACG187" s="172"/>
      <c r="ACH187" s="172"/>
      <c r="ACI187" s="172"/>
      <c r="ACJ187" s="172"/>
      <c r="ACK187" s="172"/>
      <c r="ACL187" s="172"/>
      <c r="ACM187" s="172"/>
      <c r="ACN187" s="172"/>
      <c r="ACO187" s="172"/>
      <c r="ACP187" s="172"/>
      <c r="ACQ187" s="172"/>
      <c r="ACR187" s="172"/>
      <c r="ACS187" s="172"/>
      <c r="ACT187" s="172"/>
      <c r="ACU187" s="172"/>
      <c r="ACV187" s="172"/>
      <c r="ACW187" s="172"/>
      <c r="ACX187" s="172"/>
      <c r="ACY187" s="172"/>
      <c r="ACZ187" s="172"/>
      <c r="ADA187" s="172"/>
      <c r="ADB187" s="172"/>
      <c r="ADC187" s="172"/>
      <c r="ADD187" s="172"/>
      <c r="ADE187" s="172"/>
      <c r="ADF187" s="172"/>
      <c r="ADG187" s="172"/>
      <c r="ADH187" s="172"/>
      <c r="ADI187" s="172"/>
      <c r="ADJ187" s="172"/>
      <c r="ADK187" s="172"/>
      <c r="ADL187" s="172"/>
      <c r="ADM187" s="172"/>
      <c r="ADN187" s="172"/>
      <c r="ADO187" s="172"/>
      <c r="ADP187" s="172"/>
      <c r="ADQ187" s="172"/>
      <c r="ADR187" s="172"/>
      <c r="ADS187" s="172"/>
      <c r="ADT187" s="172"/>
      <c r="ADU187" s="172"/>
      <c r="ADV187" s="172"/>
      <c r="ADW187" s="172"/>
      <c r="ADX187" s="172"/>
      <c r="ADY187" s="172"/>
      <c r="ADZ187" s="172"/>
      <c r="AEA187" s="172"/>
      <c r="AEB187" s="172"/>
      <c r="AEC187" s="172"/>
      <c r="AED187" s="172"/>
      <c r="AEE187" s="172"/>
      <c r="AEF187" s="172"/>
      <c r="AEG187" s="172"/>
      <c r="AEH187" s="172"/>
      <c r="AEI187" s="172"/>
      <c r="AEJ187" s="172"/>
      <c r="AEK187" s="172"/>
      <c r="AEL187" s="172"/>
      <c r="AEM187" s="172"/>
      <c r="AEN187" s="172"/>
      <c r="AEO187" s="172"/>
      <c r="AEP187" s="172"/>
      <c r="AEQ187" s="172"/>
      <c r="AER187" s="172"/>
      <c r="AES187" s="172"/>
      <c r="AET187" s="172"/>
      <c r="AEU187" s="172"/>
      <c r="AEV187" s="172"/>
      <c r="AEW187" s="172"/>
      <c r="AEX187" s="172"/>
      <c r="AEY187" s="172"/>
      <c r="AEZ187" s="172"/>
      <c r="AFA187" s="172"/>
      <c r="AFB187" s="172"/>
      <c r="AFC187" s="172"/>
      <c r="AFD187" s="172"/>
      <c r="AFE187" s="172"/>
      <c r="AFF187" s="172"/>
      <c r="AFG187" s="172"/>
      <c r="AFH187" s="172"/>
      <c r="AFI187" s="172"/>
      <c r="AFJ187" s="172"/>
      <c r="AFK187" s="172"/>
      <c r="AFL187" s="172"/>
      <c r="AFM187" s="172"/>
      <c r="AFN187" s="172"/>
      <c r="AFO187" s="172"/>
      <c r="AFP187" s="172"/>
      <c r="AFQ187" s="172"/>
      <c r="AFR187" s="172"/>
      <c r="AFS187" s="172"/>
      <c r="AFT187" s="172"/>
      <c r="AFU187" s="172"/>
      <c r="AFV187" s="172"/>
      <c r="AFW187" s="172"/>
      <c r="AFX187" s="172"/>
      <c r="AFY187" s="172"/>
      <c r="AFZ187" s="172"/>
      <c r="AGA187" s="172"/>
      <c r="AGB187" s="172"/>
      <c r="AGC187" s="172"/>
      <c r="AGD187" s="172"/>
      <c r="AGE187" s="172"/>
      <c r="AGF187" s="172"/>
      <c r="AGG187" s="172"/>
      <c r="AGH187" s="172"/>
      <c r="AGI187" s="172"/>
      <c r="AGJ187" s="172"/>
      <c r="AGK187" s="172"/>
      <c r="AGL187" s="172"/>
      <c r="AGM187" s="172"/>
      <c r="AGN187" s="172"/>
      <c r="AGO187" s="172"/>
      <c r="AGP187" s="172"/>
      <c r="AGQ187" s="172"/>
      <c r="AGR187" s="172"/>
      <c r="AGS187" s="172"/>
      <c r="AGT187" s="172"/>
      <c r="AGU187" s="172"/>
      <c r="AGV187" s="172"/>
      <c r="AGW187" s="172"/>
      <c r="AGX187" s="172"/>
      <c r="AGY187" s="172"/>
      <c r="AGZ187" s="172"/>
      <c r="AHA187" s="172"/>
      <c r="AHB187" s="172"/>
      <c r="AHC187" s="172"/>
      <c r="AHD187" s="172"/>
      <c r="AHE187" s="172"/>
      <c r="AHF187" s="172"/>
      <c r="AHG187" s="172"/>
      <c r="AHH187" s="172"/>
      <c r="AHI187" s="172"/>
      <c r="AHJ187" s="172"/>
      <c r="AHK187" s="172"/>
      <c r="AHL187" s="172"/>
      <c r="AHM187" s="172"/>
      <c r="AHN187" s="172"/>
      <c r="AHO187" s="172"/>
      <c r="AHP187" s="172"/>
      <c r="AHQ187" s="172"/>
      <c r="AHR187" s="172"/>
      <c r="AHS187" s="172"/>
      <c r="AHT187" s="172"/>
      <c r="AHU187" s="172"/>
      <c r="AHV187" s="172"/>
      <c r="AHW187" s="172"/>
      <c r="AHX187" s="172"/>
      <c r="AHY187" s="172"/>
      <c r="AHZ187" s="172"/>
      <c r="AIA187" s="172"/>
      <c r="AIB187" s="172"/>
      <c r="AIC187" s="172"/>
      <c r="AID187" s="172"/>
      <c r="AIE187" s="172"/>
      <c r="AIF187" s="172"/>
      <c r="AIG187" s="172"/>
      <c r="AIH187" s="172"/>
      <c r="AII187" s="172"/>
      <c r="AIJ187" s="172"/>
      <c r="AIK187" s="172"/>
      <c r="AIL187" s="172"/>
      <c r="AIM187" s="172"/>
      <c r="AIN187" s="172"/>
      <c r="AIO187" s="172"/>
      <c r="AIP187" s="172"/>
      <c r="AIQ187" s="172"/>
      <c r="AIR187" s="172"/>
      <c r="AIS187" s="172"/>
      <c r="AIT187" s="172"/>
      <c r="AIU187" s="172"/>
      <c r="AIV187" s="172"/>
      <c r="AIW187" s="172"/>
      <c r="AIX187" s="172"/>
      <c r="AIY187" s="172"/>
      <c r="AIZ187" s="172"/>
      <c r="AJA187" s="172"/>
      <c r="AJB187" s="172"/>
      <c r="AJC187" s="172"/>
      <c r="AJD187" s="172"/>
      <c r="AJE187" s="172"/>
      <c r="AJF187" s="172"/>
      <c r="AJG187" s="172"/>
      <c r="AJH187" s="172"/>
      <c r="AJI187" s="172"/>
      <c r="AJJ187" s="172"/>
      <c r="AJK187" s="172"/>
      <c r="AJL187" s="172"/>
      <c r="AJM187" s="172"/>
      <c r="AJN187" s="172"/>
      <c r="AJO187" s="172"/>
      <c r="AJP187" s="172"/>
      <c r="AJQ187" s="172"/>
      <c r="AJR187" s="172"/>
      <c r="AJS187" s="172"/>
      <c r="AJT187" s="172"/>
      <c r="AJU187" s="172"/>
      <c r="AJV187" s="172"/>
      <c r="AJW187" s="172"/>
      <c r="AJX187" s="172"/>
      <c r="AJY187" s="172"/>
      <c r="AJZ187" s="172"/>
      <c r="AKA187" s="172"/>
      <c r="AKB187" s="172"/>
      <c r="AKC187" s="172"/>
      <c r="AKD187" s="172"/>
      <c r="AKE187" s="172"/>
      <c r="AKF187" s="172"/>
      <c r="AKG187" s="172"/>
      <c r="AKH187" s="172"/>
      <c r="AKI187" s="172"/>
      <c r="AKJ187" s="172"/>
      <c r="AKK187" s="172"/>
      <c r="AKL187" s="172"/>
      <c r="AKM187" s="172"/>
      <c r="AKN187" s="172"/>
      <c r="AKO187" s="172"/>
      <c r="AKP187" s="172"/>
      <c r="AKQ187" s="172"/>
      <c r="AKR187" s="172"/>
      <c r="AKS187" s="172"/>
      <c r="AKT187" s="172"/>
      <c r="AKU187" s="172"/>
      <c r="AKV187" s="172"/>
      <c r="AKW187" s="172"/>
      <c r="AKX187" s="172"/>
      <c r="AKY187" s="172"/>
      <c r="AKZ187" s="172"/>
      <c r="ALA187" s="172"/>
      <c r="ALB187" s="172"/>
      <c r="ALC187" s="172"/>
      <c r="ALD187" s="172"/>
      <c r="ALE187" s="172"/>
      <c r="ALF187" s="172"/>
      <c r="ALG187" s="172"/>
      <c r="ALH187" s="172"/>
      <c r="ALI187" s="172"/>
      <c r="ALJ187" s="172"/>
      <c r="ALK187" s="172"/>
      <c r="ALL187" s="172"/>
      <c r="ALM187" s="172"/>
      <c r="ALN187" s="172"/>
      <c r="ALO187" s="172"/>
      <c r="ALP187" s="172"/>
      <c r="ALQ187" s="172"/>
      <c r="ALR187" s="172"/>
      <c r="ALS187" s="172"/>
      <c r="ALT187" s="172"/>
      <c r="ALU187" s="172"/>
      <c r="ALV187" s="172"/>
      <c r="ALW187" s="172"/>
      <c r="ALX187" s="172"/>
      <c r="ALY187" s="172"/>
      <c r="ALZ187" s="172"/>
      <c r="AMA187" s="172"/>
      <c r="AMB187" s="172"/>
      <c r="AMC187" s="172"/>
      <c r="AMD187" s="172"/>
      <c r="AME187" s="172"/>
      <c r="AMF187" s="172"/>
      <c r="AMG187" s="172"/>
      <c r="AMH187" s="172"/>
      <c r="AMI187" s="172"/>
      <c r="AMJ187" s="172"/>
      <c r="AMK187" s="172"/>
      <c r="AML187" s="172"/>
      <c r="AMM187" s="172"/>
      <c r="AMN187" s="172"/>
      <c r="AMO187" s="172"/>
      <c r="AMP187" s="172"/>
      <c r="AMQ187" s="172"/>
      <c r="AMR187" s="172"/>
      <c r="AMS187" s="172"/>
      <c r="AMT187" s="172"/>
      <c r="AMU187" s="172"/>
      <c r="AMV187" s="172"/>
      <c r="AMW187" s="172"/>
      <c r="AMX187" s="172"/>
      <c r="AMY187" s="172"/>
      <c r="AMZ187" s="172"/>
      <c r="ANA187" s="172"/>
      <c r="ANB187" s="172"/>
      <c r="ANC187" s="172"/>
      <c r="AND187" s="172"/>
      <c r="ANE187" s="172"/>
      <c r="ANF187" s="172"/>
      <c r="ANG187" s="172"/>
      <c r="ANH187" s="172"/>
      <c r="ANI187" s="172"/>
      <c r="ANJ187" s="172"/>
      <c r="ANK187" s="172"/>
      <c r="ANL187" s="172"/>
      <c r="ANM187" s="172"/>
      <c r="ANN187" s="172"/>
      <c r="ANO187" s="172"/>
      <c r="ANP187" s="172"/>
      <c r="ANQ187" s="172"/>
      <c r="ANR187" s="172"/>
      <c r="ANS187" s="172"/>
      <c r="ANT187" s="172"/>
      <c r="ANU187" s="172"/>
      <c r="ANV187" s="172"/>
      <c r="ANW187" s="172"/>
      <c r="ANX187" s="172"/>
      <c r="ANY187" s="172"/>
      <c r="ANZ187" s="172"/>
      <c r="AOA187" s="172"/>
      <c r="AOB187" s="172"/>
      <c r="AOC187" s="172"/>
      <c r="AOD187" s="172"/>
      <c r="AOE187" s="172"/>
      <c r="AOF187" s="172"/>
      <c r="AOG187" s="172"/>
      <c r="AOH187" s="172"/>
      <c r="AOI187" s="172"/>
      <c r="AOJ187" s="172"/>
      <c r="AOK187" s="172"/>
      <c r="AOL187" s="172"/>
      <c r="AOM187" s="172"/>
      <c r="AON187" s="172"/>
      <c r="AOO187" s="172"/>
      <c r="AOP187" s="172"/>
      <c r="AOQ187" s="172"/>
      <c r="AOR187" s="172"/>
      <c r="AOS187" s="172"/>
      <c r="AOT187" s="172"/>
      <c r="AOU187" s="172"/>
      <c r="AOV187" s="172"/>
      <c r="AOW187" s="172"/>
      <c r="AOX187" s="172"/>
      <c r="AOY187" s="172"/>
      <c r="AOZ187" s="172"/>
      <c r="APA187" s="172"/>
      <c r="APB187" s="172"/>
      <c r="APC187" s="172"/>
      <c r="APD187" s="172"/>
      <c r="APE187" s="172"/>
      <c r="APF187" s="172"/>
      <c r="APG187" s="172"/>
      <c r="APH187" s="172"/>
      <c r="API187" s="172"/>
      <c r="APJ187" s="172"/>
      <c r="APK187" s="172"/>
      <c r="APL187" s="172"/>
      <c r="APM187" s="172"/>
      <c r="APN187" s="172"/>
      <c r="APO187" s="172"/>
      <c r="APP187" s="172"/>
      <c r="APQ187" s="172"/>
      <c r="APR187" s="172"/>
      <c r="APS187" s="172"/>
      <c r="APT187" s="172"/>
      <c r="APU187" s="172"/>
      <c r="APV187" s="172"/>
      <c r="APW187" s="172"/>
      <c r="APX187" s="172"/>
      <c r="APY187" s="172"/>
      <c r="APZ187" s="172"/>
      <c r="AQA187" s="172"/>
      <c r="AQB187" s="172"/>
      <c r="AQC187" s="172"/>
      <c r="AQD187" s="172"/>
      <c r="AQE187" s="172"/>
      <c r="AQF187" s="172"/>
      <c r="AQG187" s="172"/>
      <c r="AQH187" s="172"/>
      <c r="AQI187" s="172"/>
      <c r="AQJ187" s="172"/>
      <c r="AQK187" s="172"/>
      <c r="AQL187" s="172"/>
      <c r="AQM187" s="172"/>
      <c r="AQN187" s="172"/>
      <c r="AQO187" s="172"/>
      <c r="AQP187" s="172"/>
      <c r="AQQ187" s="172"/>
      <c r="AQR187" s="172"/>
      <c r="AQS187" s="172"/>
      <c r="AQT187" s="172"/>
      <c r="AQU187" s="172"/>
      <c r="AQV187" s="172"/>
      <c r="AQW187" s="172"/>
      <c r="AQX187" s="172"/>
      <c r="AQY187" s="172"/>
      <c r="AQZ187" s="172"/>
      <c r="ARA187" s="172"/>
      <c r="ARB187" s="172"/>
      <c r="ARC187" s="172"/>
      <c r="ARD187" s="172"/>
      <c r="ARE187" s="172"/>
      <c r="ARF187" s="172"/>
      <c r="ARG187" s="172"/>
      <c r="ARH187" s="172"/>
      <c r="ARI187" s="172"/>
      <c r="ARJ187" s="172"/>
      <c r="ARK187" s="172"/>
      <c r="ARL187" s="172"/>
      <c r="ARM187" s="172"/>
      <c r="ARN187" s="172"/>
      <c r="ARO187" s="172"/>
      <c r="ARP187" s="172"/>
      <c r="ARQ187" s="172"/>
      <c r="ARR187" s="172"/>
      <c r="ARS187" s="172"/>
      <c r="ART187" s="172"/>
      <c r="ARU187" s="172"/>
    </row>
    <row r="188" spans="1:1165">
      <c r="A188" s="1520"/>
      <c r="B188" s="1484"/>
      <c r="C188" s="1489"/>
      <c r="D188" s="1489"/>
      <c r="E188" s="1489"/>
      <c r="F188" s="1489"/>
      <c r="G188" s="1489"/>
      <c r="H188" s="1489"/>
      <c r="I188" s="1489"/>
      <c r="J188" s="1489"/>
      <c r="K188" s="1489"/>
      <c r="L188" s="1489"/>
      <c r="M188" s="1489"/>
      <c r="N188" s="1489"/>
      <c r="O188" s="1489"/>
      <c r="P188" s="1489"/>
      <c r="Q188" s="1489"/>
      <c r="R188" s="1489"/>
      <c r="S188" s="1489"/>
      <c r="T188" s="1489"/>
      <c r="U188" s="1513"/>
      <c r="V188" s="1512"/>
      <c r="W188" s="1516"/>
      <c r="X188" s="1489"/>
      <c r="Y188" s="1512"/>
      <c r="Z188" s="1512"/>
      <c r="AA188" s="1516"/>
      <c r="AB188" s="1517"/>
      <c r="AC188" s="1512"/>
      <c r="AD188" s="1512"/>
      <c r="AE188" s="1516"/>
      <c r="AF188" s="1516"/>
      <c r="AG188" s="1516"/>
      <c r="AH188" s="1516"/>
      <c r="AI188" s="1516"/>
      <c r="AJ188" s="1516"/>
      <c r="AK188" s="1516"/>
      <c r="AL188" s="1516"/>
      <c r="AM188" s="1525"/>
      <c r="AN188" s="1525"/>
      <c r="AO188" s="1516"/>
      <c r="AP188" s="1516"/>
      <c r="AQ188" s="1516"/>
      <c r="AR188" s="1516"/>
      <c r="AS188" s="1516"/>
      <c r="AT188" s="1516"/>
      <c r="AU188" s="1516"/>
      <c r="AV188" s="1517"/>
      <c r="AW188" s="1485"/>
      <c r="AX188" s="1485"/>
      <c r="AY188" s="1518"/>
      <c r="AZ188" s="1485"/>
      <c r="BA188" s="1486"/>
      <c r="BB188" s="1485"/>
      <c r="BC188" s="1485"/>
      <c r="BD188" s="1485"/>
      <c r="BE188" s="1485"/>
      <c r="BF188" s="1485"/>
      <c r="BG188" s="1485"/>
      <c r="BH188" s="1485"/>
      <c r="BI188" s="1486"/>
      <c r="BJ188" s="1485"/>
      <c r="BK188" s="1485"/>
      <c r="BL188" s="172"/>
      <c r="BM188" s="231"/>
      <c r="BO188" s="231"/>
      <c r="BP188" s="231"/>
      <c r="BS188" s="13"/>
      <c r="BT188" s="13"/>
      <c r="BU188" s="13"/>
      <c r="BV188" s="13"/>
      <c r="BW188" s="13"/>
      <c r="BX188" s="13"/>
    </row>
    <row r="189" spans="1:1165">
      <c r="A189" s="194" t="s">
        <v>269</v>
      </c>
      <c r="B189" s="195" t="s">
        <v>87</v>
      </c>
      <c r="C189" s="284">
        <v>12047</v>
      </c>
      <c r="D189" s="284">
        <v>145421</v>
      </c>
      <c r="E189" s="258">
        <v>0</v>
      </c>
      <c r="F189" s="258">
        <v>0</v>
      </c>
      <c r="G189" s="258">
        <v>0</v>
      </c>
      <c r="H189" s="258">
        <v>0</v>
      </c>
      <c r="I189" s="258">
        <v>0</v>
      </c>
      <c r="J189" s="258">
        <v>0</v>
      </c>
      <c r="K189" s="258">
        <v>0</v>
      </c>
      <c r="L189" s="258">
        <v>0</v>
      </c>
      <c r="M189" s="258">
        <v>0</v>
      </c>
      <c r="N189" s="258">
        <v>0</v>
      </c>
      <c r="O189" s="258">
        <v>0</v>
      </c>
      <c r="P189" s="258">
        <v>0</v>
      </c>
      <c r="Q189" s="258">
        <v>0</v>
      </c>
      <c r="R189" s="258">
        <v>0</v>
      </c>
      <c r="S189" s="258">
        <v>0</v>
      </c>
      <c r="T189" s="258">
        <v>0</v>
      </c>
      <c r="U189" s="258">
        <v>0</v>
      </c>
      <c r="V189" s="258">
        <v>0</v>
      </c>
      <c r="W189" s="258">
        <v>0</v>
      </c>
      <c r="X189" s="258">
        <v>0</v>
      </c>
      <c r="Y189" s="258">
        <v>0</v>
      </c>
      <c r="Z189" s="258">
        <v>0</v>
      </c>
      <c r="AA189" s="258">
        <v>0</v>
      </c>
      <c r="AB189" s="258">
        <v>0</v>
      </c>
      <c r="AC189" s="258">
        <v>0</v>
      </c>
      <c r="AD189" s="258">
        <v>0</v>
      </c>
      <c r="AE189" s="258">
        <v>0</v>
      </c>
      <c r="AF189" s="258">
        <v>0</v>
      </c>
      <c r="AG189" s="258">
        <v>0</v>
      </c>
      <c r="AH189" s="258">
        <v>0</v>
      </c>
      <c r="AI189" s="258">
        <v>0</v>
      </c>
      <c r="AJ189" s="258">
        <v>0</v>
      </c>
      <c r="AK189" s="258">
        <v>0</v>
      </c>
      <c r="AL189" s="258">
        <v>0</v>
      </c>
      <c r="AM189" s="258">
        <v>0</v>
      </c>
      <c r="AN189" s="258">
        <v>0</v>
      </c>
      <c r="AO189" s="258">
        <v>0</v>
      </c>
      <c r="AP189" s="258">
        <v>0</v>
      </c>
      <c r="AQ189" s="258">
        <v>0</v>
      </c>
      <c r="AR189" s="258">
        <v>0</v>
      </c>
      <c r="AS189" s="258">
        <v>0</v>
      </c>
      <c r="AT189" s="258">
        <v>0</v>
      </c>
      <c r="AU189" s="258">
        <v>0</v>
      </c>
      <c r="AV189" s="258">
        <v>0</v>
      </c>
      <c r="AW189" s="284">
        <v>0</v>
      </c>
      <c r="AX189" s="284">
        <v>0</v>
      </c>
      <c r="AY189" s="284">
        <v>0</v>
      </c>
      <c r="AZ189" s="284">
        <v>0</v>
      </c>
      <c r="BA189" s="262"/>
      <c r="BB189" s="284"/>
      <c r="BC189" s="284"/>
      <c r="BD189" s="284"/>
      <c r="BE189" s="284"/>
      <c r="BF189" s="284"/>
      <c r="BG189" s="284"/>
      <c r="BH189" s="284"/>
      <c r="BI189" s="262"/>
      <c r="BJ189" s="284">
        <f>C189+G189+I189+K189+M189+O189+Q189+S189+U189+W189+Y189+AA189+AC189+AE189+AG189+AI189+AK189+AM189+AO189+AQ189+AS189+AU189+AW189+AY189+BB189+BF189</f>
        <v>12047</v>
      </c>
      <c r="BK189" s="258">
        <f>D189+H189+J189+L189+N189+P189+R189+T189+V189+X189+Z189+AB189+AD189+AF189+AH189+AJ189+AL189+AN189+AP189+AR189+AT189+AV189+AX189+AZ189+BD189+BH189</f>
        <v>145421</v>
      </c>
      <c r="BL189" s="172"/>
      <c r="BM189" s="231"/>
      <c r="BO189" s="231"/>
      <c r="BP189" s="231"/>
      <c r="BS189" s="13"/>
    </row>
    <row r="190" spans="1:1165">
      <c r="A190" s="223"/>
      <c r="B190" s="195"/>
      <c r="C190" s="258"/>
      <c r="D190" s="258"/>
      <c r="E190" s="258"/>
      <c r="F190" s="258"/>
      <c r="G190" s="258"/>
      <c r="H190" s="258"/>
      <c r="I190" s="258"/>
      <c r="J190" s="258"/>
      <c r="K190" s="258"/>
      <c r="L190" s="258"/>
      <c r="M190" s="258"/>
      <c r="N190" s="258"/>
      <c r="O190" s="258"/>
      <c r="P190" s="258"/>
      <c r="Q190" s="258"/>
      <c r="R190" s="258"/>
      <c r="S190" s="258"/>
      <c r="T190" s="258"/>
      <c r="U190" s="227"/>
      <c r="V190" s="227"/>
      <c r="W190" s="288"/>
      <c r="X190" s="288"/>
      <c r="Y190" s="258"/>
      <c r="Z190" s="258"/>
      <c r="AA190" s="288"/>
      <c r="AB190" s="288"/>
      <c r="AC190" s="258"/>
      <c r="AD190" s="258"/>
      <c r="AE190" s="288"/>
      <c r="AF190" s="288"/>
      <c r="AG190" s="288"/>
      <c r="AH190" s="288"/>
      <c r="AI190" s="288"/>
      <c r="AJ190" s="288"/>
      <c r="AK190" s="288"/>
      <c r="AL190" s="288"/>
      <c r="AM190" s="288"/>
      <c r="AN190" s="288"/>
      <c r="AO190" s="288"/>
      <c r="AP190" s="288"/>
      <c r="AQ190" s="288"/>
      <c r="AR190" s="288"/>
      <c r="AS190" s="288"/>
      <c r="AT190" s="288"/>
      <c r="AU190" s="302"/>
      <c r="AV190" s="302"/>
      <c r="AW190" s="256"/>
      <c r="AX190" s="256"/>
      <c r="AY190" s="255"/>
      <c r="AZ190" s="255"/>
      <c r="BA190" s="262"/>
      <c r="BB190" s="256"/>
      <c r="BC190" s="256"/>
      <c r="BD190" s="256"/>
      <c r="BE190" s="256"/>
      <c r="BF190" s="256"/>
      <c r="BG190" s="256"/>
      <c r="BH190" s="256"/>
      <c r="BI190" s="262"/>
      <c r="BJ190" s="256"/>
      <c r="BK190" s="256"/>
      <c r="BL190" s="172"/>
      <c r="BM190" s="231"/>
      <c r="BO190" s="231"/>
      <c r="BP190" s="231"/>
      <c r="BS190" s="13"/>
    </row>
    <row r="191" spans="1:1165" s="257" customFormat="1">
      <c r="A191" s="194" t="s">
        <v>270</v>
      </c>
      <c r="B191" s="195"/>
      <c r="C191" s="258"/>
      <c r="D191" s="258"/>
      <c r="E191" s="258"/>
      <c r="F191" s="258"/>
      <c r="G191" s="258"/>
      <c r="H191" s="258"/>
      <c r="I191" s="258"/>
      <c r="J191" s="258"/>
      <c r="K191" s="258"/>
      <c r="L191" s="258"/>
      <c r="M191" s="258"/>
      <c r="N191" s="258"/>
      <c r="O191" s="258"/>
      <c r="P191" s="258"/>
      <c r="Q191" s="258"/>
      <c r="R191" s="258"/>
      <c r="S191" s="258"/>
      <c r="T191" s="258"/>
      <c r="U191" s="227"/>
      <c r="V191" s="227"/>
      <c r="W191" s="288"/>
      <c r="X191" s="288"/>
      <c r="Y191" s="258"/>
      <c r="Z191" s="258"/>
      <c r="AA191" s="288"/>
      <c r="AB191" s="288"/>
      <c r="AC191" s="258"/>
      <c r="AD191" s="258"/>
      <c r="AE191" s="288"/>
      <c r="AF191" s="288"/>
      <c r="AG191" s="288"/>
      <c r="AH191" s="288"/>
      <c r="AI191" s="288"/>
      <c r="AJ191" s="288"/>
      <c r="AK191" s="288"/>
      <c r="AL191" s="288"/>
      <c r="AM191" s="288"/>
      <c r="AN191" s="288"/>
      <c r="AO191" s="288"/>
      <c r="AP191" s="288"/>
      <c r="AQ191" s="288"/>
      <c r="AR191" s="288"/>
      <c r="AS191" s="288"/>
      <c r="AT191" s="288"/>
      <c r="AU191" s="302"/>
      <c r="AV191" s="302"/>
      <c r="AW191" s="256"/>
      <c r="AX191" s="256"/>
      <c r="AY191" s="255"/>
      <c r="AZ191" s="255"/>
      <c r="BA191" s="262"/>
      <c r="BB191" s="256"/>
      <c r="BC191" s="256"/>
      <c r="BD191" s="256"/>
      <c r="BE191" s="256"/>
      <c r="BF191" s="256"/>
      <c r="BG191" s="256"/>
      <c r="BH191" s="256"/>
      <c r="BI191" s="262"/>
      <c r="BJ191" s="256"/>
      <c r="BK191" s="256"/>
      <c r="BL191" s="172"/>
      <c r="BM191" s="231"/>
      <c r="BN191" s="231"/>
      <c r="BO191" s="231"/>
      <c r="BP191" s="231"/>
      <c r="BQ191" s="172"/>
      <c r="BR191" s="172"/>
      <c r="BS191" s="13"/>
      <c r="BT191" s="172"/>
      <c r="BU191" s="172"/>
      <c r="BV191" s="172"/>
      <c r="BW191" s="172"/>
      <c r="BX191" s="172"/>
      <c r="BY191" s="172"/>
      <c r="BZ191" s="172"/>
      <c r="CA191" s="172"/>
      <c r="CB191" s="172"/>
      <c r="CC191" s="172"/>
      <c r="CD191" s="172"/>
      <c r="CE191" s="172"/>
      <c r="CF191" s="172"/>
      <c r="CG191" s="172"/>
      <c r="CH191" s="172"/>
      <c r="CI191" s="172"/>
      <c r="CJ191" s="172"/>
      <c r="CK191" s="172"/>
      <c r="CL191" s="172"/>
      <c r="CM191" s="172"/>
      <c r="CN191" s="172"/>
      <c r="CO191" s="172"/>
      <c r="CP191" s="172"/>
      <c r="CQ191" s="172"/>
      <c r="CR191" s="172"/>
      <c r="CS191" s="172"/>
      <c r="CT191" s="172"/>
      <c r="CU191" s="172"/>
      <c r="CV191" s="172"/>
      <c r="CW191" s="172"/>
      <c r="CX191" s="172"/>
      <c r="CY191" s="172"/>
      <c r="CZ191" s="172"/>
      <c r="DA191" s="172"/>
      <c r="DB191" s="172"/>
      <c r="DC191" s="172"/>
      <c r="DD191" s="172"/>
      <c r="DE191" s="172"/>
      <c r="DF191" s="172"/>
      <c r="DG191" s="172"/>
      <c r="DH191" s="172"/>
      <c r="DI191" s="172"/>
      <c r="DJ191" s="172"/>
      <c r="DK191" s="172"/>
      <c r="DL191" s="172"/>
      <c r="DM191" s="172"/>
      <c r="DN191" s="172"/>
      <c r="DO191" s="172"/>
      <c r="DP191" s="172"/>
      <c r="DQ191" s="172"/>
      <c r="DR191" s="172"/>
      <c r="DS191" s="172"/>
      <c r="DT191" s="172"/>
      <c r="DU191" s="172"/>
      <c r="DV191" s="172"/>
      <c r="DW191" s="172"/>
      <c r="DX191" s="172"/>
      <c r="DY191" s="172"/>
      <c r="DZ191" s="172"/>
      <c r="EA191" s="172"/>
      <c r="EB191" s="172"/>
      <c r="EC191" s="172"/>
      <c r="ED191" s="172"/>
      <c r="EE191" s="172"/>
      <c r="EF191" s="172"/>
      <c r="EG191" s="172"/>
      <c r="EH191" s="172"/>
      <c r="EI191" s="172"/>
      <c r="EJ191" s="172"/>
      <c r="EK191" s="172"/>
      <c r="EL191" s="172"/>
      <c r="EM191" s="172"/>
      <c r="EN191" s="172"/>
      <c r="EO191" s="172"/>
      <c r="EP191" s="172"/>
      <c r="EQ191" s="172"/>
      <c r="ER191" s="172"/>
      <c r="ES191" s="172"/>
      <c r="ET191" s="172"/>
      <c r="EU191" s="172"/>
      <c r="EV191" s="172"/>
      <c r="EW191" s="172"/>
      <c r="EX191" s="172"/>
      <c r="EY191" s="172"/>
      <c r="EZ191" s="172"/>
      <c r="FA191" s="172"/>
      <c r="FB191" s="172"/>
      <c r="FC191" s="172"/>
      <c r="FD191" s="172"/>
      <c r="FE191" s="172"/>
      <c r="FF191" s="172"/>
      <c r="FG191" s="172"/>
      <c r="FH191" s="172"/>
      <c r="FI191" s="172"/>
      <c r="FJ191" s="172"/>
      <c r="FK191" s="172"/>
      <c r="FL191" s="172"/>
      <c r="FM191" s="172"/>
      <c r="FN191" s="172"/>
      <c r="FO191" s="172"/>
      <c r="FP191" s="172"/>
      <c r="FQ191" s="172"/>
      <c r="FR191" s="172"/>
      <c r="FS191" s="172"/>
      <c r="FT191" s="172"/>
      <c r="FU191" s="172"/>
      <c r="FV191" s="172"/>
      <c r="FW191" s="172"/>
      <c r="FX191" s="172"/>
      <c r="FY191" s="172"/>
      <c r="FZ191" s="172"/>
      <c r="GA191" s="172"/>
      <c r="GB191" s="172"/>
      <c r="GC191" s="172"/>
      <c r="GD191" s="172"/>
      <c r="GE191" s="172"/>
      <c r="GF191" s="172"/>
      <c r="GG191" s="172"/>
      <c r="GH191" s="172"/>
      <c r="GI191" s="172"/>
      <c r="GJ191" s="172"/>
      <c r="GK191" s="172"/>
      <c r="GL191" s="172"/>
      <c r="GM191" s="172"/>
      <c r="GN191" s="172"/>
      <c r="GO191" s="172"/>
      <c r="GP191" s="172"/>
      <c r="GQ191" s="172"/>
      <c r="GR191" s="172"/>
      <c r="GS191" s="172"/>
      <c r="GT191" s="172"/>
      <c r="GU191" s="172"/>
      <c r="GV191" s="172"/>
      <c r="GW191" s="172"/>
      <c r="GX191" s="172"/>
      <c r="GY191" s="172"/>
      <c r="GZ191" s="172"/>
      <c r="HA191" s="172"/>
      <c r="HB191" s="172"/>
      <c r="HC191" s="172"/>
      <c r="HD191" s="172"/>
      <c r="HE191" s="172"/>
      <c r="HF191" s="172"/>
      <c r="HG191" s="172"/>
      <c r="HH191" s="172"/>
      <c r="HI191" s="172"/>
      <c r="HJ191" s="172"/>
      <c r="HK191" s="172"/>
      <c r="HL191" s="172"/>
      <c r="HM191" s="172"/>
      <c r="HN191" s="172"/>
      <c r="HO191" s="172"/>
      <c r="HP191" s="172"/>
      <c r="HQ191" s="172"/>
      <c r="HR191" s="172"/>
      <c r="HS191" s="172"/>
      <c r="HT191" s="172"/>
      <c r="HU191" s="172"/>
      <c r="HV191" s="172"/>
      <c r="HW191" s="172"/>
      <c r="HX191" s="172"/>
      <c r="HY191" s="172"/>
      <c r="HZ191" s="172"/>
      <c r="IA191" s="172"/>
      <c r="IB191" s="172"/>
      <c r="IC191" s="172"/>
      <c r="ID191" s="172"/>
      <c r="IE191" s="172"/>
      <c r="IF191" s="172"/>
      <c r="IG191" s="172"/>
      <c r="IH191" s="172"/>
      <c r="II191" s="172"/>
      <c r="IJ191" s="172"/>
      <c r="IK191" s="172"/>
      <c r="IL191" s="172"/>
      <c r="IM191" s="172"/>
      <c r="IN191" s="172"/>
      <c r="IO191" s="172"/>
      <c r="IP191" s="172"/>
      <c r="IQ191" s="172"/>
      <c r="IR191" s="172"/>
      <c r="IS191" s="172"/>
      <c r="IT191" s="172"/>
      <c r="IU191" s="172"/>
      <c r="IV191" s="172"/>
      <c r="IW191" s="172"/>
      <c r="IX191" s="172"/>
      <c r="IY191" s="172"/>
      <c r="IZ191" s="172"/>
      <c r="JA191" s="172"/>
      <c r="JB191" s="172"/>
      <c r="JC191" s="172"/>
      <c r="JD191" s="172"/>
      <c r="JE191" s="172"/>
      <c r="JF191" s="172"/>
      <c r="JG191" s="172"/>
      <c r="JH191" s="172"/>
      <c r="JI191" s="172"/>
      <c r="JJ191" s="172"/>
      <c r="JK191" s="172"/>
      <c r="JL191" s="172"/>
      <c r="JM191" s="172"/>
      <c r="JN191" s="172"/>
      <c r="JO191" s="172"/>
      <c r="JP191" s="172"/>
      <c r="JQ191" s="172"/>
      <c r="JR191" s="172"/>
      <c r="JS191" s="172"/>
      <c r="JT191" s="172"/>
      <c r="JU191" s="172"/>
      <c r="JV191" s="172"/>
      <c r="JW191" s="172"/>
      <c r="JX191" s="172"/>
      <c r="JY191" s="172"/>
      <c r="JZ191" s="172"/>
      <c r="KA191" s="172"/>
      <c r="KB191" s="172"/>
      <c r="KC191" s="172"/>
      <c r="KD191" s="172"/>
      <c r="KE191" s="172"/>
      <c r="KF191" s="172"/>
      <c r="KG191" s="172"/>
      <c r="KH191" s="172"/>
      <c r="KI191" s="172"/>
      <c r="KJ191" s="172"/>
      <c r="KK191" s="172"/>
      <c r="KL191" s="172"/>
      <c r="KM191" s="172"/>
      <c r="KN191" s="172"/>
      <c r="KO191" s="172"/>
      <c r="KP191" s="172"/>
      <c r="KQ191" s="172"/>
      <c r="KR191" s="172"/>
      <c r="KS191" s="172"/>
      <c r="KT191" s="172"/>
      <c r="KU191" s="172"/>
      <c r="KV191" s="172"/>
      <c r="KW191" s="172"/>
      <c r="KX191" s="172"/>
      <c r="KY191" s="172"/>
      <c r="KZ191" s="172"/>
      <c r="LA191" s="172"/>
      <c r="LB191" s="172"/>
      <c r="LC191" s="172"/>
      <c r="LD191" s="172"/>
      <c r="LE191" s="172"/>
      <c r="LF191" s="172"/>
      <c r="LG191" s="172"/>
      <c r="LH191" s="172"/>
      <c r="LI191" s="172"/>
      <c r="LJ191" s="172"/>
      <c r="LK191" s="172"/>
      <c r="LL191" s="172"/>
      <c r="LM191" s="172"/>
      <c r="LN191" s="172"/>
      <c r="LO191" s="172"/>
      <c r="LP191" s="172"/>
      <c r="LQ191" s="172"/>
      <c r="LR191" s="172"/>
      <c r="LS191" s="172"/>
      <c r="LT191" s="172"/>
      <c r="LU191" s="172"/>
      <c r="LV191" s="172"/>
      <c r="LW191" s="172"/>
      <c r="LX191" s="172"/>
      <c r="LY191" s="172"/>
      <c r="LZ191" s="172"/>
      <c r="MA191" s="172"/>
      <c r="MB191" s="172"/>
      <c r="MC191" s="172"/>
      <c r="MD191" s="172"/>
      <c r="ME191" s="172"/>
      <c r="MF191" s="172"/>
      <c r="MG191" s="172"/>
      <c r="MH191" s="172"/>
      <c r="MI191" s="172"/>
      <c r="MJ191" s="172"/>
      <c r="MK191" s="172"/>
      <c r="ML191" s="172"/>
      <c r="MM191" s="172"/>
      <c r="MN191" s="172"/>
      <c r="MO191" s="172"/>
      <c r="MP191" s="172"/>
      <c r="MQ191" s="172"/>
      <c r="MR191" s="172"/>
      <c r="MS191" s="172"/>
      <c r="MT191" s="172"/>
      <c r="MU191" s="172"/>
      <c r="MV191" s="172"/>
      <c r="MW191" s="172"/>
      <c r="MX191" s="172"/>
      <c r="MY191" s="172"/>
      <c r="MZ191" s="172"/>
      <c r="NA191" s="172"/>
      <c r="NB191" s="172"/>
      <c r="NC191" s="172"/>
      <c r="ND191" s="172"/>
      <c r="NE191" s="172"/>
      <c r="NF191" s="172"/>
      <c r="NG191" s="172"/>
      <c r="NH191" s="172"/>
      <c r="NI191" s="172"/>
      <c r="NJ191" s="172"/>
      <c r="NK191" s="172"/>
      <c r="NL191" s="172"/>
      <c r="NM191" s="172"/>
      <c r="NN191" s="172"/>
      <c r="NO191" s="172"/>
      <c r="NP191" s="172"/>
      <c r="NQ191" s="172"/>
      <c r="NR191" s="172"/>
      <c r="NS191" s="172"/>
      <c r="NT191" s="172"/>
      <c r="NU191" s="172"/>
      <c r="NV191" s="172"/>
      <c r="NW191" s="172"/>
      <c r="NX191" s="172"/>
      <c r="NY191" s="172"/>
      <c r="NZ191" s="172"/>
      <c r="OA191" s="172"/>
      <c r="OB191" s="172"/>
      <c r="OC191" s="172"/>
      <c r="OD191" s="172"/>
      <c r="OE191" s="172"/>
      <c r="OF191" s="172"/>
      <c r="OG191" s="172"/>
      <c r="OH191" s="172"/>
      <c r="OI191" s="172"/>
      <c r="OJ191" s="172"/>
      <c r="OK191" s="172"/>
      <c r="OL191" s="172"/>
      <c r="OM191" s="172"/>
      <c r="ON191" s="172"/>
      <c r="OO191" s="172"/>
      <c r="OP191" s="172"/>
      <c r="OQ191" s="172"/>
      <c r="OR191" s="172"/>
      <c r="OS191" s="172"/>
      <c r="OT191" s="172"/>
      <c r="OU191" s="172"/>
      <c r="OV191" s="172"/>
      <c r="OW191" s="172"/>
      <c r="OX191" s="172"/>
      <c r="OY191" s="172"/>
      <c r="OZ191" s="172"/>
      <c r="PA191" s="172"/>
      <c r="PB191" s="172"/>
      <c r="PC191" s="172"/>
      <c r="PD191" s="172"/>
      <c r="PE191" s="172"/>
      <c r="PF191" s="172"/>
      <c r="PG191" s="172"/>
      <c r="PH191" s="172"/>
      <c r="PI191" s="172"/>
      <c r="PJ191" s="172"/>
      <c r="PK191" s="172"/>
      <c r="PL191" s="172"/>
      <c r="PM191" s="172"/>
      <c r="PN191" s="172"/>
      <c r="PO191" s="172"/>
      <c r="PP191" s="172"/>
      <c r="PQ191" s="172"/>
      <c r="PR191" s="172"/>
      <c r="PS191" s="172"/>
      <c r="PT191" s="172"/>
      <c r="PU191" s="172"/>
      <c r="PV191" s="172"/>
      <c r="PW191" s="172"/>
      <c r="PX191" s="172"/>
      <c r="PY191" s="172"/>
      <c r="PZ191" s="172"/>
      <c r="QA191" s="172"/>
      <c r="QB191" s="172"/>
      <c r="QC191" s="172"/>
      <c r="QD191" s="172"/>
      <c r="QE191" s="172"/>
      <c r="QF191" s="172"/>
      <c r="QG191" s="172"/>
      <c r="QH191" s="172"/>
      <c r="QI191" s="172"/>
      <c r="QJ191" s="172"/>
      <c r="QK191" s="172"/>
      <c r="QL191" s="172"/>
      <c r="QM191" s="172"/>
      <c r="QN191" s="172"/>
      <c r="QO191" s="172"/>
      <c r="QP191" s="172"/>
      <c r="QQ191" s="172"/>
      <c r="QR191" s="172"/>
      <c r="QS191" s="172"/>
      <c r="QT191" s="172"/>
      <c r="QU191" s="172"/>
      <c r="QV191" s="172"/>
      <c r="QW191" s="172"/>
      <c r="QX191" s="172"/>
      <c r="QY191" s="172"/>
      <c r="QZ191" s="172"/>
      <c r="RA191" s="172"/>
      <c r="RB191" s="172"/>
      <c r="RC191" s="172"/>
      <c r="RD191" s="172"/>
      <c r="RE191" s="172"/>
      <c r="RF191" s="172"/>
      <c r="RG191" s="172"/>
      <c r="RH191" s="172"/>
      <c r="RI191" s="172"/>
      <c r="RJ191" s="172"/>
      <c r="RK191" s="172"/>
      <c r="RL191" s="172"/>
      <c r="RM191" s="172"/>
      <c r="RN191" s="172"/>
      <c r="RO191" s="172"/>
      <c r="RP191" s="172"/>
      <c r="RQ191" s="172"/>
      <c r="RR191" s="172"/>
      <c r="RS191" s="172"/>
      <c r="RT191" s="172"/>
      <c r="RU191" s="172"/>
      <c r="RV191" s="172"/>
      <c r="RW191" s="172"/>
      <c r="RX191" s="172"/>
      <c r="RY191" s="172"/>
      <c r="RZ191" s="172"/>
      <c r="SA191" s="172"/>
      <c r="SB191" s="172"/>
      <c r="SC191" s="172"/>
      <c r="SD191" s="172"/>
      <c r="SE191" s="172"/>
      <c r="SF191" s="172"/>
      <c r="SG191" s="172"/>
      <c r="SH191" s="172"/>
      <c r="SI191" s="172"/>
      <c r="SJ191" s="172"/>
      <c r="SK191" s="172"/>
      <c r="SL191" s="172"/>
      <c r="SM191" s="172"/>
      <c r="SN191" s="172"/>
      <c r="SO191" s="172"/>
      <c r="SP191" s="172"/>
      <c r="SQ191" s="172"/>
      <c r="SR191" s="172"/>
      <c r="SS191" s="172"/>
      <c r="ST191" s="172"/>
      <c r="SU191" s="172"/>
      <c r="SV191" s="172"/>
      <c r="SW191" s="172"/>
      <c r="SX191" s="172"/>
      <c r="SY191" s="172"/>
      <c r="SZ191" s="172"/>
      <c r="TA191" s="172"/>
      <c r="TB191" s="172"/>
      <c r="TC191" s="172"/>
      <c r="TD191" s="172"/>
      <c r="TE191" s="172"/>
      <c r="TF191" s="172"/>
      <c r="TG191" s="172"/>
      <c r="TH191" s="172"/>
      <c r="TI191" s="172"/>
      <c r="TJ191" s="172"/>
      <c r="TK191" s="172"/>
      <c r="TL191" s="172"/>
      <c r="TM191" s="172"/>
      <c r="TN191" s="172"/>
      <c r="TO191" s="172"/>
      <c r="TP191" s="172"/>
      <c r="TQ191" s="172"/>
      <c r="TR191" s="172"/>
      <c r="TS191" s="172"/>
      <c r="TT191" s="172"/>
      <c r="TU191" s="172"/>
      <c r="TV191" s="172"/>
      <c r="TW191" s="172"/>
      <c r="TX191" s="172"/>
      <c r="TY191" s="172"/>
      <c r="TZ191" s="172"/>
      <c r="UA191" s="172"/>
      <c r="UB191" s="172"/>
      <c r="UC191" s="172"/>
      <c r="UD191" s="172"/>
      <c r="UE191" s="172"/>
      <c r="UF191" s="172"/>
      <c r="UG191" s="172"/>
      <c r="UH191" s="172"/>
      <c r="UI191" s="172"/>
      <c r="UJ191" s="172"/>
      <c r="UK191" s="172"/>
      <c r="UL191" s="172"/>
      <c r="UM191" s="172"/>
      <c r="UN191" s="172"/>
      <c r="UO191" s="172"/>
      <c r="UP191" s="172"/>
      <c r="UQ191" s="172"/>
      <c r="UR191" s="172"/>
      <c r="US191" s="172"/>
      <c r="UT191" s="172"/>
      <c r="UU191" s="172"/>
      <c r="UV191" s="172"/>
      <c r="UW191" s="172"/>
      <c r="UX191" s="172"/>
      <c r="UY191" s="172"/>
      <c r="UZ191" s="172"/>
      <c r="VA191" s="172"/>
      <c r="VB191" s="172"/>
      <c r="VC191" s="172"/>
      <c r="VD191" s="172"/>
      <c r="VE191" s="172"/>
      <c r="VF191" s="172"/>
      <c r="VG191" s="172"/>
      <c r="VH191" s="172"/>
      <c r="VI191" s="172"/>
      <c r="VJ191" s="172"/>
      <c r="VK191" s="172"/>
      <c r="VL191" s="172"/>
      <c r="VM191" s="172"/>
      <c r="VN191" s="172"/>
      <c r="VO191" s="172"/>
      <c r="VP191" s="172"/>
      <c r="VQ191" s="172"/>
      <c r="VR191" s="172"/>
      <c r="VS191" s="172"/>
      <c r="VT191" s="172"/>
      <c r="VU191" s="172"/>
      <c r="VV191" s="172"/>
      <c r="VW191" s="172"/>
      <c r="VX191" s="172"/>
      <c r="VY191" s="172"/>
      <c r="VZ191" s="172"/>
      <c r="WA191" s="172"/>
      <c r="WB191" s="172"/>
      <c r="WC191" s="172"/>
      <c r="WD191" s="172"/>
      <c r="WE191" s="172"/>
      <c r="WF191" s="172"/>
      <c r="WG191" s="172"/>
      <c r="WH191" s="172"/>
      <c r="WI191" s="172"/>
      <c r="WJ191" s="172"/>
      <c r="WK191" s="172"/>
      <c r="WL191" s="172"/>
      <c r="WM191" s="172"/>
      <c r="WN191" s="172"/>
      <c r="WO191" s="172"/>
      <c r="WP191" s="172"/>
      <c r="WQ191" s="172"/>
      <c r="WR191" s="172"/>
      <c r="WS191" s="172"/>
      <c r="WT191" s="172"/>
      <c r="WU191" s="172"/>
      <c r="WV191" s="172"/>
      <c r="WW191" s="172"/>
      <c r="WX191" s="172"/>
      <c r="WY191" s="172"/>
      <c r="WZ191" s="172"/>
      <c r="XA191" s="172"/>
      <c r="XB191" s="172"/>
      <c r="XC191" s="172"/>
      <c r="XD191" s="172"/>
      <c r="XE191" s="172"/>
      <c r="XF191" s="172"/>
      <c r="XG191" s="172"/>
      <c r="XH191" s="172"/>
      <c r="XI191" s="172"/>
      <c r="XJ191" s="172"/>
      <c r="XK191" s="172"/>
      <c r="XL191" s="172"/>
      <c r="XM191" s="172"/>
      <c r="XN191" s="172"/>
      <c r="XO191" s="172"/>
      <c r="XP191" s="172"/>
      <c r="XQ191" s="172"/>
      <c r="XR191" s="172"/>
      <c r="XS191" s="172"/>
      <c r="XT191" s="172"/>
      <c r="XU191" s="172"/>
      <c r="XV191" s="172"/>
      <c r="XW191" s="172"/>
      <c r="XX191" s="172"/>
      <c r="XY191" s="172"/>
      <c r="XZ191" s="172"/>
      <c r="YA191" s="172"/>
      <c r="YB191" s="172"/>
      <c r="YC191" s="172"/>
      <c r="YD191" s="172"/>
      <c r="YE191" s="172"/>
      <c r="YF191" s="172"/>
      <c r="YG191" s="172"/>
      <c r="YH191" s="172"/>
      <c r="YI191" s="172"/>
      <c r="YJ191" s="172"/>
      <c r="YK191" s="172"/>
      <c r="YL191" s="172"/>
      <c r="YM191" s="172"/>
      <c r="YN191" s="172"/>
      <c r="YO191" s="172"/>
      <c r="YP191" s="172"/>
      <c r="YQ191" s="172"/>
      <c r="YR191" s="172"/>
      <c r="YS191" s="172"/>
      <c r="YT191" s="172"/>
      <c r="YU191" s="172"/>
      <c r="YV191" s="172"/>
      <c r="YW191" s="172"/>
      <c r="YX191" s="172"/>
      <c r="YY191" s="172"/>
      <c r="YZ191" s="172"/>
      <c r="ZA191" s="172"/>
      <c r="ZB191" s="172"/>
      <c r="ZC191" s="172"/>
      <c r="ZD191" s="172"/>
      <c r="ZE191" s="172"/>
      <c r="ZF191" s="172"/>
      <c r="ZG191" s="172"/>
      <c r="ZH191" s="172"/>
      <c r="ZI191" s="172"/>
      <c r="ZJ191" s="172"/>
      <c r="ZK191" s="172"/>
      <c r="ZL191" s="172"/>
      <c r="ZM191" s="172"/>
      <c r="ZN191" s="172"/>
      <c r="ZO191" s="172"/>
      <c r="ZP191" s="172"/>
      <c r="ZQ191" s="172"/>
      <c r="ZR191" s="172"/>
      <c r="ZS191" s="172"/>
      <c r="ZT191" s="172"/>
      <c r="ZU191" s="172"/>
      <c r="ZV191" s="172"/>
      <c r="ZW191" s="172"/>
      <c r="ZX191" s="172"/>
      <c r="ZY191" s="172"/>
      <c r="ZZ191" s="172"/>
      <c r="AAA191" s="172"/>
      <c r="AAB191" s="172"/>
      <c r="AAC191" s="172"/>
      <c r="AAD191" s="172"/>
      <c r="AAE191" s="172"/>
      <c r="AAF191" s="172"/>
      <c r="AAG191" s="172"/>
      <c r="AAH191" s="172"/>
      <c r="AAI191" s="172"/>
      <c r="AAJ191" s="172"/>
      <c r="AAK191" s="172"/>
      <c r="AAL191" s="172"/>
      <c r="AAM191" s="172"/>
      <c r="AAN191" s="172"/>
      <c r="AAO191" s="172"/>
      <c r="AAP191" s="172"/>
      <c r="AAQ191" s="172"/>
      <c r="AAR191" s="172"/>
      <c r="AAS191" s="172"/>
      <c r="AAT191" s="172"/>
      <c r="AAU191" s="172"/>
      <c r="AAV191" s="172"/>
      <c r="AAW191" s="172"/>
      <c r="AAX191" s="172"/>
      <c r="AAY191" s="172"/>
      <c r="AAZ191" s="172"/>
      <c r="ABA191" s="172"/>
      <c r="ABB191" s="172"/>
      <c r="ABC191" s="172"/>
      <c r="ABD191" s="172"/>
      <c r="ABE191" s="172"/>
      <c r="ABF191" s="172"/>
      <c r="ABG191" s="172"/>
      <c r="ABH191" s="172"/>
      <c r="ABI191" s="172"/>
      <c r="ABJ191" s="172"/>
      <c r="ABK191" s="172"/>
      <c r="ABL191" s="172"/>
      <c r="ABM191" s="172"/>
      <c r="ABN191" s="172"/>
      <c r="ABO191" s="172"/>
      <c r="ABP191" s="172"/>
      <c r="ABQ191" s="172"/>
      <c r="ABR191" s="172"/>
      <c r="ABS191" s="172"/>
      <c r="ABT191" s="172"/>
      <c r="ABU191" s="172"/>
      <c r="ABV191" s="172"/>
      <c r="ABW191" s="172"/>
      <c r="ABX191" s="172"/>
      <c r="ABY191" s="172"/>
      <c r="ABZ191" s="172"/>
      <c r="ACA191" s="172"/>
      <c r="ACB191" s="172"/>
      <c r="ACC191" s="172"/>
      <c r="ACD191" s="172"/>
      <c r="ACE191" s="172"/>
      <c r="ACF191" s="172"/>
      <c r="ACG191" s="172"/>
      <c r="ACH191" s="172"/>
      <c r="ACI191" s="172"/>
      <c r="ACJ191" s="172"/>
      <c r="ACK191" s="172"/>
      <c r="ACL191" s="172"/>
      <c r="ACM191" s="172"/>
      <c r="ACN191" s="172"/>
      <c r="ACO191" s="172"/>
      <c r="ACP191" s="172"/>
      <c r="ACQ191" s="172"/>
      <c r="ACR191" s="172"/>
      <c r="ACS191" s="172"/>
      <c r="ACT191" s="172"/>
      <c r="ACU191" s="172"/>
      <c r="ACV191" s="172"/>
      <c r="ACW191" s="172"/>
      <c r="ACX191" s="172"/>
      <c r="ACY191" s="172"/>
      <c r="ACZ191" s="172"/>
      <c r="ADA191" s="172"/>
      <c r="ADB191" s="172"/>
      <c r="ADC191" s="172"/>
      <c r="ADD191" s="172"/>
      <c r="ADE191" s="172"/>
      <c r="ADF191" s="172"/>
      <c r="ADG191" s="172"/>
      <c r="ADH191" s="172"/>
      <c r="ADI191" s="172"/>
      <c r="ADJ191" s="172"/>
      <c r="ADK191" s="172"/>
      <c r="ADL191" s="172"/>
      <c r="ADM191" s="172"/>
      <c r="ADN191" s="172"/>
      <c r="ADO191" s="172"/>
      <c r="ADP191" s="172"/>
      <c r="ADQ191" s="172"/>
      <c r="ADR191" s="172"/>
      <c r="ADS191" s="172"/>
      <c r="ADT191" s="172"/>
      <c r="ADU191" s="172"/>
      <c r="ADV191" s="172"/>
      <c r="ADW191" s="172"/>
      <c r="ADX191" s="172"/>
      <c r="ADY191" s="172"/>
      <c r="ADZ191" s="172"/>
      <c r="AEA191" s="172"/>
      <c r="AEB191" s="172"/>
      <c r="AEC191" s="172"/>
      <c r="AED191" s="172"/>
      <c r="AEE191" s="172"/>
      <c r="AEF191" s="172"/>
      <c r="AEG191" s="172"/>
      <c r="AEH191" s="172"/>
      <c r="AEI191" s="172"/>
      <c r="AEJ191" s="172"/>
      <c r="AEK191" s="172"/>
      <c r="AEL191" s="172"/>
      <c r="AEM191" s="172"/>
      <c r="AEN191" s="172"/>
      <c r="AEO191" s="172"/>
      <c r="AEP191" s="172"/>
      <c r="AEQ191" s="172"/>
      <c r="AER191" s="172"/>
      <c r="AES191" s="172"/>
      <c r="AET191" s="172"/>
      <c r="AEU191" s="172"/>
      <c r="AEV191" s="172"/>
      <c r="AEW191" s="172"/>
      <c r="AEX191" s="172"/>
      <c r="AEY191" s="172"/>
      <c r="AEZ191" s="172"/>
      <c r="AFA191" s="172"/>
      <c r="AFB191" s="172"/>
      <c r="AFC191" s="172"/>
      <c r="AFD191" s="172"/>
      <c r="AFE191" s="172"/>
      <c r="AFF191" s="172"/>
      <c r="AFG191" s="172"/>
      <c r="AFH191" s="172"/>
      <c r="AFI191" s="172"/>
      <c r="AFJ191" s="172"/>
      <c r="AFK191" s="172"/>
      <c r="AFL191" s="172"/>
      <c r="AFM191" s="172"/>
      <c r="AFN191" s="172"/>
      <c r="AFO191" s="172"/>
      <c r="AFP191" s="172"/>
      <c r="AFQ191" s="172"/>
      <c r="AFR191" s="172"/>
      <c r="AFS191" s="172"/>
      <c r="AFT191" s="172"/>
      <c r="AFU191" s="172"/>
      <c r="AFV191" s="172"/>
      <c r="AFW191" s="172"/>
      <c r="AFX191" s="172"/>
      <c r="AFY191" s="172"/>
      <c r="AFZ191" s="172"/>
      <c r="AGA191" s="172"/>
      <c r="AGB191" s="172"/>
      <c r="AGC191" s="172"/>
      <c r="AGD191" s="172"/>
      <c r="AGE191" s="172"/>
      <c r="AGF191" s="172"/>
      <c r="AGG191" s="172"/>
      <c r="AGH191" s="172"/>
      <c r="AGI191" s="172"/>
      <c r="AGJ191" s="172"/>
      <c r="AGK191" s="172"/>
      <c r="AGL191" s="172"/>
      <c r="AGM191" s="172"/>
      <c r="AGN191" s="172"/>
      <c r="AGO191" s="172"/>
      <c r="AGP191" s="172"/>
      <c r="AGQ191" s="172"/>
      <c r="AGR191" s="172"/>
      <c r="AGS191" s="172"/>
      <c r="AGT191" s="172"/>
      <c r="AGU191" s="172"/>
      <c r="AGV191" s="172"/>
      <c r="AGW191" s="172"/>
      <c r="AGX191" s="172"/>
      <c r="AGY191" s="172"/>
      <c r="AGZ191" s="172"/>
      <c r="AHA191" s="172"/>
      <c r="AHB191" s="172"/>
      <c r="AHC191" s="172"/>
      <c r="AHD191" s="172"/>
      <c r="AHE191" s="172"/>
      <c r="AHF191" s="172"/>
      <c r="AHG191" s="172"/>
      <c r="AHH191" s="172"/>
      <c r="AHI191" s="172"/>
      <c r="AHJ191" s="172"/>
      <c r="AHK191" s="172"/>
      <c r="AHL191" s="172"/>
      <c r="AHM191" s="172"/>
      <c r="AHN191" s="172"/>
      <c r="AHO191" s="172"/>
      <c r="AHP191" s="172"/>
      <c r="AHQ191" s="172"/>
      <c r="AHR191" s="172"/>
      <c r="AHS191" s="172"/>
      <c r="AHT191" s="172"/>
      <c r="AHU191" s="172"/>
      <c r="AHV191" s="172"/>
      <c r="AHW191" s="172"/>
      <c r="AHX191" s="172"/>
      <c r="AHY191" s="172"/>
      <c r="AHZ191" s="172"/>
      <c r="AIA191" s="172"/>
      <c r="AIB191" s="172"/>
      <c r="AIC191" s="172"/>
      <c r="AID191" s="172"/>
      <c r="AIE191" s="172"/>
      <c r="AIF191" s="172"/>
      <c r="AIG191" s="172"/>
      <c r="AIH191" s="172"/>
      <c r="AII191" s="172"/>
      <c r="AIJ191" s="172"/>
      <c r="AIK191" s="172"/>
      <c r="AIL191" s="172"/>
      <c r="AIM191" s="172"/>
      <c r="AIN191" s="172"/>
      <c r="AIO191" s="172"/>
      <c r="AIP191" s="172"/>
      <c r="AIQ191" s="172"/>
      <c r="AIR191" s="172"/>
      <c r="AIS191" s="172"/>
      <c r="AIT191" s="172"/>
      <c r="AIU191" s="172"/>
      <c r="AIV191" s="172"/>
      <c r="AIW191" s="172"/>
      <c r="AIX191" s="172"/>
      <c r="AIY191" s="172"/>
      <c r="AIZ191" s="172"/>
      <c r="AJA191" s="172"/>
      <c r="AJB191" s="172"/>
      <c r="AJC191" s="172"/>
      <c r="AJD191" s="172"/>
      <c r="AJE191" s="172"/>
      <c r="AJF191" s="172"/>
      <c r="AJG191" s="172"/>
      <c r="AJH191" s="172"/>
      <c r="AJI191" s="172"/>
      <c r="AJJ191" s="172"/>
      <c r="AJK191" s="172"/>
      <c r="AJL191" s="172"/>
      <c r="AJM191" s="172"/>
      <c r="AJN191" s="172"/>
      <c r="AJO191" s="172"/>
      <c r="AJP191" s="172"/>
      <c r="AJQ191" s="172"/>
      <c r="AJR191" s="172"/>
      <c r="AJS191" s="172"/>
      <c r="AJT191" s="172"/>
      <c r="AJU191" s="172"/>
      <c r="AJV191" s="172"/>
      <c r="AJW191" s="172"/>
      <c r="AJX191" s="172"/>
      <c r="AJY191" s="172"/>
      <c r="AJZ191" s="172"/>
      <c r="AKA191" s="172"/>
      <c r="AKB191" s="172"/>
      <c r="AKC191" s="172"/>
      <c r="AKD191" s="172"/>
      <c r="AKE191" s="172"/>
      <c r="AKF191" s="172"/>
      <c r="AKG191" s="172"/>
      <c r="AKH191" s="172"/>
      <c r="AKI191" s="172"/>
      <c r="AKJ191" s="172"/>
      <c r="AKK191" s="172"/>
      <c r="AKL191" s="172"/>
      <c r="AKM191" s="172"/>
      <c r="AKN191" s="172"/>
      <c r="AKO191" s="172"/>
      <c r="AKP191" s="172"/>
      <c r="AKQ191" s="172"/>
      <c r="AKR191" s="172"/>
      <c r="AKS191" s="172"/>
      <c r="AKT191" s="172"/>
      <c r="AKU191" s="172"/>
      <c r="AKV191" s="172"/>
      <c r="AKW191" s="172"/>
      <c r="AKX191" s="172"/>
      <c r="AKY191" s="172"/>
      <c r="AKZ191" s="172"/>
      <c r="ALA191" s="172"/>
      <c r="ALB191" s="172"/>
      <c r="ALC191" s="172"/>
      <c r="ALD191" s="172"/>
      <c r="ALE191" s="172"/>
      <c r="ALF191" s="172"/>
      <c r="ALG191" s="172"/>
      <c r="ALH191" s="172"/>
      <c r="ALI191" s="172"/>
      <c r="ALJ191" s="172"/>
      <c r="ALK191" s="172"/>
      <c r="ALL191" s="172"/>
      <c r="ALM191" s="172"/>
      <c r="ALN191" s="172"/>
      <c r="ALO191" s="172"/>
      <c r="ALP191" s="172"/>
      <c r="ALQ191" s="172"/>
      <c r="ALR191" s="172"/>
      <c r="ALS191" s="172"/>
      <c r="ALT191" s="172"/>
      <c r="ALU191" s="172"/>
      <c r="ALV191" s="172"/>
      <c r="ALW191" s="172"/>
      <c r="ALX191" s="172"/>
      <c r="ALY191" s="172"/>
      <c r="ALZ191" s="172"/>
      <c r="AMA191" s="172"/>
      <c r="AMB191" s="172"/>
      <c r="AMC191" s="172"/>
      <c r="AMD191" s="172"/>
      <c r="AME191" s="172"/>
      <c r="AMF191" s="172"/>
      <c r="AMG191" s="172"/>
      <c r="AMH191" s="172"/>
      <c r="AMI191" s="172"/>
      <c r="AMJ191" s="172"/>
      <c r="AMK191" s="172"/>
      <c r="AML191" s="172"/>
      <c r="AMM191" s="172"/>
      <c r="AMN191" s="172"/>
      <c r="AMO191" s="172"/>
      <c r="AMP191" s="172"/>
      <c r="AMQ191" s="172"/>
      <c r="AMR191" s="172"/>
      <c r="AMS191" s="172"/>
      <c r="AMT191" s="172"/>
      <c r="AMU191" s="172"/>
      <c r="AMV191" s="172"/>
      <c r="AMW191" s="172"/>
      <c r="AMX191" s="172"/>
      <c r="AMY191" s="172"/>
      <c r="AMZ191" s="172"/>
      <c r="ANA191" s="172"/>
      <c r="ANB191" s="172"/>
      <c r="ANC191" s="172"/>
      <c r="AND191" s="172"/>
      <c r="ANE191" s="172"/>
      <c r="ANF191" s="172"/>
      <c r="ANG191" s="172"/>
      <c r="ANH191" s="172"/>
      <c r="ANI191" s="172"/>
      <c r="ANJ191" s="172"/>
      <c r="ANK191" s="172"/>
      <c r="ANL191" s="172"/>
      <c r="ANM191" s="172"/>
      <c r="ANN191" s="172"/>
      <c r="ANO191" s="172"/>
      <c r="ANP191" s="172"/>
      <c r="ANQ191" s="172"/>
      <c r="ANR191" s="172"/>
      <c r="ANS191" s="172"/>
      <c r="ANT191" s="172"/>
      <c r="ANU191" s="172"/>
      <c r="ANV191" s="172"/>
      <c r="ANW191" s="172"/>
      <c r="ANX191" s="172"/>
      <c r="ANY191" s="172"/>
      <c r="ANZ191" s="172"/>
      <c r="AOA191" s="172"/>
      <c r="AOB191" s="172"/>
      <c r="AOC191" s="172"/>
      <c r="AOD191" s="172"/>
      <c r="AOE191" s="172"/>
      <c r="AOF191" s="172"/>
      <c r="AOG191" s="172"/>
      <c r="AOH191" s="172"/>
      <c r="AOI191" s="172"/>
      <c r="AOJ191" s="172"/>
      <c r="AOK191" s="172"/>
      <c r="AOL191" s="172"/>
      <c r="AOM191" s="172"/>
      <c r="AON191" s="172"/>
      <c r="AOO191" s="172"/>
      <c r="AOP191" s="172"/>
      <c r="AOQ191" s="172"/>
      <c r="AOR191" s="172"/>
      <c r="AOS191" s="172"/>
      <c r="AOT191" s="172"/>
      <c r="AOU191" s="172"/>
      <c r="AOV191" s="172"/>
      <c r="AOW191" s="172"/>
      <c r="AOX191" s="172"/>
      <c r="AOY191" s="172"/>
      <c r="AOZ191" s="172"/>
      <c r="APA191" s="172"/>
      <c r="APB191" s="172"/>
      <c r="APC191" s="172"/>
      <c r="APD191" s="172"/>
      <c r="APE191" s="172"/>
      <c r="APF191" s="172"/>
      <c r="APG191" s="172"/>
      <c r="APH191" s="172"/>
      <c r="API191" s="172"/>
      <c r="APJ191" s="172"/>
      <c r="APK191" s="172"/>
      <c r="APL191" s="172"/>
      <c r="APM191" s="172"/>
      <c r="APN191" s="172"/>
      <c r="APO191" s="172"/>
      <c r="APP191" s="172"/>
      <c r="APQ191" s="172"/>
      <c r="APR191" s="172"/>
      <c r="APS191" s="172"/>
      <c r="APT191" s="172"/>
      <c r="APU191" s="172"/>
      <c r="APV191" s="172"/>
      <c r="APW191" s="172"/>
      <c r="APX191" s="172"/>
      <c r="APY191" s="172"/>
      <c r="APZ191" s="172"/>
      <c r="AQA191" s="172"/>
      <c r="AQB191" s="172"/>
      <c r="AQC191" s="172"/>
      <c r="AQD191" s="172"/>
      <c r="AQE191" s="172"/>
      <c r="AQF191" s="172"/>
      <c r="AQG191" s="172"/>
      <c r="AQH191" s="172"/>
      <c r="AQI191" s="172"/>
      <c r="AQJ191" s="172"/>
      <c r="AQK191" s="172"/>
      <c r="AQL191" s="172"/>
      <c r="AQM191" s="172"/>
      <c r="AQN191" s="172"/>
      <c r="AQO191" s="172"/>
      <c r="AQP191" s="172"/>
      <c r="AQQ191" s="172"/>
      <c r="AQR191" s="172"/>
      <c r="AQS191" s="172"/>
      <c r="AQT191" s="172"/>
      <c r="AQU191" s="172"/>
      <c r="AQV191" s="172"/>
      <c r="AQW191" s="172"/>
      <c r="AQX191" s="172"/>
      <c r="AQY191" s="172"/>
      <c r="AQZ191" s="172"/>
      <c r="ARA191" s="172"/>
      <c r="ARB191" s="172"/>
      <c r="ARC191" s="172"/>
      <c r="ARD191" s="172"/>
      <c r="ARE191" s="172"/>
      <c r="ARF191" s="172"/>
      <c r="ARG191" s="172"/>
      <c r="ARH191" s="172"/>
      <c r="ARI191" s="172"/>
      <c r="ARJ191" s="172"/>
      <c r="ARK191" s="172"/>
      <c r="ARL191" s="172"/>
      <c r="ARM191" s="172"/>
      <c r="ARN191" s="172"/>
      <c r="ARO191" s="172"/>
      <c r="ARP191" s="172"/>
      <c r="ARQ191" s="172"/>
      <c r="ARR191" s="172"/>
      <c r="ARS191" s="172"/>
      <c r="ART191" s="172"/>
      <c r="ARU191" s="172"/>
    </row>
    <row r="192" spans="1:1165" s="257" customFormat="1">
      <c r="A192" s="222" t="s">
        <v>271</v>
      </c>
      <c r="B192" s="195" t="s">
        <v>87</v>
      </c>
      <c r="C192" s="258">
        <f>13930+455</f>
        <v>14385</v>
      </c>
      <c r="D192" s="258">
        <f>274345+5956</f>
        <v>280301</v>
      </c>
      <c r="E192" s="258">
        <v>53</v>
      </c>
      <c r="F192" s="258">
        <v>897</v>
      </c>
      <c r="G192" s="258">
        <v>839</v>
      </c>
      <c r="H192" s="258">
        <v>14281</v>
      </c>
      <c r="I192" s="258">
        <v>0</v>
      </c>
      <c r="J192" s="258">
        <v>0</v>
      </c>
      <c r="K192" s="258">
        <v>0</v>
      </c>
      <c r="L192" s="258">
        <v>0</v>
      </c>
      <c r="M192" s="258">
        <v>0</v>
      </c>
      <c r="N192" s="258">
        <v>0</v>
      </c>
      <c r="O192" s="258">
        <v>0</v>
      </c>
      <c r="P192" s="258">
        <v>0</v>
      </c>
      <c r="Q192" s="258">
        <v>0</v>
      </c>
      <c r="R192" s="258">
        <v>0</v>
      </c>
      <c r="S192" s="258">
        <v>0</v>
      </c>
      <c r="T192" s="258">
        <v>0</v>
      </c>
      <c r="U192" s="258">
        <v>0</v>
      </c>
      <c r="V192" s="258">
        <v>0</v>
      </c>
      <c r="W192" s="258">
        <v>0</v>
      </c>
      <c r="X192" s="258">
        <v>0</v>
      </c>
      <c r="Y192" s="258">
        <v>0</v>
      </c>
      <c r="Z192" s="258">
        <v>0</v>
      </c>
      <c r="AA192" s="258">
        <v>0</v>
      </c>
      <c r="AB192" s="258">
        <v>0</v>
      </c>
      <c r="AC192" s="258">
        <v>0</v>
      </c>
      <c r="AD192" s="258">
        <v>0</v>
      </c>
      <c r="AE192" s="258">
        <v>0</v>
      </c>
      <c r="AF192" s="258">
        <v>0</v>
      </c>
      <c r="AG192" s="258">
        <v>0</v>
      </c>
      <c r="AH192" s="258">
        <v>0</v>
      </c>
      <c r="AI192" s="258">
        <v>0</v>
      </c>
      <c r="AJ192" s="258">
        <v>0</v>
      </c>
      <c r="AK192" s="258">
        <v>0</v>
      </c>
      <c r="AL192" s="258">
        <v>0</v>
      </c>
      <c r="AM192" s="258">
        <v>0</v>
      </c>
      <c r="AN192" s="258">
        <v>0</v>
      </c>
      <c r="AO192" s="258">
        <v>0</v>
      </c>
      <c r="AP192" s="258">
        <v>0</v>
      </c>
      <c r="AQ192" s="258">
        <v>0</v>
      </c>
      <c r="AR192" s="258">
        <v>0</v>
      </c>
      <c r="AS192" s="258">
        <v>0</v>
      </c>
      <c r="AT192" s="258">
        <v>0</v>
      </c>
      <c r="AU192" s="258">
        <v>0</v>
      </c>
      <c r="AV192" s="258">
        <v>0</v>
      </c>
      <c r="AW192" s="258">
        <v>0</v>
      </c>
      <c r="AX192" s="258">
        <v>0</v>
      </c>
      <c r="AY192" s="258">
        <v>0</v>
      </c>
      <c r="AZ192" s="258">
        <v>0</v>
      </c>
      <c r="BA192" s="227"/>
      <c r="BB192" s="258"/>
      <c r="BC192" s="258"/>
      <c r="BD192" s="258"/>
      <c r="BE192" s="258"/>
      <c r="BF192" s="258"/>
      <c r="BG192" s="258"/>
      <c r="BH192" s="258"/>
      <c r="BI192" s="227"/>
      <c r="BJ192" s="258">
        <f t="shared" ref="BJ192:BJ194" si="77">C192+G192+I192+K192+M192+O192+Q192+S192+U192+W192+Y192+AA192+AC192+AE192+AG192+AI192+AK192+AM192+AO192+AQ192+AS192+AU192+AW192+AY192+BB192+BF192</f>
        <v>15224</v>
      </c>
      <c r="BK192" s="250">
        <f>D192+H192+J192+L192+N192+P192+R192+T192+V192+X192+Z192+AB192+AD192+AF192+AH192+AJ192+AL192+AN192+AP192+AR192+AT192+AV192+AX192+AZ192+BD192+BH192</f>
        <v>294582</v>
      </c>
      <c r="BL192" s="172"/>
      <c r="BM192" s="231"/>
      <c r="BN192" s="231"/>
      <c r="BO192" s="231"/>
      <c r="BP192" s="231"/>
      <c r="BQ192" s="172"/>
      <c r="BR192" s="172"/>
      <c r="BS192" s="13"/>
      <c r="BT192" s="172"/>
      <c r="BU192" s="172"/>
      <c r="BV192" s="172"/>
      <c r="BW192" s="172"/>
      <c r="BX192" s="172"/>
      <c r="BY192" s="172"/>
      <c r="BZ192" s="172"/>
      <c r="CA192" s="172"/>
      <c r="CB192" s="172"/>
      <c r="CC192" s="172"/>
      <c r="CD192" s="172"/>
      <c r="CE192" s="172"/>
      <c r="CF192" s="172"/>
      <c r="CG192" s="172"/>
      <c r="CH192" s="172"/>
      <c r="CI192" s="172"/>
      <c r="CJ192" s="172"/>
      <c r="CK192" s="172"/>
      <c r="CL192" s="172"/>
      <c r="CM192" s="172"/>
      <c r="CN192" s="172"/>
      <c r="CO192" s="172"/>
      <c r="CP192" s="172"/>
      <c r="CQ192" s="172"/>
      <c r="CR192" s="172"/>
      <c r="CS192" s="172"/>
      <c r="CT192" s="172"/>
      <c r="CU192" s="172"/>
      <c r="CV192" s="172"/>
      <c r="CW192" s="172"/>
      <c r="CX192" s="172"/>
      <c r="CY192" s="172"/>
      <c r="CZ192" s="172"/>
      <c r="DA192" s="172"/>
      <c r="DB192" s="172"/>
      <c r="DC192" s="172"/>
      <c r="DD192" s="172"/>
      <c r="DE192" s="172"/>
      <c r="DF192" s="172"/>
      <c r="DG192" s="172"/>
      <c r="DH192" s="172"/>
      <c r="DI192" s="172"/>
      <c r="DJ192" s="172"/>
      <c r="DK192" s="172"/>
      <c r="DL192" s="172"/>
      <c r="DM192" s="172"/>
      <c r="DN192" s="172"/>
      <c r="DO192" s="172"/>
      <c r="DP192" s="172"/>
      <c r="DQ192" s="172"/>
      <c r="DR192" s="172"/>
      <c r="DS192" s="172"/>
      <c r="DT192" s="172"/>
      <c r="DU192" s="172"/>
      <c r="DV192" s="172"/>
      <c r="DW192" s="172"/>
      <c r="DX192" s="172"/>
      <c r="DY192" s="172"/>
      <c r="DZ192" s="172"/>
      <c r="EA192" s="172"/>
      <c r="EB192" s="172"/>
      <c r="EC192" s="172"/>
      <c r="ED192" s="172"/>
      <c r="EE192" s="172"/>
      <c r="EF192" s="172"/>
      <c r="EG192" s="172"/>
      <c r="EH192" s="172"/>
      <c r="EI192" s="172"/>
      <c r="EJ192" s="172"/>
      <c r="EK192" s="172"/>
      <c r="EL192" s="172"/>
      <c r="EM192" s="172"/>
      <c r="EN192" s="172"/>
      <c r="EO192" s="172"/>
      <c r="EP192" s="172"/>
      <c r="EQ192" s="172"/>
      <c r="ER192" s="172"/>
      <c r="ES192" s="172"/>
      <c r="ET192" s="172"/>
      <c r="EU192" s="172"/>
      <c r="EV192" s="172"/>
      <c r="EW192" s="172"/>
      <c r="EX192" s="172"/>
      <c r="EY192" s="172"/>
      <c r="EZ192" s="172"/>
      <c r="FA192" s="172"/>
      <c r="FB192" s="172"/>
      <c r="FC192" s="172"/>
      <c r="FD192" s="172"/>
      <c r="FE192" s="172"/>
      <c r="FF192" s="172"/>
      <c r="FG192" s="172"/>
      <c r="FH192" s="172"/>
      <c r="FI192" s="172"/>
      <c r="FJ192" s="172"/>
      <c r="FK192" s="172"/>
      <c r="FL192" s="172"/>
      <c r="FM192" s="172"/>
      <c r="FN192" s="172"/>
      <c r="FO192" s="172"/>
      <c r="FP192" s="172"/>
      <c r="FQ192" s="172"/>
      <c r="FR192" s="172"/>
      <c r="FS192" s="172"/>
      <c r="FT192" s="172"/>
      <c r="FU192" s="172"/>
      <c r="FV192" s="172"/>
      <c r="FW192" s="172"/>
      <c r="FX192" s="172"/>
      <c r="FY192" s="172"/>
      <c r="FZ192" s="172"/>
      <c r="GA192" s="172"/>
      <c r="GB192" s="172"/>
      <c r="GC192" s="172"/>
      <c r="GD192" s="172"/>
      <c r="GE192" s="172"/>
      <c r="GF192" s="172"/>
      <c r="GG192" s="172"/>
      <c r="GH192" s="172"/>
      <c r="GI192" s="172"/>
      <c r="GJ192" s="172"/>
      <c r="GK192" s="172"/>
      <c r="GL192" s="172"/>
      <c r="GM192" s="172"/>
      <c r="GN192" s="172"/>
      <c r="GO192" s="172"/>
      <c r="GP192" s="172"/>
      <c r="GQ192" s="172"/>
      <c r="GR192" s="172"/>
      <c r="GS192" s="172"/>
      <c r="GT192" s="172"/>
      <c r="GU192" s="172"/>
      <c r="GV192" s="172"/>
      <c r="GW192" s="172"/>
      <c r="GX192" s="172"/>
      <c r="GY192" s="172"/>
      <c r="GZ192" s="172"/>
      <c r="HA192" s="172"/>
      <c r="HB192" s="172"/>
      <c r="HC192" s="172"/>
      <c r="HD192" s="172"/>
      <c r="HE192" s="172"/>
      <c r="HF192" s="172"/>
      <c r="HG192" s="172"/>
      <c r="HH192" s="172"/>
      <c r="HI192" s="172"/>
      <c r="HJ192" s="172"/>
      <c r="HK192" s="172"/>
      <c r="HL192" s="172"/>
      <c r="HM192" s="172"/>
      <c r="HN192" s="172"/>
      <c r="HO192" s="172"/>
      <c r="HP192" s="172"/>
      <c r="HQ192" s="172"/>
      <c r="HR192" s="172"/>
      <c r="HS192" s="172"/>
      <c r="HT192" s="172"/>
      <c r="HU192" s="172"/>
      <c r="HV192" s="172"/>
      <c r="HW192" s="172"/>
      <c r="HX192" s="172"/>
      <c r="HY192" s="172"/>
      <c r="HZ192" s="172"/>
      <c r="IA192" s="172"/>
      <c r="IB192" s="172"/>
      <c r="IC192" s="172"/>
      <c r="ID192" s="172"/>
      <c r="IE192" s="172"/>
      <c r="IF192" s="172"/>
      <c r="IG192" s="172"/>
      <c r="IH192" s="172"/>
      <c r="II192" s="172"/>
      <c r="IJ192" s="172"/>
      <c r="IK192" s="172"/>
      <c r="IL192" s="172"/>
      <c r="IM192" s="172"/>
      <c r="IN192" s="172"/>
      <c r="IO192" s="172"/>
      <c r="IP192" s="172"/>
      <c r="IQ192" s="172"/>
      <c r="IR192" s="172"/>
      <c r="IS192" s="172"/>
      <c r="IT192" s="172"/>
      <c r="IU192" s="172"/>
      <c r="IV192" s="172"/>
      <c r="IW192" s="172"/>
      <c r="IX192" s="172"/>
      <c r="IY192" s="172"/>
      <c r="IZ192" s="172"/>
      <c r="JA192" s="172"/>
      <c r="JB192" s="172"/>
      <c r="JC192" s="172"/>
      <c r="JD192" s="172"/>
      <c r="JE192" s="172"/>
      <c r="JF192" s="172"/>
      <c r="JG192" s="172"/>
      <c r="JH192" s="172"/>
      <c r="JI192" s="172"/>
      <c r="JJ192" s="172"/>
      <c r="JK192" s="172"/>
      <c r="JL192" s="172"/>
      <c r="JM192" s="172"/>
      <c r="JN192" s="172"/>
      <c r="JO192" s="172"/>
      <c r="JP192" s="172"/>
      <c r="JQ192" s="172"/>
      <c r="JR192" s="172"/>
      <c r="JS192" s="172"/>
      <c r="JT192" s="172"/>
      <c r="JU192" s="172"/>
      <c r="JV192" s="172"/>
      <c r="JW192" s="172"/>
      <c r="JX192" s="172"/>
      <c r="JY192" s="172"/>
      <c r="JZ192" s="172"/>
      <c r="KA192" s="172"/>
      <c r="KB192" s="172"/>
      <c r="KC192" s="172"/>
      <c r="KD192" s="172"/>
      <c r="KE192" s="172"/>
      <c r="KF192" s="172"/>
      <c r="KG192" s="172"/>
      <c r="KH192" s="172"/>
      <c r="KI192" s="172"/>
      <c r="KJ192" s="172"/>
      <c r="KK192" s="172"/>
      <c r="KL192" s="172"/>
      <c r="KM192" s="172"/>
      <c r="KN192" s="172"/>
      <c r="KO192" s="172"/>
      <c r="KP192" s="172"/>
      <c r="KQ192" s="172"/>
      <c r="KR192" s="172"/>
      <c r="KS192" s="172"/>
      <c r="KT192" s="172"/>
      <c r="KU192" s="172"/>
      <c r="KV192" s="172"/>
      <c r="KW192" s="172"/>
      <c r="KX192" s="172"/>
      <c r="KY192" s="172"/>
      <c r="KZ192" s="172"/>
      <c r="LA192" s="172"/>
      <c r="LB192" s="172"/>
      <c r="LC192" s="172"/>
      <c r="LD192" s="172"/>
      <c r="LE192" s="172"/>
      <c r="LF192" s="172"/>
      <c r="LG192" s="172"/>
      <c r="LH192" s="172"/>
      <c r="LI192" s="172"/>
      <c r="LJ192" s="172"/>
      <c r="LK192" s="172"/>
      <c r="LL192" s="172"/>
      <c r="LM192" s="172"/>
      <c r="LN192" s="172"/>
      <c r="LO192" s="172"/>
      <c r="LP192" s="172"/>
      <c r="LQ192" s="172"/>
      <c r="LR192" s="172"/>
      <c r="LS192" s="172"/>
      <c r="LT192" s="172"/>
      <c r="LU192" s="172"/>
      <c r="LV192" s="172"/>
      <c r="LW192" s="172"/>
      <c r="LX192" s="172"/>
      <c r="LY192" s="172"/>
      <c r="LZ192" s="172"/>
      <c r="MA192" s="172"/>
      <c r="MB192" s="172"/>
      <c r="MC192" s="172"/>
      <c r="MD192" s="172"/>
      <c r="ME192" s="172"/>
      <c r="MF192" s="172"/>
      <c r="MG192" s="172"/>
      <c r="MH192" s="172"/>
      <c r="MI192" s="172"/>
      <c r="MJ192" s="172"/>
      <c r="MK192" s="172"/>
      <c r="ML192" s="172"/>
      <c r="MM192" s="172"/>
      <c r="MN192" s="172"/>
      <c r="MO192" s="172"/>
      <c r="MP192" s="172"/>
      <c r="MQ192" s="172"/>
      <c r="MR192" s="172"/>
      <c r="MS192" s="172"/>
      <c r="MT192" s="172"/>
      <c r="MU192" s="172"/>
      <c r="MV192" s="172"/>
      <c r="MW192" s="172"/>
      <c r="MX192" s="172"/>
      <c r="MY192" s="172"/>
      <c r="MZ192" s="172"/>
      <c r="NA192" s="172"/>
      <c r="NB192" s="172"/>
      <c r="NC192" s="172"/>
      <c r="ND192" s="172"/>
      <c r="NE192" s="172"/>
      <c r="NF192" s="172"/>
      <c r="NG192" s="172"/>
      <c r="NH192" s="172"/>
      <c r="NI192" s="172"/>
      <c r="NJ192" s="172"/>
      <c r="NK192" s="172"/>
      <c r="NL192" s="172"/>
      <c r="NM192" s="172"/>
      <c r="NN192" s="172"/>
      <c r="NO192" s="172"/>
      <c r="NP192" s="172"/>
      <c r="NQ192" s="172"/>
      <c r="NR192" s="172"/>
      <c r="NS192" s="172"/>
      <c r="NT192" s="172"/>
      <c r="NU192" s="172"/>
      <c r="NV192" s="172"/>
      <c r="NW192" s="172"/>
      <c r="NX192" s="172"/>
      <c r="NY192" s="172"/>
      <c r="NZ192" s="172"/>
      <c r="OA192" s="172"/>
      <c r="OB192" s="172"/>
      <c r="OC192" s="172"/>
      <c r="OD192" s="172"/>
      <c r="OE192" s="172"/>
      <c r="OF192" s="172"/>
      <c r="OG192" s="172"/>
      <c r="OH192" s="172"/>
      <c r="OI192" s="172"/>
      <c r="OJ192" s="172"/>
      <c r="OK192" s="172"/>
      <c r="OL192" s="172"/>
      <c r="OM192" s="172"/>
      <c r="ON192" s="172"/>
      <c r="OO192" s="172"/>
      <c r="OP192" s="172"/>
      <c r="OQ192" s="172"/>
      <c r="OR192" s="172"/>
      <c r="OS192" s="172"/>
      <c r="OT192" s="172"/>
      <c r="OU192" s="172"/>
      <c r="OV192" s="172"/>
      <c r="OW192" s="172"/>
      <c r="OX192" s="172"/>
      <c r="OY192" s="172"/>
      <c r="OZ192" s="172"/>
      <c r="PA192" s="172"/>
      <c r="PB192" s="172"/>
      <c r="PC192" s="172"/>
      <c r="PD192" s="172"/>
      <c r="PE192" s="172"/>
      <c r="PF192" s="172"/>
      <c r="PG192" s="172"/>
      <c r="PH192" s="172"/>
      <c r="PI192" s="172"/>
      <c r="PJ192" s="172"/>
      <c r="PK192" s="172"/>
      <c r="PL192" s="172"/>
      <c r="PM192" s="172"/>
      <c r="PN192" s="172"/>
      <c r="PO192" s="172"/>
      <c r="PP192" s="172"/>
      <c r="PQ192" s="172"/>
      <c r="PR192" s="172"/>
      <c r="PS192" s="172"/>
      <c r="PT192" s="172"/>
      <c r="PU192" s="172"/>
      <c r="PV192" s="172"/>
      <c r="PW192" s="172"/>
      <c r="PX192" s="172"/>
      <c r="PY192" s="172"/>
      <c r="PZ192" s="172"/>
      <c r="QA192" s="172"/>
      <c r="QB192" s="172"/>
      <c r="QC192" s="172"/>
      <c r="QD192" s="172"/>
      <c r="QE192" s="172"/>
      <c r="QF192" s="172"/>
      <c r="QG192" s="172"/>
      <c r="QH192" s="172"/>
      <c r="QI192" s="172"/>
      <c r="QJ192" s="172"/>
      <c r="QK192" s="172"/>
      <c r="QL192" s="172"/>
      <c r="QM192" s="172"/>
      <c r="QN192" s="172"/>
      <c r="QO192" s="172"/>
      <c r="QP192" s="172"/>
      <c r="QQ192" s="172"/>
      <c r="QR192" s="172"/>
      <c r="QS192" s="172"/>
      <c r="QT192" s="172"/>
      <c r="QU192" s="172"/>
      <c r="QV192" s="172"/>
      <c r="QW192" s="172"/>
      <c r="QX192" s="172"/>
      <c r="QY192" s="172"/>
      <c r="QZ192" s="172"/>
      <c r="RA192" s="172"/>
      <c r="RB192" s="172"/>
      <c r="RC192" s="172"/>
      <c r="RD192" s="172"/>
      <c r="RE192" s="172"/>
      <c r="RF192" s="172"/>
      <c r="RG192" s="172"/>
      <c r="RH192" s="172"/>
      <c r="RI192" s="172"/>
      <c r="RJ192" s="172"/>
      <c r="RK192" s="172"/>
      <c r="RL192" s="172"/>
      <c r="RM192" s="172"/>
      <c r="RN192" s="172"/>
      <c r="RO192" s="172"/>
      <c r="RP192" s="172"/>
      <c r="RQ192" s="172"/>
      <c r="RR192" s="172"/>
      <c r="RS192" s="172"/>
      <c r="RT192" s="172"/>
      <c r="RU192" s="172"/>
      <c r="RV192" s="172"/>
      <c r="RW192" s="172"/>
      <c r="RX192" s="172"/>
      <c r="RY192" s="172"/>
      <c r="RZ192" s="172"/>
      <c r="SA192" s="172"/>
      <c r="SB192" s="172"/>
      <c r="SC192" s="172"/>
      <c r="SD192" s="172"/>
      <c r="SE192" s="172"/>
      <c r="SF192" s="172"/>
      <c r="SG192" s="172"/>
      <c r="SH192" s="172"/>
      <c r="SI192" s="172"/>
      <c r="SJ192" s="172"/>
      <c r="SK192" s="172"/>
      <c r="SL192" s="172"/>
      <c r="SM192" s="172"/>
      <c r="SN192" s="172"/>
      <c r="SO192" s="172"/>
      <c r="SP192" s="172"/>
      <c r="SQ192" s="172"/>
      <c r="SR192" s="172"/>
      <c r="SS192" s="172"/>
      <c r="ST192" s="172"/>
      <c r="SU192" s="172"/>
      <c r="SV192" s="172"/>
      <c r="SW192" s="172"/>
      <c r="SX192" s="172"/>
      <c r="SY192" s="172"/>
      <c r="SZ192" s="172"/>
      <c r="TA192" s="172"/>
      <c r="TB192" s="172"/>
      <c r="TC192" s="172"/>
      <c r="TD192" s="172"/>
      <c r="TE192" s="172"/>
      <c r="TF192" s="172"/>
      <c r="TG192" s="172"/>
      <c r="TH192" s="172"/>
      <c r="TI192" s="172"/>
      <c r="TJ192" s="172"/>
      <c r="TK192" s="172"/>
      <c r="TL192" s="172"/>
      <c r="TM192" s="172"/>
      <c r="TN192" s="172"/>
      <c r="TO192" s="172"/>
      <c r="TP192" s="172"/>
      <c r="TQ192" s="172"/>
      <c r="TR192" s="172"/>
      <c r="TS192" s="172"/>
      <c r="TT192" s="172"/>
      <c r="TU192" s="172"/>
      <c r="TV192" s="172"/>
      <c r="TW192" s="172"/>
      <c r="TX192" s="172"/>
      <c r="TY192" s="172"/>
      <c r="TZ192" s="172"/>
      <c r="UA192" s="172"/>
      <c r="UB192" s="172"/>
      <c r="UC192" s="172"/>
      <c r="UD192" s="172"/>
      <c r="UE192" s="172"/>
      <c r="UF192" s="172"/>
      <c r="UG192" s="172"/>
      <c r="UH192" s="172"/>
      <c r="UI192" s="172"/>
      <c r="UJ192" s="172"/>
      <c r="UK192" s="172"/>
      <c r="UL192" s="172"/>
      <c r="UM192" s="172"/>
      <c r="UN192" s="172"/>
      <c r="UO192" s="172"/>
      <c r="UP192" s="172"/>
      <c r="UQ192" s="172"/>
      <c r="UR192" s="172"/>
      <c r="US192" s="172"/>
      <c r="UT192" s="172"/>
      <c r="UU192" s="172"/>
      <c r="UV192" s="172"/>
      <c r="UW192" s="172"/>
      <c r="UX192" s="172"/>
      <c r="UY192" s="172"/>
      <c r="UZ192" s="172"/>
      <c r="VA192" s="172"/>
      <c r="VB192" s="172"/>
      <c r="VC192" s="172"/>
      <c r="VD192" s="172"/>
      <c r="VE192" s="172"/>
      <c r="VF192" s="172"/>
      <c r="VG192" s="172"/>
      <c r="VH192" s="172"/>
      <c r="VI192" s="172"/>
      <c r="VJ192" s="172"/>
      <c r="VK192" s="172"/>
      <c r="VL192" s="172"/>
      <c r="VM192" s="172"/>
      <c r="VN192" s="172"/>
      <c r="VO192" s="172"/>
      <c r="VP192" s="172"/>
      <c r="VQ192" s="172"/>
      <c r="VR192" s="172"/>
      <c r="VS192" s="172"/>
      <c r="VT192" s="172"/>
      <c r="VU192" s="172"/>
      <c r="VV192" s="172"/>
      <c r="VW192" s="172"/>
      <c r="VX192" s="172"/>
      <c r="VY192" s="172"/>
      <c r="VZ192" s="172"/>
      <c r="WA192" s="172"/>
      <c r="WB192" s="172"/>
      <c r="WC192" s="172"/>
      <c r="WD192" s="172"/>
      <c r="WE192" s="172"/>
      <c r="WF192" s="172"/>
      <c r="WG192" s="172"/>
      <c r="WH192" s="172"/>
      <c r="WI192" s="172"/>
      <c r="WJ192" s="172"/>
      <c r="WK192" s="172"/>
      <c r="WL192" s="172"/>
      <c r="WM192" s="172"/>
      <c r="WN192" s="172"/>
      <c r="WO192" s="172"/>
      <c r="WP192" s="172"/>
      <c r="WQ192" s="172"/>
      <c r="WR192" s="172"/>
      <c r="WS192" s="172"/>
      <c r="WT192" s="172"/>
      <c r="WU192" s="172"/>
      <c r="WV192" s="172"/>
      <c r="WW192" s="172"/>
      <c r="WX192" s="172"/>
      <c r="WY192" s="172"/>
      <c r="WZ192" s="172"/>
      <c r="XA192" s="172"/>
      <c r="XB192" s="172"/>
      <c r="XC192" s="172"/>
      <c r="XD192" s="172"/>
      <c r="XE192" s="172"/>
      <c r="XF192" s="172"/>
      <c r="XG192" s="172"/>
      <c r="XH192" s="172"/>
      <c r="XI192" s="172"/>
      <c r="XJ192" s="172"/>
      <c r="XK192" s="172"/>
      <c r="XL192" s="172"/>
      <c r="XM192" s="172"/>
      <c r="XN192" s="172"/>
      <c r="XO192" s="172"/>
      <c r="XP192" s="172"/>
      <c r="XQ192" s="172"/>
      <c r="XR192" s="172"/>
      <c r="XS192" s="172"/>
      <c r="XT192" s="172"/>
      <c r="XU192" s="172"/>
      <c r="XV192" s="172"/>
      <c r="XW192" s="172"/>
      <c r="XX192" s="172"/>
      <c r="XY192" s="172"/>
      <c r="XZ192" s="172"/>
      <c r="YA192" s="172"/>
      <c r="YB192" s="172"/>
      <c r="YC192" s="172"/>
      <c r="YD192" s="172"/>
      <c r="YE192" s="172"/>
      <c r="YF192" s="172"/>
      <c r="YG192" s="172"/>
      <c r="YH192" s="172"/>
      <c r="YI192" s="172"/>
      <c r="YJ192" s="172"/>
      <c r="YK192" s="172"/>
      <c r="YL192" s="172"/>
      <c r="YM192" s="172"/>
      <c r="YN192" s="172"/>
      <c r="YO192" s="172"/>
      <c r="YP192" s="172"/>
      <c r="YQ192" s="172"/>
      <c r="YR192" s="172"/>
      <c r="YS192" s="172"/>
      <c r="YT192" s="172"/>
      <c r="YU192" s="172"/>
      <c r="YV192" s="172"/>
      <c r="YW192" s="172"/>
      <c r="YX192" s="172"/>
      <c r="YY192" s="172"/>
      <c r="YZ192" s="172"/>
      <c r="ZA192" s="172"/>
      <c r="ZB192" s="172"/>
      <c r="ZC192" s="172"/>
      <c r="ZD192" s="172"/>
      <c r="ZE192" s="172"/>
      <c r="ZF192" s="172"/>
      <c r="ZG192" s="172"/>
      <c r="ZH192" s="172"/>
      <c r="ZI192" s="172"/>
      <c r="ZJ192" s="172"/>
      <c r="ZK192" s="172"/>
      <c r="ZL192" s="172"/>
      <c r="ZM192" s="172"/>
      <c r="ZN192" s="172"/>
      <c r="ZO192" s="172"/>
      <c r="ZP192" s="172"/>
      <c r="ZQ192" s="172"/>
      <c r="ZR192" s="172"/>
      <c r="ZS192" s="172"/>
      <c r="ZT192" s="172"/>
      <c r="ZU192" s="172"/>
      <c r="ZV192" s="172"/>
      <c r="ZW192" s="172"/>
      <c r="ZX192" s="172"/>
      <c r="ZY192" s="172"/>
      <c r="ZZ192" s="172"/>
      <c r="AAA192" s="172"/>
      <c r="AAB192" s="172"/>
      <c r="AAC192" s="172"/>
      <c r="AAD192" s="172"/>
      <c r="AAE192" s="172"/>
      <c r="AAF192" s="172"/>
      <c r="AAG192" s="172"/>
      <c r="AAH192" s="172"/>
      <c r="AAI192" s="172"/>
      <c r="AAJ192" s="172"/>
      <c r="AAK192" s="172"/>
      <c r="AAL192" s="172"/>
      <c r="AAM192" s="172"/>
      <c r="AAN192" s="172"/>
      <c r="AAO192" s="172"/>
      <c r="AAP192" s="172"/>
      <c r="AAQ192" s="172"/>
      <c r="AAR192" s="172"/>
      <c r="AAS192" s="172"/>
      <c r="AAT192" s="172"/>
      <c r="AAU192" s="172"/>
      <c r="AAV192" s="172"/>
      <c r="AAW192" s="172"/>
      <c r="AAX192" s="172"/>
      <c r="AAY192" s="172"/>
      <c r="AAZ192" s="172"/>
      <c r="ABA192" s="172"/>
      <c r="ABB192" s="172"/>
      <c r="ABC192" s="172"/>
      <c r="ABD192" s="172"/>
      <c r="ABE192" s="172"/>
      <c r="ABF192" s="172"/>
      <c r="ABG192" s="172"/>
      <c r="ABH192" s="172"/>
      <c r="ABI192" s="172"/>
      <c r="ABJ192" s="172"/>
      <c r="ABK192" s="172"/>
      <c r="ABL192" s="172"/>
      <c r="ABM192" s="172"/>
      <c r="ABN192" s="172"/>
      <c r="ABO192" s="172"/>
      <c r="ABP192" s="172"/>
      <c r="ABQ192" s="172"/>
      <c r="ABR192" s="172"/>
      <c r="ABS192" s="172"/>
      <c r="ABT192" s="172"/>
      <c r="ABU192" s="172"/>
      <c r="ABV192" s="172"/>
      <c r="ABW192" s="172"/>
      <c r="ABX192" s="172"/>
      <c r="ABY192" s="172"/>
      <c r="ABZ192" s="172"/>
      <c r="ACA192" s="172"/>
      <c r="ACB192" s="172"/>
      <c r="ACC192" s="172"/>
      <c r="ACD192" s="172"/>
      <c r="ACE192" s="172"/>
      <c r="ACF192" s="172"/>
      <c r="ACG192" s="172"/>
      <c r="ACH192" s="172"/>
      <c r="ACI192" s="172"/>
      <c r="ACJ192" s="172"/>
      <c r="ACK192" s="172"/>
      <c r="ACL192" s="172"/>
      <c r="ACM192" s="172"/>
      <c r="ACN192" s="172"/>
      <c r="ACO192" s="172"/>
      <c r="ACP192" s="172"/>
      <c r="ACQ192" s="172"/>
      <c r="ACR192" s="172"/>
      <c r="ACS192" s="172"/>
      <c r="ACT192" s="172"/>
      <c r="ACU192" s="172"/>
      <c r="ACV192" s="172"/>
      <c r="ACW192" s="172"/>
      <c r="ACX192" s="172"/>
      <c r="ACY192" s="172"/>
      <c r="ACZ192" s="172"/>
      <c r="ADA192" s="172"/>
      <c r="ADB192" s="172"/>
      <c r="ADC192" s="172"/>
      <c r="ADD192" s="172"/>
      <c r="ADE192" s="172"/>
      <c r="ADF192" s="172"/>
      <c r="ADG192" s="172"/>
      <c r="ADH192" s="172"/>
      <c r="ADI192" s="172"/>
      <c r="ADJ192" s="172"/>
      <c r="ADK192" s="172"/>
      <c r="ADL192" s="172"/>
      <c r="ADM192" s="172"/>
      <c r="ADN192" s="172"/>
      <c r="ADO192" s="172"/>
      <c r="ADP192" s="172"/>
      <c r="ADQ192" s="172"/>
      <c r="ADR192" s="172"/>
      <c r="ADS192" s="172"/>
      <c r="ADT192" s="172"/>
      <c r="ADU192" s="172"/>
      <c r="ADV192" s="172"/>
      <c r="ADW192" s="172"/>
      <c r="ADX192" s="172"/>
      <c r="ADY192" s="172"/>
      <c r="ADZ192" s="172"/>
      <c r="AEA192" s="172"/>
      <c r="AEB192" s="172"/>
      <c r="AEC192" s="172"/>
      <c r="AED192" s="172"/>
      <c r="AEE192" s="172"/>
      <c r="AEF192" s="172"/>
      <c r="AEG192" s="172"/>
      <c r="AEH192" s="172"/>
      <c r="AEI192" s="172"/>
      <c r="AEJ192" s="172"/>
      <c r="AEK192" s="172"/>
      <c r="AEL192" s="172"/>
      <c r="AEM192" s="172"/>
      <c r="AEN192" s="172"/>
      <c r="AEO192" s="172"/>
      <c r="AEP192" s="172"/>
      <c r="AEQ192" s="172"/>
      <c r="AER192" s="172"/>
      <c r="AES192" s="172"/>
      <c r="AET192" s="172"/>
      <c r="AEU192" s="172"/>
      <c r="AEV192" s="172"/>
      <c r="AEW192" s="172"/>
      <c r="AEX192" s="172"/>
      <c r="AEY192" s="172"/>
      <c r="AEZ192" s="172"/>
      <c r="AFA192" s="172"/>
      <c r="AFB192" s="172"/>
      <c r="AFC192" s="172"/>
      <c r="AFD192" s="172"/>
      <c r="AFE192" s="172"/>
      <c r="AFF192" s="172"/>
      <c r="AFG192" s="172"/>
      <c r="AFH192" s="172"/>
      <c r="AFI192" s="172"/>
      <c r="AFJ192" s="172"/>
      <c r="AFK192" s="172"/>
      <c r="AFL192" s="172"/>
      <c r="AFM192" s="172"/>
      <c r="AFN192" s="172"/>
      <c r="AFO192" s="172"/>
      <c r="AFP192" s="172"/>
      <c r="AFQ192" s="172"/>
      <c r="AFR192" s="172"/>
      <c r="AFS192" s="172"/>
      <c r="AFT192" s="172"/>
      <c r="AFU192" s="172"/>
      <c r="AFV192" s="172"/>
      <c r="AFW192" s="172"/>
      <c r="AFX192" s="172"/>
      <c r="AFY192" s="172"/>
      <c r="AFZ192" s="172"/>
      <c r="AGA192" s="172"/>
      <c r="AGB192" s="172"/>
      <c r="AGC192" s="172"/>
      <c r="AGD192" s="172"/>
      <c r="AGE192" s="172"/>
      <c r="AGF192" s="172"/>
      <c r="AGG192" s="172"/>
      <c r="AGH192" s="172"/>
      <c r="AGI192" s="172"/>
      <c r="AGJ192" s="172"/>
      <c r="AGK192" s="172"/>
      <c r="AGL192" s="172"/>
      <c r="AGM192" s="172"/>
      <c r="AGN192" s="172"/>
      <c r="AGO192" s="172"/>
      <c r="AGP192" s="172"/>
      <c r="AGQ192" s="172"/>
      <c r="AGR192" s="172"/>
      <c r="AGS192" s="172"/>
      <c r="AGT192" s="172"/>
      <c r="AGU192" s="172"/>
      <c r="AGV192" s="172"/>
      <c r="AGW192" s="172"/>
      <c r="AGX192" s="172"/>
      <c r="AGY192" s="172"/>
      <c r="AGZ192" s="172"/>
      <c r="AHA192" s="172"/>
      <c r="AHB192" s="172"/>
      <c r="AHC192" s="172"/>
      <c r="AHD192" s="172"/>
      <c r="AHE192" s="172"/>
      <c r="AHF192" s="172"/>
      <c r="AHG192" s="172"/>
      <c r="AHH192" s="172"/>
      <c r="AHI192" s="172"/>
      <c r="AHJ192" s="172"/>
      <c r="AHK192" s="172"/>
      <c r="AHL192" s="172"/>
      <c r="AHM192" s="172"/>
      <c r="AHN192" s="172"/>
      <c r="AHO192" s="172"/>
      <c r="AHP192" s="172"/>
      <c r="AHQ192" s="172"/>
      <c r="AHR192" s="172"/>
      <c r="AHS192" s="172"/>
      <c r="AHT192" s="172"/>
      <c r="AHU192" s="172"/>
      <c r="AHV192" s="172"/>
      <c r="AHW192" s="172"/>
      <c r="AHX192" s="172"/>
      <c r="AHY192" s="172"/>
      <c r="AHZ192" s="172"/>
      <c r="AIA192" s="172"/>
      <c r="AIB192" s="172"/>
      <c r="AIC192" s="172"/>
      <c r="AID192" s="172"/>
      <c r="AIE192" s="172"/>
      <c r="AIF192" s="172"/>
      <c r="AIG192" s="172"/>
      <c r="AIH192" s="172"/>
      <c r="AII192" s="172"/>
      <c r="AIJ192" s="172"/>
      <c r="AIK192" s="172"/>
      <c r="AIL192" s="172"/>
      <c r="AIM192" s="172"/>
      <c r="AIN192" s="172"/>
      <c r="AIO192" s="172"/>
      <c r="AIP192" s="172"/>
      <c r="AIQ192" s="172"/>
      <c r="AIR192" s="172"/>
      <c r="AIS192" s="172"/>
      <c r="AIT192" s="172"/>
      <c r="AIU192" s="172"/>
      <c r="AIV192" s="172"/>
      <c r="AIW192" s="172"/>
      <c r="AIX192" s="172"/>
      <c r="AIY192" s="172"/>
      <c r="AIZ192" s="172"/>
      <c r="AJA192" s="172"/>
      <c r="AJB192" s="172"/>
      <c r="AJC192" s="172"/>
      <c r="AJD192" s="172"/>
      <c r="AJE192" s="172"/>
      <c r="AJF192" s="172"/>
      <c r="AJG192" s="172"/>
      <c r="AJH192" s="172"/>
      <c r="AJI192" s="172"/>
      <c r="AJJ192" s="172"/>
      <c r="AJK192" s="172"/>
      <c r="AJL192" s="172"/>
      <c r="AJM192" s="172"/>
      <c r="AJN192" s="172"/>
      <c r="AJO192" s="172"/>
      <c r="AJP192" s="172"/>
      <c r="AJQ192" s="172"/>
      <c r="AJR192" s="172"/>
      <c r="AJS192" s="172"/>
      <c r="AJT192" s="172"/>
      <c r="AJU192" s="172"/>
      <c r="AJV192" s="172"/>
      <c r="AJW192" s="172"/>
      <c r="AJX192" s="172"/>
      <c r="AJY192" s="172"/>
      <c r="AJZ192" s="172"/>
      <c r="AKA192" s="172"/>
      <c r="AKB192" s="172"/>
      <c r="AKC192" s="172"/>
      <c r="AKD192" s="172"/>
      <c r="AKE192" s="172"/>
      <c r="AKF192" s="172"/>
      <c r="AKG192" s="172"/>
      <c r="AKH192" s="172"/>
      <c r="AKI192" s="172"/>
      <c r="AKJ192" s="172"/>
      <c r="AKK192" s="172"/>
      <c r="AKL192" s="172"/>
      <c r="AKM192" s="172"/>
      <c r="AKN192" s="172"/>
      <c r="AKO192" s="172"/>
      <c r="AKP192" s="172"/>
      <c r="AKQ192" s="172"/>
      <c r="AKR192" s="172"/>
      <c r="AKS192" s="172"/>
      <c r="AKT192" s="172"/>
      <c r="AKU192" s="172"/>
      <c r="AKV192" s="172"/>
      <c r="AKW192" s="172"/>
      <c r="AKX192" s="172"/>
      <c r="AKY192" s="172"/>
      <c r="AKZ192" s="172"/>
      <c r="ALA192" s="172"/>
      <c r="ALB192" s="172"/>
      <c r="ALC192" s="172"/>
      <c r="ALD192" s="172"/>
      <c r="ALE192" s="172"/>
      <c r="ALF192" s="172"/>
      <c r="ALG192" s="172"/>
      <c r="ALH192" s="172"/>
      <c r="ALI192" s="172"/>
      <c r="ALJ192" s="172"/>
      <c r="ALK192" s="172"/>
      <c r="ALL192" s="172"/>
      <c r="ALM192" s="172"/>
      <c r="ALN192" s="172"/>
      <c r="ALO192" s="172"/>
      <c r="ALP192" s="172"/>
      <c r="ALQ192" s="172"/>
      <c r="ALR192" s="172"/>
      <c r="ALS192" s="172"/>
      <c r="ALT192" s="172"/>
      <c r="ALU192" s="172"/>
      <c r="ALV192" s="172"/>
      <c r="ALW192" s="172"/>
      <c r="ALX192" s="172"/>
      <c r="ALY192" s="172"/>
      <c r="ALZ192" s="172"/>
      <c r="AMA192" s="172"/>
      <c r="AMB192" s="172"/>
      <c r="AMC192" s="172"/>
      <c r="AMD192" s="172"/>
      <c r="AME192" s="172"/>
      <c r="AMF192" s="172"/>
      <c r="AMG192" s="172"/>
      <c r="AMH192" s="172"/>
      <c r="AMI192" s="172"/>
      <c r="AMJ192" s="172"/>
      <c r="AMK192" s="172"/>
      <c r="AML192" s="172"/>
      <c r="AMM192" s="172"/>
      <c r="AMN192" s="172"/>
      <c r="AMO192" s="172"/>
      <c r="AMP192" s="172"/>
      <c r="AMQ192" s="172"/>
      <c r="AMR192" s="172"/>
      <c r="AMS192" s="172"/>
      <c r="AMT192" s="172"/>
      <c r="AMU192" s="172"/>
      <c r="AMV192" s="172"/>
      <c r="AMW192" s="172"/>
      <c r="AMX192" s="172"/>
      <c r="AMY192" s="172"/>
      <c r="AMZ192" s="172"/>
      <c r="ANA192" s="172"/>
      <c r="ANB192" s="172"/>
      <c r="ANC192" s="172"/>
      <c r="AND192" s="172"/>
      <c r="ANE192" s="172"/>
      <c r="ANF192" s="172"/>
      <c r="ANG192" s="172"/>
      <c r="ANH192" s="172"/>
      <c r="ANI192" s="172"/>
      <c r="ANJ192" s="172"/>
      <c r="ANK192" s="172"/>
      <c r="ANL192" s="172"/>
      <c r="ANM192" s="172"/>
      <c r="ANN192" s="172"/>
      <c r="ANO192" s="172"/>
      <c r="ANP192" s="172"/>
      <c r="ANQ192" s="172"/>
      <c r="ANR192" s="172"/>
      <c r="ANS192" s="172"/>
      <c r="ANT192" s="172"/>
      <c r="ANU192" s="172"/>
      <c r="ANV192" s="172"/>
      <c r="ANW192" s="172"/>
      <c r="ANX192" s="172"/>
      <c r="ANY192" s="172"/>
      <c r="ANZ192" s="172"/>
      <c r="AOA192" s="172"/>
      <c r="AOB192" s="172"/>
      <c r="AOC192" s="172"/>
      <c r="AOD192" s="172"/>
      <c r="AOE192" s="172"/>
      <c r="AOF192" s="172"/>
      <c r="AOG192" s="172"/>
      <c r="AOH192" s="172"/>
      <c r="AOI192" s="172"/>
      <c r="AOJ192" s="172"/>
      <c r="AOK192" s="172"/>
      <c r="AOL192" s="172"/>
      <c r="AOM192" s="172"/>
      <c r="AON192" s="172"/>
      <c r="AOO192" s="172"/>
      <c r="AOP192" s="172"/>
      <c r="AOQ192" s="172"/>
      <c r="AOR192" s="172"/>
      <c r="AOS192" s="172"/>
      <c r="AOT192" s="172"/>
      <c r="AOU192" s="172"/>
      <c r="AOV192" s="172"/>
      <c r="AOW192" s="172"/>
      <c r="AOX192" s="172"/>
      <c r="AOY192" s="172"/>
      <c r="AOZ192" s="172"/>
      <c r="APA192" s="172"/>
      <c r="APB192" s="172"/>
      <c r="APC192" s="172"/>
      <c r="APD192" s="172"/>
      <c r="APE192" s="172"/>
      <c r="APF192" s="172"/>
      <c r="APG192" s="172"/>
      <c r="APH192" s="172"/>
      <c r="API192" s="172"/>
      <c r="APJ192" s="172"/>
      <c r="APK192" s="172"/>
      <c r="APL192" s="172"/>
      <c r="APM192" s="172"/>
      <c r="APN192" s="172"/>
      <c r="APO192" s="172"/>
      <c r="APP192" s="172"/>
      <c r="APQ192" s="172"/>
      <c r="APR192" s="172"/>
      <c r="APS192" s="172"/>
      <c r="APT192" s="172"/>
      <c r="APU192" s="172"/>
      <c r="APV192" s="172"/>
      <c r="APW192" s="172"/>
      <c r="APX192" s="172"/>
      <c r="APY192" s="172"/>
      <c r="APZ192" s="172"/>
      <c r="AQA192" s="172"/>
      <c r="AQB192" s="172"/>
      <c r="AQC192" s="172"/>
      <c r="AQD192" s="172"/>
      <c r="AQE192" s="172"/>
      <c r="AQF192" s="172"/>
      <c r="AQG192" s="172"/>
      <c r="AQH192" s="172"/>
      <c r="AQI192" s="172"/>
      <c r="AQJ192" s="172"/>
      <c r="AQK192" s="172"/>
      <c r="AQL192" s="172"/>
      <c r="AQM192" s="172"/>
      <c r="AQN192" s="172"/>
      <c r="AQO192" s="172"/>
      <c r="AQP192" s="172"/>
      <c r="AQQ192" s="172"/>
      <c r="AQR192" s="172"/>
      <c r="AQS192" s="172"/>
      <c r="AQT192" s="172"/>
      <c r="AQU192" s="172"/>
      <c r="AQV192" s="172"/>
      <c r="AQW192" s="172"/>
      <c r="AQX192" s="172"/>
      <c r="AQY192" s="172"/>
      <c r="AQZ192" s="172"/>
      <c r="ARA192" s="172"/>
      <c r="ARB192" s="172"/>
      <c r="ARC192" s="172"/>
      <c r="ARD192" s="172"/>
      <c r="ARE192" s="172"/>
      <c r="ARF192" s="172"/>
      <c r="ARG192" s="172"/>
      <c r="ARH192" s="172"/>
      <c r="ARI192" s="172"/>
      <c r="ARJ192" s="172"/>
      <c r="ARK192" s="172"/>
      <c r="ARL192" s="172"/>
      <c r="ARM192" s="172"/>
      <c r="ARN192" s="172"/>
      <c r="ARO192" s="172"/>
      <c r="ARP192" s="172"/>
      <c r="ARQ192" s="172"/>
      <c r="ARR192" s="172"/>
      <c r="ARS192" s="172"/>
      <c r="ART192" s="172"/>
      <c r="ARU192" s="172"/>
    </row>
    <row r="193" spans="1:1165" s="257" customFormat="1">
      <c r="A193" s="222" t="s">
        <v>411</v>
      </c>
      <c r="B193" s="195" t="s">
        <v>87</v>
      </c>
      <c r="C193" s="258">
        <v>0</v>
      </c>
      <c r="D193" s="258">
        <v>0</v>
      </c>
      <c r="E193" s="258">
        <v>0</v>
      </c>
      <c r="F193" s="258">
        <v>0</v>
      </c>
      <c r="G193" s="258">
        <v>0</v>
      </c>
      <c r="H193" s="258">
        <v>0</v>
      </c>
      <c r="I193" s="258">
        <v>0</v>
      </c>
      <c r="J193" s="258">
        <v>0</v>
      </c>
      <c r="K193" s="258">
        <v>0</v>
      </c>
      <c r="L193" s="258">
        <v>0</v>
      </c>
      <c r="M193" s="258">
        <v>0</v>
      </c>
      <c r="N193" s="258">
        <v>0</v>
      </c>
      <c r="O193" s="258">
        <v>0</v>
      </c>
      <c r="P193" s="258">
        <v>0</v>
      </c>
      <c r="Q193" s="258">
        <v>0</v>
      </c>
      <c r="R193" s="258">
        <v>0</v>
      </c>
      <c r="S193" s="258">
        <v>0</v>
      </c>
      <c r="T193" s="258">
        <v>0</v>
      </c>
      <c r="U193" s="258">
        <v>0</v>
      </c>
      <c r="V193" s="258">
        <v>0</v>
      </c>
      <c r="W193" s="258">
        <v>0</v>
      </c>
      <c r="X193" s="258">
        <v>0</v>
      </c>
      <c r="Y193" s="258">
        <v>5757</v>
      </c>
      <c r="Z193" s="258">
        <v>110531</v>
      </c>
      <c r="AA193" s="302">
        <v>0</v>
      </c>
      <c r="AB193" s="302">
        <v>0</v>
      </c>
      <c r="AC193" s="288">
        <v>0</v>
      </c>
      <c r="AD193" s="288">
        <v>0</v>
      </c>
      <c r="AE193" s="288">
        <v>0</v>
      </c>
      <c r="AF193" s="288">
        <v>0</v>
      </c>
      <c r="AG193" s="288">
        <v>0</v>
      </c>
      <c r="AH193" s="288">
        <v>0</v>
      </c>
      <c r="AI193" s="288">
        <v>0</v>
      </c>
      <c r="AJ193" s="288">
        <v>0</v>
      </c>
      <c r="AK193" s="288">
        <v>6000</v>
      </c>
      <c r="AL193" s="288">
        <v>164250</v>
      </c>
      <c r="AM193" s="261">
        <v>5340</v>
      </c>
      <c r="AN193" s="261">
        <v>1014600</v>
      </c>
      <c r="AO193" s="288">
        <v>1570</v>
      </c>
      <c r="AP193" s="288">
        <v>298300</v>
      </c>
      <c r="AQ193" s="288">
        <v>331</v>
      </c>
      <c r="AR193" s="288">
        <v>62890</v>
      </c>
      <c r="AS193" s="288">
        <v>1438</v>
      </c>
      <c r="AT193" s="288">
        <v>685189</v>
      </c>
      <c r="AU193" s="302">
        <v>1939</v>
      </c>
      <c r="AV193" s="302">
        <v>380812</v>
      </c>
      <c r="AW193" s="258">
        <v>2282</v>
      </c>
      <c r="AX193" s="258">
        <v>577289</v>
      </c>
      <c r="AY193" s="258">
        <v>1254</v>
      </c>
      <c r="AZ193" s="258">
        <v>540521</v>
      </c>
      <c r="BA193" s="263"/>
      <c r="BB193" s="258"/>
      <c r="BC193" s="258"/>
      <c r="BD193" s="258"/>
      <c r="BE193" s="258"/>
      <c r="BF193" s="258"/>
      <c r="BG193" s="258"/>
      <c r="BH193" s="258"/>
      <c r="BI193" s="263"/>
      <c r="BJ193" s="258">
        <f t="shared" si="77"/>
        <v>25911</v>
      </c>
      <c r="BK193" s="250">
        <f>D193+H193+J193+L193+N193+P193+R193+T193+V193+X193+Z193+AB193+AD193+AF193+AH193+AJ193+AL193+AN193+AP193+AR193+AT193+AV193+AX193+AZ193+BD193+BH193</f>
        <v>3834382</v>
      </c>
      <c r="BL193" s="172"/>
      <c r="BM193" s="231"/>
      <c r="BN193" s="231"/>
      <c r="BO193" s="231"/>
      <c r="BP193" s="231"/>
      <c r="BQ193" s="172"/>
      <c r="BR193" s="172"/>
      <c r="BS193" s="13"/>
      <c r="BT193" s="172"/>
      <c r="BU193" s="172"/>
      <c r="BV193" s="172"/>
      <c r="BW193" s="172"/>
      <c r="BX193" s="172"/>
      <c r="BY193" s="172"/>
      <c r="BZ193" s="172"/>
      <c r="CA193" s="172"/>
      <c r="CB193" s="172"/>
      <c r="CC193" s="172"/>
      <c r="CD193" s="172"/>
      <c r="CE193" s="172"/>
      <c r="CF193" s="172"/>
      <c r="CG193" s="172"/>
      <c r="CH193" s="172"/>
      <c r="CI193" s="172"/>
      <c r="CJ193" s="172"/>
      <c r="CK193" s="172"/>
      <c r="CL193" s="172"/>
      <c r="CM193" s="172"/>
      <c r="CN193" s="172"/>
      <c r="CO193" s="172"/>
      <c r="CP193" s="172"/>
      <c r="CQ193" s="172"/>
      <c r="CR193" s="172"/>
      <c r="CS193" s="172"/>
      <c r="CT193" s="172"/>
      <c r="CU193" s="172"/>
      <c r="CV193" s="172"/>
      <c r="CW193" s="172"/>
      <c r="CX193" s="172"/>
      <c r="CY193" s="172"/>
      <c r="CZ193" s="172"/>
      <c r="DA193" s="172"/>
      <c r="DB193" s="172"/>
      <c r="DC193" s="172"/>
      <c r="DD193" s="172"/>
      <c r="DE193" s="172"/>
      <c r="DF193" s="172"/>
      <c r="DG193" s="172"/>
      <c r="DH193" s="172"/>
      <c r="DI193" s="172"/>
      <c r="DJ193" s="172"/>
      <c r="DK193" s="172"/>
      <c r="DL193" s="172"/>
      <c r="DM193" s="172"/>
      <c r="DN193" s="172"/>
      <c r="DO193" s="172"/>
      <c r="DP193" s="172"/>
      <c r="DQ193" s="172"/>
      <c r="DR193" s="172"/>
      <c r="DS193" s="172"/>
      <c r="DT193" s="172"/>
      <c r="DU193" s="172"/>
      <c r="DV193" s="172"/>
      <c r="DW193" s="172"/>
      <c r="DX193" s="172"/>
      <c r="DY193" s="172"/>
      <c r="DZ193" s="172"/>
      <c r="EA193" s="172"/>
      <c r="EB193" s="172"/>
      <c r="EC193" s="172"/>
      <c r="ED193" s="172"/>
      <c r="EE193" s="172"/>
      <c r="EF193" s="172"/>
      <c r="EG193" s="172"/>
      <c r="EH193" s="172"/>
      <c r="EI193" s="172"/>
      <c r="EJ193" s="172"/>
      <c r="EK193" s="172"/>
      <c r="EL193" s="172"/>
      <c r="EM193" s="172"/>
      <c r="EN193" s="172"/>
      <c r="EO193" s="172"/>
      <c r="EP193" s="172"/>
      <c r="EQ193" s="172"/>
      <c r="ER193" s="172"/>
      <c r="ES193" s="172"/>
      <c r="ET193" s="172"/>
      <c r="EU193" s="172"/>
      <c r="EV193" s="172"/>
      <c r="EW193" s="172"/>
      <c r="EX193" s="172"/>
      <c r="EY193" s="172"/>
      <c r="EZ193" s="172"/>
      <c r="FA193" s="172"/>
      <c r="FB193" s="172"/>
      <c r="FC193" s="172"/>
      <c r="FD193" s="172"/>
      <c r="FE193" s="172"/>
      <c r="FF193" s="172"/>
      <c r="FG193" s="172"/>
      <c r="FH193" s="172"/>
      <c r="FI193" s="172"/>
      <c r="FJ193" s="172"/>
      <c r="FK193" s="172"/>
      <c r="FL193" s="172"/>
      <c r="FM193" s="172"/>
      <c r="FN193" s="172"/>
      <c r="FO193" s="172"/>
      <c r="FP193" s="172"/>
      <c r="FQ193" s="172"/>
      <c r="FR193" s="172"/>
      <c r="FS193" s="172"/>
      <c r="FT193" s="172"/>
      <c r="FU193" s="172"/>
      <c r="FV193" s="172"/>
      <c r="FW193" s="172"/>
      <c r="FX193" s="172"/>
      <c r="FY193" s="172"/>
      <c r="FZ193" s="172"/>
      <c r="GA193" s="172"/>
      <c r="GB193" s="172"/>
      <c r="GC193" s="172"/>
      <c r="GD193" s="172"/>
      <c r="GE193" s="172"/>
      <c r="GF193" s="172"/>
      <c r="GG193" s="172"/>
      <c r="GH193" s="172"/>
      <c r="GI193" s="172"/>
      <c r="GJ193" s="172"/>
      <c r="GK193" s="172"/>
      <c r="GL193" s="172"/>
      <c r="GM193" s="172"/>
      <c r="GN193" s="172"/>
      <c r="GO193" s="172"/>
      <c r="GP193" s="172"/>
      <c r="GQ193" s="172"/>
      <c r="GR193" s="172"/>
      <c r="GS193" s="172"/>
      <c r="GT193" s="172"/>
      <c r="GU193" s="172"/>
      <c r="GV193" s="172"/>
      <c r="GW193" s="172"/>
      <c r="GX193" s="172"/>
      <c r="GY193" s="172"/>
      <c r="GZ193" s="172"/>
      <c r="HA193" s="172"/>
      <c r="HB193" s="172"/>
      <c r="HC193" s="172"/>
      <c r="HD193" s="172"/>
      <c r="HE193" s="172"/>
      <c r="HF193" s="172"/>
      <c r="HG193" s="172"/>
      <c r="HH193" s="172"/>
      <c r="HI193" s="172"/>
      <c r="HJ193" s="172"/>
      <c r="HK193" s="172"/>
      <c r="HL193" s="172"/>
      <c r="HM193" s="172"/>
      <c r="HN193" s="172"/>
      <c r="HO193" s="172"/>
      <c r="HP193" s="172"/>
      <c r="HQ193" s="172"/>
      <c r="HR193" s="172"/>
      <c r="HS193" s="172"/>
      <c r="HT193" s="172"/>
      <c r="HU193" s="172"/>
      <c r="HV193" s="172"/>
      <c r="HW193" s="172"/>
      <c r="HX193" s="172"/>
      <c r="HY193" s="172"/>
      <c r="HZ193" s="172"/>
      <c r="IA193" s="172"/>
      <c r="IB193" s="172"/>
      <c r="IC193" s="172"/>
      <c r="ID193" s="172"/>
      <c r="IE193" s="172"/>
      <c r="IF193" s="172"/>
      <c r="IG193" s="172"/>
      <c r="IH193" s="172"/>
      <c r="II193" s="172"/>
      <c r="IJ193" s="172"/>
      <c r="IK193" s="172"/>
      <c r="IL193" s="172"/>
      <c r="IM193" s="172"/>
      <c r="IN193" s="172"/>
      <c r="IO193" s="172"/>
      <c r="IP193" s="172"/>
      <c r="IQ193" s="172"/>
      <c r="IR193" s="172"/>
      <c r="IS193" s="172"/>
      <c r="IT193" s="172"/>
      <c r="IU193" s="172"/>
      <c r="IV193" s="172"/>
      <c r="IW193" s="172"/>
      <c r="IX193" s="172"/>
      <c r="IY193" s="172"/>
      <c r="IZ193" s="172"/>
      <c r="JA193" s="172"/>
      <c r="JB193" s="172"/>
      <c r="JC193" s="172"/>
      <c r="JD193" s="172"/>
      <c r="JE193" s="172"/>
      <c r="JF193" s="172"/>
      <c r="JG193" s="172"/>
      <c r="JH193" s="172"/>
      <c r="JI193" s="172"/>
      <c r="JJ193" s="172"/>
      <c r="JK193" s="172"/>
      <c r="JL193" s="172"/>
      <c r="JM193" s="172"/>
      <c r="JN193" s="172"/>
      <c r="JO193" s="172"/>
      <c r="JP193" s="172"/>
      <c r="JQ193" s="172"/>
      <c r="JR193" s="172"/>
      <c r="JS193" s="172"/>
      <c r="JT193" s="172"/>
      <c r="JU193" s="172"/>
      <c r="JV193" s="172"/>
      <c r="JW193" s="172"/>
      <c r="JX193" s="172"/>
      <c r="JY193" s="172"/>
      <c r="JZ193" s="172"/>
      <c r="KA193" s="172"/>
      <c r="KB193" s="172"/>
      <c r="KC193" s="172"/>
      <c r="KD193" s="172"/>
      <c r="KE193" s="172"/>
      <c r="KF193" s="172"/>
      <c r="KG193" s="172"/>
      <c r="KH193" s="172"/>
      <c r="KI193" s="172"/>
      <c r="KJ193" s="172"/>
      <c r="KK193" s="172"/>
      <c r="KL193" s="172"/>
      <c r="KM193" s="172"/>
      <c r="KN193" s="172"/>
      <c r="KO193" s="172"/>
      <c r="KP193" s="172"/>
      <c r="KQ193" s="172"/>
      <c r="KR193" s="172"/>
      <c r="KS193" s="172"/>
      <c r="KT193" s="172"/>
      <c r="KU193" s="172"/>
      <c r="KV193" s="172"/>
      <c r="KW193" s="172"/>
      <c r="KX193" s="172"/>
      <c r="KY193" s="172"/>
      <c r="KZ193" s="172"/>
      <c r="LA193" s="172"/>
      <c r="LB193" s="172"/>
      <c r="LC193" s="172"/>
      <c r="LD193" s="172"/>
      <c r="LE193" s="172"/>
      <c r="LF193" s="172"/>
      <c r="LG193" s="172"/>
      <c r="LH193" s="172"/>
      <c r="LI193" s="172"/>
      <c r="LJ193" s="172"/>
      <c r="LK193" s="172"/>
      <c r="LL193" s="172"/>
      <c r="LM193" s="172"/>
      <c r="LN193" s="172"/>
      <c r="LO193" s="172"/>
      <c r="LP193" s="172"/>
      <c r="LQ193" s="172"/>
      <c r="LR193" s="172"/>
      <c r="LS193" s="172"/>
      <c r="LT193" s="172"/>
      <c r="LU193" s="172"/>
      <c r="LV193" s="172"/>
      <c r="LW193" s="172"/>
      <c r="LX193" s="172"/>
      <c r="LY193" s="172"/>
      <c r="LZ193" s="172"/>
      <c r="MA193" s="172"/>
      <c r="MB193" s="172"/>
      <c r="MC193" s="172"/>
      <c r="MD193" s="172"/>
      <c r="ME193" s="172"/>
      <c r="MF193" s="172"/>
      <c r="MG193" s="172"/>
      <c r="MH193" s="172"/>
      <c r="MI193" s="172"/>
      <c r="MJ193" s="172"/>
      <c r="MK193" s="172"/>
      <c r="ML193" s="172"/>
      <c r="MM193" s="172"/>
      <c r="MN193" s="172"/>
      <c r="MO193" s="172"/>
      <c r="MP193" s="172"/>
      <c r="MQ193" s="172"/>
      <c r="MR193" s="172"/>
      <c r="MS193" s="172"/>
      <c r="MT193" s="172"/>
      <c r="MU193" s="172"/>
      <c r="MV193" s="172"/>
      <c r="MW193" s="172"/>
      <c r="MX193" s="172"/>
      <c r="MY193" s="172"/>
      <c r="MZ193" s="172"/>
      <c r="NA193" s="172"/>
      <c r="NB193" s="172"/>
      <c r="NC193" s="172"/>
      <c r="ND193" s="172"/>
      <c r="NE193" s="172"/>
      <c r="NF193" s="172"/>
      <c r="NG193" s="172"/>
      <c r="NH193" s="172"/>
      <c r="NI193" s="172"/>
      <c r="NJ193" s="172"/>
      <c r="NK193" s="172"/>
      <c r="NL193" s="172"/>
      <c r="NM193" s="172"/>
      <c r="NN193" s="172"/>
      <c r="NO193" s="172"/>
      <c r="NP193" s="172"/>
      <c r="NQ193" s="172"/>
      <c r="NR193" s="172"/>
      <c r="NS193" s="172"/>
      <c r="NT193" s="172"/>
      <c r="NU193" s="172"/>
      <c r="NV193" s="172"/>
      <c r="NW193" s="172"/>
      <c r="NX193" s="172"/>
      <c r="NY193" s="172"/>
      <c r="NZ193" s="172"/>
      <c r="OA193" s="172"/>
      <c r="OB193" s="172"/>
      <c r="OC193" s="172"/>
      <c r="OD193" s="172"/>
      <c r="OE193" s="172"/>
      <c r="OF193" s="172"/>
      <c r="OG193" s="172"/>
      <c r="OH193" s="172"/>
      <c r="OI193" s="172"/>
      <c r="OJ193" s="172"/>
      <c r="OK193" s="172"/>
      <c r="OL193" s="172"/>
      <c r="OM193" s="172"/>
      <c r="ON193" s="172"/>
      <c r="OO193" s="172"/>
      <c r="OP193" s="172"/>
      <c r="OQ193" s="172"/>
      <c r="OR193" s="172"/>
      <c r="OS193" s="172"/>
      <c r="OT193" s="172"/>
      <c r="OU193" s="172"/>
      <c r="OV193" s="172"/>
      <c r="OW193" s="172"/>
      <c r="OX193" s="172"/>
      <c r="OY193" s="172"/>
      <c r="OZ193" s="172"/>
      <c r="PA193" s="172"/>
      <c r="PB193" s="172"/>
      <c r="PC193" s="172"/>
      <c r="PD193" s="172"/>
      <c r="PE193" s="172"/>
      <c r="PF193" s="172"/>
      <c r="PG193" s="172"/>
      <c r="PH193" s="172"/>
      <c r="PI193" s="172"/>
      <c r="PJ193" s="172"/>
      <c r="PK193" s="172"/>
      <c r="PL193" s="172"/>
      <c r="PM193" s="172"/>
      <c r="PN193" s="172"/>
      <c r="PO193" s="172"/>
      <c r="PP193" s="172"/>
      <c r="PQ193" s="172"/>
      <c r="PR193" s="172"/>
      <c r="PS193" s="172"/>
      <c r="PT193" s="172"/>
      <c r="PU193" s="172"/>
      <c r="PV193" s="172"/>
      <c r="PW193" s="172"/>
      <c r="PX193" s="172"/>
      <c r="PY193" s="172"/>
      <c r="PZ193" s="172"/>
      <c r="QA193" s="172"/>
      <c r="QB193" s="172"/>
      <c r="QC193" s="172"/>
      <c r="QD193" s="172"/>
      <c r="QE193" s="172"/>
      <c r="QF193" s="172"/>
      <c r="QG193" s="172"/>
      <c r="QH193" s="172"/>
      <c r="QI193" s="172"/>
      <c r="QJ193" s="172"/>
      <c r="QK193" s="172"/>
      <c r="QL193" s="172"/>
      <c r="QM193" s="172"/>
      <c r="QN193" s="172"/>
      <c r="QO193" s="172"/>
      <c r="QP193" s="172"/>
      <c r="QQ193" s="172"/>
      <c r="QR193" s="172"/>
      <c r="QS193" s="172"/>
      <c r="QT193" s="172"/>
      <c r="QU193" s="172"/>
      <c r="QV193" s="172"/>
      <c r="QW193" s="172"/>
      <c r="QX193" s="172"/>
      <c r="QY193" s="172"/>
      <c r="QZ193" s="172"/>
      <c r="RA193" s="172"/>
      <c r="RB193" s="172"/>
      <c r="RC193" s="172"/>
      <c r="RD193" s="172"/>
      <c r="RE193" s="172"/>
      <c r="RF193" s="172"/>
      <c r="RG193" s="172"/>
      <c r="RH193" s="172"/>
      <c r="RI193" s="172"/>
      <c r="RJ193" s="172"/>
      <c r="RK193" s="172"/>
      <c r="RL193" s="172"/>
      <c r="RM193" s="172"/>
      <c r="RN193" s="172"/>
      <c r="RO193" s="172"/>
      <c r="RP193" s="172"/>
      <c r="RQ193" s="172"/>
      <c r="RR193" s="172"/>
      <c r="RS193" s="172"/>
      <c r="RT193" s="172"/>
      <c r="RU193" s="172"/>
      <c r="RV193" s="172"/>
      <c r="RW193" s="172"/>
      <c r="RX193" s="172"/>
      <c r="RY193" s="172"/>
      <c r="RZ193" s="172"/>
      <c r="SA193" s="172"/>
      <c r="SB193" s="172"/>
      <c r="SC193" s="172"/>
      <c r="SD193" s="172"/>
      <c r="SE193" s="172"/>
      <c r="SF193" s="172"/>
      <c r="SG193" s="172"/>
      <c r="SH193" s="172"/>
      <c r="SI193" s="172"/>
      <c r="SJ193" s="172"/>
      <c r="SK193" s="172"/>
      <c r="SL193" s="172"/>
      <c r="SM193" s="172"/>
      <c r="SN193" s="172"/>
      <c r="SO193" s="172"/>
      <c r="SP193" s="172"/>
      <c r="SQ193" s="172"/>
      <c r="SR193" s="172"/>
      <c r="SS193" s="172"/>
      <c r="ST193" s="172"/>
      <c r="SU193" s="172"/>
      <c r="SV193" s="172"/>
      <c r="SW193" s="172"/>
      <c r="SX193" s="172"/>
      <c r="SY193" s="172"/>
      <c r="SZ193" s="172"/>
      <c r="TA193" s="172"/>
      <c r="TB193" s="172"/>
      <c r="TC193" s="172"/>
      <c r="TD193" s="172"/>
      <c r="TE193" s="172"/>
      <c r="TF193" s="172"/>
      <c r="TG193" s="172"/>
      <c r="TH193" s="172"/>
      <c r="TI193" s="172"/>
      <c r="TJ193" s="172"/>
      <c r="TK193" s="172"/>
      <c r="TL193" s="172"/>
      <c r="TM193" s="172"/>
      <c r="TN193" s="172"/>
      <c r="TO193" s="172"/>
      <c r="TP193" s="172"/>
      <c r="TQ193" s="172"/>
      <c r="TR193" s="172"/>
      <c r="TS193" s="172"/>
      <c r="TT193" s="172"/>
      <c r="TU193" s="172"/>
      <c r="TV193" s="172"/>
      <c r="TW193" s="172"/>
      <c r="TX193" s="172"/>
      <c r="TY193" s="172"/>
      <c r="TZ193" s="172"/>
      <c r="UA193" s="172"/>
      <c r="UB193" s="172"/>
      <c r="UC193" s="172"/>
      <c r="UD193" s="172"/>
      <c r="UE193" s="172"/>
      <c r="UF193" s="172"/>
      <c r="UG193" s="172"/>
      <c r="UH193" s="172"/>
      <c r="UI193" s="172"/>
      <c r="UJ193" s="172"/>
      <c r="UK193" s="172"/>
      <c r="UL193" s="172"/>
      <c r="UM193" s="172"/>
      <c r="UN193" s="172"/>
      <c r="UO193" s="172"/>
      <c r="UP193" s="172"/>
      <c r="UQ193" s="172"/>
      <c r="UR193" s="172"/>
      <c r="US193" s="172"/>
      <c r="UT193" s="172"/>
      <c r="UU193" s="172"/>
      <c r="UV193" s="172"/>
      <c r="UW193" s="172"/>
      <c r="UX193" s="172"/>
      <c r="UY193" s="172"/>
      <c r="UZ193" s="172"/>
      <c r="VA193" s="172"/>
      <c r="VB193" s="172"/>
      <c r="VC193" s="172"/>
      <c r="VD193" s="172"/>
      <c r="VE193" s="172"/>
      <c r="VF193" s="172"/>
      <c r="VG193" s="172"/>
      <c r="VH193" s="172"/>
      <c r="VI193" s="172"/>
      <c r="VJ193" s="172"/>
      <c r="VK193" s="172"/>
      <c r="VL193" s="172"/>
      <c r="VM193" s="172"/>
      <c r="VN193" s="172"/>
      <c r="VO193" s="172"/>
      <c r="VP193" s="172"/>
      <c r="VQ193" s="172"/>
      <c r="VR193" s="172"/>
      <c r="VS193" s="172"/>
      <c r="VT193" s="172"/>
      <c r="VU193" s="172"/>
      <c r="VV193" s="172"/>
      <c r="VW193" s="172"/>
      <c r="VX193" s="172"/>
      <c r="VY193" s="172"/>
      <c r="VZ193" s="172"/>
      <c r="WA193" s="172"/>
      <c r="WB193" s="172"/>
      <c r="WC193" s="172"/>
      <c r="WD193" s="172"/>
      <c r="WE193" s="172"/>
      <c r="WF193" s="172"/>
      <c r="WG193" s="172"/>
      <c r="WH193" s="172"/>
      <c r="WI193" s="172"/>
      <c r="WJ193" s="172"/>
      <c r="WK193" s="172"/>
      <c r="WL193" s="172"/>
      <c r="WM193" s="172"/>
      <c r="WN193" s="172"/>
      <c r="WO193" s="172"/>
      <c r="WP193" s="172"/>
      <c r="WQ193" s="172"/>
      <c r="WR193" s="172"/>
      <c r="WS193" s="172"/>
      <c r="WT193" s="172"/>
      <c r="WU193" s="172"/>
      <c r="WV193" s="172"/>
      <c r="WW193" s="172"/>
      <c r="WX193" s="172"/>
      <c r="WY193" s="172"/>
      <c r="WZ193" s="172"/>
      <c r="XA193" s="172"/>
      <c r="XB193" s="172"/>
      <c r="XC193" s="172"/>
      <c r="XD193" s="172"/>
      <c r="XE193" s="172"/>
      <c r="XF193" s="172"/>
      <c r="XG193" s="172"/>
      <c r="XH193" s="172"/>
      <c r="XI193" s="172"/>
      <c r="XJ193" s="172"/>
      <c r="XK193" s="172"/>
      <c r="XL193" s="172"/>
      <c r="XM193" s="172"/>
      <c r="XN193" s="172"/>
      <c r="XO193" s="172"/>
      <c r="XP193" s="172"/>
      <c r="XQ193" s="172"/>
      <c r="XR193" s="172"/>
      <c r="XS193" s="172"/>
      <c r="XT193" s="172"/>
      <c r="XU193" s="172"/>
      <c r="XV193" s="172"/>
      <c r="XW193" s="172"/>
      <c r="XX193" s="172"/>
      <c r="XY193" s="172"/>
      <c r="XZ193" s="172"/>
      <c r="YA193" s="172"/>
      <c r="YB193" s="172"/>
      <c r="YC193" s="172"/>
      <c r="YD193" s="172"/>
      <c r="YE193" s="172"/>
      <c r="YF193" s="172"/>
      <c r="YG193" s="172"/>
      <c r="YH193" s="172"/>
      <c r="YI193" s="172"/>
      <c r="YJ193" s="172"/>
      <c r="YK193" s="172"/>
      <c r="YL193" s="172"/>
      <c r="YM193" s="172"/>
      <c r="YN193" s="172"/>
      <c r="YO193" s="172"/>
      <c r="YP193" s="172"/>
      <c r="YQ193" s="172"/>
      <c r="YR193" s="172"/>
      <c r="YS193" s="172"/>
      <c r="YT193" s="172"/>
      <c r="YU193" s="172"/>
      <c r="YV193" s="172"/>
      <c r="YW193" s="172"/>
      <c r="YX193" s="172"/>
      <c r="YY193" s="172"/>
      <c r="YZ193" s="172"/>
      <c r="ZA193" s="172"/>
      <c r="ZB193" s="172"/>
      <c r="ZC193" s="172"/>
      <c r="ZD193" s="172"/>
      <c r="ZE193" s="172"/>
      <c r="ZF193" s="172"/>
      <c r="ZG193" s="172"/>
      <c r="ZH193" s="172"/>
      <c r="ZI193" s="172"/>
      <c r="ZJ193" s="172"/>
      <c r="ZK193" s="172"/>
      <c r="ZL193" s="172"/>
      <c r="ZM193" s="172"/>
      <c r="ZN193" s="172"/>
      <c r="ZO193" s="172"/>
      <c r="ZP193" s="172"/>
      <c r="ZQ193" s="172"/>
      <c r="ZR193" s="172"/>
      <c r="ZS193" s="172"/>
      <c r="ZT193" s="172"/>
      <c r="ZU193" s="172"/>
      <c r="ZV193" s="172"/>
      <c r="ZW193" s="172"/>
      <c r="ZX193" s="172"/>
      <c r="ZY193" s="172"/>
      <c r="ZZ193" s="172"/>
      <c r="AAA193" s="172"/>
      <c r="AAB193" s="172"/>
      <c r="AAC193" s="172"/>
      <c r="AAD193" s="172"/>
      <c r="AAE193" s="172"/>
      <c r="AAF193" s="172"/>
      <c r="AAG193" s="172"/>
      <c r="AAH193" s="172"/>
      <c r="AAI193" s="172"/>
      <c r="AAJ193" s="172"/>
      <c r="AAK193" s="172"/>
      <c r="AAL193" s="172"/>
      <c r="AAM193" s="172"/>
      <c r="AAN193" s="172"/>
      <c r="AAO193" s="172"/>
      <c r="AAP193" s="172"/>
      <c r="AAQ193" s="172"/>
      <c r="AAR193" s="172"/>
      <c r="AAS193" s="172"/>
      <c r="AAT193" s="172"/>
      <c r="AAU193" s="172"/>
      <c r="AAV193" s="172"/>
      <c r="AAW193" s="172"/>
      <c r="AAX193" s="172"/>
      <c r="AAY193" s="172"/>
      <c r="AAZ193" s="172"/>
      <c r="ABA193" s="172"/>
      <c r="ABB193" s="172"/>
      <c r="ABC193" s="172"/>
      <c r="ABD193" s="172"/>
      <c r="ABE193" s="172"/>
      <c r="ABF193" s="172"/>
      <c r="ABG193" s="172"/>
      <c r="ABH193" s="172"/>
      <c r="ABI193" s="172"/>
      <c r="ABJ193" s="172"/>
      <c r="ABK193" s="172"/>
      <c r="ABL193" s="172"/>
      <c r="ABM193" s="172"/>
      <c r="ABN193" s="172"/>
      <c r="ABO193" s="172"/>
      <c r="ABP193" s="172"/>
      <c r="ABQ193" s="172"/>
      <c r="ABR193" s="172"/>
      <c r="ABS193" s="172"/>
      <c r="ABT193" s="172"/>
      <c r="ABU193" s="172"/>
      <c r="ABV193" s="172"/>
      <c r="ABW193" s="172"/>
      <c r="ABX193" s="172"/>
      <c r="ABY193" s="172"/>
      <c r="ABZ193" s="172"/>
      <c r="ACA193" s="172"/>
      <c r="ACB193" s="172"/>
      <c r="ACC193" s="172"/>
      <c r="ACD193" s="172"/>
      <c r="ACE193" s="172"/>
      <c r="ACF193" s="172"/>
      <c r="ACG193" s="172"/>
      <c r="ACH193" s="172"/>
      <c r="ACI193" s="172"/>
      <c r="ACJ193" s="172"/>
      <c r="ACK193" s="172"/>
      <c r="ACL193" s="172"/>
      <c r="ACM193" s="172"/>
      <c r="ACN193" s="172"/>
      <c r="ACO193" s="172"/>
      <c r="ACP193" s="172"/>
      <c r="ACQ193" s="172"/>
      <c r="ACR193" s="172"/>
      <c r="ACS193" s="172"/>
      <c r="ACT193" s="172"/>
      <c r="ACU193" s="172"/>
      <c r="ACV193" s="172"/>
      <c r="ACW193" s="172"/>
      <c r="ACX193" s="172"/>
      <c r="ACY193" s="172"/>
      <c r="ACZ193" s="172"/>
      <c r="ADA193" s="172"/>
      <c r="ADB193" s="172"/>
      <c r="ADC193" s="172"/>
      <c r="ADD193" s="172"/>
      <c r="ADE193" s="172"/>
      <c r="ADF193" s="172"/>
      <c r="ADG193" s="172"/>
      <c r="ADH193" s="172"/>
      <c r="ADI193" s="172"/>
      <c r="ADJ193" s="172"/>
      <c r="ADK193" s="172"/>
      <c r="ADL193" s="172"/>
      <c r="ADM193" s="172"/>
      <c r="ADN193" s="172"/>
      <c r="ADO193" s="172"/>
      <c r="ADP193" s="172"/>
      <c r="ADQ193" s="172"/>
      <c r="ADR193" s="172"/>
      <c r="ADS193" s="172"/>
      <c r="ADT193" s="172"/>
      <c r="ADU193" s="172"/>
      <c r="ADV193" s="172"/>
      <c r="ADW193" s="172"/>
      <c r="ADX193" s="172"/>
      <c r="ADY193" s="172"/>
      <c r="ADZ193" s="172"/>
      <c r="AEA193" s="172"/>
      <c r="AEB193" s="172"/>
      <c r="AEC193" s="172"/>
      <c r="AED193" s="172"/>
      <c r="AEE193" s="172"/>
      <c r="AEF193" s="172"/>
      <c r="AEG193" s="172"/>
      <c r="AEH193" s="172"/>
      <c r="AEI193" s="172"/>
      <c r="AEJ193" s="172"/>
      <c r="AEK193" s="172"/>
      <c r="AEL193" s="172"/>
      <c r="AEM193" s="172"/>
      <c r="AEN193" s="172"/>
      <c r="AEO193" s="172"/>
      <c r="AEP193" s="172"/>
      <c r="AEQ193" s="172"/>
      <c r="AER193" s="172"/>
      <c r="AES193" s="172"/>
      <c r="AET193" s="172"/>
      <c r="AEU193" s="172"/>
      <c r="AEV193" s="172"/>
      <c r="AEW193" s="172"/>
      <c r="AEX193" s="172"/>
      <c r="AEY193" s="172"/>
      <c r="AEZ193" s="172"/>
      <c r="AFA193" s="172"/>
      <c r="AFB193" s="172"/>
      <c r="AFC193" s="172"/>
      <c r="AFD193" s="172"/>
      <c r="AFE193" s="172"/>
      <c r="AFF193" s="172"/>
      <c r="AFG193" s="172"/>
      <c r="AFH193" s="172"/>
      <c r="AFI193" s="172"/>
      <c r="AFJ193" s="172"/>
      <c r="AFK193" s="172"/>
      <c r="AFL193" s="172"/>
      <c r="AFM193" s="172"/>
      <c r="AFN193" s="172"/>
      <c r="AFO193" s="172"/>
      <c r="AFP193" s="172"/>
      <c r="AFQ193" s="172"/>
      <c r="AFR193" s="172"/>
      <c r="AFS193" s="172"/>
      <c r="AFT193" s="172"/>
      <c r="AFU193" s="172"/>
      <c r="AFV193" s="172"/>
      <c r="AFW193" s="172"/>
      <c r="AFX193" s="172"/>
      <c r="AFY193" s="172"/>
      <c r="AFZ193" s="172"/>
      <c r="AGA193" s="172"/>
      <c r="AGB193" s="172"/>
      <c r="AGC193" s="172"/>
      <c r="AGD193" s="172"/>
      <c r="AGE193" s="172"/>
      <c r="AGF193" s="172"/>
      <c r="AGG193" s="172"/>
      <c r="AGH193" s="172"/>
      <c r="AGI193" s="172"/>
      <c r="AGJ193" s="172"/>
      <c r="AGK193" s="172"/>
      <c r="AGL193" s="172"/>
      <c r="AGM193" s="172"/>
      <c r="AGN193" s="172"/>
      <c r="AGO193" s="172"/>
      <c r="AGP193" s="172"/>
      <c r="AGQ193" s="172"/>
      <c r="AGR193" s="172"/>
      <c r="AGS193" s="172"/>
      <c r="AGT193" s="172"/>
      <c r="AGU193" s="172"/>
      <c r="AGV193" s="172"/>
      <c r="AGW193" s="172"/>
      <c r="AGX193" s="172"/>
      <c r="AGY193" s="172"/>
      <c r="AGZ193" s="172"/>
      <c r="AHA193" s="172"/>
      <c r="AHB193" s="172"/>
      <c r="AHC193" s="172"/>
      <c r="AHD193" s="172"/>
      <c r="AHE193" s="172"/>
      <c r="AHF193" s="172"/>
      <c r="AHG193" s="172"/>
      <c r="AHH193" s="172"/>
      <c r="AHI193" s="172"/>
      <c r="AHJ193" s="172"/>
      <c r="AHK193" s="172"/>
      <c r="AHL193" s="172"/>
      <c r="AHM193" s="172"/>
      <c r="AHN193" s="172"/>
      <c r="AHO193" s="172"/>
      <c r="AHP193" s="172"/>
      <c r="AHQ193" s="172"/>
      <c r="AHR193" s="172"/>
      <c r="AHS193" s="172"/>
      <c r="AHT193" s="172"/>
      <c r="AHU193" s="172"/>
      <c r="AHV193" s="172"/>
      <c r="AHW193" s="172"/>
      <c r="AHX193" s="172"/>
      <c r="AHY193" s="172"/>
      <c r="AHZ193" s="172"/>
      <c r="AIA193" s="172"/>
      <c r="AIB193" s="172"/>
      <c r="AIC193" s="172"/>
      <c r="AID193" s="172"/>
      <c r="AIE193" s="172"/>
      <c r="AIF193" s="172"/>
      <c r="AIG193" s="172"/>
      <c r="AIH193" s="172"/>
      <c r="AII193" s="172"/>
      <c r="AIJ193" s="172"/>
      <c r="AIK193" s="172"/>
      <c r="AIL193" s="172"/>
      <c r="AIM193" s="172"/>
      <c r="AIN193" s="172"/>
      <c r="AIO193" s="172"/>
      <c r="AIP193" s="172"/>
      <c r="AIQ193" s="172"/>
      <c r="AIR193" s="172"/>
      <c r="AIS193" s="172"/>
      <c r="AIT193" s="172"/>
      <c r="AIU193" s="172"/>
      <c r="AIV193" s="172"/>
      <c r="AIW193" s="172"/>
      <c r="AIX193" s="172"/>
      <c r="AIY193" s="172"/>
      <c r="AIZ193" s="172"/>
      <c r="AJA193" s="172"/>
      <c r="AJB193" s="172"/>
      <c r="AJC193" s="172"/>
      <c r="AJD193" s="172"/>
      <c r="AJE193" s="172"/>
      <c r="AJF193" s="172"/>
      <c r="AJG193" s="172"/>
      <c r="AJH193" s="172"/>
      <c r="AJI193" s="172"/>
      <c r="AJJ193" s="172"/>
      <c r="AJK193" s="172"/>
      <c r="AJL193" s="172"/>
      <c r="AJM193" s="172"/>
      <c r="AJN193" s="172"/>
      <c r="AJO193" s="172"/>
      <c r="AJP193" s="172"/>
      <c r="AJQ193" s="172"/>
      <c r="AJR193" s="172"/>
      <c r="AJS193" s="172"/>
      <c r="AJT193" s="172"/>
      <c r="AJU193" s="172"/>
      <c r="AJV193" s="172"/>
      <c r="AJW193" s="172"/>
      <c r="AJX193" s="172"/>
      <c r="AJY193" s="172"/>
      <c r="AJZ193" s="172"/>
      <c r="AKA193" s="172"/>
      <c r="AKB193" s="172"/>
      <c r="AKC193" s="172"/>
      <c r="AKD193" s="172"/>
      <c r="AKE193" s="172"/>
      <c r="AKF193" s="172"/>
      <c r="AKG193" s="172"/>
      <c r="AKH193" s="172"/>
      <c r="AKI193" s="172"/>
      <c r="AKJ193" s="172"/>
      <c r="AKK193" s="172"/>
      <c r="AKL193" s="172"/>
      <c r="AKM193" s="172"/>
      <c r="AKN193" s="172"/>
      <c r="AKO193" s="172"/>
      <c r="AKP193" s="172"/>
      <c r="AKQ193" s="172"/>
      <c r="AKR193" s="172"/>
      <c r="AKS193" s="172"/>
      <c r="AKT193" s="172"/>
      <c r="AKU193" s="172"/>
      <c r="AKV193" s="172"/>
      <c r="AKW193" s="172"/>
      <c r="AKX193" s="172"/>
      <c r="AKY193" s="172"/>
      <c r="AKZ193" s="172"/>
      <c r="ALA193" s="172"/>
      <c r="ALB193" s="172"/>
      <c r="ALC193" s="172"/>
      <c r="ALD193" s="172"/>
      <c r="ALE193" s="172"/>
      <c r="ALF193" s="172"/>
      <c r="ALG193" s="172"/>
      <c r="ALH193" s="172"/>
      <c r="ALI193" s="172"/>
      <c r="ALJ193" s="172"/>
      <c r="ALK193" s="172"/>
      <c r="ALL193" s="172"/>
      <c r="ALM193" s="172"/>
      <c r="ALN193" s="172"/>
      <c r="ALO193" s="172"/>
      <c r="ALP193" s="172"/>
      <c r="ALQ193" s="172"/>
      <c r="ALR193" s="172"/>
      <c r="ALS193" s="172"/>
      <c r="ALT193" s="172"/>
      <c r="ALU193" s="172"/>
      <c r="ALV193" s="172"/>
      <c r="ALW193" s="172"/>
      <c r="ALX193" s="172"/>
      <c r="ALY193" s="172"/>
      <c r="ALZ193" s="172"/>
      <c r="AMA193" s="172"/>
      <c r="AMB193" s="172"/>
      <c r="AMC193" s="172"/>
      <c r="AMD193" s="172"/>
      <c r="AME193" s="172"/>
      <c r="AMF193" s="172"/>
      <c r="AMG193" s="172"/>
      <c r="AMH193" s="172"/>
      <c r="AMI193" s="172"/>
      <c r="AMJ193" s="172"/>
      <c r="AMK193" s="172"/>
      <c r="AML193" s="172"/>
      <c r="AMM193" s="172"/>
      <c r="AMN193" s="172"/>
      <c r="AMO193" s="172"/>
      <c r="AMP193" s="172"/>
      <c r="AMQ193" s="172"/>
      <c r="AMR193" s="172"/>
      <c r="AMS193" s="172"/>
      <c r="AMT193" s="172"/>
      <c r="AMU193" s="172"/>
      <c r="AMV193" s="172"/>
      <c r="AMW193" s="172"/>
      <c r="AMX193" s="172"/>
      <c r="AMY193" s="172"/>
      <c r="AMZ193" s="172"/>
      <c r="ANA193" s="172"/>
      <c r="ANB193" s="172"/>
      <c r="ANC193" s="172"/>
      <c r="AND193" s="172"/>
      <c r="ANE193" s="172"/>
      <c r="ANF193" s="172"/>
      <c r="ANG193" s="172"/>
      <c r="ANH193" s="172"/>
      <c r="ANI193" s="172"/>
      <c r="ANJ193" s="172"/>
      <c r="ANK193" s="172"/>
      <c r="ANL193" s="172"/>
      <c r="ANM193" s="172"/>
      <c r="ANN193" s="172"/>
      <c r="ANO193" s="172"/>
      <c r="ANP193" s="172"/>
      <c r="ANQ193" s="172"/>
      <c r="ANR193" s="172"/>
      <c r="ANS193" s="172"/>
      <c r="ANT193" s="172"/>
      <c r="ANU193" s="172"/>
      <c r="ANV193" s="172"/>
      <c r="ANW193" s="172"/>
      <c r="ANX193" s="172"/>
      <c r="ANY193" s="172"/>
      <c r="ANZ193" s="172"/>
      <c r="AOA193" s="172"/>
      <c r="AOB193" s="172"/>
      <c r="AOC193" s="172"/>
      <c r="AOD193" s="172"/>
      <c r="AOE193" s="172"/>
      <c r="AOF193" s="172"/>
      <c r="AOG193" s="172"/>
      <c r="AOH193" s="172"/>
      <c r="AOI193" s="172"/>
      <c r="AOJ193" s="172"/>
      <c r="AOK193" s="172"/>
      <c r="AOL193" s="172"/>
      <c r="AOM193" s="172"/>
      <c r="AON193" s="172"/>
      <c r="AOO193" s="172"/>
      <c r="AOP193" s="172"/>
      <c r="AOQ193" s="172"/>
      <c r="AOR193" s="172"/>
      <c r="AOS193" s="172"/>
      <c r="AOT193" s="172"/>
      <c r="AOU193" s="172"/>
      <c r="AOV193" s="172"/>
      <c r="AOW193" s="172"/>
      <c r="AOX193" s="172"/>
      <c r="AOY193" s="172"/>
      <c r="AOZ193" s="172"/>
      <c r="APA193" s="172"/>
      <c r="APB193" s="172"/>
      <c r="APC193" s="172"/>
      <c r="APD193" s="172"/>
      <c r="APE193" s="172"/>
      <c r="APF193" s="172"/>
      <c r="APG193" s="172"/>
      <c r="APH193" s="172"/>
      <c r="API193" s="172"/>
      <c r="APJ193" s="172"/>
      <c r="APK193" s="172"/>
      <c r="APL193" s="172"/>
      <c r="APM193" s="172"/>
      <c r="APN193" s="172"/>
      <c r="APO193" s="172"/>
      <c r="APP193" s="172"/>
      <c r="APQ193" s="172"/>
      <c r="APR193" s="172"/>
      <c r="APS193" s="172"/>
      <c r="APT193" s="172"/>
      <c r="APU193" s="172"/>
      <c r="APV193" s="172"/>
      <c r="APW193" s="172"/>
      <c r="APX193" s="172"/>
      <c r="APY193" s="172"/>
      <c r="APZ193" s="172"/>
      <c r="AQA193" s="172"/>
      <c r="AQB193" s="172"/>
      <c r="AQC193" s="172"/>
      <c r="AQD193" s="172"/>
      <c r="AQE193" s="172"/>
      <c r="AQF193" s="172"/>
      <c r="AQG193" s="172"/>
      <c r="AQH193" s="172"/>
      <c r="AQI193" s="172"/>
      <c r="AQJ193" s="172"/>
      <c r="AQK193" s="172"/>
      <c r="AQL193" s="172"/>
      <c r="AQM193" s="172"/>
      <c r="AQN193" s="172"/>
      <c r="AQO193" s="172"/>
      <c r="AQP193" s="172"/>
      <c r="AQQ193" s="172"/>
      <c r="AQR193" s="172"/>
      <c r="AQS193" s="172"/>
      <c r="AQT193" s="172"/>
      <c r="AQU193" s="172"/>
      <c r="AQV193" s="172"/>
      <c r="AQW193" s="172"/>
      <c r="AQX193" s="172"/>
      <c r="AQY193" s="172"/>
      <c r="AQZ193" s="172"/>
      <c r="ARA193" s="172"/>
      <c r="ARB193" s="172"/>
      <c r="ARC193" s="172"/>
      <c r="ARD193" s="172"/>
      <c r="ARE193" s="172"/>
      <c r="ARF193" s="172"/>
      <c r="ARG193" s="172"/>
      <c r="ARH193" s="172"/>
      <c r="ARI193" s="172"/>
      <c r="ARJ193" s="172"/>
      <c r="ARK193" s="172"/>
      <c r="ARL193" s="172"/>
      <c r="ARM193" s="172"/>
      <c r="ARN193" s="172"/>
      <c r="ARO193" s="172"/>
      <c r="ARP193" s="172"/>
      <c r="ARQ193" s="172"/>
      <c r="ARR193" s="172"/>
      <c r="ARS193" s="172"/>
      <c r="ART193" s="172"/>
      <c r="ARU193" s="172"/>
    </row>
    <row r="194" spans="1:1165" s="257" customFormat="1">
      <c r="A194" s="220" t="s">
        <v>272</v>
      </c>
      <c r="B194" s="195"/>
      <c r="C194" s="258">
        <f t="shared" ref="C194:AV194" si="78">SUM(C192:C193)</f>
        <v>14385</v>
      </c>
      <c r="D194" s="258">
        <f t="shared" si="78"/>
        <v>280301</v>
      </c>
      <c r="E194" s="250">
        <f t="shared" si="78"/>
        <v>53</v>
      </c>
      <c r="F194" s="258">
        <f t="shared" si="78"/>
        <v>897</v>
      </c>
      <c r="G194" s="250">
        <f t="shared" si="78"/>
        <v>839</v>
      </c>
      <c r="H194" s="258">
        <f t="shared" si="78"/>
        <v>14281</v>
      </c>
      <c r="I194" s="258">
        <f t="shared" si="78"/>
        <v>0</v>
      </c>
      <c r="J194" s="258">
        <f t="shared" si="78"/>
        <v>0</v>
      </c>
      <c r="K194" s="258">
        <f t="shared" si="78"/>
        <v>0</v>
      </c>
      <c r="L194" s="258">
        <f t="shared" si="78"/>
        <v>0</v>
      </c>
      <c r="M194" s="258">
        <f t="shared" si="78"/>
        <v>0</v>
      </c>
      <c r="N194" s="258">
        <f t="shared" si="78"/>
        <v>0</v>
      </c>
      <c r="O194" s="258">
        <f t="shared" si="78"/>
        <v>0</v>
      </c>
      <c r="P194" s="258">
        <f t="shared" si="78"/>
        <v>0</v>
      </c>
      <c r="Q194" s="258">
        <f t="shared" si="78"/>
        <v>0</v>
      </c>
      <c r="R194" s="258">
        <f t="shared" si="78"/>
        <v>0</v>
      </c>
      <c r="S194" s="258">
        <f t="shared" si="78"/>
        <v>0</v>
      </c>
      <c r="T194" s="258">
        <f t="shared" si="78"/>
        <v>0</v>
      </c>
      <c r="U194" s="258">
        <f t="shared" si="78"/>
        <v>0</v>
      </c>
      <c r="V194" s="258">
        <f t="shared" si="78"/>
        <v>0</v>
      </c>
      <c r="W194" s="258">
        <f t="shared" si="78"/>
        <v>0</v>
      </c>
      <c r="X194" s="258">
        <f t="shared" si="78"/>
        <v>0</v>
      </c>
      <c r="Y194" s="250">
        <f t="shared" si="78"/>
        <v>5757</v>
      </c>
      <c r="Z194" s="258">
        <f t="shared" si="78"/>
        <v>110531</v>
      </c>
      <c r="AA194" s="258">
        <f t="shared" si="78"/>
        <v>0</v>
      </c>
      <c r="AB194" s="258">
        <f t="shared" si="78"/>
        <v>0</v>
      </c>
      <c r="AC194" s="258">
        <f t="shared" si="78"/>
        <v>0</v>
      </c>
      <c r="AD194" s="258">
        <f t="shared" si="78"/>
        <v>0</v>
      </c>
      <c r="AE194" s="258">
        <f t="shared" si="78"/>
        <v>0</v>
      </c>
      <c r="AF194" s="258">
        <f t="shared" si="78"/>
        <v>0</v>
      </c>
      <c r="AG194" s="258">
        <f t="shared" si="78"/>
        <v>0</v>
      </c>
      <c r="AH194" s="258">
        <f t="shared" si="78"/>
        <v>0</v>
      </c>
      <c r="AI194" s="258">
        <f t="shared" si="78"/>
        <v>0</v>
      </c>
      <c r="AJ194" s="258">
        <f t="shared" si="78"/>
        <v>0</v>
      </c>
      <c r="AK194" s="250">
        <f t="shared" si="78"/>
        <v>6000</v>
      </c>
      <c r="AL194" s="258">
        <f t="shared" si="78"/>
        <v>164250</v>
      </c>
      <c r="AM194" s="250">
        <f t="shared" si="78"/>
        <v>5340</v>
      </c>
      <c r="AN194" s="258">
        <f t="shared" si="78"/>
        <v>1014600</v>
      </c>
      <c r="AO194" s="250">
        <f t="shared" si="78"/>
        <v>1570</v>
      </c>
      <c r="AP194" s="258">
        <f t="shared" si="78"/>
        <v>298300</v>
      </c>
      <c r="AQ194" s="250">
        <f t="shared" si="78"/>
        <v>331</v>
      </c>
      <c r="AR194" s="258">
        <f t="shared" si="78"/>
        <v>62890</v>
      </c>
      <c r="AS194" s="250">
        <f t="shared" si="78"/>
        <v>1438</v>
      </c>
      <c r="AT194" s="258">
        <f t="shared" si="78"/>
        <v>685189</v>
      </c>
      <c r="AU194" s="250">
        <f t="shared" si="78"/>
        <v>1939</v>
      </c>
      <c r="AV194" s="258">
        <f t="shared" si="78"/>
        <v>380812</v>
      </c>
      <c r="AW194" s="258"/>
      <c r="AX194" s="258">
        <f>SUM(AX192:AX193)</f>
        <v>577289</v>
      </c>
      <c r="AY194" s="258"/>
      <c r="AZ194" s="258">
        <f>SUM(AZ192:AZ193)</f>
        <v>540521</v>
      </c>
      <c r="BA194" s="265"/>
      <c r="BB194" s="258"/>
      <c r="BC194" s="258"/>
      <c r="BD194" s="258"/>
      <c r="BE194" s="258"/>
      <c r="BF194" s="258"/>
      <c r="BG194" s="258"/>
      <c r="BH194" s="258"/>
      <c r="BI194" s="263"/>
      <c r="BJ194" s="258">
        <f t="shared" si="77"/>
        <v>37599</v>
      </c>
      <c r="BK194" s="250">
        <f>D194+H194+J194+L194+N194+P194+R194+T194+V194+X194+Z194+AB194+AD194+AF194+AH194+AJ194+AL194+AN194+AP194+AR194+AT194+AV194+AX194+AZ194+BD194+BH194</f>
        <v>4128964</v>
      </c>
      <c r="BL194" s="172"/>
      <c r="BM194" s="231"/>
      <c r="BN194" s="231"/>
      <c r="BO194" s="231"/>
      <c r="BP194" s="231"/>
      <c r="BQ194" s="172"/>
      <c r="BR194" s="172"/>
      <c r="BS194" s="13"/>
      <c r="BT194" s="172"/>
      <c r="BU194" s="172"/>
      <c r="BV194" s="172"/>
      <c r="BW194" s="172"/>
      <c r="BX194" s="172"/>
      <c r="BY194" s="172"/>
      <c r="BZ194" s="172"/>
      <c r="CA194" s="172"/>
      <c r="CB194" s="172"/>
      <c r="CC194" s="172"/>
      <c r="CD194" s="172"/>
      <c r="CE194" s="172"/>
      <c r="CF194" s="172"/>
      <c r="CG194" s="172"/>
      <c r="CH194" s="172"/>
      <c r="CI194" s="172"/>
      <c r="CJ194" s="172"/>
      <c r="CK194" s="172"/>
      <c r="CL194" s="172"/>
      <c r="CM194" s="172"/>
      <c r="CN194" s="172"/>
      <c r="CO194" s="172"/>
      <c r="CP194" s="172"/>
      <c r="CQ194" s="172"/>
      <c r="CR194" s="172"/>
      <c r="CS194" s="172"/>
      <c r="CT194" s="172"/>
      <c r="CU194" s="172"/>
      <c r="CV194" s="172"/>
      <c r="CW194" s="172"/>
      <c r="CX194" s="172"/>
      <c r="CY194" s="172"/>
      <c r="CZ194" s="172"/>
      <c r="DA194" s="172"/>
      <c r="DB194" s="172"/>
      <c r="DC194" s="172"/>
      <c r="DD194" s="172"/>
      <c r="DE194" s="172"/>
      <c r="DF194" s="172"/>
      <c r="DG194" s="172"/>
      <c r="DH194" s="172"/>
      <c r="DI194" s="172"/>
      <c r="DJ194" s="172"/>
      <c r="DK194" s="172"/>
      <c r="DL194" s="172"/>
      <c r="DM194" s="172"/>
      <c r="DN194" s="172"/>
      <c r="DO194" s="172"/>
      <c r="DP194" s="172"/>
      <c r="DQ194" s="172"/>
      <c r="DR194" s="172"/>
      <c r="DS194" s="172"/>
      <c r="DT194" s="172"/>
      <c r="DU194" s="172"/>
      <c r="DV194" s="172"/>
      <c r="DW194" s="172"/>
      <c r="DX194" s="172"/>
      <c r="DY194" s="172"/>
      <c r="DZ194" s="172"/>
      <c r="EA194" s="172"/>
      <c r="EB194" s="172"/>
      <c r="EC194" s="172"/>
      <c r="ED194" s="172"/>
      <c r="EE194" s="172"/>
      <c r="EF194" s="172"/>
      <c r="EG194" s="172"/>
      <c r="EH194" s="172"/>
      <c r="EI194" s="172"/>
      <c r="EJ194" s="172"/>
      <c r="EK194" s="172"/>
      <c r="EL194" s="172"/>
      <c r="EM194" s="172"/>
      <c r="EN194" s="172"/>
      <c r="EO194" s="172"/>
      <c r="EP194" s="172"/>
      <c r="EQ194" s="172"/>
      <c r="ER194" s="172"/>
      <c r="ES194" s="172"/>
      <c r="ET194" s="172"/>
      <c r="EU194" s="172"/>
      <c r="EV194" s="172"/>
      <c r="EW194" s="172"/>
      <c r="EX194" s="172"/>
      <c r="EY194" s="172"/>
      <c r="EZ194" s="172"/>
      <c r="FA194" s="172"/>
      <c r="FB194" s="172"/>
      <c r="FC194" s="172"/>
      <c r="FD194" s="172"/>
      <c r="FE194" s="172"/>
      <c r="FF194" s="172"/>
      <c r="FG194" s="172"/>
      <c r="FH194" s="172"/>
      <c r="FI194" s="172"/>
      <c r="FJ194" s="172"/>
      <c r="FK194" s="172"/>
      <c r="FL194" s="172"/>
      <c r="FM194" s="172"/>
      <c r="FN194" s="172"/>
      <c r="FO194" s="172"/>
      <c r="FP194" s="172"/>
      <c r="FQ194" s="172"/>
      <c r="FR194" s="172"/>
      <c r="FS194" s="172"/>
      <c r="FT194" s="172"/>
      <c r="FU194" s="172"/>
      <c r="FV194" s="172"/>
      <c r="FW194" s="172"/>
      <c r="FX194" s="172"/>
      <c r="FY194" s="172"/>
      <c r="FZ194" s="172"/>
      <c r="GA194" s="172"/>
      <c r="GB194" s="172"/>
      <c r="GC194" s="172"/>
      <c r="GD194" s="172"/>
      <c r="GE194" s="172"/>
      <c r="GF194" s="172"/>
      <c r="GG194" s="172"/>
      <c r="GH194" s="172"/>
      <c r="GI194" s="172"/>
      <c r="GJ194" s="172"/>
      <c r="GK194" s="172"/>
      <c r="GL194" s="172"/>
      <c r="GM194" s="172"/>
      <c r="GN194" s="172"/>
      <c r="GO194" s="172"/>
      <c r="GP194" s="172"/>
      <c r="GQ194" s="172"/>
      <c r="GR194" s="172"/>
      <c r="GS194" s="172"/>
      <c r="GT194" s="172"/>
      <c r="GU194" s="172"/>
      <c r="GV194" s="172"/>
      <c r="GW194" s="172"/>
      <c r="GX194" s="172"/>
      <c r="GY194" s="172"/>
      <c r="GZ194" s="172"/>
      <c r="HA194" s="172"/>
      <c r="HB194" s="172"/>
      <c r="HC194" s="172"/>
      <c r="HD194" s="172"/>
      <c r="HE194" s="172"/>
      <c r="HF194" s="172"/>
      <c r="HG194" s="172"/>
      <c r="HH194" s="172"/>
      <c r="HI194" s="172"/>
      <c r="HJ194" s="172"/>
      <c r="HK194" s="172"/>
      <c r="HL194" s="172"/>
      <c r="HM194" s="172"/>
      <c r="HN194" s="172"/>
      <c r="HO194" s="172"/>
      <c r="HP194" s="172"/>
      <c r="HQ194" s="172"/>
      <c r="HR194" s="172"/>
      <c r="HS194" s="172"/>
      <c r="HT194" s="172"/>
      <c r="HU194" s="172"/>
      <c r="HV194" s="172"/>
      <c r="HW194" s="172"/>
      <c r="HX194" s="172"/>
      <c r="HY194" s="172"/>
      <c r="HZ194" s="172"/>
      <c r="IA194" s="172"/>
      <c r="IB194" s="172"/>
      <c r="IC194" s="172"/>
      <c r="ID194" s="172"/>
      <c r="IE194" s="172"/>
      <c r="IF194" s="172"/>
      <c r="IG194" s="172"/>
      <c r="IH194" s="172"/>
      <c r="II194" s="172"/>
      <c r="IJ194" s="172"/>
      <c r="IK194" s="172"/>
      <c r="IL194" s="172"/>
      <c r="IM194" s="172"/>
      <c r="IN194" s="172"/>
      <c r="IO194" s="172"/>
      <c r="IP194" s="172"/>
      <c r="IQ194" s="172"/>
      <c r="IR194" s="172"/>
      <c r="IS194" s="172"/>
      <c r="IT194" s="172"/>
      <c r="IU194" s="172"/>
      <c r="IV194" s="172"/>
      <c r="IW194" s="172"/>
      <c r="IX194" s="172"/>
      <c r="IY194" s="172"/>
      <c r="IZ194" s="172"/>
      <c r="JA194" s="172"/>
      <c r="JB194" s="172"/>
      <c r="JC194" s="172"/>
      <c r="JD194" s="172"/>
      <c r="JE194" s="172"/>
      <c r="JF194" s="172"/>
      <c r="JG194" s="172"/>
      <c r="JH194" s="172"/>
      <c r="JI194" s="172"/>
      <c r="JJ194" s="172"/>
      <c r="JK194" s="172"/>
      <c r="JL194" s="172"/>
      <c r="JM194" s="172"/>
      <c r="JN194" s="172"/>
      <c r="JO194" s="172"/>
      <c r="JP194" s="172"/>
      <c r="JQ194" s="172"/>
      <c r="JR194" s="172"/>
      <c r="JS194" s="172"/>
      <c r="JT194" s="172"/>
      <c r="JU194" s="172"/>
      <c r="JV194" s="172"/>
      <c r="JW194" s="172"/>
      <c r="JX194" s="172"/>
      <c r="JY194" s="172"/>
      <c r="JZ194" s="172"/>
      <c r="KA194" s="172"/>
      <c r="KB194" s="172"/>
      <c r="KC194" s="172"/>
      <c r="KD194" s="172"/>
      <c r="KE194" s="172"/>
      <c r="KF194" s="172"/>
      <c r="KG194" s="172"/>
      <c r="KH194" s="172"/>
      <c r="KI194" s="172"/>
      <c r="KJ194" s="172"/>
      <c r="KK194" s="172"/>
      <c r="KL194" s="172"/>
      <c r="KM194" s="172"/>
      <c r="KN194" s="172"/>
      <c r="KO194" s="172"/>
      <c r="KP194" s="172"/>
      <c r="KQ194" s="172"/>
      <c r="KR194" s="172"/>
      <c r="KS194" s="172"/>
      <c r="KT194" s="172"/>
      <c r="KU194" s="172"/>
      <c r="KV194" s="172"/>
      <c r="KW194" s="172"/>
      <c r="KX194" s="172"/>
      <c r="KY194" s="172"/>
      <c r="KZ194" s="172"/>
      <c r="LA194" s="172"/>
      <c r="LB194" s="172"/>
      <c r="LC194" s="172"/>
      <c r="LD194" s="172"/>
      <c r="LE194" s="172"/>
      <c r="LF194" s="172"/>
      <c r="LG194" s="172"/>
      <c r="LH194" s="172"/>
      <c r="LI194" s="172"/>
      <c r="LJ194" s="172"/>
      <c r="LK194" s="172"/>
      <c r="LL194" s="172"/>
      <c r="LM194" s="172"/>
      <c r="LN194" s="172"/>
      <c r="LO194" s="172"/>
      <c r="LP194" s="172"/>
      <c r="LQ194" s="172"/>
      <c r="LR194" s="172"/>
      <c r="LS194" s="172"/>
      <c r="LT194" s="172"/>
      <c r="LU194" s="172"/>
      <c r="LV194" s="172"/>
      <c r="LW194" s="172"/>
      <c r="LX194" s="172"/>
      <c r="LY194" s="172"/>
      <c r="LZ194" s="172"/>
      <c r="MA194" s="172"/>
      <c r="MB194" s="172"/>
      <c r="MC194" s="172"/>
      <c r="MD194" s="172"/>
      <c r="ME194" s="172"/>
      <c r="MF194" s="172"/>
      <c r="MG194" s="172"/>
      <c r="MH194" s="172"/>
      <c r="MI194" s="172"/>
      <c r="MJ194" s="172"/>
      <c r="MK194" s="172"/>
      <c r="ML194" s="172"/>
      <c r="MM194" s="172"/>
      <c r="MN194" s="172"/>
      <c r="MO194" s="172"/>
      <c r="MP194" s="172"/>
      <c r="MQ194" s="172"/>
      <c r="MR194" s="172"/>
      <c r="MS194" s="172"/>
      <c r="MT194" s="172"/>
      <c r="MU194" s="172"/>
      <c r="MV194" s="172"/>
      <c r="MW194" s="172"/>
      <c r="MX194" s="172"/>
      <c r="MY194" s="172"/>
      <c r="MZ194" s="172"/>
      <c r="NA194" s="172"/>
      <c r="NB194" s="172"/>
      <c r="NC194" s="172"/>
      <c r="ND194" s="172"/>
      <c r="NE194" s="172"/>
      <c r="NF194" s="172"/>
      <c r="NG194" s="172"/>
      <c r="NH194" s="172"/>
      <c r="NI194" s="172"/>
      <c r="NJ194" s="172"/>
      <c r="NK194" s="172"/>
      <c r="NL194" s="172"/>
      <c r="NM194" s="172"/>
      <c r="NN194" s="172"/>
      <c r="NO194" s="172"/>
      <c r="NP194" s="172"/>
      <c r="NQ194" s="172"/>
      <c r="NR194" s="172"/>
      <c r="NS194" s="172"/>
      <c r="NT194" s="172"/>
      <c r="NU194" s="172"/>
      <c r="NV194" s="172"/>
      <c r="NW194" s="172"/>
      <c r="NX194" s="172"/>
      <c r="NY194" s="172"/>
      <c r="NZ194" s="172"/>
      <c r="OA194" s="172"/>
      <c r="OB194" s="172"/>
      <c r="OC194" s="172"/>
      <c r="OD194" s="172"/>
      <c r="OE194" s="172"/>
      <c r="OF194" s="172"/>
      <c r="OG194" s="172"/>
      <c r="OH194" s="172"/>
      <c r="OI194" s="172"/>
      <c r="OJ194" s="172"/>
      <c r="OK194" s="172"/>
      <c r="OL194" s="172"/>
      <c r="OM194" s="172"/>
      <c r="ON194" s="172"/>
      <c r="OO194" s="172"/>
      <c r="OP194" s="172"/>
      <c r="OQ194" s="172"/>
      <c r="OR194" s="172"/>
      <c r="OS194" s="172"/>
      <c r="OT194" s="172"/>
      <c r="OU194" s="172"/>
      <c r="OV194" s="172"/>
      <c r="OW194" s="172"/>
      <c r="OX194" s="172"/>
      <c r="OY194" s="172"/>
      <c r="OZ194" s="172"/>
      <c r="PA194" s="172"/>
      <c r="PB194" s="172"/>
      <c r="PC194" s="172"/>
      <c r="PD194" s="172"/>
      <c r="PE194" s="172"/>
      <c r="PF194" s="172"/>
      <c r="PG194" s="172"/>
      <c r="PH194" s="172"/>
      <c r="PI194" s="172"/>
      <c r="PJ194" s="172"/>
      <c r="PK194" s="172"/>
      <c r="PL194" s="172"/>
      <c r="PM194" s="172"/>
      <c r="PN194" s="172"/>
      <c r="PO194" s="172"/>
      <c r="PP194" s="172"/>
      <c r="PQ194" s="172"/>
      <c r="PR194" s="172"/>
      <c r="PS194" s="172"/>
      <c r="PT194" s="172"/>
      <c r="PU194" s="172"/>
      <c r="PV194" s="172"/>
      <c r="PW194" s="172"/>
      <c r="PX194" s="172"/>
      <c r="PY194" s="172"/>
      <c r="PZ194" s="172"/>
      <c r="QA194" s="172"/>
      <c r="QB194" s="172"/>
      <c r="QC194" s="172"/>
      <c r="QD194" s="172"/>
      <c r="QE194" s="172"/>
      <c r="QF194" s="172"/>
      <c r="QG194" s="172"/>
      <c r="QH194" s="172"/>
      <c r="QI194" s="172"/>
      <c r="QJ194" s="172"/>
      <c r="QK194" s="172"/>
      <c r="QL194" s="172"/>
      <c r="QM194" s="172"/>
      <c r="QN194" s="172"/>
      <c r="QO194" s="172"/>
      <c r="QP194" s="172"/>
      <c r="QQ194" s="172"/>
      <c r="QR194" s="172"/>
      <c r="QS194" s="172"/>
      <c r="QT194" s="172"/>
      <c r="QU194" s="172"/>
      <c r="QV194" s="172"/>
      <c r="QW194" s="172"/>
      <c r="QX194" s="172"/>
      <c r="QY194" s="172"/>
      <c r="QZ194" s="172"/>
      <c r="RA194" s="172"/>
      <c r="RB194" s="172"/>
      <c r="RC194" s="172"/>
      <c r="RD194" s="172"/>
      <c r="RE194" s="172"/>
      <c r="RF194" s="172"/>
      <c r="RG194" s="172"/>
      <c r="RH194" s="172"/>
      <c r="RI194" s="172"/>
      <c r="RJ194" s="172"/>
      <c r="RK194" s="172"/>
      <c r="RL194" s="172"/>
      <c r="RM194" s="172"/>
      <c r="RN194" s="172"/>
      <c r="RO194" s="172"/>
      <c r="RP194" s="172"/>
      <c r="RQ194" s="172"/>
      <c r="RR194" s="172"/>
      <c r="RS194" s="172"/>
      <c r="RT194" s="172"/>
      <c r="RU194" s="172"/>
      <c r="RV194" s="172"/>
      <c r="RW194" s="172"/>
      <c r="RX194" s="172"/>
      <c r="RY194" s="172"/>
      <c r="RZ194" s="172"/>
      <c r="SA194" s="172"/>
      <c r="SB194" s="172"/>
      <c r="SC194" s="172"/>
      <c r="SD194" s="172"/>
      <c r="SE194" s="172"/>
      <c r="SF194" s="172"/>
      <c r="SG194" s="172"/>
      <c r="SH194" s="172"/>
      <c r="SI194" s="172"/>
      <c r="SJ194" s="172"/>
      <c r="SK194" s="172"/>
      <c r="SL194" s="172"/>
      <c r="SM194" s="172"/>
      <c r="SN194" s="172"/>
      <c r="SO194" s="172"/>
      <c r="SP194" s="172"/>
      <c r="SQ194" s="172"/>
      <c r="SR194" s="172"/>
      <c r="SS194" s="172"/>
      <c r="ST194" s="172"/>
      <c r="SU194" s="172"/>
      <c r="SV194" s="172"/>
      <c r="SW194" s="172"/>
      <c r="SX194" s="172"/>
      <c r="SY194" s="172"/>
      <c r="SZ194" s="172"/>
      <c r="TA194" s="172"/>
      <c r="TB194" s="172"/>
      <c r="TC194" s="172"/>
      <c r="TD194" s="172"/>
      <c r="TE194" s="172"/>
      <c r="TF194" s="172"/>
      <c r="TG194" s="172"/>
      <c r="TH194" s="172"/>
      <c r="TI194" s="172"/>
      <c r="TJ194" s="172"/>
      <c r="TK194" s="172"/>
      <c r="TL194" s="172"/>
      <c r="TM194" s="172"/>
      <c r="TN194" s="172"/>
      <c r="TO194" s="172"/>
      <c r="TP194" s="172"/>
      <c r="TQ194" s="172"/>
      <c r="TR194" s="172"/>
      <c r="TS194" s="172"/>
      <c r="TT194" s="172"/>
      <c r="TU194" s="172"/>
      <c r="TV194" s="172"/>
      <c r="TW194" s="172"/>
      <c r="TX194" s="172"/>
      <c r="TY194" s="172"/>
      <c r="TZ194" s="172"/>
      <c r="UA194" s="172"/>
      <c r="UB194" s="172"/>
      <c r="UC194" s="172"/>
      <c r="UD194" s="172"/>
      <c r="UE194" s="172"/>
      <c r="UF194" s="172"/>
      <c r="UG194" s="172"/>
      <c r="UH194" s="172"/>
      <c r="UI194" s="172"/>
      <c r="UJ194" s="172"/>
      <c r="UK194" s="172"/>
      <c r="UL194" s="172"/>
      <c r="UM194" s="172"/>
      <c r="UN194" s="172"/>
      <c r="UO194" s="172"/>
      <c r="UP194" s="172"/>
      <c r="UQ194" s="172"/>
      <c r="UR194" s="172"/>
      <c r="US194" s="172"/>
      <c r="UT194" s="172"/>
      <c r="UU194" s="172"/>
      <c r="UV194" s="172"/>
      <c r="UW194" s="172"/>
      <c r="UX194" s="172"/>
      <c r="UY194" s="172"/>
      <c r="UZ194" s="172"/>
      <c r="VA194" s="172"/>
      <c r="VB194" s="172"/>
      <c r="VC194" s="172"/>
      <c r="VD194" s="172"/>
      <c r="VE194" s="172"/>
      <c r="VF194" s="172"/>
      <c r="VG194" s="172"/>
      <c r="VH194" s="172"/>
      <c r="VI194" s="172"/>
      <c r="VJ194" s="172"/>
      <c r="VK194" s="172"/>
      <c r="VL194" s="172"/>
      <c r="VM194" s="172"/>
      <c r="VN194" s="172"/>
      <c r="VO194" s="172"/>
      <c r="VP194" s="172"/>
      <c r="VQ194" s="172"/>
      <c r="VR194" s="172"/>
      <c r="VS194" s="172"/>
      <c r="VT194" s="172"/>
      <c r="VU194" s="172"/>
      <c r="VV194" s="172"/>
      <c r="VW194" s="172"/>
      <c r="VX194" s="172"/>
      <c r="VY194" s="172"/>
      <c r="VZ194" s="172"/>
      <c r="WA194" s="172"/>
      <c r="WB194" s="172"/>
      <c r="WC194" s="172"/>
      <c r="WD194" s="172"/>
      <c r="WE194" s="172"/>
      <c r="WF194" s="172"/>
      <c r="WG194" s="172"/>
      <c r="WH194" s="172"/>
      <c r="WI194" s="172"/>
      <c r="WJ194" s="172"/>
      <c r="WK194" s="172"/>
      <c r="WL194" s="172"/>
      <c r="WM194" s="172"/>
      <c r="WN194" s="172"/>
      <c r="WO194" s="172"/>
      <c r="WP194" s="172"/>
      <c r="WQ194" s="172"/>
      <c r="WR194" s="172"/>
      <c r="WS194" s="172"/>
      <c r="WT194" s="172"/>
      <c r="WU194" s="172"/>
      <c r="WV194" s="172"/>
      <c r="WW194" s="172"/>
      <c r="WX194" s="172"/>
      <c r="WY194" s="172"/>
      <c r="WZ194" s="172"/>
      <c r="XA194" s="172"/>
      <c r="XB194" s="172"/>
      <c r="XC194" s="172"/>
      <c r="XD194" s="172"/>
      <c r="XE194" s="172"/>
      <c r="XF194" s="172"/>
      <c r="XG194" s="172"/>
      <c r="XH194" s="172"/>
      <c r="XI194" s="172"/>
      <c r="XJ194" s="172"/>
      <c r="XK194" s="172"/>
      <c r="XL194" s="172"/>
      <c r="XM194" s="172"/>
      <c r="XN194" s="172"/>
      <c r="XO194" s="172"/>
      <c r="XP194" s="172"/>
      <c r="XQ194" s="172"/>
      <c r="XR194" s="172"/>
      <c r="XS194" s="172"/>
      <c r="XT194" s="172"/>
      <c r="XU194" s="172"/>
      <c r="XV194" s="172"/>
      <c r="XW194" s="172"/>
      <c r="XX194" s="172"/>
      <c r="XY194" s="172"/>
      <c r="XZ194" s="172"/>
      <c r="YA194" s="172"/>
      <c r="YB194" s="172"/>
      <c r="YC194" s="172"/>
      <c r="YD194" s="172"/>
      <c r="YE194" s="172"/>
      <c r="YF194" s="172"/>
      <c r="YG194" s="172"/>
      <c r="YH194" s="172"/>
      <c r="YI194" s="172"/>
      <c r="YJ194" s="172"/>
      <c r="YK194" s="172"/>
      <c r="YL194" s="172"/>
      <c r="YM194" s="172"/>
      <c r="YN194" s="172"/>
      <c r="YO194" s="172"/>
      <c r="YP194" s="172"/>
      <c r="YQ194" s="172"/>
      <c r="YR194" s="172"/>
      <c r="YS194" s="172"/>
      <c r="YT194" s="172"/>
      <c r="YU194" s="172"/>
      <c r="YV194" s="172"/>
      <c r="YW194" s="172"/>
      <c r="YX194" s="172"/>
      <c r="YY194" s="172"/>
      <c r="YZ194" s="172"/>
      <c r="ZA194" s="172"/>
      <c r="ZB194" s="172"/>
      <c r="ZC194" s="172"/>
      <c r="ZD194" s="172"/>
      <c r="ZE194" s="172"/>
      <c r="ZF194" s="172"/>
      <c r="ZG194" s="172"/>
      <c r="ZH194" s="172"/>
      <c r="ZI194" s="172"/>
      <c r="ZJ194" s="172"/>
      <c r="ZK194" s="172"/>
      <c r="ZL194" s="172"/>
      <c r="ZM194" s="172"/>
      <c r="ZN194" s="172"/>
      <c r="ZO194" s="172"/>
      <c r="ZP194" s="172"/>
      <c r="ZQ194" s="172"/>
      <c r="ZR194" s="172"/>
      <c r="ZS194" s="172"/>
      <c r="ZT194" s="172"/>
      <c r="ZU194" s="172"/>
      <c r="ZV194" s="172"/>
      <c r="ZW194" s="172"/>
      <c r="ZX194" s="172"/>
      <c r="ZY194" s="172"/>
      <c r="ZZ194" s="172"/>
      <c r="AAA194" s="172"/>
      <c r="AAB194" s="172"/>
      <c r="AAC194" s="172"/>
      <c r="AAD194" s="172"/>
      <c r="AAE194" s="172"/>
      <c r="AAF194" s="172"/>
      <c r="AAG194" s="172"/>
      <c r="AAH194" s="172"/>
      <c r="AAI194" s="172"/>
      <c r="AAJ194" s="172"/>
      <c r="AAK194" s="172"/>
      <c r="AAL194" s="172"/>
      <c r="AAM194" s="172"/>
      <c r="AAN194" s="172"/>
      <c r="AAO194" s="172"/>
      <c r="AAP194" s="172"/>
      <c r="AAQ194" s="172"/>
      <c r="AAR194" s="172"/>
      <c r="AAS194" s="172"/>
      <c r="AAT194" s="172"/>
      <c r="AAU194" s="172"/>
      <c r="AAV194" s="172"/>
      <c r="AAW194" s="172"/>
      <c r="AAX194" s="172"/>
      <c r="AAY194" s="172"/>
      <c r="AAZ194" s="172"/>
      <c r="ABA194" s="172"/>
      <c r="ABB194" s="172"/>
      <c r="ABC194" s="172"/>
      <c r="ABD194" s="172"/>
      <c r="ABE194" s="172"/>
      <c r="ABF194" s="172"/>
      <c r="ABG194" s="172"/>
      <c r="ABH194" s="172"/>
      <c r="ABI194" s="172"/>
      <c r="ABJ194" s="172"/>
      <c r="ABK194" s="172"/>
      <c r="ABL194" s="172"/>
      <c r="ABM194" s="172"/>
      <c r="ABN194" s="172"/>
      <c r="ABO194" s="172"/>
      <c r="ABP194" s="172"/>
      <c r="ABQ194" s="172"/>
      <c r="ABR194" s="172"/>
      <c r="ABS194" s="172"/>
      <c r="ABT194" s="172"/>
      <c r="ABU194" s="172"/>
      <c r="ABV194" s="172"/>
      <c r="ABW194" s="172"/>
      <c r="ABX194" s="172"/>
      <c r="ABY194" s="172"/>
      <c r="ABZ194" s="172"/>
      <c r="ACA194" s="172"/>
      <c r="ACB194" s="172"/>
      <c r="ACC194" s="172"/>
      <c r="ACD194" s="172"/>
      <c r="ACE194" s="172"/>
      <c r="ACF194" s="172"/>
      <c r="ACG194" s="172"/>
      <c r="ACH194" s="172"/>
      <c r="ACI194" s="172"/>
      <c r="ACJ194" s="172"/>
      <c r="ACK194" s="172"/>
      <c r="ACL194" s="172"/>
      <c r="ACM194" s="172"/>
      <c r="ACN194" s="172"/>
      <c r="ACO194" s="172"/>
      <c r="ACP194" s="172"/>
      <c r="ACQ194" s="172"/>
      <c r="ACR194" s="172"/>
      <c r="ACS194" s="172"/>
      <c r="ACT194" s="172"/>
      <c r="ACU194" s="172"/>
      <c r="ACV194" s="172"/>
      <c r="ACW194" s="172"/>
      <c r="ACX194" s="172"/>
      <c r="ACY194" s="172"/>
      <c r="ACZ194" s="172"/>
      <c r="ADA194" s="172"/>
      <c r="ADB194" s="172"/>
      <c r="ADC194" s="172"/>
      <c r="ADD194" s="172"/>
      <c r="ADE194" s="172"/>
      <c r="ADF194" s="172"/>
      <c r="ADG194" s="172"/>
      <c r="ADH194" s="172"/>
      <c r="ADI194" s="172"/>
      <c r="ADJ194" s="172"/>
      <c r="ADK194" s="172"/>
      <c r="ADL194" s="172"/>
      <c r="ADM194" s="172"/>
      <c r="ADN194" s="172"/>
      <c r="ADO194" s="172"/>
      <c r="ADP194" s="172"/>
      <c r="ADQ194" s="172"/>
      <c r="ADR194" s="172"/>
      <c r="ADS194" s="172"/>
      <c r="ADT194" s="172"/>
      <c r="ADU194" s="172"/>
      <c r="ADV194" s="172"/>
      <c r="ADW194" s="172"/>
      <c r="ADX194" s="172"/>
      <c r="ADY194" s="172"/>
      <c r="ADZ194" s="172"/>
      <c r="AEA194" s="172"/>
      <c r="AEB194" s="172"/>
      <c r="AEC194" s="172"/>
      <c r="AED194" s="172"/>
      <c r="AEE194" s="172"/>
      <c r="AEF194" s="172"/>
      <c r="AEG194" s="172"/>
      <c r="AEH194" s="172"/>
      <c r="AEI194" s="172"/>
      <c r="AEJ194" s="172"/>
      <c r="AEK194" s="172"/>
      <c r="AEL194" s="172"/>
      <c r="AEM194" s="172"/>
      <c r="AEN194" s="172"/>
      <c r="AEO194" s="172"/>
      <c r="AEP194" s="172"/>
      <c r="AEQ194" s="172"/>
      <c r="AER194" s="172"/>
      <c r="AES194" s="172"/>
      <c r="AET194" s="172"/>
      <c r="AEU194" s="172"/>
      <c r="AEV194" s="172"/>
      <c r="AEW194" s="172"/>
      <c r="AEX194" s="172"/>
      <c r="AEY194" s="172"/>
      <c r="AEZ194" s="172"/>
      <c r="AFA194" s="172"/>
      <c r="AFB194" s="172"/>
      <c r="AFC194" s="172"/>
      <c r="AFD194" s="172"/>
      <c r="AFE194" s="172"/>
      <c r="AFF194" s="172"/>
      <c r="AFG194" s="172"/>
      <c r="AFH194" s="172"/>
      <c r="AFI194" s="172"/>
      <c r="AFJ194" s="172"/>
      <c r="AFK194" s="172"/>
      <c r="AFL194" s="172"/>
      <c r="AFM194" s="172"/>
      <c r="AFN194" s="172"/>
      <c r="AFO194" s="172"/>
      <c r="AFP194" s="172"/>
      <c r="AFQ194" s="172"/>
      <c r="AFR194" s="172"/>
      <c r="AFS194" s="172"/>
      <c r="AFT194" s="172"/>
      <c r="AFU194" s="172"/>
      <c r="AFV194" s="172"/>
      <c r="AFW194" s="172"/>
      <c r="AFX194" s="172"/>
      <c r="AFY194" s="172"/>
      <c r="AFZ194" s="172"/>
      <c r="AGA194" s="172"/>
      <c r="AGB194" s="172"/>
      <c r="AGC194" s="172"/>
      <c r="AGD194" s="172"/>
      <c r="AGE194" s="172"/>
      <c r="AGF194" s="172"/>
      <c r="AGG194" s="172"/>
      <c r="AGH194" s="172"/>
      <c r="AGI194" s="172"/>
      <c r="AGJ194" s="172"/>
      <c r="AGK194" s="172"/>
      <c r="AGL194" s="172"/>
      <c r="AGM194" s="172"/>
      <c r="AGN194" s="172"/>
      <c r="AGO194" s="172"/>
      <c r="AGP194" s="172"/>
      <c r="AGQ194" s="172"/>
      <c r="AGR194" s="172"/>
      <c r="AGS194" s="172"/>
      <c r="AGT194" s="172"/>
      <c r="AGU194" s="172"/>
      <c r="AGV194" s="172"/>
      <c r="AGW194" s="172"/>
      <c r="AGX194" s="172"/>
      <c r="AGY194" s="172"/>
      <c r="AGZ194" s="172"/>
      <c r="AHA194" s="172"/>
      <c r="AHB194" s="172"/>
      <c r="AHC194" s="172"/>
      <c r="AHD194" s="172"/>
      <c r="AHE194" s="172"/>
      <c r="AHF194" s="172"/>
      <c r="AHG194" s="172"/>
      <c r="AHH194" s="172"/>
      <c r="AHI194" s="172"/>
      <c r="AHJ194" s="172"/>
      <c r="AHK194" s="172"/>
      <c r="AHL194" s="172"/>
      <c r="AHM194" s="172"/>
      <c r="AHN194" s="172"/>
      <c r="AHO194" s="172"/>
      <c r="AHP194" s="172"/>
      <c r="AHQ194" s="172"/>
      <c r="AHR194" s="172"/>
      <c r="AHS194" s="172"/>
      <c r="AHT194" s="172"/>
      <c r="AHU194" s="172"/>
      <c r="AHV194" s="172"/>
      <c r="AHW194" s="172"/>
      <c r="AHX194" s="172"/>
      <c r="AHY194" s="172"/>
      <c r="AHZ194" s="172"/>
      <c r="AIA194" s="172"/>
      <c r="AIB194" s="172"/>
      <c r="AIC194" s="172"/>
      <c r="AID194" s="172"/>
      <c r="AIE194" s="172"/>
      <c r="AIF194" s="172"/>
      <c r="AIG194" s="172"/>
      <c r="AIH194" s="172"/>
      <c r="AII194" s="172"/>
      <c r="AIJ194" s="172"/>
      <c r="AIK194" s="172"/>
      <c r="AIL194" s="172"/>
      <c r="AIM194" s="172"/>
      <c r="AIN194" s="172"/>
      <c r="AIO194" s="172"/>
      <c r="AIP194" s="172"/>
      <c r="AIQ194" s="172"/>
      <c r="AIR194" s="172"/>
      <c r="AIS194" s="172"/>
      <c r="AIT194" s="172"/>
      <c r="AIU194" s="172"/>
      <c r="AIV194" s="172"/>
      <c r="AIW194" s="172"/>
      <c r="AIX194" s="172"/>
      <c r="AIY194" s="172"/>
      <c r="AIZ194" s="172"/>
      <c r="AJA194" s="172"/>
      <c r="AJB194" s="172"/>
      <c r="AJC194" s="172"/>
      <c r="AJD194" s="172"/>
      <c r="AJE194" s="172"/>
      <c r="AJF194" s="172"/>
      <c r="AJG194" s="172"/>
      <c r="AJH194" s="172"/>
      <c r="AJI194" s="172"/>
      <c r="AJJ194" s="172"/>
      <c r="AJK194" s="172"/>
      <c r="AJL194" s="172"/>
      <c r="AJM194" s="172"/>
      <c r="AJN194" s="172"/>
      <c r="AJO194" s="172"/>
      <c r="AJP194" s="172"/>
      <c r="AJQ194" s="172"/>
      <c r="AJR194" s="172"/>
      <c r="AJS194" s="172"/>
      <c r="AJT194" s="172"/>
      <c r="AJU194" s="172"/>
      <c r="AJV194" s="172"/>
      <c r="AJW194" s="172"/>
      <c r="AJX194" s="172"/>
      <c r="AJY194" s="172"/>
      <c r="AJZ194" s="172"/>
      <c r="AKA194" s="172"/>
      <c r="AKB194" s="172"/>
      <c r="AKC194" s="172"/>
      <c r="AKD194" s="172"/>
      <c r="AKE194" s="172"/>
      <c r="AKF194" s="172"/>
      <c r="AKG194" s="172"/>
      <c r="AKH194" s="172"/>
      <c r="AKI194" s="172"/>
      <c r="AKJ194" s="172"/>
      <c r="AKK194" s="172"/>
      <c r="AKL194" s="172"/>
      <c r="AKM194" s="172"/>
      <c r="AKN194" s="172"/>
      <c r="AKO194" s="172"/>
      <c r="AKP194" s="172"/>
      <c r="AKQ194" s="172"/>
      <c r="AKR194" s="172"/>
      <c r="AKS194" s="172"/>
      <c r="AKT194" s="172"/>
      <c r="AKU194" s="172"/>
      <c r="AKV194" s="172"/>
      <c r="AKW194" s="172"/>
      <c r="AKX194" s="172"/>
      <c r="AKY194" s="172"/>
      <c r="AKZ194" s="172"/>
      <c r="ALA194" s="172"/>
      <c r="ALB194" s="172"/>
      <c r="ALC194" s="172"/>
      <c r="ALD194" s="172"/>
      <c r="ALE194" s="172"/>
      <c r="ALF194" s="172"/>
      <c r="ALG194" s="172"/>
      <c r="ALH194" s="172"/>
      <c r="ALI194" s="172"/>
      <c r="ALJ194" s="172"/>
      <c r="ALK194" s="172"/>
      <c r="ALL194" s="172"/>
      <c r="ALM194" s="172"/>
      <c r="ALN194" s="172"/>
      <c r="ALO194" s="172"/>
      <c r="ALP194" s="172"/>
      <c r="ALQ194" s="172"/>
      <c r="ALR194" s="172"/>
      <c r="ALS194" s="172"/>
      <c r="ALT194" s="172"/>
      <c r="ALU194" s="172"/>
      <c r="ALV194" s="172"/>
      <c r="ALW194" s="172"/>
      <c r="ALX194" s="172"/>
      <c r="ALY194" s="172"/>
      <c r="ALZ194" s="172"/>
      <c r="AMA194" s="172"/>
      <c r="AMB194" s="172"/>
      <c r="AMC194" s="172"/>
      <c r="AMD194" s="172"/>
      <c r="AME194" s="172"/>
      <c r="AMF194" s="172"/>
      <c r="AMG194" s="172"/>
      <c r="AMH194" s="172"/>
      <c r="AMI194" s="172"/>
      <c r="AMJ194" s="172"/>
      <c r="AMK194" s="172"/>
      <c r="AML194" s="172"/>
      <c r="AMM194" s="172"/>
      <c r="AMN194" s="172"/>
      <c r="AMO194" s="172"/>
      <c r="AMP194" s="172"/>
      <c r="AMQ194" s="172"/>
      <c r="AMR194" s="172"/>
      <c r="AMS194" s="172"/>
      <c r="AMT194" s="172"/>
      <c r="AMU194" s="172"/>
      <c r="AMV194" s="172"/>
      <c r="AMW194" s="172"/>
      <c r="AMX194" s="172"/>
      <c r="AMY194" s="172"/>
      <c r="AMZ194" s="172"/>
      <c r="ANA194" s="172"/>
      <c r="ANB194" s="172"/>
      <c r="ANC194" s="172"/>
      <c r="AND194" s="172"/>
      <c r="ANE194" s="172"/>
      <c r="ANF194" s="172"/>
      <c r="ANG194" s="172"/>
      <c r="ANH194" s="172"/>
      <c r="ANI194" s="172"/>
      <c r="ANJ194" s="172"/>
      <c r="ANK194" s="172"/>
      <c r="ANL194" s="172"/>
      <c r="ANM194" s="172"/>
      <c r="ANN194" s="172"/>
      <c r="ANO194" s="172"/>
      <c r="ANP194" s="172"/>
      <c r="ANQ194" s="172"/>
      <c r="ANR194" s="172"/>
      <c r="ANS194" s="172"/>
      <c r="ANT194" s="172"/>
      <c r="ANU194" s="172"/>
      <c r="ANV194" s="172"/>
      <c r="ANW194" s="172"/>
      <c r="ANX194" s="172"/>
      <c r="ANY194" s="172"/>
      <c r="ANZ194" s="172"/>
      <c r="AOA194" s="172"/>
      <c r="AOB194" s="172"/>
      <c r="AOC194" s="172"/>
      <c r="AOD194" s="172"/>
      <c r="AOE194" s="172"/>
      <c r="AOF194" s="172"/>
      <c r="AOG194" s="172"/>
      <c r="AOH194" s="172"/>
      <c r="AOI194" s="172"/>
      <c r="AOJ194" s="172"/>
      <c r="AOK194" s="172"/>
      <c r="AOL194" s="172"/>
      <c r="AOM194" s="172"/>
      <c r="AON194" s="172"/>
      <c r="AOO194" s="172"/>
      <c r="AOP194" s="172"/>
      <c r="AOQ194" s="172"/>
      <c r="AOR194" s="172"/>
      <c r="AOS194" s="172"/>
      <c r="AOT194" s="172"/>
      <c r="AOU194" s="172"/>
      <c r="AOV194" s="172"/>
      <c r="AOW194" s="172"/>
      <c r="AOX194" s="172"/>
      <c r="AOY194" s="172"/>
      <c r="AOZ194" s="172"/>
      <c r="APA194" s="172"/>
      <c r="APB194" s="172"/>
      <c r="APC194" s="172"/>
      <c r="APD194" s="172"/>
      <c r="APE194" s="172"/>
      <c r="APF194" s="172"/>
      <c r="APG194" s="172"/>
      <c r="APH194" s="172"/>
      <c r="API194" s="172"/>
      <c r="APJ194" s="172"/>
      <c r="APK194" s="172"/>
      <c r="APL194" s="172"/>
      <c r="APM194" s="172"/>
      <c r="APN194" s="172"/>
      <c r="APO194" s="172"/>
      <c r="APP194" s="172"/>
      <c r="APQ194" s="172"/>
      <c r="APR194" s="172"/>
      <c r="APS194" s="172"/>
      <c r="APT194" s="172"/>
      <c r="APU194" s="172"/>
      <c r="APV194" s="172"/>
      <c r="APW194" s="172"/>
      <c r="APX194" s="172"/>
      <c r="APY194" s="172"/>
      <c r="APZ194" s="172"/>
      <c r="AQA194" s="172"/>
      <c r="AQB194" s="172"/>
      <c r="AQC194" s="172"/>
      <c r="AQD194" s="172"/>
      <c r="AQE194" s="172"/>
      <c r="AQF194" s="172"/>
      <c r="AQG194" s="172"/>
      <c r="AQH194" s="172"/>
      <c r="AQI194" s="172"/>
      <c r="AQJ194" s="172"/>
      <c r="AQK194" s="172"/>
      <c r="AQL194" s="172"/>
      <c r="AQM194" s="172"/>
      <c r="AQN194" s="172"/>
      <c r="AQO194" s="172"/>
      <c r="AQP194" s="172"/>
      <c r="AQQ194" s="172"/>
      <c r="AQR194" s="172"/>
      <c r="AQS194" s="172"/>
      <c r="AQT194" s="172"/>
      <c r="AQU194" s="172"/>
      <c r="AQV194" s="172"/>
      <c r="AQW194" s="172"/>
      <c r="AQX194" s="172"/>
      <c r="AQY194" s="172"/>
      <c r="AQZ194" s="172"/>
      <c r="ARA194" s="172"/>
      <c r="ARB194" s="172"/>
      <c r="ARC194" s="172"/>
      <c r="ARD194" s="172"/>
      <c r="ARE194" s="172"/>
      <c r="ARF194" s="172"/>
      <c r="ARG194" s="172"/>
      <c r="ARH194" s="172"/>
      <c r="ARI194" s="172"/>
      <c r="ARJ194" s="172"/>
      <c r="ARK194" s="172"/>
      <c r="ARL194" s="172"/>
      <c r="ARM194" s="172"/>
      <c r="ARN194" s="172"/>
      <c r="ARO194" s="172"/>
      <c r="ARP194" s="172"/>
      <c r="ARQ194" s="172"/>
      <c r="ARR194" s="172"/>
      <c r="ARS194" s="172"/>
      <c r="ART194" s="172"/>
      <c r="ARU194" s="172"/>
    </row>
    <row r="195" spans="1:1165">
      <c r="A195" s="220"/>
      <c r="B195" s="195"/>
      <c r="C195" s="258"/>
      <c r="D195" s="258"/>
      <c r="E195" s="250"/>
      <c r="F195" s="258"/>
      <c r="G195" s="250"/>
      <c r="H195" s="258"/>
      <c r="I195" s="250"/>
      <c r="J195" s="258"/>
      <c r="K195" s="250"/>
      <c r="L195" s="258"/>
      <c r="M195" s="250"/>
      <c r="N195" s="258"/>
      <c r="O195" s="250"/>
      <c r="P195" s="258"/>
      <c r="Q195" s="250"/>
      <c r="R195" s="258"/>
      <c r="S195" s="250"/>
      <c r="T195" s="258"/>
      <c r="U195" s="250"/>
      <c r="V195" s="258"/>
      <c r="W195" s="250"/>
      <c r="X195" s="258"/>
      <c r="Y195" s="250"/>
      <c r="Z195" s="258"/>
      <c r="AA195" s="250"/>
      <c r="AB195" s="258"/>
      <c r="AC195" s="250"/>
      <c r="AD195" s="258"/>
      <c r="AE195" s="250"/>
      <c r="AF195" s="258"/>
      <c r="AG195" s="250"/>
      <c r="AH195" s="258"/>
      <c r="AI195" s="250"/>
      <c r="AJ195" s="258"/>
      <c r="AK195" s="250"/>
      <c r="AL195" s="258"/>
      <c r="AM195" s="250"/>
      <c r="AN195" s="258"/>
      <c r="AO195" s="250"/>
      <c r="AP195" s="258"/>
      <c r="AQ195" s="250"/>
      <c r="AR195" s="258"/>
      <c r="AS195" s="250"/>
      <c r="AT195" s="258"/>
      <c r="AU195" s="250"/>
      <c r="AV195" s="258"/>
      <c r="AW195" s="258"/>
      <c r="AX195" s="258"/>
      <c r="AY195" s="1188"/>
      <c r="AZ195" s="1188"/>
      <c r="BA195" s="250"/>
      <c r="BB195" s="250"/>
      <c r="BC195" s="250"/>
      <c r="BD195" s="250"/>
      <c r="BE195" s="250"/>
      <c r="BF195" s="250"/>
      <c r="BG195" s="250"/>
      <c r="BH195" s="250"/>
      <c r="BI195" s="250"/>
      <c r="BJ195" s="250"/>
      <c r="BK195" s="250"/>
      <c r="BL195" s="172"/>
      <c r="BM195" s="231"/>
      <c r="BN195" s="231"/>
      <c r="BO195" s="231"/>
      <c r="BP195" s="231"/>
      <c r="BS195" s="13"/>
    </row>
    <row r="196" spans="1:1165">
      <c r="A196" s="1483" t="s">
        <v>273</v>
      </c>
      <c r="B196" s="1511" t="s">
        <v>87</v>
      </c>
      <c r="C196" s="1512">
        <v>1347984</v>
      </c>
      <c r="D196" s="1512">
        <v>16309423</v>
      </c>
      <c r="E196" s="1512">
        <v>0</v>
      </c>
      <c r="F196" s="1512">
        <v>0</v>
      </c>
      <c r="G196" s="1512">
        <v>0</v>
      </c>
      <c r="H196" s="1512">
        <v>0</v>
      </c>
      <c r="I196" s="1512">
        <v>0</v>
      </c>
      <c r="J196" s="1512">
        <v>0</v>
      </c>
      <c r="K196" s="1512">
        <v>0</v>
      </c>
      <c r="L196" s="1512">
        <v>0</v>
      </c>
      <c r="M196" s="1512">
        <v>0</v>
      </c>
      <c r="N196" s="1512">
        <v>0</v>
      </c>
      <c r="O196" s="1512">
        <v>0</v>
      </c>
      <c r="P196" s="1512">
        <v>0</v>
      </c>
      <c r="Q196" s="1512">
        <v>0</v>
      </c>
      <c r="R196" s="1512">
        <v>0</v>
      </c>
      <c r="S196" s="1512">
        <v>0</v>
      </c>
      <c r="T196" s="1512">
        <v>0</v>
      </c>
      <c r="U196" s="1512">
        <v>0</v>
      </c>
      <c r="V196" s="1512">
        <v>0</v>
      </c>
      <c r="W196" s="1512">
        <v>0</v>
      </c>
      <c r="X196" s="1512">
        <v>0</v>
      </c>
      <c r="Y196" s="1512">
        <v>0</v>
      </c>
      <c r="Z196" s="1512">
        <v>0</v>
      </c>
      <c r="AA196" s="1512">
        <v>0</v>
      </c>
      <c r="AB196" s="1512">
        <v>0</v>
      </c>
      <c r="AC196" s="1512">
        <v>0</v>
      </c>
      <c r="AD196" s="1512">
        <v>0</v>
      </c>
      <c r="AE196" s="1512">
        <v>0</v>
      </c>
      <c r="AF196" s="1512">
        <v>0</v>
      </c>
      <c r="AG196" s="1512">
        <v>0</v>
      </c>
      <c r="AH196" s="1512">
        <v>0</v>
      </c>
      <c r="AI196" s="1512">
        <v>0</v>
      </c>
      <c r="AJ196" s="1512">
        <v>0</v>
      </c>
      <c r="AK196" s="1512">
        <v>0</v>
      </c>
      <c r="AL196" s="1512">
        <v>0</v>
      </c>
      <c r="AM196" s="1512">
        <v>0</v>
      </c>
      <c r="AN196" s="1512">
        <v>0</v>
      </c>
      <c r="AO196" s="1512">
        <v>0</v>
      </c>
      <c r="AP196" s="1512">
        <v>0</v>
      </c>
      <c r="AQ196" s="1512">
        <v>0</v>
      </c>
      <c r="AR196" s="1512">
        <v>0</v>
      </c>
      <c r="AS196" s="1512">
        <v>0</v>
      </c>
      <c r="AT196" s="1512">
        <v>0</v>
      </c>
      <c r="AU196" s="1512">
        <v>0</v>
      </c>
      <c r="AV196" s="1512">
        <v>0</v>
      </c>
      <c r="AW196" s="1512">
        <v>0</v>
      </c>
      <c r="AX196" s="1512">
        <v>0</v>
      </c>
      <c r="AY196" s="1489">
        <v>0</v>
      </c>
      <c r="AZ196" s="1489">
        <v>0</v>
      </c>
      <c r="BA196" s="1514"/>
      <c r="BB196" s="1489"/>
      <c r="BC196" s="1489"/>
      <c r="BD196" s="1489"/>
      <c r="BE196" s="1514"/>
      <c r="BF196" s="1489"/>
      <c r="BG196" s="1489"/>
      <c r="BH196" s="1489"/>
      <c r="BI196" s="1514"/>
      <c r="BJ196" s="1514">
        <f>C196+G196+I196+K196+M196+O196+Q196+S196+U196+W196+Y196+AA196+AC196+AE196+AG196+AI196+AK196+AM196+AO196+AQ196+AS196+AU196+AW196+AY196+BB196+BF196</f>
        <v>1347984</v>
      </c>
      <c r="BK196" s="1512">
        <f>D196+H196+J196+L196+N196+P196+R196+T196+V196+X196+Z196+AB196+AD196+AF196+AH196+AJ196+AL196+AN196+AP196+AR196+AT196+AV196+AX196+AZ196+BD196+BH196</f>
        <v>16309423</v>
      </c>
      <c r="BL196" s="172"/>
      <c r="BM196" s="231"/>
      <c r="BN196" s="231"/>
      <c r="BO196" s="231"/>
      <c r="BP196" s="231"/>
      <c r="BS196" s="13"/>
    </row>
    <row r="197" spans="1:1165">
      <c r="A197" s="1524"/>
      <c r="B197" s="1511"/>
      <c r="C197" s="1512"/>
      <c r="D197" s="1512"/>
      <c r="E197" s="1512"/>
      <c r="F197" s="1512"/>
      <c r="G197" s="1512"/>
      <c r="H197" s="1512"/>
      <c r="I197" s="1512"/>
      <c r="J197" s="1512"/>
      <c r="K197" s="1512"/>
      <c r="L197" s="1512"/>
      <c r="M197" s="1512"/>
      <c r="N197" s="1512"/>
      <c r="O197" s="1512"/>
      <c r="P197" s="1512"/>
      <c r="Q197" s="1512"/>
      <c r="R197" s="1512"/>
      <c r="S197" s="1512"/>
      <c r="T197" s="1512"/>
      <c r="U197" s="1513"/>
      <c r="V197" s="1513"/>
      <c r="W197" s="1516"/>
      <c r="X197" s="1516"/>
      <c r="Y197" s="1512"/>
      <c r="Z197" s="1512"/>
      <c r="AA197" s="1517"/>
      <c r="AB197" s="1517"/>
      <c r="AC197" s="1512"/>
      <c r="AD197" s="1512"/>
      <c r="AE197" s="1516"/>
      <c r="AF197" s="1516"/>
      <c r="AG197" s="1516"/>
      <c r="AH197" s="1516"/>
      <c r="AI197" s="1516"/>
      <c r="AJ197" s="1516"/>
      <c r="AK197" s="1516"/>
      <c r="AL197" s="1516"/>
      <c r="AM197" s="1516"/>
      <c r="AN197" s="1516"/>
      <c r="AO197" s="1516"/>
      <c r="AP197" s="1516"/>
      <c r="AQ197" s="1516"/>
      <c r="AR197" s="1516"/>
      <c r="AS197" s="1516"/>
      <c r="AT197" s="1516"/>
      <c r="AU197" s="1517"/>
      <c r="AV197" s="1517"/>
      <c r="AW197" s="1485"/>
      <c r="AX197" s="1485"/>
      <c r="AY197" s="1485"/>
      <c r="AZ197" s="1485"/>
      <c r="BA197" s="1485"/>
      <c r="BB197" s="1485"/>
      <c r="BC197" s="1485"/>
      <c r="BD197" s="1485"/>
      <c r="BE197" s="1485"/>
      <c r="BF197" s="1485"/>
      <c r="BG197" s="1485"/>
      <c r="BH197" s="1485"/>
      <c r="BI197" s="1486"/>
      <c r="BJ197" s="1485"/>
      <c r="BK197" s="1485"/>
      <c r="BL197" s="172"/>
      <c r="BM197" s="231"/>
      <c r="BN197" s="231"/>
      <c r="BO197" s="231"/>
      <c r="BS197" s="13"/>
    </row>
    <row r="198" spans="1:1165" s="257" customFormat="1">
      <c r="A198" s="194" t="s">
        <v>274</v>
      </c>
      <c r="B198" s="195" t="s">
        <v>87</v>
      </c>
      <c r="C198" s="258">
        <v>36487053</v>
      </c>
      <c r="D198" s="258">
        <v>204916758</v>
      </c>
      <c r="E198" s="258">
        <v>3680844</v>
      </c>
      <c r="F198" s="258">
        <v>37553115</v>
      </c>
      <c r="G198" s="258">
        <v>3624031</v>
      </c>
      <c r="H198" s="258">
        <v>39074797</v>
      </c>
      <c r="I198" s="258">
        <v>3422159</v>
      </c>
      <c r="J198" s="258">
        <v>47673788</v>
      </c>
      <c r="K198" s="258">
        <v>3868254</v>
      </c>
      <c r="L198" s="258">
        <v>59706681</v>
      </c>
      <c r="M198" s="258">
        <v>4674017</v>
      </c>
      <c r="N198" s="258">
        <v>75252113</v>
      </c>
      <c r="O198" s="258">
        <v>4804185</v>
      </c>
      <c r="P198" s="258">
        <v>95918242</v>
      </c>
      <c r="Q198" s="258">
        <v>4947666</v>
      </c>
      <c r="R198" s="258">
        <v>103554621</v>
      </c>
      <c r="S198" s="258">
        <v>5276501</v>
      </c>
      <c r="T198" s="258">
        <v>105717998</v>
      </c>
      <c r="U198" s="284">
        <v>5849966</v>
      </c>
      <c r="V198" s="284">
        <v>98525973</v>
      </c>
      <c r="W198" s="284">
        <v>5904404</v>
      </c>
      <c r="X198" s="284">
        <v>112376112</v>
      </c>
      <c r="Y198" s="258">
        <v>6123511</v>
      </c>
      <c r="Z198" s="258">
        <v>130774588</v>
      </c>
      <c r="AA198" s="302">
        <v>6827230</v>
      </c>
      <c r="AB198" s="302">
        <v>149355769</v>
      </c>
      <c r="AC198" s="258">
        <v>6671678</v>
      </c>
      <c r="AD198" s="258">
        <v>155392954</v>
      </c>
      <c r="AE198" s="288">
        <v>6489360</v>
      </c>
      <c r="AF198" s="288">
        <v>158649336</v>
      </c>
      <c r="AG198" s="288">
        <v>6860725</v>
      </c>
      <c r="AH198" s="288">
        <v>153488853</v>
      </c>
      <c r="AI198" s="288">
        <v>7290514</v>
      </c>
      <c r="AJ198" s="288">
        <v>155813175</v>
      </c>
      <c r="AK198" s="288">
        <v>7214535.6160000004</v>
      </c>
      <c r="AL198" s="288">
        <v>143609587</v>
      </c>
      <c r="AM198" s="261">
        <v>8115941</v>
      </c>
      <c r="AN198" s="261">
        <v>172120951.07875273</v>
      </c>
      <c r="AO198" s="288">
        <v>8477039</v>
      </c>
      <c r="AP198" s="288">
        <v>210174154</v>
      </c>
      <c r="AQ198" s="288">
        <v>9016439.6600000001</v>
      </c>
      <c r="AR198" s="288">
        <v>212742024</v>
      </c>
      <c r="AS198" s="288">
        <v>7705425.3899999997</v>
      </c>
      <c r="AT198" s="288">
        <v>197315760</v>
      </c>
      <c r="AU198" s="302">
        <v>8576415</v>
      </c>
      <c r="AV198" s="302">
        <v>249240285</v>
      </c>
      <c r="AW198" s="258">
        <v>9171463</v>
      </c>
      <c r="AX198" s="258">
        <v>250526627</v>
      </c>
      <c r="AY198" s="258">
        <v>9752885</v>
      </c>
      <c r="AZ198" s="258">
        <v>197008925</v>
      </c>
      <c r="BA198" s="263"/>
      <c r="BB198" s="258"/>
      <c r="BC198" s="263"/>
      <c r="BD198" s="258"/>
      <c r="BE198" s="263"/>
      <c r="BF198" s="258"/>
      <c r="BG198" s="263"/>
      <c r="BH198" s="258"/>
      <c r="BI198" s="263"/>
      <c r="BJ198" s="258">
        <f>C198+G198+I198+K198+M198+O198+Q198+S198+U198+W198+Y198+AA198+AC198+AE198+AG198+AI198+AK198+AM198+AO198+AQ198+AS198+AU198+AW198+AY198+BB198+BF198</f>
        <v>187151397.66599998</v>
      </c>
      <c r="BK198" s="250">
        <f>D198+H198+J198+L198+N198+P198+R198+T198+V198+X198+Z198+AB198+AD198+AF198+AH198+AJ198+AL198+AN198+AP198+AR198+AT198+AV198+AX198+AZ198+BD198+BH198</f>
        <v>3478930071.0787525</v>
      </c>
      <c r="BL198" s="172"/>
      <c r="BM198" s="231"/>
      <c r="BN198" s="231"/>
      <c r="BO198" s="231"/>
      <c r="BP198" s="172"/>
      <c r="BQ198" s="172"/>
      <c r="BR198" s="172"/>
      <c r="BS198" s="13"/>
      <c r="BT198" s="172"/>
      <c r="BU198" s="172"/>
      <c r="BV198" s="172"/>
      <c r="BW198" s="172"/>
      <c r="BX198" s="172"/>
      <c r="BY198" s="172"/>
      <c r="BZ198" s="172"/>
      <c r="CA198" s="172"/>
      <c r="CB198" s="172"/>
      <c r="CC198" s="172"/>
      <c r="CD198" s="172"/>
      <c r="CE198" s="172"/>
      <c r="CF198" s="172"/>
      <c r="CG198" s="172"/>
      <c r="CH198" s="172"/>
      <c r="CI198" s="172"/>
      <c r="CJ198" s="172"/>
      <c r="CK198" s="172"/>
      <c r="CL198" s="172"/>
      <c r="CM198" s="172"/>
      <c r="CN198" s="172"/>
      <c r="CO198" s="172"/>
      <c r="CP198" s="172"/>
      <c r="CQ198" s="172"/>
      <c r="CR198" s="172"/>
      <c r="CS198" s="172"/>
      <c r="CT198" s="172"/>
      <c r="CU198" s="172"/>
      <c r="CV198" s="172"/>
      <c r="CW198" s="172"/>
      <c r="CX198" s="172"/>
      <c r="CY198" s="172"/>
      <c r="CZ198" s="172"/>
      <c r="DA198" s="172"/>
      <c r="DB198" s="172"/>
      <c r="DC198" s="172"/>
      <c r="DD198" s="172"/>
      <c r="DE198" s="172"/>
      <c r="DF198" s="172"/>
      <c r="DG198" s="172"/>
      <c r="DH198" s="172"/>
      <c r="DI198" s="172"/>
      <c r="DJ198" s="172"/>
      <c r="DK198" s="172"/>
      <c r="DL198" s="172"/>
      <c r="DM198" s="172"/>
      <c r="DN198" s="172"/>
      <c r="DO198" s="172"/>
      <c r="DP198" s="172"/>
      <c r="DQ198" s="172"/>
      <c r="DR198" s="172"/>
      <c r="DS198" s="172"/>
      <c r="DT198" s="172"/>
      <c r="DU198" s="172"/>
      <c r="DV198" s="172"/>
      <c r="DW198" s="172"/>
      <c r="DX198" s="172"/>
      <c r="DY198" s="172"/>
      <c r="DZ198" s="172"/>
      <c r="EA198" s="172"/>
      <c r="EB198" s="172"/>
      <c r="EC198" s="172"/>
      <c r="ED198" s="172"/>
      <c r="EE198" s="172"/>
      <c r="EF198" s="172"/>
      <c r="EG198" s="172"/>
      <c r="EH198" s="172"/>
      <c r="EI198" s="172"/>
      <c r="EJ198" s="172"/>
      <c r="EK198" s="172"/>
      <c r="EL198" s="172"/>
      <c r="EM198" s="172"/>
      <c r="EN198" s="172"/>
      <c r="EO198" s="172"/>
      <c r="EP198" s="172"/>
      <c r="EQ198" s="172"/>
      <c r="ER198" s="172"/>
      <c r="ES198" s="172"/>
      <c r="ET198" s="172"/>
      <c r="EU198" s="172"/>
      <c r="EV198" s="172"/>
      <c r="EW198" s="172"/>
      <c r="EX198" s="172"/>
      <c r="EY198" s="172"/>
      <c r="EZ198" s="172"/>
      <c r="FA198" s="172"/>
      <c r="FB198" s="172"/>
      <c r="FC198" s="172"/>
      <c r="FD198" s="172"/>
      <c r="FE198" s="172"/>
      <c r="FF198" s="172"/>
      <c r="FG198" s="172"/>
      <c r="FH198" s="172"/>
      <c r="FI198" s="172"/>
      <c r="FJ198" s="172"/>
      <c r="FK198" s="172"/>
      <c r="FL198" s="172"/>
      <c r="FM198" s="172"/>
      <c r="FN198" s="172"/>
      <c r="FO198" s="172"/>
      <c r="FP198" s="172"/>
      <c r="FQ198" s="172"/>
      <c r="FR198" s="172"/>
      <c r="FS198" s="172"/>
      <c r="FT198" s="172"/>
      <c r="FU198" s="172"/>
      <c r="FV198" s="172"/>
      <c r="FW198" s="172"/>
      <c r="FX198" s="172"/>
      <c r="FY198" s="172"/>
      <c r="FZ198" s="172"/>
      <c r="GA198" s="172"/>
      <c r="GB198" s="172"/>
      <c r="GC198" s="172"/>
      <c r="GD198" s="172"/>
      <c r="GE198" s="172"/>
      <c r="GF198" s="172"/>
      <c r="GG198" s="172"/>
      <c r="GH198" s="172"/>
      <c r="GI198" s="172"/>
      <c r="GJ198" s="172"/>
      <c r="GK198" s="172"/>
      <c r="GL198" s="172"/>
      <c r="GM198" s="172"/>
      <c r="GN198" s="172"/>
      <c r="GO198" s="172"/>
      <c r="GP198" s="172"/>
      <c r="GQ198" s="172"/>
      <c r="GR198" s="172"/>
      <c r="GS198" s="172"/>
      <c r="GT198" s="172"/>
      <c r="GU198" s="172"/>
      <c r="GV198" s="172"/>
      <c r="GW198" s="172"/>
      <c r="GX198" s="172"/>
      <c r="GY198" s="172"/>
      <c r="GZ198" s="172"/>
      <c r="HA198" s="172"/>
      <c r="HB198" s="172"/>
      <c r="HC198" s="172"/>
      <c r="HD198" s="172"/>
      <c r="HE198" s="172"/>
      <c r="HF198" s="172"/>
      <c r="HG198" s="172"/>
      <c r="HH198" s="172"/>
      <c r="HI198" s="172"/>
      <c r="HJ198" s="172"/>
      <c r="HK198" s="172"/>
      <c r="HL198" s="172"/>
      <c r="HM198" s="172"/>
      <c r="HN198" s="172"/>
      <c r="HO198" s="172"/>
      <c r="HP198" s="172"/>
      <c r="HQ198" s="172"/>
      <c r="HR198" s="172"/>
      <c r="HS198" s="172"/>
      <c r="HT198" s="172"/>
      <c r="HU198" s="172"/>
      <c r="HV198" s="172"/>
      <c r="HW198" s="172"/>
      <c r="HX198" s="172"/>
      <c r="HY198" s="172"/>
      <c r="HZ198" s="172"/>
      <c r="IA198" s="172"/>
      <c r="IB198" s="172"/>
      <c r="IC198" s="172"/>
      <c r="ID198" s="172"/>
      <c r="IE198" s="172"/>
      <c r="IF198" s="172"/>
      <c r="IG198" s="172"/>
      <c r="IH198" s="172"/>
      <c r="II198" s="172"/>
      <c r="IJ198" s="172"/>
      <c r="IK198" s="172"/>
      <c r="IL198" s="172"/>
      <c r="IM198" s="172"/>
      <c r="IN198" s="172"/>
      <c r="IO198" s="172"/>
      <c r="IP198" s="172"/>
      <c r="IQ198" s="172"/>
      <c r="IR198" s="172"/>
      <c r="IS198" s="172"/>
      <c r="IT198" s="172"/>
      <c r="IU198" s="172"/>
      <c r="IV198" s="172"/>
      <c r="IW198" s="172"/>
      <c r="IX198" s="172"/>
      <c r="IY198" s="172"/>
      <c r="IZ198" s="172"/>
      <c r="JA198" s="172"/>
      <c r="JB198" s="172"/>
      <c r="JC198" s="172"/>
      <c r="JD198" s="172"/>
      <c r="JE198" s="172"/>
      <c r="JF198" s="172"/>
      <c r="JG198" s="172"/>
      <c r="JH198" s="172"/>
      <c r="JI198" s="172"/>
      <c r="JJ198" s="172"/>
      <c r="JK198" s="172"/>
      <c r="JL198" s="172"/>
      <c r="JM198" s="172"/>
      <c r="JN198" s="172"/>
      <c r="JO198" s="172"/>
      <c r="JP198" s="172"/>
      <c r="JQ198" s="172"/>
      <c r="JR198" s="172"/>
      <c r="JS198" s="172"/>
      <c r="JT198" s="172"/>
      <c r="JU198" s="172"/>
      <c r="JV198" s="172"/>
      <c r="JW198" s="172"/>
      <c r="JX198" s="172"/>
      <c r="JY198" s="172"/>
      <c r="JZ198" s="172"/>
      <c r="KA198" s="172"/>
      <c r="KB198" s="172"/>
      <c r="KC198" s="172"/>
      <c r="KD198" s="172"/>
      <c r="KE198" s="172"/>
      <c r="KF198" s="172"/>
      <c r="KG198" s="172"/>
      <c r="KH198" s="172"/>
      <c r="KI198" s="172"/>
      <c r="KJ198" s="172"/>
      <c r="KK198" s="172"/>
      <c r="KL198" s="172"/>
      <c r="KM198" s="172"/>
      <c r="KN198" s="172"/>
      <c r="KO198" s="172"/>
      <c r="KP198" s="172"/>
      <c r="KQ198" s="172"/>
      <c r="KR198" s="172"/>
      <c r="KS198" s="172"/>
      <c r="KT198" s="172"/>
      <c r="KU198" s="172"/>
      <c r="KV198" s="172"/>
      <c r="KW198" s="172"/>
      <c r="KX198" s="172"/>
      <c r="KY198" s="172"/>
      <c r="KZ198" s="172"/>
      <c r="LA198" s="172"/>
      <c r="LB198" s="172"/>
      <c r="LC198" s="172"/>
      <c r="LD198" s="172"/>
      <c r="LE198" s="172"/>
      <c r="LF198" s="172"/>
      <c r="LG198" s="172"/>
      <c r="LH198" s="172"/>
      <c r="LI198" s="172"/>
      <c r="LJ198" s="172"/>
      <c r="LK198" s="172"/>
      <c r="LL198" s="172"/>
      <c r="LM198" s="172"/>
      <c r="LN198" s="172"/>
      <c r="LO198" s="172"/>
      <c r="LP198" s="172"/>
      <c r="LQ198" s="172"/>
      <c r="LR198" s="172"/>
      <c r="LS198" s="172"/>
      <c r="LT198" s="172"/>
      <c r="LU198" s="172"/>
      <c r="LV198" s="172"/>
      <c r="LW198" s="172"/>
      <c r="LX198" s="172"/>
      <c r="LY198" s="172"/>
      <c r="LZ198" s="172"/>
      <c r="MA198" s="172"/>
      <c r="MB198" s="172"/>
      <c r="MC198" s="172"/>
      <c r="MD198" s="172"/>
      <c r="ME198" s="172"/>
      <c r="MF198" s="172"/>
      <c r="MG198" s="172"/>
      <c r="MH198" s="172"/>
      <c r="MI198" s="172"/>
      <c r="MJ198" s="172"/>
      <c r="MK198" s="172"/>
      <c r="ML198" s="172"/>
      <c r="MM198" s="172"/>
      <c r="MN198" s="172"/>
      <c r="MO198" s="172"/>
      <c r="MP198" s="172"/>
      <c r="MQ198" s="172"/>
      <c r="MR198" s="172"/>
      <c r="MS198" s="172"/>
      <c r="MT198" s="172"/>
      <c r="MU198" s="172"/>
      <c r="MV198" s="172"/>
      <c r="MW198" s="172"/>
      <c r="MX198" s="172"/>
      <c r="MY198" s="172"/>
      <c r="MZ198" s="172"/>
      <c r="NA198" s="172"/>
      <c r="NB198" s="172"/>
      <c r="NC198" s="172"/>
      <c r="ND198" s="172"/>
      <c r="NE198" s="172"/>
      <c r="NF198" s="172"/>
      <c r="NG198" s="172"/>
      <c r="NH198" s="172"/>
      <c r="NI198" s="172"/>
      <c r="NJ198" s="172"/>
      <c r="NK198" s="172"/>
      <c r="NL198" s="172"/>
      <c r="NM198" s="172"/>
      <c r="NN198" s="172"/>
      <c r="NO198" s="172"/>
      <c r="NP198" s="172"/>
      <c r="NQ198" s="172"/>
      <c r="NR198" s="172"/>
      <c r="NS198" s="172"/>
      <c r="NT198" s="172"/>
      <c r="NU198" s="172"/>
      <c r="NV198" s="172"/>
      <c r="NW198" s="172"/>
      <c r="NX198" s="172"/>
      <c r="NY198" s="172"/>
      <c r="NZ198" s="172"/>
      <c r="OA198" s="172"/>
      <c r="OB198" s="172"/>
      <c r="OC198" s="172"/>
      <c r="OD198" s="172"/>
      <c r="OE198" s="172"/>
      <c r="OF198" s="172"/>
      <c r="OG198" s="172"/>
      <c r="OH198" s="172"/>
      <c r="OI198" s="172"/>
      <c r="OJ198" s="172"/>
      <c r="OK198" s="172"/>
      <c r="OL198" s="172"/>
      <c r="OM198" s="172"/>
      <c r="ON198" s="172"/>
      <c r="OO198" s="172"/>
      <c r="OP198" s="172"/>
      <c r="OQ198" s="172"/>
      <c r="OR198" s="172"/>
      <c r="OS198" s="172"/>
      <c r="OT198" s="172"/>
      <c r="OU198" s="172"/>
      <c r="OV198" s="172"/>
      <c r="OW198" s="172"/>
      <c r="OX198" s="172"/>
      <c r="OY198" s="172"/>
      <c r="OZ198" s="172"/>
      <c r="PA198" s="172"/>
      <c r="PB198" s="172"/>
      <c r="PC198" s="172"/>
      <c r="PD198" s="172"/>
      <c r="PE198" s="172"/>
      <c r="PF198" s="172"/>
      <c r="PG198" s="172"/>
      <c r="PH198" s="172"/>
      <c r="PI198" s="172"/>
      <c r="PJ198" s="172"/>
      <c r="PK198" s="172"/>
      <c r="PL198" s="172"/>
      <c r="PM198" s="172"/>
      <c r="PN198" s="172"/>
      <c r="PO198" s="172"/>
      <c r="PP198" s="172"/>
      <c r="PQ198" s="172"/>
      <c r="PR198" s="172"/>
      <c r="PS198" s="172"/>
      <c r="PT198" s="172"/>
      <c r="PU198" s="172"/>
      <c r="PV198" s="172"/>
      <c r="PW198" s="172"/>
      <c r="PX198" s="172"/>
      <c r="PY198" s="172"/>
      <c r="PZ198" s="172"/>
      <c r="QA198" s="172"/>
      <c r="QB198" s="172"/>
      <c r="QC198" s="172"/>
      <c r="QD198" s="172"/>
      <c r="QE198" s="172"/>
      <c r="QF198" s="172"/>
      <c r="QG198" s="172"/>
      <c r="QH198" s="172"/>
      <c r="QI198" s="172"/>
      <c r="QJ198" s="172"/>
      <c r="QK198" s="172"/>
      <c r="QL198" s="172"/>
      <c r="QM198" s="172"/>
      <c r="QN198" s="172"/>
      <c r="QO198" s="172"/>
      <c r="QP198" s="172"/>
      <c r="QQ198" s="172"/>
      <c r="QR198" s="172"/>
      <c r="QS198" s="172"/>
      <c r="QT198" s="172"/>
      <c r="QU198" s="172"/>
      <c r="QV198" s="172"/>
      <c r="QW198" s="172"/>
      <c r="QX198" s="172"/>
      <c r="QY198" s="172"/>
      <c r="QZ198" s="172"/>
      <c r="RA198" s="172"/>
      <c r="RB198" s="172"/>
      <c r="RC198" s="172"/>
      <c r="RD198" s="172"/>
      <c r="RE198" s="172"/>
      <c r="RF198" s="172"/>
      <c r="RG198" s="172"/>
      <c r="RH198" s="172"/>
      <c r="RI198" s="172"/>
      <c r="RJ198" s="172"/>
      <c r="RK198" s="172"/>
      <c r="RL198" s="172"/>
      <c r="RM198" s="172"/>
      <c r="RN198" s="172"/>
      <c r="RO198" s="172"/>
      <c r="RP198" s="172"/>
      <c r="RQ198" s="172"/>
      <c r="RR198" s="172"/>
      <c r="RS198" s="172"/>
      <c r="RT198" s="172"/>
      <c r="RU198" s="172"/>
      <c r="RV198" s="172"/>
      <c r="RW198" s="172"/>
      <c r="RX198" s="172"/>
      <c r="RY198" s="172"/>
      <c r="RZ198" s="172"/>
      <c r="SA198" s="172"/>
      <c r="SB198" s="172"/>
      <c r="SC198" s="172"/>
      <c r="SD198" s="172"/>
      <c r="SE198" s="172"/>
      <c r="SF198" s="172"/>
      <c r="SG198" s="172"/>
      <c r="SH198" s="172"/>
      <c r="SI198" s="172"/>
      <c r="SJ198" s="172"/>
      <c r="SK198" s="172"/>
      <c r="SL198" s="172"/>
      <c r="SM198" s="172"/>
      <c r="SN198" s="172"/>
      <c r="SO198" s="172"/>
      <c r="SP198" s="172"/>
      <c r="SQ198" s="172"/>
      <c r="SR198" s="172"/>
      <c r="SS198" s="172"/>
      <c r="ST198" s="172"/>
      <c r="SU198" s="172"/>
      <c r="SV198" s="172"/>
      <c r="SW198" s="172"/>
      <c r="SX198" s="172"/>
      <c r="SY198" s="172"/>
      <c r="SZ198" s="172"/>
      <c r="TA198" s="172"/>
      <c r="TB198" s="172"/>
      <c r="TC198" s="172"/>
      <c r="TD198" s="172"/>
      <c r="TE198" s="172"/>
      <c r="TF198" s="172"/>
      <c r="TG198" s="172"/>
      <c r="TH198" s="172"/>
      <c r="TI198" s="172"/>
      <c r="TJ198" s="172"/>
      <c r="TK198" s="172"/>
      <c r="TL198" s="172"/>
      <c r="TM198" s="172"/>
      <c r="TN198" s="172"/>
      <c r="TO198" s="172"/>
      <c r="TP198" s="172"/>
      <c r="TQ198" s="172"/>
      <c r="TR198" s="172"/>
      <c r="TS198" s="172"/>
      <c r="TT198" s="172"/>
      <c r="TU198" s="172"/>
      <c r="TV198" s="172"/>
      <c r="TW198" s="172"/>
      <c r="TX198" s="172"/>
      <c r="TY198" s="172"/>
      <c r="TZ198" s="172"/>
      <c r="UA198" s="172"/>
      <c r="UB198" s="172"/>
      <c r="UC198" s="172"/>
      <c r="UD198" s="172"/>
      <c r="UE198" s="172"/>
      <c r="UF198" s="172"/>
      <c r="UG198" s="172"/>
      <c r="UH198" s="172"/>
      <c r="UI198" s="172"/>
      <c r="UJ198" s="172"/>
      <c r="UK198" s="172"/>
      <c r="UL198" s="172"/>
      <c r="UM198" s="172"/>
      <c r="UN198" s="172"/>
      <c r="UO198" s="172"/>
      <c r="UP198" s="172"/>
      <c r="UQ198" s="172"/>
      <c r="UR198" s="172"/>
      <c r="US198" s="172"/>
      <c r="UT198" s="172"/>
      <c r="UU198" s="172"/>
      <c r="UV198" s="172"/>
      <c r="UW198" s="172"/>
      <c r="UX198" s="172"/>
      <c r="UY198" s="172"/>
      <c r="UZ198" s="172"/>
      <c r="VA198" s="172"/>
      <c r="VB198" s="172"/>
      <c r="VC198" s="172"/>
      <c r="VD198" s="172"/>
      <c r="VE198" s="172"/>
      <c r="VF198" s="172"/>
      <c r="VG198" s="172"/>
      <c r="VH198" s="172"/>
      <c r="VI198" s="172"/>
      <c r="VJ198" s="172"/>
      <c r="VK198" s="172"/>
      <c r="VL198" s="172"/>
      <c r="VM198" s="172"/>
      <c r="VN198" s="172"/>
      <c r="VO198" s="172"/>
      <c r="VP198" s="172"/>
      <c r="VQ198" s="172"/>
      <c r="VR198" s="172"/>
      <c r="VS198" s="172"/>
      <c r="VT198" s="172"/>
      <c r="VU198" s="172"/>
      <c r="VV198" s="172"/>
      <c r="VW198" s="172"/>
      <c r="VX198" s="172"/>
      <c r="VY198" s="172"/>
      <c r="VZ198" s="172"/>
      <c r="WA198" s="172"/>
      <c r="WB198" s="172"/>
      <c r="WC198" s="172"/>
      <c r="WD198" s="172"/>
      <c r="WE198" s="172"/>
      <c r="WF198" s="172"/>
      <c r="WG198" s="172"/>
      <c r="WH198" s="172"/>
      <c r="WI198" s="172"/>
      <c r="WJ198" s="172"/>
      <c r="WK198" s="172"/>
      <c r="WL198" s="172"/>
      <c r="WM198" s="172"/>
      <c r="WN198" s="172"/>
      <c r="WO198" s="172"/>
      <c r="WP198" s="172"/>
      <c r="WQ198" s="172"/>
      <c r="WR198" s="172"/>
      <c r="WS198" s="172"/>
      <c r="WT198" s="172"/>
      <c r="WU198" s="172"/>
      <c r="WV198" s="172"/>
      <c r="WW198" s="172"/>
      <c r="WX198" s="172"/>
      <c r="WY198" s="172"/>
      <c r="WZ198" s="172"/>
      <c r="XA198" s="172"/>
      <c r="XB198" s="172"/>
      <c r="XC198" s="172"/>
      <c r="XD198" s="172"/>
      <c r="XE198" s="172"/>
      <c r="XF198" s="172"/>
      <c r="XG198" s="172"/>
      <c r="XH198" s="172"/>
      <c r="XI198" s="172"/>
      <c r="XJ198" s="172"/>
      <c r="XK198" s="172"/>
      <c r="XL198" s="172"/>
      <c r="XM198" s="172"/>
      <c r="XN198" s="172"/>
      <c r="XO198" s="172"/>
      <c r="XP198" s="172"/>
      <c r="XQ198" s="172"/>
      <c r="XR198" s="172"/>
      <c r="XS198" s="172"/>
      <c r="XT198" s="172"/>
      <c r="XU198" s="172"/>
      <c r="XV198" s="172"/>
      <c r="XW198" s="172"/>
      <c r="XX198" s="172"/>
      <c r="XY198" s="172"/>
      <c r="XZ198" s="172"/>
      <c r="YA198" s="172"/>
      <c r="YB198" s="172"/>
      <c r="YC198" s="172"/>
      <c r="YD198" s="172"/>
      <c r="YE198" s="172"/>
      <c r="YF198" s="172"/>
      <c r="YG198" s="172"/>
      <c r="YH198" s="172"/>
      <c r="YI198" s="172"/>
      <c r="YJ198" s="172"/>
      <c r="YK198" s="172"/>
      <c r="YL198" s="172"/>
      <c r="YM198" s="172"/>
      <c r="YN198" s="172"/>
      <c r="YO198" s="172"/>
      <c r="YP198" s="172"/>
      <c r="YQ198" s="172"/>
      <c r="YR198" s="172"/>
      <c r="YS198" s="172"/>
      <c r="YT198" s="172"/>
      <c r="YU198" s="172"/>
      <c r="YV198" s="172"/>
      <c r="YW198" s="172"/>
      <c r="YX198" s="172"/>
      <c r="YY198" s="172"/>
      <c r="YZ198" s="172"/>
      <c r="ZA198" s="172"/>
      <c r="ZB198" s="172"/>
      <c r="ZC198" s="172"/>
      <c r="ZD198" s="172"/>
      <c r="ZE198" s="172"/>
      <c r="ZF198" s="172"/>
      <c r="ZG198" s="172"/>
      <c r="ZH198" s="172"/>
      <c r="ZI198" s="172"/>
      <c r="ZJ198" s="172"/>
      <c r="ZK198" s="172"/>
      <c r="ZL198" s="172"/>
      <c r="ZM198" s="172"/>
      <c r="ZN198" s="172"/>
      <c r="ZO198" s="172"/>
      <c r="ZP198" s="172"/>
      <c r="ZQ198" s="172"/>
      <c r="ZR198" s="172"/>
      <c r="ZS198" s="172"/>
      <c r="ZT198" s="172"/>
      <c r="ZU198" s="172"/>
      <c r="ZV198" s="172"/>
      <c r="ZW198" s="172"/>
      <c r="ZX198" s="172"/>
      <c r="ZY198" s="172"/>
      <c r="ZZ198" s="172"/>
      <c r="AAA198" s="172"/>
      <c r="AAB198" s="172"/>
      <c r="AAC198" s="172"/>
      <c r="AAD198" s="172"/>
      <c r="AAE198" s="172"/>
      <c r="AAF198" s="172"/>
      <c r="AAG198" s="172"/>
      <c r="AAH198" s="172"/>
      <c r="AAI198" s="172"/>
      <c r="AAJ198" s="172"/>
      <c r="AAK198" s="172"/>
      <c r="AAL198" s="172"/>
      <c r="AAM198" s="172"/>
      <c r="AAN198" s="172"/>
      <c r="AAO198" s="172"/>
      <c r="AAP198" s="172"/>
      <c r="AAQ198" s="172"/>
      <c r="AAR198" s="172"/>
      <c r="AAS198" s="172"/>
      <c r="AAT198" s="172"/>
      <c r="AAU198" s="172"/>
      <c r="AAV198" s="172"/>
      <c r="AAW198" s="172"/>
      <c r="AAX198" s="172"/>
      <c r="AAY198" s="172"/>
      <c r="AAZ198" s="172"/>
      <c r="ABA198" s="172"/>
      <c r="ABB198" s="172"/>
      <c r="ABC198" s="172"/>
      <c r="ABD198" s="172"/>
      <c r="ABE198" s="172"/>
      <c r="ABF198" s="172"/>
      <c r="ABG198" s="172"/>
      <c r="ABH198" s="172"/>
      <c r="ABI198" s="172"/>
      <c r="ABJ198" s="172"/>
      <c r="ABK198" s="172"/>
      <c r="ABL198" s="172"/>
      <c r="ABM198" s="172"/>
      <c r="ABN198" s="172"/>
      <c r="ABO198" s="172"/>
      <c r="ABP198" s="172"/>
      <c r="ABQ198" s="172"/>
      <c r="ABR198" s="172"/>
      <c r="ABS198" s="172"/>
      <c r="ABT198" s="172"/>
      <c r="ABU198" s="172"/>
      <c r="ABV198" s="172"/>
      <c r="ABW198" s="172"/>
      <c r="ABX198" s="172"/>
      <c r="ABY198" s="172"/>
      <c r="ABZ198" s="172"/>
      <c r="ACA198" s="172"/>
      <c r="ACB198" s="172"/>
      <c r="ACC198" s="172"/>
      <c r="ACD198" s="172"/>
      <c r="ACE198" s="172"/>
      <c r="ACF198" s="172"/>
      <c r="ACG198" s="172"/>
      <c r="ACH198" s="172"/>
      <c r="ACI198" s="172"/>
      <c r="ACJ198" s="172"/>
      <c r="ACK198" s="172"/>
      <c r="ACL198" s="172"/>
      <c r="ACM198" s="172"/>
      <c r="ACN198" s="172"/>
      <c r="ACO198" s="172"/>
      <c r="ACP198" s="172"/>
      <c r="ACQ198" s="172"/>
      <c r="ACR198" s="172"/>
      <c r="ACS198" s="172"/>
      <c r="ACT198" s="172"/>
      <c r="ACU198" s="172"/>
      <c r="ACV198" s="172"/>
      <c r="ACW198" s="172"/>
      <c r="ACX198" s="172"/>
      <c r="ACY198" s="172"/>
      <c r="ACZ198" s="172"/>
      <c r="ADA198" s="172"/>
      <c r="ADB198" s="172"/>
      <c r="ADC198" s="172"/>
      <c r="ADD198" s="172"/>
      <c r="ADE198" s="172"/>
      <c r="ADF198" s="172"/>
      <c r="ADG198" s="172"/>
      <c r="ADH198" s="172"/>
      <c r="ADI198" s="172"/>
      <c r="ADJ198" s="172"/>
      <c r="ADK198" s="172"/>
      <c r="ADL198" s="172"/>
      <c r="ADM198" s="172"/>
      <c r="ADN198" s="172"/>
      <c r="ADO198" s="172"/>
      <c r="ADP198" s="172"/>
      <c r="ADQ198" s="172"/>
      <c r="ADR198" s="172"/>
      <c r="ADS198" s="172"/>
      <c r="ADT198" s="172"/>
      <c r="ADU198" s="172"/>
      <c r="ADV198" s="172"/>
      <c r="ADW198" s="172"/>
      <c r="ADX198" s="172"/>
      <c r="ADY198" s="172"/>
      <c r="ADZ198" s="172"/>
      <c r="AEA198" s="172"/>
      <c r="AEB198" s="172"/>
      <c r="AEC198" s="172"/>
      <c r="AED198" s="172"/>
      <c r="AEE198" s="172"/>
      <c r="AEF198" s="172"/>
      <c r="AEG198" s="172"/>
      <c r="AEH198" s="172"/>
      <c r="AEI198" s="172"/>
      <c r="AEJ198" s="172"/>
      <c r="AEK198" s="172"/>
      <c r="AEL198" s="172"/>
      <c r="AEM198" s="172"/>
      <c r="AEN198" s="172"/>
      <c r="AEO198" s="172"/>
      <c r="AEP198" s="172"/>
      <c r="AEQ198" s="172"/>
      <c r="AER198" s="172"/>
      <c r="AES198" s="172"/>
      <c r="AET198" s="172"/>
      <c r="AEU198" s="172"/>
      <c r="AEV198" s="172"/>
      <c r="AEW198" s="172"/>
      <c r="AEX198" s="172"/>
      <c r="AEY198" s="172"/>
      <c r="AEZ198" s="172"/>
      <c r="AFA198" s="172"/>
      <c r="AFB198" s="172"/>
      <c r="AFC198" s="172"/>
      <c r="AFD198" s="172"/>
      <c r="AFE198" s="172"/>
      <c r="AFF198" s="172"/>
      <c r="AFG198" s="172"/>
      <c r="AFH198" s="172"/>
      <c r="AFI198" s="172"/>
      <c r="AFJ198" s="172"/>
      <c r="AFK198" s="172"/>
      <c r="AFL198" s="172"/>
      <c r="AFM198" s="172"/>
      <c r="AFN198" s="172"/>
      <c r="AFO198" s="172"/>
      <c r="AFP198" s="172"/>
      <c r="AFQ198" s="172"/>
      <c r="AFR198" s="172"/>
      <c r="AFS198" s="172"/>
      <c r="AFT198" s="172"/>
      <c r="AFU198" s="172"/>
      <c r="AFV198" s="172"/>
      <c r="AFW198" s="172"/>
      <c r="AFX198" s="172"/>
      <c r="AFY198" s="172"/>
      <c r="AFZ198" s="172"/>
      <c r="AGA198" s="172"/>
      <c r="AGB198" s="172"/>
      <c r="AGC198" s="172"/>
      <c r="AGD198" s="172"/>
      <c r="AGE198" s="172"/>
      <c r="AGF198" s="172"/>
      <c r="AGG198" s="172"/>
      <c r="AGH198" s="172"/>
      <c r="AGI198" s="172"/>
      <c r="AGJ198" s="172"/>
      <c r="AGK198" s="172"/>
      <c r="AGL198" s="172"/>
      <c r="AGM198" s="172"/>
      <c r="AGN198" s="172"/>
      <c r="AGO198" s="172"/>
      <c r="AGP198" s="172"/>
      <c r="AGQ198" s="172"/>
      <c r="AGR198" s="172"/>
      <c r="AGS198" s="172"/>
      <c r="AGT198" s="172"/>
      <c r="AGU198" s="172"/>
      <c r="AGV198" s="172"/>
      <c r="AGW198" s="172"/>
      <c r="AGX198" s="172"/>
      <c r="AGY198" s="172"/>
      <c r="AGZ198" s="172"/>
      <c r="AHA198" s="172"/>
      <c r="AHB198" s="172"/>
      <c r="AHC198" s="172"/>
      <c r="AHD198" s="172"/>
      <c r="AHE198" s="172"/>
      <c r="AHF198" s="172"/>
      <c r="AHG198" s="172"/>
      <c r="AHH198" s="172"/>
      <c r="AHI198" s="172"/>
      <c r="AHJ198" s="172"/>
      <c r="AHK198" s="172"/>
      <c r="AHL198" s="172"/>
      <c r="AHM198" s="172"/>
      <c r="AHN198" s="172"/>
      <c r="AHO198" s="172"/>
      <c r="AHP198" s="172"/>
      <c r="AHQ198" s="172"/>
      <c r="AHR198" s="172"/>
      <c r="AHS198" s="172"/>
      <c r="AHT198" s="172"/>
      <c r="AHU198" s="172"/>
      <c r="AHV198" s="172"/>
      <c r="AHW198" s="172"/>
      <c r="AHX198" s="172"/>
      <c r="AHY198" s="172"/>
      <c r="AHZ198" s="172"/>
      <c r="AIA198" s="172"/>
      <c r="AIB198" s="172"/>
      <c r="AIC198" s="172"/>
      <c r="AID198" s="172"/>
      <c r="AIE198" s="172"/>
      <c r="AIF198" s="172"/>
      <c r="AIG198" s="172"/>
      <c r="AIH198" s="172"/>
      <c r="AII198" s="172"/>
      <c r="AIJ198" s="172"/>
      <c r="AIK198" s="172"/>
      <c r="AIL198" s="172"/>
      <c r="AIM198" s="172"/>
      <c r="AIN198" s="172"/>
      <c r="AIO198" s="172"/>
      <c r="AIP198" s="172"/>
      <c r="AIQ198" s="172"/>
      <c r="AIR198" s="172"/>
      <c r="AIS198" s="172"/>
      <c r="AIT198" s="172"/>
      <c r="AIU198" s="172"/>
      <c r="AIV198" s="172"/>
      <c r="AIW198" s="172"/>
      <c r="AIX198" s="172"/>
      <c r="AIY198" s="172"/>
      <c r="AIZ198" s="172"/>
      <c r="AJA198" s="172"/>
      <c r="AJB198" s="172"/>
      <c r="AJC198" s="172"/>
      <c r="AJD198" s="172"/>
      <c r="AJE198" s="172"/>
      <c r="AJF198" s="172"/>
      <c r="AJG198" s="172"/>
      <c r="AJH198" s="172"/>
      <c r="AJI198" s="172"/>
      <c r="AJJ198" s="172"/>
      <c r="AJK198" s="172"/>
      <c r="AJL198" s="172"/>
      <c r="AJM198" s="172"/>
      <c r="AJN198" s="172"/>
      <c r="AJO198" s="172"/>
      <c r="AJP198" s="172"/>
      <c r="AJQ198" s="172"/>
      <c r="AJR198" s="172"/>
      <c r="AJS198" s="172"/>
      <c r="AJT198" s="172"/>
      <c r="AJU198" s="172"/>
      <c r="AJV198" s="172"/>
      <c r="AJW198" s="172"/>
      <c r="AJX198" s="172"/>
      <c r="AJY198" s="172"/>
      <c r="AJZ198" s="172"/>
      <c r="AKA198" s="172"/>
      <c r="AKB198" s="172"/>
      <c r="AKC198" s="172"/>
      <c r="AKD198" s="172"/>
      <c r="AKE198" s="172"/>
      <c r="AKF198" s="172"/>
      <c r="AKG198" s="172"/>
      <c r="AKH198" s="172"/>
      <c r="AKI198" s="172"/>
      <c r="AKJ198" s="172"/>
      <c r="AKK198" s="172"/>
      <c r="AKL198" s="172"/>
      <c r="AKM198" s="172"/>
      <c r="AKN198" s="172"/>
      <c r="AKO198" s="172"/>
      <c r="AKP198" s="172"/>
      <c r="AKQ198" s="172"/>
      <c r="AKR198" s="172"/>
      <c r="AKS198" s="172"/>
      <c r="AKT198" s="172"/>
      <c r="AKU198" s="172"/>
      <c r="AKV198" s="172"/>
      <c r="AKW198" s="172"/>
      <c r="AKX198" s="172"/>
      <c r="AKY198" s="172"/>
      <c r="AKZ198" s="172"/>
      <c r="ALA198" s="172"/>
      <c r="ALB198" s="172"/>
      <c r="ALC198" s="172"/>
      <c r="ALD198" s="172"/>
      <c r="ALE198" s="172"/>
      <c r="ALF198" s="172"/>
      <c r="ALG198" s="172"/>
      <c r="ALH198" s="172"/>
      <c r="ALI198" s="172"/>
      <c r="ALJ198" s="172"/>
      <c r="ALK198" s="172"/>
      <c r="ALL198" s="172"/>
      <c r="ALM198" s="172"/>
      <c r="ALN198" s="172"/>
      <c r="ALO198" s="172"/>
      <c r="ALP198" s="172"/>
      <c r="ALQ198" s="172"/>
      <c r="ALR198" s="172"/>
      <c r="ALS198" s="172"/>
      <c r="ALT198" s="172"/>
      <c r="ALU198" s="172"/>
      <c r="ALV198" s="172"/>
      <c r="ALW198" s="172"/>
      <c r="ALX198" s="172"/>
      <c r="ALY198" s="172"/>
      <c r="ALZ198" s="172"/>
      <c r="AMA198" s="172"/>
      <c r="AMB198" s="172"/>
      <c r="AMC198" s="172"/>
      <c r="AMD198" s="172"/>
      <c r="AME198" s="172"/>
      <c r="AMF198" s="172"/>
      <c r="AMG198" s="172"/>
      <c r="AMH198" s="172"/>
      <c r="AMI198" s="172"/>
      <c r="AMJ198" s="172"/>
      <c r="AMK198" s="172"/>
      <c r="AML198" s="172"/>
      <c r="AMM198" s="172"/>
      <c r="AMN198" s="172"/>
      <c r="AMO198" s="172"/>
      <c r="AMP198" s="172"/>
      <c r="AMQ198" s="172"/>
      <c r="AMR198" s="172"/>
      <c r="AMS198" s="172"/>
      <c r="AMT198" s="172"/>
      <c r="AMU198" s="172"/>
      <c r="AMV198" s="172"/>
      <c r="AMW198" s="172"/>
      <c r="AMX198" s="172"/>
      <c r="AMY198" s="172"/>
      <c r="AMZ198" s="172"/>
      <c r="ANA198" s="172"/>
      <c r="ANB198" s="172"/>
      <c r="ANC198" s="172"/>
      <c r="AND198" s="172"/>
      <c r="ANE198" s="172"/>
      <c r="ANF198" s="172"/>
      <c r="ANG198" s="172"/>
      <c r="ANH198" s="172"/>
      <c r="ANI198" s="172"/>
      <c r="ANJ198" s="172"/>
      <c r="ANK198" s="172"/>
      <c r="ANL198" s="172"/>
      <c r="ANM198" s="172"/>
      <c r="ANN198" s="172"/>
      <c r="ANO198" s="172"/>
      <c r="ANP198" s="172"/>
      <c r="ANQ198" s="172"/>
      <c r="ANR198" s="172"/>
      <c r="ANS198" s="172"/>
      <c r="ANT198" s="172"/>
      <c r="ANU198" s="172"/>
      <c r="ANV198" s="172"/>
      <c r="ANW198" s="172"/>
      <c r="ANX198" s="172"/>
      <c r="ANY198" s="172"/>
      <c r="ANZ198" s="172"/>
      <c r="AOA198" s="172"/>
      <c r="AOB198" s="172"/>
      <c r="AOC198" s="172"/>
      <c r="AOD198" s="172"/>
      <c r="AOE198" s="172"/>
      <c r="AOF198" s="172"/>
      <c r="AOG198" s="172"/>
      <c r="AOH198" s="172"/>
      <c r="AOI198" s="172"/>
      <c r="AOJ198" s="172"/>
      <c r="AOK198" s="172"/>
      <c r="AOL198" s="172"/>
      <c r="AOM198" s="172"/>
      <c r="AON198" s="172"/>
      <c r="AOO198" s="172"/>
      <c r="AOP198" s="172"/>
      <c r="AOQ198" s="172"/>
      <c r="AOR198" s="172"/>
      <c r="AOS198" s="172"/>
      <c r="AOT198" s="172"/>
      <c r="AOU198" s="172"/>
      <c r="AOV198" s="172"/>
      <c r="AOW198" s="172"/>
      <c r="AOX198" s="172"/>
      <c r="AOY198" s="172"/>
      <c r="AOZ198" s="172"/>
      <c r="APA198" s="172"/>
      <c r="APB198" s="172"/>
      <c r="APC198" s="172"/>
      <c r="APD198" s="172"/>
      <c r="APE198" s="172"/>
      <c r="APF198" s="172"/>
      <c r="APG198" s="172"/>
      <c r="APH198" s="172"/>
      <c r="API198" s="172"/>
      <c r="APJ198" s="172"/>
      <c r="APK198" s="172"/>
      <c r="APL198" s="172"/>
      <c r="APM198" s="172"/>
      <c r="APN198" s="172"/>
      <c r="APO198" s="172"/>
      <c r="APP198" s="172"/>
      <c r="APQ198" s="172"/>
      <c r="APR198" s="172"/>
      <c r="APS198" s="172"/>
      <c r="APT198" s="172"/>
      <c r="APU198" s="172"/>
      <c r="APV198" s="172"/>
      <c r="APW198" s="172"/>
      <c r="APX198" s="172"/>
      <c r="APY198" s="172"/>
      <c r="APZ198" s="172"/>
      <c r="AQA198" s="172"/>
      <c r="AQB198" s="172"/>
      <c r="AQC198" s="172"/>
      <c r="AQD198" s="172"/>
      <c r="AQE198" s="172"/>
      <c r="AQF198" s="172"/>
      <c r="AQG198" s="172"/>
      <c r="AQH198" s="172"/>
      <c r="AQI198" s="172"/>
      <c r="AQJ198" s="172"/>
      <c r="AQK198" s="172"/>
      <c r="AQL198" s="172"/>
      <c r="AQM198" s="172"/>
      <c r="AQN198" s="172"/>
      <c r="AQO198" s="172"/>
      <c r="AQP198" s="172"/>
      <c r="AQQ198" s="172"/>
      <c r="AQR198" s="172"/>
      <c r="AQS198" s="172"/>
      <c r="AQT198" s="172"/>
      <c r="AQU198" s="172"/>
      <c r="AQV198" s="172"/>
      <c r="AQW198" s="172"/>
      <c r="AQX198" s="172"/>
      <c r="AQY198" s="172"/>
      <c r="AQZ198" s="172"/>
      <c r="ARA198" s="172"/>
      <c r="ARB198" s="172"/>
      <c r="ARC198" s="172"/>
      <c r="ARD198" s="172"/>
      <c r="ARE198" s="172"/>
      <c r="ARF198" s="172"/>
      <c r="ARG198" s="172"/>
      <c r="ARH198" s="172"/>
      <c r="ARI198" s="172"/>
      <c r="ARJ198" s="172"/>
      <c r="ARK198" s="172"/>
      <c r="ARL198" s="172"/>
      <c r="ARM198" s="172"/>
      <c r="ARN198" s="172"/>
      <c r="ARO198" s="172"/>
      <c r="ARP198" s="172"/>
      <c r="ARQ198" s="172"/>
      <c r="ARR198" s="172"/>
      <c r="ARS198" s="172"/>
      <c r="ART198" s="172"/>
      <c r="ARU198" s="172"/>
    </row>
    <row r="199" spans="1:1165">
      <c r="A199" s="194"/>
      <c r="B199" s="195"/>
      <c r="C199" s="258"/>
      <c r="D199" s="258"/>
      <c r="E199" s="258"/>
      <c r="F199" s="258"/>
      <c r="G199" s="258"/>
      <c r="H199" s="258"/>
      <c r="I199" s="258"/>
      <c r="J199" s="258"/>
      <c r="K199" s="258"/>
      <c r="L199" s="258"/>
      <c r="M199" s="258"/>
      <c r="N199" s="258"/>
      <c r="O199" s="258"/>
      <c r="P199" s="258"/>
      <c r="Q199" s="258"/>
      <c r="R199" s="258"/>
      <c r="S199" s="258"/>
      <c r="T199" s="258"/>
      <c r="U199" s="288"/>
      <c r="V199" s="288"/>
      <c r="W199" s="288"/>
      <c r="X199" s="288"/>
      <c r="Y199" s="258"/>
      <c r="Z199" s="258"/>
      <c r="AA199" s="288"/>
      <c r="AB199" s="288"/>
      <c r="AC199" s="258"/>
      <c r="AD199" s="258"/>
      <c r="AE199" s="288"/>
      <c r="AF199" s="288"/>
      <c r="AG199" s="288"/>
      <c r="AH199" s="288"/>
      <c r="AI199" s="288"/>
      <c r="AJ199" s="288"/>
      <c r="AK199" s="288"/>
      <c r="AL199" s="288"/>
      <c r="AM199" s="288"/>
      <c r="AN199" s="288"/>
      <c r="AO199" s="288"/>
      <c r="AP199" s="288"/>
      <c r="AQ199" s="288"/>
      <c r="AR199" s="288"/>
      <c r="AS199" s="288"/>
      <c r="AT199" s="288"/>
      <c r="AU199" s="302"/>
      <c r="AV199" s="302"/>
      <c r="AW199" s="256"/>
      <c r="AX199" s="256"/>
      <c r="AY199" s="255"/>
      <c r="AZ199" s="255"/>
      <c r="BA199" s="262"/>
      <c r="BB199" s="256"/>
      <c r="BC199" s="256"/>
      <c r="BD199" s="256"/>
      <c r="BE199" s="256"/>
      <c r="BF199" s="256"/>
      <c r="BG199" s="256"/>
      <c r="BH199" s="256"/>
      <c r="BI199" s="262"/>
      <c r="BJ199" s="256"/>
      <c r="BK199" s="256"/>
      <c r="BL199" s="172"/>
      <c r="BM199" s="231"/>
      <c r="BN199" s="231"/>
      <c r="BO199" s="231"/>
      <c r="BS199" s="13"/>
    </row>
    <row r="200" spans="1:1165">
      <c r="A200" s="1483" t="s">
        <v>275</v>
      </c>
      <c r="B200" s="1484"/>
      <c r="C200" s="1489"/>
      <c r="D200" s="1489"/>
      <c r="E200" s="1489"/>
      <c r="F200" s="1489"/>
      <c r="G200" s="1489"/>
      <c r="H200" s="1489"/>
      <c r="I200" s="1489"/>
      <c r="J200" s="1489"/>
      <c r="K200" s="1489"/>
      <c r="L200" s="1489"/>
      <c r="M200" s="1489"/>
      <c r="N200" s="1489"/>
      <c r="O200" s="1489"/>
      <c r="P200" s="1489"/>
      <c r="Q200" s="1489"/>
      <c r="R200" s="1489"/>
      <c r="S200" s="1489"/>
      <c r="T200" s="1489"/>
      <c r="U200" s="1513"/>
      <c r="V200" s="1513"/>
      <c r="W200" s="1516"/>
      <c r="X200" s="1516"/>
      <c r="Y200" s="1512"/>
      <c r="Z200" s="1512"/>
      <c r="AA200" s="1516"/>
      <c r="AB200" s="1516"/>
      <c r="AC200" s="1512"/>
      <c r="AD200" s="1512"/>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485"/>
      <c r="AX200" s="1485"/>
      <c r="AY200" s="1518"/>
      <c r="AZ200" s="1518"/>
      <c r="BA200" s="1486"/>
      <c r="BB200" s="1485"/>
      <c r="BC200" s="1485"/>
      <c r="BD200" s="1485"/>
      <c r="BE200" s="1485"/>
      <c r="BF200" s="1485"/>
      <c r="BG200" s="1485"/>
      <c r="BH200" s="1485"/>
      <c r="BI200" s="1486"/>
      <c r="BJ200" s="1485"/>
      <c r="BK200" s="1485"/>
      <c r="BL200" s="172"/>
      <c r="BM200" s="231"/>
      <c r="BN200" s="231"/>
      <c r="BO200" s="231"/>
    </row>
    <row r="201" spans="1:1165">
      <c r="A201" s="1524" t="s">
        <v>276</v>
      </c>
      <c r="B201" s="1511" t="s">
        <v>87</v>
      </c>
      <c r="C201" s="1512">
        <v>2077498</v>
      </c>
      <c r="D201" s="1512">
        <v>1708076</v>
      </c>
      <c r="E201" s="1512">
        <v>129367</v>
      </c>
      <c r="F201" s="1512">
        <v>39283</v>
      </c>
      <c r="G201" s="1512">
        <v>113239</v>
      </c>
      <c r="H201" s="1512">
        <v>56343</v>
      </c>
      <c r="I201" s="1489">
        <v>122905</v>
      </c>
      <c r="J201" s="1489">
        <v>115768</v>
      </c>
      <c r="K201" s="1512">
        <v>0</v>
      </c>
      <c r="L201" s="1512">
        <v>0</v>
      </c>
      <c r="M201" s="1512">
        <v>0</v>
      </c>
      <c r="N201" s="1512">
        <v>0</v>
      </c>
      <c r="O201" s="1512">
        <v>0</v>
      </c>
      <c r="P201" s="1512">
        <v>0</v>
      </c>
      <c r="Q201" s="1512">
        <v>0</v>
      </c>
      <c r="R201" s="1512">
        <v>0</v>
      </c>
      <c r="S201" s="1512">
        <v>0</v>
      </c>
      <c r="T201" s="1512">
        <v>0</v>
      </c>
      <c r="U201" s="1512">
        <v>0</v>
      </c>
      <c r="V201" s="1512">
        <v>0</v>
      </c>
      <c r="W201" s="1512">
        <v>0</v>
      </c>
      <c r="X201" s="1512">
        <v>0</v>
      </c>
      <c r="Y201" s="1512">
        <v>0</v>
      </c>
      <c r="Z201" s="1512">
        <v>0</v>
      </c>
      <c r="AA201" s="1512">
        <v>0</v>
      </c>
      <c r="AB201" s="1512">
        <v>0</v>
      </c>
      <c r="AC201" s="1512">
        <v>0</v>
      </c>
      <c r="AD201" s="1512">
        <v>0</v>
      </c>
      <c r="AE201" s="1512">
        <v>0</v>
      </c>
      <c r="AF201" s="1512">
        <v>0</v>
      </c>
      <c r="AG201" s="1512">
        <v>0</v>
      </c>
      <c r="AH201" s="1512">
        <v>0</v>
      </c>
      <c r="AI201" s="1512">
        <v>0</v>
      </c>
      <c r="AJ201" s="1512">
        <v>0</v>
      </c>
      <c r="AK201" s="1512">
        <v>0</v>
      </c>
      <c r="AL201" s="1512">
        <v>0</v>
      </c>
      <c r="AM201" s="1512">
        <v>0</v>
      </c>
      <c r="AN201" s="1512">
        <v>0</v>
      </c>
      <c r="AO201" s="1512">
        <v>0</v>
      </c>
      <c r="AP201" s="1512">
        <v>0</v>
      </c>
      <c r="AQ201" s="1512">
        <v>0</v>
      </c>
      <c r="AR201" s="1512">
        <v>0</v>
      </c>
      <c r="AS201" s="1512">
        <v>0</v>
      </c>
      <c r="AT201" s="1512">
        <v>0</v>
      </c>
      <c r="AU201" s="1512">
        <v>0</v>
      </c>
      <c r="AV201" s="1512">
        <v>0</v>
      </c>
      <c r="AW201" s="1489">
        <v>0</v>
      </c>
      <c r="AX201" s="1489">
        <v>0</v>
      </c>
      <c r="AY201" s="1512">
        <v>0</v>
      </c>
      <c r="AZ201" s="1512">
        <v>0</v>
      </c>
      <c r="BA201" s="1516"/>
      <c r="BB201" s="1512"/>
      <c r="BC201" s="1512"/>
      <c r="BD201" s="1512"/>
      <c r="BE201" s="1512"/>
      <c r="BF201" s="1512"/>
      <c r="BG201" s="1512"/>
      <c r="BH201" s="1512"/>
      <c r="BI201" s="1516"/>
      <c r="BJ201" s="1512">
        <f t="shared" ref="BJ201:BJ203" si="79">C201+G201+I201+K201+M201+O201+Q201+S201+U201+W201+Y201+AA201+AC201+AE201+AG201+AI201+AK201+AM201+AO201+AQ201+AS201+AU201+AW201+AY201+BB201+BF201</f>
        <v>2313642</v>
      </c>
      <c r="BK201" s="1512">
        <f>D201+H201+J201+L201+N201+P201+R201+T201+V201+X201+Z201+AB201+AD201+AF201+AH201+AJ201+AL201+AN201+AP201+AR201+AT201+AV201+AX201+AZ201+BD201+BH201</f>
        <v>1880187</v>
      </c>
      <c r="BL201" s="172"/>
      <c r="BM201" s="231"/>
      <c r="BN201" s="231"/>
      <c r="BO201" s="231"/>
    </row>
    <row r="202" spans="1:1165">
      <c r="A202" s="1524" t="s">
        <v>418</v>
      </c>
      <c r="B202" s="1511" t="s">
        <v>87</v>
      </c>
      <c r="C202" s="1512">
        <v>0</v>
      </c>
      <c r="D202" s="1512">
        <v>0</v>
      </c>
      <c r="E202" s="1512">
        <v>0</v>
      </c>
      <c r="F202" s="1512">
        <v>0</v>
      </c>
      <c r="G202" s="1512">
        <v>0</v>
      </c>
      <c r="H202" s="1512">
        <v>0</v>
      </c>
      <c r="I202" s="1512">
        <v>0</v>
      </c>
      <c r="J202" s="1512">
        <v>0</v>
      </c>
      <c r="K202" s="1512">
        <v>0</v>
      </c>
      <c r="L202" s="1512">
        <v>0</v>
      </c>
      <c r="M202" s="1512">
        <v>0</v>
      </c>
      <c r="N202" s="1512">
        <v>0</v>
      </c>
      <c r="O202" s="1489">
        <v>0</v>
      </c>
      <c r="P202" s="1489">
        <v>0</v>
      </c>
      <c r="Q202" s="1489">
        <v>0</v>
      </c>
      <c r="R202" s="1489">
        <v>0</v>
      </c>
      <c r="S202" s="1489">
        <v>0</v>
      </c>
      <c r="T202" s="1489">
        <v>0</v>
      </c>
      <c r="U202" s="1489">
        <v>0</v>
      </c>
      <c r="V202" s="1489">
        <v>0</v>
      </c>
      <c r="W202" s="1489">
        <v>6197</v>
      </c>
      <c r="X202" s="1489">
        <v>61967</v>
      </c>
      <c r="Y202" s="1512">
        <v>69021</v>
      </c>
      <c r="Z202" s="1512">
        <v>703953</v>
      </c>
      <c r="AA202" s="1517">
        <v>76612</v>
      </c>
      <c r="AB202" s="1517">
        <v>782017</v>
      </c>
      <c r="AC202" s="1512">
        <v>66253</v>
      </c>
      <c r="AD202" s="1512">
        <v>697757</v>
      </c>
      <c r="AE202" s="1516">
        <v>67732</v>
      </c>
      <c r="AF202" s="1517">
        <v>687362</v>
      </c>
      <c r="AG202" s="1516">
        <v>78552</v>
      </c>
      <c r="AH202" s="1516">
        <v>785526</v>
      </c>
      <c r="AI202" s="1516">
        <v>84696</v>
      </c>
      <c r="AJ202" s="1516">
        <v>846971</v>
      </c>
      <c r="AK202" s="1516">
        <v>79048</v>
      </c>
      <c r="AL202" s="1516">
        <v>790479</v>
      </c>
      <c r="AM202" s="1525">
        <v>84582</v>
      </c>
      <c r="AN202" s="1525">
        <v>845819</v>
      </c>
      <c r="AO202" s="1516">
        <v>91821</v>
      </c>
      <c r="AP202" s="1516">
        <v>918215</v>
      </c>
      <c r="AQ202" s="1516">
        <v>92739</v>
      </c>
      <c r="AR202" s="1516">
        <v>927387</v>
      </c>
      <c r="AS202" s="1516">
        <v>92148.99</v>
      </c>
      <c r="AT202" s="1516">
        <v>921493</v>
      </c>
      <c r="AU202" s="1517">
        <v>98162</v>
      </c>
      <c r="AV202" s="1517">
        <v>981620</v>
      </c>
      <c r="AW202" s="1517">
        <v>99232</v>
      </c>
      <c r="AX202" s="1517">
        <v>992320</v>
      </c>
      <c r="AY202" s="1512">
        <v>96431</v>
      </c>
      <c r="AZ202" s="1512">
        <v>964298</v>
      </c>
      <c r="BA202" s="1486"/>
      <c r="BB202" s="1512"/>
      <c r="BC202" s="1512"/>
      <c r="BD202" s="1512"/>
      <c r="BE202" s="1512"/>
      <c r="BF202" s="1531"/>
      <c r="BG202" s="1531"/>
      <c r="BH202" s="1531"/>
      <c r="BI202" s="1486"/>
      <c r="BJ202" s="1512">
        <f t="shared" si="79"/>
        <v>1183226.99</v>
      </c>
      <c r="BK202" s="1512">
        <f>D202+H202+J202+L202+N202+P202+R202+T202+V202+X202+Z202+AB202+AD202+AF202+AH202+AJ202+AL202+AN202+AP202+AR202+AT202+AV202+AX202+AZ202+BD202+BH202</f>
        <v>11907184</v>
      </c>
      <c r="BL202" s="172"/>
      <c r="BM202" s="231"/>
      <c r="BN202" s="231"/>
      <c r="BO202" s="231"/>
    </row>
    <row r="203" spans="1:1165">
      <c r="A203" s="1524" t="s">
        <v>419</v>
      </c>
      <c r="B203" s="1511" t="s">
        <v>87</v>
      </c>
      <c r="C203" s="1512">
        <v>0</v>
      </c>
      <c r="D203" s="1512">
        <v>0</v>
      </c>
      <c r="E203" s="1512">
        <v>0</v>
      </c>
      <c r="F203" s="1512">
        <v>0</v>
      </c>
      <c r="G203" s="1512">
        <v>0</v>
      </c>
      <c r="H203" s="1512">
        <v>0</v>
      </c>
      <c r="I203" s="1512">
        <v>0</v>
      </c>
      <c r="J203" s="1512">
        <v>0</v>
      </c>
      <c r="K203" s="1512">
        <v>292003</v>
      </c>
      <c r="L203" s="1512">
        <v>458499</v>
      </c>
      <c r="M203" s="1512">
        <v>352577</v>
      </c>
      <c r="N203" s="1512">
        <v>2251827</v>
      </c>
      <c r="O203" s="1512">
        <v>373117</v>
      </c>
      <c r="P203" s="1512">
        <v>791067</v>
      </c>
      <c r="Q203" s="1512">
        <v>390381</v>
      </c>
      <c r="R203" s="1512">
        <v>2308525</v>
      </c>
      <c r="S203" s="1512">
        <v>386048</v>
      </c>
      <c r="T203" s="1512">
        <v>2653305</v>
      </c>
      <c r="U203" s="1489">
        <v>348947</v>
      </c>
      <c r="V203" s="1489">
        <v>2682888</v>
      </c>
      <c r="W203" s="1489">
        <v>433749</v>
      </c>
      <c r="X203" s="1489">
        <v>3632098</v>
      </c>
      <c r="Y203" s="1512">
        <v>622557</v>
      </c>
      <c r="Z203" s="1512">
        <v>4889760</v>
      </c>
      <c r="AA203" s="1517">
        <v>669384</v>
      </c>
      <c r="AB203" s="1517">
        <v>6390188</v>
      </c>
      <c r="AC203" s="1512">
        <v>519642</v>
      </c>
      <c r="AD203" s="1512">
        <v>4973830</v>
      </c>
      <c r="AE203" s="1516">
        <v>459797</v>
      </c>
      <c r="AF203" s="1517">
        <v>4309802</v>
      </c>
      <c r="AG203" s="1516">
        <v>558699</v>
      </c>
      <c r="AH203" s="1516">
        <v>4979497</v>
      </c>
      <c r="AI203" s="1516">
        <v>525935</v>
      </c>
      <c r="AJ203" s="1516">
        <v>4761899</v>
      </c>
      <c r="AK203" s="1516">
        <v>642064</v>
      </c>
      <c r="AL203" s="1516">
        <v>6251040</v>
      </c>
      <c r="AM203" s="1525">
        <v>720155</v>
      </c>
      <c r="AN203" s="1525">
        <v>7199961</v>
      </c>
      <c r="AO203" s="1516">
        <v>654451</v>
      </c>
      <c r="AP203" s="1516">
        <v>6262395</v>
      </c>
      <c r="AQ203" s="1516">
        <v>475927.52</v>
      </c>
      <c r="AR203" s="1516">
        <v>5716921</v>
      </c>
      <c r="AS203" s="1516">
        <v>491046.34</v>
      </c>
      <c r="AT203" s="1516">
        <v>6156146</v>
      </c>
      <c r="AU203" s="1517">
        <v>509761</v>
      </c>
      <c r="AV203" s="1517">
        <v>6403228</v>
      </c>
      <c r="AW203" s="1517">
        <v>576223</v>
      </c>
      <c r="AX203" s="1517">
        <v>5904603</v>
      </c>
      <c r="AY203" s="1512">
        <v>617752</v>
      </c>
      <c r="AZ203" s="1512">
        <v>6791890</v>
      </c>
      <c r="BA203" s="1512"/>
      <c r="BB203" s="1512"/>
      <c r="BC203" s="1512"/>
      <c r="BD203" s="1512"/>
      <c r="BE203" s="1512"/>
      <c r="BF203" s="1531"/>
      <c r="BG203" s="1531"/>
      <c r="BH203" s="1531"/>
      <c r="BI203" s="1531"/>
      <c r="BJ203" s="1512">
        <f t="shared" si="79"/>
        <v>10620215.859999999</v>
      </c>
      <c r="BK203" s="1512">
        <f>D203+H203+J203+L203+N203+P203+R203+T203+V203+X203+Z203+AB203+AD203+AF203+AH203+AJ203+AL203+AN203+AP203+AR203+AT203+AV203+AX203+AZ203+BD203+BH203</f>
        <v>95769369</v>
      </c>
      <c r="BL203" s="172"/>
      <c r="BM203" s="231"/>
      <c r="BN203" s="231"/>
      <c r="BO203" s="231"/>
    </row>
    <row r="204" spans="1:1165">
      <c r="A204" s="1520" t="s">
        <v>277</v>
      </c>
      <c r="B204" s="1484"/>
      <c r="C204" s="1489"/>
      <c r="D204" s="1489">
        <f>SUM(D201:D203)</f>
        <v>1708076</v>
      </c>
      <c r="E204" s="1489"/>
      <c r="F204" s="1489">
        <f>SUM(F201:F203)</f>
        <v>39283</v>
      </c>
      <c r="G204" s="1489"/>
      <c r="H204" s="1489">
        <f>SUM(H201:H203)</f>
        <v>56343</v>
      </c>
      <c r="I204" s="1489"/>
      <c r="J204" s="1489">
        <f>SUM(J201:J203)</f>
        <v>115768</v>
      </c>
      <c r="K204" s="1489"/>
      <c r="L204" s="1489">
        <f>SUM(L202:L203)</f>
        <v>458499</v>
      </c>
      <c r="M204" s="1489"/>
      <c r="N204" s="1489">
        <f>SUM(N202:N203)</f>
        <v>2251827</v>
      </c>
      <c r="O204" s="1489"/>
      <c r="P204" s="1489">
        <f>SUM(P202:P203)</f>
        <v>791067</v>
      </c>
      <c r="Q204" s="1489"/>
      <c r="R204" s="1489">
        <f>SUM(R202:R203)</f>
        <v>2308525</v>
      </c>
      <c r="S204" s="1489"/>
      <c r="T204" s="1516">
        <f>SUM(T202:T203)</f>
        <v>2653305</v>
      </c>
      <c r="U204" s="1516"/>
      <c r="V204" s="1516">
        <f>SUM(V202:V203)</f>
        <v>2682888</v>
      </c>
      <c r="W204" s="1516"/>
      <c r="X204" s="1489">
        <f>SUM(X201:X203)</f>
        <v>3694065</v>
      </c>
      <c r="Y204" s="1512"/>
      <c r="Z204" s="1512">
        <f>SUM(Z201:Z203)</f>
        <v>5593713</v>
      </c>
      <c r="AA204" s="1516"/>
      <c r="AB204" s="1517">
        <f>SUM(AB202:AB203)</f>
        <v>7172205</v>
      </c>
      <c r="AC204" s="1489"/>
      <c r="AD204" s="1489">
        <f>SUM(AD201:AD203)</f>
        <v>5671587</v>
      </c>
      <c r="AE204" s="1517"/>
      <c r="AF204" s="1517">
        <f>SUM(AF201:AF203)</f>
        <v>4997164</v>
      </c>
      <c r="AG204" s="1516"/>
      <c r="AH204" s="1516">
        <f>SUM(AH201:AH203)</f>
        <v>5765023</v>
      </c>
      <c r="AI204" s="1516"/>
      <c r="AJ204" s="1516">
        <f>SUM(AJ201:AJ203)</f>
        <v>5608870</v>
      </c>
      <c r="AK204" s="1516"/>
      <c r="AL204" s="1516">
        <v>7041519</v>
      </c>
      <c r="AM204" s="1525"/>
      <c r="AN204" s="1525">
        <v>8045780</v>
      </c>
      <c r="AO204" s="1516"/>
      <c r="AP204" s="1516">
        <v>7180610</v>
      </c>
      <c r="AQ204" s="1516"/>
      <c r="AR204" s="1516">
        <v>6644308</v>
      </c>
      <c r="AS204" s="1516"/>
      <c r="AT204" s="1516">
        <f>SUM(AT201:AT203)</f>
        <v>7077639</v>
      </c>
      <c r="AU204" s="1516"/>
      <c r="AV204" s="1517">
        <f>SUM(AV201:AV203)</f>
        <v>7384848</v>
      </c>
      <c r="AW204" s="1517"/>
      <c r="AX204" s="1517">
        <f>SUM(AX201:AX203)</f>
        <v>6896923</v>
      </c>
      <c r="AY204" s="1512"/>
      <c r="AZ204" s="1512">
        <f>SUM(AZ201:AZ203)</f>
        <v>7756188</v>
      </c>
      <c r="BA204" s="1529"/>
      <c r="BB204" s="1512"/>
      <c r="BC204" s="1512"/>
      <c r="BD204" s="1512"/>
      <c r="BE204" s="1512"/>
      <c r="BF204" s="1531"/>
      <c r="BG204" s="1531"/>
      <c r="BH204" s="1531"/>
      <c r="BI204" s="1531"/>
      <c r="BJ204" s="1512"/>
      <c r="BK204" s="1512">
        <f>D204+H204+J204+L204+N204+P204+R204+T204+V204+X204+Z204+AB204+AD204+AF204+AH204+AJ204+AL204+AN204+AP204+AR204+AT204+AV204+AX204+AZ204+BD204+BH204</f>
        <v>109556740</v>
      </c>
      <c r="BL204" s="172"/>
      <c r="BN204" s="231"/>
    </row>
    <row r="205" spans="1:1165">
      <c r="A205" s="1515"/>
      <c r="B205" s="1484"/>
      <c r="C205" s="1489"/>
      <c r="D205" s="1489"/>
      <c r="E205" s="1489"/>
      <c r="F205" s="1489"/>
      <c r="G205" s="1489"/>
      <c r="H205" s="1489"/>
      <c r="I205" s="1489"/>
      <c r="J205" s="1489"/>
      <c r="K205" s="1489"/>
      <c r="L205" s="1489"/>
      <c r="M205" s="1489"/>
      <c r="N205" s="1489"/>
      <c r="O205" s="1489"/>
      <c r="P205" s="1489"/>
      <c r="Q205" s="1489"/>
      <c r="R205" s="1489"/>
      <c r="S205" s="1489"/>
      <c r="T205" s="1489"/>
      <c r="U205" s="1513"/>
      <c r="V205" s="1513"/>
      <c r="W205" s="1516"/>
      <c r="X205" s="1489"/>
      <c r="Y205" s="1489"/>
      <c r="Z205" s="1489"/>
      <c r="AA205" s="1516"/>
      <c r="AB205" s="1517"/>
      <c r="AC205" s="1489"/>
      <c r="AD205" s="1489"/>
      <c r="AE205" s="1517"/>
      <c r="AF205" s="1517"/>
      <c r="AG205" s="1516"/>
      <c r="AH205" s="1516"/>
      <c r="AI205" s="1516"/>
      <c r="AJ205" s="1516"/>
      <c r="AK205" s="1516"/>
      <c r="AL205" s="1516"/>
      <c r="AM205" s="1516"/>
      <c r="AN205" s="1516"/>
      <c r="AO205" s="1516"/>
      <c r="AP205" s="1516"/>
      <c r="AQ205" s="1516"/>
      <c r="AR205" s="1516"/>
      <c r="AS205" s="1516"/>
      <c r="AT205" s="1516"/>
      <c r="AU205" s="1516"/>
      <c r="AV205" s="1517"/>
      <c r="AW205" s="1485"/>
      <c r="AX205" s="1485"/>
      <c r="AY205" s="1518"/>
      <c r="AZ205" s="1518"/>
      <c r="BA205" s="1486"/>
      <c r="BB205" s="1512"/>
      <c r="BC205" s="1512"/>
      <c r="BD205" s="1512"/>
      <c r="BE205" s="1512"/>
      <c r="BF205" s="1512"/>
      <c r="BG205" s="1512"/>
      <c r="BH205" s="1512"/>
      <c r="BI205" s="1486"/>
      <c r="BJ205" s="1512"/>
      <c r="BK205" s="1512"/>
      <c r="BL205" s="172"/>
      <c r="BN205" s="231"/>
      <c r="BO205" s="231"/>
    </row>
    <row r="206" spans="1:1165" s="257" customFormat="1">
      <c r="A206" s="194" t="s">
        <v>278</v>
      </c>
      <c r="B206" s="195" t="s">
        <v>160</v>
      </c>
      <c r="C206" s="258">
        <v>433365</v>
      </c>
      <c r="D206" s="258">
        <v>10842404</v>
      </c>
      <c r="E206" s="258">
        <v>2050</v>
      </c>
      <c r="F206" s="258">
        <v>895251</v>
      </c>
      <c r="G206" s="258">
        <v>10627</v>
      </c>
      <c r="H206" s="258">
        <v>3082411</v>
      </c>
      <c r="I206" s="258">
        <v>50307</v>
      </c>
      <c r="J206" s="258">
        <v>10832182</v>
      </c>
      <c r="K206" s="258">
        <v>25596</v>
      </c>
      <c r="L206" s="258">
        <f>9719086+1229362+128779</f>
        <v>11077227</v>
      </c>
      <c r="M206" s="258">
        <v>38433</v>
      </c>
      <c r="N206" s="258">
        <v>11505377</v>
      </c>
      <c r="O206" s="258">
        <v>33610</v>
      </c>
      <c r="P206" s="258">
        <v>8781651</v>
      </c>
      <c r="Q206" s="258">
        <v>24883</v>
      </c>
      <c r="R206" s="258">
        <v>5863597</v>
      </c>
      <c r="S206" s="258">
        <v>11353</v>
      </c>
      <c r="T206" s="258">
        <v>2282605</v>
      </c>
      <c r="U206" s="284">
        <v>20562</v>
      </c>
      <c r="V206" s="284">
        <v>3395589</v>
      </c>
      <c r="W206" s="284">
        <v>41377</v>
      </c>
      <c r="X206" s="284">
        <v>6058576</v>
      </c>
      <c r="Y206" s="284">
        <v>34216</v>
      </c>
      <c r="Z206" s="284">
        <v>5621348</v>
      </c>
      <c r="AA206" s="302">
        <v>39306</v>
      </c>
      <c r="AB206" s="302">
        <v>5956148</v>
      </c>
      <c r="AC206" s="284">
        <v>65929</v>
      </c>
      <c r="AD206" s="284">
        <v>10224887</v>
      </c>
      <c r="AE206" s="288">
        <v>78384</v>
      </c>
      <c r="AF206" s="288">
        <v>14966683</v>
      </c>
      <c r="AG206" s="288">
        <v>58799</v>
      </c>
      <c r="AH206" s="288">
        <v>12447668</v>
      </c>
      <c r="AI206" s="288">
        <v>53430</v>
      </c>
      <c r="AJ206" s="288">
        <v>11710132</v>
      </c>
      <c r="AK206" s="288">
        <v>47816.605000000003</v>
      </c>
      <c r="AL206" s="288">
        <v>8892075.1063857302</v>
      </c>
      <c r="AM206" s="261">
        <v>51252.346264852677</v>
      </c>
      <c r="AN206" s="261">
        <v>9546961.7937958632</v>
      </c>
      <c r="AO206" s="288">
        <v>52858</v>
      </c>
      <c r="AP206" s="288">
        <v>12932735</v>
      </c>
      <c r="AQ206" s="288">
        <v>81852.687015316362</v>
      </c>
      <c r="AR206" s="288">
        <v>18771360.203317329</v>
      </c>
      <c r="AS206" s="288">
        <v>157638.61775363513</v>
      </c>
      <c r="AT206" s="288">
        <v>37362914.579999998</v>
      </c>
      <c r="AU206" s="302">
        <v>122780</v>
      </c>
      <c r="AV206" s="302">
        <v>30716237</v>
      </c>
      <c r="AW206" s="258">
        <v>98895.679884684447</v>
      </c>
      <c r="AX206" s="258">
        <v>24917841</v>
      </c>
      <c r="AY206" s="258">
        <v>68576</v>
      </c>
      <c r="AZ206" s="258">
        <v>16320099</v>
      </c>
      <c r="BA206" s="263"/>
      <c r="BB206" s="258"/>
      <c r="BC206" s="263"/>
      <c r="BD206" s="258"/>
      <c r="BE206" s="263"/>
      <c r="BF206" s="258"/>
      <c r="BG206" s="263"/>
      <c r="BH206" s="258"/>
      <c r="BI206" s="263"/>
      <c r="BJ206" s="266">
        <f>C206+G206+I206+K206+M206+O206+Q206+S206+U206+W206+Y206+AA206+AC206+AE206+AG206+AI206+AK206+AM206+AO206+AQ206+AS206+AU206+AW206+AY206+BB206+BF206</f>
        <v>1701846.9359184888</v>
      </c>
      <c r="BK206" s="250">
        <f>D206+H206+J206+L206+N206+P206+R206+T206+V206+X206+Z206+AB206+AD206+AF206+AH206+AJ206+AL206+AN206+AP206+AR206+AT206+AV206+AX206+AZ206+BD206+BH206</f>
        <v>294108708.68349892</v>
      </c>
      <c r="BL206" s="172"/>
      <c r="BM206" s="172"/>
      <c r="BN206" s="231"/>
      <c r="BO206" s="172"/>
      <c r="BP206" s="172"/>
      <c r="BQ206" s="172"/>
      <c r="BR206" s="172"/>
      <c r="BS206" s="172"/>
      <c r="BT206" s="172"/>
      <c r="BU206" s="172"/>
      <c r="BV206" s="172"/>
      <c r="BW206" s="172"/>
      <c r="BX206" s="172"/>
      <c r="BY206" s="172"/>
      <c r="BZ206" s="172"/>
      <c r="CA206" s="172"/>
      <c r="CB206" s="172"/>
      <c r="CC206" s="172"/>
      <c r="CD206" s="172"/>
      <c r="CE206" s="172"/>
      <c r="CF206" s="172"/>
      <c r="CG206" s="172"/>
      <c r="CH206" s="172"/>
      <c r="CI206" s="172"/>
      <c r="CJ206" s="172"/>
      <c r="CK206" s="172"/>
      <c r="CL206" s="172"/>
      <c r="CM206" s="172"/>
      <c r="CN206" s="172"/>
      <c r="CO206" s="172"/>
      <c r="CP206" s="172"/>
      <c r="CQ206" s="172"/>
      <c r="CR206" s="172"/>
      <c r="CS206" s="172"/>
      <c r="CT206" s="172"/>
      <c r="CU206" s="172"/>
      <c r="CV206" s="172"/>
      <c r="CW206" s="172"/>
      <c r="CX206" s="172"/>
      <c r="CY206" s="172"/>
      <c r="CZ206" s="172"/>
      <c r="DA206" s="172"/>
      <c r="DB206" s="172"/>
      <c r="DC206" s="172"/>
      <c r="DD206" s="172"/>
      <c r="DE206" s="172"/>
      <c r="DF206" s="172"/>
      <c r="DG206" s="172"/>
      <c r="DH206" s="172"/>
      <c r="DI206" s="172"/>
      <c r="DJ206" s="172"/>
      <c r="DK206" s="172"/>
      <c r="DL206" s="172"/>
      <c r="DM206" s="172"/>
      <c r="DN206" s="172"/>
      <c r="DO206" s="172"/>
      <c r="DP206" s="172"/>
      <c r="DQ206" s="172"/>
      <c r="DR206" s="172"/>
      <c r="DS206" s="172"/>
      <c r="DT206" s="172"/>
      <c r="DU206" s="172"/>
      <c r="DV206" s="172"/>
      <c r="DW206" s="172"/>
      <c r="DX206" s="172"/>
      <c r="DY206" s="172"/>
      <c r="DZ206" s="172"/>
      <c r="EA206" s="172"/>
      <c r="EB206" s="172"/>
      <c r="EC206" s="172"/>
      <c r="ED206" s="172"/>
      <c r="EE206" s="172"/>
      <c r="EF206" s="172"/>
      <c r="EG206" s="172"/>
      <c r="EH206" s="172"/>
      <c r="EI206" s="172"/>
      <c r="EJ206" s="172"/>
      <c r="EK206" s="172"/>
      <c r="EL206" s="172"/>
      <c r="EM206" s="172"/>
      <c r="EN206" s="172"/>
      <c r="EO206" s="172"/>
      <c r="EP206" s="172"/>
      <c r="EQ206" s="172"/>
      <c r="ER206" s="172"/>
      <c r="ES206" s="172"/>
      <c r="ET206" s="172"/>
      <c r="EU206" s="172"/>
      <c r="EV206" s="172"/>
      <c r="EW206" s="172"/>
      <c r="EX206" s="172"/>
      <c r="EY206" s="172"/>
      <c r="EZ206" s="172"/>
      <c r="FA206" s="172"/>
      <c r="FB206" s="172"/>
      <c r="FC206" s="172"/>
      <c r="FD206" s="172"/>
      <c r="FE206" s="172"/>
      <c r="FF206" s="172"/>
      <c r="FG206" s="172"/>
      <c r="FH206" s="172"/>
      <c r="FI206" s="172"/>
      <c r="FJ206" s="172"/>
      <c r="FK206" s="172"/>
      <c r="FL206" s="172"/>
      <c r="FM206" s="172"/>
      <c r="FN206" s="172"/>
      <c r="FO206" s="172"/>
      <c r="FP206" s="172"/>
      <c r="FQ206" s="172"/>
      <c r="FR206" s="172"/>
      <c r="FS206" s="172"/>
      <c r="FT206" s="172"/>
      <c r="FU206" s="172"/>
      <c r="FV206" s="172"/>
      <c r="FW206" s="172"/>
      <c r="FX206" s="172"/>
      <c r="FY206" s="172"/>
      <c r="FZ206" s="172"/>
      <c r="GA206" s="172"/>
      <c r="GB206" s="172"/>
      <c r="GC206" s="172"/>
      <c r="GD206" s="172"/>
      <c r="GE206" s="172"/>
      <c r="GF206" s="172"/>
      <c r="GG206" s="172"/>
      <c r="GH206" s="172"/>
      <c r="GI206" s="172"/>
      <c r="GJ206" s="172"/>
      <c r="GK206" s="172"/>
      <c r="GL206" s="172"/>
      <c r="GM206" s="172"/>
      <c r="GN206" s="172"/>
      <c r="GO206" s="172"/>
      <c r="GP206" s="172"/>
      <c r="GQ206" s="172"/>
      <c r="GR206" s="172"/>
      <c r="GS206" s="172"/>
      <c r="GT206" s="172"/>
      <c r="GU206" s="172"/>
      <c r="GV206" s="172"/>
      <c r="GW206" s="172"/>
      <c r="GX206" s="172"/>
      <c r="GY206" s="172"/>
      <c r="GZ206" s="172"/>
      <c r="HA206" s="172"/>
      <c r="HB206" s="172"/>
      <c r="HC206" s="172"/>
      <c r="HD206" s="172"/>
      <c r="HE206" s="172"/>
      <c r="HF206" s="172"/>
      <c r="HG206" s="172"/>
      <c r="HH206" s="172"/>
      <c r="HI206" s="172"/>
      <c r="HJ206" s="172"/>
      <c r="HK206" s="172"/>
      <c r="HL206" s="172"/>
      <c r="HM206" s="172"/>
      <c r="HN206" s="172"/>
      <c r="HO206" s="172"/>
      <c r="HP206" s="172"/>
      <c r="HQ206" s="172"/>
      <c r="HR206" s="172"/>
      <c r="HS206" s="172"/>
      <c r="HT206" s="172"/>
      <c r="HU206" s="172"/>
      <c r="HV206" s="172"/>
      <c r="HW206" s="172"/>
      <c r="HX206" s="172"/>
      <c r="HY206" s="172"/>
      <c r="HZ206" s="172"/>
      <c r="IA206" s="172"/>
      <c r="IB206" s="172"/>
      <c r="IC206" s="172"/>
      <c r="ID206" s="172"/>
      <c r="IE206" s="172"/>
      <c r="IF206" s="172"/>
      <c r="IG206" s="172"/>
      <c r="IH206" s="172"/>
      <c r="II206" s="172"/>
      <c r="IJ206" s="172"/>
      <c r="IK206" s="172"/>
      <c r="IL206" s="172"/>
      <c r="IM206" s="172"/>
      <c r="IN206" s="172"/>
      <c r="IO206" s="172"/>
      <c r="IP206" s="172"/>
      <c r="IQ206" s="172"/>
      <c r="IR206" s="172"/>
      <c r="IS206" s="172"/>
      <c r="IT206" s="172"/>
      <c r="IU206" s="172"/>
      <c r="IV206" s="172"/>
      <c r="IW206" s="172"/>
      <c r="IX206" s="172"/>
      <c r="IY206" s="172"/>
      <c r="IZ206" s="172"/>
      <c r="JA206" s="172"/>
      <c r="JB206" s="172"/>
      <c r="JC206" s="172"/>
      <c r="JD206" s="172"/>
      <c r="JE206" s="172"/>
      <c r="JF206" s="172"/>
      <c r="JG206" s="172"/>
      <c r="JH206" s="172"/>
      <c r="JI206" s="172"/>
      <c r="JJ206" s="172"/>
      <c r="JK206" s="172"/>
      <c r="JL206" s="172"/>
      <c r="JM206" s="172"/>
      <c r="JN206" s="172"/>
      <c r="JO206" s="172"/>
      <c r="JP206" s="172"/>
      <c r="JQ206" s="172"/>
      <c r="JR206" s="172"/>
      <c r="JS206" s="172"/>
      <c r="JT206" s="172"/>
      <c r="JU206" s="172"/>
      <c r="JV206" s="172"/>
      <c r="JW206" s="172"/>
      <c r="JX206" s="172"/>
      <c r="JY206" s="172"/>
      <c r="JZ206" s="172"/>
      <c r="KA206" s="172"/>
      <c r="KB206" s="172"/>
      <c r="KC206" s="172"/>
      <c r="KD206" s="172"/>
      <c r="KE206" s="172"/>
      <c r="KF206" s="172"/>
      <c r="KG206" s="172"/>
      <c r="KH206" s="172"/>
      <c r="KI206" s="172"/>
      <c r="KJ206" s="172"/>
      <c r="KK206" s="172"/>
      <c r="KL206" s="172"/>
      <c r="KM206" s="172"/>
      <c r="KN206" s="172"/>
      <c r="KO206" s="172"/>
      <c r="KP206" s="172"/>
      <c r="KQ206" s="172"/>
      <c r="KR206" s="172"/>
      <c r="KS206" s="172"/>
      <c r="KT206" s="172"/>
      <c r="KU206" s="172"/>
      <c r="KV206" s="172"/>
      <c r="KW206" s="172"/>
      <c r="KX206" s="172"/>
      <c r="KY206" s="172"/>
      <c r="KZ206" s="172"/>
      <c r="LA206" s="172"/>
      <c r="LB206" s="172"/>
      <c r="LC206" s="172"/>
      <c r="LD206" s="172"/>
      <c r="LE206" s="172"/>
      <c r="LF206" s="172"/>
      <c r="LG206" s="172"/>
      <c r="LH206" s="172"/>
      <c r="LI206" s="172"/>
      <c r="LJ206" s="172"/>
      <c r="LK206" s="172"/>
      <c r="LL206" s="172"/>
      <c r="LM206" s="172"/>
      <c r="LN206" s="172"/>
      <c r="LO206" s="172"/>
      <c r="LP206" s="172"/>
      <c r="LQ206" s="172"/>
      <c r="LR206" s="172"/>
      <c r="LS206" s="172"/>
      <c r="LT206" s="172"/>
      <c r="LU206" s="172"/>
      <c r="LV206" s="172"/>
      <c r="LW206" s="172"/>
      <c r="LX206" s="172"/>
      <c r="LY206" s="172"/>
      <c r="LZ206" s="172"/>
      <c r="MA206" s="172"/>
      <c r="MB206" s="172"/>
      <c r="MC206" s="172"/>
      <c r="MD206" s="172"/>
      <c r="ME206" s="172"/>
      <c r="MF206" s="172"/>
      <c r="MG206" s="172"/>
      <c r="MH206" s="172"/>
      <c r="MI206" s="172"/>
      <c r="MJ206" s="172"/>
      <c r="MK206" s="172"/>
      <c r="ML206" s="172"/>
      <c r="MM206" s="172"/>
      <c r="MN206" s="172"/>
      <c r="MO206" s="172"/>
      <c r="MP206" s="172"/>
      <c r="MQ206" s="172"/>
      <c r="MR206" s="172"/>
      <c r="MS206" s="172"/>
      <c r="MT206" s="172"/>
      <c r="MU206" s="172"/>
      <c r="MV206" s="172"/>
      <c r="MW206" s="172"/>
      <c r="MX206" s="172"/>
      <c r="MY206" s="172"/>
      <c r="MZ206" s="172"/>
      <c r="NA206" s="172"/>
      <c r="NB206" s="172"/>
      <c r="NC206" s="172"/>
      <c r="ND206" s="172"/>
      <c r="NE206" s="172"/>
      <c r="NF206" s="172"/>
      <c r="NG206" s="172"/>
      <c r="NH206" s="172"/>
      <c r="NI206" s="172"/>
      <c r="NJ206" s="172"/>
      <c r="NK206" s="172"/>
      <c r="NL206" s="172"/>
      <c r="NM206" s="172"/>
      <c r="NN206" s="172"/>
      <c r="NO206" s="172"/>
      <c r="NP206" s="172"/>
      <c r="NQ206" s="172"/>
      <c r="NR206" s="172"/>
      <c r="NS206" s="172"/>
      <c r="NT206" s="172"/>
      <c r="NU206" s="172"/>
      <c r="NV206" s="172"/>
      <c r="NW206" s="172"/>
      <c r="NX206" s="172"/>
      <c r="NY206" s="172"/>
      <c r="NZ206" s="172"/>
      <c r="OA206" s="172"/>
      <c r="OB206" s="172"/>
      <c r="OC206" s="172"/>
      <c r="OD206" s="172"/>
      <c r="OE206" s="172"/>
      <c r="OF206" s="172"/>
      <c r="OG206" s="172"/>
      <c r="OH206" s="172"/>
      <c r="OI206" s="172"/>
      <c r="OJ206" s="172"/>
      <c r="OK206" s="172"/>
      <c r="OL206" s="172"/>
      <c r="OM206" s="172"/>
      <c r="ON206" s="172"/>
      <c r="OO206" s="172"/>
      <c r="OP206" s="172"/>
      <c r="OQ206" s="172"/>
      <c r="OR206" s="172"/>
      <c r="OS206" s="172"/>
      <c r="OT206" s="172"/>
      <c r="OU206" s="172"/>
      <c r="OV206" s="172"/>
      <c r="OW206" s="172"/>
      <c r="OX206" s="172"/>
      <c r="OY206" s="172"/>
      <c r="OZ206" s="172"/>
      <c r="PA206" s="172"/>
      <c r="PB206" s="172"/>
      <c r="PC206" s="172"/>
      <c r="PD206" s="172"/>
      <c r="PE206" s="172"/>
      <c r="PF206" s="172"/>
      <c r="PG206" s="172"/>
      <c r="PH206" s="172"/>
      <c r="PI206" s="172"/>
      <c r="PJ206" s="172"/>
      <c r="PK206" s="172"/>
      <c r="PL206" s="172"/>
      <c r="PM206" s="172"/>
      <c r="PN206" s="172"/>
      <c r="PO206" s="172"/>
      <c r="PP206" s="172"/>
      <c r="PQ206" s="172"/>
      <c r="PR206" s="172"/>
      <c r="PS206" s="172"/>
      <c r="PT206" s="172"/>
      <c r="PU206" s="172"/>
      <c r="PV206" s="172"/>
      <c r="PW206" s="172"/>
      <c r="PX206" s="172"/>
      <c r="PY206" s="172"/>
      <c r="PZ206" s="172"/>
      <c r="QA206" s="172"/>
      <c r="QB206" s="172"/>
      <c r="QC206" s="172"/>
      <c r="QD206" s="172"/>
      <c r="QE206" s="172"/>
      <c r="QF206" s="172"/>
      <c r="QG206" s="172"/>
      <c r="QH206" s="172"/>
      <c r="QI206" s="172"/>
      <c r="QJ206" s="172"/>
      <c r="QK206" s="172"/>
      <c r="QL206" s="172"/>
      <c r="QM206" s="172"/>
      <c r="QN206" s="172"/>
      <c r="QO206" s="172"/>
      <c r="QP206" s="172"/>
      <c r="QQ206" s="172"/>
      <c r="QR206" s="172"/>
      <c r="QS206" s="172"/>
      <c r="QT206" s="172"/>
      <c r="QU206" s="172"/>
      <c r="QV206" s="172"/>
      <c r="QW206" s="172"/>
      <c r="QX206" s="172"/>
      <c r="QY206" s="172"/>
      <c r="QZ206" s="172"/>
      <c r="RA206" s="172"/>
      <c r="RB206" s="172"/>
      <c r="RC206" s="172"/>
      <c r="RD206" s="172"/>
      <c r="RE206" s="172"/>
      <c r="RF206" s="172"/>
      <c r="RG206" s="172"/>
      <c r="RH206" s="172"/>
      <c r="RI206" s="172"/>
      <c r="RJ206" s="172"/>
      <c r="RK206" s="172"/>
      <c r="RL206" s="172"/>
      <c r="RM206" s="172"/>
      <c r="RN206" s="172"/>
      <c r="RO206" s="172"/>
      <c r="RP206" s="172"/>
      <c r="RQ206" s="172"/>
      <c r="RR206" s="172"/>
      <c r="RS206" s="172"/>
      <c r="RT206" s="172"/>
      <c r="RU206" s="172"/>
      <c r="RV206" s="172"/>
      <c r="RW206" s="172"/>
      <c r="RX206" s="172"/>
      <c r="RY206" s="172"/>
      <c r="RZ206" s="172"/>
      <c r="SA206" s="172"/>
      <c r="SB206" s="172"/>
      <c r="SC206" s="172"/>
      <c r="SD206" s="172"/>
      <c r="SE206" s="172"/>
      <c r="SF206" s="172"/>
      <c r="SG206" s="172"/>
      <c r="SH206" s="172"/>
      <c r="SI206" s="172"/>
      <c r="SJ206" s="172"/>
      <c r="SK206" s="172"/>
      <c r="SL206" s="172"/>
      <c r="SM206" s="172"/>
      <c r="SN206" s="172"/>
      <c r="SO206" s="172"/>
      <c r="SP206" s="172"/>
      <c r="SQ206" s="172"/>
      <c r="SR206" s="172"/>
      <c r="SS206" s="172"/>
      <c r="ST206" s="172"/>
      <c r="SU206" s="172"/>
      <c r="SV206" s="172"/>
      <c r="SW206" s="172"/>
      <c r="SX206" s="172"/>
      <c r="SY206" s="172"/>
      <c r="SZ206" s="172"/>
      <c r="TA206" s="172"/>
      <c r="TB206" s="172"/>
      <c r="TC206" s="172"/>
      <c r="TD206" s="172"/>
      <c r="TE206" s="172"/>
      <c r="TF206" s="172"/>
      <c r="TG206" s="172"/>
      <c r="TH206" s="172"/>
      <c r="TI206" s="172"/>
      <c r="TJ206" s="172"/>
      <c r="TK206" s="172"/>
      <c r="TL206" s="172"/>
      <c r="TM206" s="172"/>
      <c r="TN206" s="172"/>
      <c r="TO206" s="172"/>
      <c r="TP206" s="172"/>
      <c r="TQ206" s="172"/>
      <c r="TR206" s="172"/>
      <c r="TS206" s="172"/>
      <c r="TT206" s="172"/>
      <c r="TU206" s="172"/>
      <c r="TV206" s="172"/>
      <c r="TW206" s="172"/>
      <c r="TX206" s="172"/>
      <c r="TY206" s="172"/>
      <c r="TZ206" s="172"/>
      <c r="UA206" s="172"/>
      <c r="UB206" s="172"/>
      <c r="UC206" s="172"/>
      <c r="UD206" s="172"/>
      <c r="UE206" s="172"/>
      <c r="UF206" s="172"/>
      <c r="UG206" s="172"/>
      <c r="UH206" s="172"/>
      <c r="UI206" s="172"/>
      <c r="UJ206" s="172"/>
      <c r="UK206" s="172"/>
      <c r="UL206" s="172"/>
      <c r="UM206" s="172"/>
      <c r="UN206" s="172"/>
      <c r="UO206" s="172"/>
      <c r="UP206" s="172"/>
      <c r="UQ206" s="172"/>
      <c r="UR206" s="172"/>
      <c r="US206" s="172"/>
      <c r="UT206" s="172"/>
      <c r="UU206" s="172"/>
      <c r="UV206" s="172"/>
      <c r="UW206" s="172"/>
      <c r="UX206" s="172"/>
      <c r="UY206" s="172"/>
      <c r="UZ206" s="172"/>
      <c r="VA206" s="172"/>
      <c r="VB206" s="172"/>
      <c r="VC206" s="172"/>
      <c r="VD206" s="172"/>
      <c r="VE206" s="172"/>
      <c r="VF206" s="172"/>
      <c r="VG206" s="172"/>
      <c r="VH206" s="172"/>
      <c r="VI206" s="172"/>
      <c r="VJ206" s="172"/>
      <c r="VK206" s="172"/>
      <c r="VL206" s="172"/>
      <c r="VM206" s="172"/>
      <c r="VN206" s="172"/>
      <c r="VO206" s="172"/>
      <c r="VP206" s="172"/>
      <c r="VQ206" s="172"/>
      <c r="VR206" s="172"/>
      <c r="VS206" s="172"/>
      <c r="VT206" s="172"/>
      <c r="VU206" s="172"/>
      <c r="VV206" s="172"/>
      <c r="VW206" s="172"/>
      <c r="VX206" s="172"/>
      <c r="VY206" s="172"/>
      <c r="VZ206" s="172"/>
      <c r="WA206" s="172"/>
      <c r="WB206" s="172"/>
      <c r="WC206" s="172"/>
      <c r="WD206" s="172"/>
      <c r="WE206" s="172"/>
      <c r="WF206" s="172"/>
      <c r="WG206" s="172"/>
      <c r="WH206" s="172"/>
      <c r="WI206" s="172"/>
      <c r="WJ206" s="172"/>
      <c r="WK206" s="172"/>
      <c r="WL206" s="172"/>
      <c r="WM206" s="172"/>
      <c r="WN206" s="172"/>
      <c r="WO206" s="172"/>
      <c r="WP206" s="172"/>
      <c r="WQ206" s="172"/>
      <c r="WR206" s="172"/>
      <c r="WS206" s="172"/>
      <c r="WT206" s="172"/>
      <c r="WU206" s="172"/>
      <c r="WV206" s="172"/>
      <c r="WW206" s="172"/>
      <c r="WX206" s="172"/>
      <c r="WY206" s="172"/>
      <c r="WZ206" s="172"/>
      <c r="XA206" s="172"/>
      <c r="XB206" s="172"/>
      <c r="XC206" s="172"/>
      <c r="XD206" s="172"/>
      <c r="XE206" s="172"/>
      <c r="XF206" s="172"/>
      <c r="XG206" s="172"/>
      <c r="XH206" s="172"/>
      <c r="XI206" s="172"/>
      <c r="XJ206" s="172"/>
      <c r="XK206" s="172"/>
      <c r="XL206" s="172"/>
      <c r="XM206" s="172"/>
      <c r="XN206" s="172"/>
      <c r="XO206" s="172"/>
      <c r="XP206" s="172"/>
      <c r="XQ206" s="172"/>
      <c r="XR206" s="172"/>
      <c r="XS206" s="172"/>
      <c r="XT206" s="172"/>
      <c r="XU206" s="172"/>
      <c r="XV206" s="172"/>
      <c r="XW206" s="172"/>
      <c r="XX206" s="172"/>
      <c r="XY206" s="172"/>
      <c r="XZ206" s="172"/>
      <c r="YA206" s="172"/>
      <c r="YB206" s="172"/>
      <c r="YC206" s="172"/>
      <c r="YD206" s="172"/>
      <c r="YE206" s="172"/>
      <c r="YF206" s="172"/>
      <c r="YG206" s="172"/>
      <c r="YH206" s="172"/>
      <c r="YI206" s="172"/>
      <c r="YJ206" s="172"/>
      <c r="YK206" s="172"/>
      <c r="YL206" s="172"/>
      <c r="YM206" s="172"/>
      <c r="YN206" s="172"/>
      <c r="YO206" s="172"/>
      <c r="YP206" s="172"/>
      <c r="YQ206" s="172"/>
      <c r="YR206" s="172"/>
      <c r="YS206" s="172"/>
      <c r="YT206" s="172"/>
      <c r="YU206" s="172"/>
      <c r="YV206" s="172"/>
      <c r="YW206" s="172"/>
      <c r="YX206" s="172"/>
      <c r="YY206" s="172"/>
      <c r="YZ206" s="172"/>
      <c r="ZA206" s="172"/>
      <c r="ZB206" s="172"/>
      <c r="ZC206" s="172"/>
      <c r="ZD206" s="172"/>
      <c r="ZE206" s="172"/>
      <c r="ZF206" s="172"/>
      <c r="ZG206" s="172"/>
      <c r="ZH206" s="172"/>
      <c r="ZI206" s="172"/>
      <c r="ZJ206" s="172"/>
      <c r="ZK206" s="172"/>
      <c r="ZL206" s="172"/>
      <c r="ZM206" s="172"/>
      <c r="ZN206" s="172"/>
      <c r="ZO206" s="172"/>
      <c r="ZP206" s="172"/>
      <c r="ZQ206" s="172"/>
      <c r="ZR206" s="172"/>
      <c r="ZS206" s="172"/>
      <c r="ZT206" s="172"/>
      <c r="ZU206" s="172"/>
      <c r="ZV206" s="172"/>
      <c r="ZW206" s="172"/>
      <c r="ZX206" s="172"/>
      <c r="ZY206" s="172"/>
      <c r="ZZ206" s="172"/>
      <c r="AAA206" s="172"/>
      <c r="AAB206" s="172"/>
      <c r="AAC206" s="172"/>
      <c r="AAD206" s="172"/>
      <c r="AAE206" s="172"/>
      <c r="AAF206" s="172"/>
      <c r="AAG206" s="172"/>
      <c r="AAH206" s="172"/>
      <c r="AAI206" s="172"/>
      <c r="AAJ206" s="172"/>
      <c r="AAK206" s="172"/>
      <c r="AAL206" s="172"/>
      <c r="AAM206" s="172"/>
      <c r="AAN206" s="172"/>
      <c r="AAO206" s="172"/>
      <c r="AAP206" s="172"/>
      <c r="AAQ206" s="172"/>
      <c r="AAR206" s="172"/>
      <c r="AAS206" s="172"/>
      <c r="AAT206" s="172"/>
      <c r="AAU206" s="172"/>
      <c r="AAV206" s="172"/>
      <c r="AAW206" s="172"/>
      <c r="AAX206" s="172"/>
      <c r="AAY206" s="172"/>
      <c r="AAZ206" s="172"/>
      <c r="ABA206" s="172"/>
      <c r="ABB206" s="172"/>
      <c r="ABC206" s="172"/>
      <c r="ABD206" s="172"/>
      <c r="ABE206" s="172"/>
      <c r="ABF206" s="172"/>
      <c r="ABG206" s="172"/>
      <c r="ABH206" s="172"/>
      <c r="ABI206" s="172"/>
      <c r="ABJ206" s="172"/>
      <c r="ABK206" s="172"/>
      <c r="ABL206" s="172"/>
      <c r="ABM206" s="172"/>
      <c r="ABN206" s="172"/>
      <c r="ABO206" s="172"/>
      <c r="ABP206" s="172"/>
      <c r="ABQ206" s="172"/>
      <c r="ABR206" s="172"/>
      <c r="ABS206" s="172"/>
      <c r="ABT206" s="172"/>
      <c r="ABU206" s="172"/>
      <c r="ABV206" s="172"/>
      <c r="ABW206" s="172"/>
      <c r="ABX206" s="172"/>
      <c r="ABY206" s="172"/>
      <c r="ABZ206" s="172"/>
      <c r="ACA206" s="172"/>
      <c r="ACB206" s="172"/>
      <c r="ACC206" s="172"/>
      <c r="ACD206" s="172"/>
      <c r="ACE206" s="172"/>
      <c r="ACF206" s="172"/>
      <c r="ACG206" s="172"/>
      <c r="ACH206" s="172"/>
      <c r="ACI206" s="172"/>
      <c r="ACJ206" s="172"/>
      <c r="ACK206" s="172"/>
      <c r="ACL206" s="172"/>
      <c r="ACM206" s="172"/>
      <c r="ACN206" s="172"/>
      <c r="ACO206" s="172"/>
      <c r="ACP206" s="172"/>
      <c r="ACQ206" s="172"/>
      <c r="ACR206" s="172"/>
      <c r="ACS206" s="172"/>
      <c r="ACT206" s="172"/>
      <c r="ACU206" s="172"/>
      <c r="ACV206" s="172"/>
      <c r="ACW206" s="172"/>
      <c r="ACX206" s="172"/>
      <c r="ACY206" s="172"/>
      <c r="ACZ206" s="172"/>
      <c r="ADA206" s="172"/>
      <c r="ADB206" s="172"/>
      <c r="ADC206" s="172"/>
      <c r="ADD206" s="172"/>
      <c r="ADE206" s="172"/>
      <c r="ADF206" s="172"/>
      <c r="ADG206" s="172"/>
      <c r="ADH206" s="172"/>
      <c r="ADI206" s="172"/>
      <c r="ADJ206" s="172"/>
      <c r="ADK206" s="172"/>
      <c r="ADL206" s="172"/>
      <c r="ADM206" s="172"/>
      <c r="ADN206" s="172"/>
      <c r="ADO206" s="172"/>
      <c r="ADP206" s="172"/>
      <c r="ADQ206" s="172"/>
      <c r="ADR206" s="172"/>
      <c r="ADS206" s="172"/>
      <c r="ADT206" s="172"/>
      <c r="ADU206" s="172"/>
      <c r="ADV206" s="172"/>
      <c r="ADW206" s="172"/>
      <c r="ADX206" s="172"/>
      <c r="ADY206" s="172"/>
      <c r="ADZ206" s="172"/>
      <c r="AEA206" s="172"/>
      <c r="AEB206" s="172"/>
      <c r="AEC206" s="172"/>
      <c r="AED206" s="172"/>
      <c r="AEE206" s="172"/>
      <c r="AEF206" s="172"/>
      <c r="AEG206" s="172"/>
      <c r="AEH206" s="172"/>
      <c r="AEI206" s="172"/>
      <c r="AEJ206" s="172"/>
      <c r="AEK206" s="172"/>
      <c r="AEL206" s="172"/>
      <c r="AEM206" s="172"/>
      <c r="AEN206" s="172"/>
      <c r="AEO206" s="172"/>
      <c r="AEP206" s="172"/>
      <c r="AEQ206" s="172"/>
      <c r="AER206" s="172"/>
      <c r="AES206" s="172"/>
      <c r="AET206" s="172"/>
      <c r="AEU206" s="172"/>
      <c r="AEV206" s="172"/>
      <c r="AEW206" s="172"/>
      <c r="AEX206" s="172"/>
      <c r="AEY206" s="172"/>
      <c r="AEZ206" s="172"/>
      <c r="AFA206" s="172"/>
      <c r="AFB206" s="172"/>
      <c r="AFC206" s="172"/>
      <c r="AFD206" s="172"/>
      <c r="AFE206" s="172"/>
      <c r="AFF206" s="172"/>
      <c r="AFG206" s="172"/>
      <c r="AFH206" s="172"/>
      <c r="AFI206" s="172"/>
      <c r="AFJ206" s="172"/>
      <c r="AFK206" s="172"/>
      <c r="AFL206" s="172"/>
      <c r="AFM206" s="172"/>
      <c r="AFN206" s="172"/>
      <c r="AFO206" s="172"/>
      <c r="AFP206" s="172"/>
      <c r="AFQ206" s="172"/>
      <c r="AFR206" s="172"/>
      <c r="AFS206" s="172"/>
      <c r="AFT206" s="172"/>
      <c r="AFU206" s="172"/>
      <c r="AFV206" s="172"/>
      <c r="AFW206" s="172"/>
      <c r="AFX206" s="172"/>
      <c r="AFY206" s="172"/>
      <c r="AFZ206" s="172"/>
      <c r="AGA206" s="172"/>
      <c r="AGB206" s="172"/>
      <c r="AGC206" s="172"/>
      <c r="AGD206" s="172"/>
      <c r="AGE206" s="172"/>
      <c r="AGF206" s="172"/>
      <c r="AGG206" s="172"/>
      <c r="AGH206" s="172"/>
      <c r="AGI206" s="172"/>
      <c r="AGJ206" s="172"/>
      <c r="AGK206" s="172"/>
      <c r="AGL206" s="172"/>
      <c r="AGM206" s="172"/>
      <c r="AGN206" s="172"/>
      <c r="AGO206" s="172"/>
      <c r="AGP206" s="172"/>
      <c r="AGQ206" s="172"/>
      <c r="AGR206" s="172"/>
      <c r="AGS206" s="172"/>
      <c r="AGT206" s="172"/>
      <c r="AGU206" s="172"/>
      <c r="AGV206" s="172"/>
      <c r="AGW206" s="172"/>
      <c r="AGX206" s="172"/>
      <c r="AGY206" s="172"/>
      <c r="AGZ206" s="172"/>
      <c r="AHA206" s="172"/>
      <c r="AHB206" s="172"/>
      <c r="AHC206" s="172"/>
      <c r="AHD206" s="172"/>
      <c r="AHE206" s="172"/>
      <c r="AHF206" s="172"/>
      <c r="AHG206" s="172"/>
      <c r="AHH206" s="172"/>
      <c r="AHI206" s="172"/>
      <c r="AHJ206" s="172"/>
      <c r="AHK206" s="172"/>
      <c r="AHL206" s="172"/>
      <c r="AHM206" s="172"/>
      <c r="AHN206" s="172"/>
      <c r="AHO206" s="172"/>
      <c r="AHP206" s="172"/>
      <c r="AHQ206" s="172"/>
      <c r="AHR206" s="172"/>
      <c r="AHS206" s="172"/>
      <c r="AHT206" s="172"/>
      <c r="AHU206" s="172"/>
      <c r="AHV206" s="172"/>
      <c r="AHW206" s="172"/>
      <c r="AHX206" s="172"/>
      <c r="AHY206" s="172"/>
      <c r="AHZ206" s="172"/>
      <c r="AIA206" s="172"/>
      <c r="AIB206" s="172"/>
      <c r="AIC206" s="172"/>
      <c r="AID206" s="172"/>
      <c r="AIE206" s="172"/>
      <c r="AIF206" s="172"/>
      <c r="AIG206" s="172"/>
      <c r="AIH206" s="172"/>
      <c r="AII206" s="172"/>
      <c r="AIJ206" s="172"/>
      <c r="AIK206" s="172"/>
      <c r="AIL206" s="172"/>
      <c r="AIM206" s="172"/>
      <c r="AIN206" s="172"/>
      <c r="AIO206" s="172"/>
      <c r="AIP206" s="172"/>
      <c r="AIQ206" s="172"/>
      <c r="AIR206" s="172"/>
      <c r="AIS206" s="172"/>
      <c r="AIT206" s="172"/>
      <c r="AIU206" s="172"/>
      <c r="AIV206" s="172"/>
      <c r="AIW206" s="172"/>
      <c r="AIX206" s="172"/>
      <c r="AIY206" s="172"/>
      <c r="AIZ206" s="172"/>
      <c r="AJA206" s="172"/>
      <c r="AJB206" s="172"/>
      <c r="AJC206" s="172"/>
      <c r="AJD206" s="172"/>
      <c r="AJE206" s="172"/>
      <c r="AJF206" s="172"/>
      <c r="AJG206" s="172"/>
      <c r="AJH206" s="172"/>
      <c r="AJI206" s="172"/>
      <c r="AJJ206" s="172"/>
      <c r="AJK206" s="172"/>
      <c r="AJL206" s="172"/>
      <c r="AJM206" s="172"/>
      <c r="AJN206" s="172"/>
      <c r="AJO206" s="172"/>
      <c r="AJP206" s="172"/>
      <c r="AJQ206" s="172"/>
      <c r="AJR206" s="172"/>
      <c r="AJS206" s="172"/>
      <c r="AJT206" s="172"/>
      <c r="AJU206" s="172"/>
      <c r="AJV206" s="172"/>
      <c r="AJW206" s="172"/>
      <c r="AJX206" s="172"/>
      <c r="AJY206" s="172"/>
      <c r="AJZ206" s="172"/>
      <c r="AKA206" s="172"/>
      <c r="AKB206" s="172"/>
      <c r="AKC206" s="172"/>
      <c r="AKD206" s="172"/>
      <c r="AKE206" s="172"/>
      <c r="AKF206" s="172"/>
      <c r="AKG206" s="172"/>
      <c r="AKH206" s="172"/>
      <c r="AKI206" s="172"/>
      <c r="AKJ206" s="172"/>
      <c r="AKK206" s="172"/>
      <c r="AKL206" s="172"/>
      <c r="AKM206" s="172"/>
      <c r="AKN206" s="172"/>
      <c r="AKO206" s="172"/>
      <c r="AKP206" s="172"/>
      <c r="AKQ206" s="172"/>
      <c r="AKR206" s="172"/>
      <c r="AKS206" s="172"/>
      <c r="AKT206" s="172"/>
      <c r="AKU206" s="172"/>
      <c r="AKV206" s="172"/>
      <c r="AKW206" s="172"/>
      <c r="AKX206" s="172"/>
      <c r="AKY206" s="172"/>
      <c r="AKZ206" s="172"/>
      <c r="ALA206" s="172"/>
      <c r="ALB206" s="172"/>
      <c r="ALC206" s="172"/>
      <c r="ALD206" s="172"/>
      <c r="ALE206" s="172"/>
      <c r="ALF206" s="172"/>
      <c r="ALG206" s="172"/>
      <c r="ALH206" s="172"/>
      <c r="ALI206" s="172"/>
      <c r="ALJ206" s="172"/>
      <c r="ALK206" s="172"/>
      <c r="ALL206" s="172"/>
      <c r="ALM206" s="172"/>
      <c r="ALN206" s="172"/>
      <c r="ALO206" s="172"/>
      <c r="ALP206" s="172"/>
      <c r="ALQ206" s="172"/>
      <c r="ALR206" s="172"/>
      <c r="ALS206" s="172"/>
      <c r="ALT206" s="172"/>
      <c r="ALU206" s="172"/>
      <c r="ALV206" s="172"/>
      <c r="ALW206" s="172"/>
      <c r="ALX206" s="172"/>
      <c r="ALY206" s="172"/>
      <c r="ALZ206" s="172"/>
      <c r="AMA206" s="172"/>
      <c r="AMB206" s="172"/>
      <c r="AMC206" s="172"/>
      <c r="AMD206" s="172"/>
      <c r="AME206" s="172"/>
      <c r="AMF206" s="172"/>
      <c r="AMG206" s="172"/>
      <c r="AMH206" s="172"/>
      <c r="AMI206" s="172"/>
      <c r="AMJ206" s="172"/>
      <c r="AMK206" s="172"/>
      <c r="AML206" s="172"/>
      <c r="AMM206" s="172"/>
      <c r="AMN206" s="172"/>
      <c r="AMO206" s="172"/>
      <c r="AMP206" s="172"/>
      <c r="AMQ206" s="172"/>
      <c r="AMR206" s="172"/>
      <c r="AMS206" s="172"/>
      <c r="AMT206" s="172"/>
      <c r="AMU206" s="172"/>
      <c r="AMV206" s="172"/>
      <c r="AMW206" s="172"/>
      <c r="AMX206" s="172"/>
      <c r="AMY206" s="172"/>
      <c r="AMZ206" s="172"/>
      <c r="ANA206" s="172"/>
      <c r="ANB206" s="172"/>
      <c r="ANC206" s="172"/>
      <c r="AND206" s="172"/>
      <c r="ANE206" s="172"/>
      <c r="ANF206" s="172"/>
      <c r="ANG206" s="172"/>
      <c r="ANH206" s="172"/>
      <c r="ANI206" s="172"/>
      <c r="ANJ206" s="172"/>
      <c r="ANK206" s="172"/>
      <c r="ANL206" s="172"/>
      <c r="ANM206" s="172"/>
      <c r="ANN206" s="172"/>
      <c r="ANO206" s="172"/>
      <c r="ANP206" s="172"/>
      <c r="ANQ206" s="172"/>
      <c r="ANR206" s="172"/>
      <c r="ANS206" s="172"/>
      <c r="ANT206" s="172"/>
      <c r="ANU206" s="172"/>
      <c r="ANV206" s="172"/>
      <c r="ANW206" s="172"/>
      <c r="ANX206" s="172"/>
      <c r="ANY206" s="172"/>
      <c r="ANZ206" s="172"/>
      <c r="AOA206" s="172"/>
      <c r="AOB206" s="172"/>
      <c r="AOC206" s="172"/>
      <c r="AOD206" s="172"/>
      <c r="AOE206" s="172"/>
      <c r="AOF206" s="172"/>
      <c r="AOG206" s="172"/>
      <c r="AOH206" s="172"/>
      <c r="AOI206" s="172"/>
      <c r="AOJ206" s="172"/>
      <c r="AOK206" s="172"/>
      <c r="AOL206" s="172"/>
      <c r="AOM206" s="172"/>
      <c r="AON206" s="172"/>
      <c r="AOO206" s="172"/>
      <c r="AOP206" s="172"/>
      <c r="AOQ206" s="172"/>
      <c r="AOR206" s="172"/>
      <c r="AOS206" s="172"/>
      <c r="AOT206" s="172"/>
      <c r="AOU206" s="172"/>
      <c r="AOV206" s="172"/>
      <c r="AOW206" s="172"/>
      <c r="AOX206" s="172"/>
      <c r="AOY206" s="172"/>
      <c r="AOZ206" s="172"/>
      <c r="APA206" s="172"/>
      <c r="APB206" s="172"/>
      <c r="APC206" s="172"/>
      <c r="APD206" s="172"/>
      <c r="APE206" s="172"/>
      <c r="APF206" s="172"/>
      <c r="APG206" s="172"/>
      <c r="APH206" s="172"/>
      <c r="API206" s="172"/>
      <c r="APJ206" s="172"/>
      <c r="APK206" s="172"/>
      <c r="APL206" s="172"/>
      <c r="APM206" s="172"/>
      <c r="APN206" s="172"/>
      <c r="APO206" s="172"/>
      <c r="APP206" s="172"/>
      <c r="APQ206" s="172"/>
      <c r="APR206" s="172"/>
      <c r="APS206" s="172"/>
      <c r="APT206" s="172"/>
      <c r="APU206" s="172"/>
      <c r="APV206" s="172"/>
      <c r="APW206" s="172"/>
      <c r="APX206" s="172"/>
      <c r="APY206" s="172"/>
      <c r="APZ206" s="172"/>
      <c r="AQA206" s="172"/>
      <c r="AQB206" s="172"/>
      <c r="AQC206" s="172"/>
      <c r="AQD206" s="172"/>
      <c r="AQE206" s="172"/>
      <c r="AQF206" s="172"/>
      <c r="AQG206" s="172"/>
      <c r="AQH206" s="172"/>
      <c r="AQI206" s="172"/>
      <c r="AQJ206" s="172"/>
      <c r="AQK206" s="172"/>
      <c r="AQL206" s="172"/>
      <c r="AQM206" s="172"/>
      <c r="AQN206" s="172"/>
      <c r="AQO206" s="172"/>
      <c r="AQP206" s="172"/>
      <c r="AQQ206" s="172"/>
      <c r="AQR206" s="172"/>
      <c r="AQS206" s="172"/>
      <c r="AQT206" s="172"/>
      <c r="AQU206" s="172"/>
      <c r="AQV206" s="172"/>
      <c r="AQW206" s="172"/>
      <c r="AQX206" s="172"/>
      <c r="AQY206" s="172"/>
      <c r="AQZ206" s="172"/>
      <c r="ARA206" s="172"/>
      <c r="ARB206" s="172"/>
      <c r="ARC206" s="172"/>
      <c r="ARD206" s="172"/>
      <c r="ARE206" s="172"/>
      <c r="ARF206" s="172"/>
      <c r="ARG206" s="172"/>
      <c r="ARH206" s="172"/>
      <c r="ARI206" s="172"/>
      <c r="ARJ206" s="172"/>
      <c r="ARK206" s="172"/>
      <c r="ARL206" s="172"/>
      <c r="ARM206" s="172"/>
      <c r="ARN206" s="172"/>
      <c r="ARO206" s="172"/>
      <c r="ARP206" s="172"/>
      <c r="ARQ206" s="172"/>
      <c r="ARR206" s="172"/>
      <c r="ARS206" s="172"/>
      <c r="ART206" s="172"/>
      <c r="ARU206" s="172"/>
    </row>
    <row r="207" spans="1:1165">
      <c r="A207" s="194"/>
      <c r="B207" s="195"/>
      <c r="C207" s="258"/>
      <c r="D207" s="258"/>
      <c r="E207" s="258"/>
      <c r="F207" s="258"/>
      <c r="G207" s="258"/>
      <c r="H207" s="258"/>
      <c r="I207" s="258"/>
      <c r="J207" s="258"/>
      <c r="K207" s="258"/>
      <c r="L207" s="258"/>
      <c r="M207" s="258"/>
      <c r="N207" s="258"/>
      <c r="O207" s="258"/>
      <c r="P207" s="258"/>
      <c r="Q207" s="258"/>
      <c r="R207" s="258"/>
      <c r="S207" s="258"/>
      <c r="T207" s="258"/>
      <c r="U207" s="284"/>
      <c r="V207" s="284"/>
      <c r="W207" s="284"/>
      <c r="X207" s="284"/>
      <c r="Y207" s="284"/>
      <c r="Z207" s="284"/>
      <c r="AA207" s="302"/>
      <c r="AB207" s="302"/>
      <c r="AC207" s="284"/>
      <c r="AD207" s="284"/>
      <c r="AE207" s="288"/>
      <c r="AF207" s="288"/>
      <c r="AG207" s="288"/>
      <c r="AH207" s="288"/>
      <c r="AI207" s="288"/>
      <c r="AJ207" s="288"/>
      <c r="AK207" s="288"/>
      <c r="AL207" s="288"/>
      <c r="AM207" s="261"/>
      <c r="AN207" s="261"/>
      <c r="AO207" s="288"/>
      <c r="AP207" s="288"/>
      <c r="AQ207" s="288"/>
      <c r="AR207" s="288"/>
      <c r="AS207" s="288"/>
      <c r="AT207" s="288"/>
      <c r="AU207" s="302"/>
      <c r="AV207" s="302"/>
      <c r="AW207" s="256"/>
      <c r="AX207" s="256"/>
      <c r="AY207" s="255"/>
      <c r="AZ207" s="255"/>
      <c r="BA207" s="262"/>
      <c r="BB207" s="256"/>
      <c r="BC207" s="256"/>
      <c r="BD207" s="256"/>
      <c r="BE207" s="256"/>
      <c r="BF207" s="256"/>
      <c r="BG207" s="256"/>
      <c r="BH207" s="256"/>
      <c r="BI207" s="262"/>
      <c r="BJ207" s="256"/>
      <c r="BK207" s="256"/>
      <c r="BL207" s="172"/>
      <c r="BO207" s="231"/>
    </row>
    <row r="208" spans="1:1165">
      <c r="A208" s="1483" t="s">
        <v>279</v>
      </c>
      <c r="B208" s="1511" t="s">
        <v>87</v>
      </c>
      <c r="C208" s="1512">
        <v>574</v>
      </c>
      <c r="D208" s="1512">
        <v>3856</v>
      </c>
      <c r="E208" s="1512">
        <v>0</v>
      </c>
      <c r="F208" s="1512">
        <v>0</v>
      </c>
      <c r="G208" s="1512">
        <v>0</v>
      </c>
      <c r="H208" s="1512">
        <v>0</v>
      </c>
      <c r="I208" s="1512">
        <v>0</v>
      </c>
      <c r="J208" s="1512">
        <v>0</v>
      </c>
      <c r="K208" s="1512">
        <v>0</v>
      </c>
      <c r="L208" s="1512">
        <v>0</v>
      </c>
      <c r="M208" s="1512">
        <v>0</v>
      </c>
      <c r="N208" s="1512">
        <v>0</v>
      </c>
      <c r="O208" s="1512">
        <v>0</v>
      </c>
      <c r="P208" s="1512">
        <v>0</v>
      </c>
      <c r="Q208" s="1512">
        <v>0</v>
      </c>
      <c r="R208" s="1512">
        <v>0</v>
      </c>
      <c r="S208" s="1512">
        <v>0</v>
      </c>
      <c r="T208" s="1512">
        <v>0</v>
      </c>
      <c r="U208" s="1512">
        <v>0</v>
      </c>
      <c r="V208" s="1512">
        <v>0</v>
      </c>
      <c r="W208" s="1512">
        <v>0</v>
      </c>
      <c r="X208" s="1512">
        <v>0</v>
      </c>
      <c r="Y208" s="1512">
        <v>0</v>
      </c>
      <c r="Z208" s="1512">
        <v>0</v>
      </c>
      <c r="AA208" s="1512">
        <v>0</v>
      </c>
      <c r="AB208" s="1512">
        <v>0</v>
      </c>
      <c r="AC208" s="1512">
        <v>0</v>
      </c>
      <c r="AD208" s="1512">
        <v>0</v>
      </c>
      <c r="AE208" s="1512">
        <v>0</v>
      </c>
      <c r="AF208" s="1512">
        <v>0</v>
      </c>
      <c r="AG208" s="1512">
        <v>0</v>
      </c>
      <c r="AH208" s="1512">
        <v>0</v>
      </c>
      <c r="AI208" s="1512">
        <v>0</v>
      </c>
      <c r="AJ208" s="1512">
        <v>0</v>
      </c>
      <c r="AK208" s="1512">
        <v>0</v>
      </c>
      <c r="AL208" s="1512">
        <v>0</v>
      </c>
      <c r="AM208" s="1512">
        <v>0</v>
      </c>
      <c r="AN208" s="1512">
        <v>0</v>
      </c>
      <c r="AO208" s="1512">
        <v>0</v>
      </c>
      <c r="AP208" s="1512">
        <v>0</v>
      </c>
      <c r="AQ208" s="1512">
        <v>0</v>
      </c>
      <c r="AR208" s="1512">
        <v>0</v>
      </c>
      <c r="AS208" s="1512">
        <v>0</v>
      </c>
      <c r="AT208" s="1512">
        <v>0</v>
      </c>
      <c r="AU208" s="1512">
        <v>0</v>
      </c>
      <c r="AV208" s="1512">
        <v>0</v>
      </c>
      <c r="AW208" s="1512">
        <v>0</v>
      </c>
      <c r="AX208" s="1512">
        <v>0</v>
      </c>
      <c r="AY208" s="1532">
        <v>0</v>
      </c>
      <c r="AZ208" s="1532">
        <v>0</v>
      </c>
      <c r="BA208" s="1511"/>
      <c r="BB208" s="1532"/>
      <c r="BC208" s="1532"/>
      <c r="BD208" s="1532"/>
      <c r="BE208" s="1532"/>
      <c r="BF208" s="1532"/>
      <c r="BG208" s="1532"/>
      <c r="BH208" s="1532"/>
      <c r="BI208" s="1511"/>
      <c r="BJ208" s="1512">
        <f>C208+G208+I208+K208+M208+O208+Q208+S208+U208+W208+Y208+AA208+AC208+AE208+AG208+AI208+AK208+AM208+AO208+AQ208+AS208+AU208+AW208+AY208+BB208+BF208</f>
        <v>574</v>
      </c>
      <c r="BK208" s="1512">
        <f>D208+H208+J208+L208+N208+P208+R208+T208+V208+X208+Z208+AB208+AD208+AF208+AH208+AJ208+AL208+AN208+AP208+AR208+AT208+AV208+AX208+AZ208+BD208+BH208</f>
        <v>3856</v>
      </c>
      <c r="BL208" s="172"/>
      <c r="BN208" s="231"/>
    </row>
    <row r="209" spans="1:1165">
      <c r="A209" s="1483"/>
      <c r="B209" s="1511"/>
      <c r="C209" s="1512"/>
      <c r="D209" s="1512"/>
      <c r="E209" s="1512"/>
      <c r="F209" s="1512"/>
      <c r="G209" s="1512"/>
      <c r="H209" s="1512"/>
      <c r="I209" s="1512"/>
      <c r="J209" s="1512"/>
      <c r="K209" s="1512"/>
      <c r="L209" s="1512"/>
      <c r="M209" s="1512"/>
      <c r="N209" s="1512"/>
      <c r="O209" s="1512"/>
      <c r="P209" s="1512"/>
      <c r="Q209" s="1512"/>
      <c r="R209" s="1512"/>
      <c r="S209" s="1512"/>
      <c r="T209" s="1512"/>
      <c r="U209" s="1513"/>
      <c r="V209" s="1513"/>
      <c r="W209" s="1489"/>
      <c r="X209" s="1489"/>
      <c r="Y209" s="1489"/>
      <c r="Z209" s="1489"/>
      <c r="AA209" s="1517"/>
      <c r="AB209" s="1517"/>
      <c r="AC209" s="1489"/>
      <c r="AD209" s="1489"/>
      <c r="AE209" s="1516"/>
      <c r="AF209" s="1516"/>
      <c r="AG209" s="1516"/>
      <c r="AH209" s="1516"/>
      <c r="AI209" s="1516"/>
      <c r="AJ209" s="1516"/>
      <c r="AK209" s="1516"/>
      <c r="AL209" s="1516"/>
      <c r="AM209" s="1516"/>
      <c r="AN209" s="1516"/>
      <c r="AO209" s="1516"/>
      <c r="AP209" s="1516"/>
      <c r="AQ209" s="1516"/>
      <c r="AR209" s="1516"/>
      <c r="AS209" s="1516"/>
      <c r="AT209" s="1516"/>
      <c r="AU209" s="1517"/>
      <c r="AV209" s="1517"/>
      <c r="AW209" s="1485"/>
      <c r="AX209" s="1485"/>
      <c r="AY209" s="1518"/>
      <c r="AZ209" s="1518"/>
      <c r="BA209" s="1486"/>
      <c r="BB209" s="1485"/>
      <c r="BC209" s="1485"/>
      <c r="BD209" s="1485"/>
      <c r="BE209" s="1485"/>
      <c r="BF209" s="1485"/>
      <c r="BG209" s="1485"/>
      <c r="BH209" s="1485"/>
      <c r="BI209" s="1486"/>
      <c r="BJ209" s="1485"/>
      <c r="BK209" s="1485"/>
      <c r="BL209" s="172"/>
      <c r="BO209" s="231"/>
    </row>
    <row r="210" spans="1:1165" s="257" customFormat="1">
      <c r="A210" s="194" t="s">
        <v>280</v>
      </c>
      <c r="B210" s="195" t="s">
        <v>87</v>
      </c>
      <c r="C210" s="258">
        <v>4605</v>
      </c>
      <c r="D210" s="258">
        <v>53102</v>
      </c>
      <c r="E210" s="258">
        <v>260</v>
      </c>
      <c r="F210" s="258">
        <v>3887</v>
      </c>
      <c r="G210" s="258">
        <v>170</v>
      </c>
      <c r="H210" s="258">
        <v>2463</v>
      </c>
      <c r="I210" s="258">
        <v>0</v>
      </c>
      <c r="J210" s="258">
        <v>0</v>
      </c>
      <c r="K210" s="258">
        <v>0</v>
      </c>
      <c r="L210" s="258">
        <v>0</v>
      </c>
      <c r="M210" s="258">
        <v>0</v>
      </c>
      <c r="N210" s="258">
        <v>0</v>
      </c>
      <c r="O210" s="258">
        <v>0</v>
      </c>
      <c r="P210" s="258">
        <v>0</v>
      </c>
      <c r="Q210" s="284">
        <v>0</v>
      </c>
      <c r="R210" s="284">
        <v>0</v>
      </c>
      <c r="S210" s="284">
        <v>0</v>
      </c>
      <c r="T210" s="284">
        <v>0</v>
      </c>
      <c r="U210" s="284">
        <v>0</v>
      </c>
      <c r="V210" s="284">
        <v>0</v>
      </c>
      <c r="W210" s="284">
        <v>1169</v>
      </c>
      <c r="X210" s="284">
        <v>101365</v>
      </c>
      <c r="Y210" s="284">
        <v>1541</v>
      </c>
      <c r="Z210" s="284">
        <v>119489</v>
      </c>
      <c r="AA210" s="302">
        <v>437</v>
      </c>
      <c r="AB210" s="302">
        <v>35834</v>
      </c>
      <c r="AC210" s="258">
        <v>254</v>
      </c>
      <c r="AD210" s="258">
        <v>16832</v>
      </c>
      <c r="AE210" s="288">
        <v>0</v>
      </c>
      <c r="AF210" s="288">
        <v>0</v>
      </c>
      <c r="AG210" s="288">
        <v>0</v>
      </c>
      <c r="AH210" s="288">
        <v>0</v>
      </c>
      <c r="AI210" s="288">
        <v>0</v>
      </c>
      <c r="AJ210" s="288">
        <v>0</v>
      </c>
      <c r="AK210" s="288">
        <v>0</v>
      </c>
      <c r="AL210" s="288">
        <v>0</v>
      </c>
      <c r="AM210" s="288">
        <v>0</v>
      </c>
      <c r="AN210" s="288">
        <v>0</v>
      </c>
      <c r="AO210" s="288">
        <v>5380</v>
      </c>
      <c r="AP210" s="288">
        <v>430353</v>
      </c>
      <c r="AQ210" s="288">
        <v>9292.0630000000001</v>
      </c>
      <c r="AR210" s="288">
        <v>743044.84</v>
      </c>
      <c r="AS210" s="288">
        <v>11407.14</v>
      </c>
      <c r="AT210" s="288">
        <v>2355238</v>
      </c>
      <c r="AU210" s="302">
        <v>14300</v>
      </c>
      <c r="AV210" s="302">
        <v>1908974</v>
      </c>
      <c r="AW210" s="284">
        <v>12693</v>
      </c>
      <c r="AX210" s="284">
        <v>1817362</v>
      </c>
      <c r="AY210" s="266">
        <v>9919</v>
      </c>
      <c r="AZ210" s="266">
        <v>1258601</v>
      </c>
      <c r="BA210" s="266"/>
      <c r="BB210" s="266"/>
      <c r="BC210" s="263"/>
      <c r="BD210" s="266"/>
      <c r="BE210" s="263"/>
      <c r="BF210" s="266"/>
      <c r="BG210" s="263"/>
      <c r="BH210" s="266"/>
      <c r="BI210" s="263"/>
      <c r="BJ210" s="266">
        <f>C210+G210+I210+K210+M210+O210+Q210+S210+U210+W210+Y210+AA210+AC210+AE210+AG210+AI210+AK210+AM210+AO210+AQ210+AS210+AU210+AW210+AY210+BB210+BF210</f>
        <v>71167.203000000009</v>
      </c>
      <c r="BK210" s="250">
        <f>D210+H210+J210+L210+N210+P210+R210+T210+V210+X210+Z210+AB210+AD210+AF210+AH210+AJ210+AL210+AN210+AP210+AR210+AT210+AV210+AX210+AZ210+BD210+BH210</f>
        <v>8842657.8399999999</v>
      </c>
      <c r="BL210" s="172"/>
      <c r="BM210" s="172"/>
      <c r="BN210" s="231"/>
      <c r="BO210" s="231"/>
      <c r="BP210" s="172"/>
      <c r="BQ210" s="172"/>
      <c r="BR210" s="172"/>
      <c r="BS210" s="172"/>
      <c r="BT210" s="172"/>
      <c r="BU210" s="172"/>
      <c r="BV210" s="172"/>
      <c r="BW210" s="172"/>
      <c r="BX210" s="172"/>
      <c r="BY210" s="172"/>
      <c r="BZ210" s="172"/>
      <c r="CA210" s="172"/>
      <c r="CB210" s="172"/>
      <c r="CC210" s="172"/>
      <c r="CD210" s="172"/>
      <c r="CE210" s="172"/>
      <c r="CF210" s="172"/>
      <c r="CG210" s="172"/>
      <c r="CH210" s="172"/>
      <c r="CI210" s="172"/>
      <c r="CJ210" s="172"/>
      <c r="CK210" s="172"/>
      <c r="CL210" s="172"/>
      <c r="CM210" s="172"/>
      <c r="CN210" s="172"/>
      <c r="CO210" s="172"/>
      <c r="CP210" s="172"/>
      <c r="CQ210" s="172"/>
      <c r="CR210" s="172"/>
      <c r="CS210" s="172"/>
      <c r="CT210" s="172"/>
      <c r="CU210" s="172"/>
      <c r="CV210" s="172"/>
      <c r="CW210" s="172"/>
      <c r="CX210" s="172"/>
      <c r="CY210" s="172"/>
      <c r="CZ210" s="172"/>
      <c r="DA210" s="172"/>
      <c r="DB210" s="172"/>
      <c r="DC210" s="172"/>
      <c r="DD210" s="172"/>
      <c r="DE210" s="172"/>
      <c r="DF210" s="172"/>
      <c r="DG210" s="172"/>
      <c r="DH210" s="172"/>
      <c r="DI210" s="172"/>
      <c r="DJ210" s="172"/>
      <c r="DK210" s="172"/>
      <c r="DL210" s="172"/>
      <c r="DM210" s="172"/>
      <c r="DN210" s="172"/>
      <c r="DO210" s="172"/>
      <c r="DP210" s="172"/>
      <c r="DQ210" s="172"/>
      <c r="DR210" s="172"/>
      <c r="DS210" s="172"/>
      <c r="DT210" s="172"/>
      <c r="DU210" s="172"/>
      <c r="DV210" s="172"/>
      <c r="DW210" s="172"/>
      <c r="DX210" s="172"/>
      <c r="DY210" s="172"/>
      <c r="DZ210" s="172"/>
      <c r="EA210" s="172"/>
      <c r="EB210" s="172"/>
      <c r="EC210" s="172"/>
      <c r="ED210" s="172"/>
      <c r="EE210" s="172"/>
      <c r="EF210" s="172"/>
      <c r="EG210" s="172"/>
      <c r="EH210" s="172"/>
      <c r="EI210" s="172"/>
      <c r="EJ210" s="172"/>
      <c r="EK210" s="172"/>
      <c r="EL210" s="172"/>
      <c r="EM210" s="172"/>
      <c r="EN210" s="172"/>
      <c r="EO210" s="172"/>
      <c r="EP210" s="172"/>
      <c r="EQ210" s="172"/>
      <c r="ER210" s="172"/>
      <c r="ES210" s="172"/>
      <c r="ET210" s="172"/>
      <c r="EU210" s="172"/>
      <c r="EV210" s="172"/>
      <c r="EW210" s="172"/>
      <c r="EX210" s="172"/>
      <c r="EY210" s="172"/>
      <c r="EZ210" s="172"/>
      <c r="FA210" s="172"/>
      <c r="FB210" s="172"/>
      <c r="FC210" s="172"/>
      <c r="FD210" s="172"/>
      <c r="FE210" s="172"/>
      <c r="FF210" s="172"/>
      <c r="FG210" s="172"/>
      <c r="FH210" s="172"/>
      <c r="FI210" s="172"/>
      <c r="FJ210" s="172"/>
      <c r="FK210" s="172"/>
      <c r="FL210" s="172"/>
      <c r="FM210" s="172"/>
      <c r="FN210" s="172"/>
      <c r="FO210" s="172"/>
      <c r="FP210" s="172"/>
      <c r="FQ210" s="172"/>
      <c r="FR210" s="172"/>
      <c r="FS210" s="172"/>
      <c r="FT210" s="172"/>
      <c r="FU210" s="172"/>
      <c r="FV210" s="172"/>
      <c r="FW210" s="172"/>
      <c r="FX210" s="172"/>
      <c r="FY210" s="172"/>
      <c r="FZ210" s="172"/>
      <c r="GA210" s="172"/>
      <c r="GB210" s="172"/>
      <c r="GC210" s="172"/>
      <c r="GD210" s="172"/>
      <c r="GE210" s="172"/>
      <c r="GF210" s="172"/>
      <c r="GG210" s="172"/>
      <c r="GH210" s="172"/>
      <c r="GI210" s="172"/>
      <c r="GJ210" s="172"/>
      <c r="GK210" s="172"/>
      <c r="GL210" s="172"/>
      <c r="GM210" s="172"/>
      <c r="GN210" s="172"/>
      <c r="GO210" s="172"/>
      <c r="GP210" s="172"/>
      <c r="GQ210" s="172"/>
      <c r="GR210" s="172"/>
      <c r="GS210" s="172"/>
      <c r="GT210" s="172"/>
      <c r="GU210" s="172"/>
      <c r="GV210" s="172"/>
      <c r="GW210" s="172"/>
      <c r="GX210" s="172"/>
      <c r="GY210" s="172"/>
      <c r="GZ210" s="172"/>
      <c r="HA210" s="172"/>
      <c r="HB210" s="172"/>
      <c r="HC210" s="172"/>
      <c r="HD210" s="172"/>
      <c r="HE210" s="172"/>
      <c r="HF210" s="172"/>
      <c r="HG210" s="172"/>
      <c r="HH210" s="172"/>
      <c r="HI210" s="172"/>
      <c r="HJ210" s="172"/>
      <c r="HK210" s="172"/>
      <c r="HL210" s="172"/>
      <c r="HM210" s="172"/>
      <c r="HN210" s="172"/>
      <c r="HO210" s="172"/>
      <c r="HP210" s="172"/>
      <c r="HQ210" s="172"/>
      <c r="HR210" s="172"/>
      <c r="HS210" s="172"/>
      <c r="HT210" s="172"/>
      <c r="HU210" s="172"/>
      <c r="HV210" s="172"/>
      <c r="HW210" s="172"/>
      <c r="HX210" s="172"/>
      <c r="HY210" s="172"/>
      <c r="HZ210" s="172"/>
      <c r="IA210" s="172"/>
      <c r="IB210" s="172"/>
      <c r="IC210" s="172"/>
      <c r="ID210" s="172"/>
      <c r="IE210" s="172"/>
      <c r="IF210" s="172"/>
      <c r="IG210" s="172"/>
      <c r="IH210" s="172"/>
      <c r="II210" s="172"/>
      <c r="IJ210" s="172"/>
      <c r="IK210" s="172"/>
      <c r="IL210" s="172"/>
      <c r="IM210" s="172"/>
      <c r="IN210" s="172"/>
      <c r="IO210" s="172"/>
      <c r="IP210" s="172"/>
      <c r="IQ210" s="172"/>
      <c r="IR210" s="172"/>
      <c r="IS210" s="172"/>
      <c r="IT210" s="172"/>
      <c r="IU210" s="172"/>
      <c r="IV210" s="172"/>
      <c r="IW210" s="172"/>
      <c r="IX210" s="172"/>
      <c r="IY210" s="172"/>
      <c r="IZ210" s="172"/>
      <c r="JA210" s="172"/>
      <c r="JB210" s="172"/>
      <c r="JC210" s="172"/>
      <c r="JD210" s="172"/>
      <c r="JE210" s="172"/>
      <c r="JF210" s="172"/>
      <c r="JG210" s="172"/>
      <c r="JH210" s="172"/>
      <c r="JI210" s="172"/>
      <c r="JJ210" s="172"/>
      <c r="JK210" s="172"/>
      <c r="JL210" s="172"/>
      <c r="JM210" s="172"/>
      <c r="JN210" s="172"/>
      <c r="JO210" s="172"/>
      <c r="JP210" s="172"/>
      <c r="JQ210" s="172"/>
      <c r="JR210" s="172"/>
      <c r="JS210" s="172"/>
      <c r="JT210" s="172"/>
      <c r="JU210" s="172"/>
      <c r="JV210" s="172"/>
      <c r="JW210" s="172"/>
      <c r="JX210" s="172"/>
      <c r="JY210" s="172"/>
      <c r="JZ210" s="172"/>
      <c r="KA210" s="172"/>
      <c r="KB210" s="172"/>
      <c r="KC210" s="172"/>
      <c r="KD210" s="172"/>
      <c r="KE210" s="172"/>
      <c r="KF210" s="172"/>
      <c r="KG210" s="172"/>
      <c r="KH210" s="172"/>
      <c r="KI210" s="172"/>
      <c r="KJ210" s="172"/>
      <c r="KK210" s="172"/>
      <c r="KL210" s="172"/>
      <c r="KM210" s="172"/>
      <c r="KN210" s="172"/>
      <c r="KO210" s="172"/>
      <c r="KP210" s="172"/>
      <c r="KQ210" s="172"/>
      <c r="KR210" s="172"/>
      <c r="KS210" s="172"/>
      <c r="KT210" s="172"/>
      <c r="KU210" s="172"/>
      <c r="KV210" s="172"/>
      <c r="KW210" s="172"/>
      <c r="KX210" s="172"/>
      <c r="KY210" s="172"/>
      <c r="KZ210" s="172"/>
      <c r="LA210" s="172"/>
      <c r="LB210" s="172"/>
      <c r="LC210" s="172"/>
      <c r="LD210" s="172"/>
      <c r="LE210" s="172"/>
      <c r="LF210" s="172"/>
      <c r="LG210" s="172"/>
      <c r="LH210" s="172"/>
      <c r="LI210" s="172"/>
      <c r="LJ210" s="172"/>
      <c r="LK210" s="172"/>
      <c r="LL210" s="172"/>
      <c r="LM210" s="172"/>
      <c r="LN210" s="172"/>
      <c r="LO210" s="172"/>
      <c r="LP210" s="172"/>
      <c r="LQ210" s="172"/>
      <c r="LR210" s="172"/>
      <c r="LS210" s="172"/>
      <c r="LT210" s="172"/>
      <c r="LU210" s="172"/>
      <c r="LV210" s="172"/>
      <c r="LW210" s="172"/>
      <c r="LX210" s="172"/>
      <c r="LY210" s="172"/>
      <c r="LZ210" s="172"/>
      <c r="MA210" s="172"/>
      <c r="MB210" s="172"/>
      <c r="MC210" s="172"/>
      <c r="MD210" s="172"/>
      <c r="ME210" s="172"/>
      <c r="MF210" s="172"/>
      <c r="MG210" s="172"/>
      <c r="MH210" s="172"/>
      <c r="MI210" s="172"/>
      <c r="MJ210" s="172"/>
      <c r="MK210" s="172"/>
      <c r="ML210" s="172"/>
      <c r="MM210" s="172"/>
      <c r="MN210" s="172"/>
      <c r="MO210" s="172"/>
      <c r="MP210" s="172"/>
      <c r="MQ210" s="172"/>
      <c r="MR210" s="172"/>
      <c r="MS210" s="172"/>
      <c r="MT210" s="172"/>
      <c r="MU210" s="172"/>
      <c r="MV210" s="172"/>
      <c r="MW210" s="172"/>
      <c r="MX210" s="172"/>
      <c r="MY210" s="172"/>
      <c r="MZ210" s="172"/>
      <c r="NA210" s="172"/>
      <c r="NB210" s="172"/>
      <c r="NC210" s="172"/>
      <c r="ND210" s="172"/>
      <c r="NE210" s="172"/>
      <c r="NF210" s="172"/>
      <c r="NG210" s="172"/>
      <c r="NH210" s="172"/>
      <c r="NI210" s="172"/>
      <c r="NJ210" s="172"/>
      <c r="NK210" s="172"/>
      <c r="NL210" s="172"/>
      <c r="NM210" s="172"/>
      <c r="NN210" s="172"/>
      <c r="NO210" s="172"/>
      <c r="NP210" s="172"/>
      <c r="NQ210" s="172"/>
      <c r="NR210" s="172"/>
      <c r="NS210" s="172"/>
      <c r="NT210" s="172"/>
      <c r="NU210" s="172"/>
      <c r="NV210" s="172"/>
      <c r="NW210" s="172"/>
      <c r="NX210" s="172"/>
      <c r="NY210" s="172"/>
      <c r="NZ210" s="172"/>
      <c r="OA210" s="172"/>
      <c r="OB210" s="172"/>
      <c r="OC210" s="172"/>
      <c r="OD210" s="172"/>
      <c r="OE210" s="172"/>
      <c r="OF210" s="172"/>
      <c r="OG210" s="172"/>
      <c r="OH210" s="172"/>
      <c r="OI210" s="172"/>
      <c r="OJ210" s="172"/>
      <c r="OK210" s="172"/>
      <c r="OL210" s="172"/>
      <c r="OM210" s="172"/>
      <c r="ON210" s="172"/>
      <c r="OO210" s="172"/>
      <c r="OP210" s="172"/>
      <c r="OQ210" s="172"/>
      <c r="OR210" s="172"/>
      <c r="OS210" s="172"/>
      <c r="OT210" s="172"/>
      <c r="OU210" s="172"/>
      <c r="OV210" s="172"/>
      <c r="OW210" s="172"/>
      <c r="OX210" s="172"/>
      <c r="OY210" s="172"/>
      <c r="OZ210" s="172"/>
      <c r="PA210" s="172"/>
      <c r="PB210" s="172"/>
      <c r="PC210" s="172"/>
      <c r="PD210" s="172"/>
      <c r="PE210" s="172"/>
      <c r="PF210" s="172"/>
      <c r="PG210" s="172"/>
      <c r="PH210" s="172"/>
      <c r="PI210" s="172"/>
      <c r="PJ210" s="172"/>
      <c r="PK210" s="172"/>
      <c r="PL210" s="172"/>
      <c r="PM210" s="172"/>
      <c r="PN210" s="172"/>
      <c r="PO210" s="172"/>
      <c r="PP210" s="172"/>
      <c r="PQ210" s="172"/>
      <c r="PR210" s="172"/>
      <c r="PS210" s="172"/>
      <c r="PT210" s="172"/>
      <c r="PU210" s="172"/>
      <c r="PV210" s="172"/>
      <c r="PW210" s="172"/>
      <c r="PX210" s="172"/>
      <c r="PY210" s="172"/>
      <c r="PZ210" s="172"/>
      <c r="QA210" s="172"/>
      <c r="QB210" s="172"/>
      <c r="QC210" s="172"/>
      <c r="QD210" s="172"/>
      <c r="QE210" s="172"/>
      <c r="QF210" s="172"/>
      <c r="QG210" s="172"/>
      <c r="QH210" s="172"/>
      <c r="QI210" s="172"/>
      <c r="QJ210" s="172"/>
      <c r="QK210" s="172"/>
      <c r="QL210" s="172"/>
      <c r="QM210" s="172"/>
      <c r="QN210" s="172"/>
      <c r="QO210" s="172"/>
      <c r="QP210" s="172"/>
      <c r="QQ210" s="172"/>
      <c r="QR210" s="172"/>
      <c r="QS210" s="172"/>
      <c r="QT210" s="172"/>
      <c r="QU210" s="172"/>
      <c r="QV210" s="172"/>
      <c r="QW210" s="172"/>
      <c r="QX210" s="172"/>
      <c r="QY210" s="172"/>
      <c r="QZ210" s="172"/>
      <c r="RA210" s="172"/>
      <c r="RB210" s="172"/>
      <c r="RC210" s="172"/>
      <c r="RD210" s="172"/>
      <c r="RE210" s="172"/>
      <c r="RF210" s="172"/>
      <c r="RG210" s="172"/>
      <c r="RH210" s="172"/>
      <c r="RI210" s="172"/>
      <c r="RJ210" s="172"/>
      <c r="RK210" s="172"/>
      <c r="RL210" s="172"/>
      <c r="RM210" s="172"/>
      <c r="RN210" s="172"/>
      <c r="RO210" s="172"/>
      <c r="RP210" s="172"/>
      <c r="RQ210" s="172"/>
      <c r="RR210" s="172"/>
      <c r="RS210" s="172"/>
      <c r="RT210" s="172"/>
      <c r="RU210" s="172"/>
      <c r="RV210" s="172"/>
      <c r="RW210" s="172"/>
      <c r="RX210" s="172"/>
      <c r="RY210" s="172"/>
      <c r="RZ210" s="172"/>
      <c r="SA210" s="172"/>
      <c r="SB210" s="172"/>
      <c r="SC210" s="172"/>
      <c r="SD210" s="172"/>
      <c r="SE210" s="172"/>
      <c r="SF210" s="172"/>
      <c r="SG210" s="172"/>
      <c r="SH210" s="172"/>
      <c r="SI210" s="172"/>
      <c r="SJ210" s="172"/>
      <c r="SK210" s="172"/>
      <c r="SL210" s="172"/>
      <c r="SM210" s="172"/>
      <c r="SN210" s="172"/>
      <c r="SO210" s="172"/>
      <c r="SP210" s="172"/>
      <c r="SQ210" s="172"/>
      <c r="SR210" s="172"/>
      <c r="SS210" s="172"/>
      <c r="ST210" s="172"/>
      <c r="SU210" s="172"/>
      <c r="SV210" s="172"/>
      <c r="SW210" s="172"/>
      <c r="SX210" s="172"/>
      <c r="SY210" s="172"/>
      <c r="SZ210" s="172"/>
      <c r="TA210" s="172"/>
      <c r="TB210" s="172"/>
      <c r="TC210" s="172"/>
      <c r="TD210" s="172"/>
      <c r="TE210" s="172"/>
      <c r="TF210" s="172"/>
      <c r="TG210" s="172"/>
      <c r="TH210" s="172"/>
      <c r="TI210" s="172"/>
      <c r="TJ210" s="172"/>
      <c r="TK210" s="172"/>
      <c r="TL210" s="172"/>
      <c r="TM210" s="172"/>
      <c r="TN210" s="172"/>
      <c r="TO210" s="172"/>
      <c r="TP210" s="172"/>
      <c r="TQ210" s="172"/>
      <c r="TR210" s="172"/>
      <c r="TS210" s="172"/>
      <c r="TT210" s="172"/>
      <c r="TU210" s="172"/>
      <c r="TV210" s="172"/>
      <c r="TW210" s="172"/>
      <c r="TX210" s="172"/>
      <c r="TY210" s="172"/>
      <c r="TZ210" s="172"/>
      <c r="UA210" s="172"/>
      <c r="UB210" s="172"/>
      <c r="UC210" s="172"/>
      <c r="UD210" s="172"/>
      <c r="UE210" s="172"/>
      <c r="UF210" s="172"/>
      <c r="UG210" s="172"/>
      <c r="UH210" s="172"/>
      <c r="UI210" s="172"/>
      <c r="UJ210" s="172"/>
      <c r="UK210" s="172"/>
      <c r="UL210" s="172"/>
      <c r="UM210" s="172"/>
      <c r="UN210" s="172"/>
      <c r="UO210" s="172"/>
      <c r="UP210" s="172"/>
      <c r="UQ210" s="172"/>
      <c r="UR210" s="172"/>
      <c r="US210" s="172"/>
      <c r="UT210" s="172"/>
      <c r="UU210" s="172"/>
      <c r="UV210" s="172"/>
      <c r="UW210" s="172"/>
      <c r="UX210" s="172"/>
      <c r="UY210" s="172"/>
      <c r="UZ210" s="172"/>
      <c r="VA210" s="172"/>
      <c r="VB210" s="172"/>
      <c r="VC210" s="172"/>
      <c r="VD210" s="172"/>
      <c r="VE210" s="172"/>
      <c r="VF210" s="172"/>
      <c r="VG210" s="172"/>
      <c r="VH210" s="172"/>
      <c r="VI210" s="172"/>
      <c r="VJ210" s="172"/>
      <c r="VK210" s="172"/>
      <c r="VL210" s="172"/>
      <c r="VM210" s="172"/>
      <c r="VN210" s="172"/>
      <c r="VO210" s="172"/>
      <c r="VP210" s="172"/>
      <c r="VQ210" s="172"/>
      <c r="VR210" s="172"/>
      <c r="VS210" s="172"/>
      <c r="VT210" s="172"/>
      <c r="VU210" s="172"/>
      <c r="VV210" s="172"/>
      <c r="VW210" s="172"/>
      <c r="VX210" s="172"/>
      <c r="VY210" s="172"/>
      <c r="VZ210" s="172"/>
      <c r="WA210" s="172"/>
      <c r="WB210" s="172"/>
      <c r="WC210" s="172"/>
      <c r="WD210" s="172"/>
      <c r="WE210" s="172"/>
      <c r="WF210" s="172"/>
      <c r="WG210" s="172"/>
      <c r="WH210" s="172"/>
      <c r="WI210" s="172"/>
      <c r="WJ210" s="172"/>
      <c r="WK210" s="172"/>
      <c r="WL210" s="172"/>
      <c r="WM210" s="172"/>
      <c r="WN210" s="172"/>
      <c r="WO210" s="172"/>
      <c r="WP210" s="172"/>
      <c r="WQ210" s="172"/>
      <c r="WR210" s="172"/>
      <c r="WS210" s="172"/>
      <c r="WT210" s="172"/>
      <c r="WU210" s="172"/>
      <c r="WV210" s="172"/>
      <c r="WW210" s="172"/>
      <c r="WX210" s="172"/>
      <c r="WY210" s="172"/>
      <c r="WZ210" s="172"/>
      <c r="XA210" s="172"/>
      <c r="XB210" s="172"/>
      <c r="XC210" s="172"/>
      <c r="XD210" s="172"/>
      <c r="XE210" s="172"/>
      <c r="XF210" s="172"/>
      <c r="XG210" s="172"/>
      <c r="XH210" s="172"/>
      <c r="XI210" s="172"/>
      <c r="XJ210" s="172"/>
      <c r="XK210" s="172"/>
      <c r="XL210" s="172"/>
      <c r="XM210" s="172"/>
      <c r="XN210" s="172"/>
      <c r="XO210" s="172"/>
      <c r="XP210" s="172"/>
      <c r="XQ210" s="172"/>
      <c r="XR210" s="172"/>
      <c r="XS210" s="172"/>
      <c r="XT210" s="172"/>
      <c r="XU210" s="172"/>
      <c r="XV210" s="172"/>
      <c r="XW210" s="172"/>
      <c r="XX210" s="172"/>
      <c r="XY210" s="172"/>
      <c r="XZ210" s="172"/>
      <c r="YA210" s="172"/>
      <c r="YB210" s="172"/>
      <c r="YC210" s="172"/>
      <c r="YD210" s="172"/>
      <c r="YE210" s="172"/>
      <c r="YF210" s="172"/>
      <c r="YG210" s="172"/>
      <c r="YH210" s="172"/>
      <c r="YI210" s="172"/>
      <c r="YJ210" s="172"/>
      <c r="YK210" s="172"/>
      <c r="YL210" s="172"/>
      <c r="YM210" s="172"/>
      <c r="YN210" s="172"/>
      <c r="YO210" s="172"/>
      <c r="YP210" s="172"/>
      <c r="YQ210" s="172"/>
      <c r="YR210" s="172"/>
      <c r="YS210" s="172"/>
      <c r="YT210" s="172"/>
      <c r="YU210" s="172"/>
      <c r="YV210" s="172"/>
      <c r="YW210" s="172"/>
      <c r="YX210" s="172"/>
      <c r="YY210" s="172"/>
      <c r="YZ210" s="172"/>
      <c r="ZA210" s="172"/>
      <c r="ZB210" s="172"/>
      <c r="ZC210" s="172"/>
      <c r="ZD210" s="172"/>
      <c r="ZE210" s="172"/>
      <c r="ZF210" s="172"/>
      <c r="ZG210" s="172"/>
      <c r="ZH210" s="172"/>
      <c r="ZI210" s="172"/>
      <c r="ZJ210" s="172"/>
      <c r="ZK210" s="172"/>
      <c r="ZL210" s="172"/>
      <c r="ZM210" s="172"/>
      <c r="ZN210" s="172"/>
      <c r="ZO210" s="172"/>
      <c r="ZP210" s="172"/>
      <c r="ZQ210" s="172"/>
      <c r="ZR210" s="172"/>
      <c r="ZS210" s="172"/>
      <c r="ZT210" s="172"/>
      <c r="ZU210" s="172"/>
      <c r="ZV210" s="172"/>
      <c r="ZW210" s="172"/>
      <c r="ZX210" s="172"/>
      <c r="ZY210" s="172"/>
      <c r="ZZ210" s="172"/>
      <c r="AAA210" s="172"/>
      <c r="AAB210" s="172"/>
      <c r="AAC210" s="172"/>
      <c r="AAD210" s="172"/>
      <c r="AAE210" s="172"/>
      <c r="AAF210" s="172"/>
      <c r="AAG210" s="172"/>
      <c r="AAH210" s="172"/>
      <c r="AAI210" s="172"/>
      <c r="AAJ210" s="172"/>
      <c r="AAK210" s="172"/>
      <c r="AAL210" s="172"/>
      <c r="AAM210" s="172"/>
      <c r="AAN210" s="172"/>
      <c r="AAO210" s="172"/>
      <c r="AAP210" s="172"/>
      <c r="AAQ210" s="172"/>
      <c r="AAR210" s="172"/>
      <c r="AAS210" s="172"/>
      <c r="AAT210" s="172"/>
      <c r="AAU210" s="172"/>
      <c r="AAV210" s="172"/>
      <c r="AAW210" s="172"/>
      <c r="AAX210" s="172"/>
      <c r="AAY210" s="172"/>
      <c r="AAZ210" s="172"/>
      <c r="ABA210" s="172"/>
      <c r="ABB210" s="172"/>
      <c r="ABC210" s="172"/>
      <c r="ABD210" s="172"/>
      <c r="ABE210" s="172"/>
      <c r="ABF210" s="172"/>
      <c r="ABG210" s="172"/>
      <c r="ABH210" s="172"/>
      <c r="ABI210" s="172"/>
      <c r="ABJ210" s="172"/>
      <c r="ABK210" s="172"/>
      <c r="ABL210" s="172"/>
      <c r="ABM210" s="172"/>
      <c r="ABN210" s="172"/>
      <c r="ABO210" s="172"/>
      <c r="ABP210" s="172"/>
      <c r="ABQ210" s="172"/>
      <c r="ABR210" s="172"/>
      <c r="ABS210" s="172"/>
      <c r="ABT210" s="172"/>
      <c r="ABU210" s="172"/>
      <c r="ABV210" s="172"/>
      <c r="ABW210" s="172"/>
      <c r="ABX210" s="172"/>
      <c r="ABY210" s="172"/>
      <c r="ABZ210" s="172"/>
      <c r="ACA210" s="172"/>
      <c r="ACB210" s="172"/>
      <c r="ACC210" s="172"/>
      <c r="ACD210" s="172"/>
      <c r="ACE210" s="172"/>
      <c r="ACF210" s="172"/>
      <c r="ACG210" s="172"/>
      <c r="ACH210" s="172"/>
      <c r="ACI210" s="172"/>
      <c r="ACJ210" s="172"/>
      <c r="ACK210" s="172"/>
      <c r="ACL210" s="172"/>
      <c r="ACM210" s="172"/>
      <c r="ACN210" s="172"/>
      <c r="ACO210" s="172"/>
      <c r="ACP210" s="172"/>
      <c r="ACQ210" s="172"/>
      <c r="ACR210" s="172"/>
      <c r="ACS210" s="172"/>
      <c r="ACT210" s="172"/>
      <c r="ACU210" s="172"/>
      <c r="ACV210" s="172"/>
      <c r="ACW210" s="172"/>
      <c r="ACX210" s="172"/>
      <c r="ACY210" s="172"/>
      <c r="ACZ210" s="172"/>
      <c r="ADA210" s="172"/>
      <c r="ADB210" s="172"/>
      <c r="ADC210" s="172"/>
      <c r="ADD210" s="172"/>
      <c r="ADE210" s="172"/>
      <c r="ADF210" s="172"/>
      <c r="ADG210" s="172"/>
      <c r="ADH210" s="172"/>
      <c r="ADI210" s="172"/>
      <c r="ADJ210" s="172"/>
      <c r="ADK210" s="172"/>
      <c r="ADL210" s="172"/>
      <c r="ADM210" s="172"/>
      <c r="ADN210" s="172"/>
      <c r="ADO210" s="172"/>
      <c r="ADP210" s="172"/>
      <c r="ADQ210" s="172"/>
      <c r="ADR210" s="172"/>
      <c r="ADS210" s="172"/>
      <c r="ADT210" s="172"/>
      <c r="ADU210" s="172"/>
      <c r="ADV210" s="172"/>
      <c r="ADW210" s="172"/>
      <c r="ADX210" s="172"/>
      <c r="ADY210" s="172"/>
      <c r="ADZ210" s="172"/>
      <c r="AEA210" s="172"/>
      <c r="AEB210" s="172"/>
      <c r="AEC210" s="172"/>
      <c r="AED210" s="172"/>
      <c r="AEE210" s="172"/>
      <c r="AEF210" s="172"/>
      <c r="AEG210" s="172"/>
      <c r="AEH210" s="172"/>
      <c r="AEI210" s="172"/>
      <c r="AEJ210" s="172"/>
      <c r="AEK210" s="172"/>
      <c r="AEL210" s="172"/>
      <c r="AEM210" s="172"/>
      <c r="AEN210" s="172"/>
      <c r="AEO210" s="172"/>
      <c r="AEP210" s="172"/>
      <c r="AEQ210" s="172"/>
      <c r="AER210" s="172"/>
      <c r="AES210" s="172"/>
      <c r="AET210" s="172"/>
      <c r="AEU210" s="172"/>
      <c r="AEV210" s="172"/>
      <c r="AEW210" s="172"/>
      <c r="AEX210" s="172"/>
      <c r="AEY210" s="172"/>
      <c r="AEZ210" s="172"/>
      <c r="AFA210" s="172"/>
      <c r="AFB210" s="172"/>
      <c r="AFC210" s="172"/>
      <c r="AFD210" s="172"/>
      <c r="AFE210" s="172"/>
      <c r="AFF210" s="172"/>
      <c r="AFG210" s="172"/>
      <c r="AFH210" s="172"/>
      <c r="AFI210" s="172"/>
      <c r="AFJ210" s="172"/>
      <c r="AFK210" s="172"/>
      <c r="AFL210" s="172"/>
      <c r="AFM210" s="172"/>
      <c r="AFN210" s="172"/>
      <c r="AFO210" s="172"/>
      <c r="AFP210" s="172"/>
      <c r="AFQ210" s="172"/>
      <c r="AFR210" s="172"/>
      <c r="AFS210" s="172"/>
      <c r="AFT210" s="172"/>
      <c r="AFU210" s="172"/>
      <c r="AFV210" s="172"/>
      <c r="AFW210" s="172"/>
      <c r="AFX210" s="172"/>
      <c r="AFY210" s="172"/>
      <c r="AFZ210" s="172"/>
      <c r="AGA210" s="172"/>
      <c r="AGB210" s="172"/>
      <c r="AGC210" s="172"/>
      <c r="AGD210" s="172"/>
      <c r="AGE210" s="172"/>
      <c r="AGF210" s="172"/>
      <c r="AGG210" s="172"/>
      <c r="AGH210" s="172"/>
      <c r="AGI210" s="172"/>
      <c r="AGJ210" s="172"/>
      <c r="AGK210" s="172"/>
      <c r="AGL210" s="172"/>
      <c r="AGM210" s="172"/>
      <c r="AGN210" s="172"/>
      <c r="AGO210" s="172"/>
      <c r="AGP210" s="172"/>
      <c r="AGQ210" s="172"/>
      <c r="AGR210" s="172"/>
      <c r="AGS210" s="172"/>
      <c r="AGT210" s="172"/>
      <c r="AGU210" s="172"/>
      <c r="AGV210" s="172"/>
      <c r="AGW210" s="172"/>
      <c r="AGX210" s="172"/>
      <c r="AGY210" s="172"/>
      <c r="AGZ210" s="172"/>
      <c r="AHA210" s="172"/>
      <c r="AHB210" s="172"/>
      <c r="AHC210" s="172"/>
      <c r="AHD210" s="172"/>
      <c r="AHE210" s="172"/>
      <c r="AHF210" s="172"/>
      <c r="AHG210" s="172"/>
      <c r="AHH210" s="172"/>
      <c r="AHI210" s="172"/>
      <c r="AHJ210" s="172"/>
      <c r="AHK210" s="172"/>
      <c r="AHL210" s="172"/>
      <c r="AHM210" s="172"/>
      <c r="AHN210" s="172"/>
      <c r="AHO210" s="172"/>
      <c r="AHP210" s="172"/>
      <c r="AHQ210" s="172"/>
      <c r="AHR210" s="172"/>
      <c r="AHS210" s="172"/>
      <c r="AHT210" s="172"/>
      <c r="AHU210" s="172"/>
      <c r="AHV210" s="172"/>
      <c r="AHW210" s="172"/>
      <c r="AHX210" s="172"/>
      <c r="AHY210" s="172"/>
      <c r="AHZ210" s="172"/>
      <c r="AIA210" s="172"/>
      <c r="AIB210" s="172"/>
      <c r="AIC210" s="172"/>
      <c r="AID210" s="172"/>
      <c r="AIE210" s="172"/>
      <c r="AIF210" s="172"/>
      <c r="AIG210" s="172"/>
      <c r="AIH210" s="172"/>
      <c r="AII210" s="172"/>
      <c r="AIJ210" s="172"/>
      <c r="AIK210" s="172"/>
      <c r="AIL210" s="172"/>
      <c r="AIM210" s="172"/>
      <c r="AIN210" s="172"/>
      <c r="AIO210" s="172"/>
      <c r="AIP210" s="172"/>
      <c r="AIQ210" s="172"/>
      <c r="AIR210" s="172"/>
      <c r="AIS210" s="172"/>
      <c r="AIT210" s="172"/>
      <c r="AIU210" s="172"/>
      <c r="AIV210" s="172"/>
      <c r="AIW210" s="172"/>
      <c r="AIX210" s="172"/>
      <c r="AIY210" s="172"/>
      <c r="AIZ210" s="172"/>
      <c r="AJA210" s="172"/>
      <c r="AJB210" s="172"/>
      <c r="AJC210" s="172"/>
      <c r="AJD210" s="172"/>
      <c r="AJE210" s="172"/>
      <c r="AJF210" s="172"/>
      <c r="AJG210" s="172"/>
      <c r="AJH210" s="172"/>
      <c r="AJI210" s="172"/>
      <c r="AJJ210" s="172"/>
      <c r="AJK210" s="172"/>
      <c r="AJL210" s="172"/>
      <c r="AJM210" s="172"/>
      <c r="AJN210" s="172"/>
      <c r="AJO210" s="172"/>
      <c r="AJP210" s="172"/>
      <c r="AJQ210" s="172"/>
      <c r="AJR210" s="172"/>
      <c r="AJS210" s="172"/>
      <c r="AJT210" s="172"/>
      <c r="AJU210" s="172"/>
      <c r="AJV210" s="172"/>
      <c r="AJW210" s="172"/>
      <c r="AJX210" s="172"/>
      <c r="AJY210" s="172"/>
      <c r="AJZ210" s="172"/>
      <c r="AKA210" s="172"/>
      <c r="AKB210" s="172"/>
      <c r="AKC210" s="172"/>
      <c r="AKD210" s="172"/>
      <c r="AKE210" s="172"/>
      <c r="AKF210" s="172"/>
      <c r="AKG210" s="172"/>
      <c r="AKH210" s="172"/>
      <c r="AKI210" s="172"/>
      <c r="AKJ210" s="172"/>
      <c r="AKK210" s="172"/>
      <c r="AKL210" s="172"/>
      <c r="AKM210" s="172"/>
      <c r="AKN210" s="172"/>
      <c r="AKO210" s="172"/>
      <c r="AKP210" s="172"/>
      <c r="AKQ210" s="172"/>
      <c r="AKR210" s="172"/>
      <c r="AKS210" s="172"/>
      <c r="AKT210" s="172"/>
      <c r="AKU210" s="172"/>
      <c r="AKV210" s="172"/>
      <c r="AKW210" s="172"/>
      <c r="AKX210" s="172"/>
      <c r="AKY210" s="172"/>
      <c r="AKZ210" s="172"/>
      <c r="ALA210" s="172"/>
      <c r="ALB210" s="172"/>
      <c r="ALC210" s="172"/>
      <c r="ALD210" s="172"/>
      <c r="ALE210" s="172"/>
      <c r="ALF210" s="172"/>
      <c r="ALG210" s="172"/>
      <c r="ALH210" s="172"/>
      <c r="ALI210" s="172"/>
      <c r="ALJ210" s="172"/>
      <c r="ALK210" s="172"/>
      <c r="ALL210" s="172"/>
      <c r="ALM210" s="172"/>
      <c r="ALN210" s="172"/>
      <c r="ALO210" s="172"/>
      <c r="ALP210" s="172"/>
      <c r="ALQ210" s="172"/>
      <c r="ALR210" s="172"/>
      <c r="ALS210" s="172"/>
      <c r="ALT210" s="172"/>
      <c r="ALU210" s="172"/>
      <c r="ALV210" s="172"/>
      <c r="ALW210" s="172"/>
      <c r="ALX210" s="172"/>
      <c r="ALY210" s="172"/>
      <c r="ALZ210" s="172"/>
      <c r="AMA210" s="172"/>
      <c r="AMB210" s="172"/>
      <c r="AMC210" s="172"/>
      <c r="AMD210" s="172"/>
      <c r="AME210" s="172"/>
      <c r="AMF210" s="172"/>
      <c r="AMG210" s="172"/>
      <c r="AMH210" s="172"/>
      <c r="AMI210" s="172"/>
      <c r="AMJ210" s="172"/>
      <c r="AMK210" s="172"/>
      <c r="AML210" s="172"/>
      <c r="AMM210" s="172"/>
      <c r="AMN210" s="172"/>
      <c r="AMO210" s="172"/>
      <c r="AMP210" s="172"/>
      <c r="AMQ210" s="172"/>
      <c r="AMR210" s="172"/>
      <c r="AMS210" s="172"/>
      <c r="AMT210" s="172"/>
      <c r="AMU210" s="172"/>
      <c r="AMV210" s="172"/>
      <c r="AMW210" s="172"/>
      <c r="AMX210" s="172"/>
      <c r="AMY210" s="172"/>
      <c r="AMZ210" s="172"/>
      <c r="ANA210" s="172"/>
      <c r="ANB210" s="172"/>
      <c r="ANC210" s="172"/>
      <c r="AND210" s="172"/>
      <c r="ANE210" s="172"/>
      <c r="ANF210" s="172"/>
      <c r="ANG210" s="172"/>
      <c r="ANH210" s="172"/>
      <c r="ANI210" s="172"/>
      <c r="ANJ210" s="172"/>
      <c r="ANK210" s="172"/>
      <c r="ANL210" s="172"/>
      <c r="ANM210" s="172"/>
      <c r="ANN210" s="172"/>
      <c r="ANO210" s="172"/>
      <c r="ANP210" s="172"/>
      <c r="ANQ210" s="172"/>
      <c r="ANR210" s="172"/>
      <c r="ANS210" s="172"/>
      <c r="ANT210" s="172"/>
      <c r="ANU210" s="172"/>
      <c r="ANV210" s="172"/>
      <c r="ANW210" s="172"/>
      <c r="ANX210" s="172"/>
      <c r="ANY210" s="172"/>
      <c r="ANZ210" s="172"/>
      <c r="AOA210" s="172"/>
      <c r="AOB210" s="172"/>
      <c r="AOC210" s="172"/>
      <c r="AOD210" s="172"/>
      <c r="AOE210" s="172"/>
      <c r="AOF210" s="172"/>
      <c r="AOG210" s="172"/>
      <c r="AOH210" s="172"/>
      <c r="AOI210" s="172"/>
      <c r="AOJ210" s="172"/>
      <c r="AOK210" s="172"/>
      <c r="AOL210" s="172"/>
      <c r="AOM210" s="172"/>
      <c r="AON210" s="172"/>
      <c r="AOO210" s="172"/>
      <c r="AOP210" s="172"/>
      <c r="AOQ210" s="172"/>
      <c r="AOR210" s="172"/>
      <c r="AOS210" s="172"/>
      <c r="AOT210" s="172"/>
      <c r="AOU210" s="172"/>
      <c r="AOV210" s="172"/>
      <c r="AOW210" s="172"/>
      <c r="AOX210" s="172"/>
      <c r="AOY210" s="172"/>
      <c r="AOZ210" s="172"/>
      <c r="APA210" s="172"/>
      <c r="APB210" s="172"/>
      <c r="APC210" s="172"/>
      <c r="APD210" s="172"/>
      <c r="APE210" s="172"/>
      <c r="APF210" s="172"/>
      <c r="APG210" s="172"/>
      <c r="APH210" s="172"/>
      <c r="API210" s="172"/>
      <c r="APJ210" s="172"/>
      <c r="APK210" s="172"/>
      <c r="APL210" s="172"/>
      <c r="APM210" s="172"/>
      <c r="APN210" s="172"/>
      <c r="APO210" s="172"/>
      <c r="APP210" s="172"/>
      <c r="APQ210" s="172"/>
      <c r="APR210" s="172"/>
      <c r="APS210" s="172"/>
      <c r="APT210" s="172"/>
      <c r="APU210" s="172"/>
      <c r="APV210" s="172"/>
      <c r="APW210" s="172"/>
      <c r="APX210" s="172"/>
      <c r="APY210" s="172"/>
      <c r="APZ210" s="172"/>
      <c r="AQA210" s="172"/>
      <c r="AQB210" s="172"/>
      <c r="AQC210" s="172"/>
      <c r="AQD210" s="172"/>
      <c r="AQE210" s="172"/>
      <c r="AQF210" s="172"/>
      <c r="AQG210" s="172"/>
      <c r="AQH210" s="172"/>
      <c r="AQI210" s="172"/>
      <c r="AQJ210" s="172"/>
      <c r="AQK210" s="172"/>
      <c r="AQL210" s="172"/>
      <c r="AQM210" s="172"/>
      <c r="AQN210" s="172"/>
      <c r="AQO210" s="172"/>
      <c r="AQP210" s="172"/>
      <c r="AQQ210" s="172"/>
      <c r="AQR210" s="172"/>
      <c r="AQS210" s="172"/>
      <c r="AQT210" s="172"/>
      <c r="AQU210" s="172"/>
      <c r="AQV210" s="172"/>
      <c r="AQW210" s="172"/>
      <c r="AQX210" s="172"/>
      <c r="AQY210" s="172"/>
      <c r="AQZ210" s="172"/>
      <c r="ARA210" s="172"/>
      <c r="ARB210" s="172"/>
      <c r="ARC210" s="172"/>
      <c r="ARD210" s="172"/>
      <c r="ARE210" s="172"/>
      <c r="ARF210" s="172"/>
      <c r="ARG210" s="172"/>
      <c r="ARH210" s="172"/>
      <c r="ARI210" s="172"/>
      <c r="ARJ210" s="172"/>
      <c r="ARK210" s="172"/>
      <c r="ARL210" s="172"/>
      <c r="ARM210" s="172"/>
      <c r="ARN210" s="172"/>
      <c r="ARO210" s="172"/>
      <c r="ARP210" s="172"/>
      <c r="ARQ210" s="172"/>
      <c r="ARR210" s="172"/>
      <c r="ARS210" s="172"/>
      <c r="ART210" s="172"/>
      <c r="ARU210" s="172"/>
    </row>
    <row r="211" spans="1:1165">
      <c r="A211" s="214"/>
      <c r="B211" s="195"/>
      <c r="C211" s="258"/>
      <c r="D211" s="258"/>
      <c r="E211" s="258"/>
      <c r="F211" s="258"/>
      <c r="G211" s="258"/>
      <c r="H211" s="258"/>
      <c r="I211" s="258"/>
      <c r="J211" s="258"/>
      <c r="K211" s="258"/>
      <c r="L211" s="258"/>
      <c r="M211" s="258"/>
      <c r="N211" s="258"/>
      <c r="O211" s="258"/>
      <c r="P211" s="258"/>
      <c r="Q211" s="258"/>
      <c r="R211" s="258"/>
      <c r="S211" s="258"/>
      <c r="T211" s="258"/>
      <c r="U211" s="227"/>
      <c r="V211" s="227"/>
      <c r="W211" s="284"/>
      <c r="X211" s="284"/>
      <c r="Y211" s="284"/>
      <c r="Z211" s="284"/>
      <c r="AA211" s="302"/>
      <c r="AB211" s="302"/>
      <c r="AC211" s="284"/>
      <c r="AD211" s="284"/>
      <c r="AE211" s="288"/>
      <c r="AF211" s="288"/>
      <c r="AG211" s="288"/>
      <c r="AH211" s="288"/>
      <c r="AI211" s="288"/>
      <c r="AJ211" s="288"/>
      <c r="AK211" s="288"/>
      <c r="AL211" s="288"/>
      <c r="AM211" s="288"/>
      <c r="AN211" s="288"/>
      <c r="AO211" s="288"/>
      <c r="AP211" s="288"/>
      <c r="AQ211" s="288"/>
      <c r="AR211" s="288"/>
      <c r="AS211" s="288"/>
      <c r="AT211" s="288"/>
      <c r="AU211" s="302"/>
      <c r="AV211" s="302"/>
      <c r="AW211" s="256"/>
      <c r="AX211" s="256"/>
      <c r="AY211" s="255"/>
      <c r="AZ211" s="255"/>
      <c r="BA211" s="262"/>
      <c r="BB211" s="256"/>
      <c r="BC211" s="256"/>
      <c r="BD211" s="256"/>
      <c r="BE211" s="256"/>
      <c r="BF211" s="256"/>
      <c r="BG211" s="256"/>
      <c r="BH211" s="256"/>
      <c r="BI211" s="262"/>
      <c r="BJ211" s="256"/>
      <c r="BK211" s="256"/>
      <c r="BL211" s="172"/>
    </row>
    <row r="212" spans="1:1165">
      <c r="A212" s="1483" t="s">
        <v>281</v>
      </c>
      <c r="B212" s="1511" t="s">
        <v>87</v>
      </c>
      <c r="C212" s="1512">
        <v>869126</v>
      </c>
      <c r="D212" s="1512">
        <v>22879806</v>
      </c>
      <c r="E212" s="1512">
        <v>113211</v>
      </c>
      <c r="F212" s="1512">
        <v>2816049</v>
      </c>
      <c r="G212" s="1512">
        <v>133996</v>
      </c>
      <c r="H212" s="1512">
        <v>6377048</v>
      </c>
      <c r="I212" s="1512">
        <v>92182</v>
      </c>
      <c r="J212" s="1512">
        <v>5385147</v>
      </c>
      <c r="K212" s="1512">
        <v>164859</v>
      </c>
      <c r="L212" s="1512">
        <v>9170379</v>
      </c>
      <c r="M212" s="1512">
        <v>160976</v>
      </c>
      <c r="N212" s="1512">
        <v>1746069</v>
      </c>
      <c r="O212" s="1512">
        <v>115031</v>
      </c>
      <c r="P212" s="1512">
        <v>1069424</v>
      </c>
      <c r="Q212" s="1512">
        <v>161368</v>
      </c>
      <c r="R212" s="1512">
        <v>1928741</v>
      </c>
      <c r="S212" s="1512">
        <v>189274</v>
      </c>
      <c r="T212" s="1512">
        <v>13936216</v>
      </c>
      <c r="U212" s="1489">
        <v>182774</v>
      </c>
      <c r="V212" s="1489">
        <v>13261526</v>
      </c>
      <c r="W212" s="1489">
        <v>196100</v>
      </c>
      <c r="X212" s="1489">
        <v>13658214</v>
      </c>
      <c r="Y212" s="1512">
        <v>189086</v>
      </c>
      <c r="Z212" s="1512">
        <v>14480263</v>
      </c>
      <c r="AA212" s="1517">
        <v>165263</v>
      </c>
      <c r="AB212" s="1517">
        <v>11568410</v>
      </c>
      <c r="AC212" s="1489">
        <v>166574</v>
      </c>
      <c r="AD212" s="1489">
        <v>11712450</v>
      </c>
      <c r="AE212" s="1516">
        <v>165310</v>
      </c>
      <c r="AF212" s="1516">
        <v>12054570</v>
      </c>
      <c r="AG212" s="1516">
        <v>107339</v>
      </c>
      <c r="AH212" s="1516">
        <v>7846700</v>
      </c>
      <c r="AI212" s="1516">
        <v>122989</v>
      </c>
      <c r="AJ212" s="1516">
        <v>9643014</v>
      </c>
      <c r="AK212" s="1516">
        <v>189507</v>
      </c>
      <c r="AL212" s="1516">
        <v>15155833</v>
      </c>
      <c r="AM212" s="1525">
        <v>188835</v>
      </c>
      <c r="AN212" s="1525">
        <v>14971392</v>
      </c>
      <c r="AO212" s="1516">
        <v>176144</v>
      </c>
      <c r="AP212" s="1516">
        <v>13984701</v>
      </c>
      <c r="AQ212" s="1516">
        <v>174307.6</v>
      </c>
      <c r="AR212" s="1516">
        <v>14049274</v>
      </c>
      <c r="AS212" s="1516">
        <v>179380.6</v>
      </c>
      <c r="AT212" s="1516">
        <v>14467388</v>
      </c>
      <c r="AU212" s="1517">
        <v>160867</v>
      </c>
      <c r="AV212" s="1517">
        <v>14201162</v>
      </c>
      <c r="AW212" s="1517">
        <v>132211</v>
      </c>
      <c r="AX212" s="1517">
        <v>11775309</v>
      </c>
      <c r="AY212" s="1512">
        <v>142736</v>
      </c>
      <c r="AZ212" s="1512">
        <v>13291592</v>
      </c>
      <c r="BA212" s="1486"/>
      <c r="BB212" s="1512"/>
      <c r="BC212" s="1512"/>
      <c r="BD212" s="1512"/>
      <c r="BE212" s="1512"/>
      <c r="BF212" s="1531"/>
      <c r="BG212" s="1531"/>
      <c r="BH212" s="1531"/>
      <c r="BI212" s="1486"/>
      <c r="BJ212" s="1512">
        <f>C212+G212+I212+K212+M212+O212+Q212+S212+U212+W212+Y212+AA212+AC212+AE212+AG212+AI212+AK212+AM212+AO212+AQ212+AS212+AU212+AW212+AY212+BB212+BF212</f>
        <v>4526235.2</v>
      </c>
      <c r="BK212" s="1512">
        <f>D212+H212+J212+L212+N212+P212+R212+T212+V212+X212+Z212+AB212+AD212+AF212+AH212+AJ212+AL212+AN212+AP212+AR212+AT212+AV212+AX212+AZ212+BD212+BH212</f>
        <v>268614628</v>
      </c>
      <c r="BL212" s="172"/>
      <c r="BN212" s="231"/>
    </row>
    <row r="213" spans="1:1165">
      <c r="A213" s="1483"/>
      <c r="B213" s="1511"/>
      <c r="C213" s="1512"/>
      <c r="D213" s="1512"/>
      <c r="E213" s="1512"/>
      <c r="F213" s="1512"/>
      <c r="G213" s="1512"/>
      <c r="H213" s="1512"/>
      <c r="I213" s="1512"/>
      <c r="J213" s="1512"/>
      <c r="K213" s="1512"/>
      <c r="L213" s="1512"/>
      <c r="M213" s="1512"/>
      <c r="N213" s="1512"/>
      <c r="O213" s="1512"/>
      <c r="P213" s="1512"/>
      <c r="Q213" s="1512"/>
      <c r="R213" s="1512"/>
      <c r="S213" s="1512"/>
      <c r="T213" s="1512"/>
      <c r="U213" s="1516"/>
      <c r="V213" s="1516"/>
      <c r="W213" s="1516"/>
      <c r="X213" s="1516"/>
      <c r="Y213" s="1512"/>
      <c r="Z213" s="1512"/>
      <c r="AA213" s="1516"/>
      <c r="AB213" s="1516"/>
      <c r="AC213" s="1512"/>
      <c r="AD213" s="1512"/>
      <c r="AE213" s="1516"/>
      <c r="AF213" s="1516"/>
      <c r="AG213" s="1516"/>
      <c r="AH213" s="1516"/>
      <c r="AI213" s="1516"/>
      <c r="AJ213" s="1516"/>
      <c r="AK213" s="1516"/>
      <c r="AL213" s="1516"/>
      <c r="AM213" s="1516"/>
      <c r="AN213" s="1516"/>
      <c r="AO213" s="1516"/>
      <c r="AP213" s="1516"/>
      <c r="AQ213" s="1516"/>
      <c r="AR213" s="1516"/>
      <c r="AS213" s="1516"/>
      <c r="AT213" s="1516"/>
      <c r="AU213" s="1517"/>
      <c r="AV213" s="1517"/>
      <c r="AW213" s="1485"/>
      <c r="AX213" s="1485"/>
      <c r="AY213" s="1518"/>
      <c r="AZ213" s="1518"/>
      <c r="BA213" s="1486"/>
      <c r="BB213" s="1485"/>
      <c r="BC213" s="1485"/>
      <c r="BD213" s="1485"/>
      <c r="BE213" s="1485"/>
      <c r="BF213" s="1485"/>
      <c r="BG213" s="1485"/>
      <c r="BH213" s="1485"/>
      <c r="BI213" s="1486"/>
      <c r="BJ213" s="1485"/>
      <c r="BK213" s="1485"/>
      <c r="BL213" s="172"/>
      <c r="BN213" s="231"/>
    </row>
    <row r="214" spans="1:1165">
      <c r="A214" s="1520"/>
      <c r="B214" s="1484"/>
      <c r="C214" s="1489"/>
      <c r="D214" s="1489"/>
      <c r="E214" s="1489"/>
      <c r="F214" s="1489"/>
      <c r="G214" s="1489"/>
      <c r="H214" s="1489"/>
      <c r="I214" s="1489"/>
      <c r="J214" s="1489"/>
      <c r="K214" s="1489"/>
      <c r="L214" s="1489"/>
      <c r="M214" s="1489"/>
      <c r="N214" s="1489"/>
      <c r="O214" s="1489"/>
      <c r="P214" s="1489"/>
      <c r="Q214" s="1489"/>
      <c r="R214" s="1489"/>
      <c r="S214" s="1489"/>
      <c r="T214" s="1489"/>
      <c r="U214" s="1516"/>
      <c r="V214" s="1516"/>
      <c r="W214" s="1516"/>
      <c r="X214" s="1489"/>
      <c r="Y214" s="1489"/>
      <c r="Z214" s="1489"/>
      <c r="AA214" s="1516"/>
      <c r="AB214" s="1517"/>
      <c r="AC214" s="1512"/>
      <c r="AD214" s="1512"/>
      <c r="AE214" s="1516"/>
      <c r="AF214" s="1516"/>
      <c r="AG214" s="1516"/>
      <c r="AH214" s="1516"/>
      <c r="AI214" s="1516"/>
      <c r="AJ214" s="1516"/>
      <c r="AK214" s="1516"/>
      <c r="AL214" s="1516"/>
      <c r="AM214" s="1525"/>
      <c r="AN214" s="1525"/>
      <c r="AO214" s="1516"/>
      <c r="AP214" s="1516"/>
      <c r="AQ214" s="1516"/>
      <c r="AR214" s="1516"/>
      <c r="AS214" s="1516"/>
      <c r="AT214" s="1516"/>
      <c r="AU214" s="1516"/>
      <c r="AV214" s="1517"/>
      <c r="AW214" s="1485"/>
      <c r="AX214" s="1517"/>
      <c r="AY214" s="1518"/>
      <c r="AZ214" s="1517"/>
      <c r="BA214" s="1486"/>
      <c r="BB214" s="1533"/>
      <c r="BC214" s="1533"/>
      <c r="BD214" s="1517"/>
      <c r="BE214" s="1533"/>
      <c r="BF214" s="1533"/>
      <c r="BG214" s="1533"/>
      <c r="BH214" s="1517"/>
      <c r="BI214" s="1486"/>
      <c r="BJ214" s="1533"/>
      <c r="BK214" s="1489"/>
      <c r="BL214" s="172"/>
      <c r="BN214" s="231"/>
      <c r="BO214" s="231"/>
    </row>
    <row r="215" spans="1:1165">
      <c r="A215" s="194" t="s">
        <v>283</v>
      </c>
      <c r="B215" s="215"/>
      <c r="C215" s="284"/>
      <c r="D215" s="284"/>
      <c r="E215" s="284"/>
      <c r="F215" s="284"/>
      <c r="G215" s="284"/>
      <c r="H215" s="284"/>
      <c r="I215" s="284"/>
      <c r="J215" s="284"/>
      <c r="K215" s="284"/>
      <c r="L215" s="284"/>
      <c r="M215" s="284"/>
      <c r="N215" s="284"/>
      <c r="O215" s="284"/>
      <c r="P215" s="284"/>
      <c r="Q215" s="284"/>
      <c r="R215" s="284"/>
      <c r="S215" s="284"/>
      <c r="T215" s="284"/>
      <c r="U215" s="288"/>
      <c r="V215" s="288"/>
      <c r="W215" s="288"/>
      <c r="X215" s="284"/>
      <c r="Y215" s="284"/>
      <c r="Z215" s="284"/>
      <c r="AA215" s="288"/>
      <c r="AB215" s="302"/>
      <c r="AC215" s="258"/>
      <c r="AD215" s="258"/>
      <c r="AE215" s="288"/>
      <c r="AF215" s="288"/>
      <c r="AG215" s="288"/>
      <c r="AH215" s="288"/>
      <c r="AI215" s="288"/>
      <c r="AJ215" s="288"/>
      <c r="AK215" s="288"/>
      <c r="AL215" s="288"/>
      <c r="AM215" s="261"/>
      <c r="AN215" s="261"/>
      <c r="AO215" s="288"/>
      <c r="AP215" s="288"/>
      <c r="AQ215" s="288"/>
      <c r="AR215" s="288"/>
      <c r="AS215" s="288"/>
      <c r="AT215" s="288"/>
      <c r="AU215" s="288"/>
      <c r="AV215" s="302"/>
      <c r="AW215" s="256"/>
      <c r="AX215" s="256"/>
      <c r="AY215" s="255"/>
      <c r="AZ215" s="255"/>
      <c r="BA215" s="262"/>
      <c r="BB215" s="256"/>
      <c r="BC215" s="256"/>
      <c r="BD215" s="256"/>
      <c r="BE215" s="256"/>
      <c r="BF215" s="256"/>
      <c r="BG215" s="256"/>
      <c r="BH215" s="256"/>
      <c r="BI215" s="262"/>
      <c r="BJ215" s="256"/>
      <c r="BK215" s="256"/>
      <c r="BL215" s="172"/>
      <c r="BN215" s="231"/>
      <c r="BO215" s="231"/>
    </row>
    <row r="216" spans="1:1165">
      <c r="A216" s="222" t="s">
        <v>284</v>
      </c>
      <c r="B216" s="195" t="s">
        <v>87</v>
      </c>
      <c r="C216" s="284">
        <v>172</v>
      </c>
      <c r="D216" s="284">
        <v>144532</v>
      </c>
      <c r="E216" s="258">
        <v>0</v>
      </c>
      <c r="F216" s="258">
        <v>0</v>
      </c>
      <c r="G216" s="258">
        <v>0</v>
      </c>
      <c r="H216" s="258">
        <v>0</v>
      </c>
      <c r="I216" s="258">
        <v>0</v>
      </c>
      <c r="J216" s="258">
        <v>0</v>
      </c>
      <c r="K216" s="258">
        <v>0</v>
      </c>
      <c r="L216" s="258">
        <v>0</v>
      </c>
      <c r="M216" s="258">
        <v>0</v>
      </c>
      <c r="N216" s="258">
        <v>0</v>
      </c>
      <c r="O216" s="258">
        <v>0</v>
      </c>
      <c r="P216" s="258">
        <v>0</v>
      </c>
      <c r="Q216" s="258">
        <v>0</v>
      </c>
      <c r="R216" s="258">
        <v>0</v>
      </c>
      <c r="S216" s="258">
        <v>0</v>
      </c>
      <c r="T216" s="258">
        <v>0</v>
      </c>
      <c r="U216" s="258">
        <v>0</v>
      </c>
      <c r="V216" s="258">
        <v>0</v>
      </c>
      <c r="W216" s="258">
        <v>0</v>
      </c>
      <c r="X216" s="258">
        <v>0</v>
      </c>
      <c r="Y216" s="258">
        <v>0</v>
      </c>
      <c r="Z216" s="258">
        <v>0</v>
      </c>
      <c r="AA216" s="258">
        <v>0</v>
      </c>
      <c r="AB216" s="258">
        <v>0</v>
      </c>
      <c r="AC216" s="258">
        <v>0</v>
      </c>
      <c r="AD216" s="258">
        <v>0</v>
      </c>
      <c r="AE216" s="258">
        <v>0</v>
      </c>
      <c r="AF216" s="258">
        <v>0</v>
      </c>
      <c r="AG216" s="258">
        <v>0</v>
      </c>
      <c r="AH216" s="258">
        <v>0</v>
      </c>
      <c r="AI216" s="258">
        <v>0</v>
      </c>
      <c r="AJ216" s="258">
        <v>0</v>
      </c>
      <c r="AK216" s="258">
        <v>0</v>
      </c>
      <c r="AL216" s="258">
        <v>0</v>
      </c>
      <c r="AM216" s="258">
        <v>0</v>
      </c>
      <c r="AN216" s="258">
        <v>0</v>
      </c>
      <c r="AO216" s="258">
        <v>0</v>
      </c>
      <c r="AP216" s="258">
        <v>0</v>
      </c>
      <c r="AQ216" s="258">
        <v>0</v>
      </c>
      <c r="AR216" s="258">
        <v>0</v>
      </c>
      <c r="AS216" s="258">
        <v>0</v>
      </c>
      <c r="AT216" s="258">
        <v>0</v>
      </c>
      <c r="AU216" s="258">
        <v>0</v>
      </c>
      <c r="AV216" s="258">
        <v>0</v>
      </c>
      <c r="AW216" s="284">
        <v>0</v>
      </c>
      <c r="AX216" s="284">
        <v>0</v>
      </c>
      <c r="AY216" s="224">
        <v>0</v>
      </c>
      <c r="AZ216" s="224">
        <v>0</v>
      </c>
      <c r="BA216" s="224"/>
      <c r="BB216" s="224"/>
      <c r="BC216" s="224"/>
      <c r="BD216" s="224"/>
      <c r="BE216" s="224"/>
      <c r="BF216" s="224"/>
      <c r="BG216" s="224"/>
      <c r="BH216" s="224"/>
      <c r="BI216" s="215"/>
      <c r="BJ216" s="224">
        <f t="shared" ref="BJ216:BJ218" si="80">C216+G216+I216+K216+M216+O216+Q216+S216+U216+W216+Y216+AA216+AC216+AE216+AG216+AI216+AK216+AM216+AO216+AQ216+AS216+AU216+AW216+AY216+BB216+BF216</f>
        <v>172</v>
      </c>
      <c r="BK216" s="258">
        <f>D216+H216+J216+L216+N216+P216+R216+T216+V216+X216+Z216+AB216+AD216+AF216+AH216+AJ216+AL216+AN216+AP216+AR216+AT216+AV216+AX216+AZ216+BD216+BH216</f>
        <v>144532</v>
      </c>
      <c r="BL216" s="172"/>
      <c r="BN216" s="231"/>
      <c r="BO216" s="231"/>
    </row>
    <row r="217" spans="1:1165">
      <c r="A217" s="222" t="s">
        <v>285</v>
      </c>
      <c r="B217" s="195" t="s">
        <v>87</v>
      </c>
      <c r="C217" s="284">
        <v>310</v>
      </c>
      <c r="D217" s="284">
        <v>125810</v>
      </c>
      <c r="E217" s="258">
        <v>0</v>
      </c>
      <c r="F217" s="258">
        <v>0</v>
      </c>
      <c r="G217" s="258">
        <v>0</v>
      </c>
      <c r="H217" s="258">
        <v>0</v>
      </c>
      <c r="I217" s="258">
        <v>0</v>
      </c>
      <c r="J217" s="258">
        <v>0</v>
      </c>
      <c r="K217" s="258">
        <v>0</v>
      </c>
      <c r="L217" s="258">
        <v>0</v>
      </c>
      <c r="M217" s="258">
        <v>0</v>
      </c>
      <c r="N217" s="258">
        <v>0</v>
      </c>
      <c r="O217" s="258">
        <v>0</v>
      </c>
      <c r="P217" s="258">
        <v>0</v>
      </c>
      <c r="Q217" s="258">
        <v>0</v>
      </c>
      <c r="R217" s="258">
        <v>0</v>
      </c>
      <c r="S217" s="258">
        <v>0</v>
      </c>
      <c r="T217" s="258">
        <v>0</v>
      </c>
      <c r="U217" s="258">
        <v>0</v>
      </c>
      <c r="V217" s="258">
        <v>0</v>
      </c>
      <c r="W217" s="258">
        <v>0</v>
      </c>
      <c r="X217" s="258">
        <v>0</v>
      </c>
      <c r="Y217" s="258">
        <v>0</v>
      </c>
      <c r="Z217" s="258">
        <v>0</v>
      </c>
      <c r="AA217" s="258">
        <v>0</v>
      </c>
      <c r="AB217" s="258">
        <v>0</v>
      </c>
      <c r="AC217" s="258">
        <v>0</v>
      </c>
      <c r="AD217" s="258">
        <v>0</v>
      </c>
      <c r="AE217" s="258">
        <v>0</v>
      </c>
      <c r="AF217" s="258">
        <v>0</v>
      </c>
      <c r="AG217" s="258">
        <v>0</v>
      </c>
      <c r="AH217" s="258">
        <v>0</v>
      </c>
      <c r="AI217" s="258">
        <v>0</v>
      </c>
      <c r="AJ217" s="258">
        <v>0</v>
      </c>
      <c r="AK217" s="258">
        <v>0</v>
      </c>
      <c r="AL217" s="258">
        <v>0</v>
      </c>
      <c r="AM217" s="258">
        <v>0</v>
      </c>
      <c r="AN217" s="258">
        <v>0</v>
      </c>
      <c r="AO217" s="258">
        <v>0</v>
      </c>
      <c r="AP217" s="258">
        <v>0</v>
      </c>
      <c r="AQ217" s="258">
        <v>0</v>
      </c>
      <c r="AR217" s="258">
        <v>0</v>
      </c>
      <c r="AS217" s="258">
        <v>0</v>
      </c>
      <c r="AT217" s="258">
        <v>0</v>
      </c>
      <c r="AU217" s="258">
        <v>0</v>
      </c>
      <c r="AV217" s="258">
        <v>0</v>
      </c>
      <c r="AW217" s="284">
        <v>0</v>
      </c>
      <c r="AX217" s="284">
        <v>0</v>
      </c>
      <c r="AY217" s="224">
        <v>0</v>
      </c>
      <c r="AZ217" s="224">
        <v>0</v>
      </c>
      <c r="BA217" s="224"/>
      <c r="BB217" s="224"/>
      <c r="BC217" s="224"/>
      <c r="BD217" s="224"/>
      <c r="BE217" s="224"/>
      <c r="BF217" s="224"/>
      <c r="BG217" s="224"/>
      <c r="BH217" s="224"/>
      <c r="BI217" s="215"/>
      <c r="BJ217" s="224">
        <f t="shared" si="80"/>
        <v>310</v>
      </c>
      <c r="BK217" s="258">
        <f>D217+H217+J217+L217+N217+P217+R217+T217+V217+X217+Z217+AB217+AD217+AF217+AH217+AJ217+AL217+AN217+AP217+AR217+AT217+AV217+AX217+AZ217+BD217+BH217</f>
        <v>125810</v>
      </c>
      <c r="BL217" s="172"/>
      <c r="BN217" s="231"/>
      <c r="BO217" s="231"/>
    </row>
    <row r="218" spans="1:1165">
      <c r="A218" s="220" t="s">
        <v>286</v>
      </c>
      <c r="B218" s="215"/>
      <c r="C218" s="284">
        <f t="shared" ref="C218:AV218" si="81">SUM(C216:C217)</f>
        <v>482</v>
      </c>
      <c r="D218" s="284">
        <f t="shared" si="81"/>
        <v>270342</v>
      </c>
      <c r="E218" s="284">
        <f t="shared" si="81"/>
        <v>0</v>
      </c>
      <c r="F218" s="284">
        <f t="shared" si="81"/>
        <v>0</v>
      </c>
      <c r="G218" s="284">
        <f t="shared" si="81"/>
        <v>0</v>
      </c>
      <c r="H218" s="284">
        <f t="shared" si="81"/>
        <v>0</v>
      </c>
      <c r="I218" s="284">
        <f t="shared" si="81"/>
        <v>0</v>
      </c>
      <c r="J218" s="284">
        <f t="shared" si="81"/>
        <v>0</v>
      </c>
      <c r="K218" s="284">
        <f t="shared" si="81"/>
        <v>0</v>
      </c>
      <c r="L218" s="284">
        <f t="shared" si="81"/>
        <v>0</v>
      </c>
      <c r="M218" s="284">
        <f t="shared" si="81"/>
        <v>0</v>
      </c>
      <c r="N218" s="284">
        <f t="shared" si="81"/>
        <v>0</v>
      </c>
      <c r="O218" s="284">
        <f t="shared" si="81"/>
        <v>0</v>
      </c>
      <c r="P218" s="284">
        <f t="shared" si="81"/>
        <v>0</v>
      </c>
      <c r="Q218" s="284">
        <f t="shared" si="81"/>
        <v>0</v>
      </c>
      <c r="R218" s="284">
        <f t="shared" si="81"/>
        <v>0</v>
      </c>
      <c r="S218" s="284">
        <f t="shared" si="81"/>
        <v>0</v>
      </c>
      <c r="T218" s="284">
        <f t="shared" si="81"/>
        <v>0</v>
      </c>
      <c r="U218" s="284">
        <f t="shared" si="81"/>
        <v>0</v>
      </c>
      <c r="V218" s="284">
        <f t="shared" si="81"/>
        <v>0</v>
      </c>
      <c r="W218" s="284">
        <f t="shared" si="81"/>
        <v>0</v>
      </c>
      <c r="X218" s="284">
        <f t="shared" si="81"/>
        <v>0</v>
      </c>
      <c r="Y218" s="284">
        <f t="shared" si="81"/>
        <v>0</v>
      </c>
      <c r="Z218" s="284">
        <f t="shared" si="81"/>
        <v>0</v>
      </c>
      <c r="AA218" s="284">
        <f t="shared" si="81"/>
        <v>0</v>
      </c>
      <c r="AB218" s="284">
        <f t="shared" si="81"/>
        <v>0</v>
      </c>
      <c r="AC218" s="284">
        <f t="shared" si="81"/>
        <v>0</v>
      </c>
      <c r="AD218" s="284">
        <f t="shared" si="81"/>
        <v>0</v>
      </c>
      <c r="AE218" s="284">
        <f t="shared" si="81"/>
        <v>0</v>
      </c>
      <c r="AF218" s="284">
        <f t="shared" si="81"/>
        <v>0</v>
      </c>
      <c r="AG218" s="284">
        <f t="shared" si="81"/>
        <v>0</v>
      </c>
      <c r="AH218" s="284">
        <f t="shared" si="81"/>
        <v>0</v>
      </c>
      <c r="AI218" s="284">
        <f t="shared" si="81"/>
        <v>0</v>
      </c>
      <c r="AJ218" s="284">
        <f t="shared" si="81"/>
        <v>0</v>
      </c>
      <c r="AK218" s="284">
        <f t="shared" si="81"/>
        <v>0</v>
      </c>
      <c r="AL218" s="284">
        <f t="shared" si="81"/>
        <v>0</v>
      </c>
      <c r="AM218" s="284">
        <f t="shared" si="81"/>
        <v>0</v>
      </c>
      <c r="AN218" s="284">
        <f t="shared" si="81"/>
        <v>0</v>
      </c>
      <c r="AO218" s="284">
        <f t="shared" si="81"/>
        <v>0</v>
      </c>
      <c r="AP218" s="284">
        <f t="shared" si="81"/>
        <v>0</v>
      </c>
      <c r="AQ218" s="284">
        <f t="shared" si="81"/>
        <v>0</v>
      </c>
      <c r="AR218" s="284">
        <f t="shared" si="81"/>
        <v>0</v>
      </c>
      <c r="AS218" s="284">
        <f t="shared" si="81"/>
        <v>0</v>
      </c>
      <c r="AT218" s="284">
        <f t="shared" si="81"/>
        <v>0</v>
      </c>
      <c r="AU218" s="284">
        <f t="shared" si="81"/>
        <v>0</v>
      </c>
      <c r="AV218" s="284">
        <f t="shared" si="81"/>
        <v>0</v>
      </c>
      <c r="AW218" s="284"/>
      <c r="AX218" s="284">
        <v>0</v>
      </c>
      <c r="AY218" s="224"/>
      <c r="AZ218" s="224">
        <v>0</v>
      </c>
      <c r="BA218" s="224"/>
      <c r="BB218" s="224"/>
      <c r="BC218" s="224"/>
      <c r="BD218" s="224"/>
      <c r="BE218" s="224"/>
      <c r="BF218" s="224"/>
      <c r="BG218" s="224"/>
      <c r="BH218" s="224"/>
      <c r="BI218" s="1569"/>
      <c r="BJ218" s="224">
        <f t="shared" si="80"/>
        <v>482</v>
      </c>
      <c r="BK218" s="258">
        <f>D218+H218+J218+L218+N218+P218+R218+T218+V218+X218+Z218+AB218+AD218+AF218+AH218+AJ218+AL218+AN218+AP218+AR218+AT218+AV218+AX218+AZ218+BD218+BH218</f>
        <v>270342</v>
      </c>
      <c r="BL218" s="172"/>
      <c r="BN218" s="231"/>
      <c r="BO218" s="231"/>
    </row>
    <row r="219" spans="1:1165">
      <c r="A219" s="220"/>
      <c r="B219" s="215"/>
      <c r="C219" s="284"/>
      <c r="D219" s="284"/>
      <c r="E219" s="284"/>
      <c r="F219" s="284"/>
      <c r="G219" s="284"/>
      <c r="H219" s="284"/>
      <c r="I219" s="284"/>
      <c r="J219" s="284"/>
      <c r="K219" s="284"/>
      <c r="L219" s="284"/>
      <c r="M219" s="284"/>
      <c r="N219" s="284"/>
      <c r="O219" s="284"/>
      <c r="P219" s="284"/>
      <c r="Q219" s="284"/>
      <c r="R219" s="284"/>
      <c r="S219" s="284"/>
      <c r="T219" s="284"/>
      <c r="U219" s="197"/>
      <c r="V219" s="197"/>
      <c r="W219" s="288"/>
      <c r="X219" s="284"/>
      <c r="Y219" s="258"/>
      <c r="Z219" s="258"/>
      <c r="AA219" s="288"/>
      <c r="AB219" s="302"/>
      <c r="AC219" s="258"/>
      <c r="AD219" s="258"/>
      <c r="AE219" s="288"/>
      <c r="AF219" s="288"/>
      <c r="AG219" s="288"/>
      <c r="AH219" s="288"/>
      <c r="AI219" s="288"/>
      <c r="AJ219" s="288"/>
      <c r="AK219" s="301"/>
      <c r="AL219" s="302"/>
      <c r="AM219" s="288"/>
      <c r="AN219" s="288"/>
      <c r="AO219" s="288"/>
      <c r="AP219" s="288"/>
      <c r="AQ219" s="262"/>
      <c r="AR219" s="262"/>
      <c r="AS219" s="288"/>
      <c r="AT219" s="288"/>
      <c r="AU219" s="288"/>
      <c r="AV219" s="302"/>
      <c r="AW219" s="256"/>
      <c r="AX219" s="256"/>
      <c r="AY219" s="224"/>
      <c r="AZ219" s="224"/>
      <c r="BA219" s="224"/>
      <c r="BB219" s="256"/>
      <c r="BC219" s="256"/>
      <c r="BD219" s="256"/>
      <c r="BE219" s="256"/>
      <c r="BF219" s="256"/>
      <c r="BG219" s="256"/>
      <c r="BH219" s="256"/>
      <c r="BI219" s="262"/>
      <c r="BJ219" s="256"/>
      <c r="BK219" s="256"/>
      <c r="BL219" s="172"/>
      <c r="BN219" s="231"/>
      <c r="BO219" s="231"/>
    </row>
    <row r="220" spans="1:1165" s="257" customFormat="1">
      <c r="A220" s="1483" t="s">
        <v>287</v>
      </c>
      <c r="B220" s="1497" t="s">
        <v>87</v>
      </c>
      <c r="C220" s="1489">
        <v>0</v>
      </c>
      <c r="D220" s="1489">
        <v>0</v>
      </c>
      <c r="E220" s="1489">
        <v>0</v>
      </c>
      <c r="F220" s="1489">
        <v>0</v>
      </c>
      <c r="G220" s="1489">
        <v>0</v>
      </c>
      <c r="H220" s="1489">
        <v>0</v>
      </c>
      <c r="I220" s="1489">
        <v>167</v>
      </c>
      <c r="J220" s="1489">
        <v>971300</v>
      </c>
      <c r="K220" s="1489">
        <v>0</v>
      </c>
      <c r="L220" s="1489">
        <v>0</v>
      </c>
      <c r="M220" s="1489">
        <v>0</v>
      </c>
      <c r="N220" s="1489">
        <v>0</v>
      </c>
      <c r="O220" s="1516">
        <v>0</v>
      </c>
      <c r="P220" s="1516">
        <v>0</v>
      </c>
      <c r="Q220" s="1516">
        <v>0</v>
      </c>
      <c r="R220" s="1516">
        <v>0</v>
      </c>
      <c r="S220" s="1516">
        <v>0</v>
      </c>
      <c r="T220" s="1516">
        <v>0</v>
      </c>
      <c r="U220" s="1516">
        <v>0</v>
      </c>
      <c r="V220" s="1516">
        <v>0</v>
      </c>
      <c r="W220" s="1516">
        <v>0</v>
      </c>
      <c r="X220" s="1516">
        <v>0</v>
      </c>
      <c r="Y220" s="1516">
        <v>0</v>
      </c>
      <c r="Z220" s="1516">
        <v>0</v>
      </c>
      <c r="AA220" s="1516">
        <v>0</v>
      </c>
      <c r="AB220" s="1516">
        <v>0</v>
      </c>
      <c r="AC220" s="1516">
        <v>0</v>
      </c>
      <c r="AD220" s="1516">
        <v>0</v>
      </c>
      <c r="AE220" s="1516">
        <v>0</v>
      </c>
      <c r="AF220" s="1516">
        <v>0</v>
      </c>
      <c r="AG220" s="1516">
        <v>0</v>
      </c>
      <c r="AH220" s="1516">
        <v>0</v>
      </c>
      <c r="AI220" s="1516">
        <v>0</v>
      </c>
      <c r="AJ220" s="1516">
        <v>0</v>
      </c>
      <c r="AK220" s="1516">
        <v>0</v>
      </c>
      <c r="AL220" s="1516">
        <v>0</v>
      </c>
      <c r="AM220" s="1516">
        <v>0</v>
      </c>
      <c r="AN220" s="1516">
        <v>0</v>
      </c>
      <c r="AO220" s="1516">
        <v>0</v>
      </c>
      <c r="AP220" s="1516">
        <v>0</v>
      </c>
      <c r="AQ220" s="1516">
        <v>0</v>
      </c>
      <c r="AR220" s="1516">
        <v>0</v>
      </c>
      <c r="AS220" s="1516">
        <v>2695</v>
      </c>
      <c r="AT220" s="1516">
        <v>17493593</v>
      </c>
      <c r="AU220" s="1516">
        <v>4450.3985303456411</v>
      </c>
      <c r="AV220" s="1517">
        <v>25297369</v>
      </c>
      <c r="AW220" s="1531">
        <v>5613.6061761770843</v>
      </c>
      <c r="AX220" s="1531">
        <v>30929289</v>
      </c>
      <c r="AY220" s="1522">
        <v>693.51170000000002</v>
      </c>
      <c r="AZ220" s="1522">
        <v>4665521</v>
      </c>
      <c r="BA220" s="1523"/>
      <c r="BB220" s="1522"/>
      <c r="BC220" s="1522"/>
      <c r="BD220" s="1522"/>
      <c r="BE220" s="1526"/>
      <c r="BF220" s="1522"/>
      <c r="BG220" s="1522"/>
      <c r="BH220" s="1522"/>
      <c r="BI220" s="1523"/>
      <c r="BJ220" s="1522">
        <f>C220+G220+I220+K220+M220+O220+Q220+S220+U220+W220+Y220+AA220+AC220+AE220+AG220+AI220+AK220+AM220+AO220+AQ220+AS220+AU220+AW220+AY220+BB220+BF220</f>
        <v>13619.516406522725</v>
      </c>
      <c r="BK220" s="1522">
        <f>D220+H220+J220+L220+N220+P220+R220+T220+V220+X220+Z220+AB220+AD220+AF220+AH220+AJ220+AL220+AN220+AP220+AR220+AT220+AV220+AX220+AZ220+BD220+BH220</f>
        <v>79357072</v>
      </c>
      <c r="BL220" s="172"/>
      <c r="BM220" s="172"/>
      <c r="BN220" s="231"/>
      <c r="BO220" s="231"/>
      <c r="BP220" s="172"/>
      <c r="BQ220" s="172"/>
      <c r="BR220" s="172"/>
      <c r="BS220" s="172"/>
      <c r="BT220" s="172"/>
      <c r="BU220" s="172"/>
      <c r="BV220" s="172"/>
      <c r="BW220" s="172"/>
      <c r="BX220" s="172"/>
      <c r="BY220" s="172"/>
      <c r="BZ220" s="172"/>
      <c r="CA220" s="172"/>
      <c r="CB220" s="172"/>
      <c r="CC220" s="172"/>
      <c r="CD220" s="172"/>
      <c r="CE220" s="172"/>
      <c r="CF220" s="172"/>
      <c r="CG220" s="172"/>
      <c r="CH220" s="172"/>
      <c r="CI220" s="172"/>
      <c r="CJ220" s="172"/>
      <c r="CK220" s="172"/>
      <c r="CL220" s="172"/>
      <c r="CM220" s="172"/>
      <c r="CN220" s="172"/>
      <c r="CO220" s="172"/>
      <c r="CP220" s="172"/>
      <c r="CQ220" s="172"/>
      <c r="CR220" s="172"/>
      <c r="CS220" s="172"/>
      <c r="CT220" s="172"/>
      <c r="CU220" s="172"/>
      <c r="CV220" s="172"/>
      <c r="CW220" s="172"/>
      <c r="CX220" s="172"/>
      <c r="CY220" s="172"/>
      <c r="CZ220" s="172"/>
      <c r="DA220" s="172"/>
      <c r="DB220" s="172"/>
      <c r="DC220" s="172"/>
      <c r="DD220" s="172"/>
      <c r="DE220" s="172"/>
      <c r="DF220" s="172"/>
      <c r="DG220" s="172"/>
      <c r="DH220" s="172"/>
      <c r="DI220" s="172"/>
      <c r="DJ220" s="172"/>
      <c r="DK220" s="172"/>
      <c r="DL220" s="172"/>
      <c r="DM220" s="172"/>
      <c r="DN220" s="172"/>
      <c r="DO220" s="172"/>
      <c r="DP220" s="172"/>
      <c r="DQ220" s="172"/>
      <c r="DR220" s="172"/>
      <c r="DS220" s="172"/>
      <c r="DT220" s="172"/>
      <c r="DU220" s="172"/>
      <c r="DV220" s="172"/>
      <c r="DW220" s="172"/>
      <c r="DX220" s="172"/>
      <c r="DY220" s="172"/>
      <c r="DZ220" s="172"/>
      <c r="EA220" s="172"/>
      <c r="EB220" s="172"/>
      <c r="EC220" s="172"/>
      <c r="ED220" s="172"/>
      <c r="EE220" s="172"/>
      <c r="EF220" s="172"/>
      <c r="EG220" s="172"/>
      <c r="EH220" s="172"/>
      <c r="EI220" s="172"/>
      <c r="EJ220" s="172"/>
      <c r="EK220" s="172"/>
      <c r="EL220" s="172"/>
      <c r="EM220" s="172"/>
      <c r="EN220" s="172"/>
      <c r="EO220" s="172"/>
      <c r="EP220" s="172"/>
      <c r="EQ220" s="172"/>
      <c r="ER220" s="172"/>
      <c r="ES220" s="172"/>
      <c r="ET220" s="172"/>
      <c r="EU220" s="172"/>
      <c r="EV220" s="172"/>
      <c r="EW220" s="172"/>
      <c r="EX220" s="172"/>
      <c r="EY220" s="172"/>
      <c r="EZ220" s="172"/>
      <c r="FA220" s="172"/>
      <c r="FB220" s="172"/>
      <c r="FC220" s="172"/>
      <c r="FD220" s="172"/>
      <c r="FE220" s="172"/>
      <c r="FF220" s="172"/>
      <c r="FG220" s="172"/>
      <c r="FH220" s="172"/>
      <c r="FI220" s="172"/>
      <c r="FJ220" s="172"/>
      <c r="FK220" s="172"/>
      <c r="FL220" s="172"/>
      <c r="FM220" s="172"/>
      <c r="FN220" s="172"/>
      <c r="FO220" s="172"/>
      <c r="FP220" s="172"/>
      <c r="FQ220" s="172"/>
      <c r="FR220" s="172"/>
      <c r="FS220" s="172"/>
      <c r="FT220" s="172"/>
      <c r="FU220" s="172"/>
      <c r="FV220" s="172"/>
      <c r="FW220" s="172"/>
      <c r="FX220" s="172"/>
      <c r="FY220" s="172"/>
      <c r="FZ220" s="172"/>
      <c r="GA220" s="172"/>
      <c r="GB220" s="172"/>
      <c r="GC220" s="172"/>
      <c r="GD220" s="172"/>
      <c r="GE220" s="172"/>
      <c r="GF220" s="172"/>
      <c r="GG220" s="172"/>
      <c r="GH220" s="172"/>
      <c r="GI220" s="172"/>
      <c r="GJ220" s="172"/>
      <c r="GK220" s="172"/>
      <c r="GL220" s="172"/>
      <c r="GM220" s="172"/>
      <c r="GN220" s="172"/>
      <c r="GO220" s="172"/>
      <c r="GP220" s="172"/>
      <c r="GQ220" s="172"/>
      <c r="GR220" s="172"/>
      <c r="GS220" s="172"/>
      <c r="GT220" s="172"/>
      <c r="GU220" s="172"/>
      <c r="GV220" s="172"/>
      <c r="GW220" s="172"/>
      <c r="GX220" s="172"/>
      <c r="GY220" s="172"/>
      <c r="GZ220" s="172"/>
      <c r="HA220" s="172"/>
      <c r="HB220" s="172"/>
      <c r="HC220" s="172"/>
      <c r="HD220" s="172"/>
      <c r="HE220" s="172"/>
      <c r="HF220" s="172"/>
      <c r="HG220" s="172"/>
      <c r="HH220" s="172"/>
      <c r="HI220" s="172"/>
      <c r="HJ220" s="172"/>
      <c r="HK220" s="172"/>
      <c r="HL220" s="172"/>
      <c r="HM220" s="172"/>
      <c r="HN220" s="172"/>
      <c r="HO220" s="172"/>
      <c r="HP220" s="172"/>
      <c r="HQ220" s="172"/>
      <c r="HR220" s="172"/>
      <c r="HS220" s="172"/>
      <c r="HT220" s="172"/>
      <c r="HU220" s="172"/>
      <c r="HV220" s="172"/>
      <c r="HW220" s="172"/>
      <c r="HX220" s="172"/>
      <c r="HY220" s="172"/>
      <c r="HZ220" s="172"/>
      <c r="IA220" s="172"/>
      <c r="IB220" s="172"/>
      <c r="IC220" s="172"/>
      <c r="ID220" s="172"/>
      <c r="IE220" s="172"/>
      <c r="IF220" s="172"/>
      <c r="IG220" s="172"/>
      <c r="IH220" s="172"/>
      <c r="II220" s="172"/>
      <c r="IJ220" s="172"/>
      <c r="IK220" s="172"/>
      <c r="IL220" s="172"/>
      <c r="IM220" s="172"/>
      <c r="IN220" s="172"/>
      <c r="IO220" s="172"/>
      <c r="IP220" s="172"/>
      <c r="IQ220" s="172"/>
      <c r="IR220" s="172"/>
      <c r="IS220" s="172"/>
      <c r="IT220" s="172"/>
      <c r="IU220" s="172"/>
      <c r="IV220" s="172"/>
      <c r="IW220" s="172"/>
      <c r="IX220" s="172"/>
      <c r="IY220" s="172"/>
      <c r="IZ220" s="172"/>
      <c r="JA220" s="172"/>
      <c r="JB220" s="172"/>
      <c r="JC220" s="172"/>
      <c r="JD220" s="172"/>
      <c r="JE220" s="172"/>
      <c r="JF220" s="172"/>
      <c r="JG220" s="172"/>
      <c r="JH220" s="172"/>
      <c r="JI220" s="172"/>
      <c r="JJ220" s="172"/>
      <c r="JK220" s="172"/>
      <c r="JL220" s="172"/>
      <c r="JM220" s="172"/>
      <c r="JN220" s="172"/>
      <c r="JO220" s="172"/>
      <c r="JP220" s="172"/>
      <c r="JQ220" s="172"/>
      <c r="JR220" s="172"/>
      <c r="JS220" s="172"/>
      <c r="JT220" s="172"/>
      <c r="JU220" s="172"/>
      <c r="JV220" s="172"/>
      <c r="JW220" s="172"/>
      <c r="JX220" s="172"/>
      <c r="JY220" s="172"/>
      <c r="JZ220" s="172"/>
      <c r="KA220" s="172"/>
      <c r="KB220" s="172"/>
      <c r="KC220" s="172"/>
      <c r="KD220" s="172"/>
      <c r="KE220" s="172"/>
      <c r="KF220" s="172"/>
      <c r="KG220" s="172"/>
      <c r="KH220" s="172"/>
      <c r="KI220" s="172"/>
      <c r="KJ220" s="172"/>
      <c r="KK220" s="172"/>
      <c r="KL220" s="172"/>
      <c r="KM220" s="172"/>
      <c r="KN220" s="172"/>
      <c r="KO220" s="172"/>
      <c r="KP220" s="172"/>
      <c r="KQ220" s="172"/>
      <c r="KR220" s="172"/>
      <c r="KS220" s="172"/>
      <c r="KT220" s="172"/>
      <c r="KU220" s="172"/>
      <c r="KV220" s="172"/>
      <c r="KW220" s="172"/>
      <c r="KX220" s="172"/>
      <c r="KY220" s="172"/>
      <c r="KZ220" s="172"/>
      <c r="LA220" s="172"/>
      <c r="LB220" s="172"/>
      <c r="LC220" s="172"/>
      <c r="LD220" s="172"/>
      <c r="LE220" s="172"/>
      <c r="LF220" s="172"/>
      <c r="LG220" s="172"/>
      <c r="LH220" s="172"/>
      <c r="LI220" s="172"/>
      <c r="LJ220" s="172"/>
      <c r="LK220" s="172"/>
      <c r="LL220" s="172"/>
      <c r="LM220" s="172"/>
      <c r="LN220" s="172"/>
      <c r="LO220" s="172"/>
      <c r="LP220" s="172"/>
      <c r="LQ220" s="172"/>
      <c r="LR220" s="172"/>
      <c r="LS220" s="172"/>
      <c r="LT220" s="172"/>
      <c r="LU220" s="172"/>
      <c r="LV220" s="172"/>
      <c r="LW220" s="172"/>
      <c r="LX220" s="172"/>
      <c r="LY220" s="172"/>
      <c r="LZ220" s="172"/>
      <c r="MA220" s="172"/>
      <c r="MB220" s="172"/>
      <c r="MC220" s="172"/>
      <c r="MD220" s="172"/>
      <c r="ME220" s="172"/>
      <c r="MF220" s="172"/>
      <c r="MG220" s="172"/>
      <c r="MH220" s="172"/>
      <c r="MI220" s="172"/>
      <c r="MJ220" s="172"/>
      <c r="MK220" s="172"/>
      <c r="ML220" s="172"/>
      <c r="MM220" s="172"/>
      <c r="MN220" s="172"/>
      <c r="MO220" s="172"/>
      <c r="MP220" s="172"/>
      <c r="MQ220" s="172"/>
      <c r="MR220" s="172"/>
      <c r="MS220" s="172"/>
      <c r="MT220" s="172"/>
      <c r="MU220" s="172"/>
      <c r="MV220" s="172"/>
      <c r="MW220" s="172"/>
      <c r="MX220" s="172"/>
      <c r="MY220" s="172"/>
      <c r="MZ220" s="172"/>
      <c r="NA220" s="172"/>
      <c r="NB220" s="172"/>
      <c r="NC220" s="172"/>
      <c r="ND220" s="172"/>
      <c r="NE220" s="172"/>
      <c r="NF220" s="172"/>
      <c r="NG220" s="172"/>
      <c r="NH220" s="172"/>
      <c r="NI220" s="172"/>
      <c r="NJ220" s="172"/>
      <c r="NK220" s="172"/>
      <c r="NL220" s="172"/>
      <c r="NM220" s="172"/>
      <c r="NN220" s="172"/>
      <c r="NO220" s="172"/>
      <c r="NP220" s="172"/>
      <c r="NQ220" s="172"/>
      <c r="NR220" s="172"/>
      <c r="NS220" s="172"/>
      <c r="NT220" s="172"/>
      <c r="NU220" s="172"/>
      <c r="NV220" s="172"/>
      <c r="NW220" s="172"/>
      <c r="NX220" s="172"/>
      <c r="NY220" s="172"/>
      <c r="NZ220" s="172"/>
      <c r="OA220" s="172"/>
      <c r="OB220" s="172"/>
      <c r="OC220" s="172"/>
      <c r="OD220" s="172"/>
      <c r="OE220" s="172"/>
      <c r="OF220" s="172"/>
      <c r="OG220" s="172"/>
      <c r="OH220" s="172"/>
      <c r="OI220" s="172"/>
      <c r="OJ220" s="172"/>
      <c r="OK220" s="172"/>
      <c r="OL220" s="172"/>
      <c r="OM220" s="172"/>
      <c r="ON220" s="172"/>
      <c r="OO220" s="172"/>
      <c r="OP220" s="172"/>
      <c r="OQ220" s="172"/>
      <c r="OR220" s="172"/>
      <c r="OS220" s="172"/>
      <c r="OT220" s="172"/>
      <c r="OU220" s="172"/>
      <c r="OV220" s="172"/>
      <c r="OW220" s="172"/>
      <c r="OX220" s="172"/>
      <c r="OY220" s="172"/>
      <c r="OZ220" s="172"/>
      <c r="PA220" s="172"/>
      <c r="PB220" s="172"/>
      <c r="PC220" s="172"/>
      <c r="PD220" s="172"/>
      <c r="PE220" s="172"/>
      <c r="PF220" s="172"/>
      <c r="PG220" s="172"/>
      <c r="PH220" s="172"/>
      <c r="PI220" s="172"/>
      <c r="PJ220" s="172"/>
      <c r="PK220" s="172"/>
      <c r="PL220" s="172"/>
      <c r="PM220" s="172"/>
      <c r="PN220" s="172"/>
      <c r="PO220" s="172"/>
      <c r="PP220" s="172"/>
      <c r="PQ220" s="172"/>
      <c r="PR220" s="172"/>
      <c r="PS220" s="172"/>
      <c r="PT220" s="172"/>
      <c r="PU220" s="172"/>
      <c r="PV220" s="172"/>
      <c r="PW220" s="172"/>
      <c r="PX220" s="172"/>
      <c r="PY220" s="172"/>
      <c r="PZ220" s="172"/>
      <c r="QA220" s="172"/>
      <c r="QB220" s="172"/>
      <c r="QC220" s="172"/>
      <c r="QD220" s="172"/>
      <c r="QE220" s="172"/>
      <c r="QF220" s="172"/>
      <c r="QG220" s="172"/>
      <c r="QH220" s="172"/>
      <c r="QI220" s="172"/>
      <c r="QJ220" s="172"/>
      <c r="QK220" s="172"/>
      <c r="QL220" s="172"/>
      <c r="QM220" s="172"/>
      <c r="QN220" s="172"/>
      <c r="QO220" s="172"/>
      <c r="QP220" s="172"/>
      <c r="QQ220" s="172"/>
      <c r="QR220" s="172"/>
      <c r="QS220" s="172"/>
      <c r="QT220" s="172"/>
      <c r="QU220" s="172"/>
      <c r="QV220" s="172"/>
      <c r="QW220" s="172"/>
      <c r="QX220" s="172"/>
      <c r="QY220" s="172"/>
      <c r="QZ220" s="172"/>
      <c r="RA220" s="172"/>
      <c r="RB220" s="172"/>
      <c r="RC220" s="172"/>
      <c r="RD220" s="172"/>
      <c r="RE220" s="172"/>
      <c r="RF220" s="172"/>
      <c r="RG220" s="172"/>
      <c r="RH220" s="172"/>
      <c r="RI220" s="172"/>
      <c r="RJ220" s="172"/>
      <c r="RK220" s="172"/>
      <c r="RL220" s="172"/>
      <c r="RM220" s="172"/>
      <c r="RN220" s="172"/>
      <c r="RO220" s="172"/>
      <c r="RP220" s="172"/>
      <c r="RQ220" s="172"/>
      <c r="RR220" s="172"/>
      <c r="RS220" s="172"/>
      <c r="RT220" s="172"/>
      <c r="RU220" s="172"/>
      <c r="RV220" s="172"/>
      <c r="RW220" s="172"/>
      <c r="RX220" s="172"/>
      <c r="RY220" s="172"/>
      <c r="RZ220" s="172"/>
      <c r="SA220" s="172"/>
      <c r="SB220" s="172"/>
      <c r="SC220" s="172"/>
      <c r="SD220" s="172"/>
      <c r="SE220" s="172"/>
      <c r="SF220" s="172"/>
      <c r="SG220" s="172"/>
      <c r="SH220" s="172"/>
      <c r="SI220" s="172"/>
      <c r="SJ220" s="172"/>
      <c r="SK220" s="172"/>
      <c r="SL220" s="172"/>
      <c r="SM220" s="172"/>
      <c r="SN220" s="172"/>
      <c r="SO220" s="172"/>
      <c r="SP220" s="172"/>
      <c r="SQ220" s="172"/>
      <c r="SR220" s="172"/>
      <c r="SS220" s="172"/>
      <c r="ST220" s="172"/>
      <c r="SU220" s="172"/>
      <c r="SV220" s="172"/>
      <c r="SW220" s="172"/>
      <c r="SX220" s="172"/>
      <c r="SY220" s="172"/>
      <c r="SZ220" s="172"/>
      <c r="TA220" s="172"/>
      <c r="TB220" s="172"/>
      <c r="TC220" s="172"/>
      <c r="TD220" s="172"/>
      <c r="TE220" s="172"/>
      <c r="TF220" s="172"/>
      <c r="TG220" s="172"/>
      <c r="TH220" s="172"/>
      <c r="TI220" s="172"/>
      <c r="TJ220" s="172"/>
      <c r="TK220" s="172"/>
      <c r="TL220" s="172"/>
      <c r="TM220" s="172"/>
      <c r="TN220" s="172"/>
      <c r="TO220" s="172"/>
      <c r="TP220" s="172"/>
      <c r="TQ220" s="172"/>
      <c r="TR220" s="172"/>
      <c r="TS220" s="172"/>
      <c r="TT220" s="172"/>
      <c r="TU220" s="172"/>
      <c r="TV220" s="172"/>
      <c r="TW220" s="172"/>
      <c r="TX220" s="172"/>
      <c r="TY220" s="172"/>
      <c r="TZ220" s="172"/>
      <c r="UA220" s="172"/>
      <c r="UB220" s="172"/>
      <c r="UC220" s="172"/>
      <c r="UD220" s="172"/>
      <c r="UE220" s="172"/>
      <c r="UF220" s="172"/>
      <c r="UG220" s="172"/>
      <c r="UH220" s="172"/>
      <c r="UI220" s="172"/>
      <c r="UJ220" s="172"/>
      <c r="UK220" s="172"/>
      <c r="UL220" s="172"/>
      <c r="UM220" s="172"/>
      <c r="UN220" s="172"/>
      <c r="UO220" s="172"/>
      <c r="UP220" s="172"/>
      <c r="UQ220" s="172"/>
      <c r="UR220" s="172"/>
      <c r="US220" s="172"/>
      <c r="UT220" s="172"/>
      <c r="UU220" s="172"/>
      <c r="UV220" s="172"/>
      <c r="UW220" s="172"/>
      <c r="UX220" s="172"/>
      <c r="UY220" s="172"/>
      <c r="UZ220" s="172"/>
      <c r="VA220" s="172"/>
      <c r="VB220" s="172"/>
      <c r="VC220" s="172"/>
      <c r="VD220" s="172"/>
      <c r="VE220" s="172"/>
      <c r="VF220" s="172"/>
      <c r="VG220" s="172"/>
      <c r="VH220" s="172"/>
      <c r="VI220" s="172"/>
      <c r="VJ220" s="172"/>
      <c r="VK220" s="172"/>
      <c r="VL220" s="172"/>
      <c r="VM220" s="172"/>
      <c r="VN220" s="172"/>
      <c r="VO220" s="172"/>
      <c r="VP220" s="172"/>
      <c r="VQ220" s="172"/>
      <c r="VR220" s="172"/>
      <c r="VS220" s="172"/>
      <c r="VT220" s="172"/>
      <c r="VU220" s="172"/>
      <c r="VV220" s="172"/>
      <c r="VW220" s="172"/>
      <c r="VX220" s="172"/>
      <c r="VY220" s="172"/>
      <c r="VZ220" s="172"/>
      <c r="WA220" s="172"/>
      <c r="WB220" s="172"/>
      <c r="WC220" s="172"/>
      <c r="WD220" s="172"/>
      <c r="WE220" s="172"/>
      <c r="WF220" s="172"/>
      <c r="WG220" s="172"/>
      <c r="WH220" s="172"/>
      <c r="WI220" s="172"/>
      <c r="WJ220" s="172"/>
      <c r="WK220" s="172"/>
      <c r="WL220" s="172"/>
      <c r="WM220" s="172"/>
      <c r="WN220" s="172"/>
      <c r="WO220" s="172"/>
      <c r="WP220" s="172"/>
      <c r="WQ220" s="172"/>
      <c r="WR220" s="172"/>
      <c r="WS220" s="172"/>
      <c r="WT220" s="172"/>
      <c r="WU220" s="172"/>
      <c r="WV220" s="172"/>
      <c r="WW220" s="172"/>
      <c r="WX220" s="172"/>
      <c r="WY220" s="172"/>
      <c r="WZ220" s="172"/>
      <c r="XA220" s="172"/>
      <c r="XB220" s="172"/>
      <c r="XC220" s="172"/>
      <c r="XD220" s="172"/>
      <c r="XE220" s="172"/>
      <c r="XF220" s="172"/>
      <c r="XG220" s="172"/>
      <c r="XH220" s="172"/>
      <c r="XI220" s="172"/>
      <c r="XJ220" s="172"/>
      <c r="XK220" s="172"/>
      <c r="XL220" s="172"/>
      <c r="XM220" s="172"/>
      <c r="XN220" s="172"/>
      <c r="XO220" s="172"/>
      <c r="XP220" s="172"/>
      <c r="XQ220" s="172"/>
      <c r="XR220" s="172"/>
      <c r="XS220" s="172"/>
      <c r="XT220" s="172"/>
      <c r="XU220" s="172"/>
      <c r="XV220" s="172"/>
      <c r="XW220" s="172"/>
      <c r="XX220" s="172"/>
      <c r="XY220" s="172"/>
      <c r="XZ220" s="172"/>
      <c r="YA220" s="172"/>
      <c r="YB220" s="172"/>
      <c r="YC220" s="172"/>
      <c r="YD220" s="172"/>
      <c r="YE220" s="172"/>
      <c r="YF220" s="172"/>
      <c r="YG220" s="172"/>
      <c r="YH220" s="172"/>
      <c r="YI220" s="172"/>
      <c r="YJ220" s="172"/>
      <c r="YK220" s="172"/>
      <c r="YL220" s="172"/>
      <c r="YM220" s="172"/>
      <c r="YN220" s="172"/>
      <c r="YO220" s="172"/>
      <c r="YP220" s="172"/>
      <c r="YQ220" s="172"/>
      <c r="YR220" s="172"/>
      <c r="YS220" s="172"/>
      <c r="YT220" s="172"/>
      <c r="YU220" s="172"/>
      <c r="YV220" s="172"/>
      <c r="YW220" s="172"/>
      <c r="YX220" s="172"/>
      <c r="YY220" s="172"/>
      <c r="YZ220" s="172"/>
      <c r="ZA220" s="172"/>
      <c r="ZB220" s="172"/>
      <c r="ZC220" s="172"/>
      <c r="ZD220" s="172"/>
      <c r="ZE220" s="172"/>
      <c r="ZF220" s="172"/>
      <c r="ZG220" s="172"/>
      <c r="ZH220" s="172"/>
      <c r="ZI220" s="172"/>
      <c r="ZJ220" s="172"/>
      <c r="ZK220" s="172"/>
      <c r="ZL220" s="172"/>
      <c r="ZM220" s="172"/>
      <c r="ZN220" s="172"/>
      <c r="ZO220" s="172"/>
      <c r="ZP220" s="172"/>
      <c r="ZQ220" s="172"/>
      <c r="ZR220" s="172"/>
      <c r="ZS220" s="172"/>
      <c r="ZT220" s="172"/>
      <c r="ZU220" s="172"/>
      <c r="ZV220" s="172"/>
      <c r="ZW220" s="172"/>
      <c r="ZX220" s="172"/>
      <c r="ZY220" s="172"/>
      <c r="ZZ220" s="172"/>
      <c r="AAA220" s="172"/>
      <c r="AAB220" s="172"/>
      <c r="AAC220" s="172"/>
      <c r="AAD220" s="172"/>
      <c r="AAE220" s="172"/>
      <c r="AAF220" s="172"/>
      <c r="AAG220" s="172"/>
      <c r="AAH220" s="172"/>
      <c r="AAI220" s="172"/>
      <c r="AAJ220" s="172"/>
      <c r="AAK220" s="172"/>
      <c r="AAL220" s="172"/>
      <c r="AAM220" s="172"/>
      <c r="AAN220" s="172"/>
      <c r="AAO220" s="172"/>
      <c r="AAP220" s="172"/>
      <c r="AAQ220" s="172"/>
      <c r="AAR220" s="172"/>
      <c r="AAS220" s="172"/>
      <c r="AAT220" s="172"/>
      <c r="AAU220" s="172"/>
      <c r="AAV220" s="172"/>
      <c r="AAW220" s="172"/>
      <c r="AAX220" s="172"/>
      <c r="AAY220" s="172"/>
      <c r="AAZ220" s="172"/>
      <c r="ABA220" s="172"/>
      <c r="ABB220" s="172"/>
      <c r="ABC220" s="172"/>
      <c r="ABD220" s="172"/>
      <c r="ABE220" s="172"/>
      <c r="ABF220" s="172"/>
      <c r="ABG220" s="172"/>
      <c r="ABH220" s="172"/>
      <c r="ABI220" s="172"/>
      <c r="ABJ220" s="172"/>
      <c r="ABK220" s="172"/>
      <c r="ABL220" s="172"/>
      <c r="ABM220" s="172"/>
      <c r="ABN220" s="172"/>
      <c r="ABO220" s="172"/>
      <c r="ABP220" s="172"/>
      <c r="ABQ220" s="172"/>
      <c r="ABR220" s="172"/>
      <c r="ABS220" s="172"/>
      <c r="ABT220" s="172"/>
      <c r="ABU220" s="172"/>
      <c r="ABV220" s="172"/>
      <c r="ABW220" s="172"/>
      <c r="ABX220" s="172"/>
      <c r="ABY220" s="172"/>
      <c r="ABZ220" s="172"/>
      <c r="ACA220" s="172"/>
      <c r="ACB220" s="172"/>
      <c r="ACC220" s="172"/>
      <c r="ACD220" s="172"/>
      <c r="ACE220" s="172"/>
      <c r="ACF220" s="172"/>
      <c r="ACG220" s="172"/>
      <c r="ACH220" s="172"/>
      <c r="ACI220" s="172"/>
      <c r="ACJ220" s="172"/>
      <c r="ACK220" s="172"/>
      <c r="ACL220" s="172"/>
      <c r="ACM220" s="172"/>
      <c r="ACN220" s="172"/>
      <c r="ACO220" s="172"/>
      <c r="ACP220" s="172"/>
      <c r="ACQ220" s="172"/>
      <c r="ACR220" s="172"/>
      <c r="ACS220" s="172"/>
      <c r="ACT220" s="172"/>
      <c r="ACU220" s="172"/>
      <c r="ACV220" s="172"/>
      <c r="ACW220" s="172"/>
      <c r="ACX220" s="172"/>
      <c r="ACY220" s="172"/>
      <c r="ACZ220" s="172"/>
      <c r="ADA220" s="172"/>
      <c r="ADB220" s="172"/>
      <c r="ADC220" s="172"/>
      <c r="ADD220" s="172"/>
      <c r="ADE220" s="172"/>
      <c r="ADF220" s="172"/>
      <c r="ADG220" s="172"/>
      <c r="ADH220" s="172"/>
      <c r="ADI220" s="172"/>
      <c r="ADJ220" s="172"/>
      <c r="ADK220" s="172"/>
      <c r="ADL220" s="172"/>
      <c r="ADM220" s="172"/>
      <c r="ADN220" s="172"/>
      <c r="ADO220" s="172"/>
      <c r="ADP220" s="172"/>
      <c r="ADQ220" s="172"/>
      <c r="ADR220" s="172"/>
      <c r="ADS220" s="172"/>
      <c r="ADT220" s="172"/>
      <c r="ADU220" s="172"/>
      <c r="ADV220" s="172"/>
      <c r="ADW220" s="172"/>
      <c r="ADX220" s="172"/>
      <c r="ADY220" s="172"/>
      <c r="ADZ220" s="172"/>
      <c r="AEA220" s="172"/>
      <c r="AEB220" s="172"/>
      <c r="AEC220" s="172"/>
      <c r="AED220" s="172"/>
      <c r="AEE220" s="172"/>
      <c r="AEF220" s="172"/>
      <c r="AEG220" s="172"/>
      <c r="AEH220" s="172"/>
      <c r="AEI220" s="172"/>
      <c r="AEJ220" s="172"/>
      <c r="AEK220" s="172"/>
      <c r="AEL220" s="172"/>
      <c r="AEM220" s="172"/>
      <c r="AEN220" s="172"/>
      <c r="AEO220" s="172"/>
      <c r="AEP220" s="172"/>
      <c r="AEQ220" s="172"/>
      <c r="AER220" s="172"/>
      <c r="AES220" s="172"/>
      <c r="AET220" s="172"/>
      <c r="AEU220" s="172"/>
      <c r="AEV220" s="172"/>
      <c r="AEW220" s="172"/>
      <c r="AEX220" s="172"/>
      <c r="AEY220" s="172"/>
      <c r="AEZ220" s="172"/>
      <c r="AFA220" s="172"/>
      <c r="AFB220" s="172"/>
      <c r="AFC220" s="172"/>
      <c r="AFD220" s="172"/>
      <c r="AFE220" s="172"/>
      <c r="AFF220" s="172"/>
      <c r="AFG220" s="172"/>
      <c r="AFH220" s="172"/>
      <c r="AFI220" s="172"/>
      <c r="AFJ220" s="172"/>
      <c r="AFK220" s="172"/>
      <c r="AFL220" s="172"/>
      <c r="AFM220" s="172"/>
      <c r="AFN220" s="172"/>
      <c r="AFO220" s="172"/>
      <c r="AFP220" s="172"/>
      <c r="AFQ220" s="172"/>
      <c r="AFR220" s="172"/>
      <c r="AFS220" s="172"/>
      <c r="AFT220" s="172"/>
      <c r="AFU220" s="172"/>
      <c r="AFV220" s="172"/>
      <c r="AFW220" s="172"/>
      <c r="AFX220" s="172"/>
      <c r="AFY220" s="172"/>
      <c r="AFZ220" s="172"/>
      <c r="AGA220" s="172"/>
      <c r="AGB220" s="172"/>
      <c r="AGC220" s="172"/>
      <c r="AGD220" s="172"/>
      <c r="AGE220" s="172"/>
      <c r="AGF220" s="172"/>
      <c r="AGG220" s="172"/>
      <c r="AGH220" s="172"/>
      <c r="AGI220" s="172"/>
      <c r="AGJ220" s="172"/>
      <c r="AGK220" s="172"/>
      <c r="AGL220" s="172"/>
      <c r="AGM220" s="172"/>
      <c r="AGN220" s="172"/>
      <c r="AGO220" s="172"/>
      <c r="AGP220" s="172"/>
      <c r="AGQ220" s="172"/>
      <c r="AGR220" s="172"/>
      <c r="AGS220" s="172"/>
      <c r="AGT220" s="172"/>
      <c r="AGU220" s="172"/>
      <c r="AGV220" s="172"/>
      <c r="AGW220" s="172"/>
      <c r="AGX220" s="172"/>
      <c r="AGY220" s="172"/>
      <c r="AGZ220" s="172"/>
      <c r="AHA220" s="172"/>
      <c r="AHB220" s="172"/>
      <c r="AHC220" s="172"/>
      <c r="AHD220" s="172"/>
      <c r="AHE220" s="172"/>
      <c r="AHF220" s="172"/>
      <c r="AHG220" s="172"/>
      <c r="AHH220" s="172"/>
      <c r="AHI220" s="172"/>
      <c r="AHJ220" s="172"/>
      <c r="AHK220" s="172"/>
      <c r="AHL220" s="172"/>
      <c r="AHM220" s="172"/>
      <c r="AHN220" s="172"/>
      <c r="AHO220" s="172"/>
      <c r="AHP220" s="172"/>
      <c r="AHQ220" s="172"/>
      <c r="AHR220" s="172"/>
      <c r="AHS220" s="172"/>
      <c r="AHT220" s="172"/>
      <c r="AHU220" s="172"/>
      <c r="AHV220" s="172"/>
      <c r="AHW220" s="172"/>
      <c r="AHX220" s="172"/>
      <c r="AHY220" s="172"/>
      <c r="AHZ220" s="172"/>
      <c r="AIA220" s="172"/>
      <c r="AIB220" s="172"/>
      <c r="AIC220" s="172"/>
      <c r="AID220" s="172"/>
      <c r="AIE220" s="172"/>
      <c r="AIF220" s="172"/>
      <c r="AIG220" s="172"/>
      <c r="AIH220" s="172"/>
      <c r="AII220" s="172"/>
      <c r="AIJ220" s="172"/>
      <c r="AIK220" s="172"/>
      <c r="AIL220" s="172"/>
      <c r="AIM220" s="172"/>
      <c r="AIN220" s="172"/>
      <c r="AIO220" s="172"/>
      <c r="AIP220" s="172"/>
      <c r="AIQ220" s="172"/>
      <c r="AIR220" s="172"/>
      <c r="AIS220" s="172"/>
      <c r="AIT220" s="172"/>
      <c r="AIU220" s="172"/>
      <c r="AIV220" s="172"/>
      <c r="AIW220" s="172"/>
      <c r="AIX220" s="172"/>
      <c r="AIY220" s="172"/>
      <c r="AIZ220" s="172"/>
      <c r="AJA220" s="172"/>
      <c r="AJB220" s="172"/>
      <c r="AJC220" s="172"/>
      <c r="AJD220" s="172"/>
      <c r="AJE220" s="172"/>
      <c r="AJF220" s="172"/>
      <c r="AJG220" s="172"/>
      <c r="AJH220" s="172"/>
      <c r="AJI220" s="172"/>
      <c r="AJJ220" s="172"/>
      <c r="AJK220" s="172"/>
      <c r="AJL220" s="172"/>
      <c r="AJM220" s="172"/>
      <c r="AJN220" s="172"/>
      <c r="AJO220" s="172"/>
      <c r="AJP220" s="172"/>
      <c r="AJQ220" s="172"/>
      <c r="AJR220" s="172"/>
      <c r="AJS220" s="172"/>
      <c r="AJT220" s="172"/>
      <c r="AJU220" s="172"/>
      <c r="AJV220" s="172"/>
      <c r="AJW220" s="172"/>
      <c r="AJX220" s="172"/>
      <c r="AJY220" s="172"/>
      <c r="AJZ220" s="172"/>
      <c r="AKA220" s="172"/>
      <c r="AKB220" s="172"/>
      <c r="AKC220" s="172"/>
      <c r="AKD220" s="172"/>
      <c r="AKE220" s="172"/>
      <c r="AKF220" s="172"/>
      <c r="AKG220" s="172"/>
      <c r="AKH220" s="172"/>
      <c r="AKI220" s="172"/>
      <c r="AKJ220" s="172"/>
      <c r="AKK220" s="172"/>
      <c r="AKL220" s="172"/>
      <c r="AKM220" s="172"/>
      <c r="AKN220" s="172"/>
      <c r="AKO220" s="172"/>
      <c r="AKP220" s="172"/>
      <c r="AKQ220" s="172"/>
      <c r="AKR220" s="172"/>
      <c r="AKS220" s="172"/>
      <c r="AKT220" s="172"/>
      <c r="AKU220" s="172"/>
      <c r="AKV220" s="172"/>
      <c r="AKW220" s="172"/>
      <c r="AKX220" s="172"/>
      <c r="AKY220" s="172"/>
      <c r="AKZ220" s="172"/>
      <c r="ALA220" s="172"/>
      <c r="ALB220" s="172"/>
      <c r="ALC220" s="172"/>
      <c r="ALD220" s="172"/>
      <c r="ALE220" s="172"/>
      <c r="ALF220" s="172"/>
      <c r="ALG220" s="172"/>
      <c r="ALH220" s="172"/>
      <c r="ALI220" s="172"/>
      <c r="ALJ220" s="172"/>
      <c r="ALK220" s="172"/>
      <c r="ALL220" s="172"/>
      <c r="ALM220" s="172"/>
      <c r="ALN220" s="172"/>
      <c r="ALO220" s="172"/>
      <c r="ALP220" s="172"/>
      <c r="ALQ220" s="172"/>
      <c r="ALR220" s="172"/>
      <c r="ALS220" s="172"/>
      <c r="ALT220" s="172"/>
      <c r="ALU220" s="172"/>
      <c r="ALV220" s="172"/>
      <c r="ALW220" s="172"/>
      <c r="ALX220" s="172"/>
      <c r="ALY220" s="172"/>
      <c r="ALZ220" s="172"/>
      <c r="AMA220" s="172"/>
      <c r="AMB220" s="172"/>
      <c r="AMC220" s="172"/>
      <c r="AMD220" s="172"/>
      <c r="AME220" s="172"/>
      <c r="AMF220" s="172"/>
      <c r="AMG220" s="172"/>
      <c r="AMH220" s="172"/>
      <c r="AMI220" s="172"/>
      <c r="AMJ220" s="172"/>
      <c r="AMK220" s="172"/>
      <c r="AML220" s="172"/>
      <c r="AMM220" s="172"/>
      <c r="AMN220" s="172"/>
      <c r="AMO220" s="172"/>
      <c r="AMP220" s="172"/>
      <c r="AMQ220" s="172"/>
      <c r="AMR220" s="172"/>
      <c r="AMS220" s="172"/>
      <c r="AMT220" s="172"/>
      <c r="AMU220" s="172"/>
      <c r="AMV220" s="172"/>
      <c r="AMW220" s="172"/>
      <c r="AMX220" s="172"/>
      <c r="AMY220" s="172"/>
      <c r="AMZ220" s="172"/>
      <c r="ANA220" s="172"/>
      <c r="ANB220" s="172"/>
      <c r="ANC220" s="172"/>
      <c r="AND220" s="172"/>
      <c r="ANE220" s="172"/>
      <c r="ANF220" s="172"/>
      <c r="ANG220" s="172"/>
      <c r="ANH220" s="172"/>
      <c r="ANI220" s="172"/>
      <c r="ANJ220" s="172"/>
      <c r="ANK220" s="172"/>
      <c r="ANL220" s="172"/>
      <c r="ANM220" s="172"/>
      <c r="ANN220" s="172"/>
      <c r="ANO220" s="172"/>
      <c r="ANP220" s="172"/>
      <c r="ANQ220" s="172"/>
      <c r="ANR220" s="172"/>
      <c r="ANS220" s="172"/>
      <c r="ANT220" s="172"/>
      <c r="ANU220" s="172"/>
      <c r="ANV220" s="172"/>
      <c r="ANW220" s="172"/>
      <c r="ANX220" s="172"/>
      <c r="ANY220" s="172"/>
      <c r="ANZ220" s="172"/>
      <c r="AOA220" s="172"/>
      <c r="AOB220" s="172"/>
      <c r="AOC220" s="172"/>
      <c r="AOD220" s="172"/>
      <c r="AOE220" s="172"/>
      <c r="AOF220" s="172"/>
      <c r="AOG220" s="172"/>
      <c r="AOH220" s="172"/>
      <c r="AOI220" s="172"/>
      <c r="AOJ220" s="172"/>
      <c r="AOK220" s="172"/>
      <c r="AOL220" s="172"/>
      <c r="AOM220" s="172"/>
      <c r="AON220" s="172"/>
      <c r="AOO220" s="172"/>
      <c r="AOP220" s="172"/>
      <c r="AOQ220" s="172"/>
      <c r="AOR220" s="172"/>
      <c r="AOS220" s="172"/>
      <c r="AOT220" s="172"/>
      <c r="AOU220" s="172"/>
      <c r="AOV220" s="172"/>
      <c r="AOW220" s="172"/>
      <c r="AOX220" s="172"/>
      <c r="AOY220" s="172"/>
      <c r="AOZ220" s="172"/>
      <c r="APA220" s="172"/>
      <c r="APB220" s="172"/>
      <c r="APC220" s="172"/>
      <c r="APD220" s="172"/>
      <c r="APE220" s="172"/>
      <c r="APF220" s="172"/>
      <c r="APG220" s="172"/>
      <c r="APH220" s="172"/>
      <c r="API220" s="172"/>
      <c r="APJ220" s="172"/>
      <c r="APK220" s="172"/>
      <c r="APL220" s="172"/>
      <c r="APM220" s="172"/>
      <c r="APN220" s="172"/>
      <c r="APO220" s="172"/>
      <c r="APP220" s="172"/>
      <c r="APQ220" s="172"/>
      <c r="APR220" s="172"/>
      <c r="APS220" s="172"/>
      <c r="APT220" s="172"/>
      <c r="APU220" s="172"/>
      <c r="APV220" s="172"/>
      <c r="APW220" s="172"/>
      <c r="APX220" s="172"/>
      <c r="APY220" s="172"/>
      <c r="APZ220" s="172"/>
      <c r="AQA220" s="172"/>
      <c r="AQB220" s="172"/>
      <c r="AQC220" s="172"/>
      <c r="AQD220" s="172"/>
      <c r="AQE220" s="172"/>
      <c r="AQF220" s="172"/>
      <c r="AQG220" s="172"/>
      <c r="AQH220" s="172"/>
      <c r="AQI220" s="172"/>
      <c r="AQJ220" s="172"/>
      <c r="AQK220" s="172"/>
      <c r="AQL220" s="172"/>
      <c r="AQM220" s="172"/>
      <c r="AQN220" s="172"/>
      <c r="AQO220" s="172"/>
      <c r="AQP220" s="172"/>
      <c r="AQQ220" s="172"/>
      <c r="AQR220" s="172"/>
      <c r="AQS220" s="172"/>
      <c r="AQT220" s="172"/>
      <c r="AQU220" s="172"/>
      <c r="AQV220" s="172"/>
      <c r="AQW220" s="172"/>
      <c r="AQX220" s="172"/>
      <c r="AQY220" s="172"/>
      <c r="AQZ220" s="172"/>
      <c r="ARA220" s="172"/>
      <c r="ARB220" s="172"/>
      <c r="ARC220" s="172"/>
      <c r="ARD220" s="172"/>
      <c r="ARE220" s="172"/>
      <c r="ARF220" s="172"/>
      <c r="ARG220" s="172"/>
      <c r="ARH220" s="172"/>
      <c r="ARI220" s="172"/>
      <c r="ARJ220" s="172"/>
      <c r="ARK220" s="172"/>
      <c r="ARL220" s="172"/>
      <c r="ARM220" s="172"/>
      <c r="ARN220" s="172"/>
      <c r="ARO220" s="172"/>
      <c r="ARP220" s="172"/>
      <c r="ARQ220" s="172"/>
      <c r="ARR220" s="172"/>
      <c r="ARS220" s="172"/>
      <c r="ART220" s="172"/>
      <c r="ARU220" s="172"/>
    </row>
    <row r="221" spans="1:1165">
      <c r="A221" s="1483"/>
      <c r="B221" s="1497"/>
      <c r="C221" s="1489"/>
      <c r="D221" s="1489"/>
      <c r="E221" s="1489"/>
      <c r="F221" s="1489"/>
      <c r="G221" s="1489"/>
      <c r="H221" s="1489"/>
      <c r="I221" s="1489"/>
      <c r="J221" s="1489"/>
      <c r="K221" s="1489"/>
      <c r="L221" s="1489"/>
      <c r="M221" s="1489"/>
      <c r="N221" s="1489"/>
      <c r="O221" s="1489"/>
      <c r="P221" s="1489"/>
      <c r="Q221" s="1489"/>
      <c r="R221" s="1489"/>
      <c r="S221" s="1489"/>
      <c r="T221" s="1489"/>
      <c r="U221" s="1521"/>
      <c r="V221" s="1521"/>
      <c r="W221" s="1516"/>
      <c r="X221" s="1489"/>
      <c r="Y221" s="1512"/>
      <c r="Z221" s="1512"/>
      <c r="AA221" s="1516"/>
      <c r="AB221" s="1517"/>
      <c r="AC221" s="1512"/>
      <c r="AD221" s="1512"/>
      <c r="AE221" s="1516"/>
      <c r="AF221" s="1516"/>
      <c r="AG221" s="1516"/>
      <c r="AH221" s="1516"/>
      <c r="AI221" s="1516"/>
      <c r="AJ221" s="1516"/>
      <c r="AK221" s="1516"/>
      <c r="AL221" s="1516"/>
      <c r="AM221" s="1516"/>
      <c r="AN221" s="1516"/>
      <c r="AO221" s="1516"/>
      <c r="AP221" s="1516"/>
      <c r="AQ221" s="1516"/>
      <c r="AR221" s="1516"/>
      <c r="AS221" s="1516"/>
      <c r="AT221" s="1516"/>
      <c r="AU221" s="1516"/>
      <c r="AV221" s="1517"/>
      <c r="AW221" s="1522"/>
      <c r="AX221" s="1522"/>
      <c r="AY221" s="1534"/>
      <c r="AZ221" s="1534"/>
      <c r="BA221" s="1523"/>
      <c r="BB221" s="1522"/>
      <c r="BC221" s="1522"/>
      <c r="BD221" s="1522"/>
      <c r="BE221" s="1522"/>
      <c r="BF221" s="1522"/>
      <c r="BG221" s="1522"/>
      <c r="BH221" s="1522"/>
      <c r="BI221" s="1523"/>
      <c r="BJ221" s="1522"/>
      <c r="BK221" s="1522"/>
      <c r="BL221" s="172"/>
      <c r="BN221" s="231"/>
      <c r="BO221" s="231"/>
    </row>
    <row r="222" spans="1:1165">
      <c r="A222" s="194" t="s">
        <v>288</v>
      </c>
      <c r="B222" s="213" t="s">
        <v>87</v>
      </c>
      <c r="C222" s="284">
        <v>4640</v>
      </c>
      <c r="D222" s="284">
        <v>48810</v>
      </c>
      <c r="E222" s="284">
        <v>159</v>
      </c>
      <c r="F222" s="284">
        <v>1590</v>
      </c>
      <c r="G222" s="284">
        <v>0</v>
      </c>
      <c r="H222" s="284">
        <v>0</v>
      </c>
      <c r="I222" s="284">
        <v>429</v>
      </c>
      <c r="J222" s="284">
        <v>7040</v>
      </c>
      <c r="K222" s="284">
        <v>56</v>
      </c>
      <c r="L222" s="284">
        <v>840</v>
      </c>
      <c r="M222" s="284">
        <v>423</v>
      </c>
      <c r="N222" s="284">
        <v>7275</v>
      </c>
      <c r="O222" s="284">
        <v>615</v>
      </c>
      <c r="P222" s="284">
        <v>9245</v>
      </c>
      <c r="Q222" s="284">
        <v>657</v>
      </c>
      <c r="R222" s="284">
        <v>13142</v>
      </c>
      <c r="S222" s="284">
        <v>1409</v>
      </c>
      <c r="T222" s="284">
        <v>28226</v>
      </c>
      <c r="U222" s="284">
        <v>1165</v>
      </c>
      <c r="V222" s="284">
        <v>146416</v>
      </c>
      <c r="W222" s="284">
        <v>306</v>
      </c>
      <c r="X222" s="284">
        <v>54268</v>
      </c>
      <c r="Y222" s="284">
        <v>43</v>
      </c>
      <c r="Z222" s="284">
        <v>7691</v>
      </c>
      <c r="AA222" s="302">
        <v>580</v>
      </c>
      <c r="AB222" s="302">
        <v>103018</v>
      </c>
      <c r="AC222" s="284">
        <v>308</v>
      </c>
      <c r="AD222" s="284">
        <v>54754</v>
      </c>
      <c r="AE222" s="302">
        <v>0</v>
      </c>
      <c r="AF222" s="302">
        <v>0</v>
      </c>
      <c r="AG222" s="288">
        <v>0</v>
      </c>
      <c r="AH222" s="288">
        <v>0</v>
      </c>
      <c r="AI222" s="288">
        <v>0</v>
      </c>
      <c r="AJ222" s="288">
        <v>0</v>
      </c>
      <c r="AK222" s="288">
        <v>0</v>
      </c>
      <c r="AL222" s="288">
        <v>0</v>
      </c>
      <c r="AM222" s="288">
        <v>0</v>
      </c>
      <c r="AN222" s="288">
        <v>0</v>
      </c>
      <c r="AO222" s="288">
        <v>0</v>
      </c>
      <c r="AP222" s="288">
        <v>0</v>
      </c>
      <c r="AQ222" s="288">
        <v>0</v>
      </c>
      <c r="AR222" s="288">
        <v>0</v>
      </c>
      <c r="AS222" s="288">
        <v>0</v>
      </c>
      <c r="AT222" s="288">
        <v>0</v>
      </c>
      <c r="AU222" s="288">
        <v>0</v>
      </c>
      <c r="AV222" s="288">
        <v>0</v>
      </c>
      <c r="AW222" s="288">
        <v>0</v>
      </c>
      <c r="AX222" s="288">
        <v>0</v>
      </c>
      <c r="AY222" s="288">
        <v>0</v>
      </c>
      <c r="AZ222" s="288">
        <v>0</v>
      </c>
      <c r="BA222" s="225"/>
      <c r="BB222" s="288"/>
      <c r="BC222" s="285"/>
      <c r="BD222" s="288"/>
      <c r="BE222" s="225"/>
      <c r="BF222" s="288"/>
      <c r="BG222" s="285"/>
      <c r="BH222" s="288"/>
      <c r="BI222" s="225"/>
      <c r="BJ222" s="266">
        <f>C222+G222+I222+K222+M222+O222+Q222+S222+U222+W222+Y222+AA222+AC222+AE222+AG222+AI222+AK222+AM222+AO222+AQ222+AS222+AU222+AW222+AY222+BB222+BF222</f>
        <v>10631</v>
      </c>
      <c r="BK222" s="258">
        <f>D222+H222+J222+L222+N222+P222+R222+T222+V222+X222+Z222+AB222+AD222+AF222+AH222+AJ222+AL222+AN222+AP222+AR222+AT222+AV222+AX222+AZ222+BD222+BH222</f>
        <v>480725</v>
      </c>
      <c r="BL222" s="172"/>
      <c r="BN222" s="231"/>
      <c r="BO222" s="231"/>
    </row>
    <row r="223" spans="1:1165">
      <c r="A223" s="194"/>
      <c r="B223" s="213"/>
      <c r="C223" s="284"/>
      <c r="D223" s="284"/>
      <c r="E223" s="284"/>
      <c r="F223" s="284"/>
      <c r="G223" s="284"/>
      <c r="H223" s="284"/>
      <c r="I223" s="284"/>
      <c r="J223" s="284"/>
      <c r="K223" s="284"/>
      <c r="L223" s="284"/>
      <c r="M223" s="284"/>
      <c r="N223" s="284"/>
      <c r="O223" s="284"/>
      <c r="P223" s="284"/>
      <c r="Q223" s="284"/>
      <c r="R223" s="284"/>
      <c r="S223" s="284"/>
      <c r="T223" s="284"/>
      <c r="U223" s="288"/>
      <c r="V223" s="288"/>
      <c r="W223" s="288"/>
      <c r="X223" s="284"/>
      <c r="Y223" s="284"/>
      <c r="Z223" s="284"/>
      <c r="AA223" s="302"/>
      <c r="AB223" s="302"/>
      <c r="AC223" s="284"/>
      <c r="AD223" s="284"/>
      <c r="AE223" s="302"/>
      <c r="AF223" s="302"/>
      <c r="AG223" s="288"/>
      <c r="AH223" s="288"/>
      <c r="AI223" s="288"/>
      <c r="AJ223" s="288"/>
      <c r="AK223" s="288"/>
      <c r="AL223" s="288"/>
      <c r="AM223" s="288"/>
      <c r="AN223" s="288"/>
      <c r="AO223" s="288"/>
      <c r="AP223" s="288"/>
      <c r="AQ223" s="288"/>
      <c r="AR223" s="288"/>
      <c r="AS223" s="288"/>
      <c r="AT223" s="288"/>
      <c r="AU223" s="288"/>
      <c r="AV223" s="302"/>
      <c r="AW223" s="266"/>
      <c r="AX223" s="266"/>
      <c r="AY223" s="303"/>
      <c r="AZ223" s="303"/>
      <c r="BA223" s="225"/>
      <c r="BB223" s="266"/>
      <c r="BC223" s="266"/>
      <c r="BD223" s="266"/>
      <c r="BE223" s="266"/>
      <c r="BF223" s="266"/>
      <c r="BG223" s="266"/>
      <c r="BH223" s="266"/>
      <c r="BI223" s="225"/>
      <c r="BJ223" s="266"/>
      <c r="BK223" s="266"/>
      <c r="BL223" s="172"/>
      <c r="BN223" s="231"/>
      <c r="BO223" s="231"/>
    </row>
    <row r="224" spans="1:1165">
      <c r="A224" s="1535" t="s">
        <v>777</v>
      </c>
      <c r="B224" s="1536"/>
      <c r="C224" s="1537"/>
      <c r="D224" s="1538">
        <f>D226-D187</f>
        <v>15634703815</v>
      </c>
      <c r="E224" s="1537"/>
      <c r="F224" s="1539">
        <f>F226-F187</f>
        <v>2413726118</v>
      </c>
      <c r="G224" s="1537"/>
      <c r="H224" s="1539">
        <f>H226-H187</f>
        <v>2392080425</v>
      </c>
      <c r="I224" s="1537"/>
      <c r="J224" s="1539">
        <f>J226-J187</f>
        <v>3046052124</v>
      </c>
      <c r="K224" s="1537"/>
      <c r="L224" s="1539">
        <f>L226-L187</f>
        <v>3321472019</v>
      </c>
      <c r="M224" s="1537"/>
      <c r="N224" s="1539">
        <f>N226-N187</f>
        <v>3788892028</v>
      </c>
      <c r="O224" s="1537"/>
      <c r="P224" s="1539">
        <f>P226-P187</f>
        <v>4619643170</v>
      </c>
      <c r="Q224" s="1537"/>
      <c r="R224" s="1539">
        <f>R226-R187</f>
        <v>4902057293</v>
      </c>
      <c r="S224" s="1537"/>
      <c r="T224" s="1539">
        <f>T226-T187</f>
        <v>5559432708.1999998</v>
      </c>
      <c r="U224" s="1540"/>
      <c r="V224" s="1541">
        <f>V226-V187</f>
        <v>6482434780</v>
      </c>
      <c r="W224" s="1540"/>
      <c r="X224" s="1539">
        <f>X226-X187</f>
        <v>8588544659.2000008</v>
      </c>
      <c r="Y224" s="1537"/>
      <c r="Z224" s="1539">
        <f>Z226-Z187</f>
        <v>9745992909</v>
      </c>
      <c r="AA224" s="1542"/>
      <c r="AB224" s="1543">
        <f>AB226-AB187</f>
        <v>9612062194.3999996</v>
      </c>
      <c r="AC224" s="1537"/>
      <c r="AD224" s="1539">
        <f>AD226-AD187</f>
        <v>9518375904</v>
      </c>
      <c r="AE224" s="1542"/>
      <c r="AF224" s="1543">
        <f>AF226-AF187</f>
        <v>9929132572</v>
      </c>
      <c r="AG224" s="1540"/>
      <c r="AH224" s="1541">
        <f>AH226-AH187</f>
        <v>9808995761</v>
      </c>
      <c r="AI224" s="1540"/>
      <c r="AJ224" s="1541">
        <f>AJ226-AJ187</f>
        <v>10955749953</v>
      </c>
      <c r="AK224" s="1540"/>
      <c r="AL224" s="1541">
        <f>AL226-AL187</f>
        <v>11388031775.356386</v>
      </c>
      <c r="AM224" s="1540"/>
      <c r="AN224" s="1541">
        <f>AN226-AN187</f>
        <v>12262207259.583641</v>
      </c>
      <c r="AO224" s="1540"/>
      <c r="AP224" s="1541">
        <f>AP226-AP187</f>
        <v>13322248845</v>
      </c>
      <c r="AQ224" s="1540"/>
      <c r="AR224" s="1541">
        <f>AR226-AR187</f>
        <v>12191852411.666513</v>
      </c>
      <c r="AS224" s="1540"/>
      <c r="AT224" s="1541">
        <f>AT226-AT187</f>
        <v>15794010503.422035</v>
      </c>
      <c r="AU224" s="1540"/>
      <c r="AV224" s="1543">
        <f>AV226-AV187</f>
        <v>17327540780.648415</v>
      </c>
      <c r="AW224" s="1544"/>
      <c r="AX224" s="1545">
        <f>AX226-AX187</f>
        <v>17065415798</v>
      </c>
      <c r="AY224" s="1546"/>
      <c r="AZ224" s="1545">
        <f>AZ226-AZ187</f>
        <v>16995215413.330002</v>
      </c>
      <c r="BA224" s="1547"/>
      <c r="BB224" s="1544"/>
      <c r="BC224" s="1544"/>
      <c r="BD224" s="1544"/>
      <c r="BE224" s="1544"/>
      <c r="BF224" s="1544"/>
      <c r="BG224" s="1544"/>
      <c r="BH224" s="1544"/>
      <c r="BI224" s="1547"/>
      <c r="BJ224" s="1544"/>
      <c r="BK224" s="1545">
        <f>BK226-BK187</f>
        <v>234252145101.80695</v>
      </c>
      <c r="BL224" s="172"/>
      <c r="BN224" s="231"/>
      <c r="BO224" s="231"/>
    </row>
    <row r="225" spans="1:1165">
      <c r="A225" s="1535"/>
      <c r="B225" s="1536"/>
      <c r="C225" s="1537"/>
      <c r="D225" s="1537"/>
      <c r="E225" s="1537"/>
      <c r="F225" s="1537"/>
      <c r="G225" s="1537"/>
      <c r="H225" s="1537"/>
      <c r="I225" s="1537"/>
      <c r="J225" s="1537"/>
      <c r="K225" s="1537"/>
      <c r="L225" s="1537"/>
      <c r="M225" s="1537"/>
      <c r="N225" s="1537"/>
      <c r="O225" s="1537"/>
      <c r="P225" s="1537"/>
      <c r="Q225" s="1537"/>
      <c r="R225" s="1537"/>
      <c r="S225" s="1537"/>
      <c r="T225" s="1537"/>
      <c r="U225" s="1540"/>
      <c r="V225" s="1540"/>
      <c r="W225" s="1540"/>
      <c r="X225" s="1537"/>
      <c r="Y225" s="1537"/>
      <c r="Z225" s="1537"/>
      <c r="AA225" s="1542"/>
      <c r="AB225" s="1542"/>
      <c r="AC225" s="1537"/>
      <c r="AD225" s="1537"/>
      <c r="AE225" s="1542"/>
      <c r="AF225" s="1542"/>
      <c r="AG225" s="1540"/>
      <c r="AH225" s="1540"/>
      <c r="AI225" s="1540"/>
      <c r="AJ225" s="1540"/>
      <c r="AK225" s="1540"/>
      <c r="AL225" s="1540"/>
      <c r="AM225" s="1540"/>
      <c r="AN225" s="1540"/>
      <c r="AO225" s="1540"/>
      <c r="AP225" s="1540"/>
      <c r="AQ225" s="1540"/>
      <c r="AR225" s="1540"/>
      <c r="AS225" s="1540"/>
      <c r="AT225" s="1540"/>
      <c r="AU225" s="1540"/>
      <c r="AV225" s="1542"/>
      <c r="AW225" s="1544"/>
      <c r="AX225" s="1544"/>
      <c r="AY225" s="1546"/>
      <c r="AZ225" s="1546"/>
      <c r="BA225" s="1547"/>
      <c r="BB225" s="1544"/>
      <c r="BC225" s="1544"/>
      <c r="BD225" s="1544"/>
      <c r="BE225" s="1544"/>
      <c r="BF225" s="1544"/>
      <c r="BG225" s="1544"/>
      <c r="BH225" s="1544"/>
      <c r="BI225" s="1547"/>
      <c r="BJ225" s="1544"/>
      <c r="BK225" s="1544"/>
      <c r="BL225" s="172"/>
      <c r="BN225" s="231"/>
      <c r="BO225" s="231"/>
    </row>
    <row r="226" spans="1:1165" s="257" customFormat="1">
      <c r="A226" s="1535" t="s">
        <v>778</v>
      </c>
      <c r="B226" s="1548"/>
      <c r="C226" s="1538"/>
      <c r="D226" s="1538">
        <f>D14+D16+D18+D20+D27+D29+D40+D42+D44+D57+D59+D67+D69+D71+D84+D108+D110+D112+D114+D116+D131+D136+D143+D148+D157+D159+D161+D174+D176+D178+D187+D189+D194+D196+D198+D204+D206+D208+D210+D212+D155+D218+D220+D222</f>
        <v>16619181608</v>
      </c>
      <c r="E226" s="1538"/>
      <c r="F226" s="1538">
        <v>2708313125</v>
      </c>
      <c r="G226" s="1538"/>
      <c r="H226" s="1538">
        <v>2699976770</v>
      </c>
      <c r="I226" s="1538"/>
      <c r="J226" s="1538">
        <v>3341192354</v>
      </c>
      <c r="K226" s="1538"/>
      <c r="L226" s="1538">
        <v>3677428832</v>
      </c>
      <c r="M226" s="1538"/>
      <c r="N226" s="1538">
        <v>4177624611</v>
      </c>
      <c r="O226" s="1538"/>
      <c r="P226" s="1538">
        <v>5233201179</v>
      </c>
      <c r="Q226" s="1538"/>
      <c r="R226" s="1538">
        <f>R14+R29+R40+R44+R57+R59+R67+R69+R71+R84+R108+R112+R116+R131+R136+R143+R148+R157+R159+R174+R178+R187+R193+R198+R204+R206+R210+R212+R155+R220+R222</f>
        <v>5485424979</v>
      </c>
      <c r="S226" s="1538"/>
      <c r="T226" s="1538">
        <f>T14+T29+T40+T44+T57+T59+T67+T69+T71+T84+T108+T112+T116+T131+T136+T143+T148+T157+T159+T174+T178+T187+T193+T198+T204+T206+T210+T212+T155+T220+T222</f>
        <v>6335662557.1999998</v>
      </c>
      <c r="U226" s="1549"/>
      <c r="V226" s="1538">
        <f>V14+V29+V40+V44+V57+V59+V67+V69+V71+V84+V108+V112+V116+V131+V136+V143+V148+V157+V159+V174+V178+V187+V193+V198+V204+V206+V210+V212+V155+V220+V222</f>
        <v>7176228736</v>
      </c>
      <c r="W226" s="1550"/>
      <c r="X226" s="1538">
        <f>X14+X29+X40+X44+X57+X59+X67+X69+X71+X84+X108+X112+X116+X131+X136+X143+X148+X157+X159+X174+X178+X187+X193+X198+X204+X206+X210+X212+X155+X220+X222</f>
        <v>9590712045.2000008</v>
      </c>
      <c r="Y226" s="1551"/>
      <c r="Z226" s="1538">
        <f>Z14+Z29+Z40+Z44+Z57+Z59+Z67+Z69+Z71+Z84+Z108+Z112+Z116+Z131+Z136+Z143+Z148+Z157+Z159+Z174+Z178+Z187+Z193+Z198+Z204+Z206+Z210+Z212+Z155+Z220+Z222</f>
        <v>11977641391</v>
      </c>
      <c r="AA226" s="1552"/>
      <c r="AB226" s="1538">
        <f>AB14+AB29+AB40+AB44+AB57+AB59+AB67+AB69+AB71+AB84+AB108+AB112+AB116+AB131+AB136+AB143+AB148+AB157+AB159+AB174+AB178+AB187+AB193+AB198+AB204+AB206+AB210+AB212+AB155+AB220+AB222</f>
        <v>12157379170.4</v>
      </c>
      <c r="AC226" s="1551"/>
      <c r="AD226" s="1538">
        <f>AD14+AD29+AD40+AD44+AD57+AD59+AD67+AD69+AD71+AD84+AD108+AD112+AD116+AD131+AD136+AD143+AD148+AD157+AD159+AD174+AD178+AD187+AD193+AD198+AD204+AD206+AD210+AD212+AD155+AD220+AD222</f>
        <v>12137870814</v>
      </c>
      <c r="AE226" s="1552"/>
      <c r="AF226" s="1538">
        <f>AF14+AF29+AF40+AF44+AF57+AF59+AF67+AF69+AF71+AF84+AF108+AF112+AF116+AF131+AF136+AF143+AF148+AF157+AF159+AF174+AF178+AF187+AF193+AF198+AF204+AF206+AF210+AF212+AF155+AF220+AF222</f>
        <v>12419140609</v>
      </c>
      <c r="AG226" s="1552"/>
      <c r="AH226" s="1538">
        <f>AH14+AH29+AH40+AH44+AH57+AH59+AH67+AH69+AH71+AH84+AH108+AH112+AH116+AH131+AH136+AH143+AH148+AH157+AH159+AH174+AH178+AH187+AH193+AH198+AH204+AH206+AH210+AH212+AH155+AH220+AH222</f>
        <v>13313867454</v>
      </c>
      <c r="AI226" s="1552"/>
      <c r="AJ226" s="1538">
        <f>AJ14+AJ29+AJ40+AJ44+AJ57+AJ59+AJ67+AJ69+AJ71+AJ84+AJ108+AJ112+AJ116+AJ131+AJ136+AJ143+AJ148+AJ157+AJ159+AJ174+AJ178+AJ187+AJ193+AJ198+AJ204+AJ206+AJ210+AJ212+AJ155+AJ220+AJ222</f>
        <v>15163367586</v>
      </c>
      <c r="AK226" s="1552"/>
      <c r="AL226" s="1538">
        <f>AL14+AL29+AL40+AL44+AL57+AL59+AL67+AL69+AL71+AL84+AL108+AL112+AL116+AL131+AL136+AL143+AL148+AL157+AL159+AL174+AL178+AL187+AL193+AL198+AL204+AL206+AL210+AL212+AL155+AL220+AL222</f>
        <v>16479030222.356386</v>
      </c>
      <c r="AM226" s="1552"/>
      <c r="AN226" s="1538">
        <f>AN14+AN29+AN40+AN44+AN57+AN59+AN67+AN69+AN71+AN84+AN108+AN112+AN116+AN131+AN136+AN143+AN148+AN157+AN159+AN174+AN178+AN187+AN193+AN198+AN204+AN206+AN210+AN212+AN155+AN220+AN222</f>
        <v>17419300728.13364</v>
      </c>
      <c r="AO226" s="1552"/>
      <c r="AP226" s="1538">
        <f>AP14+AP29+AP40+AP44+AP57+AP59+AP67+AP69+AP71+AP84+AP108+AP112+AP116+AP131+AP136+AP143+AP148+AP157+AP159+AP174+AP178+AP187+AP193+AP198+AP204+AP206+AP210+AP212+AP155+AP220+AP222</f>
        <v>17779448966</v>
      </c>
      <c r="AQ226" s="1552"/>
      <c r="AR226" s="1538">
        <f>AR14+AR29+AR40+AR44+AR57+AR59+AR67+AR69+AR71+AR84+AR108+AR112+AR116+AR131+AR136+AR143+AR148+AR157+AR159+AR174+AR178+AR187+AR193+AR198+AR204+AR206+AR210+AR212+AR155+AR220+AR222</f>
        <v>17466533637.446514</v>
      </c>
      <c r="AS226" s="1552"/>
      <c r="AT226" s="1538">
        <f>AT14+AT29+AT40+AT44+AT57+AT59+AT67+AT69+AT71+AT84+AT108+AT112+AT116+AT131+AT136+AT143+AT148+AT157+AT159+AT174+AT178+AT187+AT193+AT198+AT204+AT206+AT210+AT212+AT155+AT220+AT222</f>
        <v>26216137904.155067</v>
      </c>
      <c r="AU226" s="1553"/>
      <c r="AV226" s="1538">
        <f>AV14+AV29+AV40+AV44+AV57+AV59+AV67+AV69+AV71+AV84+AV108+AV112+AV116+AV131+AV136+AV143+AV148+AV157+AV159+AV174+AV178+AV187+AV193+AV198+AV204+AV206+AV210+AV212+AV155+AV220+AV222</f>
        <v>27893967339.36834</v>
      </c>
      <c r="AW226" s="1554"/>
      <c r="AX226" s="1554">
        <f>AX14+AX29+AX40+AX44+AX57+AX59+AX67+AX69+AX71+AX84+AX108+AX112+AX116+AX131+AX136+AX143+AX148+AX157+AX159+AX174+AX178+AX187+AX193+AX198+AX204+AX206+AX210+AX212+AX155+AX220+AX222</f>
        <v>27484757977</v>
      </c>
      <c r="AY226" s="1555"/>
      <c r="AZ226" s="1554">
        <f>AZ14+AZ29+AZ40+AZ44+AZ57+AZ59+AZ67+AZ69+AZ71+AZ84+AZ108+AZ112+AZ116+AZ131+AZ136+AZ143+AZ148+AZ157+AZ159+AZ174+AZ178+AZ187+AZ193+AZ198+AZ204+AZ206+AZ210+AZ212+AZ155+AZ220+AZ222</f>
        <v>26685925730.330002</v>
      </c>
      <c r="BA226" s="1553"/>
      <c r="BB226" s="1554"/>
      <c r="BC226" s="1554"/>
      <c r="BD226" s="1554"/>
      <c r="BE226" s="1556"/>
      <c r="BF226" s="1554"/>
      <c r="BG226" s="1554"/>
      <c r="BH226" s="1554"/>
      <c r="BI226" s="1553"/>
      <c r="BJ226" s="1554"/>
      <c r="BK226" s="1554">
        <f>D226+H226+J226+L226+N226+P226+R226+T226+V226+X226+Z226+AB226+AD226+AF226+AH226+AJ226+AL226+AN226+AP226+AR226+AT226+AV226+AX226+AZ226+BD226+BH226</f>
        <v>318931003200.5899</v>
      </c>
      <c r="BL226" s="172"/>
      <c r="BM226" s="172"/>
      <c r="BN226" s="231"/>
      <c r="BO226" s="231"/>
      <c r="BP226" s="172"/>
      <c r="BQ226" s="172"/>
      <c r="BR226" s="172"/>
      <c r="BS226" s="172"/>
      <c r="BT226" s="172"/>
      <c r="BU226" s="172"/>
      <c r="BV226" s="172"/>
      <c r="BW226" s="172"/>
      <c r="BX226" s="172"/>
      <c r="BY226" s="172"/>
      <c r="BZ226" s="172"/>
      <c r="CA226" s="172"/>
      <c r="CB226" s="172"/>
      <c r="CC226" s="172"/>
      <c r="CD226" s="172"/>
      <c r="CE226" s="172"/>
      <c r="CF226" s="172"/>
      <c r="CG226" s="172"/>
      <c r="CH226" s="172"/>
      <c r="CI226" s="172"/>
      <c r="CJ226" s="172"/>
      <c r="CK226" s="172"/>
      <c r="CL226" s="172"/>
      <c r="CM226" s="172"/>
      <c r="CN226" s="172"/>
      <c r="CO226" s="172"/>
      <c r="CP226" s="172"/>
      <c r="CQ226" s="172"/>
      <c r="CR226" s="172"/>
      <c r="CS226" s="172"/>
      <c r="CT226" s="172"/>
      <c r="CU226" s="172"/>
      <c r="CV226" s="172"/>
      <c r="CW226" s="172"/>
      <c r="CX226" s="172"/>
      <c r="CY226" s="172"/>
      <c r="CZ226" s="172"/>
      <c r="DA226" s="172"/>
      <c r="DB226" s="172"/>
      <c r="DC226" s="172"/>
      <c r="DD226" s="172"/>
      <c r="DE226" s="172"/>
      <c r="DF226" s="172"/>
      <c r="DG226" s="172"/>
      <c r="DH226" s="172"/>
      <c r="DI226" s="172"/>
      <c r="DJ226" s="172"/>
      <c r="DK226" s="172"/>
      <c r="DL226" s="172"/>
      <c r="DM226" s="172"/>
      <c r="DN226" s="172"/>
      <c r="DO226" s="172"/>
      <c r="DP226" s="172"/>
      <c r="DQ226" s="172"/>
      <c r="DR226" s="172"/>
      <c r="DS226" s="172"/>
      <c r="DT226" s="172"/>
      <c r="DU226" s="172"/>
      <c r="DV226" s="172"/>
      <c r="DW226" s="172"/>
      <c r="DX226" s="172"/>
      <c r="DY226" s="172"/>
      <c r="DZ226" s="172"/>
      <c r="EA226" s="172"/>
      <c r="EB226" s="172"/>
      <c r="EC226" s="172"/>
      <c r="ED226" s="172"/>
      <c r="EE226" s="172"/>
      <c r="EF226" s="172"/>
      <c r="EG226" s="172"/>
      <c r="EH226" s="172"/>
      <c r="EI226" s="172"/>
      <c r="EJ226" s="172"/>
      <c r="EK226" s="172"/>
      <c r="EL226" s="172"/>
      <c r="EM226" s="172"/>
      <c r="EN226" s="172"/>
      <c r="EO226" s="172"/>
      <c r="EP226" s="172"/>
      <c r="EQ226" s="172"/>
      <c r="ER226" s="172"/>
      <c r="ES226" s="172"/>
      <c r="ET226" s="172"/>
      <c r="EU226" s="172"/>
      <c r="EV226" s="172"/>
      <c r="EW226" s="172"/>
      <c r="EX226" s="172"/>
      <c r="EY226" s="172"/>
      <c r="EZ226" s="172"/>
      <c r="FA226" s="172"/>
      <c r="FB226" s="172"/>
      <c r="FC226" s="172"/>
      <c r="FD226" s="172"/>
      <c r="FE226" s="172"/>
      <c r="FF226" s="172"/>
      <c r="FG226" s="172"/>
      <c r="FH226" s="172"/>
      <c r="FI226" s="172"/>
      <c r="FJ226" s="172"/>
      <c r="FK226" s="172"/>
      <c r="FL226" s="172"/>
      <c r="FM226" s="172"/>
      <c r="FN226" s="172"/>
      <c r="FO226" s="172"/>
      <c r="FP226" s="172"/>
      <c r="FQ226" s="172"/>
      <c r="FR226" s="172"/>
      <c r="FS226" s="172"/>
      <c r="FT226" s="172"/>
      <c r="FU226" s="172"/>
      <c r="FV226" s="172"/>
      <c r="FW226" s="172"/>
      <c r="FX226" s="172"/>
      <c r="FY226" s="172"/>
      <c r="FZ226" s="172"/>
      <c r="GA226" s="172"/>
      <c r="GB226" s="172"/>
      <c r="GC226" s="172"/>
      <c r="GD226" s="172"/>
      <c r="GE226" s="172"/>
      <c r="GF226" s="172"/>
      <c r="GG226" s="172"/>
      <c r="GH226" s="172"/>
      <c r="GI226" s="172"/>
      <c r="GJ226" s="172"/>
      <c r="GK226" s="172"/>
      <c r="GL226" s="172"/>
      <c r="GM226" s="172"/>
      <c r="GN226" s="172"/>
      <c r="GO226" s="172"/>
      <c r="GP226" s="172"/>
      <c r="GQ226" s="172"/>
      <c r="GR226" s="172"/>
      <c r="GS226" s="172"/>
      <c r="GT226" s="172"/>
      <c r="GU226" s="172"/>
      <c r="GV226" s="172"/>
      <c r="GW226" s="172"/>
      <c r="GX226" s="172"/>
      <c r="GY226" s="172"/>
      <c r="GZ226" s="172"/>
      <c r="HA226" s="172"/>
      <c r="HB226" s="172"/>
      <c r="HC226" s="172"/>
      <c r="HD226" s="172"/>
      <c r="HE226" s="172"/>
      <c r="HF226" s="172"/>
      <c r="HG226" s="172"/>
      <c r="HH226" s="172"/>
      <c r="HI226" s="172"/>
      <c r="HJ226" s="172"/>
      <c r="HK226" s="172"/>
      <c r="HL226" s="172"/>
      <c r="HM226" s="172"/>
      <c r="HN226" s="172"/>
      <c r="HO226" s="172"/>
      <c r="HP226" s="172"/>
      <c r="HQ226" s="172"/>
      <c r="HR226" s="172"/>
      <c r="HS226" s="172"/>
      <c r="HT226" s="172"/>
      <c r="HU226" s="172"/>
      <c r="HV226" s="172"/>
      <c r="HW226" s="172"/>
      <c r="HX226" s="172"/>
      <c r="HY226" s="172"/>
      <c r="HZ226" s="172"/>
      <c r="IA226" s="172"/>
      <c r="IB226" s="172"/>
      <c r="IC226" s="172"/>
      <c r="ID226" s="172"/>
      <c r="IE226" s="172"/>
      <c r="IF226" s="172"/>
      <c r="IG226" s="172"/>
      <c r="IH226" s="172"/>
      <c r="II226" s="172"/>
      <c r="IJ226" s="172"/>
      <c r="IK226" s="172"/>
      <c r="IL226" s="172"/>
      <c r="IM226" s="172"/>
      <c r="IN226" s="172"/>
      <c r="IO226" s="172"/>
      <c r="IP226" s="172"/>
      <c r="IQ226" s="172"/>
      <c r="IR226" s="172"/>
      <c r="IS226" s="172"/>
      <c r="IT226" s="172"/>
      <c r="IU226" s="172"/>
      <c r="IV226" s="172"/>
      <c r="IW226" s="172"/>
      <c r="IX226" s="172"/>
      <c r="IY226" s="172"/>
      <c r="IZ226" s="172"/>
      <c r="JA226" s="172"/>
      <c r="JB226" s="172"/>
      <c r="JC226" s="172"/>
      <c r="JD226" s="172"/>
      <c r="JE226" s="172"/>
      <c r="JF226" s="172"/>
      <c r="JG226" s="172"/>
      <c r="JH226" s="172"/>
      <c r="JI226" s="172"/>
      <c r="JJ226" s="172"/>
      <c r="JK226" s="172"/>
      <c r="JL226" s="172"/>
      <c r="JM226" s="172"/>
      <c r="JN226" s="172"/>
      <c r="JO226" s="172"/>
      <c r="JP226" s="172"/>
      <c r="JQ226" s="172"/>
      <c r="JR226" s="172"/>
      <c r="JS226" s="172"/>
      <c r="JT226" s="172"/>
      <c r="JU226" s="172"/>
      <c r="JV226" s="172"/>
      <c r="JW226" s="172"/>
      <c r="JX226" s="172"/>
      <c r="JY226" s="172"/>
      <c r="JZ226" s="172"/>
      <c r="KA226" s="172"/>
      <c r="KB226" s="172"/>
      <c r="KC226" s="172"/>
      <c r="KD226" s="172"/>
      <c r="KE226" s="172"/>
      <c r="KF226" s="172"/>
      <c r="KG226" s="172"/>
      <c r="KH226" s="172"/>
      <c r="KI226" s="172"/>
      <c r="KJ226" s="172"/>
      <c r="KK226" s="172"/>
      <c r="KL226" s="172"/>
      <c r="KM226" s="172"/>
      <c r="KN226" s="172"/>
      <c r="KO226" s="172"/>
      <c r="KP226" s="172"/>
      <c r="KQ226" s="172"/>
      <c r="KR226" s="172"/>
      <c r="KS226" s="172"/>
      <c r="KT226" s="172"/>
      <c r="KU226" s="172"/>
      <c r="KV226" s="172"/>
      <c r="KW226" s="172"/>
      <c r="KX226" s="172"/>
      <c r="KY226" s="172"/>
      <c r="KZ226" s="172"/>
      <c r="LA226" s="172"/>
      <c r="LB226" s="172"/>
      <c r="LC226" s="172"/>
      <c r="LD226" s="172"/>
      <c r="LE226" s="172"/>
      <c r="LF226" s="172"/>
      <c r="LG226" s="172"/>
      <c r="LH226" s="172"/>
      <c r="LI226" s="172"/>
      <c r="LJ226" s="172"/>
      <c r="LK226" s="172"/>
      <c r="LL226" s="172"/>
      <c r="LM226" s="172"/>
      <c r="LN226" s="172"/>
      <c r="LO226" s="172"/>
      <c r="LP226" s="172"/>
      <c r="LQ226" s="172"/>
      <c r="LR226" s="172"/>
      <c r="LS226" s="172"/>
      <c r="LT226" s="172"/>
      <c r="LU226" s="172"/>
      <c r="LV226" s="172"/>
      <c r="LW226" s="172"/>
      <c r="LX226" s="172"/>
      <c r="LY226" s="172"/>
      <c r="LZ226" s="172"/>
      <c r="MA226" s="172"/>
      <c r="MB226" s="172"/>
      <c r="MC226" s="172"/>
      <c r="MD226" s="172"/>
      <c r="ME226" s="172"/>
      <c r="MF226" s="172"/>
      <c r="MG226" s="172"/>
      <c r="MH226" s="172"/>
      <c r="MI226" s="172"/>
      <c r="MJ226" s="172"/>
      <c r="MK226" s="172"/>
      <c r="ML226" s="172"/>
      <c r="MM226" s="172"/>
      <c r="MN226" s="172"/>
      <c r="MO226" s="172"/>
      <c r="MP226" s="172"/>
      <c r="MQ226" s="172"/>
      <c r="MR226" s="172"/>
      <c r="MS226" s="172"/>
      <c r="MT226" s="172"/>
      <c r="MU226" s="172"/>
      <c r="MV226" s="172"/>
      <c r="MW226" s="172"/>
      <c r="MX226" s="172"/>
      <c r="MY226" s="172"/>
      <c r="MZ226" s="172"/>
      <c r="NA226" s="172"/>
      <c r="NB226" s="172"/>
      <c r="NC226" s="172"/>
      <c r="ND226" s="172"/>
      <c r="NE226" s="172"/>
      <c r="NF226" s="172"/>
      <c r="NG226" s="172"/>
      <c r="NH226" s="172"/>
      <c r="NI226" s="172"/>
      <c r="NJ226" s="172"/>
      <c r="NK226" s="172"/>
      <c r="NL226" s="172"/>
      <c r="NM226" s="172"/>
      <c r="NN226" s="172"/>
      <c r="NO226" s="172"/>
      <c r="NP226" s="172"/>
      <c r="NQ226" s="172"/>
      <c r="NR226" s="172"/>
      <c r="NS226" s="172"/>
      <c r="NT226" s="172"/>
      <c r="NU226" s="172"/>
      <c r="NV226" s="172"/>
      <c r="NW226" s="172"/>
      <c r="NX226" s="172"/>
      <c r="NY226" s="172"/>
      <c r="NZ226" s="172"/>
      <c r="OA226" s="172"/>
      <c r="OB226" s="172"/>
      <c r="OC226" s="172"/>
      <c r="OD226" s="172"/>
      <c r="OE226" s="172"/>
      <c r="OF226" s="172"/>
      <c r="OG226" s="172"/>
      <c r="OH226" s="172"/>
      <c r="OI226" s="172"/>
      <c r="OJ226" s="172"/>
      <c r="OK226" s="172"/>
      <c r="OL226" s="172"/>
      <c r="OM226" s="172"/>
      <c r="ON226" s="172"/>
      <c r="OO226" s="172"/>
      <c r="OP226" s="172"/>
      <c r="OQ226" s="172"/>
      <c r="OR226" s="172"/>
      <c r="OS226" s="172"/>
      <c r="OT226" s="172"/>
      <c r="OU226" s="172"/>
      <c r="OV226" s="172"/>
      <c r="OW226" s="172"/>
      <c r="OX226" s="172"/>
      <c r="OY226" s="172"/>
      <c r="OZ226" s="172"/>
      <c r="PA226" s="172"/>
      <c r="PB226" s="172"/>
      <c r="PC226" s="172"/>
      <c r="PD226" s="172"/>
      <c r="PE226" s="172"/>
      <c r="PF226" s="172"/>
      <c r="PG226" s="172"/>
      <c r="PH226" s="172"/>
      <c r="PI226" s="172"/>
      <c r="PJ226" s="172"/>
      <c r="PK226" s="172"/>
      <c r="PL226" s="172"/>
      <c r="PM226" s="172"/>
      <c r="PN226" s="172"/>
      <c r="PO226" s="172"/>
      <c r="PP226" s="172"/>
      <c r="PQ226" s="172"/>
      <c r="PR226" s="172"/>
      <c r="PS226" s="172"/>
      <c r="PT226" s="172"/>
      <c r="PU226" s="172"/>
      <c r="PV226" s="172"/>
      <c r="PW226" s="172"/>
      <c r="PX226" s="172"/>
      <c r="PY226" s="172"/>
      <c r="PZ226" s="172"/>
      <c r="QA226" s="172"/>
      <c r="QB226" s="172"/>
      <c r="QC226" s="172"/>
      <c r="QD226" s="172"/>
      <c r="QE226" s="172"/>
      <c r="QF226" s="172"/>
      <c r="QG226" s="172"/>
      <c r="QH226" s="172"/>
      <c r="QI226" s="172"/>
      <c r="QJ226" s="172"/>
      <c r="QK226" s="172"/>
      <c r="QL226" s="172"/>
      <c r="QM226" s="172"/>
      <c r="QN226" s="172"/>
      <c r="QO226" s="172"/>
      <c r="QP226" s="172"/>
      <c r="QQ226" s="172"/>
      <c r="QR226" s="172"/>
      <c r="QS226" s="172"/>
      <c r="QT226" s="172"/>
      <c r="QU226" s="172"/>
      <c r="QV226" s="172"/>
      <c r="QW226" s="172"/>
      <c r="QX226" s="172"/>
      <c r="QY226" s="172"/>
      <c r="QZ226" s="172"/>
      <c r="RA226" s="172"/>
      <c r="RB226" s="172"/>
      <c r="RC226" s="172"/>
      <c r="RD226" s="172"/>
      <c r="RE226" s="172"/>
      <c r="RF226" s="172"/>
      <c r="RG226" s="172"/>
      <c r="RH226" s="172"/>
      <c r="RI226" s="172"/>
      <c r="RJ226" s="172"/>
      <c r="RK226" s="172"/>
      <c r="RL226" s="172"/>
      <c r="RM226" s="172"/>
      <c r="RN226" s="172"/>
      <c r="RO226" s="172"/>
      <c r="RP226" s="172"/>
      <c r="RQ226" s="172"/>
      <c r="RR226" s="172"/>
      <c r="RS226" s="172"/>
      <c r="RT226" s="172"/>
      <c r="RU226" s="172"/>
      <c r="RV226" s="172"/>
      <c r="RW226" s="172"/>
      <c r="RX226" s="172"/>
      <c r="RY226" s="172"/>
      <c r="RZ226" s="172"/>
      <c r="SA226" s="172"/>
      <c r="SB226" s="172"/>
      <c r="SC226" s="172"/>
      <c r="SD226" s="172"/>
      <c r="SE226" s="172"/>
      <c r="SF226" s="172"/>
      <c r="SG226" s="172"/>
      <c r="SH226" s="172"/>
      <c r="SI226" s="172"/>
      <c r="SJ226" s="172"/>
      <c r="SK226" s="172"/>
      <c r="SL226" s="172"/>
      <c r="SM226" s="172"/>
      <c r="SN226" s="172"/>
      <c r="SO226" s="172"/>
      <c r="SP226" s="172"/>
      <c r="SQ226" s="172"/>
      <c r="SR226" s="172"/>
      <c r="SS226" s="172"/>
      <c r="ST226" s="172"/>
      <c r="SU226" s="172"/>
      <c r="SV226" s="172"/>
      <c r="SW226" s="172"/>
      <c r="SX226" s="172"/>
      <c r="SY226" s="172"/>
      <c r="SZ226" s="172"/>
      <c r="TA226" s="172"/>
      <c r="TB226" s="172"/>
      <c r="TC226" s="172"/>
      <c r="TD226" s="172"/>
      <c r="TE226" s="172"/>
      <c r="TF226" s="172"/>
      <c r="TG226" s="172"/>
      <c r="TH226" s="172"/>
      <c r="TI226" s="172"/>
      <c r="TJ226" s="172"/>
      <c r="TK226" s="172"/>
      <c r="TL226" s="172"/>
      <c r="TM226" s="172"/>
      <c r="TN226" s="172"/>
      <c r="TO226" s="172"/>
      <c r="TP226" s="172"/>
      <c r="TQ226" s="172"/>
      <c r="TR226" s="172"/>
      <c r="TS226" s="172"/>
      <c r="TT226" s="172"/>
      <c r="TU226" s="172"/>
      <c r="TV226" s="172"/>
      <c r="TW226" s="172"/>
      <c r="TX226" s="172"/>
      <c r="TY226" s="172"/>
      <c r="TZ226" s="172"/>
      <c r="UA226" s="172"/>
      <c r="UB226" s="172"/>
      <c r="UC226" s="172"/>
      <c r="UD226" s="172"/>
      <c r="UE226" s="172"/>
      <c r="UF226" s="172"/>
      <c r="UG226" s="172"/>
      <c r="UH226" s="172"/>
      <c r="UI226" s="172"/>
      <c r="UJ226" s="172"/>
      <c r="UK226" s="172"/>
      <c r="UL226" s="172"/>
      <c r="UM226" s="172"/>
      <c r="UN226" s="172"/>
      <c r="UO226" s="172"/>
      <c r="UP226" s="172"/>
      <c r="UQ226" s="172"/>
      <c r="UR226" s="172"/>
      <c r="US226" s="172"/>
      <c r="UT226" s="172"/>
      <c r="UU226" s="172"/>
      <c r="UV226" s="172"/>
      <c r="UW226" s="172"/>
      <c r="UX226" s="172"/>
      <c r="UY226" s="172"/>
      <c r="UZ226" s="172"/>
      <c r="VA226" s="172"/>
      <c r="VB226" s="172"/>
      <c r="VC226" s="172"/>
      <c r="VD226" s="172"/>
      <c r="VE226" s="172"/>
      <c r="VF226" s="172"/>
      <c r="VG226" s="172"/>
      <c r="VH226" s="172"/>
      <c r="VI226" s="172"/>
      <c r="VJ226" s="172"/>
      <c r="VK226" s="172"/>
      <c r="VL226" s="172"/>
      <c r="VM226" s="172"/>
      <c r="VN226" s="172"/>
      <c r="VO226" s="172"/>
      <c r="VP226" s="172"/>
      <c r="VQ226" s="172"/>
      <c r="VR226" s="172"/>
      <c r="VS226" s="172"/>
      <c r="VT226" s="172"/>
      <c r="VU226" s="172"/>
      <c r="VV226" s="172"/>
      <c r="VW226" s="172"/>
      <c r="VX226" s="172"/>
      <c r="VY226" s="172"/>
      <c r="VZ226" s="172"/>
      <c r="WA226" s="172"/>
      <c r="WB226" s="172"/>
      <c r="WC226" s="172"/>
      <c r="WD226" s="172"/>
      <c r="WE226" s="172"/>
      <c r="WF226" s="172"/>
      <c r="WG226" s="172"/>
      <c r="WH226" s="172"/>
      <c r="WI226" s="172"/>
      <c r="WJ226" s="172"/>
      <c r="WK226" s="172"/>
      <c r="WL226" s="172"/>
      <c r="WM226" s="172"/>
      <c r="WN226" s="172"/>
      <c r="WO226" s="172"/>
      <c r="WP226" s="172"/>
      <c r="WQ226" s="172"/>
      <c r="WR226" s="172"/>
      <c r="WS226" s="172"/>
      <c r="WT226" s="172"/>
      <c r="WU226" s="172"/>
      <c r="WV226" s="172"/>
      <c r="WW226" s="172"/>
      <c r="WX226" s="172"/>
      <c r="WY226" s="172"/>
      <c r="WZ226" s="172"/>
      <c r="XA226" s="172"/>
      <c r="XB226" s="172"/>
      <c r="XC226" s="172"/>
      <c r="XD226" s="172"/>
      <c r="XE226" s="172"/>
      <c r="XF226" s="172"/>
      <c r="XG226" s="172"/>
      <c r="XH226" s="172"/>
      <c r="XI226" s="172"/>
      <c r="XJ226" s="172"/>
      <c r="XK226" s="172"/>
      <c r="XL226" s="172"/>
      <c r="XM226" s="172"/>
      <c r="XN226" s="172"/>
      <c r="XO226" s="172"/>
      <c r="XP226" s="172"/>
      <c r="XQ226" s="172"/>
      <c r="XR226" s="172"/>
      <c r="XS226" s="172"/>
      <c r="XT226" s="172"/>
      <c r="XU226" s="172"/>
      <c r="XV226" s="172"/>
      <c r="XW226" s="172"/>
      <c r="XX226" s="172"/>
      <c r="XY226" s="172"/>
      <c r="XZ226" s="172"/>
      <c r="YA226" s="172"/>
      <c r="YB226" s="172"/>
      <c r="YC226" s="172"/>
      <c r="YD226" s="172"/>
      <c r="YE226" s="172"/>
      <c r="YF226" s="172"/>
      <c r="YG226" s="172"/>
      <c r="YH226" s="172"/>
      <c r="YI226" s="172"/>
      <c r="YJ226" s="172"/>
      <c r="YK226" s="172"/>
      <c r="YL226" s="172"/>
      <c r="YM226" s="172"/>
      <c r="YN226" s="172"/>
      <c r="YO226" s="172"/>
      <c r="YP226" s="172"/>
      <c r="YQ226" s="172"/>
      <c r="YR226" s="172"/>
      <c r="YS226" s="172"/>
      <c r="YT226" s="172"/>
      <c r="YU226" s="172"/>
      <c r="YV226" s="172"/>
      <c r="YW226" s="172"/>
      <c r="YX226" s="172"/>
      <c r="YY226" s="172"/>
      <c r="YZ226" s="172"/>
      <c r="ZA226" s="172"/>
      <c r="ZB226" s="172"/>
      <c r="ZC226" s="172"/>
      <c r="ZD226" s="172"/>
      <c r="ZE226" s="172"/>
      <c r="ZF226" s="172"/>
      <c r="ZG226" s="172"/>
      <c r="ZH226" s="172"/>
      <c r="ZI226" s="172"/>
      <c r="ZJ226" s="172"/>
      <c r="ZK226" s="172"/>
      <c r="ZL226" s="172"/>
      <c r="ZM226" s="172"/>
      <c r="ZN226" s="172"/>
      <c r="ZO226" s="172"/>
      <c r="ZP226" s="172"/>
      <c r="ZQ226" s="172"/>
      <c r="ZR226" s="172"/>
      <c r="ZS226" s="172"/>
      <c r="ZT226" s="172"/>
      <c r="ZU226" s="172"/>
      <c r="ZV226" s="172"/>
      <c r="ZW226" s="172"/>
      <c r="ZX226" s="172"/>
      <c r="ZY226" s="172"/>
      <c r="ZZ226" s="172"/>
      <c r="AAA226" s="172"/>
      <c r="AAB226" s="172"/>
      <c r="AAC226" s="172"/>
      <c r="AAD226" s="172"/>
      <c r="AAE226" s="172"/>
      <c r="AAF226" s="172"/>
      <c r="AAG226" s="172"/>
      <c r="AAH226" s="172"/>
      <c r="AAI226" s="172"/>
      <c r="AAJ226" s="172"/>
      <c r="AAK226" s="172"/>
      <c r="AAL226" s="172"/>
      <c r="AAM226" s="172"/>
      <c r="AAN226" s="172"/>
      <c r="AAO226" s="172"/>
      <c r="AAP226" s="172"/>
      <c r="AAQ226" s="172"/>
      <c r="AAR226" s="172"/>
      <c r="AAS226" s="172"/>
      <c r="AAT226" s="172"/>
      <c r="AAU226" s="172"/>
      <c r="AAV226" s="172"/>
      <c r="AAW226" s="172"/>
      <c r="AAX226" s="172"/>
      <c r="AAY226" s="172"/>
      <c r="AAZ226" s="172"/>
      <c r="ABA226" s="172"/>
      <c r="ABB226" s="172"/>
      <c r="ABC226" s="172"/>
      <c r="ABD226" s="172"/>
      <c r="ABE226" s="172"/>
      <c r="ABF226" s="172"/>
      <c r="ABG226" s="172"/>
      <c r="ABH226" s="172"/>
      <c r="ABI226" s="172"/>
      <c r="ABJ226" s="172"/>
      <c r="ABK226" s="172"/>
      <c r="ABL226" s="172"/>
      <c r="ABM226" s="172"/>
      <c r="ABN226" s="172"/>
      <c r="ABO226" s="172"/>
      <c r="ABP226" s="172"/>
      <c r="ABQ226" s="172"/>
      <c r="ABR226" s="172"/>
      <c r="ABS226" s="172"/>
      <c r="ABT226" s="172"/>
      <c r="ABU226" s="172"/>
      <c r="ABV226" s="172"/>
      <c r="ABW226" s="172"/>
      <c r="ABX226" s="172"/>
      <c r="ABY226" s="172"/>
      <c r="ABZ226" s="172"/>
      <c r="ACA226" s="172"/>
      <c r="ACB226" s="172"/>
      <c r="ACC226" s="172"/>
      <c r="ACD226" s="172"/>
      <c r="ACE226" s="172"/>
      <c r="ACF226" s="172"/>
      <c r="ACG226" s="172"/>
      <c r="ACH226" s="172"/>
      <c r="ACI226" s="172"/>
      <c r="ACJ226" s="172"/>
      <c r="ACK226" s="172"/>
      <c r="ACL226" s="172"/>
      <c r="ACM226" s="172"/>
      <c r="ACN226" s="172"/>
      <c r="ACO226" s="172"/>
      <c r="ACP226" s="172"/>
      <c r="ACQ226" s="172"/>
      <c r="ACR226" s="172"/>
      <c r="ACS226" s="172"/>
      <c r="ACT226" s="172"/>
      <c r="ACU226" s="172"/>
      <c r="ACV226" s="172"/>
      <c r="ACW226" s="172"/>
      <c r="ACX226" s="172"/>
      <c r="ACY226" s="172"/>
      <c r="ACZ226" s="172"/>
      <c r="ADA226" s="172"/>
      <c r="ADB226" s="172"/>
      <c r="ADC226" s="172"/>
      <c r="ADD226" s="172"/>
      <c r="ADE226" s="172"/>
      <c r="ADF226" s="172"/>
      <c r="ADG226" s="172"/>
      <c r="ADH226" s="172"/>
      <c r="ADI226" s="172"/>
      <c r="ADJ226" s="172"/>
      <c r="ADK226" s="172"/>
      <c r="ADL226" s="172"/>
      <c r="ADM226" s="172"/>
      <c r="ADN226" s="172"/>
      <c r="ADO226" s="172"/>
      <c r="ADP226" s="172"/>
      <c r="ADQ226" s="172"/>
      <c r="ADR226" s="172"/>
      <c r="ADS226" s="172"/>
      <c r="ADT226" s="172"/>
      <c r="ADU226" s="172"/>
      <c r="ADV226" s="172"/>
      <c r="ADW226" s="172"/>
      <c r="ADX226" s="172"/>
      <c r="ADY226" s="172"/>
      <c r="ADZ226" s="172"/>
      <c r="AEA226" s="172"/>
      <c r="AEB226" s="172"/>
      <c r="AEC226" s="172"/>
      <c r="AED226" s="172"/>
      <c r="AEE226" s="172"/>
      <c r="AEF226" s="172"/>
      <c r="AEG226" s="172"/>
      <c r="AEH226" s="172"/>
      <c r="AEI226" s="172"/>
      <c r="AEJ226" s="172"/>
      <c r="AEK226" s="172"/>
      <c r="AEL226" s="172"/>
      <c r="AEM226" s="172"/>
      <c r="AEN226" s="172"/>
      <c r="AEO226" s="172"/>
      <c r="AEP226" s="172"/>
      <c r="AEQ226" s="172"/>
      <c r="AER226" s="172"/>
      <c r="AES226" s="172"/>
      <c r="AET226" s="172"/>
      <c r="AEU226" s="172"/>
      <c r="AEV226" s="172"/>
      <c r="AEW226" s="172"/>
      <c r="AEX226" s="172"/>
      <c r="AEY226" s="172"/>
      <c r="AEZ226" s="172"/>
      <c r="AFA226" s="172"/>
      <c r="AFB226" s="172"/>
      <c r="AFC226" s="172"/>
      <c r="AFD226" s="172"/>
      <c r="AFE226" s="172"/>
      <c r="AFF226" s="172"/>
      <c r="AFG226" s="172"/>
      <c r="AFH226" s="172"/>
      <c r="AFI226" s="172"/>
      <c r="AFJ226" s="172"/>
      <c r="AFK226" s="172"/>
      <c r="AFL226" s="172"/>
      <c r="AFM226" s="172"/>
      <c r="AFN226" s="172"/>
      <c r="AFO226" s="172"/>
      <c r="AFP226" s="172"/>
      <c r="AFQ226" s="172"/>
      <c r="AFR226" s="172"/>
      <c r="AFS226" s="172"/>
      <c r="AFT226" s="172"/>
      <c r="AFU226" s="172"/>
      <c r="AFV226" s="172"/>
      <c r="AFW226" s="172"/>
      <c r="AFX226" s="172"/>
      <c r="AFY226" s="172"/>
      <c r="AFZ226" s="172"/>
      <c r="AGA226" s="172"/>
      <c r="AGB226" s="172"/>
      <c r="AGC226" s="172"/>
      <c r="AGD226" s="172"/>
      <c r="AGE226" s="172"/>
      <c r="AGF226" s="172"/>
      <c r="AGG226" s="172"/>
      <c r="AGH226" s="172"/>
      <c r="AGI226" s="172"/>
      <c r="AGJ226" s="172"/>
      <c r="AGK226" s="172"/>
      <c r="AGL226" s="172"/>
      <c r="AGM226" s="172"/>
      <c r="AGN226" s="172"/>
      <c r="AGO226" s="172"/>
      <c r="AGP226" s="172"/>
      <c r="AGQ226" s="172"/>
      <c r="AGR226" s="172"/>
      <c r="AGS226" s="172"/>
      <c r="AGT226" s="172"/>
      <c r="AGU226" s="172"/>
      <c r="AGV226" s="172"/>
      <c r="AGW226" s="172"/>
      <c r="AGX226" s="172"/>
      <c r="AGY226" s="172"/>
      <c r="AGZ226" s="172"/>
      <c r="AHA226" s="172"/>
      <c r="AHB226" s="172"/>
      <c r="AHC226" s="172"/>
      <c r="AHD226" s="172"/>
      <c r="AHE226" s="172"/>
      <c r="AHF226" s="172"/>
      <c r="AHG226" s="172"/>
      <c r="AHH226" s="172"/>
      <c r="AHI226" s="172"/>
      <c r="AHJ226" s="172"/>
      <c r="AHK226" s="172"/>
      <c r="AHL226" s="172"/>
      <c r="AHM226" s="172"/>
      <c r="AHN226" s="172"/>
      <c r="AHO226" s="172"/>
      <c r="AHP226" s="172"/>
      <c r="AHQ226" s="172"/>
      <c r="AHR226" s="172"/>
      <c r="AHS226" s="172"/>
      <c r="AHT226" s="172"/>
      <c r="AHU226" s="172"/>
      <c r="AHV226" s="172"/>
      <c r="AHW226" s="172"/>
      <c r="AHX226" s="172"/>
      <c r="AHY226" s="172"/>
      <c r="AHZ226" s="172"/>
      <c r="AIA226" s="172"/>
      <c r="AIB226" s="172"/>
      <c r="AIC226" s="172"/>
      <c r="AID226" s="172"/>
      <c r="AIE226" s="172"/>
      <c r="AIF226" s="172"/>
      <c r="AIG226" s="172"/>
      <c r="AIH226" s="172"/>
      <c r="AII226" s="172"/>
      <c r="AIJ226" s="172"/>
      <c r="AIK226" s="172"/>
      <c r="AIL226" s="172"/>
      <c r="AIM226" s="172"/>
      <c r="AIN226" s="172"/>
      <c r="AIO226" s="172"/>
      <c r="AIP226" s="172"/>
      <c r="AIQ226" s="172"/>
      <c r="AIR226" s="172"/>
      <c r="AIS226" s="172"/>
      <c r="AIT226" s="172"/>
      <c r="AIU226" s="172"/>
      <c r="AIV226" s="172"/>
      <c r="AIW226" s="172"/>
      <c r="AIX226" s="172"/>
      <c r="AIY226" s="172"/>
      <c r="AIZ226" s="172"/>
      <c r="AJA226" s="172"/>
      <c r="AJB226" s="172"/>
      <c r="AJC226" s="172"/>
      <c r="AJD226" s="172"/>
      <c r="AJE226" s="172"/>
      <c r="AJF226" s="172"/>
      <c r="AJG226" s="172"/>
      <c r="AJH226" s="172"/>
      <c r="AJI226" s="172"/>
      <c r="AJJ226" s="172"/>
      <c r="AJK226" s="172"/>
      <c r="AJL226" s="172"/>
      <c r="AJM226" s="172"/>
      <c r="AJN226" s="172"/>
      <c r="AJO226" s="172"/>
      <c r="AJP226" s="172"/>
      <c r="AJQ226" s="172"/>
      <c r="AJR226" s="172"/>
      <c r="AJS226" s="172"/>
      <c r="AJT226" s="172"/>
      <c r="AJU226" s="172"/>
      <c r="AJV226" s="172"/>
      <c r="AJW226" s="172"/>
      <c r="AJX226" s="172"/>
      <c r="AJY226" s="172"/>
      <c r="AJZ226" s="172"/>
      <c r="AKA226" s="172"/>
      <c r="AKB226" s="172"/>
      <c r="AKC226" s="172"/>
      <c r="AKD226" s="172"/>
      <c r="AKE226" s="172"/>
      <c r="AKF226" s="172"/>
      <c r="AKG226" s="172"/>
      <c r="AKH226" s="172"/>
      <c r="AKI226" s="172"/>
      <c r="AKJ226" s="172"/>
      <c r="AKK226" s="172"/>
      <c r="AKL226" s="172"/>
      <c r="AKM226" s="172"/>
      <c r="AKN226" s="172"/>
      <c r="AKO226" s="172"/>
      <c r="AKP226" s="172"/>
      <c r="AKQ226" s="172"/>
      <c r="AKR226" s="172"/>
      <c r="AKS226" s="172"/>
      <c r="AKT226" s="172"/>
      <c r="AKU226" s="172"/>
      <c r="AKV226" s="172"/>
      <c r="AKW226" s="172"/>
      <c r="AKX226" s="172"/>
      <c r="AKY226" s="172"/>
      <c r="AKZ226" s="172"/>
      <c r="ALA226" s="172"/>
      <c r="ALB226" s="172"/>
      <c r="ALC226" s="172"/>
      <c r="ALD226" s="172"/>
      <c r="ALE226" s="172"/>
      <c r="ALF226" s="172"/>
      <c r="ALG226" s="172"/>
      <c r="ALH226" s="172"/>
      <c r="ALI226" s="172"/>
      <c r="ALJ226" s="172"/>
      <c r="ALK226" s="172"/>
      <c r="ALL226" s="172"/>
      <c r="ALM226" s="172"/>
      <c r="ALN226" s="172"/>
      <c r="ALO226" s="172"/>
      <c r="ALP226" s="172"/>
      <c r="ALQ226" s="172"/>
      <c r="ALR226" s="172"/>
      <c r="ALS226" s="172"/>
      <c r="ALT226" s="172"/>
      <c r="ALU226" s="172"/>
      <c r="ALV226" s="172"/>
      <c r="ALW226" s="172"/>
      <c r="ALX226" s="172"/>
      <c r="ALY226" s="172"/>
      <c r="ALZ226" s="172"/>
      <c r="AMA226" s="172"/>
      <c r="AMB226" s="172"/>
      <c r="AMC226" s="172"/>
      <c r="AMD226" s="172"/>
      <c r="AME226" s="172"/>
      <c r="AMF226" s="172"/>
      <c r="AMG226" s="172"/>
      <c r="AMH226" s="172"/>
      <c r="AMI226" s="172"/>
      <c r="AMJ226" s="172"/>
      <c r="AMK226" s="172"/>
      <c r="AML226" s="172"/>
      <c r="AMM226" s="172"/>
      <c r="AMN226" s="172"/>
      <c r="AMO226" s="172"/>
      <c r="AMP226" s="172"/>
      <c r="AMQ226" s="172"/>
      <c r="AMR226" s="172"/>
      <c r="AMS226" s="172"/>
      <c r="AMT226" s="172"/>
      <c r="AMU226" s="172"/>
      <c r="AMV226" s="172"/>
      <c r="AMW226" s="172"/>
      <c r="AMX226" s="172"/>
      <c r="AMY226" s="172"/>
      <c r="AMZ226" s="172"/>
      <c r="ANA226" s="172"/>
      <c r="ANB226" s="172"/>
      <c r="ANC226" s="172"/>
      <c r="AND226" s="172"/>
      <c r="ANE226" s="172"/>
      <c r="ANF226" s="172"/>
      <c r="ANG226" s="172"/>
      <c r="ANH226" s="172"/>
      <c r="ANI226" s="172"/>
      <c r="ANJ226" s="172"/>
      <c r="ANK226" s="172"/>
      <c r="ANL226" s="172"/>
      <c r="ANM226" s="172"/>
      <c r="ANN226" s="172"/>
      <c r="ANO226" s="172"/>
      <c r="ANP226" s="172"/>
      <c r="ANQ226" s="172"/>
      <c r="ANR226" s="172"/>
      <c r="ANS226" s="172"/>
      <c r="ANT226" s="172"/>
      <c r="ANU226" s="172"/>
      <c r="ANV226" s="172"/>
      <c r="ANW226" s="172"/>
      <c r="ANX226" s="172"/>
      <c r="ANY226" s="172"/>
      <c r="ANZ226" s="172"/>
      <c r="AOA226" s="172"/>
      <c r="AOB226" s="172"/>
      <c r="AOC226" s="172"/>
      <c r="AOD226" s="172"/>
      <c r="AOE226" s="172"/>
      <c r="AOF226" s="172"/>
      <c r="AOG226" s="172"/>
      <c r="AOH226" s="172"/>
      <c r="AOI226" s="172"/>
      <c r="AOJ226" s="172"/>
      <c r="AOK226" s="172"/>
      <c r="AOL226" s="172"/>
      <c r="AOM226" s="172"/>
      <c r="AON226" s="172"/>
      <c r="AOO226" s="172"/>
      <c r="AOP226" s="172"/>
      <c r="AOQ226" s="172"/>
      <c r="AOR226" s="172"/>
      <c r="AOS226" s="172"/>
      <c r="AOT226" s="172"/>
      <c r="AOU226" s="172"/>
      <c r="AOV226" s="172"/>
      <c r="AOW226" s="172"/>
      <c r="AOX226" s="172"/>
      <c r="AOY226" s="172"/>
      <c r="AOZ226" s="172"/>
      <c r="APA226" s="172"/>
      <c r="APB226" s="172"/>
      <c r="APC226" s="172"/>
      <c r="APD226" s="172"/>
      <c r="APE226" s="172"/>
      <c r="APF226" s="172"/>
      <c r="APG226" s="172"/>
      <c r="APH226" s="172"/>
      <c r="API226" s="172"/>
      <c r="APJ226" s="172"/>
      <c r="APK226" s="172"/>
      <c r="APL226" s="172"/>
      <c r="APM226" s="172"/>
      <c r="APN226" s="172"/>
      <c r="APO226" s="172"/>
      <c r="APP226" s="172"/>
      <c r="APQ226" s="172"/>
      <c r="APR226" s="172"/>
      <c r="APS226" s="172"/>
      <c r="APT226" s="172"/>
      <c r="APU226" s="172"/>
      <c r="APV226" s="172"/>
      <c r="APW226" s="172"/>
      <c r="APX226" s="172"/>
      <c r="APY226" s="172"/>
      <c r="APZ226" s="172"/>
      <c r="AQA226" s="172"/>
      <c r="AQB226" s="172"/>
      <c r="AQC226" s="172"/>
      <c r="AQD226" s="172"/>
      <c r="AQE226" s="172"/>
      <c r="AQF226" s="172"/>
      <c r="AQG226" s="172"/>
      <c r="AQH226" s="172"/>
      <c r="AQI226" s="172"/>
      <c r="AQJ226" s="172"/>
      <c r="AQK226" s="172"/>
      <c r="AQL226" s="172"/>
      <c r="AQM226" s="172"/>
      <c r="AQN226" s="172"/>
      <c r="AQO226" s="172"/>
      <c r="AQP226" s="172"/>
      <c r="AQQ226" s="172"/>
      <c r="AQR226" s="172"/>
      <c r="AQS226" s="172"/>
      <c r="AQT226" s="172"/>
      <c r="AQU226" s="172"/>
      <c r="AQV226" s="172"/>
      <c r="AQW226" s="172"/>
      <c r="AQX226" s="172"/>
      <c r="AQY226" s="172"/>
      <c r="AQZ226" s="172"/>
      <c r="ARA226" s="172"/>
      <c r="ARB226" s="172"/>
      <c r="ARC226" s="172"/>
      <c r="ARD226" s="172"/>
      <c r="ARE226" s="172"/>
      <c r="ARF226" s="172"/>
      <c r="ARG226" s="172"/>
      <c r="ARH226" s="172"/>
      <c r="ARI226" s="172"/>
      <c r="ARJ226" s="172"/>
      <c r="ARK226" s="172"/>
      <c r="ARL226" s="172"/>
      <c r="ARM226" s="172"/>
      <c r="ARN226" s="172"/>
      <c r="ARO226" s="172"/>
      <c r="ARP226" s="172"/>
      <c r="ARQ226" s="172"/>
      <c r="ARR226" s="172"/>
      <c r="ARS226" s="172"/>
      <c r="ART226" s="172"/>
      <c r="ARU226" s="172"/>
    </row>
    <row r="227" spans="1:1165" s="136" customFormat="1">
      <c r="A227" s="1557"/>
      <c r="B227" s="1557"/>
      <c r="C227" s="1557"/>
      <c r="D227" s="1558"/>
      <c r="E227" s="1557"/>
      <c r="F227" s="1557"/>
      <c r="G227" s="1557"/>
      <c r="H227" s="1557"/>
      <c r="I227" s="1557"/>
      <c r="J227" s="1557"/>
      <c r="K227" s="1557"/>
      <c r="L227" s="1557"/>
      <c r="M227" s="1557"/>
      <c r="N227" s="1557"/>
      <c r="O227" s="1557"/>
      <c r="P227" s="1557"/>
      <c r="Q227" s="1557"/>
      <c r="R227" s="1557"/>
      <c r="S227" s="1557"/>
      <c r="T227" s="1557"/>
      <c r="U227" s="1557"/>
      <c r="V227" s="1557"/>
      <c r="W227" s="1557"/>
      <c r="X227" s="1557"/>
      <c r="Y227" s="1557"/>
      <c r="Z227" s="1557"/>
      <c r="AA227" s="1557"/>
      <c r="AB227" s="1557"/>
      <c r="AC227" s="1557"/>
      <c r="AD227" s="1557"/>
      <c r="AE227" s="1557"/>
      <c r="AF227" s="1557"/>
      <c r="AG227" s="1557"/>
      <c r="AH227" s="1557"/>
      <c r="AI227" s="1557"/>
      <c r="AJ227" s="1557"/>
      <c r="AK227" s="1557"/>
      <c r="AL227" s="1557"/>
      <c r="AM227" s="1557"/>
      <c r="AN227" s="1557"/>
      <c r="AO227" s="1557"/>
      <c r="AP227" s="1557"/>
      <c r="AQ227" s="1557"/>
      <c r="AR227" s="1557"/>
      <c r="AS227" s="1557"/>
      <c r="AT227" s="1557"/>
      <c r="AU227" s="1557"/>
      <c r="AV227" s="1557"/>
      <c r="AW227" s="1559"/>
      <c r="AX227" s="1558"/>
      <c r="AY227" s="1560"/>
      <c r="AZ227" s="1561"/>
      <c r="BA227" s="1557"/>
      <c r="BB227" s="1562"/>
      <c r="BC227" s="1562"/>
      <c r="BD227" s="1562"/>
      <c r="BE227" s="1562"/>
      <c r="BF227" s="1562"/>
      <c r="BG227" s="1562"/>
      <c r="BH227" s="1562"/>
      <c r="BI227" s="1557"/>
      <c r="BJ227" s="1557"/>
      <c r="BK227" s="1558"/>
      <c r="BL227" s="172"/>
      <c r="BM227" s="172"/>
      <c r="BN227" s="231"/>
      <c r="BO227" s="231"/>
      <c r="BP227" s="172"/>
      <c r="BQ227" s="172"/>
      <c r="BR227" s="172"/>
      <c r="BS227" s="172"/>
      <c r="BT227" s="172"/>
      <c r="BU227" s="172"/>
      <c r="BV227" s="172"/>
      <c r="BW227" s="172"/>
      <c r="BX227" s="172"/>
      <c r="BY227" s="172"/>
      <c r="BZ227" s="172"/>
      <c r="CA227" s="172"/>
      <c r="CB227" s="172"/>
      <c r="CC227" s="172"/>
      <c r="CD227" s="172"/>
      <c r="CE227" s="172"/>
      <c r="CF227" s="172"/>
      <c r="CG227" s="172"/>
      <c r="CH227" s="172"/>
      <c r="CI227" s="172"/>
      <c r="CJ227" s="172"/>
      <c r="CK227" s="172"/>
      <c r="CL227" s="172"/>
      <c r="CM227" s="172"/>
      <c r="CN227" s="172"/>
      <c r="CO227" s="172"/>
      <c r="CP227" s="172"/>
      <c r="CQ227" s="172"/>
      <c r="CR227" s="172"/>
      <c r="CS227" s="172"/>
      <c r="CT227" s="172"/>
      <c r="CU227" s="172"/>
      <c r="CV227" s="172"/>
      <c r="CW227" s="172"/>
      <c r="CX227" s="172"/>
      <c r="CY227" s="172"/>
      <c r="CZ227" s="172"/>
      <c r="DA227" s="172"/>
      <c r="DB227" s="172"/>
      <c r="DC227" s="172"/>
      <c r="DD227" s="172"/>
      <c r="DE227" s="172"/>
      <c r="DF227" s="172"/>
      <c r="DG227" s="172"/>
      <c r="DH227" s="172"/>
      <c r="DI227" s="172"/>
      <c r="DJ227" s="172"/>
      <c r="DK227" s="172"/>
      <c r="DL227" s="172"/>
      <c r="DM227" s="172"/>
      <c r="DN227" s="172"/>
      <c r="DO227" s="172"/>
      <c r="DP227" s="172"/>
      <c r="DQ227" s="172"/>
      <c r="DR227" s="172"/>
      <c r="DS227" s="172"/>
      <c r="DT227" s="172"/>
      <c r="DU227" s="172"/>
      <c r="DV227" s="172"/>
      <c r="DW227" s="172"/>
      <c r="DX227" s="172"/>
      <c r="DY227" s="172"/>
      <c r="DZ227" s="172"/>
      <c r="EA227" s="172"/>
      <c r="EB227" s="172"/>
      <c r="EC227" s="172"/>
      <c r="ED227" s="172"/>
      <c r="EE227" s="172"/>
      <c r="EF227" s="172"/>
      <c r="EG227" s="172"/>
      <c r="EH227" s="172"/>
      <c r="EI227" s="172"/>
      <c r="EJ227" s="172"/>
      <c r="EK227" s="172"/>
      <c r="EL227" s="172"/>
      <c r="EM227" s="172"/>
      <c r="EN227" s="172"/>
      <c r="EO227" s="172"/>
      <c r="EP227" s="172"/>
      <c r="EQ227" s="172"/>
      <c r="ER227" s="172"/>
      <c r="ES227" s="172"/>
      <c r="ET227" s="172"/>
      <c r="EU227" s="172"/>
      <c r="EV227" s="172"/>
      <c r="EW227" s="172"/>
      <c r="EX227" s="172"/>
      <c r="EY227" s="172"/>
      <c r="EZ227" s="172"/>
      <c r="FA227" s="172"/>
      <c r="FB227" s="172"/>
      <c r="FC227" s="172"/>
      <c r="FD227" s="172"/>
      <c r="FE227" s="172"/>
      <c r="FF227" s="172"/>
      <c r="FG227" s="172"/>
      <c r="FH227" s="172"/>
      <c r="FI227" s="172"/>
      <c r="FJ227" s="172"/>
      <c r="FK227" s="172"/>
      <c r="FL227" s="172"/>
      <c r="FM227" s="172"/>
      <c r="FN227" s="172"/>
      <c r="FO227" s="172"/>
      <c r="FP227" s="172"/>
      <c r="FQ227" s="172"/>
      <c r="FR227" s="172"/>
      <c r="FS227" s="172"/>
      <c r="FT227" s="172"/>
      <c r="FU227" s="172"/>
      <c r="FV227" s="172"/>
      <c r="FW227" s="172"/>
      <c r="FX227" s="172"/>
      <c r="FY227" s="172"/>
      <c r="FZ227" s="172"/>
      <c r="GA227" s="172"/>
      <c r="GB227" s="172"/>
      <c r="GC227" s="172"/>
      <c r="GD227" s="172"/>
      <c r="GE227" s="172"/>
      <c r="GF227" s="172"/>
      <c r="GG227" s="172"/>
      <c r="GH227" s="172"/>
      <c r="GI227" s="172"/>
      <c r="GJ227" s="172"/>
      <c r="GK227" s="172"/>
      <c r="GL227" s="172"/>
      <c r="GM227" s="172"/>
      <c r="GN227" s="172"/>
      <c r="GO227" s="172"/>
      <c r="GP227" s="172"/>
      <c r="GQ227" s="172"/>
      <c r="GR227" s="172"/>
      <c r="GS227" s="172"/>
      <c r="GT227" s="172"/>
      <c r="GU227" s="172"/>
      <c r="GV227" s="172"/>
      <c r="GW227" s="172"/>
      <c r="GX227" s="172"/>
      <c r="GY227" s="172"/>
      <c r="GZ227" s="172"/>
      <c r="HA227" s="172"/>
      <c r="HB227" s="172"/>
      <c r="HC227" s="172"/>
      <c r="HD227" s="172"/>
      <c r="HE227" s="172"/>
      <c r="HF227" s="172"/>
      <c r="HG227" s="172"/>
      <c r="HH227" s="172"/>
      <c r="HI227" s="172"/>
      <c r="HJ227" s="172"/>
      <c r="HK227" s="172"/>
      <c r="HL227" s="172"/>
      <c r="HM227" s="172"/>
      <c r="HN227" s="172"/>
      <c r="HO227" s="172"/>
      <c r="HP227" s="172"/>
      <c r="HQ227" s="172"/>
      <c r="HR227" s="172"/>
      <c r="HS227" s="172"/>
      <c r="HT227" s="172"/>
      <c r="HU227" s="172"/>
      <c r="HV227" s="172"/>
      <c r="HW227" s="172"/>
      <c r="HX227" s="172"/>
      <c r="HY227" s="172"/>
      <c r="HZ227" s="172"/>
      <c r="IA227" s="172"/>
      <c r="IB227" s="172"/>
      <c r="IC227" s="172"/>
      <c r="ID227" s="172"/>
      <c r="IE227" s="172"/>
      <c r="IF227" s="172"/>
      <c r="IG227" s="172"/>
      <c r="IH227" s="172"/>
      <c r="II227" s="172"/>
      <c r="IJ227" s="172"/>
      <c r="IK227" s="172"/>
      <c r="IL227" s="172"/>
      <c r="IM227" s="172"/>
      <c r="IN227" s="172"/>
      <c r="IO227" s="172"/>
      <c r="IP227" s="172"/>
      <c r="IQ227" s="172"/>
      <c r="IR227" s="172"/>
      <c r="IS227" s="172"/>
      <c r="IT227" s="172"/>
      <c r="IU227" s="172"/>
      <c r="IV227" s="172"/>
      <c r="IW227" s="172"/>
      <c r="IX227" s="172"/>
      <c r="IY227" s="172"/>
      <c r="IZ227" s="172"/>
      <c r="JA227" s="172"/>
      <c r="JB227" s="172"/>
      <c r="JC227" s="172"/>
      <c r="JD227" s="172"/>
      <c r="JE227" s="172"/>
      <c r="JF227" s="172"/>
      <c r="JG227" s="172"/>
      <c r="JH227" s="172"/>
      <c r="JI227" s="172"/>
      <c r="JJ227" s="172"/>
      <c r="JK227" s="172"/>
      <c r="JL227" s="172"/>
      <c r="JM227" s="172"/>
      <c r="JN227" s="172"/>
      <c r="JO227" s="172"/>
      <c r="JP227" s="172"/>
      <c r="JQ227" s="172"/>
      <c r="JR227" s="172"/>
      <c r="JS227" s="172"/>
      <c r="JT227" s="172"/>
      <c r="JU227" s="172"/>
      <c r="JV227" s="172"/>
      <c r="JW227" s="172"/>
      <c r="JX227" s="172"/>
      <c r="JY227" s="172"/>
      <c r="JZ227" s="172"/>
      <c r="KA227" s="172"/>
      <c r="KB227" s="172"/>
      <c r="KC227" s="172"/>
      <c r="KD227" s="172"/>
      <c r="KE227" s="172"/>
      <c r="KF227" s="172"/>
      <c r="KG227" s="172"/>
      <c r="KH227" s="172"/>
      <c r="KI227" s="172"/>
      <c r="KJ227" s="172"/>
      <c r="KK227" s="172"/>
      <c r="KL227" s="172"/>
      <c r="KM227" s="172"/>
      <c r="KN227" s="172"/>
      <c r="KO227" s="172"/>
      <c r="KP227" s="172"/>
      <c r="KQ227" s="172"/>
      <c r="KR227" s="172"/>
      <c r="KS227" s="172"/>
      <c r="KT227" s="172"/>
      <c r="KU227" s="172"/>
      <c r="KV227" s="172"/>
      <c r="KW227" s="172"/>
      <c r="KX227" s="172"/>
      <c r="KY227" s="172"/>
      <c r="KZ227" s="172"/>
      <c r="LA227" s="172"/>
      <c r="LB227" s="172"/>
      <c r="LC227" s="172"/>
      <c r="LD227" s="172"/>
      <c r="LE227" s="172"/>
      <c r="LF227" s="172"/>
      <c r="LG227" s="172"/>
      <c r="LH227" s="172"/>
      <c r="LI227" s="172"/>
      <c r="LJ227" s="172"/>
      <c r="LK227" s="172"/>
      <c r="LL227" s="172"/>
      <c r="LM227" s="172"/>
      <c r="LN227" s="172"/>
      <c r="LO227" s="172"/>
      <c r="LP227" s="172"/>
      <c r="LQ227" s="172"/>
      <c r="LR227" s="172"/>
      <c r="LS227" s="172"/>
      <c r="LT227" s="172"/>
      <c r="LU227" s="172"/>
      <c r="LV227" s="172"/>
      <c r="LW227" s="172"/>
      <c r="LX227" s="172"/>
      <c r="LY227" s="172"/>
      <c r="LZ227" s="172"/>
      <c r="MA227" s="172"/>
      <c r="MB227" s="172"/>
      <c r="MC227" s="172"/>
      <c r="MD227" s="172"/>
      <c r="ME227" s="172"/>
      <c r="MF227" s="172"/>
      <c r="MG227" s="172"/>
      <c r="MH227" s="172"/>
      <c r="MI227" s="172"/>
      <c r="MJ227" s="172"/>
      <c r="MK227" s="172"/>
      <c r="ML227" s="172"/>
      <c r="MM227" s="172"/>
      <c r="MN227" s="172"/>
      <c r="MO227" s="172"/>
      <c r="MP227" s="172"/>
      <c r="MQ227" s="172"/>
      <c r="MR227" s="172"/>
      <c r="MS227" s="172"/>
      <c r="MT227" s="172"/>
      <c r="MU227" s="172"/>
      <c r="MV227" s="172"/>
      <c r="MW227" s="172"/>
      <c r="MX227" s="172"/>
      <c r="MY227" s="172"/>
      <c r="MZ227" s="172"/>
      <c r="NA227" s="172"/>
      <c r="NB227" s="172"/>
      <c r="NC227" s="172"/>
      <c r="ND227" s="172"/>
      <c r="NE227" s="172"/>
      <c r="NF227" s="172"/>
      <c r="NG227" s="172"/>
      <c r="NH227" s="172"/>
      <c r="NI227" s="172"/>
      <c r="NJ227" s="172"/>
      <c r="NK227" s="172"/>
      <c r="NL227" s="172"/>
      <c r="NM227" s="172"/>
      <c r="NN227" s="172"/>
      <c r="NO227" s="172"/>
      <c r="NP227" s="172"/>
      <c r="NQ227" s="172"/>
      <c r="NR227" s="172"/>
      <c r="NS227" s="172"/>
      <c r="NT227" s="172"/>
      <c r="NU227" s="172"/>
      <c r="NV227" s="172"/>
      <c r="NW227" s="172"/>
      <c r="NX227" s="172"/>
      <c r="NY227" s="172"/>
      <c r="NZ227" s="172"/>
      <c r="OA227" s="172"/>
      <c r="OB227" s="172"/>
      <c r="OC227" s="172"/>
      <c r="OD227" s="172"/>
      <c r="OE227" s="172"/>
      <c r="OF227" s="172"/>
      <c r="OG227" s="172"/>
      <c r="OH227" s="172"/>
      <c r="OI227" s="172"/>
      <c r="OJ227" s="172"/>
      <c r="OK227" s="172"/>
      <c r="OL227" s="172"/>
      <c r="OM227" s="172"/>
      <c r="ON227" s="172"/>
      <c r="OO227" s="172"/>
      <c r="OP227" s="172"/>
      <c r="OQ227" s="172"/>
      <c r="OR227" s="172"/>
      <c r="OS227" s="172"/>
      <c r="OT227" s="172"/>
      <c r="OU227" s="172"/>
      <c r="OV227" s="172"/>
      <c r="OW227" s="172"/>
      <c r="OX227" s="172"/>
      <c r="OY227" s="172"/>
      <c r="OZ227" s="172"/>
      <c r="PA227" s="172"/>
      <c r="PB227" s="172"/>
      <c r="PC227" s="172"/>
      <c r="PD227" s="172"/>
      <c r="PE227" s="172"/>
      <c r="PF227" s="172"/>
      <c r="PG227" s="172"/>
      <c r="PH227" s="172"/>
      <c r="PI227" s="172"/>
      <c r="PJ227" s="172"/>
      <c r="PK227" s="172"/>
      <c r="PL227" s="172"/>
      <c r="PM227" s="172"/>
      <c r="PN227" s="172"/>
      <c r="PO227" s="172"/>
      <c r="PP227" s="172"/>
      <c r="PQ227" s="172"/>
      <c r="PR227" s="172"/>
      <c r="PS227" s="172"/>
      <c r="PT227" s="172"/>
      <c r="PU227" s="172"/>
      <c r="PV227" s="172"/>
      <c r="PW227" s="172"/>
      <c r="PX227" s="172"/>
      <c r="PY227" s="172"/>
      <c r="PZ227" s="172"/>
      <c r="QA227" s="172"/>
      <c r="QB227" s="172"/>
      <c r="QC227" s="172"/>
      <c r="QD227" s="172"/>
      <c r="QE227" s="172"/>
      <c r="QF227" s="172"/>
      <c r="QG227" s="172"/>
      <c r="QH227" s="172"/>
      <c r="QI227" s="172"/>
      <c r="QJ227" s="172"/>
      <c r="QK227" s="172"/>
      <c r="QL227" s="172"/>
      <c r="QM227" s="172"/>
      <c r="QN227" s="172"/>
      <c r="QO227" s="172"/>
      <c r="QP227" s="172"/>
      <c r="QQ227" s="172"/>
      <c r="QR227" s="172"/>
      <c r="QS227" s="172"/>
      <c r="QT227" s="172"/>
      <c r="QU227" s="172"/>
      <c r="QV227" s="172"/>
      <c r="QW227" s="172"/>
      <c r="QX227" s="172"/>
      <c r="QY227" s="172"/>
      <c r="QZ227" s="172"/>
      <c r="RA227" s="172"/>
      <c r="RB227" s="172"/>
      <c r="RC227" s="172"/>
      <c r="RD227" s="172"/>
      <c r="RE227" s="172"/>
      <c r="RF227" s="172"/>
      <c r="RG227" s="172"/>
      <c r="RH227" s="172"/>
      <c r="RI227" s="172"/>
      <c r="RJ227" s="172"/>
      <c r="RK227" s="172"/>
      <c r="RL227" s="172"/>
      <c r="RM227" s="172"/>
      <c r="RN227" s="172"/>
      <c r="RO227" s="172"/>
      <c r="RP227" s="172"/>
      <c r="RQ227" s="172"/>
      <c r="RR227" s="172"/>
      <c r="RS227" s="172"/>
      <c r="RT227" s="172"/>
      <c r="RU227" s="172"/>
      <c r="RV227" s="172"/>
      <c r="RW227" s="172"/>
      <c r="RX227" s="172"/>
      <c r="RY227" s="172"/>
      <c r="RZ227" s="172"/>
      <c r="SA227" s="172"/>
      <c r="SB227" s="172"/>
      <c r="SC227" s="172"/>
      <c r="SD227" s="172"/>
      <c r="SE227" s="172"/>
      <c r="SF227" s="172"/>
      <c r="SG227" s="172"/>
      <c r="SH227" s="172"/>
      <c r="SI227" s="172"/>
      <c r="SJ227" s="172"/>
      <c r="SK227" s="172"/>
      <c r="SL227" s="172"/>
      <c r="SM227" s="172"/>
      <c r="SN227" s="172"/>
      <c r="SO227" s="172"/>
      <c r="SP227" s="172"/>
      <c r="SQ227" s="172"/>
      <c r="SR227" s="172"/>
      <c r="SS227" s="172"/>
      <c r="ST227" s="172"/>
      <c r="SU227" s="172"/>
      <c r="SV227" s="172"/>
      <c r="SW227" s="172"/>
      <c r="SX227" s="172"/>
      <c r="SY227" s="172"/>
      <c r="SZ227" s="172"/>
      <c r="TA227" s="172"/>
      <c r="TB227" s="172"/>
      <c r="TC227" s="172"/>
      <c r="TD227" s="172"/>
      <c r="TE227" s="172"/>
      <c r="TF227" s="172"/>
      <c r="TG227" s="172"/>
      <c r="TH227" s="172"/>
      <c r="TI227" s="172"/>
      <c r="TJ227" s="172"/>
      <c r="TK227" s="172"/>
      <c r="TL227" s="172"/>
      <c r="TM227" s="172"/>
      <c r="TN227" s="172"/>
      <c r="TO227" s="172"/>
      <c r="TP227" s="172"/>
      <c r="TQ227" s="172"/>
      <c r="TR227" s="172"/>
      <c r="TS227" s="172"/>
      <c r="TT227" s="172"/>
      <c r="TU227" s="172"/>
      <c r="TV227" s="172"/>
      <c r="TW227" s="172"/>
      <c r="TX227" s="172"/>
      <c r="TY227" s="172"/>
      <c r="TZ227" s="172"/>
      <c r="UA227" s="172"/>
      <c r="UB227" s="172"/>
      <c r="UC227" s="172"/>
      <c r="UD227" s="172"/>
      <c r="UE227" s="172"/>
      <c r="UF227" s="172"/>
      <c r="UG227" s="172"/>
      <c r="UH227" s="172"/>
      <c r="UI227" s="172"/>
      <c r="UJ227" s="172"/>
      <c r="UK227" s="172"/>
      <c r="UL227" s="172"/>
      <c r="UM227" s="172"/>
      <c r="UN227" s="172"/>
      <c r="UO227" s="172"/>
      <c r="UP227" s="172"/>
      <c r="UQ227" s="172"/>
      <c r="UR227" s="172"/>
      <c r="US227" s="172"/>
      <c r="UT227" s="172"/>
      <c r="UU227" s="172"/>
      <c r="UV227" s="172"/>
      <c r="UW227" s="172"/>
      <c r="UX227" s="172"/>
      <c r="UY227" s="172"/>
      <c r="UZ227" s="172"/>
      <c r="VA227" s="172"/>
      <c r="VB227" s="172"/>
      <c r="VC227" s="172"/>
      <c r="VD227" s="172"/>
      <c r="VE227" s="172"/>
      <c r="VF227" s="172"/>
      <c r="VG227" s="172"/>
      <c r="VH227" s="172"/>
      <c r="VI227" s="172"/>
      <c r="VJ227" s="172"/>
      <c r="VK227" s="172"/>
      <c r="VL227" s="172"/>
      <c r="VM227" s="172"/>
      <c r="VN227" s="172"/>
      <c r="VO227" s="172"/>
      <c r="VP227" s="172"/>
      <c r="VQ227" s="172"/>
      <c r="VR227" s="172"/>
      <c r="VS227" s="172"/>
      <c r="VT227" s="172"/>
      <c r="VU227" s="172"/>
      <c r="VV227" s="172"/>
      <c r="VW227" s="172"/>
      <c r="VX227" s="172"/>
      <c r="VY227" s="172"/>
      <c r="VZ227" s="172"/>
      <c r="WA227" s="172"/>
      <c r="WB227" s="172"/>
      <c r="WC227" s="172"/>
      <c r="WD227" s="172"/>
      <c r="WE227" s="172"/>
      <c r="WF227" s="172"/>
      <c r="WG227" s="172"/>
      <c r="WH227" s="172"/>
      <c r="WI227" s="172"/>
      <c r="WJ227" s="172"/>
      <c r="WK227" s="172"/>
      <c r="WL227" s="172"/>
      <c r="WM227" s="172"/>
      <c r="WN227" s="172"/>
      <c r="WO227" s="172"/>
      <c r="WP227" s="172"/>
      <c r="WQ227" s="172"/>
      <c r="WR227" s="172"/>
      <c r="WS227" s="172"/>
      <c r="WT227" s="172"/>
      <c r="WU227" s="172"/>
      <c r="WV227" s="172"/>
      <c r="WW227" s="172"/>
      <c r="WX227" s="172"/>
      <c r="WY227" s="172"/>
      <c r="WZ227" s="172"/>
      <c r="XA227" s="172"/>
      <c r="XB227" s="172"/>
      <c r="XC227" s="172"/>
      <c r="XD227" s="172"/>
      <c r="XE227" s="172"/>
      <c r="XF227" s="172"/>
      <c r="XG227" s="172"/>
      <c r="XH227" s="172"/>
      <c r="XI227" s="172"/>
      <c r="XJ227" s="172"/>
      <c r="XK227" s="172"/>
      <c r="XL227" s="172"/>
      <c r="XM227" s="172"/>
      <c r="XN227" s="172"/>
      <c r="XO227" s="172"/>
      <c r="XP227" s="172"/>
      <c r="XQ227" s="172"/>
      <c r="XR227" s="172"/>
      <c r="XS227" s="172"/>
      <c r="XT227" s="172"/>
      <c r="XU227" s="172"/>
      <c r="XV227" s="172"/>
      <c r="XW227" s="172"/>
      <c r="XX227" s="172"/>
      <c r="XY227" s="172"/>
      <c r="XZ227" s="172"/>
      <c r="YA227" s="172"/>
      <c r="YB227" s="172"/>
      <c r="YC227" s="172"/>
      <c r="YD227" s="172"/>
      <c r="YE227" s="172"/>
      <c r="YF227" s="172"/>
      <c r="YG227" s="172"/>
      <c r="YH227" s="172"/>
      <c r="YI227" s="172"/>
      <c r="YJ227" s="172"/>
      <c r="YK227" s="172"/>
      <c r="YL227" s="172"/>
      <c r="YM227" s="172"/>
      <c r="YN227" s="172"/>
      <c r="YO227" s="172"/>
      <c r="YP227" s="172"/>
      <c r="YQ227" s="172"/>
      <c r="YR227" s="172"/>
      <c r="YS227" s="172"/>
      <c r="YT227" s="172"/>
      <c r="YU227" s="172"/>
      <c r="YV227" s="172"/>
      <c r="YW227" s="172"/>
      <c r="YX227" s="172"/>
      <c r="YY227" s="172"/>
      <c r="YZ227" s="172"/>
      <c r="ZA227" s="172"/>
      <c r="ZB227" s="172"/>
      <c r="ZC227" s="172"/>
      <c r="ZD227" s="172"/>
      <c r="ZE227" s="172"/>
      <c r="ZF227" s="172"/>
      <c r="ZG227" s="172"/>
      <c r="ZH227" s="172"/>
      <c r="ZI227" s="172"/>
      <c r="ZJ227" s="172"/>
      <c r="ZK227" s="172"/>
      <c r="ZL227" s="172"/>
      <c r="ZM227" s="172"/>
      <c r="ZN227" s="172"/>
      <c r="ZO227" s="172"/>
      <c r="ZP227" s="172"/>
      <c r="ZQ227" s="172"/>
      <c r="ZR227" s="172"/>
      <c r="ZS227" s="172"/>
      <c r="ZT227" s="172"/>
      <c r="ZU227" s="172"/>
      <c r="ZV227" s="172"/>
      <c r="ZW227" s="172"/>
      <c r="ZX227" s="172"/>
      <c r="ZY227" s="172"/>
      <c r="ZZ227" s="172"/>
      <c r="AAA227" s="172"/>
      <c r="AAB227" s="172"/>
      <c r="AAC227" s="172"/>
      <c r="AAD227" s="172"/>
      <c r="AAE227" s="172"/>
      <c r="AAF227" s="172"/>
      <c r="AAG227" s="172"/>
      <c r="AAH227" s="172"/>
      <c r="AAI227" s="172"/>
      <c r="AAJ227" s="172"/>
      <c r="AAK227" s="172"/>
      <c r="AAL227" s="172"/>
      <c r="AAM227" s="172"/>
      <c r="AAN227" s="172"/>
      <c r="AAO227" s="172"/>
      <c r="AAP227" s="172"/>
      <c r="AAQ227" s="172"/>
      <c r="AAR227" s="172"/>
      <c r="AAS227" s="172"/>
      <c r="AAT227" s="172"/>
      <c r="AAU227" s="172"/>
      <c r="AAV227" s="172"/>
      <c r="AAW227" s="172"/>
      <c r="AAX227" s="172"/>
      <c r="AAY227" s="172"/>
      <c r="AAZ227" s="172"/>
      <c r="ABA227" s="172"/>
      <c r="ABB227" s="172"/>
      <c r="ABC227" s="172"/>
      <c r="ABD227" s="172"/>
      <c r="ABE227" s="172"/>
      <c r="ABF227" s="172"/>
      <c r="ABG227" s="172"/>
      <c r="ABH227" s="172"/>
      <c r="ABI227" s="172"/>
      <c r="ABJ227" s="172"/>
      <c r="ABK227" s="172"/>
      <c r="ABL227" s="172"/>
      <c r="ABM227" s="172"/>
      <c r="ABN227" s="172"/>
      <c r="ABO227" s="172"/>
      <c r="ABP227" s="172"/>
      <c r="ABQ227" s="172"/>
      <c r="ABR227" s="172"/>
      <c r="ABS227" s="172"/>
      <c r="ABT227" s="172"/>
      <c r="ABU227" s="172"/>
      <c r="ABV227" s="172"/>
      <c r="ABW227" s="172"/>
      <c r="ABX227" s="172"/>
      <c r="ABY227" s="172"/>
      <c r="ABZ227" s="172"/>
      <c r="ACA227" s="172"/>
      <c r="ACB227" s="172"/>
      <c r="ACC227" s="172"/>
      <c r="ACD227" s="172"/>
      <c r="ACE227" s="172"/>
      <c r="ACF227" s="172"/>
      <c r="ACG227" s="172"/>
      <c r="ACH227" s="172"/>
      <c r="ACI227" s="172"/>
      <c r="ACJ227" s="172"/>
      <c r="ACK227" s="172"/>
      <c r="ACL227" s="172"/>
      <c r="ACM227" s="172"/>
      <c r="ACN227" s="172"/>
      <c r="ACO227" s="172"/>
      <c r="ACP227" s="172"/>
      <c r="ACQ227" s="172"/>
      <c r="ACR227" s="172"/>
      <c r="ACS227" s="172"/>
      <c r="ACT227" s="172"/>
      <c r="ACU227" s="172"/>
      <c r="ACV227" s="172"/>
      <c r="ACW227" s="172"/>
      <c r="ACX227" s="172"/>
      <c r="ACY227" s="172"/>
      <c r="ACZ227" s="172"/>
      <c r="ADA227" s="172"/>
      <c r="ADB227" s="172"/>
      <c r="ADC227" s="172"/>
      <c r="ADD227" s="172"/>
      <c r="ADE227" s="172"/>
      <c r="ADF227" s="172"/>
      <c r="ADG227" s="172"/>
      <c r="ADH227" s="172"/>
      <c r="ADI227" s="172"/>
      <c r="ADJ227" s="172"/>
      <c r="ADK227" s="172"/>
      <c r="ADL227" s="172"/>
      <c r="ADM227" s="172"/>
      <c r="ADN227" s="172"/>
      <c r="ADO227" s="172"/>
      <c r="ADP227" s="172"/>
      <c r="ADQ227" s="172"/>
      <c r="ADR227" s="172"/>
      <c r="ADS227" s="172"/>
      <c r="ADT227" s="172"/>
      <c r="ADU227" s="172"/>
      <c r="ADV227" s="172"/>
      <c r="ADW227" s="172"/>
      <c r="ADX227" s="172"/>
      <c r="ADY227" s="172"/>
      <c r="ADZ227" s="172"/>
      <c r="AEA227" s="172"/>
      <c r="AEB227" s="172"/>
      <c r="AEC227" s="172"/>
      <c r="AED227" s="172"/>
      <c r="AEE227" s="172"/>
      <c r="AEF227" s="172"/>
      <c r="AEG227" s="172"/>
      <c r="AEH227" s="172"/>
      <c r="AEI227" s="172"/>
      <c r="AEJ227" s="172"/>
      <c r="AEK227" s="172"/>
      <c r="AEL227" s="172"/>
      <c r="AEM227" s="172"/>
      <c r="AEN227" s="172"/>
      <c r="AEO227" s="172"/>
      <c r="AEP227" s="172"/>
      <c r="AEQ227" s="172"/>
      <c r="AER227" s="172"/>
      <c r="AES227" s="172"/>
      <c r="AET227" s="172"/>
      <c r="AEU227" s="172"/>
      <c r="AEV227" s="172"/>
      <c r="AEW227" s="172"/>
      <c r="AEX227" s="172"/>
      <c r="AEY227" s="172"/>
      <c r="AEZ227" s="172"/>
      <c r="AFA227" s="172"/>
      <c r="AFB227" s="172"/>
      <c r="AFC227" s="172"/>
      <c r="AFD227" s="172"/>
      <c r="AFE227" s="172"/>
      <c r="AFF227" s="172"/>
      <c r="AFG227" s="172"/>
      <c r="AFH227" s="172"/>
      <c r="AFI227" s="172"/>
      <c r="AFJ227" s="172"/>
      <c r="AFK227" s="172"/>
      <c r="AFL227" s="172"/>
      <c r="AFM227" s="172"/>
      <c r="AFN227" s="172"/>
      <c r="AFO227" s="172"/>
      <c r="AFP227" s="172"/>
      <c r="AFQ227" s="172"/>
      <c r="AFR227" s="172"/>
      <c r="AFS227" s="172"/>
      <c r="AFT227" s="172"/>
      <c r="AFU227" s="172"/>
      <c r="AFV227" s="172"/>
      <c r="AFW227" s="172"/>
      <c r="AFX227" s="172"/>
      <c r="AFY227" s="172"/>
      <c r="AFZ227" s="172"/>
      <c r="AGA227" s="172"/>
      <c r="AGB227" s="172"/>
      <c r="AGC227" s="172"/>
      <c r="AGD227" s="172"/>
      <c r="AGE227" s="172"/>
      <c r="AGF227" s="172"/>
      <c r="AGG227" s="172"/>
      <c r="AGH227" s="172"/>
      <c r="AGI227" s="172"/>
      <c r="AGJ227" s="172"/>
      <c r="AGK227" s="172"/>
      <c r="AGL227" s="172"/>
      <c r="AGM227" s="172"/>
      <c r="AGN227" s="172"/>
      <c r="AGO227" s="172"/>
      <c r="AGP227" s="172"/>
      <c r="AGQ227" s="172"/>
      <c r="AGR227" s="172"/>
      <c r="AGS227" s="172"/>
      <c r="AGT227" s="172"/>
      <c r="AGU227" s="172"/>
      <c r="AGV227" s="172"/>
      <c r="AGW227" s="172"/>
      <c r="AGX227" s="172"/>
      <c r="AGY227" s="172"/>
      <c r="AGZ227" s="172"/>
      <c r="AHA227" s="172"/>
      <c r="AHB227" s="172"/>
      <c r="AHC227" s="172"/>
      <c r="AHD227" s="172"/>
      <c r="AHE227" s="172"/>
      <c r="AHF227" s="172"/>
      <c r="AHG227" s="172"/>
      <c r="AHH227" s="172"/>
      <c r="AHI227" s="172"/>
      <c r="AHJ227" s="172"/>
      <c r="AHK227" s="172"/>
      <c r="AHL227" s="172"/>
      <c r="AHM227" s="172"/>
      <c r="AHN227" s="172"/>
      <c r="AHO227" s="172"/>
      <c r="AHP227" s="172"/>
      <c r="AHQ227" s="172"/>
      <c r="AHR227" s="172"/>
      <c r="AHS227" s="172"/>
      <c r="AHT227" s="172"/>
      <c r="AHU227" s="172"/>
      <c r="AHV227" s="172"/>
      <c r="AHW227" s="172"/>
      <c r="AHX227" s="172"/>
      <c r="AHY227" s="172"/>
      <c r="AHZ227" s="172"/>
      <c r="AIA227" s="172"/>
      <c r="AIB227" s="172"/>
      <c r="AIC227" s="172"/>
      <c r="AID227" s="172"/>
      <c r="AIE227" s="172"/>
      <c r="AIF227" s="172"/>
      <c r="AIG227" s="172"/>
      <c r="AIH227" s="172"/>
      <c r="AII227" s="172"/>
      <c r="AIJ227" s="172"/>
      <c r="AIK227" s="172"/>
      <c r="AIL227" s="172"/>
      <c r="AIM227" s="172"/>
      <c r="AIN227" s="172"/>
      <c r="AIO227" s="172"/>
      <c r="AIP227" s="172"/>
      <c r="AIQ227" s="172"/>
      <c r="AIR227" s="172"/>
      <c r="AIS227" s="172"/>
      <c r="AIT227" s="172"/>
      <c r="AIU227" s="172"/>
      <c r="AIV227" s="172"/>
      <c r="AIW227" s="172"/>
      <c r="AIX227" s="172"/>
      <c r="AIY227" s="172"/>
      <c r="AIZ227" s="172"/>
      <c r="AJA227" s="172"/>
      <c r="AJB227" s="172"/>
      <c r="AJC227" s="172"/>
      <c r="AJD227" s="172"/>
      <c r="AJE227" s="172"/>
      <c r="AJF227" s="172"/>
      <c r="AJG227" s="172"/>
      <c r="AJH227" s="172"/>
      <c r="AJI227" s="172"/>
      <c r="AJJ227" s="172"/>
      <c r="AJK227" s="172"/>
      <c r="AJL227" s="172"/>
      <c r="AJM227" s="172"/>
      <c r="AJN227" s="172"/>
      <c r="AJO227" s="172"/>
      <c r="AJP227" s="172"/>
      <c r="AJQ227" s="172"/>
      <c r="AJR227" s="172"/>
      <c r="AJS227" s="172"/>
      <c r="AJT227" s="172"/>
      <c r="AJU227" s="172"/>
      <c r="AJV227" s="172"/>
      <c r="AJW227" s="172"/>
      <c r="AJX227" s="172"/>
      <c r="AJY227" s="172"/>
      <c r="AJZ227" s="172"/>
      <c r="AKA227" s="172"/>
      <c r="AKB227" s="172"/>
      <c r="AKC227" s="172"/>
      <c r="AKD227" s="172"/>
      <c r="AKE227" s="172"/>
      <c r="AKF227" s="172"/>
      <c r="AKG227" s="172"/>
      <c r="AKH227" s="172"/>
      <c r="AKI227" s="172"/>
      <c r="AKJ227" s="172"/>
      <c r="AKK227" s="172"/>
      <c r="AKL227" s="172"/>
      <c r="AKM227" s="172"/>
      <c r="AKN227" s="172"/>
      <c r="AKO227" s="172"/>
      <c r="AKP227" s="172"/>
      <c r="AKQ227" s="172"/>
      <c r="AKR227" s="172"/>
      <c r="AKS227" s="172"/>
      <c r="AKT227" s="172"/>
      <c r="AKU227" s="172"/>
      <c r="AKV227" s="172"/>
      <c r="AKW227" s="172"/>
      <c r="AKX227" s="172"/>
      <c r="AKY227" s="172"/>
      <c r="AKZ227" s="172"/>
      <c r="ALA227" s="172"/>
      <c r="ALB227" s="172"/>
      <c r="ALC227" s="172"/>
      <c r="ALD227" s="172"/>
      <c r="ALE227" s="172"/>
      <c r="ALF227" s="172"/>
      <c r="ALG227" s="172"/>
      <c r="ALH227" s="172"/>
      <c r="ALI227" s="172"/>
      <c r="ALJ227" s="172"/>
      <c r="ALK227" s="172"/>
      <c r="ALL227" s="172"/>
      <c r="ALM227" s="172"/>
      <c r="ALN227" s="172"/>
      <c r="ALO227" s="172"/>
      <c r="ALP227" s="172"/>
      <c r="ALQ227" s="172"/>
      <c r="ALR227" s="172"/>
      <c r="ALS227" s="172"/>
      <c r="ALT227" s="172"/>
      <c r="ALU227" s="172"/>
      <c r="ALV227" s="172"/>
      <c r="ALW227" s="172"/>
      <c r="ALX227" s="172"/>
      <c r="ALY227" s="172"/>
      <c r="ALZ227" s="172"/>
      <c r="AMA227" s="172"/>
      <c r="AMB227" s="172"/>
      <c r="AMC227" s="172"/>
      <c r="AMD227" s="172"/>
      <c r="AME227" s="172"/>
      <c r="AMF227" s="172"/>
      <c r="AMG227" s="172"/>
      <c r="AMH227" s="172"/>
      <c r="AMI227" s="172"/>
      <c r="AMJ227" s="172"/>
      <c r="AMK227" s="172"/>
      <c r="AML227" s="172"/>
      <c r="AMM227" s="172"/>
      <c r="AMN227" s="172"/>
      <c r="AMO227" s="172"/>
      <c r="AMP227" s="172"/>
      <c r="AMQ227" s="172"/>
      <c r="AMR227" s="172"/>
      <c r="AMS227" s="172"/>
      <c r="AMT227" s="172"/>
      <c r="AMU227" s="172"/>
      <c r="AMV227" s="172"/>
      <c r="AMW227" s="172"/>
      <c r="AMX227" s="172"/>
      <c r="AMY227" s="172"/>
      <c r="AMZ227" s="172"/>
      <c r="ANA227" s="172"/>
      <c r="ANB227" s="172"/>
      <c r="ANC227" s="172"/>
      <c r="AND227" s="172"/>
      <c r="ANE227" s="172"/>
      <c r="ANF227" s="172"/>
      <c r="ANG227" s="172"/>
      <c r="ANH227" s="172"/>
      <c r="ANI227" s="172"/>
      <c r="ANJ227" s="172"/>
      <c r="ANK227" s="172"/>
      <c r="ANL227" s="172"/>
      <c r="ANM227" s="172"/>
      <c r="ANN227" s="172"/>
      <c r="ANO227" s="172"/>
      <c r="ANP227" s="172"/>
      <c r="ANQ227" s="172"/>
      <c r="ANR227" s="172"/>
      <c r="ANS227" s="172"/>
      <c r="ANT227" s="172"/>
      <c r="ANU227" s="172"/>
      <c r="ANV227" s="172"/>
      <c r="ANW227" s="172"/>
      <c r="ANX227" s="172"/>
      <c r="ANY227" s="172"/>
      <c r="ANZ227" s="172"/>
      <c r="AOA227" s="172"/>
      <c r="AOB227" s="172"/>
      <c r="AOC227" s="172"/>
      <c r="AOD227" s="172"/>
      <c r="AOE227" s="172"/>
      <c r="AOF227" s="172"/>
      <c r="AOG227" s="172"/>
      <c r="AOH227" s="172"/>
      <c r="AOI227" s="172"/>
      <c r="AOJ227" s="172"/>
      <c r="AOK227" s="172"/>
      <c r="AOL227" s="172"/>
      <c r="AOM227" s="172"/>
      <c r="AON227" s="172"/>
      <c r="AOO227" s="172"/>
      <c r="AOP227" s="172"/>
      <c r="AOQ227" s="172"/>
      <c r="AOR227" s="172"/>
      <c r="AOS227" s="172"/>
      <c r="AOT227" s="172"/>
      <c r="AOU227" s="172"/>
      <c r="AOV227" s="172"/>
      <c r="AOW227" s="172"/>
      <c r="AOX227" s="172"/>
      <c r="AOY227" s="172"/>
      <c r="AOZ227" s="172"/>
      <c r="APA227" s="172"/>
      <c r="APB227" s="172"/>
      <c r="APC227" s="172"/>
      <c r="APD227" s="172"/>
      <c r="APE227" s="172"/>
      <c r="APF227" s="172"/>
      <c r="APG227" s="172"/>
      <c r="APH227" s="172"/>
      <c r="API227" s="172"/>
      <c r="APJ227" s="172"/>
      <c r="APK227" s="172"/>
      <c r="APL227" s="172"/>
      <c r="APM227" s="172"/>
      <c r="APN227" s="172"/>
      <c r="APO227" s="172"/>
      <c r="APP227" s="172"/>
      <c r="APQ227" s="172"/>
      <c r="APR227" s="172"/>
      <c r="APS227" s="172"/>
      <c r="APT227" s="172"/>
      <c r="APU227" s="172"/>
      <c r="APV227" s="172"/>
      <c r="APW227" s="172"/>
      <c r="APX227" s="172"/>
      <c r="APY227" s="172"/>
      <c r="APZ227" s="172"/>
      <c r="AQA227" s="172"/>
      <c r="AQB227" s="172"/>
      <c r="AQC227" s="172"/>
      <c r="AQD227" s="172"/>
      <c r="AQE227" s="172"/>
      <c r="AQF227" s="172"/>
      <c r="AQG227" s="172"/>
      <c r="AQH227" s="172"/>
      <c r="AQI227" s="172"/>
      <c r="AQJ227" s="172"/>
      <c r="AQK227" s="172"/>
      <c r="AQL227" s="172"/>
      <c r="AQM227" s="172"/>
      <c r="AQN227" s="172"/>
      <c r="AQO227" s="172"/>
      <c r="AQP227" s="172"/>
      <c r="AQQ227" s="172"/>
      <c r="AQR227" s="172"/>
      <c r="AQS227" s="172"/>
      <c r="AQT227" s="172"/>
      <c r="AQU227" s="172"/>
      <c r="AQV227" s="172"/>
      <c r="AQW227" s="172"/>
      <c r="AQX227" s="172"/>
      <c r="AQY227" s="172"/>
      <c r="AQZ227" s="172"/>
      <c r="ARA227" s="172"/>
      <c r="ARB227" s="172"/>
      <c r="ARC227" s="172"/>
      <c r="ARD227" s="172"/>
      <c r="ARE227" s="172"/>
      <c r="ARF227" s="172"/>
      <c r="ARG227" s="172"/>
      <c r="ARH227" s="172"/>
      <c r="ARI227" s="172"/>
      <c r="ARJ227" s="172"/>
      <c r="ARK227" s="172"/>
      <c r="ARL227" s="172"/>
      <c r="ARM227" s="172"/>
      <c r="ARN227" s="172"/>
      <c r="ARO227" s="172"/>
      <c r="ARP227" s="172"/>
      <c r="ARQ227" s="172"/>
      <c r="ARR227" s="172"/>
      <c r="ARS227" s="172"/>
      <c r="ART227" s="172"/>
      <c r="ARU227" s="172"/>
    </row>
    <row r="228" spans="1:1165" s="136" customFormat="1">
      <c r="AW228" s="235"/>
      <c r="AX228" s="235"/>
      <c r="AY228" s="236"/>
      <c r="AZ228" s="304"/>
      <c r="BB228" s="137"/>
      <c r="BC228" s="137"/>
      <c r="BL228" s="172"/>
      <c r="BM228" s="172"/>
      <c r="BN228" s="231"/>
      <c r="BO228" s="231"/>
      <c r="BP228" s="172"/>
      <c r="BQ228" s="172"/>
      <c r="BR228" s="172"/>
      <c r="BS228" s="172"/>
      <c r="BT228" s="172"/>
      <c r="BU228" s="172"/>
      <c r="BV228" s="172"/>
      <c r="BW228" s="172"/>
      <c r="BX228" s="172"/>
      <c r="BY228" s="172"/>
      <c r="BZ228" s="172"/>
      <c r="CA228" s="172"/>
      <c r="CB228" s="172"/>
      <c r="CC228" s="172"/>
      <c r="CD228" s="172"/>
      <c r="CE228" s="172"/>
      <c r="CF228" s="172"/>
      <c r="CG228" s="172"/>
      <c r="CH228" s="172"/>
      <c r="CI228" s="172"/>
      <c r="CJ228" s="172"/>
      <c r="CK228" s="172"/>
      <c r="CL228" s="172"/>
      <c r="CM228" s="172"/>
      <c r="CN228" s="172"/>
      <c r="CO228" s="172"/>
      <c r="CP228" s="172"/>
      <c r="CQ228" s="172"/>
      <c r="CR228" s="172"/>
      <c r="CS228" s="172"/>
      <c r="CT228" s="172"/>
      <c r="CU228" s="172"/>
      <c r="CV228" s="172"/>
      <c r="CW228" s="172"/>
      <c r="CX228" s="172"/>
      <c r="CY228" s="172"/>
      <c r="CZ228" s="172"/>
      <c r="DA228" s="172"/>
      <c r="DB228" s="172"/>
      <c r="DC228" s="172"/>
      <c r="DD228" s="172"/>
      <c r="DE228" s="172"/>
      <c r="DF228" s="172"/>
      <c r="DG228" s="172"/>
      <c r="DH228" s="172"/>
      <c r="DI228" s="172"/>
      <c r="DJ228" s="172"/>
      <c r="DK228" s="172"/>
      <c r="DL228" s="172"/>
      <c r="DM228" s="172"/>
      <c r="DN228" s="172"/>
      <c r="DO228" s="172"/>
      <c r="DP228" s="172"/>
      <c r="DQ228" s="172"/>
      <c r="DR228" s="172"/>
      <c r="DS228" s="172"/>
      <c r="DT228" s="172"/>
      <c r="DU228" s="172"/>
      <c r="DV228" s="172"/>
      <c r="DW228" s="172"/>
      <c r="DX228" s="172"/>
      <c r="DY228" s="172"/>
      <c r="DZ228" s="172"/>
      <c r="EA228" s="172"/>
      <c r="EB228" s="172"/>
      <c r="EC228" s="172"/>
      <c r="ED228" s="172"/>
      <c r="EE228" s="172"/>
      <c r="EF228" s="172"/>
      <c r="EG228" s="172"/>
      <c r="EH228" s="172"/>
      <c r="EI228" s="172"/>
      <c r="EJ228" s="172"/>
      <c r="EK228" s="172"/>
      <c r="EL228" s="172"/>
      <c r="EM228" s="172"/>
      <c r="EN228" s="172"/>
      <c r="EO228" s="172"/>
      <c r="EP228" s="172"/>
      <c r="EQ228" s="172"/>
      <c r="ER228" s="172"/>
      <c r="ES228" s="172"/>
      <c r="ET228" s="172"/>
      <c r="EU228" s="172"/>
      <c r="EV228" s="172"/>
      <c r="EW228" s="172"/>
      <c r="EX228" s="172"/>
      <c r="EY228" s="172"/>
      <c r="EZ228" s="172"/>
      <c r="FA228" s="172"/>
      <c r="FB228" s="172"/>
      <c r="FC228" s="172"/>
      <c r="FD228" s="172"/>
      <c r="FE228" s="172"/>
      <c r="FF228" s="172"/>
      <c r="FG228" s="172"/>
      <c r="FH228" s="172"/>
      <c r="FI228" s="172"/>
      <c r="FJ228" s="172"/>
      <c r="FK228" s="172"/>
      <c r="FL228" s="172"/>
      <c r="FM228" s="172"/>
      <c r="FN228" s="172"/>
      <c r="FO228" s="172"/>
      <c r="FP228" s="172"/>
      <c r="FQ228" s="172"/>
      <c r="FR228" s="172"/>
      <c r="FS228" s="172"/>
      <c r="FT228" s="172"/>
      <c r="FU228" s="172"/>
      <c r="FV228" s="172"/>
      <c r="FW228" s="172"/>
      <c r="FX228" s="172"/>
      <c r="FY228" s="172"/>
      <c r="FZ228" s="172"/>
      <c r="GA228" s="172"/>
      <c r="GB228" s="172"/>
      <c r="GC228" s="172"/>
      <c r="GD228" s="172"/>
      <c r="GE228" s="172"/>
      <c r="GF228" s="172"/>
      <c r="GG228" s="172"/>
      <c r="GH228" s="172"/>
      <c r="GI228" s="172"/>
      <c r="GJ228" s="172"/>
      <c r="GK228" s="172"/>
      <c r="GL228" s="172"/>
      <c r="GM228" s="172"/>
      <c r="GN228" s="172"/>
      <c r="GO228" s="172"/>
      <c r="GP228" s="172"/>
      <c r="GQ228" s="172"/>
      <c r="GR228" s="172"/>
      <c r="GS228" s="172"/>
      <c r="GT228" s="172"/>
      <c r="GU228" s="172"/>
      <c r="GV228" s="172"/>
      <c r="GW228" s="172"/>
      <c r="GX228" s="172"/>
      <c r="GY228" s="172"/>
      <c r="GZ228" s="172"/>
      <c r="HA228" s="172"/>
      <c r="HB228" s="172"/>
      <c r="HC228" s="172"/>
      <c r="HD228" s="172"/>
      <c r="HE228" s="172"/>
      <c r="HF228" s="172"/>
      <c r="HG228" s="172"/>
      <c r="HH228" s="172"/>
      <c r="HI228" s="172"/>
      <c r="HJ228" s="172"/>
      <c r="HK228" s="172"/>
      <c r="HL228" s="172"/>
      <c r="HM228" s="172"/>
      <c r="HN228" s="172"/>
      <c r="HO228" s="172"/>
      <c r="HP228" s="172"/>
      <c r="HQ228" s="172"/>
      <c r="HR228" s="172"/>
      <c r="HS228" s="172"/>
      <c r="HT228" s="172"/>
      <c r="HU228" s="172"/>
      <c r="HV228" s="172"/>
      <c r="HW228" s="172"/>
      <c r="HX228" s="172"/>
      <c r="HY228" s="172"/>
      <c r="HZ228" s="172"/>
      <c r="IA228" s="172"/>
      <c r="IB228" s="172"/>
      <c r="IC228" s="172"/>
      <c r="ID228" s="172"/>
      <c r="IE228" s="172"/>
      <c r="IF228" s="172"/>
      <c r="IG228" s="172"/>
      <c r="IH228" s="172"/>
      <c r="II228" s="172"/>
      <c r="IJ228" s="172"/>
      <c r="IK228" s="172"/>
      <c r="IL228" s="172"/>
      <c r="IM228" s="172"/>
      <c r="IN228" s="172"/>
      <c r="IO228" s="172"/>
      <c r="IP228" s="172"/>
      <c r="IQ228" s="172"/>
      <c r="IR228" s="172"/>
      <c r="IS228" s="172"/>
      <c r="IT228" s="172"/>
      <c r="IU228" s="172"/>
      <c r="IV228" s="172"/>
      <c r="IW228" s="172"/>
      <c r="IX228" s="172"/>
      <c r="IY228" s="172"/>
      <c r="IZ228" s="172"/>
      <c r="JA228" s="172"/>
      <c r="JB228" s="172"/>
      <c r="JC228" s="172"/>
      <c r="JD228" s="172"/>
      <c r="JE228" s="172"/>
      <c r="JF228" s="172"/>
      <c r="JG228" s="172"/>
      <c r="JH228" s="172"/>
      <c r="JI228" s="172"/>
      <c r="JJ228" s="172"/>
      <c r="JK228" s="172"/>
      <c r="JL228" s="172"/>
      <c r="JM228" s="172"/>
      <c r="JN228" s="172"/>
      <c r="JO228" s="172"/>
      <c r="JP228" s="172"/>
      <c r="JQ228" s="172"/>
      <c r="JR228" s="172"/>
      <c r="JS228" s="172"/>
      <c r="JT228" s="172"/>
      <c r="JU228" s="172"/>
      <c r="JV228" s="172"/>
      <c r="JW228" s="172"/>
      <c r="JX228" s="172"/>
      <c r="JY228" s="172"/>
      <c r="JZ228" s="172"/>
      <c r="KA228" s="172"/>
      <c r="KB228" s="172"/>
      <c r="KC228" s="172"/>
      <c r="KD228" s="172"/>
      <c r="KE228" s="172"/>
      <c r="KF228" s="172"/>
      <c r="KG228" s="172"/>
      <c r="KH228" s="172"/>
      <c r="KI228" s="172"/>
      <c r="KJ228" s="172"/>
      <c r="KK228" s="172"/>
      <c r="KL228" s="172"/>
      <c r="KM228" s="172"/>
      <c r="KN228" s="172"/>
      <c r="KO228" s="172"/>
      <c r="KP228" s="172"/>
      <c r="KQ228" s="172"/>
      <c r="KR228" s="172"/>
      <c r="KS228" s="172"/>
      <c r="KT228" s="172"/>
      <c r="KU228" s="172"/>
      <c r="KV228" s="172"/>
      <c r="KW228" s="172"/>
      <c r="KX228" s="172"/>
      <c r="KY228" s="172"/>
      <c r="KZ228" s="172"/>
      <c r="LA228" s="172"/>
      <c r="LB228" s="172"/>
      <c r="LC228" s="172"/>
      <c r="LD228" s="172"/>
      <c r="LE228" s="172"/>
      <c r="LF228" s="172"/>
      <c r="LG228" s="172"/>
      <c r="LH228" s="172"/>
      <c r="LI228" s="172"/>
      <c r="LJ228" s="172"/>
      <c r="LK228" s="172"/>
      <c r="LL228" s="172"/>
      <c r="LM228" s="172"/>
      <c r="LN228" s="172"/>
      <c r="LO228" s="172"/>
      <c r="LP228" s="172"/>
      <c r="LQ228" s="172"/>
      <c r="LR228" s="172"/>
      <c r="LS228" s="172"/>
      <c r="LT228" s="172"/>
      <c r="LU228" s="172"/>
      <c r="LV228" s="172"/>
      <c r="LW228" s="172"/>
      <c r="LX228" s="172"/>
      <c r="LY228" s="172"/>
      <c r="LZ228" s="172"/>
      <c r="MA228" s="172"/>
      <c r="MB228" s="172"/>
      <c r="MC228" s="172"/>
      <c r="MD228" s="172"/>
      <c r="ME228" s="172"/>
      <c r="MF228" s="172"/>
      <c r="MG228" s="172"/>
      <c r="MH228" s="172"/>
      <c r="MI228" s="172"/>
      <c r="MJ228" s="172"/>
      <c r="MK228" s="172"/>
      <c r="ML228" s="172"/>
      <c r="MM228" s="172"/>
      <c r="MN228" s="172"/>
      <c r="MO228" s="172"/>
      <c r="MP228" s="172"/>
      <c r="MQ228" s="172"/>
      <c r="MR228" s="172"/>
      <c r="MS228" s="172"/>
      <c r="MT228" s="172"/>
      <c r="MU228" s="172"/>
      <c r="MV228" s="172"/>
      <c r="MW228" s="172"/>
      <c r="MX228" s="172"/>
      <c r="MY228" s="172"/>
      <c r="MZ228" s="172"/>
      <c r="NA228" s="172"/>
      <c r="NB228" s="172"/>
      <c r="NC228" s="172"/>
      <c r="ND228" s="172"/>
      <c r="NE228" s="172"/>
      <c r="NF228" s="172"/>
      <c r="NG228" s="172"/>
      <c r="NH228" s="172"/>
      <c r="NI228" s="172"/>
      <c r="NJ228" s="172"/>
      <c r="NK228" s="172"/>
      <c r="NL228" s="172"/>
      <c r="NM228" s="172"/>
      <c r="NN228" s="172"/>
      <c r="NO228" s="172"/>
      <c r="NP228" s="172"/>
      <c r="NQ228" s="172"/>
      <c r="NR228" s="172"/>
      <c r="NS228" s="172"/>
      <c r="NT228" s="172"/>
      <c r="NU228" s="172"/>
      <c r="NV228" s="172"/>
      <c r="NW228" s="172"/>
      <c r="NX228" s="172"/>
      <c r="NY228" s="172"/>
      <c r="NZ228" s="172"/>
      <c r="OA228" s="172"/>
      <c r="OB228" s="172"/>
      <c r="OC228" s="172"/>
      <c r="OD228" s="172"/>
      <c r="OE228" s="172"/>
      <c r="OF228" s="172"/>
      <c r="OG228" s="172"/>
      <c r="OH228" s="172"/>
      <c r="OI228" s="172"/>
      <c r="OJ228" s="172"/>
      <c r="OK228" s="172"/>
      <c r="OL228" s="172"/>
      <c r="OM228" s="172"/>
      <c r="ON228" s="172"/>
      <c r="OO228" s="172"/>
      <c r="OP228" s="172"/>
      <c r="OQ228" s="172"/>
      <c r="OR228" s="172"/>
      <c r="OS228" s="172"/>
      <c r="OT228" s="172"/>
      <c r="OU228" s="172"/>
      <c r="OV228" s="172"/>
      <c r="OW228" s="172"/>
      <c r="OX228" s="172"/>
      <c r="OY228" s="172"/>
      <c r="OZ228" s="172"/>
      <c r="PA228" s="172"/>
      <c r="PB228" s="172"/>
      <c r="PC228" s="172"/>
      <c r="PD228" s="172"/>
      <c r="PE228" s="172"/>
      <c r="PF228" s="172"/>
      <c r="PG228" s="172"/>
      <c r="PH228" s="172"/>
      <c r="PI228" s="172"/>
      <c r="PJ228" s="172"/>
      <c r="PK228" s="172"/>
      <c r="PL228" s="172"/>
      <c r="PM228" s="172"/>
      <c r="PN228" s="172"/>
      <c r="PO228" s="172"/>
      <c r="PP228" s="172"/>
      <c r="PQ228" s="172"/>
      <c r="PR228" s="172"/>
      <c r="PS228" s="172"/>
      <c r="PT228" s="172"/>
      <c r="PU228" s="172"/>
      <c r="PV228" s="172"/>
      <c r="PW228" s="172"/>
      <c r="PX228" s="172"/>
      <c r="PY228" s="172"/>
      <c r="PZ228" s="172"/>
      <c r="QA228" s="172"/>
      <c r="QB228" s="172"/>
      <c r="QC228" s="172"/>
      <c r="QD228" s="172"/>
      <c r="QE228" s="172"/>
      <c r="QF228" s="172"/>
      <c r="QG228" s="172"/>
      <c r="QH228" s="172"/>
      <c r="QI228" s="172"/>
      <c r="QJ228" s="172"/>
      <c r="QK228" s="172"/>
      <c r="QL228" s="172"/>
      <c r="QM228" s="172"/>
      <c r="QN228" s="172"/>
      <c r="QO228" s="172"/>
      <c r="QP228" s="172"/>
      <c r="QQ228" s="172"/>
      <c r="QR228" s="172"/>
      <c r="QS228" s="172"/>
      <c r="QT228" s="172"/>
      <c r="QU228" s="172"/>
      <c r="QV228" s="172"/>
      <c r="QW228" s="172"/>
      <c r="QX228" s="172"/>
      <c r="QY228" s="172"/>
      <c r="QZ228" s="172"/>
      <c r="RA228" s="172"/>
      <c r="RB228" s="172"/>
      <c r="RC228" s="172"/>
      <c r="RD228" s="172"/>
      <c r="RE228" s="172"/>
      <c r="RF228" s="172"/>
      <c r="RG228" s="172"/>
      <c r="RH228" s="172"/>
      <c r="RI228" s="172"/>
      <c r="RJ228" s="172"/>
      <c r="RK228" s="172"/>
      <c r="RL228" s="172"/>
      <c r="RM228" s="172"/>
      <c r="RN228" s="172"/>
      <c r="RO228" s="172"/>
      <c r="RP228" s="172"/>
      <c r="RQ228" s="172"/>
      <c r="RR228" s="172"/>
      <c r="RS228" s="172"/>
      <c r="RT228" s="172"/>
      <c r="RU228" s="172"/>
      <c r="RV228" s="172"/>
      <c r="RW228" s="172"/>
      <c r="RX228" s="172"/>
      <c r="RY228" s="172"/>
      <c r="RZ228" s="172"/>
      <c r="SA228" s="172"/>
      <c r="SB228" s="172"/>
      <c r="SC228" s="172"/>
      <c r="SD228" s="172"/>
      <c r="SE228" s="172"/>
      <c r="SF228" s="172"/>
      <c r="SG228" s="172"/>
      <c r="SH228" s="172"/>
      <c r="SI228" s="172"/>
      <c r="SJ228" s="172"/>
      <c r="SK228" s="172"/>
      <c r="SL228" s="172"/>
      <c r="SM228" s="172"/>
      <c r="SN228" s="172"/>
      <c r="SO228" s="172"/>
      <c r="SP228" s="172"/>
      <c r="SQ228" s="172"/>
      <c r="SR228" s="172"/>
      <c r="SS228" s="172"/>
      <c r="ST228" s="172"/>
      <c r="SU228" s="172"/>
      <c r="SV228" s="172"/>
      <c r="SW228" s="172"/>
      <c r="SX228" s="172"/>
      <c r="SY228" s="172"/>
      <c r="SZ228" s="172"/>
      <c r="TA228" s="172"/>
      <c r="TB228" s="172"/>
      <c r="TC228" s="172"/>
      <c r="TD228" s="172"/>
      <c r="TE228" s="172"/>
      <c r="TF228" s="172"/>
      <c r="TG228" s="172"/>
      <c r="TH228" s="172"/>
      <c r="TI228" s="172"/>
      <c r="TJ228" s="172"/>
      <c r="TK228" s="172"/>
      <c r="TL228" s="172"/>
      <c r="TM228" s="172"/>
      <c r="TN228" s="172"/>
      <c r="TO228" s="172"/>
      <c r="TP228" s="172"/>
      <c r="TQ228" s="172"/>
      <c r="TR228" s="172"/>
      <c r="TS228" s="172"/>
      <c r="TT228" s="172"/>
      <c r="TU228" s="172"/>
      <c r="TV228" s="172"/>
      <c r="TW228" s="172"/>
      <c r="TX228" s="172"/>
      <c r="TY228" s="172"/>
      <c r="TZ228" s="172"/>
      <c r="UA228" s="172"/>
      <c r="UB228" s="172"/>
      <c r="UC228" s="172"/>
      <c r="UD228" s="172"/>
      <c r="UE228" s="172"/>
      <c r="UF228" s="172"/>
      <c r="UG228" s="172"/>
      <c r="UH228" s="172"/>
      <c r="UI228" s="172"/>
      <c r="UJ228" s="172"/>
      <c r="UK228" s="172"/>
      <c r="UL228" s="172"/>
      <c r="UM228" s="172"/>
      <c r="UN228" s="172"/>
      <c r="UO228" s="172"/>
      <c r="UP228" s="172"/>
      <c r="UQ228" s="172"/>
      <c r="UR228" s="172"/>
      <c r="US228" s="172"/>
      <c r="UT228" s="172"/>
      <c r="UU228" s="172"/>
      <c r="UV228" s="172"/>
      <c r="UW228" s="172"/>
      <c r="UX228" s="172"/>
      <c r="UY228" s="172"/>
      <c r="UZ228" s="172"/>
      <c r="VA228" s="172"/>
      <c r="VB228" s="172"/>
      <c r="VC228" s="172"/>
      <c r="VD228" s="172"/>
      <c r="VE228" s="172"/>
      <c r="VF228" s="172"/>
      <c r="VG228" s="172"/>
      <c r="VH228" s="172"/>
      <c r="VI228" s="172"/>
      <c r="VJ228" s="172"/>
      <c r="VK228" s="172"/>
      <c r="VL228" s="172"/>
      <c r="VM228" s="172"/>
      <c r="VN228" s="172"/>
      <c r="VO228" s="172"/>
      <c r="VP228" s="172"/>
      <c r="VQ228" s="172"/>
      <c r="VR228" s="172"/>
      <c r="VS228" s="172"/>
      <c r="VT228" s="172"/>
      <c r="VU228" s="172"/>
      <c r="VV228" s="172"/>
      <c r="VW228" s="172"/>
      <c r="VX228" s="172"/>
      <c r="VY228" s="172"/>
      <c r="VZ228" s="172"/>
      <c r="WA228" s="172"/>
      <c r="WB228" s="172"/>
      <c r="WC228" s="172"/>
      <c r="WD228" s="172"/>
      <c r="WE228" s="172"/>
      <c r="WF228" s="172"/>
      <c r="WG228" s="172"/>
      <c r="WH228" s="172"/>
      <c r="WI228" s="172"/>
      <c r="WJ228" s="172"/>
      <c r="WK228" s="172"/>
      <c r="WL228" s="172"/>
      <c r="WM228" s="172"/>
      <c r="WN228" s="172"/>
      <c r="WO228" s="172"/>
      <c r="WP228" s="172"/>
      <c r="WQ228" s="172"/>
      <c r="WR228" s="172"/>
      <c r="WS228" s="172"/>
      <c r="WT228" s="172"/>
      <c r="WU228" s="172"/>
      <c r="WV228" s="172"/>
      <c r="WW228" s="172"/>
      <c r="WX228" s="172"/>
      <c r="WY228" s="172"/>
      <c r="WZ228" s="172"/>
      <c r="XA228" s="172"/>
      <c r="XB228" s="172"/>
      <c r="XC228" s="172"/>
      <c r="XD228" s="172"/>
      <c r="XE228" s="172"/>
      <c r="XF228" s="172"/>
      <c r="XG228" s="172"/>
      <c r="XH228" s="172"/>
      <c r="XI228" s="172"/>
      <c r="XJ228" s="172"/>
      <c r="XK228" s="172"/>
      <c r="XL228" s="172"/>
      <c r="XM228" s="172"/>
      <c r="XN228" s="172"/>
      <c r="XO228" s="172"/>
      <c r="XP228" s="172"/>
      <c r="XQ228" s="172"/>
      <c r="XR228" s="172"/>
      <c r="XS228" s="172"/>
      <c r="XT228" s="172"/>
      <c r="XU228" s="172"/>
      <c r="XV228" s="172"/>
      <c r="XW228" s="172"/>
      <c r="XX228" s="172"/>
      <c r="XY228" s="172"/>
      <c r="XZ228" s="172"/>
      <c r="YA228" s="172"/>
      <c r="YB228" s="172"/>
      <c r="YC228" s="172"/>
      <c r="YD228" s="172"/>
      <c r="YE228" s="172"/>
      <c r="YF228" s="172"/>
      <c r="YG228" s="172"/>
      <c r="YH228" s="172"/>
      <c r="YI228" s="172"/>
      <c r="YJ228" s="172"/>
      <c r="YK228" s="172"/>
      <c r="YL228" s="172"/>
      <c r="YM228" s="172"/>
      <c r="YN228" s="172"/>
      <c r="YO228" s="172"/>
      <c r="YP228" s="172"/>
      <c r="YQ228" s="172"/>
      <c r="YR228" s="172"/>
      <c r="YS228" s="172"/>
      <c r="YT228" s="172"/>
      <c r="YU228" s="172"/>
      <c r="YV228" s="172"/>
      <c r="YW228" s="172"/>
      <c r="YX228" s="172"/>
      <c r="YY228" s="172"/>
      <c r="YZ228" s="172"/>
      <c r="ZA228" s="172"/>
      <c r="ZB228" s="172"/>
      <c r="ZC228" s="172"/>
      <c r="ZD228" s="172"/>
      <c r="ZE228" s="172"/>
      <c r="ZF228" s="172"/>
      <c r="ZG228" s="172"/>
      <c r="ZH228" s="172"/>
      <c r="ZI228" s="172"/>
      <c r="ZJ228" s="172"/>
      <c r="ZK228" s="172"/>
      <c r="ZL228" s="172"/>
      <c r="ZM228" s="172"/>
      <c r="ZN228" s="172"/>
      <c r="ZO228" s="172"/>
      <c r="ZP228" s="172"/>
      <c r="ZQ228" s="172"/>
      <c r="ZR228" s="172"/>
      <c r="ZS228" s="172"/>
      <c r="ZT228" s="172"/>
      <c r="ZU228" s="172"/>
      <c r="ZV228" s="172"/>
      <c r="ZW228" s="172"/>
      <c r="ZX228" s="172"/>
      <c r="ZY228" s="172"/>
      <c r="ZZ228" s="172"/>
      <c r="AAA228" s="172"/>
      <c r="AAB228" s="172"/>
      <c r="AAC228" s="172"/>
      <c r="AAD228" s="172"/>
      <c r="AAE228" s="172"/>
      <c r="AAF228" s="172"/>
      <c r="AAG228" s="172"/>
      <c r="AAH228" s="172"/>
      <c r="AAI228" s="172"/>
      <c r="AAJ228" s="172"/>
      <c r="AAK228" s="172"/>
      <c r="AAL228" s="172"/>
      <c r="AAM228" s="172"/>
      <c r="AAN228" s="172"/>
      <c r="AAO228" s="172"/>
      <c r="AAP228" s="172"/>
      <c r="AAQ228" s="172"/>
      <c r="AAR228" s="172"/>
      <c r="AAS228" s="172"/>
      <c r="AAT228" s="172"/>
      <c r="AAU228" s="172"/>
      <c r="AAV228" s="172"/>
      <c r="AAW228" s="172"/>
      <c r="AAX228" s="172"/>
      <c r="AAY228" s="172"/>
      <c r="AAZ228" s="172"/>
      <c r="ABA228" s="172"/>
      <c r="ABB228" s="172"/>
      <c r="ABC228" s="172"/>
      <c r="ABD228" s="172"/>
      <c r="ABE228" s="172"/>
      <c r="ABF228" s="172"/>
      <c r="ABG228" s="172"/>
      <c r="ABH228" s="172"/>
      <c r="ABI228" s="172"/>
      <c r="ABJ228" s="172"/>
      <c r="ABK228" s="172"/>
      <c r="ABL228" s="172"/>
      <c r="ABM228" s="172"/>
      <c r="ABN228" s="172"/>
      <c r="ABO228" s="172"/>
      <c r="ABP228" s="172"/>
      <c r="ABQ228" s="172"/>
      <c r="ABR228" s="172"/>
      <c r="ABS228" s="172"/>
      <c r="ABT228" s="172"/>
      <c r="ABU228" s="172"/>
      <c r="ABV228" s="172"/>
      <c r="ABW228" s="172"/>
      <c r="ABX228" s="172"/>
      <c r="ABY228" s="172"/>
      <c r="ABZ228" s="172"/>
      <c r="ACA228" s="172"/>
      <c r="ACB228" s="172"/>
      <c r="ACC228" s="172"/>
      <c r="ACD228" s="172"/>
      <c r="ACE228" s="172"/>
      <c r="ACF228" s="172"/>
      <c r="ACG228" s="172"/>
      <c r="ACH228" s="172"/>
      <c r="ACI228" s="172"/>
      <c r="ACJ228" s="172"/>
      <c r="ACK228" s="172"/>
      <c r="ACL228" s="172"/>
      <c r="ACM228" s="172"/>
      <c r="ACN228" s="172"/>
      <c r="ACO228" s="172"/>
      <c r="ACP228" s="172"/>
      <c r="ACQ228" s="172"/>
      <c r="ACR228" s="172"/>
      <c r="ACS228" s="172"/>
      <c r="ACT228" s="172"/>
      <c r="ACU228" s="172"/>
      <c r="ACV228" s="172"/>
      <c r="ACW228" s="172"/>
      <c r="ACX228" s="172"/>
      <c r="ACY228" s="172"/>
      <c r="ACZ228" s="172"/>
      <c r="ADA228" s="172"/>
      <c r="ADB228" s="172"/>
      <c r="ADC228" s="172"/>
      <c r="ADD228" s="172"/>
      <c r="ADE228" s="172"/>
      <c r="ADF228" s="172"/>
      <c r="ADG228" s="172"/>
      <c r="ADH228" s="172"/>
      <c r="ADI228" s="172"/>
      <c r="ADJ228" s="172"/>
      <c r="ADK228" s="172"/>
      <c r="ADL228" s="172"/>
      <c r="ADM228" s="172"/>
      <c r="ADN228" s="172"/>
      <c r="ADO228" s="172"/>
      <c r="ADP228" s="172"/>
      <c r="ADQ228" s="172"/>
      <c r="ADR228" s="172"/>
      <c r="ADS228" s="172"/>
      <c r="ADT228" s="172"/>
      <c r="ADU228" s="172"/>
      <c r="ADV228" s="172"/>
      <c r="ADW228" s="172"/>
      <c r="ADX228" s="172"/>
      <c r="ADY228" s="172"/>
      <c r="ADZ228" s="172"/>
      <c r="AEA228" s="172"/>
      <c r="AEB228" s="172"/>
      <c r="AEC228" s="172"/>
      <c r="AED228" s="172"/>
      <c r="AEE228" s="172"/>
      <c r="AEF228" s="172"/>
      <c r="AEG228" s="172"/>
      <c r="AEH228" s="172"/>
      <c r="AEI228" s="172"/>
      <c r="AEJ228" s="172"/>
      <c r="AEK228" s="172"/>
      <c r="AEL228" s="172"/>
      <c r="AEM228" s="172"/>
      <c r="AEN228" s="172"/>
      <c r="AEO228" s="172"/>
      <c r="AEP228" s="172"/>
      <c r="AEQ228" s="172"/>
      <c r="AER228" s="172"/>
      <c r="AES228" s="172"/>
      <c r="AET228" s="172"/>
      <c r="AEU228" s="172"/>
      <c r="AEV228" s="172"/>
      <c r="AEW228" s="172"/>
      <c r="AEX228" s="172"/>
      <c r="AEY228" s="172"/>
      <c r="AEZ228" s="172"/>
      <c r="AFA228" s="172"/>
      <c r="AFB228" s="172"/>
      <c r="AFC228" s="172"/>
      <c r="AFD228" s="172"/>
      <c r="AFE228" s="172"/>
      <c r="AFF228" s="172"/>
      <c r="AFG228" s="172"/>
      <c r="AFH228" s="172"/>
      <c r="AFI228" s="172"/>
      <c r="AFJ228" s="172"/>
      <c r="AFK228" s="172"/>
      <c r="AFL228" s="172"/>
      <c r="AFM228" s="172"/>
      <c r="AFN228" s="172"/>
      <c r="AFO228" s="172"/>
      <c r="AFP228" s="172"/>
      <c r="AFQ228" s="172"/>
      <c r="AFR228" s="172"/>
      <c r="AFS228" s="172"/>
      <c r="AFT228" s="172"/>
      <c r="AFU228" s="172"/>
      <c r="AFV228" s="172"/>
      <c r="AFW228" s="172"/>
      <c r="AFX228" s="172"/>
      <c r="AFY228" s="172"/>
      <c r="AFZ228" s="172"/>
      <c r="AGA228" s="172"/>
      <c r="AGB228" s="172"/>
      <c r="AGC228" s="172"/>
      <c r="AGD228" s="172"/>
      <c r="AGE228" s="172"/>
      <c r="AGF228" s="172"/>
      <c r="AGG228" s="172"/>
      <c r="AGH228" s="172"/>
      <c r="AGI228" s="172"/>
      <c r="AGJ228" s="172"/>
      <c r="AGK228" s="172"/>
      <c r="AGL228" s="172"/>
      <c r="AGM228" s="172"/>
      <c r="AGN228" s="172"/>
      <c r="AGO228" s="172"/>
      <c r="AGP228" s="172"/>
      <c r="AGQ228" s="172"/>
      <c r="AGR228" s="172"/>
      <c r="AGS228" s="172"/>
      <c r="AGT228" s="172"/>
      <c r="AGU228" s="172"/>
      <c r="AGV228" s="172"/>
      <c r="AGW228" s="172"/>
      <c r="AGX228" s="172"/>
      <c r="AGY228" s="172"/>
      <c r="AGZ228" s="172"/>
      <c r="AHA228" s="172"/>
      <c r="AHB228" s="172"/>
      <c r="AHC228" s="172"/>
      <c r="AHD228" s="172"/>
      <c r="AHE228" s="172"/>
      <c r="AHF228" s="172"/>
      <c r="AHG228" s="172"/>
      <c r="AHH228" s="172"/>
      <c r="AHI228" s="172"/>
      <c r="AHJ228" s="172"/>
      <c r="AHK228" s="172"/>
      <c r="AHL228" s="172"/>
      <c r="AHM228" s="172"/>
      <c r="AHN228" s="172"/>
      <c r="AHO228" s="172"/>
      <c r="AHP228" s="172"/>
      <c r="AHQ228" s="172"/>
      <c r="AHR228" s="172"/>
      <c r="AHS228" s="172"/>
      <c r="AHT228" s="172"/>
      <c r="AHU228" s="172"/>
      <c r="AHV228" s="172"/>
      <c r="AHW228" s="172"/>
      <c r="AHX228" s="172"/>
      <c r="AHY228" s="172"/>
      <c r="AHZ228" s="172"/>
      <c r="AIA228" s="172"/>
      <c r="AIB228" s="172"/>
      <c r="AIC228" s="172"/>
      <c r="AID228" s="172"/>
      <c r="AIE228" s="172"/>
      <c r="AIF228" s="172"/>
      <c r="AIG228" s="172"/>
      <c r="AIH228" s="172"/>
      <c r="AII228" s="172"/>
      <c r="AIJ228" s="172"/>
      <c r="AIK228" s="172"/>
      <c r="AIL228" s="172"/>
      <c r="AIM228" s="172"/>
      <c r="AIN228" s="172"/>
      <c r="AIO228" s="172"/>
      <c r="AIP228" s="172"/>
      <c r="AIQ228" s="172"/>
      <c r="AIR228" s="172"/>
      <c r="AIS228" s="172"/>
      <c r="AIT228" s="172"/>
      <c r="AIU228" s="172"/>
      <c r="AIV228" s="172"/>
      <c r="AIW228" s="172"/>
      <c r="AIX228" s="172"/>
      <c r="AIY228" s="172"/>
      <c r="AIZ228" s="172"/>
      <c r="AJA228" s="172"/>
      <c r="AJB228" s="172"/>
      <c r="AJC228" s="172"/>
      <c r="AJD228" s="172"/>
      <c r="AJE228" s="172"/>
      <c r="AJF228" s="172"/>
      <c r="AJG228" s="172"/>
      <c r="AJH228" s="172"/>
      <c r="AJI228" s="172"/>
      <c r="AJJ228" s="172"/>
      <c r="AJK228" s="172"/>
      <c r="AJL228" s="172"/>
      <c r="AJM228" s="172"/>
      <c r="AJN228" s="172"/>
      <c r="AJO228" s="172"/>
      <c r="AJP228" s="172"/>
      <c r="AJQ228" s="172"/>
      <c r="AJR228" s="172"/>
      <c r="AJS228" s="172"/>
      <c r="AJT228" s="172"/>
      <c r="AJU228" s="172"/>
      <c r="AJV228" s="172"/>
      <c r="AJW228" s="172"/>
      <c r="AJX228" s="172"/>
      <c r="AJY228" s="172"/>
      <c r="AJZ228" s="172"/>
      <c r="AKA228" s="172"/>
      <c r="AKB228" s="172"/>
      <c r="AKC228" s="172"/>
      <c r="AKD228" s="172"/>
      <c r="AKE228" s="172"/>
      <c r="AKF228" s="172"/>
      <c r="AKG228" s="172"/>
      <c r="AKH228" s="172"/>
      <c r="AKI228" s="172"/>
      <c r="AKJ228" s="172"/>
      <c r="AKK228" s="172"/>
      <c r="AKL228" s="172"/>
      <c r="AKM228" s="172"/>
      <c r="AKN228" s="172"/>
      <c r="AKO228" s="172"/>
      <c r="AKP228" s="172"/>
      <c r="AKQ228" s="172"/>
      <c r="AKR228" s="172"/>
      <c r="AKS228" s="172"/>
      <c r="AKT228" s="172"/>
      <c r="AKU228" s="172"/>
      <c r="AKV228" s="172"/>
      <c r="AKW228" s="172"/>
      <c r="AKX228" s="172"/>
      <c r="AKY228" s="172"/>
      <c r="AKZ228" s="172"/>
      <c r="ALA228" s="172"/>
      <c r="ALB228" s="172"/>
      <c r="ALC228" s="172"/>
      <c r="ALD228" s="172"/>
      <c r="ALE228" s="172"/>
      <c r="ALF228" s="172"/>
      <c r="ALG228" s="172"/>
      <c r="ALH228" s="172"/>
      <c r="ALI228" s="172"/>
      <c r="ALJ228" s="172"/>
      <c r="ALK228" s="172"/>
      <c r="ALL228" s="172"/>
      <c r="ALM228" s="172"/>
      <c r="ALN228" s="172"/>
      <c r="ALO228" s="172"/>
      <c r="ALP228" s="172"/>
      <c r="ALQ228" s="172"/>
      <c r="ALR228" s="172"/>
      <c r="ALS228" s="172"/>
      <c r="ALT228" s="172"/>
      <c r="ALU228" s="172"/>
      <c r="ALV228" s="172"/>
      <c r="ALW228" s="172"/>
      <c r="ALX228" s="172"/>
      <c r="ALY228" s="172"/>
      <c r="ALZ228" s="172"/>
      <c r="AMA228" s="172"/>
      <c r="AMB228" s="172"/>
      <c r="AMC228" s="172"/>
      <c r="AMD228" s="172"/>
      <c r="AME228" s="172"/>
      <c r="AMF228" s="172"/>
      <c r="AMG228" s="172"/>
      <c r="AMH228" s="172"/>
      <c r="AMI228" s="172"/>
      <c r="AMJ228" s="172"/>
      <c r="AMK228" s="172"/>
      <c r="AML228" s="172"/>
      <c r="AMM228" s="172"/>
      <c r="AMN228" s="172"/>
      <c r="AMO228" s="172"/>
      <c r="AMP228" s="172"/>
      <c r="AMQ228" s="172"/>
      <c r="AMR228" s="172"/>
      <c r="AMS228" s="172"/>
      <c r="AMT228" s="172"/>
      <c r="AMU228" s="172"/>
      <c r="AMV228" s="172"/>
      <c r="AMW228" s="172"/>
      <c r="AMX228" s="172"/>
      <c r="AMY228" s="172"/>
      <c r="AMZ228" s="172"/>
      <c r="ANA228" s="172"/>
      <c r="ANB228" s="172"/>
      <c r="ANC228" s="172"/>
      <c r="AND228" s="172"/>
      <c r="ANE228" s="172"/>
      <c r="ANF228" s="172"/>
      <c r="ANG228" s="172"/>
      <c r="ANH228" s="172"/>
      <c r="ANI228" s="172"/>
      <c r="ANJ228" s="172"/>
      <c r="ANK228" s="172"/>
      <c r="ANL228" s="172"/>
      <c r="ANM228" s="172"/>
      <c r="ANN228" s="172"/>
      <c r="ANO228" s="172"/>
      <c r="ANP228" s="172"/>
      <c r="ANQ228" s="172"/>
      <c r="ANR228" s="172"/>
      <c r="ANS228" s="172"/>
      <c r="ANT228" s="172"/>
      <c r="ANU228" s="172"/>
      <c r="ANV228" s="172"/>
      <c r="ANW228" s="172"/>
      <c r="ANX228" s="172"/>
      <c r="ANY228" s="172"/>
      <c r="ANZ228" s="172"/>
      <c r="AOA228" s="172"/>
      <c r="AOB228" s="172"/>
      <c r="AOC228" s="172"/>
      <c r="AOD228" s="172"/>
      <c r="AOE228" s="172"/>
      <c r="AOF228" s="172"/>
      <c r="AOG228" s="172"/>
      <c r="AOH228" s="172"/>
      <c r="AOI228" s="172"/>
      <c r="AOJ228" s="172"/>
      <c r="AOK228" s="172"/>
      <c r="AOL228" s="172"/>
      <c r="AOM228" s="172"/>
      <c r="AON228" s="172"/>
      <c r="AOO228" s="172"/>
      <c r="AOP228" s="172"/>
      <c r="AOQ228" s="172"/>
      <c r="AOR228" s="172"/>
      <c r="AOS228" s="172"/>
      <c r="AOT228" s="172"/>
      <c r="AOU228" s="172"/>
      <c r="AOV228" s="172"/>
      <c r="AOW228" s="172"/>
      <c r="AOX228" s="172"/>
      <c r="AOY228" s="172"/>
      <c r="AOZ228" s="172"/>
      <c r="APA228" s="172"/>
      <c r="APB228" s="172"/>
      <c r="APC228" s="172"/>
      <c r="APD228" s="172"/>
      <c r="APE228" s="172"/>
      <c r="APF228" s="172"/>
      <c r="APG228" s="172"/>
      <c r="APH228" s="172"/>
      <c r="API228" s="172"/>
      <c r="APJ228" s="172"/>
      <c r="APK228" s="172"/>
      <c r="APL228" s="172"/>
      <c r="APM228" s="172"/>
      <c r="APN228" s="172"/>
      <c r="APO228" s="172"/>
      <c r="APP228" s="172"/>
      <c r="APQ228" s="172"/>
      <c r="APR228" s="172"/>
      <c r="APS228" s="172"/>
      <c r="APT228" s="172"/>
      <c r="APU228" s="172"/>
      <c r="APV228" s="172"/>
      <c r="APW228" s="172"/>
      <c r="APX228" s="172"/>
      <c r="APY228" s="172"/>
      <c r="APZ228" s="172"/>
      <c r="AQA228" s="172"/>
      <c r="AQB228" s="172"/>
      <c r="AQC228" s="172"/>
      <c r="AQD228" s="172"/>
      <c r="AQE228" s="172"/>
      <c r="AQF228" s="172"/>
      <c r="AQG228" s="172"/>
      <c r="AQH228" s="172"/>
      <c r="AQI228" s="172"/>
      <c r="AQJ228" s="172"/>
      <c r="AQK228" s="172"/>
      <c r="AQL228" s="172"/>
      <c r="AQM228" s="172"/>
      <c r="AQN228" s="172"/>
      <c r="AQO228" s="172"/>
      <c r="AQP228" s="172"/>
      <c r="AQQ228" s="172"/>
      <c r="AQR228" s="172"/>
      <c r="AQS228" s="172"/>
      <c r="AQT228" s="172"/>
      <c r="AQU228" s="172"/>
      <c r="AQV228" s="172"/>
      <c r="AQW228" s="172"/>
      <c r="AQX228" s="172"/>
      <c r="AQY228" s="172"/>
      <c r="AQZ228" s="172"/>
      <c r="ARA228" s="172"/>
      <c r="ARB228" s="172"/>
      <c r="ARC228" s="172"/>
      <c r="ARD228" s="172"/>
      <c r="ARE228" s="172"/>
      <c r="ARF228" s="172"/>
      <c r="ARG228" s="172"/>
      <c r="ARH228" s="172"/>
      <c r="ARI228" s="172"/>
      <c r="ARJ228" s="172"/>
      <c r="ARK228" s="172"/>
      <c r="ARL228" s="172"/>
      <c r="ARM228" s="172"/>
      <c r="ARN228" s="172"/>
      <c r="ARO228" s="172"/>
      <c r="ARP228" s="172"/>
      <c r="ARQ228" s="172"/>
      <c r="ARR228" s="172"/>
      <c r="ARS228" s="172"/>
      <c r="ART228" s="172"/>
      <c r="ARU228" s="172"/>
    </row>
    <row r="229" spans="1:1165">
      <c r="A229" s="359" t="s">
        <v>786</v>
      </c>
      <c r="B229" s="172"/>
      <c r="C229" s="240"/>
      <c r="D229" s="240"/>
      <c r="E229" s="172"/>
      <c r="F229" s="172"/>
      <c r="G229" s="172"/>
      <c r="H229" s="172"/>
      <c r="I229" s="172"/>
      <c r="J229" s="172"/>
      <c r="K229" s="172"/>
      <c r="L229" s="172"/>
      <c r="M229" s="242"/>
      <c r="N229" s="242"/>
      <c r="O229" s="172"/>
      <c r="P229" s="172"/>
      <c r="Q229" s="242"/>
      <c r="R229" s="242"/>
      <c r="S229" s="172"/>
      <c r="T229" s="172"/>
      <c r="U229" s="172"/>
      <c r="V229" s="172"/>
      <c r="W229" s="207"/>
      <c r="X229" s="207"/>
      <c r="Y229" s="207"/>
      <c r="Z229" s="207"/>
      <c r="AA229" s="305"/>
      <c r="AB229" s="305"/>
      <c r="AC229" s="207"/>
      <c r="AD229" s="207"/>
      <c r="AE229" s="208"/>
      <c r="AF229" s="208"/>
      <c r="AG229" s="305"/>
      <c r="AH229" s="305"/>
      <c r="AI229" s="207"/>
      <c r="AJ229" s="207"/>
      <c r="AK229" s="207"/>
      <c r="AL229" s="207"/>
      <c r="AM229" s="139"/>
      <c r="AN229" s="139"/>
      <c r="AO229" s="269"/>
      <c r="AP229" s="269"/>
      <c r="AQ229" s="172"/>
      <c r="AR229" s="172"/>
      <c r="AS229" s="172"/>
      <c r="AT229" s="172"/>
      <c r="AU229" s="139"/>
      <c r="AV229" s="139"/>
      <c r="AW229" s="219"/>
      <c r="AX229" s="219"/>
      <c r="AY229" s="306"/>
      <c r="AZ229" s="306"/>
      <c r="BA229" s="139"/>
      <c r="BB229" s="205"/>
      <c r="BC229" s="205"/>
      <c r="BD229" s="205"/>
      <c r="BE229" s="205"/>
      <c r="BF229" s="205"/>
      <c r="BG229" s="205"/>
      <c r="BH229" s="205"/>
      <c r="BI229" s="139"/>
      <c r="BJ229" s="139"/>
      <c r="BK229" s="231"/>
      <c r="BL229" s="172"/>
      <c r="BN229" s="231"/>
      <c r="BO229" s="231"/>
    </row>
    <row r="230" spans="1:1165">
      <c r="A230" s="237" t="s">
        <v>787</v>
      </c>
      <c r="D230" s="307"/>
      <c r="F230" s="307"/>
      <c r="G230" s="231"/>
      <c r="H230" s="307"/>
      <c r="I230" s="172"/>
      <c r="J230" s="307"/>
      <c r="K230" s="172"/>
      <c r="L230" s="307"/>
      <c r="M230" s="242"/>
      <c r="N230" s="307"/>
      <c r="P230" s="307"/>
      <c r="R230" s="307"/>
      <c r="T230" s="307"/>
      <c r="V230" s="307"/>
      <c r="W230" s="207"/>
      <c r="X230" s="307"/>
      <c r="Y230" s="207"/>
      <c r="Z230" s="307"/>
      <c r="AA230" s="139"/>
      <c r="AB230" s="307"/>
      <c r="AC230" s="207"/>
      <c r="AD230" s="307"/>
      <c r="AE230" s="219"/>
      <c r="AF230" s="307"/>
      <c r="AG230" s="139"/>
      <c r="AH230" s="307"/>
      <c r="AI230" s="207"/>
      <c r="AJ230" s="307"/>
      <c r="AK230" s="207"/>
      <c r="AL230" s="307"/>
      <c r="AM230" s="139"/>
      <c r="AN230" s="307"/>
      <c r="AO230" s="269"/>
      <c r="AP230" s="307"/>
      <c r="AQ230" s="172"/>
      <c r="AR230" s="307"/>
      <c r="AT230" s="307"/>
      <c r="AU230" s="138"/>
      <c r="AV230" s="307"/>
      <c r="AW230" s="307"/>
      <c r="AX230" s="307"/>
      <c r="AY230" s="308"/>
      <c r="AZ230" s="307"/>
      <c r="BA230" s="138"/>
      <c r="BB230" s="309"/>
      <c r="BC230" s="309"/>
      <c r="BD230" s="307"/>
      <c r="BE230" s="309"/>
      <c r="BF230" s="309"/>
      <c r="BG230" s="309"/>
      <c r="BH230" s="307"/>
      <c r="BI230" s="138"/>
      <c r="BJ230" s="138"/>
      <c r="BK230" s="307"/>
      <c r="BL230" s="172"/>
      <c r="BN230" s="231"/>
      <c r="BO230" s="231"/>
    </row>
    <row r="231" spans="1:1165">
      <c r="G231" s="172"/>
      <c r="H231" s="172"/>
      <c r="I231" s="172"/>
      <c r="J231" s="172"/>
      <c r="K231" s="172"/>
      <c r="L231" s="172"/>
      <c r="M231" s="242"/>
      <c r="N231" s="242"/>
      <c r="O231" s="172"/>
      <c r="P231" s="172"/>
      <c r="Q231" s="172"/>
      <c r="R231" s="172"/>
      <c r="S231" s="172"/>
      <c r="T231" s="172"/>
      <c r="U231" s="172"/>
      <c r="V231" s="172"/>
      <c r="W231" s="207"/>
      <c r="X231" s="207"/>
      <c r="Y231" s="139"/>
      <c r="Z231" s="139"/>
      <c r="AA231" s="207"/>
      <c r="AB231" s="207"/>
      <c r="AC231" s="207"/>
      <c r="AD231" s="207"/>
      <c r="AE231" s="208"/>
      <c r="AF231" s="208"/>
      <c r="AG231" s="207"/>
      <c r="AH231" s="207"/>
      <c r="AI231" s="139"/>
      <c r="AJ231" s="139"/>
      <c r="AK231" s="139"/>
      <c r="AL231" s="139"/>
      <c r="AM231" s="207"/>
      <c r="AN231" s="207"/>
      <c r="AO231" s="269"/>
      <c r="AP231" s="269"/>
      <c r="AU231" s="138"/>
      <c r="AV231" s="138"/>
      <c r="AW231" s="307"/>
      <c r="AX231" s="307"/>
      <c r="AY231" s="308"/>
      <c r="AZ231" s="308"/>
      <c r="BA231" s="138"/>
      <c r="BB231" s="138"/>
      <c r="BC231" s="138"/>
      <c r="BD231" s="138"/>
      <c r="BE231" s="138"/>
      <c r="BF231" s="138"/>
      <c r="BG231" s="138"/>
      <c r="BH231" s="138"/>
      <c r="BI231" s="138"/>
      <c r="BJ231" s="138"/>
      <c r="BK231" s="229"/>
      <c r="BL231" s="172"/>
      <c r="BN231" s="231"/>
      <c r="BO231" s="231"/>
    </row>
    <row r="232" spans="1:1165">
      <c r="D232" s="233"/>
      <c r="F232" s="233"/>
      <c r="G232" s="172"/>
      <c r="H232" s="233"/>
      <c r="I232" s="172"/>
      <c r="J232" s="233"/>
      <c r="K232" s="172"/>
      <c r="L232" s="233"/>
      <c r="M232" s="242"/>
      <c r="N232" s="233"/>
      <c r="O232" s="172"/>
      <c r="P232" s="233"/>
      <c r="Q232" s="172"/>
      <c r="R232" s="233"/>
      <c r="S232" s="172"/>
      <c r="T232" s="233"/>
      <c r="U232" s="172"/>
      <c r="V232" s="233"/>
      <c r="W232" s="207"/>
      <c r="X232" s="233"/>
      <c r="Y232" s="139"/>
      <c r="Z232" s="233"/>
      <c r="AA232" s="207"/>
      <c r="AB232" s="233"/>
      <c r="AC232" s="172"/>
      <c r="AD232" s="233"/>
      <c r="AE232" s="242"/>
      <c r="AF232" s="233"/>
      <c r="AG232" s="207"/>
      <c r="AH232" s="233"/>
      <c r="AI232" s="139"/>
      <c r="AJ232" s="233"/>
      <c r="AK232" s="139"/>
      <c r="AL232" s="233"/>
      <c r="AM232" s="207"/>
      <c r="AN232" s="233"/>
      <c r="AO232" s="310"/>
      <c r="AP232" s="233"/>
      <c r="AR232" s="233"/>
      <c r="AT232" s="233"/>
      <c r="AU232" s="138"/>
      <c r="AV232" s="233"/>
      <c r="AW232" s="307"/>
      <c r="AX232" s="233"/>
      <c r="AY232" s="308"/>
      <c r="AZ232" s="233"/>
      <c r="BA232" s="138"/>
      <c r="BB232" s="138"/>
      <c r="BC232" s="138"/>
      <c r="BD232" s="233"/>
      <c r="BE232" s="138"/>
      <c r="BF232" s="138"/>
      <c r="BG232" s="138"/>
      <c r="BH232" s="233"/>
      <c r="BI232" s="138"/>
      <c r="BJ232" s="138"/>
      <c r="BK232" s="233"/>
      <c r="BL232" s="172"/>
      <c r="BN232" s="231"/>
      <c r="BO232" s="231"/>
    </row>
    <row r="233" spans="1:1165">
      <c r="G233" s="172"/>
      <c r="H233" s="172"/>
      <c r="I233" s="172"/>
      <c r="J233" s="172"/>
      <c r="K233" s="172"/>
      <c r="L233" s="172"/>
      <c r="M233" s="242"/>
      <c r="N233" s="242"/>
      <c r="O233" s="172"/>
      <c r="P233" s="172"/>
      <c r="Q233" s="172"/>
      <c r="R233" s="172"/>
      <c r="S233" s="172"/>
      <c r="T233" s="172"/>
      <c r="U233" s="172"/>
      <c r="V233" s="172"/>
      <c r="W233" s="207"/>
      <c r="X233" s="207"/>
      <c r="Y233" s="207"/>
      <c r="Z233" s="207"/>
      <c r="AA233" s="207"/>
      <c r="AB233" s="207"/>
      <c r="AC233" s="207"/>
      <c r="AD233" s="207"/>
      <c r="AE233" s="219"/>
      <c r="AF233" s="219"/>
      <c r="AG233" s="207"/>
      <c r="AH233" s="207"/>
      <c r="AI233" s="207"/>
      <c r="AJ233" s="207"/>
      <c r="AK233" s="207"/>
      <c r="AL233" s="207"/>
      <c r="AM233" s="207"/>
      <c r="AN233" s="207"/>
      <c r="AO233" s="200"/>
      <c r="AP233" s="200"/>
      <c r="AU233" s="138"/>
      <c r="AV233" s="138"/>
      <c r="AW233" s="307"/>
      <c r="AX233" s="307"/>
      <c r="AY233" s="308"/>
      <c r="AZ233" s="308"/>
      <c r="BA233" s="138"/>
      <c r="BB233" s="138"/>
      <c r="BC233" s="138"/>
      <c r="BD233" s="138"/>
      <c r="BE233" s="138"/>
      <c r="BF233" s="138"/>
      <c r="BG233" s="138"/>
      <c r="BH233" s="138"/>
      <c r="BI233" s="138"/>
      <c r="BJ233" s="138"/>
      <c r="BK233" s="231"/>
      <c r="BL233" s="172"/>
      <c r="BN233" s="231"/>
      <c r="BO233" s="231"/>
    </row>
    <row r="234" spans="1:1165">
      <c r="A234" s="172"/>
      <c r="B234" s="172"/>
      <c r="C234" s="240"/>
      <c r="D234" s="240"/>
      <c r="E234" s="172"/>
      <c r="F234" s="172"/>
      <c r="M234" s="235"/>
      <c r="N234" s="235"/>
      <c r="U234" s="172"/>
      <c r="V234" s="172"/>
      <c r="W234" s="139"/>
      <c r="X234" s="207"/>
      <c r="Y234" s="207"/>
      <c r="Z234" s="207"/>
      <c r="AA234" s="207"/>
      <c r="AB234" s="207"/>
      <c r="AC234" s="207"/>
      <c r="AD234" s="207"/>
      <c r="AE234" s="219"/>
      <c r="AF234" s="219"/>
      <c r="AG234" s="207"/>
      <c r="AH234" s="207"/>
      <c r="AI234" s="207"/>
      <c r="AJ234" s="207"/>
      <c r="AK234" s="207"/>
      <c r="AL234" s="207"/>
      <c r="AM234" s="207"/>
      <c r="AN234" s="207"/>
      <c r="AO234" s="269"/>
      <c r="AP234" s="269"/>
      <c r="AU234" s="138"/>
      <c r="AV234" s="138"/>
      <c r="AW234" s="307"/>
      <c r="AX234" s="307"/>
      <c r="AY234" s="308"/>
      <c r="AZ234" s="308"/>
      <c r="BA234" s="138"/>
      <c r="BB234" s="138"/>
      <c r="BC234" s="138"/>
      <c r="BD234" s="138"/>
      <c r="BE234" s="138"/>
      <c r="BF234" s="138"/>
      <c r="BG234" s="138"/>
      <c r="BH234" s="138"/>
      <c r="BI234" s="138"/>
      <c r="BJ234" s="138"/>
      <c r="BK234" s="231"/>
      <c r="BL234" s="172"/>
      <c r="BN234" s="231"/>
      <c r="BO234" s="231"/>
    </row>
    <row r="235" spans="1:1165">
      <c r="A235" s="544"/>
      <c r="B235" s="172"/>
      <c r="C235" s="240"/>
      <c r="D235" s="240"/>
      <c r="E235" s="172"/>
      <c r="F235" s="172"/>
      <c r="U235" s="172"/>
      <c r="V235" s="172"/>
      <c r="W235" s="207"/>
      <c r="X235" s="139"/>
      <c r="Y235" s="207"/>
      <c r="Z235" s="207"/>
      <c r="AA235" s="207"/>
      <c r="AB235" s="207"/>
      <c r="AC235" s="139"/>
      <c r="AD235" s="139"/>
      <c r="AE235" s="208"/>
      <c r="AF235" s="208"/>
      <c r="AG235" s="207"/>
      <c r="AH235" s="207"/>
      <c r="AI235" s="207"/>
      <c r="AJ235" s="207"/>
      <c r="AK235" s="207"/>
      <c r="AL235" s="207"/>
      <c r="AM235" s="207"/>
      <c r="AN235" s="207"/>
      <c r="AO235" s="269"/>
      <c r="AP235" s="269"/>
      <c r="AU235" s="138"/>
      <c r="AV235" s="138"/>
      <c r="AW235" s="307"/>
      <c r="AX235" s="307"/>
      <c r="AY235" s="308"/>
      <c r="AZ235" s="308"/>
      <c r="BA235" s="138"/>
      <c r="BB235" s="138"/>
      <c r="BC235" s="138"/>
      <c r="BD235" s="138"/>
      <c r="BE235" s="138"/>
      <c r="BF235" s="138"/>
      <c r="BG235" s="138"/>
      <c r="BH235" s="138"/>
      <c r="BI235" s="138"/>
      <c r="BJ235" s="138"/>
      <c r="BK235" s="231"/>
      <c r="BL235" s="172"/>
      <c r="BN235" s="231"/>
      <c r="BO235" s="231"/>
    </row>
    <row r="236" spans="1:1165">
      <c r="A236" s="172"/>
      <c r="B236" s="172"/>
      <c r="C236" s="240"/>
      <c r="D236" s="240"/>
      <c r="E236" s="172"/>
      <c r="F236" s="172"/>
      <c r="W236" s="207"/>
      <c r="X236" s="207"/>
      <c r="Y236" s="207"/>
      <c r="Z236" s="207"/>
      <c r="AA236" s="172"/>
      <c r="AB236" s="172"/>
      <c r="AC236" s="139"/>
      <c r="AD236" s="139"/>
      <c r="AE236" s="208"/>
      <c r="AF236" s="208"/>
      <c r="AG236" s="207"/>
      <c r="AH236" s="207"/>
      <c r="AI236" s="207"/>
      <c r="AJ236" s="207"/>
      <c r="AK236" s="207"/>
      <c r="AL236" s="207"/>
      <c r="AM236" s="207"/>
      <c r="AN236" s="207"/>
      <c r="AO236" s="269"/>
      <c r="AP236" s="269"/>
      <c r="AW236" s="235"/>
      <c r="AX236" s="235"/>
      <c r="BK236" s="231"/>
      <c r="BL236" s="172"/>
      <c r="BN236" s="231"/>
      <c r="BO236" s="231"/>
    </row>
    <row r="237" spans="1:1165">
      <c r="A237" s="172"/>
      <c r="B237" s="172"/>
      <c r="C237" s="240"/>
      <c r="D237" s="240"/>
      <c r="E237" s="172"/>
      <c r="F237" s="172"/>
      <c r="W237" s="139"/>
      <c r="X237" s="207"/>
      <c r="Y237" s="207"/>
      <c r="Z237" s="207"/>
      <c r="AA237" s="139"/>
      <c r="AB237" s="139"/>
      <c r="AC237" s="207"/>
      <c r="AD237" s="207"/>
      <c r="AE237" s="208"/>
      <c r="AF237" s="208"/>
      <c r="AG237" s="139"/>
      <c r="AH237" s="139"/>
      <c r="AI237" s="207"/>
      <c r="AJ237" s="207"/>
      <c r="AK237" s="207"/>
      <c r="AL237" s="207"/>
      <c r="AM237" s="139"/>
      <c r="AN237" s="139"/>
      <c r="AO237" s="269"/>
      <c r="AP237" s="269"/>
      <c r="AW237" s="235"/>
      <c r="AX237" s="235"/>
      <c r="BK237" s="231"/>
      <c r="BL237" s="172"/>
      <c r="BN237" s="231"/>
      <c r="BO237" s="231"/>
    </row>
    <row r="238" spans="1:1165">
      <c r="A238" s="172"/>
      <c r="W238" s="207"/>
      <c r="X238" s="139"/>
      <c r="Y238" s="139"/>
      <c r="Z238" s="139"/>
      <c r="AA238" s="207"/>
      <c r="AB238" s="207"/>
      <c r="AC238" s="207"/>
      <c r="AD238" s="207"/>
      <c r="AE238" s="208"/>
      <c r="AF238" s="208"/>
      <c r="AG238" s="207"/>
      <c r="AH238" s="207"/>
      <c r="AI238" s="139"/>
      <c r="AJ238" s="139"/>
      <c r="AK238" s="139"/>
      <c r="AL238" s="139"/>
      <c r="AM238" s="207"/>
      <c r="AN238" s="207"/>
      <c r="AO238" s="269"/>
      <c r="AP238" s="269"/>
      <c r="AW238" s="235"/>
      <c r="AX238" s="235"/>
      <c r="BK238" s="231"/>
      <c r="BL238" s="172"/>
      <c r="BN238" s="231"/>
      <c r="BO238" s="231"/>
    </row>
    <row r="239" spans="1:1165">
      <c r="W239" s="207"/>
      <c r="X239" s="207"/>
      <c r="Y239" s="207"/>
      <c r="Z239" s="207"/>
      <c r="AA239" s="139"/>
      <c r="AB239" s="139"/>
      <c r="AC239" s="207"/>
      <c r="AD239" s="207"/>
      <c r="AE239" s="208"/>
      <c r="AF239" s="208"/>
      <c r="AG239" s="139"/>
      <c r="AH239" s="139"/>
      <c r="AI239" s="207"/>
      <c r="AJ239" s="207"/>
      <c r="AK239" s="207"/>
      <c r="AL239" s="207"/>
      <c r="AM239" s="207"/>
      <c r="AN239" s="207"/>
      <c r="AO239" s="200"/>
      <c r="AP239" s="200"/>
      <c r="AW239" s="235"/>
      <c r="AX239" s="235"/>
      <c r="BK239" s="231"/>
      <c r="BL239" s="172"/>
      <c r="BN239" s="231"/>
      <c r="BO239" s="231"/>
    </row>
    <row r="240" spans="1:1165">
      <c r="A240" s="172"/>
      <c r="W240" s="207"/>
      <c r="X240" s="207"/>
      <c r="Y240" s="207"/>
      <c r="Z240" s="207"/>
      <c r="AA240" s="139"/>
      <c r="AB240" s="139"/>
      <c r="AC240" s="207"/>
      <c r="AD240" s="207"/>
      <c r="AE240" s="219"/>
      <c r="AF240" s="219"/>
      <c r="AG240" s="139"/>
      <c r="AH240" s="139"/>
      <c r="AI240" s="207"/>
      <c r="AJ240" s="207"/>
      <c r="AK240" s="207"/>
      <c r="AL240" s="207"/>
      <c r="AM240" s="139"/>
      <c r="AN240" s="139"/>
      <c r="AO240" s="269"/>
      <c r="AP240" s="269"/>
      <c r="BK240" s="231"/>
      <c r="BL240" s="172"/>
      <c r="BN240" s="231"/>
      <c r="BO240" s="231"/>
    </row>
    <row r="241" spans="23:67">
      <c r="W241" s="207"/>
      <c r="X241" s="207"/>
      <c r="Y241" s="207"/>
      <c r="Z241" s="207"/>
      <c r="AA241" s="207"/>
      <c r="AB241" s="207"/>
      <c r="AC241" s="207"/>
      <c r="AD241" s="207"/>
      <c r="AE241" s="208"/>
      <c r="AF241" s="208"/>
      <c r="AG241" s="207"/>
      <c r="AH241" s="207"/>
      <c r="AI241" s="207"/>
      <c r="AJ241" s="207"/>
      <c r="AK241" s="207"/>
      <c r="AL241" s="207"/>
      <c r="AM241" s="139"/>
      <c r="AN241" s="139"/>
      <c r="AO241" s="231"/>
      <c r="AP241" s="231"/>
      <c r="BK241" s="231"/>
      <c r="BL241" s="172"/>
      <c r="BN241" s="231"/>
      <c r="BO241" s="231"/>
    </row>
    <row r="242" spans="23:67">
      <c r="W242" s="207"/>
      <c r="X242" s="207"/>
      <c r="Y242" s="139"/>
      <c r="Z242" s="139"/>
      <c r="AA242" s="207"/>
      <c r="AB242" s="207"/>
      <c r="AC242" s="139"/>
      <c r="AD242" s="139"/>
      <c r="AE242" s="208"/>
      <c r="AF242" s="208"/>
      <c r="AG242" s="207"/>
      <c r="AH242" s="207"/>
      <c r="AI242" s="139"/>
      <c r="AJ242" s="139"/>
      <c r="AK242" s="139"/>
      <c r="AL242" s="139"/>
      <c r="AM242" s="244"/>
      <c r="AN242" s="244"/>
      <c r="AO242" s="200"/>
      <c r="AP242" s="200"/>
      <c r="BK242" s="231"/>
      <c r="BL242" s="172"/>
      <c r="BN242" s="231"/>
      <c r="BO242" s="231"/>
    </row>
    <row r="243" spans="23:67">
      <c r="W243" s="207"/>
      <c r="X243" s="207"/>
      <c r="Y243" s="139"/>
      <c r="Z243" s="139"/>
      <c r="AA243" s="207"/>
      <c r="AB243" s="207"/>
      <c r="AC243" s="207"/>
      <c r="AD243" s="207"/>
      <c r="AE243" s="208"/>
      <c r="AF243" s="208"/>
      <c r="AG243" s="207"/>
      <c r="AH243" s="207"/>
      <c r="AI243" s="139"/>
      <c r="AJ243" s="139"/>
      <c r="AK243" s="139"/>
      <c r="AL243" s="139"/>
      <c r="AM243" s="244"/>
      <c r="AN243" s="244"/>
      <c r="AO243" s="200"/>
      <c r="AP243" s="200"/>
      <c r="BK243" s="231"/>
      <c r="BL243" s="172"/>
      <c r="BN243" s="231"/>
      <c r="BO243" s="231"/>
    </row>
    <row r="244" spans="23:67">
      <c r="W244" s="139"/>
      <c r="X244" s="207"/>
      <c r="Y244" s="244"/>
      <c r="Z244" s="244"/>
      <c r="AA244" s="207"/>
      <c r="AB244" s="207"/>
      <c r="AC244" s="207"/>
      <c r="AD244" s="207"/>
      <c r="AE244" s="219"/>
      <c r="AF244" s="219"/>
      <c r="AG244" s="207"/>
      <c r="AH244" s="207"/>
      <c r="AI244" s="244"/>
      <c r="AJ244" s="244"/>
      <c r="AK244" s="244"/>
      <c r="AL244" s="244"/>
      <c r="AM244" s="139"/>
      <c r="AN244" s="139"/>
      <c r="AO244" s="269"/>
      <c r="AP244" s="269"/>
      <c r="BK244" s="172"/>
      <c r="BL244" s="172"/>
      <c r="BN244" s="231"/>
      <c r="BO244" s="231"/>
    </row>
    <row r="245" spans="23:67">
      <c r="W245" s="207"/>
      <c r="X245" s="139"/>
      <c r="Y245" s="244"/>
      <c r="Z245" s="244"/>
      <c r="AA245" s="207"/>
      <c r="AB245" s="207"/>
      <c r="AC245" s="207"/>
      <c r="AD245" s="207"/>
      <c r="AE245" s="219"/>
      <c r="AF245" s="219"/>
      <c r="AG245" s="207"/>
      <c r="AH245" s="207"/>
      <c r="AI245" s="244"/>
      <c r="AJ245" s="244"/>
      <c r="AK245" s="244"/>
      <c r="AL245" s="244"/>
      <c r="AM245" s="172"/>
      <c r="AN245" s="172"/>
      <c r="AO245" s="269"/>
      <c r="AP245" s="269"/>
      <c r="BK245" s="172"/>
      <c r="BL245" s="172"/>
      <c r="BN245" s="231"/>
      <c r="BO245" s="231"/>
    </row>
    <row r="246" spans="23:67">
      <c r="W246" s="207"/>
      <c r="X246" s="207"/>
      <c r="Y246" s="244"/>
      <c r="Z246" s="244"/>
      <c r="AA246" s="207"/>
      <c r="AB246" s="207"/>
      <c r="AC246" s="139"/>
      <c r="AD246" s="139"/>
      <c r="AE246" s="219"/>
      <c r="AF246" s="219"/>
      <c r="AG246" s="207"/>
      <c r="AH246" s="207"/>
      <c r="AI246" s="139"/>
      <c r="AJ246" s="139"/>
      <c r="AK246" s="139"/>
      <c r="AL246" s="139"/>
      <c r="AM246" s="172"/>
      <c r="AN246" s="172"/>
      <c r="AO246" s="269"/>
      <c r="AP246" s="269"/>
      <c r="BK246" s="172"/>
      <c r="BL246" s="172"/>
      <c r="BN246" s="231"/>
      <c r="BO246" s="231"/>
    </row>
    <row r="247" spans="23:67">
      <c r="W247" s="207"/>
      <c r="X247" s="207"/>
      <c r="Y247" s="244"/>
      <c r="Z247" s="244"/>
      <c r="AA247" s="139"/>
      <c r="AB247" s="139"/>
      <c r="AC247" s="139"/>
      <c r="AD247" s="139"/>
      <c r="AE247" s="219"/>
      <c r="AF247" s="219"/>
      <c r="AG247" s="139"/>
      <c r="AH247" s="139"/>
      <c r="AI247" s="172"/>
      <c r="AJ247" s="172"/>
      <c r="AK247" s="139"/>
      <c r="AL247" s="139"/>
      <c r="AM247" s="172"/>
      <c r="AN247" s="172"/>
      <c r="AO247" s="269"/>
      <c r="AP247" s="269"/>
      <c r="BK247" s="172"/>
      <c r="BL247" s="172"/>
      <c r="BN247" s="231"/>
      <c r="BO247" s="231"/>
    </row>
    <row r="248" spans="23:67">
      <c r="W248" s="139"/>
      <c r="X248" s="207"/>
      <c r="Y248" s="139"/>
      <c r="Z248" s="139"/>
      <c r="AA248" s="207"/>
      <c r="AB248" s="207"/>
      <c r="AC248" s="244"/>
      <c r="AD248" s="244"/>
      <c r="AE248" s="219"/>
      <c r="AF248" s="219"/>
      <c r="AG248" s="207"/>
      <c r="AH248" s="207"/>
      <c r="AI248" s="172"/>
      <c r="AJ248" s="172"/>
      <c r="AK248" s="139"/>
      <c r="AL248" s="139"/>
      <c r="AM248" s="172"/>
      <c r="AN248" s="172"/>
      <c r="AO248" s="269"/>
      <c r="AP248" s="269"/>
      <c r="BK248" s="172"/>
      <c r="BL248" s="172"/>
      <c r="BN248" s="231"/>
      <c r="BO248" s="231"/>
    </row>
    <row r="249" spans="23:67">
      <c r="W249" s="139"/>
      <c r="X249" s="139"/>
      <c r="Y249" s="172"/>
      <c r="Z249" s="172"/>
      <c r="AA249" s="207"/>
      <c r="AB249" s="207"/>
      <c r="AC249" s="244"/>
      <c r="AD249" s="244"/>
      <c r="AE249" s="242"/>
      <c r="AF249" s="242"/>
      <c r="AG249" s="207"/>
      <c r="AH249" s="207"/>
      <c r="AI249" s="172"/>
      <c r="AJ249" s="172"/>
      <c r="AK249" s="139"/>
      <c r="AL249" s="139"/>
      <c r="AM249" s="172"/>
      <c r="AN249" s="172"/>
      <c r="AO249" s="269"/>
      <c r="AP249" s="269"/>
      <c r="BK249" s="172"/>
      <c r="BL249" s="172"/>
      <c r="BN249" s="231"/>
      <c r="BO249" s="231"/>
    </row>
    <row r="250" spans="23:67">
      <c r="W250" s="244"/>
      <c r="X250" s="139"/>
      <c r="Y250" s="172"/>
      <c r="Z250" s="172"/>
      <c r="AA250" s="207"/>
      <c r="AB250" s="207"/>
      <c r="AC250" s="244"/>
      <c r="AD250" s="244"/>
      <c r="AE250" s="242"/>
      <c r="AF250" s="242"/>
      <c r="AG250" s="207"/>
      <c r="AH250" s="207"/>
      <c r="AI250" s="172"/>
      <c r="AJ250" s="172"/>
      <c r="AK250" s="139"/>
      <c r="AL250" s="139"/>
      <c r="AM250" s="172"/>
      <c r="AN250" s="172"/>
      <c r="AO250" s="200"/>
      <c r="AP250" s="200"/>
      <c r="BK250" s="172"/>
      <c r="BL250" s="172"/>
      <c r="BN250" s="231"/>
      <c r="BO250" s="231"/>
    </row>
    <row r="251" spans="23:67">
      <c r="W251" s="244"/>
      <c r="X251" s="244"/>
      <c r="Y251" s="172"/>
      <c r="Z251" s="172"/>
      <c r="AA251" s="139"/>
      <c r="AB251" s="139"/>
      <c r="AC251" s="244"/>
      <c r="AD251" s="244"/>
      <c r="AE251" s="242"/>
      <c r="AF251" s="242"/>
      <c r="AG251" s="139"/>
      <c r="AH251" s="139"/>
      <c r="AI251" s="172"/>
      <c r="AJ251" s="172"/>
      <c r="AK251" s="139"/>
      <c r="AL251" s="139"/>
      <c r="AM251" s="172"/>
      <c r="AN251" s="172"/>
      <c r="AO251" s="269"/>
      <c r="AP251" s="269"/>
      <c r="BK251" s="172"/>
      <c r="BL251" s="172"/>
      <c r="BN251" s="231"/>
      <c r="BO251" s="231"/>
    </row>
    <row r="252" spans="23:67">
      <c r="W252" s="244"/>
      <c r="X252" s="244"/>
      <c r="Y252" s="172"/>
      <c r="Z252" s="172"/>
      <c r="AA252" s="139"/>
      <c r="AB252" s="139"/>
      <c r="AC252" s="139"/>
      <c r="AD252" s="139"/>
      <c r="AE252" s="242"/>
      <c r="AF252" s="242"/>
      <c r="AG252" s="139"/>
      <c r="AH252" s="139"/>
      <c r="AI252" s="172"/>
      <c r="AJ252" s="172"/>
      <c r="AK252" s="139"/>
      <c r="AL252" s="139"/>
      <c r="AM252" s="172"/>
      <c r="AN252" s="172"/>
      <c r="AO252" s="269"/>
      <c r="AP252" s="269"/>
      <c r="BK252" s="172"/>
      <c r="BL252" s="172"/>
      <c r="BN252" s="231"/>
      <c r="BO252" s="231"/>
    </row>
    <row r="253" spans="23:67">
      <c r="W253" s="244"/>
      <c r="X253" s="244"/>
      <c r="Y253" s="172"/>
      <c r="Z253" s="172"/>
      <c r="AA253" s="244"/>
      <c r="AB253" s="244"/>
      <c r="AC253" s="172"/>
      <c r="AD253" s="172"/>
      <c r="AE253" s="242"/>
      <c r="AF253" s="242"/>
      <c r="AG253" s="244"/>
      <c r="AH253" s="244"/>
      <c r="AI253" s="172"/>
      <c r="AJ253" s="172"/>
      <c r="AK253" s="139"/>
      <c r="AL253" s="139"/>
      <c r="AM253" s="172"/>
      <c r="AN253" s="172"/>
      <c r="AO253" s="269"/>
      <c r="AP253" s="269"/>
      <c r="BK253" s="172"/>
      <c r="BL253" s="172"/>
      <c r="BN253" s="231"/>
      <c r="BO253" s="231"/>
    </row>
    <row r="254" spans="23:67">
      <c r="W254" s="139"/>
      <c r="X254" s="244"/>
      <c r="Y254" s="172"/>
      <c r="Z254" s="172"/>
      <c r="AA254" s="244"/>
      <c r="AB254" s="244"/>
      <c r="AC254" s="172"/>
      <c r="AD254" s="172"/>
      <c r="AE254" s="242"/>
      <c r="AF254" s="242"/>
      <c r="AG254" s="244"/>
      <c r="AH254" s="244"/>
      <c r="AI254" s="172"/>
      <c r="AJ254" s="172"/>
      <c r="AK254" s="139"/>
      <c r="AL254" s="139"/>
      <c r="AM254" s="172"/>
      <c r="AN254" s="172"/>
      <c r="AO254" s="200"/>
      <c r="AP254" s="200"/>
      <c r="BK254" s="172"/>
      <c r="BL254" s="172"/>
      <c r="BN254" s="231"/>
      <c r="BO254" s="231"/>
    </row>
    <row r="255" spans="23:67">
      <c r="W255" s="172"/>
      <c r="X255" s="139"/>
      <c r="Y255" s="172"/>
      <c r="Z255" s="172"/>
      <c r="AA255" s="244"/>
      <c r="AB255" s="244"/>
      <c r="AC255" s="172"/>
      <c r="AD255" s="172"/>
      <c r="AE255" s="242"/>
      <c r="AF255" s="242"/>
      <c r="AG255" s="139"/>
      <c r="AH255" s="139"/>
      <c r="AI255" s="172"/>
      <c r="AJ255" s="172"/>
      <c r="AK255" s="139"/>
      <c r="AL255" s="139"/>
      <c r="AM255" s="172"/>
      <c r="AN255" s="172"/>
      <c r="AO255" s="200"/>
      <c r="AP255" s="200"/>
      <c r="BK255" s="172"/>
      <c r="BL255" s="172"/>
      <c r="BN255" s="231"/>
      <c r="BO255" s="231"/>
    </row>
    <row r="256" spans="23:67">
      <c r="W256" s="172"/>
      <c r="X256" s="172"/>
      <c r="Y256" s="172"/>
      <c r="Z256" s="172"/>
      <c r="AA256" s="244"/>
      <c r="AB256" s="244"/>
      <c r="AC256" s="172"/>
      <c r="AD256" s="172"/>
      <c r="AE256" s="242"/>
      <c r="AF256" s="242"/>
      <c r="AG256" s="172"/>
      <c r="AH256" s="172"/>
      <c r="AI256" s="172"/>
      <c r="AJ256" s="172"/>
      <c r="AK256" s="139"/>
      <c r="AL256" s="139"/>
      <c r="AM256" s="172"/>
      <c r="AN256" s="172"/>
      <c r="AO256" s="201"/>
      <c r="AP256" s="201"/>
      <c r="BK256" s="172"/>
      <c r="BL256" s="172"/>
      <c r="BN256" s="231"/>
      <c r="BO256" s="231"/>
    </row>
    <row r="257" spans="23:67">
      <c r="W257" s="172"/>
      <c r="X257" s="172"/>
      <c r="Y257" s="172"/>
      <c r="Z257" s="172"/>
      <c r="AA257" s="139"/>
      <c r="AB257" s="139"/>
      <c r="AC257" s="172"/>
      <c r="AD257" s="172"/>
      <c r="AE257" s="242"/>
      <c r="AF257" s="242"/>
      <c r="AG257" s="172"/>
      <c r="AH257" s="172"/>
      <c r="AI257" s="172"/>
      <c r="AJ257" s="172"/>
      <c r="AK257" s="139"/>
      <c r="AL257" s="139"/>
      <c r="AM257" s="172"/>
      <c r="AN257" s="172"/>
      <c r="AO257" s="201"/>
      <c r="AP257" s="201"/>
      <c r="BK257" s="172"/>
      <c r="BL257" s="172"/>
      <c r="BN257" s="231"/>
      <c r="BO257" s="231"/>
    </row>
    <row r="258" spans="23:67">
      <c r="W258" s="172"/>
      <c r="X258" s="172"/>
      <c r="Y258" s="172"/>
      <c r="Z258" s="172"/>
      <c r="AA258" s="172"/>
      <c r="AB258" s="172"/>
      <c r="AC258" s="172"/>
      <c r="AD258" s="172"/>
      <c r="AE258" s="242"/>
      <c r="AF258" s="242"/>
      <c r="AG258" s="172"/>
      <c r="AH258" s="172"/>
      <c r="AI258" s="172"/>
      <c r="AJ258" s="172"/>
      <c r="AK258" s="139"/>
      <c r="AL258" s="139"/>
      <c r="AM258" s="172"/>
      <c r="AN258" s="172"/>
      <c r="AO258" s="200"/>
      <c r="AP258" s="200"/>
      <c r="BK258" s="172"/>
      <c r="BL258" s="172"/>
      <c r="BN258" s="231"/>
      <c r="BO258" s="231"/>
    </row>
    <row r="259" spans="23:67">
      <c r="W259" s="172"/>
      <c r="X259" s="172"/>
      <c r="Y259" s="172"/>
      <c r="Z259" s="172"/>
      <c r="AA259" s="172"/>
      <c r="AB259" s="172"/>
      <c r="AC259" s="172"/>
      <c r="AD259" s="172"/>
      <c r="AE259" s="242"/>
      <c r="AF259" s="242"/>
      <c r="AG259" s="172"/>
      <c r="AH259" s="172"/>
      <c r="AI259" s="172"/>
      <c r="AJ259" s="172"/>
      <c r="AK259" s="139"/>
      <c r="AL259" s="139"/>
      <c r="AM259" s="172"/>
      <c r="AN259" s="172"/>
      <c r="AO259" s="231"/>
      <c r="AP259" s="231"/>
      <c r="BK259" s="172"/>
      <c r="BL259" s="172"/>
      <c r="BN259" s="231"/>
      <c r="BO259" s="231"/>
    </row>
    <row r="260" spans="23:67">
      <c r="W260" s="172"/>
      <c r="X260" s="172"/>
      <c r="Y260" s="172"/>
      <c r="Z260" s="172"/>
      <c r="AA260" s="172"/>
      <c r="AB260" s="172"/>
      <c r="AC260" s="172"/>
      <c r="AD260" s="172"/>
      <c r="AE260" s="242"/>
      <c r="AF260" s="242"/>
      <c r="AG260" s="172"/>
      <c r="AH260" s="172"/>
      <c r="AI260" s="172"/>
      <c r="AJ260" s="172"/>
      <c r="AK260" s="139"/>
      <c r="AL260" s="139"/>
      <c r="AM260" s="172"/>
      <c r="AN260" s="172"/>
      <c r="AO260" s="231"/>
      <c r="AP260" s="231"/>
      <c r="BK260" s="172"/>
      <c r="BL260" s="172"/>
      <c r="BN260" s="231"/>
      <c r="BO260" s="231"/>
    </row>
    <row r="261" spans="23:67">
      <c r="W261" s="172"/>
      <c r="X261" s="172"/>
      <c r="Y261" s="172"/>
      <c r="Z261" s="172"/>
      <c r="AA261" s="172"/>
      <c r="AB261" s="172"/>
      <c r="AC261" s="172"/>
      <c r="AD261" s="172"/>
      <c r="AE261" s="242"/>
      <c r="AF261" s="242"/>
      <c r="AG261" s="172"/>
      <c r="AH261" s="172"/>
      <c r="AI261" s="172"/>
      <c r="AJ261" s="172"/>
      <c r="AK261" s="139"/>
      <c r="AM261" s="172"/>
      <c r="AN261" s="172"/>
      <c r="AO261" s="231"/>
      <c r="AP261" s="231"/>
      <c r="BK261" s="172"/>
      <c r="BL261" s="172"/>
      <c r="BN261" s="231"/>
      <c r="BO261" s="231"/>
    </row>
    <row r="262" spans="23:67">
      <c r="W262" s="172"/>
      <c r="X262" s="172"/>
      <c r="Y262" s="172"/>
      <c r="Z262" s="172"/>
      <c r="AA262" s="172"/>
      <c r="AB262" s="172"/>
      <c r="AC262" s="172"/>
      <c r="AD262" s="172"/>
      <c r="AE262" s="242"/>
      <c r="AF262" s="242"/>
      <c r="AG262" s="172"/>
      <c r="AH262" s="172"/>
      <c r="AI262" s="172"/>
      <c r="AJ262" s="172"/>
      <c r="AK262" s="139"/>
      <c r="AM262" s="172"/>
      <c r="AN262" s="172"/>
      <c r="AO262" s="231"/>
      <c r="AP262" s="231"/>
      <c r="BK262" s="172"/>
      <c r="BL262" s="172"/>
      <c r="BN262" s="231"/>
      <c r="BO262" s="231"/>
    </row>
    <row r="263" spans="23:67">
      <c r="W263" s="172"/>
      <c r="X263" s="172"/>
      <c r="Y263" s="172"/>
      <c r="Z263" s="172"/>
      <c r="AA263" s="172"/>
      <c r="AB263" s="172"/>
      <c r="AC263" s="172"/>
      <c r="AD263" s="172"/>
      <c r="AE263" s="242"/>
      <c r="AF263" s="242"/>
      <c r="AG263" s="172"/>
      <c r="AH263" s="172"/>
      <c r="AI263" s="172"/>
      <c r="AJ263" s="172"/>
      <c r="AK263" s="139"/>
      <c r="AM263" s="172"/>
      <c r="AN263" s="172"/>
      <c r="AO263" s="231"/>
      <c r="AP263" s="231"/>
      <c r="BK263" s="172"/>
      <c r="BL263" s="172"/>
      <c r="BN263" s="231"/>
    </row>
    <row r="264" spans="23:67">
      <c r="W264" s="172"/>
      <c r="X264" s="172"/>
      <c r="Y264" s="172"/>
      <c r="Z264" s="172"/>
      <c r="AA264" s="172"/>
      <c r="AB264" s="172"/>
      <c r="AC264" s="172"/>
      <c r="AD264" s="172"/>
      <c r="AE264" s="242"/>
      <c r="AF264" s="242"/>
      <c r="AG264" s="172"/>
      <c r="AH264" s="172"/>
      <c r="AI264" s="172"/>
      <c r="AJ264" s="172"/>
      <c r="AK264" s="139"/>
      <c r="AM264" s="172"/>
      <c r="AN264" s="172"/>
      <c r="AO264" s="231"/>
      <c r="AP264" s="231"/>
      <c r="BK264" s="172"/>
      <c r="BL264" s="172"/>
      <c r="BN264" s="231"/>
    </row>
    <row r="265" spans="23:67">
      <c r="W265" s="172"/>
      <c r="X265" s="172"/>
      <c r="Y265" s="172"/>
      <c r="Z265" s="172"/>
      <c r="AA265" s="172"/>
      <c r="AB265" s="172"/>
      <c r="AC265" s="172"/>
      <c r="AD265" s="172"/>
      <c r="AE265" s="242"/>
      <c r="AF265" s="242"/>
      <c r="AG265" s="172"/>
      <c r="AH265" s="172"/>
      <c r="AI265" s="172"/>
      <c r="AJ265" s="172"/>
      <c r="AK265" s="139"/>
      <c r="AM265" s="172"/>
      <c r="AN265" s="172"/>
      <c r="AO265" s="231"/>
      <c r="AP265" s="231"/>
      <c r="BK265" s="172"/>
      <c r="BL265" s="172"/>
      <c r="BN265" s="231"/>
    </row>
    <row r="266" spans="23:67">
      <c r="W266" s="172"/>
      <c r="X266" s="172"/>
      <c r="Y266" s="172"/>
      <c r="Z266" s="172"/>
      <c r="AA266" s="172"/>
      <c r="AB266" s="172"/>
      <c r="AC266" s="172"/>
      <c r="AD266" s="172"/>
      <c r="AE266" s="242"/>
      <c r="AF266" s="242"/>
      <c r="AG266" s="172"/>
      <c r="AH266" s="172"/>
      <c r="AI266" s="172"/>
      <c r="AJ266" s="172"/>
      <c r="AK266" s="139"/>
      <c r="AM266" s="172"/>
      <c r="AN266" s="172"/>
      <c r="AO266" s="231"/>
      <c r="AP266" s="231"/>
      <c r="BK266" s="172"/>
      <c r="BL266" s="172"/>
    </row>
    <row r="267" spans="23:67">
      <c r="W267" s="172"/>
      <c r="X267" s="172"/>
      <c r="Y267" s="172"/>
      <c r="Z267" s="172"/>
      <c r="AA267" s="172"/>
      <c r="AB267" s="172"/>
      <c r="AC267" s="172"/>
      <c r="AD267" s="172"/>
      <c r="AE267" s="242"/>
      <c r="AF267" s="242"/>
      <c r="AG267" s="172"/>
      <c r="AH267" s="172"/>
      <c r="AI267" s="172"/>
      <c r="AJ267" s="172"/>
      <c r="AK267" s="139"/>
      <c r="AM267" s="172"/>
      <c r="AN267" s="172"/>
      <c r="AO267" s="231"/>
      <c r="AP267" s="231"/>
      <c r="BK267" s="172"/>
      <c r="BL267" s="172"/>
    </row>
    <row r="268" spans="23:67">
      <c r="W268" s="172"/>
      <c r="X268" s="172"/>
      <c r="Y268" s="172"/>
      <c r="Z268" s="172"/>
      <c r="AA268" s="172"/>
      <c r="AB268" s="172"/>
      <c r="AC268" s="172"/>
      <c r="AD268" s="172"/>
      <c r="AE268" s="242"/>
      <c r="AF268" s="242"/>
      <c r="AG268" s="172"/>
      <c r="AH268" s="172"/>
      <c r="AI268" s="172"/>
      <c r="AJ268" s="172"/>
      <c r="AK268" s="139"/>
      <c r="AM268" s="172"/>
      <c r="AN268" s="172"/>
      <c r="AO268" s="231"/>
      <c r="AP268" s="231"/>
      <c r="BK268" s="172"/>
      <c r="BL268" s="172"/>
    </row>
    <row r="269" spans="23:67">
      <c r="W269" s="172"/>
      <c r="X269" s="172"/>
      <c r="Y269" s="172"/>
      <c r="Z269" s="172"/>
      <c r="AA269" s="172"/>
      <c r="AB269" s="172"/>
      <c r="AC269" s="172"/>
      <c r="AD269" s="172"/>
      <c r="AE269" s="242"/>
      <c r="AF269" s="242"/>
      <c r="AG269" s="172"/>
      <c r="AH269" s="172"/>
      <c r="AI269" s="172"/>
      <c r="AJ269" s="172"/>
      <c r="AK269" s="139"/>
      <c r="AM269" s="172"/>
      <c r="AN269" s="172"/>
      <c r="AO269" s="231"/>
      <c r="AP269" s="231"/>
      <c r="BK269" s="172"/>
      <c r="BL269" s="172"/>
    </row>
    <row r="270" spans="23:67">
      <c r="W270" s="172"/>
      <c r="X270" s="172"/>
      <c r="Y270" s="172"/>
      <c r="Z270" s="172"/>
      <c r="AA270" s="172"/>
      <c r="AB270" s="172"/>
      <c r="AC270" s="172"/>
      <c r="AD270" s="172"/>
      <c r="AE270" s="242"/>
      <c r="AF270" s="242"/>
      <c r="AG270" s="172"/>
      <c r="AH270" s="172"/>
      <c r="AI270" s="172"/>
      <c r="AJ270" s="172"/>
      <c r="AK270" s="139"/>
      <c r="AM270" s="172"/>
      <c r="AN270" s="172"/>
      <c r="AO270" s="231"/>
      <c r="AP270" s="231"/>
      <c r="BK270" s="172"/>
      <c r="BL270" s="172"/>
    </row>
    <row r="271" spans="23:67">
      <c r="W271" s="172"/>
      <c r="X271" s="172"/>
      <c r="Y271" s="172"/>
      <c r="Z271" s="172"/>
      <c r="AA271" s="172"/>
      <c r="AB271" s="172"/>
      <c r="AC271" s="172"/>
      <c r="AD271" s="172"/>
      <c r="AE271" s="242"/>
      <c r="AF271" s="242"/>
      <c r="AG271" s="172"/>
      <c r="AH271" s="172"/>
      <c r="AI271" s="172"/>
      <c r="AJ271" s="172"/>
      <c r="AK271" s="139"/>
      <c r="AO271" s="231"/>
      <c r="AP271" s="231"/>
      <c r="BK271" s="172"/>
      <c r="BL271" s="172"/>
    </row>
    <row r="272" spans="23:67">
      <c r="W272" s="172"/>
      <c r="X272" s="172"/>
      <c r="Y272" s="172"/>
      <c r="Z272" s="172"/>
      <c r="AA272" s="172"/>
      <c r="AB272" s="172"/>
      <c r="AC272" s="172"/>
      <c r="AD272" s="172"/>
      <c r="AE272" s="242"/>
      <c r="AF272" s="242"/>
      <c r="AG272" s="172"/>
      <c r="AH272" s="172"/>
      <c r="AI272" s="172"/>
      <c r="AJ272" s="172"/>
      <c r="AK272" s="139"/>
      <c r="AO272" s="231"/>
      <c r="AP272" s="231"/>
      <c r="BK272" s="172"/>
      <c r="BL272" s="172"/>
    </row>
    <row r="273" spans="23:64">
      <c r="W273" s="172"/>
      <c r="X273" s="172"/>
      <c r="Y273" s="172"/>
      <c r="Z273" s="172"/>
      <c r="AA273" s="172"/>
      <c r="AB273" s="172"/>
      <c r="AC273" s="172"/>
      <c r="AD273" s="172"/>
      <c r="AE273" s="242"/>
      <c r="AF273" s="242"/>
      <c r="AG273" s="172"/>
      <c r="AH273" s="172"/>
      <c r="AI273" s="172"/>
      <c r="AJ273" s="172"/>
      <c r="AK273" s="139"/>
      <c r="AO273" s="231"/>
      <c r="AP273" s="231"/>
      <c r="BK273" s="172"/>
      <c r="BL273" s="172"/>
    </row>
    <row r="274" spans="23:64">
      <c r="W274" s="172"/>
      <c r="X274" s="172"/>
      <c r="Y274" s="172"/>
      <c r="Z274" s="172"/>
      <c r="AA274" s="172"/>
      <c r="AB274" s="172"/>
      <c r="AC274" s="172"/>
      <c r="AD274" s="172"/>
      <c r="AE274" s="242"/>
      <c r="AF274" s="242"/>
      <c r="AG274" s="172"/>
      <c r="AH274" s="172"/>
      <c r="AI274" s="172"/>
      <c r="AJ274" s="172"/>
      <c r="AK274" s="139"/>
      <c r="AO274" s="231"/>
      <c r="AP274" s="231"/>
      <c r="BK274" s="172"/>
      <c r="BL274" s="172"/>
    </row>
    <row r="275" spans="23:64">
      <c r="W275" s="172"/>
      <c r="X275" s="172"/>
      <c r="Y275" s="172"/>
      <c r="Z275" s="172"/>
      <c r="AA275" s="172"/>
      <c r="AB275" s="172"/>
      <c r="AC275" s="172"/>
      <c r="AD275" s="172"/>
      <c r="AE275" s="242"/>
      <c r="AF275" s="242"/>
      <c r="AG275" s="172"/>
      <c r="AH275" s="172"/>
      <c r="AI275" s="172"/>
      <c r="AJ275" s="172"/>
      <c r="AK275" s="139"/>
      <c r="AO275" s="231"/>
      <c r="AP275" s="231"/>
      <c r="BK275" s="172"/>
      <c r="BL275" s="172"/>
    </row>
    <row r="276" spans="23:64">
      <c r="W276" s="172"/>
      <c r="X276" s="172"/>
      <c r="Y276" s="172"/>
      <c r="Z276" s="172"/>
      <c r="AA276" s="172"/>
      <c r="AB276" s="172"/>
      <c r="AC276" s="172"/>
      <c r="AD276" s="172"/>
      <c r="AE276" s="242"/>
      <c r="AF276" s="242"/>
      <c r="AG276" s="172"/>
      <c r="AH276" s="172"/>
      <c r="AI276" s="172"/>
      <c r="AJ276" s="172"/>
      <c r="AK276" s="139"/>
      <c r="BK276" s="172"/>
      <c r="BL276" s="172"/>
    </row>
    <row r="277" spans="23:64">
      <c r="AI277" s="172"/>
      <c r="AJ277" s="172"/>
      <c r="BK277" s="172"/>
      <c r="BL277" s="172"/>
    </row>
    <row r="278" spans="23:64">
      <c r="AI278" s="172"/>
      <c r="AJ278" s="172"/>
      <c r="BL278" s="172"/>
    </row>
    <row r="279" spans="23:64">
      <c r="AI279" s="172"/>
      <c r="AJ279" s="172"/>
      <c r="BL279" s="172"/>
    </row>
    <row r="280" spans="23:64">
      <c r="AI280" s="172"/>
      <c r="AJ280" s="172"/>
      <c r="BK280" s="172"/>
      <c r="BL280" s="172"/>
    </row>
    <row r="281" spans="23:64">
      <c r="AI281" s="172"/>
      <c r="AJ281" s="172"/>
      <c r="BK281" s="172"/>
      <c r="BL281" s="172"/>
    </row>
    <row r="282" spans="23:64">
      <c r="BK282" s="172"/>
      <c r="BL282" s="172"/>
    </row>
    <row r="283" spans="23:64">
      <c r="BK283" s="172"/>
      <c r="BL283" s="172"/>
    </row>
    <row r="284" spans="23:64">
      <c r="BK284" s="172"/>
      <c r="BL284" s="172"/>
    </row>
    <row r="285" spans="23:64">
      <c r="BK285" s="172"/>
      <c r="BL285" s="172"/>
    </row>
    <row r="286" spans="23:64">
      <c r="BK286" s="172"/>
      <c r="BL286" s="172"/>
    </row>
    <row r="287" spans="23:64">
      <c r="BK287" s="172"/>
      <c r="BL287" s="172"/>
    </row>
    <row r="288" spans="23:64">
      <c r="BK288" s="172"/>
      <c r="BL288" s="172"/>
    </row>
    <row r="289" spans="63:64">
      <c r="BK289" s="172"/>
      <c r="BL289" s="172"/>
    </row>
    <row r="290" spans="63:64">
      <c r="BK290" s="172"/>
      <c r="BL290" s="172"/>
    </row>
    <row r="291" spans="63:64">
      <c r="BK291" s="172"/>
      <c r="BL291" s="172"/>
    </row>
    <row r="292" spans="63:64">
      <c r="BK292" s="172"/>
      <c r="BL292" s="172"/>
    </row>
    <row r="293" spans="63:64">
      <c r="BK293" s="172"/>
      <c r="BL293" s="172"/>
    </row>
    <row r="294" spans="63:64">
      <c r="BK294" s="172"/>
      <c r="BL294" s="172"/>
    </row>
    <row r="295" spans="63:64">
      <c r="BK295" s="172"/>
      <c r="BL295" s="172"/>
    </row>
    <row r="296" spans="63:64">
      <c r="BK296" s="172"/>
      <c r="BL296" s="172"/>
    </row>
    <row r="297" spans="63:64">
      <c r="BK297" s="172"/>
      <c r="BL297" s="172"/>
    </row>
    <row r="298" spans="63:64">
      <c r="BK298" s="172"/>
      <c r="BL298" s="172"/>
    </row>
    <row r="299" spans="63:64">
      <c r="BK299" s="172"/>
      <c r="BL299" s="172"/>
    </row>
    <row r="300" spans="63:64">
      <c r="BK300" s="172"/>
      <c r="BL300" s="172"/>
    </row>
    <row r="301" spans="63:64">
      <c r="BK301" s="172"/>
      <c r="BL301" s="172"/>
    </row>
    <row r="302" spans="63:64">
      <c r="BK302" s="172"/>
      <c r="BL302" s="172"/>
    </row>
    <row r="303" spans="63:64">
      <c r="BK303" s="172"/>
      <c r="BL303" s="172"/>
    </row>
    <row r="304" spans="63:64">
      <c r="BK304" s="172"/>
      <c r="BL304" s="172"/>
    </row>
    <row r="305" spans="63:64">
      <c r="BK305" s="172"/>
      <c r="BL305" s="172"/>
    </row>
    <row r="306" spans="63:64">
      <c r="BK306" s="172"/>
      <c r="BL306" s="172"/>
    </row>
    <row r="307" spans="63:64">
      <c r="BK307" s="172"/>
      <c r="BL307" s="172"/>
    </row>
    <row r="308" spans="63:64">
      <c r="BK308" s="172"/>
      <c r="BL308" s="172"/>
    </row>
    <row r="309" spans="63:64">
      <c r="BK309" s="172"/>
      <c r="BL309" s="172"/>
    </row>
    <row r="310" spans="63:64">
      <c r="BK310" s="172"/>
      <c r="BL310" s="172"/>
    </row>
    <row r="311" spans="63:64">
      <c r="BK311" s="172"/>
      <c r="BL311" s="172"/>
    </row>
    <row r="312" spans="63:64">
      <c r="BK312" s="172"/>
      <c r="BL312" s="172"/>
    </row>
    <row r="313" spans="63:64">
      <c r="BK313" s="172"/>
      <c r="BL313" s="172"/>
    </row>
    <row r="314" spans="63:64">
      <c r="BK314" s="172"/>
      <c r="BL314" s="172"/>
    </row>
    <row r="315" spans="63:64">
      <c r="BK315" s="172"/>
      <c r="BL315" s="172"/>
    </row>
    <row r="316" spans="63:64">
      <c r="BK316" s="172"/>
      <c r="BL316" s="172"/>
    </row>
    <row r="317" spans="63:64">
      <c r="BK317" s="172"/>
      <c r="BL317" s="172"/>
    </row>
    <row r="318" spans="63:64">
      <c r="BK318" s="172"/>
      <c r="BL318" s="172"/>
    </row>
    <row r="319" spans="63:64">
      <c r="BK319" s="172"/>
      <c r="BL319" s="172"/>
    </row>
    <row r="320" spans="63:64">
      <c r="BK320" s="172"/>
      <c r="BL320" s="172"/>
    </row>
    <row r="321" spans="63:64">
      <c r="BK321" s="172"/>
      <c r="BL321" s="172"/>
    </row>
    <row r="322" spans="63:64">
      <c r="BK322" s="172"/>
      <c r="BL322" s="172"/>
    </row>
    <row r="323" spans="63:64">
      <c r="BK323" s="172"/>
      <c r="BL323" s="172"/>
    </row>
    <row r="324" spans="63:64">
      <c r="BK324" s="172"/>
      <c r="BL324" s="172"/>
    </row>
    <row r="325" spans="63:64">
      <c r="BK325" s="172"/>
      <c r="BL325" s="172"/>
    </row>
    <row r="326" spans="63:64">
      <c r="BK326" s="172"/>
      <c r="BL326" s="172"/>
    </row>
    <row r="327" spans="63:64">
      <c r="BK327" s="172"/>
      <c r="BL327" s="172"/>
    </row>
    <row r="328" spans="63:64">
      <c r="BK328" s="172"/>
      <c r="BL328" s="172"/>
    </row>
    <row r="329" spans="63:64">
      <c r="BK329" s="172"/>
      <c r="BL329" s="172"/>
    </row>
    <row r="330" spans="63:64">
      <c r="BK330" s="172"/>
      <c r="BL330" s="172"/>
    </row>
    <row r="331" spans="63:64">
      <c r="BK331" s="172"/>
      <c r="BL331" s="172"/>
    </row>
    <row r="332" spans="63:64">
      <c r="BK332" s="172"/>
      <c r="BL332" s="172"/>
    </row>
    <row r="333" spans="63:64">
      <c r="BK333" s="172"/>
      <c r="BL333" s="172"/>
    </row>
    <row r="334" spans="63:64">
      <c r="BK334" s="172"/>
      <c r="BL334" s="172"/>
    </row>
    <row r="335" spans="63:64">
      <c r="BK335" s="172"/>
      <c r="BL335" s="172"/>
    </row>
    <row r="336" spans="63:64">
      <c r="BK336" s="172"/>
      <c r="BL336" s="172"/>
    </row>
    <row r="337" spans="63:64">
      <c r="BK337" s="172"/>
      <c r="BL337" s="172"/>
    </row>
    <row r="338" spans="63:64">
      <c r="BK338" s="172"/>
      <c r="BL338" s="172"/>
    </row>
    <row r="339" spans="63:64">
      <c r="BK339" s="172"/>
      <c r="BL339" s="172"/>
    </row>
    <row r="340" spans="63:64">
      <c r="BK340" s="172"/>
      <c r="BL340" s="172"/>
    </row>
    <row r="341" spans="63:64">
      <c r="BK341" s="172"/>
      <c r="BL341" s="172"/>
    </row>
    <row r="342" spans="63:64">
      <c r="BK342" s="172"/>
      <c r="BL342" s="172"/>
    </row>
    <row r="343" spans="63:64">
      <c r="BK343" s="172"/>
      <c r="BL343" s="172"/>
    </row>
    <row r="344" spans="63:64">
      <c r="BK344" s="172"/>
      <c r="BL344" s="172"/>
    </row>
    <row r="345" spans="63:64">
      <c r="BK345" s="172"/>
      <c r="BL345" s="172"/>
    </row>
    <row r="346" spans="63:64">
      <c r="BK346" s="172"/>
      <c r="BL346" s="172"/>
    </row>
    <row r="347" spans="63:64">
      <c r="BK347" s="172"/>
      <c r="BL347" s="172"/>
    </row>
    <row r="348" spans="63:64">
      <c r="BK348" s="172"/>
      <c r="BL348" s="172"/>
    </row>
    <row r="349" spans="63:64">
      <c r="BK349" s="172"/>
      <c r="BL349" s="172"/>
    </row>
    <row r="350" spans="63:64">
      <c r="BK350" s="172"/>
      <c r="BL350" s="172"/>
    </row>
    <row r="351" spans="63:64">
      <c r="BK351" s="172"/>
      <c r="BL351" s="172"/>
    </row>
    <row r="352" spans="63:64">
      <c r="BK352" s="172"/>
      <c r="BL352" s="172"/>
    </row>
    <row r="353" spans="63:64">
      <c r="BK353" s="172"/>
      <c r="BL353" s="172"/>
    </row>
    <row r="354" spans="63:64">
      <c r="BK354" s="172"/>
      <c r="BL354" s="172"/>
    </row>
    <row r="355" spans="63:64">
      <c r="BK355" s="172"/>
      <c r="BL355" s="172"/>
    </row>
    <row r="356" spans="63:64">
      <c r="BK356" s="172"/>
      <c r="BL356" s="172"/>
    </row>
    <row r="357" spans="63:64">
      <c r="BK357" s="172"/>
      <c r="BL357" s="172"/>
    </row>
    <row r="358" spans="63:64">
      <c r="BK358" s="172"/>
      <c r="BL358" s="172"/>
    </row>
    <row r="359" spans="63:64">
      <c r="BK359" s="172"/>
      <c r="BL359" s="172"/>
    </row>
    <row r="360" spans="63:64">
      <c r="BK360" s="172"/>
      <c r="BL360" s="172"/>
    </row>
    <row r="361" spans="63:64">
      <c r="BK361" s="172"/>
      <c r="BL361" s="172"/>
    </row>
    <row r="362" spans="63:64">
      <c r="BK362" s="172"/>
      <c r="BL362" s="172"/>
    </row>
    <row r="363" spans="63:64">
      <c r="BK363" s="172"/>
      <c r="BL363" s="172"/>
    </row>
    <row r="364" spans="63:64">
      <c r="BK364" s="172"/>
      <c r="BL364" s="172"/>
    </row>
    <row r="365" spans="63:64">
      <c r="BK365" s="172"/>
      <c r="BL365" s="172"/>
    </row>
    <row r="366" spans="63:64">
      <c r="BK366" s="172"/>
      <c r="BL366" s="172"/>
    </row>
    <row r="367" spans="63:64">
      <c r="BK367" s="172"/>
      <c r="BL367" s="172"/>
    </row>
    <row r="368" spans="63:64">
      <c r="BK368" s="172"/>
      <c r="BL368" s="172"/>
    </row>
    <row r="369" spans="63:64">
      <c r="BK369" s="172"/>
      <c r="BL369" s="172"/>
    </row>
    <row r="370" spans="63:64">
      <c r="BK370" s="172"/>
      <c r="BL370" s="172"/>
    </row>
    <row r="371" spans="63:64">
      <c r="BK371" s="172"/>
      <c r="BL371" s="172"/>
    </row>
    <row r="372" spans="63:64">
      <c r="BK372" s="172"/>
      <c r="BL372" s="172"/>
    </row>
    <row r="373" spans="63:64">
      <c r="BK373" s="172"/>
      <c r="BL373" s="172"/>
    </row>
    <row r="374" spans="63:64">
      <c r="BK374" s="172"/>
      <c r="BL374" s="172"/>
    </row>
    <row r="375" spans="63:64">
      <c r="BK375" s="172"/>
      <c r="BL375" s="172"/>
    </row>
    <row r="376" spans="63:64">
      <c r="BK376" s="172"/>
      <c r="BL376" s="172"/>
    </row>
    <row r="377" spans="63:64">
      <c r="BK377" s="172"/>
      <c r="BL377" s="172"/>
    </row>
    <row r="378" spans="63:64">
      <c r="BK378" s="172"/>
      <c r="BL378" s="172"/>
    </row>
    <row r="379" spans="63:64">
      <c r="BK379" s="172"/>
      <c r="BL379" s="172"/>
    </row>
    <row r="380" spans="63:64">
      <c r="BK380" s="172"/>
      <c r="BL380" s="172"/>
    </row>
    <row r="381" spans="63:64">
      <c r="BK381" s="172"/>
      <c r="BL381" s="172"/>
    </row>
    <row r="382" spans="63:64">
      <c r="BK382" s="172"/>
      <c r="BL382" s="172"/>
    </row>
    <row r="383" spans="63:64">
      <c r="BK383" s="172"/>
      <c r="BL383" s="172"/>
    </row>
    <row r="384" spans="63:64">
      <c r="BK384" s="172"/>
      <c r="BL384" s="172"/>
    </row>
    <row r="385" spans="63:64">
      <c r="BK385" s="172"/>
      <c r="BL385" s="172"/>
    </row>
    <row r="386" spans="63:64">
      <c r="BK386" s="172"/>
      <c r="BL386" s="172"/>
    </row>
    <row r="387" spans="63:64">
      <c r="BK387" s="172"/>
      <c r="BL387" s="172"/>
    </row>
    <row r="388" spans="63:64">
      <c r="BK388" s="172"/>
      <c r="BL388" s="172"/>
    </row>
    <row r="389" spans="63:64">
      <c r="BK389" s="172"/>
      <c r="BL389" s="172"/>
    </row>
    <row r="390" spans="63:64">
      <c r="BK390" s="172"/>
      <c r="BL390" s="172"/>
    </row>
    <row r="391" spans="63:64">
      <c r="BK391" s="172"/>
      <c r="BL391" s="172"/>
    </row>
    <row r="392" spans="63:64">
      <c r="BK392" s="172"/>
      <c r="BL392" s="172"/>
    </row>
    <row r="393" spans="63:64">
      <c r="BK393" s="172"/>
      <c r="BL393" s="172"/>
    </row>
    <row r="394" spans="63:64">
      <c r="BK394" s="172"/>
      <c r="BL394" s="172"/>
    </row>
    <row r="395" spans="63:64">
      <c r="BK395" s="172"/>
      <c r="BL395" s="172"/>
    </row>
    <row r="396" spans="63:64">
      <c r="BK396" s="172"/>
      <c r="BL396" s="172"/>
    </row>
    <row r="397" spans="63:64">
      <c r="BK397" s="172"/>
      <c r="BL397" s="172"/>
    </row>
    <row r="398" spans="63:64">
      <c r="BK398" s="172"/>
      <c r="BL398" s="172"/>
    </row>
    <row r="399" spans="63:64">
      <c r="BK399" s="172"/>
      <c r="BL399" s="172"/>
    </row>
    <row r="400" spans="63:64">
      <c r="BK400" s="172"/>
      <c r="BL400" s="172"/>
    </row>
    <row r="401" spans="63:64">
      <c r="BK401" s="172"/>
      <c r="BL401" s="172"/>
    </row>
    <row r="402" spans="63:64">
      <c r="BK402" s="172"/>
      <c r="BL402" s="172"/>
    </row>
    <row r="403" spans="63:64">
      <c r="BK403" s="172"/>
      <c r="BL403" s="172"/>
    </row>
    <row r="404" spans="63:64">
      <c r="BK404" s="172"/>
      <c r="BL404" s="172"/>
    </row>
    <row r="405" spans="63:64">
      <c r="BK405" s="172"/>
      <c r="BL405" s="172"/>
    </row>
    <row r="406" spans="63:64">
      <c r="BK406" s="172"/>
      <c r="BL406" s="172"/>
    </row>
    <row r="407" spans="63:64">
      <c r="BK407" s="172"/>
      <c r="BL407" s="172"/>
    </row>
    <row r="408" spans="63:64">
      <c r="BK408" s="172"/>
      <c r="BL408" s="172"/>
    </row>
    <row r="409" spans="63:64">
      <c r="BK409" s="172"/>
      <c r="BL409" s="172"/>
    </row>
    <row r="410" spans="63:64">
      <c r="BK410" s="172"/>
      <c r="BL410" s="172"/>
    </row>
    <row r="411" spans="63:64">
      <c r="BK411" s="172"/>
      <c r="BL411" s="172"/>
    </row>
    <row r="412" spans="63:64">
      <c r="BK412" s="172"/>
      <c r="BL412" s="172"/>
    </row>
    <row r="413" spans="63:64">
      <c r="BK413" s="172"/>
      <c r="BL413" s="172"/>
    </row>
    <row r="414" spans="63:64">
      <c r="BK414" s="172"/>
      <c r="BL414" s="172"/>
    </row>
    <row r="415" spans="63:64">
      <c r="BK415" s="172"/>
      <c r="BL415" s="172"/>
    </row>
    <row r="416" spans="63:64">
      <c r="BK416" s="172"/>
      <c r="BL416" s="172"/>
    </row>
    <row r="417" spans="63:64">
      <c r="BK417" s="172"/>
      <c r="BL417" s="172"/>
    </row>
    <row r="418" spans="63:64">
      <c r="BK418" s="172"/>
      <c r="BL418" s="172"/>
    </row>
    <row r="419" spans="63:64">
      <c r="BK419" s="172"/>
      <c r="BL419" s="172"/>
    </row>
    <row r="420" spans="63:64">
      <c r="BK420" s="172"/>
      <c r="BL420" s="172"/>
    </row>
    <row r="421" spans="63:64">
      <c r="BK421" s="172"/>
      <c r="BL421" s="172"/>
    </row>
    <row r="422" spans="63:64">
      <c r="BK422" s="172"/>
      <c r="BL422" s="172"/>
    </row>
    <row r="423" spans="63:64">
      <c r="BK423" s="172"/>
      <c r="BL423" s="172"/>
    </row>
    <row r="424" spans="63:64">
      <c r="BK424" s="172"/>
      <c r="BL424" s="172"/>
    </row>
    <row r="425" spans="63:64">
      <c r="BK425" s="172"/>
      <c r="BL425" s="172"/>
    </row>
    <row r="426" spans="63:64">
      <c r="BK426" s="172"/>
      <c r="BL426" s="172"/>
    </row>
    <row r="427" spans="63:64">
      <c r="BK427" s="172"/>
      <c r="BL427" s="172"/>
    </row>
    <row r="428" spans="63:64">
      <c r="BK428" s="172"/>
      <c r="BL428" s="172"/>
    </row>
    <row r="429" spans="63:64">
      <c r="BK429" s="172"/>
      <c r="BL429" s="172"/>
    </row>
    <row r="430" spans="63:64">
      <c r="BK430" s="172"/>
      <c r="BL430" s="172"/>
    </row>
    <row r="431" spans="63:64">
      <c r="BK431" s="172"/>
      <c r="BL431" s="172"/>
    </row>
    <row r="432" spans="63:64">
      <c r="BK432" s="172"/>
      <c r="BL432" s="172"/>
    </row>
    <row r="433" spans="63:64">
      <c r="BK433" s="172"/>
      <c r="BL433" s="172"/>
    </row>
    <row r="434" spans="63:64">
      <c r="BK434" s="172"/>
      <c r="BL434" s="172"/>
    </row>
    <row r="435" spans="63:64">
      <c r="BK435" s="172"/>
      <c r="BL435" s="172"/>
    </row>
    <row r="436" spans="63:64">
      <c r="BK436" s="172"/>
      <c r="BL436" s="172"/>
    </row>
    <row r="437" spans="63:64">
      <c r="BK437" s="172"/>
      <c r="BL437" s="172"/>
    </row>
    <row r="438" spans="63:64">
      <c r="BK438" s="172"/>
      <c r="BL438" s="172"/>
    </row>
    <row r="439" spans="63:64">
      <c r="BK439" s="172"/>
      <c r="BL439" s="172"/>
    </row>
    <row r="440" spans="63:64">
      <c r="BK440" s="172"/>
      <c r="BL440" s="172"/>
    </row>
    <row r="441" spans="63:64">
      <c r="BK441" s="172"/>
      <c r="BL441" s="172"/>
    </row>
    <row r="442" spans="63:64">
      <c r="BK442" s="172"/>
      <c r="BL442" s="172"/>
    </row>
    <row r="443" spans="63:64">
      <c r="BK443" s="172"/>
      <c r="BL443" s="172"/>
    </row>
    <row r="444" spans="63:64">
      <c r="BK444" s="172"/>
      <c r="BL444" s="172"/>
    </row>
    <row r="445" spans="63:64">
      <c r="BK445" s="172"/>
      <c r="BL445" s="172"/>
    </row>
    <row r="446" spans="63:64">
      <c r="BK446" s="172"/>
      <c r="BL446" s="172"/>
    </row>
    <row r="447" spans="63:64">
      <c r="BK447" s="172"/>
      <c r="BL447" s="172"/>
    </row>
    <row r="448" spans="63:64">
      <c r="BK448" s="172"/>
      <c r="BL448" s="172"/>
    </row>
    <row r="449" spans="63:64">
      <c r="BK449" s="172"/>
      <c r="BL449" s="172"/>
    </row>
    <row r="450" spans="63:64">
      <c r="BK450" s="172"/>
      <c r="BL450" s="172"/>
    </row>
    <row r="451" spans="63:64">
      <c r="BK451" s="172"/>
      <c r="BL451" s="172"/>
    </row>
    <row r="452" spans="63:64">
      <c r="BK452" s="172"/>
      <c r="BL452" s="172"/>
    </row>
    <row r="453" spans="63:64">
      <c r="BK453" s="172"/>
      <c r="BL453" s="172"/>
    </row>
    <row r="454" spans="63:64">
      <c r="BK454" s="172"/>
      <c r="BL454" s="172"/>
    </row>
    <row r="455" spans="63:64">
      <c r="BK455" s="172"/>
      <c r="BL455" s="172"/>
    </row>
    <row r="456" spans="63:64">
      <c r="BK456" s="172"/>
      <c r="BL456" s="172"/>
    </row>
    <row r="457" spans="63:64">
      <c r="BK457" s="172"/>
      <c r="BL457" s="172"/>
    </row>
    <row r="458" spans="63:64">
      <c r="BK458" s="172"/>
      <c r="BL458" s="172"/>
    </row>
    <row r="459" spans="63:64">
      <c r="BK459" s="172"/>
      <c r="BL459" s="172"/>
    </row>
    <row r="460" spans="63:64">
      <c r="BK460" s="172"/>
      <c r="BL460" s="172"/>
    </row>
    <row r="461" spans="63:64">
      <c r="BK461" s="172"/>
      <c r="BL461" s="172"/>
    </row>
    <row r="462" spans="63:64">
      <c r="BK462" s="172"/>
      <c r="BL462" s="172"/>
    </row>
    <row r="463" spans="63:64">
      <c r="BK463" s="172"/>
      <c r="BL463" s="172"/>
    </row>
    <row r="464" spans="63:64">
      <c r="BK464" s="172"/>
      <c r="BL464" s="172"/>
    </row>
    <row r="465" spans="63:64">
      <c r="BK465" s="172"/>
      <c r="BL465" s="172"/>
    </row>
    <row r="466" spans="63:64">
      <c r="BK466" s="172"/>
      <c r="BL466" s="172"/>
    </row>
    <row r="467" spans="63:64">
      <c r="BK467" s="172"/>
      <c r="BL467" s="172"/>
    </row>
    <row r="468" spans="63:64">
      <c r="BK468" s="172"/>
      <c r="BL468" s="172"/>
    </row>
    <row r="469" spans="63:64">
      <c r="BK469" s="172"/>
      <c r="BL469" s="172"/>
    </row>
    <row r="470" spans="63:64">
      <c r="BK470" s="172"/>
      <c r="BL470" s="172"/>
    </row>
    <row r="471" spans="63:64">
      <c r="BK471" s="172"/>
      <c r="BL471" s="172"/>
    </row>
    <row r="472" spans="63:64">
      <c r="BK472" s="172"/>
      <c r="BL472" s="172"/>
    </row>
    <row r="473" spans="63:64">
      <c r="BK473" s="172"/>
      <c r="BL473" s="172"/>
    </row>
    <row r="474" spans="63:64">
      <c r="BK474" s="172"/>
      <c r="BL474" s="172"/>
    </row>
    <row r="475" spans="63:64">
      <c r="BK475" s="172"/>
      <c r="BL475" s="172"/>
    </row>
    <row r="476" spans="63:64">
      <c r="BK476" s="172"/>
      <c r="BL476" s="172"/>
    </row>
    <row r="477" spans="63:64">
      <c r="BK477" s="172"/>
      <c r="BL477" s="172"/>
    </row>
    <row r="478" spans="63:64">
      <c r="BK478" s="172"/>
      <c r="BL478" s="172"/>
    </row>
    <row r="479" spans="63:64">
      <c r="BK479" s="172"/>
      <c r="BL479" s="172"/>
    </row>
    <row r="480" spans="63:64">
      <c r="BK480" s="172"/>
      <c r="BL480" s="172"/>
    </row>
    <row r="481" spans="63:64">
      <c r="BK481" s="172"/>
      <c r="BL481" s="172"/>
    </row>
    <row r="482" spans="63:64">
      <c r="BK482" s="172"/>
      <c r="BL482" s="172"/>
    </row>
    <row r="483" spans="63:64">
      <c r="BK483" s="172"/>
      <c r="BL483" s="172"/>
    </row>
    <row r="484" spans="63:64">
      <c r="BK484" s="172"/>
      <c r="BL484" s="172"/>
    </row>
    <row r="485" spans="63:64">
      <c r="BK485" s="172"/>
      <c r="BL485" s="172"/>
    </row>
    <row r="486" spans="63:64">
      <c r="BK486" s="172"/>
      <c r="BL486" s="172"/>
    </row>
    <row r="487" spans="63:64">
      <c r="BK487" s="172"/>
      <c r="BL487" s="172"/>
    </row>
    <row r="488" spans="63:64">
      <c r="BK488" s="172"/>
      <c r="BL488" s="172"/>
    </row>
    <row r="489" spans="63:64">
      <c r="BK489" s="172"/>
      <c r="BL489" s="172"/>
    </row>
    <row r="490" spans="63:64">
      <c r="BK490" s="172"/>
      <c r="BL490" s="172"/>
    </row>
    <row r="491" spans="63:64">
      <c r="BK491" s="172"/>
      <c r="BL491" s="172"/>
    </row>
    <row r="492" spans="63:64">
      <c r="BK492" s="172"/>
      <c r="BL492" s="172"/>
    </row>
    <row r="493" spans="63:64">
      <c r="BK493" s="172"/>
      <c r="BL493" s="172"/>
    </row>
    <row r="494" spans="63:64">
      <c r="BK494" s="172"/>
      <c r="BL494" s="172"/>
    </row>
    <row r="495" spans="63:64">
      <c r="BK495" s="172"/>
      <c r="BL495" s="172"/>
    </row>
    <row r="496" spans="63:64">
      <c r="BK496" s="172"/>
      <c r="BL496" s="172"/>
    </row>
    <row r="497" spans="63:64">
      <c r="BK497" s="172"/>
      <c r="BL497" s="172"/>
    </row>
    <row r="498" spans="63:64">
      <c r="BK498" s="172"/>
      <c r="BL498" s="172"/>
    </row>
    <row r="499" spans="63:64">
      <c r="BK499" s="172"/>
      <c r="BL499" s="172"/>
    </row>
    <row r="500" spans="63:64">
      <c r="BK500" s="172"/>
      <c r="BL500" s="172"/>
    </row>
    <row r="501" spans="63:64">
      <c r="BK501" s="172"/>
      <c r="BL501" s="172"/>
    </row>
    <row r="502" spans="63:64">
      <c r="BK502" s="172"/>
      <c r="BL502" s="172"/>
    </row>
    <row r="503" spans="63:64">
      <c r="BK503" s="172"/>
      <c r="BL503" s="172"/>
    </row>
    <row r="504" spans="63:64">
      <c r="BK504" s="172"/>
      <c r="BL504" s="172"/>
    </row>
    <row r="505" spans="63:64">
      <c r="BK505" s="172"/>
      <c r="BL505" s="172"/>
    </row>
    <row r="506" spans="63:64">
      <c r="BK506" s="172"/>
      <c r="BL506" s="172"/>
    </row>
    <row r="507" spans="63:64">
      <c r="BK507" s="172"/>
      <c r="BL507" s="172"/>
    </row>
    <row r="508" spans="63:64">
      <c r="BK508" s="172"/>
      <c r="BL508" s="172"/>
    </row>
    <row r="509" spans="63:64">
      <c r="BK509" s="172"/>
      <c r="BL509" s="172"/>
    </row>
    <row r="510" spans="63:64">
      <c r="BK510" s="172"/>
      <c r="BL510" s="172"/>
    </row>
    <row r="511" spans="63:64">
      <c r="BK511" s="172"/>
      <c r="BL511" s="172"/>
    </row>
    <row r="512" spans="63:64">
      <c r="BK512" s="172"/>
      <c r="BL512" s="172"/>
    </row>
    <row r="513" spans="63:64">
      <c r="BK513" s="172"/>
      <c r="BL513" s="172"/>
    </row>
    <row r="514" spans="63:64">
      <c r="BK514" s="172"/>
      <c r="BL514" s="172"/>
    </row>
    <row r="515" spans="63:64">
      <c r="BK515" s="172"/>
      <c r="BL515" s="172"/>
    </row>
    <row r="516" spans="63:64">
      <c r="BK516" s="172"/>
      <c r="BL516" s="172"/>
    </row>
    <row r="517" spans="63:64">
      <c r="BK517" s="172"/>
      <c r="BL517" s="172"/>
    </row>
    <row r="518" spans="63:64">
      <c r="BK518" s="172"/>
      <c r="BL518" s="172"/>
    </row>
    <row r="519" spans="63:64">
      <c r="BK519" s="172"/>
      <c r="BL519" s="172"/>
    </row>
    <row r="520" spans="63:64">
      <c r="BK520" s="172"/>
      <c r="BL520" s="172"/>
    </row>
    <row r="521" spans="63:64">
      <c r="BK521" s="172"/>
      <c r="BL521" s="172"/>
    </row>
    <row r="522" spans="63:64">
      <c r="BK522" s="172"/>
      <c r="BL522" s="172"/>
    </row>
    <row r="523" spans="63:64">
      <c r="BK523" s="172"/>
      <c r="BL523" s="172"/>
    </row>
    <row r="524" spans="63:64">
      <c r="BK524" s="172"/>
      <c r="BL524" s="172"/>
    </row>
    <row r="525" spans="63:64">
      <c r="BK525" s="172"/>
      <c r="BL525" s="172"/>
    </row>
    <row r="526" spans="63:64">
      <c r="BK526" s="172"/>
      <c r="BL526" s="172"/>
    </row>
    <row r="527" spans="63:64">
      <c r="BK527" s="172"/>
      <c r="BL527" s="172"/>
    </row>
    <row r="528" spans="63:64">
      <c r="BK528" s="172"/>
      <c r="BL528" s="172"/>
    </row>
    <row r="529" spans="63:64">
      <c r="BK529" s="172"/>
      <c r="BL529" s="172"/>
    </row>
    <row r="530" spans="63:64">
      <c r="BK530" s="172"/>
      <c r="BL530" s="172"/>
    </row>
    <row r="531" spans="63:64">
      <c r="BK531" s="172"/>
      <c r="BL531" s="172"/>
    </row>
    <row r="532" spans="63:64">
      <c r="BK532" s="172"/>
      <c r="BL532" s="172"/>
    </row>
    <row r="533" spans="63:64">
      <c r="BK533" s="172"/>
      <c r="BL533" s="172"/>
    </row>
    <row r="534" spans="63:64">
      <c r="BK534" s="172"/>
      <c r="BL534" s="172"/>
    </row>
    <row r="535" spans="63:64">
      <c r="BK535" s="172"/>
      <c r="BL535" s="172"/>
    </row>
    <row r="536" spans="63:64">
      <c r="BK536" s="172"/>
      <c r="BL536" s="172"/>
    </row>
    <row r="537" spans="63:64">
      <c r="BK537" s="172"/>
      <c r="BL537" s="172"/>
    </row>
    <row r="538" spans="63:64">
      <c r="BK538" s="172"/>
      <c r="BL538" s="172"/>
    </row>
    <row r="539" spans="63:64">
      <c r="BK539" s="172"/>
      <c r="BL539" s="172"/>
    </row>
    <row r="540" spans="63:64">
      <c r="BK540" s="172"/>
      <c r="BL540" s="172"/>
    </row>
    <row r="541" spans="63:64">
      <c r="BK541" s="172"/>
      <c r="BL541" s="172"/>
    </row>
    <row r="542" spans="63:64">
      <c r="BK542" s="172"/>
      <c r="BL542" s="172"/>
    </row>
    <row r="543" spans="63:64">
      <c r="BK543" s="172"/>
      <c r="BL543" s="172"/>
    </row>
    <row r="544" spans="63:64">
      <c r="BK544" s="172"/>
      <c r="BL544" s="172"/>
    </row>
    <row r="545" spans="63:64">
      <c r="BK545" s="172"/>
      <c r="BL545" s="172"/>
    </row>
    <row r="546" spans="63:64">
      <c r="BK546" s="172"/>
      <c r="BL546" s="172"/>
    </row>
    <row r="547" spans="63:64">
      <c r="BK547" s="172"/>
      <c r="BL547" s="172"/>
    </row>
    <row r="548" spans="63:64">
      <c r="BK548" s="172"/>
      <c r="BL548" s="172"/>
    </row>
    <row r="549" spans="63:64">
      <c r="BK549" s="172"/>
      <c r="BL549" s="172"/>
    </row>
    <row r="550" spans="63:64">
      <c r="BK550" s="172"/>
      <c r="BL550" s="172"/>
    </row>
    <row r="551" spans="63:64">
      <c r="BK551" s="172"/>
      <c r="BL551" s="172"/>
    </row>
    <row r="552" spans="63:64">
      <c r="BK552" s="172"/>
      <c r="BL552" s="172"/>
    </row>
    <row r="553" spans="63:64">
      <c r="BK553" s="172"/>
      <c r="BL553" s="172"/>
    </row>
    <row r="554" spans="63:64">
      <c r="BK554" s="172"/>
      <c r="BL554" s="172"/>
    </row>
    <row r="555" spans="63:64">
      <c r="BK555" s="172"/>
      <c r="BL555" s="172"/>
    </row>
    <row r="556" spans="63:64">
      <c r="BK556" s="172"/>
      <c r="BL556" s="172"/>
    </row>
    <row r="557" spans="63:64">
      <c r="BK557" s="172"/>
      <c r="BL557" s="172"/>
    </row>
    <row r="558" spans="63:64">
      <c r="BK558" s="172"/>
      <c r="BL558" s="172"/>
    </row>
    <row r="559" spans="63:64">
      <c r="BK559" s="172"/>
      <c r="BL559" s="172"/>
    </row>
    <row r="560" spans="63:64">
      <c r="BK560" s="172"/>
      <c r="BL560" s="172"/>
    </row>
    <row r="561" spans="63:64">
      <c r="BK561" s="172"/>
      <c r="BL561" s="172"/>
    </row>
    <row r="562" spans="63:64">
      <c r="BK562" s="172"/>
      <c r="BL562" s="172"/>
    </row>
    <row r="563" spans="63:64">
      <c r="BK563" s="172"/>
      <c r="BL563" s="172"/>
    </row>
    <row r="564" spans="63:64">
      <c r="BK564" s="172"/>
      <c r="BL564" s="172"/>
    </row>
    <row r="565" spans="63:64">
      <c r="BK565" s="172"/>
      <c r="BL565" s="172"/>
    </row>
    <row r="566" spans="63:64">
      <c r="BK566" s="172"/>
      <c r="BL566" s="172"/>
    </row>
    <row r="567" spans="63:64">
      <c r="BK567" s="172"/>
      <c r="BL567" s="172"/>
    </row>
    <row r="568" spans="63:64">
      <c r="BK568" s="172"/>
      <c r="BL568" s="172"/>
    </row>
    <row r="569" spans="63:64">
      <c r="BK569" s="172"/>
      <c r="BL569" s="172"/>
    </row>
    <row r="570" spans="63:64">
      <c r="BK570" s="172"/>
      <c r="BL570" s="172"/>
    </row>
    <row r="571" spans="63:64">
      <c r="BK571" s="172"/>
      <c r="BL571" s="172"/>
    </row>
    <row r="572" spans="63:64">
      <c r="BK572" s="172"/>
      <c r="BL572" s="172"/>
    </row>
    <row r="573" spans="63:64">
      <c r="BK573" s="172"/>
      <c r="BL573" s="172"/>
    </row>
    <row r="574" spans="63:64">
      <c r="BK574" s="172"/>
      <c r="BL574" s="172"/>
    </row>
    <row r="575" spans="63:64">
      <c r="BK575" s="172"/>
      <c r="BL575" s="172"/>
    </row>
    <row r="576" spans="63:64">
      <c r="BK576" s="172"/>
      <c r="BL576" s="172"/>
    </row>
    <row r="577" spans="63:64">
      <c r="BK577" s="172"/>
      <c r="BL577" s="172"/>
    </row>
    <row r="578" spans="63:64">
      <c r="BK578" s="172"/>
      <c r="BL578" s="172"/>
    </row>
    <row r="579" spans="63:64">
      <c r="BK579" s="172"/>
      <c r="BL579" s="172"/>
    </row>
    <row r="580" spans="63:64">
      <c r="BK580" s="172"/>
      <c r="BL580" s="172"/>
    </row>
    <row r="581" spans="63:64">
      <c r="BK581" s="172"/>
      <c r="BL581" s="172"/>
    </row>
    <row r="582" spans="63:64">
      <c r="BK582" s="172"/>
      <c r="BL582" s="172"/>
    </row>
    <row r="583" spans="63:64">
      <c r="BK583" s="172"/>
      <c r="BL583" s="172"/>
    </row>
    <row r="584" spans="63:64">
      <c r="BK584" s="172"/>
      <c r="BL584" s="172"/>
    </row>
    <row r="585" spans="63:64">
      <c r="BK585" s="172"/>
      <c r="BL585" s="172"/>
    </row>
    <row r="586" spans="63:64">
      <c r="BK586" s="172"/>
      <c r="BL586" s="172"/>
    </row>
    <row r="587" spans="63:64">
      <c r="BK587" s="172"/>
      <c r="BL587" s="172"/>
    </row>
    <row r="588" spans="63:64">
      <c r="BK588" s="172"/>
      <c r="BL588" s="172"/>
    </row>
    <row r="589" spans="63:64">
      <c r="BK589" s="172"/>
      <c r="BL589" s="172"/>
    </row>
    <row r="590" spans="63:64">
      <c r="BK590" s="172"/>
      <c r="BL590" s="172"/>
    </row>
    <row r="591" spans="63:64">
      <c r="BK591" s="172"/>
      <c r="BL591" s="172"/>
    </row>
    <row r="592" spans="63:64">
      <c r="BK592" s="172"/>
      <c r="BL592" s="172"/>
    </row>
    <row r="593" spans="63:64">
      <c r="BK593" s="172"/>
      <c r="BL593" s="172"/>
    </row>
    <row r="594" spans="63:64">
      <c r="BK594" s="172"/>
      <c r="BL594" s="172"/>
    </row>
    <row r="595" spans="63:64">
      <c r="BK595" s="172"/>
      <c r="BL595" s="172"/>
    </row>
    <row r="596" spans="63:64">
      <c r="BK596" s="172"/>
      <c r="BL596" s="172"/>
    </row>
    <row r="597" spans="63:64">
      <c r="BK597" s="172"/>
      <c r="BL597" s="172"/>
    </row>
    <row r="598" spans="63:64">
      <c r="BK598" s="172"/>
      <c r="BL598" s="172"/>
    </row>
    <row r="599" spans="63:64">
      <c r="BK599" s="172"/>
      <c r="BL599" s="172"/>
    </row>
    <row r="600" spans="63:64">
      <c r="BK600" s="172"/>
      <c r="BL600" s="172"/>
    </row>
    <row r="601" spans="63:64">
      <c r="BK601" s="172"/>
      <c r="BL601" s="172"/>
    </row>
    <row r="602" spans="63:64">
      <c r="BK602" s="172"/>
      <c r="BL602" s="172"/>
    </row>
    <row r="603" spans="63:64">
      <c r="BK603" s="172"/>
      <c r="BL603" s="172"/>
    </row>
    <row r="604" spans="63:64">
      <c r="BK604" s="172"/>
      <c r="BL604" s="172"/>
    </row>
    <row r="605" spans="63:64">
      <c r="BK605" s="172"/>
      <c r="BL605" s="172"/>
    </row>
    <row r="606" spans="63:64">
      <c r="BK606" s="172"/>
      <c r="BL606" s="172"/>
    </row>
    <row r="607" spans="63:64">
      <c r="BK607" s="172"/>
      <c r="BL607" s="172"/>
    </row>
    <row r="608" spans="63:64">
      <c r="BK608" s="172"/>
      <c r="BL608" s="172"/>
    </row>
    <row r="609" spans="63:64">
      <c r="BK609" s="172"/>
      <c r="BL609" s="172"/>
    </row>
    <row r="610" spans="63:64">
      <c r="BK610" s="172"/>
      <c r="BL610" s="172"/>
    </row>
    <row r="611" spans="63:64">
      <c r="BK611" s="172"/>
      <c r="BL611" s="172"/>
    </row>
    <row r="612" spans="63:64">
      <c r="BK612" s="172"/>
      <c r="BL612" s="172"/>
    </row>
    <row r="613" spans="63:64">
      <c r="BK613" s="172"/>
      <c r="BL613" s="172"/>
    </row>
    <row r="614" spans="63:64">
      <c r="BK614" s="172"/>
      <c r="BL614" s="172"/>
    </row>
    <row r="615" spans="63:64">
      <c r="BK615" s="172"/>
      <c r="BL615" s="172"/>
    </row>
    <row r="616" spans="63:64">
      <c r="BK616" s="172"/>
      <c r="BL616" s="172"/>
    </row>
    <row r="617" spans="63:64">
      <c r="BK617" s="172"/>
      <c r="BL617" s="172"/>
    </row>
    <row r="618" spans="63:64">
      <c r="BK618" s="172"/>
      <c r="BL618" s="172"/>
    </row>
    <row r="619" spans="63:64">
      <c r="BK619" s="172"/>
      <c r="BL619" s="172"/>
    </row>
    <row r="620" spans="63:64">
      <c r="BK620" s="172"/>
      <c r="BL620" s="172"/>
    </row>
    <row r="621" spans="63:64">
      <c r="BK621" s="172"/>
      <c r="BL621" s="172"/>
    </row>
    <row r="622" spans="63:64">
      <c r="BK622" s="172"/>
      <c r="BL622" s="172"/>
    </row>
    <row r="623" spans="63:64">
      <c r="BK623" s="172"/>
      <c r="BL623" s="172"/>
    </row>
    <row r="624" spans="63:64">
      <c r="BK624" s="172"/>
      <c r="BL624" s="172"/>
    </row>
    <row r="625" spans="63:64">
      <c r="BK625" s="172"/>
      <c r="BL625" s="172"/>
    </row>
    <row r="626" spans="63:64">
      <c r="BK626" s="172"/>
      <c r="BL626" s="172"/>
    </row>
    <row r="627" spans="63:64">
      <c r="BK627" s="172"/>
      <c r="BL627" s="172"/>
    </row>
    <row r="628" spans="63:64">
      <c r="BK628" s="172"/>
      <c r="BL628" s="172"/>
    </row>
    <row r="629" spans="63:64">
      <c r="BK629" s="172"/>
      <c r="BL629" s="172"/>
    </row>
    <row r="630" spans="63:64">
      <c r="BK630" s="172"/>
      <c r="BL630" s="172"/>
    </row>
    <row r="631" spans="63:64">
      <c r="BK631" s="172"/>
      <c r="BL631" s="172"/>
    </row>
    <row r="632" spans="63:64">
      <c r="BK632" s="172"/>
      <c r="BL632" s="172"/>
    </row>
    <row r="633" spans="63:64">
      <c r="BK633" s="172"/>
      <c r="BL633" s="172"/>
    </row>
    <row r="634" spans="63:64">
      <c r="BK634" s="172"/>
      <c r="BL634" s="172"/>
    </row>
    <row r="635" spans="63:64">
      <c r="BK635" s="172"/>
      <c r="BL635" s="172"/>
    </row>
    <row r="636" spans="63:64">
      <c r="BK636" s="172"/>
      <c r="BL636" s="172"/>
    </row>
    <row r="637" spans="63:64">
      <c r="BK637" s="172"/>
      <c r="BL637" s="172"/>
    </row>
    <row r="638" spans="63:64">
      <c r="BK638" s="172"/>
      <c r="BL638" s="172"/>
    </row>
    <row r="639" spans="63:64">
      <c r="BK639" s="172"/>
      <c r="BL639" s="172"/>
    </row>
    <row r="640" spans="63:64">
      <c r="BK640" s="172"/>
      <c r="BL640" s="172"/>
    </row>
    <row r="641" spans="63:64">
      <c r="BK641" s="172"/>
      <c r="BL641" s="172"/>
    </row>
    <row r="642" spans="63:64">
      <c r="BK642" s="172"/>
      <c r="BL642" s="172"/>
    </row>
    <row r="643" spans="63:64">
      <c r="BK643" s="172"/>
      <c r="BL643" s="172"/>
    </row>
    <row r="644" spans="63:64">
      <c r="BK644" s="172"/>
      <c r="BL644" s="172"/>
    </row>
    <row r="645" spans="63:64">
      <c r="BK645" s="172"/>
      <c r="BL645" s="172"/>
    </row>
    <row r="646" spans="63:64">
      <c r="BK646" s="172"/>
      <c r="BL646" s="172"/>
    </row>
    <row r="647" spans="63:64">
      <c r="BK647" s="172"/>
      <c r="BL647" s="172"/>
    </row>
    <row r="648" spans="63:64">
      <c r="BK648" s="172"/>
      <c r="BL648" s="172"/>
    </row>
    <row r="649" spans="63:64">
      <c r="BK649" s="172"/>
      <c r="BL649" s="172"/>
    </row>
    <row r="650" spans="63:64">
      <c r="BK650" s="172"/>
      <c r="BL650" s="172"/>
    </row>
    <row r="651" spans="63:64">
      <c r="BK651" s="172"/>
      <c r="BL651" s="172"/>
    </row>
    <row r="652" spans="63:64">
      <c r="BK652" s="172"/>
      <c r="BL652" s="172"/>
    </row>
    <row r="653" spans="63:64">
      <c r="BK653" s="172"/>
      <c r="BL653" s="172"/>
    </row>
    <row r="654" spans="63:64">
      <c r="BK654" s="172"/>
      <c r="BL654" s="172"/>
    </row>
    <row r="655" spans="63:64">
      <c r="BK655" s="172"/>
      <c r="BL655" s="172"/>
    </row>
    <row r="656" spans="63:64">
      <c r="BK656" s="172"/>
      <c r="BL656" s="172"/>
    </row>
    <row r="657" spans="63:64">
      <c r="BK657" s="172"/>
      <c r="BL657" s="172"/>
    </row>
    <row r="658" spans="63:64">
      <c r="BK658" s="172"/>
      <c r="BL658" s="172"/>
    </row>
    <row r="659" spans="63:64">
      <c r="BK659" s="172"/>
      <c r="BL659" s="172"/>
    </row>
    <row r="660" spans="63:64">
      <c r="BK660" s="172"/>
      <c r="BL660" s="172"/>
    </row>
    <row r="661" spans="63:64">
      <c r="BK661" s="172"/>
      <c r="BL661" s="172"/>
    </row>
    <row r="662" spans="63:64">
      <c r="BK662" s="172"/>
      <c r="BL662" s="172"/>
    </row>
    <row r="663" spans="63:64">
      <c r="BK663" s="172"/>
      <c r="BL663" s="172"/>
    </row>
    <row r="664" spans="63:64">
      <c r="BK664" s="172"/>
      <c r="BL664" s="172"/>
    </row>
    <row r="665" spans="63:64">
      <c r="BK665" s="172"/>
      <c r="BL665" s="172"/>
    </row>
    <row r="666" spans="63:64">
      <c r="BK666" s="172"/>
      <c r="BL666" s="172"/>
    </row>
    <row r="667" spans="63:64">
      <c r="BK667" s="172"/>
      <c r="BL667" s="172"/>
    </row>
    <row r="668" spans="63:64">
      <c r="BK668" s="172"/>
      <c r="BL668" s="172"/>
    </row>
    <row r="669" spans="63:64">
      <c r="BK669" s="172"/>
      <c r="BL669" s="172"/>
    </row>
    <row r="670" spans="63:64">
      <c r="BK670" s="172"/>
      <c r="BL670" s="172"/>
    </row>
    <row r="671" spans="63:64">
      <c r="BK671" s="172"/>
      <c r="BL671" s="172"/>
    </row>
    <row r="672" spans="63:64">
      <c r="BK672" s="172"/>
      <c r="BL672" s="172"/>
    </row>
    <row r="673" spans="63:64">
      <c r="BK673" s="172"/>
      <c r="BL673" s="172"/>
    </row>
    <row r="674" spans="63:64">
      <c r="BK674" s="172"/>
      <c r="BL674" s="172"/>
    </row>
    <row r="675" spans="63:64">
      <c r="BK675" s="172"/>
      <c r="BL675" s="172"/>
    </row>
    <row r="676" spans="63:64">
      <c r="BK676" s="172"/>
      <c r="BL676" s="172"/>
    </row>
    <row r="677" spans="63:64">
      <c r="BK677" s="172"/>
      <c r="BL677" s="172"/>
    </row>
    <row r="678" spans="63:64">
      <c r="BK678" s="172"/>
      <c r="BL678" s="172"/>
    </row>
    <row r="679" spans="63:64">
      <c r="BK679" s="172"/>
      <c r="BL679" s="172"/>
    </row>
    <row r="680" spans="63:64">
      <c r="BK680" s="172"/>
      <c r="BL680" s="172"/>
    </row>
    <row r="681" spans="63:64">
      <c r="BK681" s="172"/>
      <c r="BL681" s="172"/>
    </row>
    <row r="682" spans="63:64">
      <c r="BK682" s="172"/>
      <c r="BL682" s="172"/>
    </row>
    <row r="683" spans="63:64">
      <c r="BK683" s="172"/>
      <c r="BL683" s="172"/>
    </row>
    <row r="684" spans="63:64">
      <c r="BK684" s="172"/>
      <c r="BL684" s="172"/>
    </row>
    <row r="685" spans="63:64">
      <c r="BK685" s="172"/>
      <c r="BL685" s="172"/>
    </row>
    <row r="686" spans="63:64">
      <c r="BK686" s="172"/>
      <c r="BL686" s="172"/>
    </row>
    <row r="687" spans="63:64">
      <c r="BK687" s="172"/>
      <c r="BL687" s="172"/>
    </row>
    <row r="688" spans="63:64">
      <c r="BK688" s="172"/>
      <c r="BL688" s="172"/>
    </row>
    <row r="689" spans="63:64">
      <c r="BK689" s="172"/>
      <c r="BL689" s="172"/>
    </row>
    <row r="690" spans="63:64">
      <c r="BK690" s="172"/>
      <c r="BL690" s="172"/>
    </row>
    <row r="691" spans="63:64">
      <c r="BK691" s="172"/>
      <c r="BL691" s="172"/>
    </row>
    <row r="692" spans="63:64">
      <c r="BK692" s="172"/>
      <c r="BL692" s="172"/>
    </row>
    <row r="693" spans="63:64">
      <c r="BK693" s="172"/>
      <c r="BL693" s="172"/>
    </row>
    <row r="694" spans="63:64">
      <c r="BK694" s="172"/>
      <c r="BL694" s="172"/>
    </row>
    <row r="695" spans="63:64">
      <c r="BK695" s="172"/>
      <c r="BL695" s="172"/>
    </row>
    <row r="696" spans="63:64">
      <c r="BK696" s="172"/>
      <c r="BL696" s="172"/>
    </row>
    <row r="697" spans="63:64">
      <c r="BK697" s="172"/>
      <c r="BL697" s="172"/>
    </row>
    <row r="698" spans="63:64">
      <c r="BK698" s="172"/>
      <c r="BL698" s="172"/>
    </row>
    <row r="699" spans="63:64">
      <c r="BK699" s="172"/>
      <c r="BL699" s="172"/>
    </row>
    <row r="700" spans="63:64">
      <c r="BK700" s="172"/>
      <c r="BL700" s="172"/>
    </row>
    <row r="701" spans="63:64">
      <c r="BK701" s="172"/>
      <c r="BL701" s="172"/>
    </row>
    <row r="702" spans="63:64">
      <c r="BK702" s="172"/>
      <c r="BL702" s="172"/>
    </row>
    <row r="703" spans="63:64">
      <c r="BK703" s="172"/>
      <c r="BL703" s="172"/>
    </row>
    <row r="704" spans="63:64">
      <c r="BK704" s="172"/>
      <c r="BL704" s="172"/>
    </row>
    <row r="705" spans="63:64">
      <c r="BK705" s="172"/>
      <c r="BL705" s="172"/>
    </row>
    <row r="706" spans="63:64">
      <c r="BK706" s="172"/>
      <c r="BL706" s="172"/>
    </row>
    <row r="707" spans="63:64">
      <c r="BK707" s="172"/>
      <c r="BL707" s="172"/>
    </row>
    <row r="708" spans="63:64">
      <c r="BK708" s="172"/>
      <c r="BL708" s="172"/>
    </row>
    <row r="709" spans="63:64">
      <c r="BK709" s="172"/>
      <c r="BL709" s="172"/>
    </row>
    <row r="710" spans="63:64">
      <c r="BK710" s="172"/>
      <c r="BL710" s="172"/>
    </row>
    <row r="711" spans="63:64">
      <c r="BK711" s="172"/>
      <c r="BL711" s="172"/>
    </row>
    <row r="712" spans="63:64">
      <c r="BK712" s="172"/>
      <c r="BL712" s="172"/>
    </row>
    <row r="713" spans="63:64">
      <c r="BK713" s="172"/>
      <c r="BL713" s="172"/>
    </row>
    <row r="714" spans="63:64">
      <c r="BK714" s="172"/>
      <c r="BL714" s="172"/>
    </row>
    <row r="715" spans="63:64">
      <c r="BK715" s="172"/>
      <c r="BL715" s="172"/>
    </row>
    <row r="716" spans="63:64">
      <c r="BK716" s="172"/>
      <c r="BL716" s="172"/>
    </row>
    <row r="717" spans="63:64">
      <c r="BK717" s="172"/>
      <c r="BL717" s="172"/>
    </row>
    <row r="718" spans="63:64">
      <c r="BK718" s="172"/>
      <c r="BL718" s="172"/>
    </row>
    <row r="719" spans="63:64">
      <c r="BK719" s="172"/>
      <c r="BL719" s="172"/>
    </row>
    <row r="720" spans="63:64">
      <c r="BK720" s="172"/>
      <c r="BL720" s="172"/>
    </row>
    <row r="721" spans="63:64">
      <c r="BK721" s="172"/>
      <c r="BL721" s="172"/>
    </row>
    <row r="722" spans="63:64">
      <c r="BK722" s="172"/>
      <c r="BL722" s="172"/>
    </row>
    <row r="723" spans="63:64">
      <c r="BK723" s="172"/>
      <c r="BL723" s="172"/>
    </row>
    <row r="724" spans="63:64">
      <c r="BK724" s="172"/>
      <c r="BL724" s="172"/>
    </row>
    <row r="725" spans="63:64">
      <c r="BK725" s="172"/>
      <c r="BL725" s="172"/>
    </row>
    <row r="726" spans="63:64">
      <c r="BK726" s="172"/>
      <c r="BL726" s="172"/>
    </row>
    <row r="727" spans="63:64">
      <c r="BK727" s="172"/>
      <c r="BL727" s="172"/>
    </row>
    <row r="728" spans="63:64">
      <c r="BK728" s="172"/>
      <c r="BL728" s="172"/>
    </row>
    <row r="729" spans="63:64">
      <c r="BK729" s="172"/>
      <c r="BL729" s="172"/>
    </row>
    <row r="730" spans="63:64">
      <c r="BK730" s="172"/>
      <c r="BL730" s="172"/>
    </row>
    <row r="731" spans="63:64">
      <c r="BK731" s="172"/>
      <c r="BL731" s="172"/>
    </row>
    <row r="732" spans="63:64">
      <c r="BK732" s="172"/>
      <c r="BL732" s="172"/>
    </row>
    <row r="733" spans="63:64">
      <c r="BK733" s="172"/>
      <c r="BL733" s="172"/>
    </row>
    <row r="734" spans="63:64">
      <c r="BK734" s="172"/>
      <c r="BL734" s="172"/>
    </row>
    <row r="735" spans="63:64">
      <c r="BK735" s="172"/>
      <c r="BL735" s="172"/>
    </row>
    <row r="736" spans="63:64">
      <c r="BK736" s="172"/>
      <c r="BL736" s="172"/>
    </row>
    <row r="737" spans="63:64">
      <c r="BK737" s="172"/>
      <c r="BL737" s="172"/>
    </row>
    <row r="738" spans="63:64">
      <c r="BK738" s="172"/>
      <c r="BL738" s="172"/>
    </row>
    <row r="739" spans="63:64">
      <c r="BK739" s="172"/>
      <c r="BL739" s="172"/>
    </row>
    <row r="740" spans="63:64">
      <c r="BK740" s="172"/>
      <c r="BL740" s="172"/>
    </row>
    <row r="741" spans="63:64">
      <c r="BK741" s="172"/>
      <c r="BL741" s="172"/>
    </row>
    <row r="742" spans="63:64">
      <c r="BK742" s="172"/>
      <c r="BL742" s="172"/>
    </row>
    <row r="743" spans="63:64">
      <c r="BK743" s="172"/>
      <c r="BL743" s="172"/>
    </row>
    <row r="744" spans="63:64">
      <c r="BK744" s="172"/>
      <c r="BL744" s="172"/>
    </row>
    <row r="745" spans="63:64">
      <c r="BK745" s="172"/>
      <c r="BL745" s="172"/>
    </row>
    <row r="746" spans="63:64">
      <c r="BK746" s="172"/>
      <c r="BL746" s="172"/>
    </row>
    <row r="747" spans="63:64">
      <c r="BK747" s="172"/>
      <c r="BL747" s="172"/>
    </row>
    <row r="748" spans="63:64">
      <c r="BK748" s="172"/>
      <c r="BL748" s="172"/>
    </row>
    <row r="749" spans="63:64">
      <c r="BK749" s="172"/>
      <c r="BL749" s="172"/>
    </row>
    <row r="750" spans="63:64">
      <c r="BK750" s="172"/>
      <c r="BL750" s="172"/>
    </row>
    <row r="751" spans="63:64">
      <c r="BK751" s="172"/>
      <c r="BL751" s="172"/>
    </row>
    <row r="752" spans="63:64">
      <c r="BK752" s="172"/>
      <c r="BL752" s="172"/>
    </row>
    <row r="753" spans="63:64">
      <c r="BK753" s="172"/>
      <c r="BL753" s="172"/>
    </row>
    <row r="754" spans="63:64">
      <c r="BK754" s="172"/>
      <c r="BL754" s="172"/>
    </row>
    <row r="755" spans="63:64">
      <c r="BK755" s="172"/>
      <c r="BL755" s="172"/>
    </row>
    <row r="756" spans="63:64">
      <c r="BK756" s="172"/>
      <c r="BL756" s="172"/>
    </row>
    <row r="757" spans="63:64">
      <c r="BK757" s="172"/>
      <c r="BL757" s="172"/>
    </row>
    <row r="758" spans="63:64">
      <c r="BK758" s="172"/>
      <c r="BL758" s="172"/>
    </row>
    <row r="759" spans="63:64">
      <c r="BK759" s="172"/>
      <c r="BL759" s="172"/>
    </row>
    <row r="760" spans="63:64">
      <c r="BK760" s="172"/>
      <c r="BL760" s="172"/>
    </row>
    <row r="761" spans="63:64">
      <c r="BK761" s="172"/>
      <c r="BL761" s="172"/>
    </row>
    <row r="762" spans="63:64">
      <c r="BK762" s="172"/>
      <c r="BL762" s="172"/>
    </row>
    <row r="763" spans="63:64">
      <c r="BK763" s="172"/>
      <c r="BL763" s="172"/>
    </row>
    <row r="764" spans="63:64">
      <c r="BK764" s="172"/>
      <c r="BL764" s="172"/>
    </row>
    <row r="765" spans="63:64">
      <c r="BK765" s="172"/>
      <c r="BL765" s="172"/>
    </row>
    <row r="766" spans="63:64">
      <c r="BK766" s="172"/>
      <c r="BL766" s="172"/>
    </row>
    <row r="767" spans="63:64">
      <c r="BK767" s="172"/>
      <c r="BL767" s="172"/>
    </row>
    <row r="768" spans="63:64">
      <c r="BK768" s="172"/>
      <c r="BL768" s="172"/>
    </row>
    <row r="769" spans="63:64">
      <c r="BK769" s="172"/>
      <c r="BL769" s="172"/>
    </row>
    <row r="770" spans="63:64">
      <c r="BK770" s="172"/>
      <c r="BL770" s="172"/>
    </row>
    <row r="771" spans="63:64">
      <c r="BK771" s="172"/>
      <c r="BL771" s="172"/>
    </row>
    <row r="772" spans="63:64">
      <c r="BK772" s="172"/>
      <c r="BL772" s="172"/>
    </row>
    <row r="773" spans="63:64">
      <c r="BK773" s="172"/>
      <c r="BL773" s="172"/>
    </row>
    <row r="774" spans="63:64">
      <c r="BK774" s="172"/>
      <c r="BL774" s="172"/>
    </row>
    <row r="775" spans="63:64">
      <c r="BK775" s="172"/>
      <c r="BL775" s="172"/>
    </row>
    <row r="776" spans="63:64">
      <c r="BK776" s="172"/>
      <c r="BL776" s="172"/>
    </row>
    <row r="777" spans="63:64">
      <c r="BK777" s="172"/>
      <c r="BL777" s="172"/>
    </row>
    <row r="778" spans="63:64">
      <c r="BK778" s="172"/>
      <c r="BL778" s="172"/>
    </row>
    <row r="779" spans="63:64">
      <c r="BK779" s="172"/>
      <c r="BL779" s="172"/>
    </row>
    <row r="780" spans="63:64">
      <c r="BK780" s="172"/>
      <c r="BL780" s="172"/>
    </row>
    <row r="781" spans="63:64">
      <c r="BK781" s="172"/>
      <c r="BL781" s="172"/>
    </row>
    <row r="782" spans="63:64">
      <c r="BK782" s="172"/>
      <c r="BL782" s="172"/>
    </row>
    <row r="783" spans="63:64">
      <c r="BK783" s="172"/>
      <c r="BL783" s="172"/>
    </row>
    <row r="784" spans="63:64">
      <c r="BK784" s="172"/>
      <c r="BL784" s="172"/>
    </row>
    <row r="785" spans="63:64">
      <c r="BK785" s="172"/>
      <c r="BL785" s="172"/>
    </row>
    <row r="786" spans="63:64">
      <c r="BK786" s="172"/>
      <c r="BL786" s="172"/>
    </row>
    <row r="787" spans="63:64">
      <c r="BK787" s="172"/>
      <c r="BL787" s="172"/>
    </row>
    <row r="788" spans="63:64">
      <c r="BK788" s="172"/>
      <c r="BL788" s="172"/>
    </row>
    <row r="789" spans="63:64">
      <c r="BK789" s="172"/>
      <c r="BL789" s="172"/>
    </row>
    <row r="790" spans="63:64">
      <c r="BK790" s="172"/>
      <c r="BL790" s="172"/>
    </row>
    <row r="791" spans="63:64">
      <c r="BK791" s="172"/>
      <c r="BL791" s="172"/>
    </row>
    <row r="792" spans="63:64">
      <c r="BK792" s="172"/>
      <c r="BL792" s="172"/>
    </row>
    <row r="793" spans="63:64">
      <c r="BK793" s="172"/>
      <c r="BL793" s="172"/>
    </row>
    <row r="794" spans="63:64">
      <c r="BK794" s="172"/>
      <c r="BL794" s="172"/>
    </row>
    <row r="795" spans="63:64">
      <c r="BK795" s="172"/>
      <c r="BL795" s="172"/>
    </row>
    <row r="796" spans="63:64">
      <c r="BK796" s="172"/>
      <c r="BL796" s="172"/>
    </row>
    <row r="797" spans="63:64">
      <c r="BK797" s="172"/>
      <c r="BL797" s="172"/>
    </row>
    <row r="798" spans="63:64">
      <c r="BK798" s="172"/>
      <c r="BL798" s="172"/>
    </row>
    <row r="799" spans="63:64">
      <c r="BK799" s="172"/>
      <c r="BL799" s="172"/>
    </row>
    <row r="800" spans="63:64">
      <c r="BK800" s="172"/>
      <c r="BL800" s="172"/>
    </row>
    <row r="801" spans="63:64">
      <c r="BK801" s="172"/>
      <c r="BL801" s="172"/>
    </row>
    <row r="802" spans="63:64">
      <c r="BK802" s="172"/>
      <c r="BL802" s="172"/>
    </row>
    <row r="803" spans="63:64">
      <c r="BK803" s="172"/>
      <c r="BL803" s="172"/>
    </row>
    <row r="804" spans="63:64">
      <c r="BK804" s="172"/>
      <c r="BL804" s="172"/>
    </row>
    <row r="805" spans="63:64">
      <c r="BK805" s="172"/>
      <c r="BL805" s="172"/>
    </row>
    <row r="806" spans="63:64">
      <c r="BK806" s="172"/>
      <c r="BL806" s="172"/>
    </row>
    <row r="807" spans="63:64">
      <c r="BK807" s="172"/>
      <c r="BL807" s="172"/>
    </row>
    <row r="808" spans="63:64">
      <c r="BK808" s="172"/>
      <c r="BL808" s="172"/>
    </row>
    <row r="809" spans="63:64">
      <c r="BK809" s="172"/>
      <c r="BL809" s="172"/>
    </row>
    <row r="810" spans="63:64">
      <c r="BK810" s="172"/>
      <c r="BL810" s="172"/>
    </row>
    <row r="811" spans="63:64">
      <c r="BK811" s="172"/>
      <c r="BL811" s="172"/>
    </row>
    <row r="812" spans="63:64">
      <c r="BK812" s="172"/>
      <c r="BL812" s="172"/>
    </row>
    <row r="813" spans="63:64">
      <c r="BK813" s="172"/>
      <c r="BL813" s="172"/>
    </row>
    <row r="814" spans="63:64">
      <c r="BK814" s="172"/>
      <c r="BL814" s="172"/>
    </row>
    <row r="815" spans="63:64">
      <c r="BK815" s="172"/>
      <c r="BL815" s="172"/>
    </row>
    <row r="816" spans="63:64">
      <c r="BK816" s="172"/>
      <c r="BL816" s="172"/>
    </row>
    <row r="817" spans="63:64">
      <c r="BK817" s="172"/>
      <c r="BL817" s="172"/>
    </row>
    <row r="818" spans="63:64">
      <c r="BK818" s="172"/>
      <c r="BL818" s="172"/>
    </row>
    <row r="819" spans="63:64">
      <c r="BK819" s="172"/>
      <c r="BL819" s="172"/>
    </row>
    <row r="820" spans="63:64">
      <c r="BK820" s="172"/>
      <c r="BL820" s="172"/>
    </row>
    <row r="821" spans="63:64">
      <c r="BK821" s="172"/>
      <c r="BL821" s="172"/>
    </row>
    <row r="822" spans="63:64">
      <c r="BK822" s="172"/>
      <c r="BL822" s="172"/>
    </row>
    <row r="823" spans="63:64">
      <c r="BK823" s="172"/>
      <c r="BL823" s="172"/>
    </row>
    <row r="824" spans="63:64">
      <c r="BK824" s="172"/>
      <c r="BL824" s="172"/>
    </row>
    <row r="825" spans="63:64">
      <c r="BK825" s="172"/>
      <c r="BL825" s="172"/>
    </row>
    <row r="826" spans="63:64">
      <c r="BK826" s="172"/>
      <c r="BL826" s="172"/>
    </row>
    <row r="827" spans="63:64">
      <c r="BK827" s="172"/>
      <c r="BL827" s="172"/>
    </row>
    <row r="828" spans="63:64">
      <c r="BK828" s="172"/>
      <c r="BL828" s="172"/>
    </row>
    <row r="829" spans="63:64">
      <c r="BK829" s="172"/>
      <c r="BL829" s="172"/>
    </row>
    <row r="830" spans="63:64">
      <c r="BK830" s="172"/>
      <c r="BL830" s="172"/>
    </row>
    <row r="831" spans="63:64">
      <c r="BK831" s="172"/>
      <c r="BL831" s="172"/>
    </row>
    <row r="832" spans="63:64">
      <c r="BK832" s="172"/>
      <c r="BL832" s="172"/>
    </row>
    <row r="833" spans="63:64">
      <c r="BK833" s="172"/>
      <c r="BL833" s="172"/>
    </row>
    <row r="834" spans="63:64">
      <c r="BK834" s="172"/>
      <c r="BL834" s="172"/>
    </row>
    <row r="835" spans="63:64">
      <c r="BK835" s="172"/>
      <c r="BL835" s="172"/>
    </row>
  </sheetData>
  <mergeCells count="27">
    <mergeCell ref="BJ7:BK7"/>
    <mergeCell ref="BF7:BH7"/>
    <mergeCell ref="BB7:BD7"/>
    <mergeCell ref="AM7:AN7"/>
    <mergeCell ref="AO7:AP7"/>
    <mergeCell ref="AS7:AT7"/>
    <mergeCell ref="AU7:AV7"/>
    <mergeCell ref="AW7:AX7"/>
    <mergeCell ref="AY7:AZ7"/>
    <mergeCell ref="AK7:AL7"/>
    <mergeCell ref="O7:P7"/>
    <mergeCell ref="Q7:R7"/>
    <mergeCell ref="S7:T7"/>
    <mergeCell ref="U7:V7"/>
    <mergeCell ref="W7:X7"/>
    <mergeCell ref="Y7:Z7"/>
    <mergeCell ref="AA7:AB7"/>
    <mergeCell ref="AC7:AD7"/>
    <mergeCell ref="AE7:AF7"/>
    <mergeCell ref="AG7:AH7"/>
    <mergeCell ref="AI7:AJ7"/>
    <mergeCell ref="M7:N7"/>
    <mergeCell ref="C7:D7"/>
    <mergeCell ref="E7:F7"/>
    <mergeCell ref="G7:H7"/>
    <mergeCell ref="I7:J7"/>
    <mergeCell ref="K7:L7"/>
  </mergeCells>
  <conditionalFormatting sqref="BN32:FJ32">
    <cfRule type="cellIs" dxfId="7" priority="2" operator="greaterThan">
      <formula>100000</formula>
    </cfRule>
  </conditionalFormatting>
  <pageMargins left="0.75" right="0.75" top="1" bottom="1" header="0.5" footer="0.5"/>
  <pageSetup paperSize="8"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V124"/>
  <sheetViews>
    <sheetView showGridLines="0" zoomScaleNormal="100" workbookViewId="0">
      <pane xSplit="2" ySplit="8" topLeftCell="AE9" activePane="bottomRight" state="frozen"/>
      <selection activeCell="V13" sqref="V13"/>
      <selection pane="topRight" activeCell="V13" sqref="V13"/>
      <selection pane="bottomLeft" activeCell="V13" sqref="V13"/>
      <selection pane="bottomRight" activeCell="AL12" sqref="AL12"/>
    </sheetView>
  </sheetViews>
  <sheetFormatPr defaultRowHeight="15"/>
  <cols>
    <col min="1" max="1" width="91.140625" style="136" bestFit="1" customWidth="1"/>
    <col min="2" max="2" width="8.42578125" style="188" customWidth="1"/>
    <col min="3" max="3" width="13.28515625" style="314" bestFit="1" customWidth="1"/>
    <col min="4" max="4" width="17.5703125" style="314" bestFit="1" customWidth="1"/>
    <col min="5" max="5" width="13.85546875" style="136" customWidth="1"/>
    <col min="6" max="6" width="14.85546875" style="136" bestFit="1" customWidth="1"/>
    <col min="7" max="7" width="13.85546875" style="136" customWidth="1"/>
    <col min="8" max="8" width="14.85546875" style="136" bestFit="1" customWidth="1"/>
    <col min="9" max="9" width="13.42578125" style="136" bestFit="1" customWidth="1"/>
    <col min="10" max="10" width="16.42578125" style="136" bestFit="1" customWidth="1"/>
    <col min="11" max="11" width="13.42578125" style="136" bestFit="1" customWidth="1"/>
    <col min="12" max="12" width="15.28515625" style="136" bestFit="1" customWidth="1"/>
    <col min="13" max="13" width="13.42578125" style="136" bestFit="1" customWidth="1"/>
    <col min="14" max="14" width="15.28515625" style="136" bestFit="1" customWidth="1"/>
    <col min="15" max="15" width="13.42578125" style="136" bestFit="1" customWidth="1"/>
    <col min="16" max="16" width="15.28515625" style="136" bestFit="1" customWidth="1"/>
    <col min="17" max="17" width="13.42578125" style="136" bestFit="1" customWidth="1"/>
    <col min="18" max="18" width="15.85546875" style="136" bestFit="1" customWidth="1"/>
    <col min="19" max="19" width="13.42578125" style="136" bestFit="1" customWidth="1"/>
    <col min="20" max="20" width="15.28515625" style="136" bestFit="1" customWidth="1"/>
    <col min="21" max="21" width="13.42578125" style="136" bestFit="1" customWidth="1"/>
    <col min="22" max="22" width="17" style="136" bestFit="1" customWidth="1"/>
    <col min="23" max="23" width="13.42578125" style="136" bestFit="1" customWidth="1"/>
    <col min="24" max="24" width="17" style="136" bestFit="1" customWidth="1"/>
    <col min="25" max="25" width="13.28515625" style="136" customWidth="1"/>
    <col min="26" max="26" width="17.5703125" style="136" bestFit="1" customWidth="1"/>
    <col min="27" max="29" width="17.5703125" style="237" customWidth="1"/>
    <col min="30" max="30" width="20.42578125" style="237" customWidth="1"/>
    <col min="31" max="36" width="17.5703125" style="237" customWidth="1"/>
    <col min="37" max="38" width="21" style="237" customWidth="1"/>
    <col min="39" max="39" width="6.140625" style="136" customWidth="1"/>
    <col min="40" max="40" width="24.85546875" style="136" customWidth="1"/>
    <col min="41" max="41" width="13.28515625" style="136" customWidth="1"/>
    <col min="42" max="42" width="19.140625" style="136" bestFit="1" customWidth="1"/>
    <col min="43" max="45" width="9.140625" style="136"/>
    <col min="46" max="46" width="12.28515625" style="136" bestFit="1" customWidth="1"/>
    <col min="47" max="48" width="10.85546875" style="136" bestFit="1" customWidth="1"/>
    <col min="49" max="16384" width="9.140625" style="136"/>
  </cols>
  <sheetData>
    <row r="1" spans="1:43" s="172" customFormat="1">
      <c r="A1" s="136"/>
      <c r="B1" s="188"/>
      <c r="C1" s="314"/>
      <c r="D1" s="314"/>
      <c r="E1" s="136"/>
      <c r="F1" s="136"/>
      <c r="G1" s="136"/>
      <c r="H1" s="136"/>
      <c r="I1" s="136"/>
      <c r="J1" s="136"/>
      <c r="K1" s="136"/>
      <c r="L1" s="136"/>
      <c r="M1" s="136"/>
      <c r="N1" s="136"/>
      <c r="O1" s="136"/>
      <c r="P1" s="136"/>
      <c r="Q1" s="136"/>
      <c r="R1" s="136"/>
      <c r="S1" s="136"/>
      <c r="T1" s="136"/>
      <c r="U1" s="136"/>
      <c r="V1" s="136"/>
      <c r="W1" s="136"/>
      <c r="X1" s="136"/>
      <c r="Y1" s="136"/>
      <c r="Z1" s="136"/>
      <c r="AA1" s="237"/>
      <c r="AB1" s="237"/>
      <c r="AC1" s="237"/>
      <c r="AD1" s="237"/>
      <c r="AE1" s="237"/>
      <c r="AF1" s="237"/>
      <c r="AG1" s="237"/>
      <c r="AH1" s="237"/>
      <c r="AI1" s="237"/>
      <c r="AJ1" s="237"/>
      <c r="AK1" s="237"/>
      <c r="AL1" s="237"/>
    </row>
    <row r="2" spans="1:43" s="172" customFormat="1">
      <c r="A2" s="136"/>
      <c r="B2" s="188"/>
      <c r="C2" s="314"/>
      <c r="D2" s="314"/>
      <c r="E2" s="136"/>
      <c r="F2" s="136"/>
      <c r="G2" s="136"/>
      <c r="H2" s="136"/>
      <c r="I2" s="136"/>
      <c r="J2" s="136"/>
      <c r="K2" s="136"/>
      <c r="L2" s="136"/>
      <c r="M2" s="136"/>
      <c r="N2" s="136"/>
      <c r="O2" s="136"/>
      <c r="P2" s="136"/>
      <c r="Q2" s="136"/>
      <c r="R2" s="136"/>
      <c r="S2" s="136"/>
      <c r="T2" s="136"/>
      <c r="U2" s="136"/>
      <c r="V2" s="136"/>
      <c r="W2" s="136"/>
      <c r="X2" s="136"/>
      <c r="Y2" s="136"/>
      <c r="Z2" s="136"/>
      <c r="AA2" s="237"/>
      <c r="AB2" s="237"/>
      <c r="AC2" s="237"/>
      <c r="AD2" s="237"/>
      <c r="AE2" s="237"/>
      <c r="AF2" s="237"/>
      <c r="AG2" s="237"/>
      <c r="AH2" s="1153"/>
      <c r="AI2" s="1626"/>
      <c r="AK2" s="237"/>
      <c r="AL2" s="237"/>
    </row>
    <row r="3" spans="1:43" s="172" customFormat="1">
      <c r="A3" s="136"/>
      <c r="B3" s="188"/>
      <c r="C3" s="314"/>
      <c r="D3" s="314"/>
      <c r="E3" s="136"/>
      <c r="F3" s="136"/>
      <c r="G3" s="136"/>
      <c r="H3" s="136"/>
      <c r="I3" s="136"/>
      <c r="J3" s="136"/>
      <c r="K3" s="136"/>
      <c r="L3" s="136"/>
      <c r="M3" s="136"/>
      <c r="N3" s="136"/>
      <c r="O3" s="136"/>
      <c r="P3" s="136"/>
      <c r="Q3" s="136"/>
      <c r="R3" s="136"/>
      <c r="S3" s="136"/>
      <c r="T3" s="136"/>
      <c r="U3" s="136"/>
      <c r="V3" s="136"/>
      <c r="W3" s="136"/>
      <c r="X3" s="136"/>
      <c r="Y3" s="136"/>
      <c r="Z3" s="136"/>
      <c r="AA3" s="237"/>
      <c r="AB3" s="237"/>
      <c r="AC3" s="237"/>
      <c r="AD3" s="237"/>
      <c r="AE3" s="237"/>
      <c r="AF3" s="237"/>
      <c r="AG3" s="237"/>
      <c r="AH3" s="187"/>
      <c r="AI3" s="187"/>
      <c r="AK3" s="237"/>
      <c r="AL3" s="237"/>
    </row>
    <row r="4" spans="1:43" s="172" customFormat="1">
      <c r="A4" s="136"/>
      <c r="B4" s="188"/>
      <c r="C4" s="314"/>
      <c r="D4" s="314"/>
      <c r="E4" s="136"/>
      <c r="F4" s="136"/>
      <c r="G4" s="136"/>
      <c r="H4" s="136"/>
      <c r="I4" s="136"/>
      <c r="J4" s="136"/>
      <c r="K4" s="136"/>
      <c r="L4" s="136"/>
      <c r="M4" s="136"/>
      <c r="N4" s="136"/>
      <c r="O4" s="136"/>
      <c r="P4" s="136"/>
      <c r="Q4" s="136"/>
      <c r="R4" s="136"/>
      <c r="S4" s="136"/>
      <c r="T4" s="136"/>
      <c r="U4" s="237"/>
      <c r="V4" s="136"/>
      <c r="W4" s="136"/>
      <c r="X4" s="136"/>
      <c r="Y4" s="136"/>
      <c r="Z4" s="136"/>
      <c r="AA4" s="237"/>
      <c r="AB4" s="237"/>
      <c r="AC4" s="237"/>
      <c r="AD4" s="237"/>
      <c r="AE4" s="237"/>
      <c r="AF4" s="237"/>
      <c r="AG4" s="237"/>
      <c r="AH4" s="1152"/>
      <c r="AI4" s="187"/>
      <c r="AJ4" s="187"/>
      <c r="AK4" s="237"/>
      <c r="AL4" s="237"/>
    </row>
    <row r="5" spans="1:43" s="172" customFormat="1">
      <c r="A5" s="190" t="s">
        <v>743</v>
      </c>
      <c r="B5" s="191"/>
      <c r="C5" s="191"/>
      <c r="D5" s="191"/>
      <c r="U5" s="237"/>
      <c r="AH5" s="1180"/>
      <c r="AJ5" s="1626"/>
      <c r="AK5" s="237"/>
      <c r="AL5" s="237"/>
    </row>
    <row r="6" spans="1:43" s="172" customFormat="1">
      <c r="B6" s="191"/>
      <c r="C6" s="191"/>
      <c r="D6" s="191"/>
      <c r="AJ6" s="1650"/>
      <c r="AK6" s="237"/>
      <c r="AL6" s="237"/>
    </row>
    <row r="7" spans="1:43" s="172" customFormat="1">
      <c r="A7" s="192"/>
      <c r="B7" s="193"/>
      <c r="C7" s="1966">
        <v>2004</v>
      </c>
      <c r="D7" s="1966"/>
      <c r="E7" s="1966">
        <v>2005</v>
      </c>
      <c r="F7" s="1966"/>
      <c r="G7" s="1966">
        <v>2006</v>
      </c>
      <c r="H7" s="1966"/>
      <c r="I7" s="1966">
        <v>2007</v>
      </c>
      <c r="J7" s="1966"/>
      <c r="K7" s="1966">
        <v>2008</v>
      </c>
      <c r="L7" s="1966"/>
      <c r="M7" s="1966">
        <v>2009</v>
      </c>
      <c r="N7" s="1966"/>
      <c r="O7" s="1966">
        <v>2010</v>
      </c>
      <c r="P7" s="1966"/>
      <c r="Q7" s="1966">
        <v>2011</v>
      </c>
      <c r="R7" s="1966"/>
      <c r="S7" s="1966">
        <v>2012</v>
      </c>
      <c r="T7" s="1966"/>
      <c r="U7" s="1966">
        <v>2013</v>
      </c>
      <c r="V7" s="1966"/>
      <c r="W7" s="1966">
        <v>2014</v>
      </c>
      <c r="X7" s="1966"/>
      <c r="Y7" s="1966">
        <v>2015</v>
      </c>
      <c r="Z7" s="1966"/>
      <c r="AA7" s="1966">
        <v>2016</v>
      </c>
      <c r="AB7" s="1966"/>
      <c r="AC7" s="1966">
        <v>2017</v>
      </c>
      <c r="AD7" s="1966"/>
      <c r="AE7" s="1966">
        <v>2018</v>
      </c>
      <c r="AF7" s="1966"/>
      <c r="AG7" s="1966">
        <v>2019</v>
      </c>
      <c r="AH7" s="1966"/>
      <c r="AI7" s="1966">
        <v>2020</v>
      </c>
      <c r="AJ7" s="1966"/>
      <c r="AK7" s="1966" t="s">
        <v>92</v>
      </c>
      <c r="AL7" s="1966"/>
    </row>
    <row r="8" spans="1:43" s="172" customFormat="1">
      <c r="A8" s="192" t="s">
        <v>154</v>
      </c>
      <c r="B8" s="193" t="s">
        <v>155</v>
      </c>
      <c r="C8" s="1155" t="str">
        <f>CONCATENATE(C7, " Quantity")</f>
        <v>2004 Quantity</v>
      </c>
      <c r="D8" s="1155" t="str">
        <f>CONCATENATE(C7, " Value $")</f>
        <v>2004 Value $</v>
      </c>
      <c r="E8" s="1155" t="str">
        <f t="shared" ref="E8" si="0">CONCATENATE(E7, " Quantity")</f>
        <v>2005 Quantity</v>
      </c>
      <c r="F8" s="1155" t="str">
        <f t="shared" ref="F8" si="1">CONCATENATE(E7, " Value $")</f>
        <v>2005 Value $</v>
      </c>
      <c r="G8" s="1155" t="str">
        <f t="shared" ref="G8" si="2">CONCATENATE(G7, " Quantity")</f>
        <v>2006 Quantity</v>
      </c>
      <c r="H8" s="1155" t="str">
        <f t="shared" ref="H8" si="3">CONCATENATE(G7, " Value $")</f>
        <v>2006 Value $</v>
      </c>
      <c r="I8" s="1155" t="str">
        <f t="shared" ref="I8" si="4">CONCATENATE(I7, " Quantity")</f>
        <v>2007 Quantity</v>
      </c>
      <c r="J8" s="1155" t="str">
        <f t="shared" ref="J8" si="5">CONCATENATE(I7, " Value $")</f>
        <v>2007 Value $</v>
      </c>
      <c r="K8" s="1155" t="str">
        <f t="shared" ref="K8" si="6">CONCATENATE(K7, " Quantity")</f>
        <v>2008 Quantity</v>
      </c>
      <c r="L8" s="1155" t="str">
        <f t="shared" ref="L8" si="7">CONCATENATE(K7, " Value $")</f>
        <v>2008 Value $</v>
      </c>
      <c r="M8" s="1155" t="str">
        <f t="shared" ref="M8" si="8">CONCATENATE(M7, " Quantity")</f>
        <v>2009 Quantity</v>
      </c>
      <c r="N8" s="1155" t="str">
        <f t="shared" ref="N8" si="9">CONCATENATE(M7, " Value $")</f>
        <v>2009 Value $</v>
      </c>
      <c r="O8" s="1155" t="str">
        <f t="shared" ref="O8" si="10">CONCATENATE(O7, " Quantity")</f>
        <v>2010 Quantity</v>
      </c>
      <c r="P8" s="1155" t="str">
        <f t="shared" ref="P8" si="11">CONCATENATE(O7, " Value $")</f>
        <v>2010 Value $</v>
      </c>
      <c r="Q8" s="1155" t="str">
        <f t="shared" ref="Q8" si="12">CONCATENATE(Q7, " Quantity")</f>
        <v>2011 Quantity</v>
      </c>
      <c r="R8" s="1155" t="str">
        <f t="shared" ref="R8" si="13">CONCATENATE(Q7, " Value $")</f>
        <v>2011 Value $</v>
      </c>
      <c r="S8" s="1155" t="str">
        <f t="shared" ref="S8" si="14">CONCATENATE(S7, " Quantity")</f>
        <v>2012 Quantity</v>
      </c>
      <c r="T8" s="1155" t="str">
        <f t="shared" ref="T8" si="15">CONCATENATE(S7, " Value $")</f>
        <v>2012 Value $</v>
      </c>
      <c r="U8" s="1155" t="str">
        <f t="shared" ref="U8" si="16">CONCATENATE(U7, " Quantity")</f>
        <v>2013 Quantity</v>
      </c>
      <c r="V8" s="1155" t="str">
        <f t="shared" ref="V8" si="17">CONCATENATE(U7, " Value $")</f>
        <v>2013 Value $</v>
      </c>
      <c r="W8" s="1155" t="str">
        <f t="shared" ref="W8" si="18">CONCATENATE(W7, " Quantity")</f>
        <v>2014 Quantity</v>
      </c>
      <c r="X8" s="1155" t="str">
        <f t="shared" ref="X8" si="19">CONCATENATE(W7, " Value $")</f>
        <v>2014 Value $</v>
      </c>
      <c r="Y8" s="1155" t="str">
        <f t="shared" ref="Y8" si="20">CONCATENATE(Y7, " Quantity")</f>
        <v>2015 Quantity</v>
      </c>
      <c r="Z8" s="1155" t="str">
        <f t="shared" ref="Z8" si="21">CONCATENATE(Y7, " Value $")</f>
        <v>2015 Value $</v>
      </c>
      <c r="AA8" s="1155" t="str">
        <f t="shared" ref="AA8" si="22">CONCATENATE(AA7, " Quantity")</f>
        <v>2016 Quantity</v>
      </c>
      <c r="AB8" s="1155" t="str">
        <f t="shared" ref="AB8" si="23">CONCATENATE(AA7, " Value $")</f>
        <v>2016 Value $</v>
      </c>
      <c r="AC8" s="1155" t="str">
        <f t="shared" ref="AC8" si="24">CONCATENATE(AC7, " Quantity")</f>
        <v>2017 Quantity</v>
      </c>
      <c r="AD8" s="1155" t="str">
        <f t="shared" ref="AD8" si="25">CONCATENATE(AC7, " Value $")</f>
        <v>2017 Value $</v>
      </c>
      <c r="AE8" s="1155" t="str">
        <f t="shared" ref="AE8" si="26">CONCATENATE(AE7, " Quantity")</f>
        <v>2018 Quantity</v>
      </c>
      <c r="AF8" s="1155" t="str">
        <f t="shared" ref="AF8" si="27">CONCATENATE(AE7, " Value $")</f>
        <v>2018 Value $</v>
      </c>
      <c r="AG8" s="1155" t="str">
        <f t="shared" ref="AG8:AI8" si="28">CONCATENATE(AG7, " Quantity")</f>
        <v>2019 Quantity</v>
      </c>
      <c r="AH8" s="1155" t="str">
        <f t="shared" ref="AH8:AJ8" si="29">CONCATENATE(AG7, " Value $")</f>
        <v>2019 Value $</v>
      </c>
      <c r="AI8" s="1652" t="str">
        <f t="shared" si="28"/>
        <v>2020 Quantity</v>
      </c>
      <c r="AJ8" s="1652" t="str">
        <f t="shared" si="29"/>
        <v>2020 Value $</v>
      </c>
      <c r="AK8" s="1630" t="s">
        <v>735</v>
      </c>
      <c r="AL8" s="1630" t="s">
        <v>734</v>
      </c>
    </row>
    <row r="9" spans="1:43" s="172" customFormat="1" hidden="1">
      <c r="A9" s="192"/>
      <c r="B9" s="193"/>
      <c r="C9" s="1181">
        <f>IF(RIGHT(C8,8)="Quantity",1,0)</f>
        <v>1</v>
      </c>
      <c r="D9" s="1181">
        <f t="shared" ref="D9:AE9" si="30">IF(RIGHT(D8,8)="Quantity",1,0)</f>
        <v>0</v>
      </c>
      <c r="E9" s="1181">
        <f t="shared" si="30"/>
        <v>1</v>
      </c>
      <c r="F9" s="1181">
        <f t="shared" si="30"/>
        <v>0</v>
      </c>
      <c r="G9" s="1181">
        <f t="shared" si="30"/>
        <v>1</v>
      </c>
      <c r="H9" s="1181">
        <f t="shared" si="30"/>
        <v>0</v>
      </c>
      <c r="I9" s="1181">
        <f t="shared" si="30"/>
        <v>1</v>
      </c>
      <c r="J9" s="1181">
        <f t="shared" si="30"/>
        <v>0</v>
      </c>
      <c r="K9" s="1181">
        <f t="shared" si="30"/>
        <v>1</v>
      </c>
      <c r="L9" s="1181">
        <f t="shared" si="30"/>
        <v>0</v>
      </c>
      <c r="M9" s="1181">
        <f t="shared" si="30"/>
        <v>1</v>
      </c>
      <c r="N9" s="1181">
        <f t="shared" si="30"/>
        <v>0</v>
      </c>
      <c r="O9" s="1181">
        <f t="shared" si="30"/>
        <v>1</v>
      </c>
      <c r="P9" s="1181">
        <f t="shared" si="30"/>
        <v>0</v>
      </c>
      <c r="Q9" s="1181">
        <f t="shared" si="30"/>
        <v>1</v>
      </c>
      <c r="R9" s="1181">
        <f t="shared" si="30"/>
        <v>0</v>
      </c>
      <c r="S9" s="1181">
        <f t="shared" si="30"/>
        <v>1</v>
      </c>
      <c r="T9" s="1181">
        <f t="shared" si="30"/>
        <v>0</v>
      </c>
      <c r="U9" s="1181">
        <f t="shared" si="30"/>
        <v>1</v>
      </c>
      <c r="V9" s="1181">
        <f t="shared" si="30"/>
        <v>0</v>
      </c>
      <c r="W9" s="1181">
        <f t="shared" si="30"/>
        <v>1</v>
      </c>
      <c r="X9" s="1181">
        <f t="shared" si="30"/>
        <v>0</v>
      </c>
      <c r="Y9" s="1181">
        <f t="shared" si="30"/>
        <v>1</v>
      </c>
      <c r="Z9" s="1181">
        <f t="shared" si="30"/>
        <v>0</v>
      </c>
      <c r="AA9" s="1181">
        <f t="shared" si="30"/>
        <v>1</v>
      </c>
      <c r="AB9" s="1181">
        <f t="shared" si="30"/>
        <v>0</v>
      </c>
      <c r="AC9" s="1181">
        <f t="shared" si="30"/>
        <v>1</v>
      </c>
      <c r="AD9" s="1181">
        <f>IF(RIGHT(AD8,8)="Quantity",1,0)</f>
        <v>0</v>
      </c>
      <c r="AE9" s="1181">
        <f t="shared" si="30"/>
        <v>1</v>
      </c>
      <c r="AF9" s="1181">
        <f>IF(RIGHT(AF8,8)="Quantity",1,0)</f>
        <v>0</v>
      </c>
      <c r="AG9" s="1181">
        <f t="shared" ref="AG9:AI9" si="31">IF(RIGHT(AG8,8)="Quantity",1,0)</f>
        <v>1</v>
      </c>
      <c r="AH9" s="1941">
        <f>IF(RIGHT(AH8,8)="Quantity",1,0)</f>
        <v>0</v>
      </c>
      <c r="AI9" s="1941">
        <f t="shared" si="31"/>
        <v>1</v>
      </c>
      <c r="AJ9" s="1941">
        <f>IF(RIGHT(AJ8,8)="Quantity",1,0)</f>
        <v>0</v>
      </c>
      <c r="AK9" s="251"/>
      <c r="AL9" s="251"/>
    </row>
    <row r="10" spans="1:43" s="172" customFormat="1" hidden="1">
      <c r="A10" s="192"/>
      <c r="B10" s="192"/>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1"/>
      <c r="AI10" s="251"/>
      <c r="AJ10" s="251"/>
      <c r="AK10" s="251"/>
      <c r="AL10" s="251"/>
      <c r="AM10" s="231"/>
      <c r="AN10" s="189"/>
      <c r="AO10" s="189"/>
      <c r="AP10" s="189"/>
      <c r="AQ10" s="189"/>
    </row>
    <row r="11" spans="1:43" s="172" customFormat="1">
      <c r="A11" s="194" t="s">
        <v>468</v>
      </c>
      <c r="B11" s="197"/>
      <c r="C11" s="1187"/>
      <c r="D11" s="1187"/>
      <c r="E11" s="1187"/>
      <c r="F11" s="1187"/>
      <c r="G11" s="1187"/>
      <c r="H11" s="1187"/>
      <c r="I11" s="1187"/>
      <c r="J11" s="1187"/>
      <c r="K11" s="1187"/>
      <c r="L11" s="1187"/>
      <c r="M11" s="1187"/>
      <c r="N11" s="1187"/>
      <c r="O11" s="1187"/>
      <c r="P11" s="1187"/>
      <c r="Q11" s="1187"/>
      <c r="R11" s="1187"/>
      <c r="S11" s="1187"/>
      <c r="T11" s="1187"/>
      <c r="U11" s="1187"/>
      <c r="V11" s="1187"/>
      <c r="W11" s="1187"/>
      <c r="X11" s="1187"/>
      <c r="Y11" s="1187"/>
      <c r="Z11" s="1187"/>
      <c r="AA11" s="1187"/>
      <c r="AB11" s="1187"/>
      <c r="AC11" s="1187"/>
      <c r="AD11" s="1187"/>
      <c r="AE11" s="1187"/>
      <c r="AF11" s="1187"/>
      <c r="AG11" s="1187"/>
      <c r="AH11" s="1187"/>
      <c r="AI11" s="1187"/>
      <c r="AJ11" s="1187"/>
      <c r="AK11" s="1187"/>
      <c r="AL11" s="1187"/>
      <c r="AM11" s="242"/>
      <c r="AN11" s="1254"/>
      <c r="AO11" s="189"/>
      <c r="AP11" s="189"/>
      <c r="AQ11" s="189"/>
    </row>
    <row r="12" spans="1:43" s="172" customFormat="1">
      <c r="A12" s="222" t="s">
        <v>0</v>
      </c>
      <c r="B12" s="197" t="s">
        <v>87</v>
      </c>
      <c r="C12" s="284">
        <f>SUMIF('Alumina - Q&amp;V'!$H8:$H250,'CY Q&amp;V 2004 to Now'!C7,'Alumina - Q&amp;V'!$B8:$B250)*1000000</f>
        <v>10988386</v>
      </c>
      <c r="D12" s="284">
        <f>SUMIF('Alumina - Q&amp;V'!$H8:$H250,'CY Q&amp;V 2004 to Now'!C7,'Alumina - Q&amp;V'!$C8:$C250)*1000000</f>
        <v>3178952432.7800002</v>
      </c>
      <c r="E12" s="284">
        <f>SUMIF('Alumina - Q&amp;V'!$H8:$H250,'CY Q&amp;V 2004 to Now'!E7,'Alumina - Q&amp;V'!$B8:$B250)*1000000</f>
        <v>11352183</v>
      </c>
      <c r="F12" s="284">
        <f>SUMIF('Alumina - Q&amp;V'!$H8:$H250,'CY Q&amp;V 2004 to Now'!E7,'Alumina - Q&amp;V'!$C8:$C250)*1000000</f>
        <v>3594857487.9999995</v>
      </c>
      <c r="G12" s="284">
        <f>SUMIF('Alumina - Q&amp;V'!$H8:$H250,'CY Q&amp;V 2004 to Now'!G7,'Alumina - Q&amp;V'!$B8:$B250)*1000000</f>
        <v>11821747.75</v>
      </c>
      <c r="H12" s="284">
        <f>SUMIF('Alumina - Q&amp;V'!$H8:$H250,'CY Q&amp;V 2004 to Now'!G7,'Alumina - Q&amp;V'!$C8:$C250)*1000000</f>
        <v>4921721511.4200001</v>
      </c>
      <c r="I12" s="284">
        <f>SUMIF('Alumina - Q&amp;V'!$H8:$H250,'CY Q&amp;V 2004 to Now'!I7,'Alumina - Q&amp;V'!$B8:$B250)*1000000</f>
        <v>12193625.759000001</v>
      </c>
      <c r="J12" s="284">
        <f>SUMIF('Alumina - Q&amp;V'!$H8:$H250,'CY Q&amp;V 2004 to Now'!I7,'Alumina - Q&amp;V'!$C8:$C250)*1000000</f>
        <v>5048349872.8499994</v>
      </c>
      <c r="K12" s="284">
        <f>SUMIF('Alumina - Q&amp;V'!$H8:$H250,'CY Q&amp;V 2004 to Now'!K7,'Alumina - Q&amp;V'!$B8:$B250)*1000000</f>
        <v>12245763.095999999</v>
      </c>
      <c r="L12" s="284">
        <f>SUMIF('Alumina - Q&amp;V'!$H8:$H250,'CY Q&amp;V 2004 to Now'!K7,'Alumina - Q&amp;V'!$C8:$C250)*1000000</f>
        <v>4759510952.3999996</v>
      </c>
      <c r="M12" s="284">
        <f>SUMIF('Alumina - Q&amp;V'!$H8:$H250,'CY Q&amp;V 2004 to Now'!M7,'Alumina - Q&amp;V'!$B8:$B250)*1000000</f>
        <v>12421970</v>
      </c>
      <c r="N12" s="284">
        <f>SUMIF('Alumina - Q&amp;V'!$H8:$H250,'CY Q&amp;V 2004 to Now'!M7,'Alumina - Q&amp;V'!$C8:$C250)*1000000</f>
        <v>3800773509.1799998</v>
      </c>
      <c r="O12" s="284">
        <f>SUMIF('Alumina - Q&amp;V'!$H8:$H250,'CY Q&amp;V 2004 to Now'!O7,'Alumina - Q&amp;V'!$B8:$B250)*1000000</f>
        <v>12563285</v>
      </c>
      <c r="P12" s="284">
        <f>SUMIF('Alumina - Q&amp;V'!$H8:$H250,'CY Q&amp;V 2004 to Now'!O7,'Alumina - Q&amp;V'!$C8:$C250)*1000000</f>
        <v>3959414750.8300004</v>
      </c>
      <c r="Q12" s="284">
        <f>SUMIF('Alumina - Q&amp;V'!$H8:$H250,'CY Q&amp;V 2004 to Now'!Q7,'Alumina - Q&amp;V'!$B8:$B250)*1000000</f>
        <v>12291484</v>
      </c>
      <c r="R12" s="284">
        <f>SUMIF('Alumina - Q&amp;V'!$H8:$H250,'CY Q&amp;V 2004 to Now'!Q7,'Alumina - Q&amp;V'!$C8:$C250)*1000000</f>
        <v>4189465678.9399996</v>
      </c>
      <c r="S12" s="284">
        <f>SUMIF('Alumina - Q&amp;V'!$H8:$H250,'CY Q&amp;V 2004 to Now'!S7,'Alumina - Q&amp;V'!$B8:$B250)*1000000</f>
        <v>12811549.390000001</v>
      </c>
      <c r="T12" s="284">
        <f>SUMIF('Alumina - Q&amp;V'!$H8:$H250,'CY Q&amp;V 2004 to Now'!S7,'Alumina - Q&amp;V'!$C8:$C250)*1000000</f>
        <v>3831147472.8899999</v>
      </c>
      <c r="U12" s="284">
        <f>SUMIF('Alumina - Q&amp;V'!$H8:$H250,'CY Q&amp;V 2004 to Now'!U7,'Alumina - Q&amp;V'!$B8:$B250)*1000000</f>
        <v>13625703.529999999</v>
      </c>
      <c r="V12" s="284">
        <f>SUMIF('Alumina - Q&amp;V'!$H8:$H250,'CY Q&amp;V 2004 to Now'!U7,'Alumina - Q&amp;V'!$C8:$C250)*1000000</f>
        <v>4147050893.5</v>
      </c>
      <c r="W12" s="284">
        <f>SUMIF('Alumina - Q&amp;V'!$H8:$H250,'CY Q&amp;V 2004 to Now'!W7,'Alumina - Q&amp;V'!$B8:$B250)*1000000</f>
        <v>13876846.26</v>
      </c>
      <c r="X12" s="284">
        <f>SUMIF('Alumina - Q&amp;V'!$H8:$H250,'CY Q&amp;V 2004 to Now'!W7,'Alumina - Q&amp;V'!$C8:$C250)*1000000</f>
        <v>4561739159</v>
      </c>
      <c r="Y12" s="284">
        <v>13778494</v>
      </c>
      <c r="Z12" s="284">
        <v>5290382612</v>
      </c>
      <c r="AA12" s="284">
        <f>SUMIF('Alumina - Q&amp;V'!$H8:$H250,'CY Q&amp;V 2004 to Now'!AA7,'Alumina - Q&amp;V'!$B8:$B250)*1000000</f>
        <v>13829773.890000001</v>
      </c>
      <c r="AB12" s="1252">
        <f>SUMIF('Alumina - Q&amp;V'!$H8:$H250,'CY Q&amp;V 2004 to Now'!AA7,'Alumina - Q&amp;V'!$C8:$C250)*1000000</f>
        <v>4586657209.999999</v>
      </c>
      <c r="AC12" s="1252">
        <f>SUMIF('Alumina - Q&amp;V'!$H8:$H250,'CY Q&amp;V 2004 to Now'!AC7,'Alumina - Q&amp;V'!$B8:$B250)*1000000</f>
        <v>13847004.060000001</v>
      </c>
      <c r="AD12" s="1252">
        <f>SUMIF('Alumina - Q&amp;V'!$H8:$H250,'CY Q&amp;V 2004 to Now'!AC7,'Alumina - Q&amp;V'!$C8:$C250)*1000000</f>
        <v>5839897235</v>
      </c>
      <c r="AE12" s="1252">
        <f>SUMIF('Alumina - Q&amp;V'!$H8:$H250,'CY Q&amp;V 2004 to Now'!AE7,'Alumina - Q&amp;V'!$B8:$B250)*1000000</f>
        <v>13498431.120000001</v>
      </c>
      <c r="AF12" s="1252">
        <f>SUMIF('Alumina - Q&amp;V'!$H8:$H250,'CY Q&amp;V 2004 to Now'!AE7,'Alumina - Q&amp;V'!$C8:$C250)*1000000</f>
        <v>7868937611</v>
      </c>
      <c r="AG12" s="1252">
        <f>SUMIF('Alumina - Q&amp;V'!$H8:$H250,'CY Q&amp;V 2004 to Now'!AG7,'Alumina - Q&amp;V'!$B8:$B250)*1000000</f>
        <v>14014470.482999999</v>
      </c>
      <c r="AH12" s="1252">
        <f>SUMIF('Alumina - Q&amp;V'!$H8:$H250,'CY Q&amp;V 2004 to Now'!AG7,'Alumina - Q&amp;V'!$C8:$C250)*1000000</f>
        <v>7289104127.000001</v>
      </c>
      <c r="AI12" s="1252">
        <f>SUMIF('Alumina - Q&amp;V'!$H8:$H250,'CY Q&amp;V 2004 to Now'!AI7,'Alumina - Q&amp;V'!$B8:$B250)*1000000</f>
        <v>14242609.690000001</v>
      </c>
      <c r="AJ12" s="1252">
        <f>SUMIF('Alumina - Q&amp;V'!$H8:$H250,'CY Q&amp;V 2004 to Now'!AI7,'Alumina - Q&amp;V'!$C8:$C250)*1000000</f>
        <v>5788299192</v>
      </c>
      <c r="AK12" s="284">
        <f ca="1">SUMIF($C$9:AJ$10,1,$C12:AJ12)</f>
        <v>219403327.02800003</v>
      </c>
      <c r="AL12" s="284">
        <f ca="1">SUMIF($C$9:AJ$10,0,$C12:AJ12)</f>
        <v>82656261708.790009</v>
      </c>
      <c r="AM12" s="242"/>
      <c r="AN12" s="1627"/>
      <c r="AO12" s="189"/>
      <c r="AP12" s="189"/>
      <c r="AQ12" s="189"/>
    </row>
    <row r="13" spans="1:43" s="172" customFormat="1">
      <c r="A13" s="222" t="s">
        <v>551</v>
      </c>
      <c r="B13" s="197" t="s">
        <v>87</v>
      </c>
      <c r="C13" s="284">
        <f>SUMIF('Alumina - Q&amp;V'!$H8:$H250,'CY Q&amp;V 2004 to Now'!C7,'Alumina - Q&amp;V'!$D8:$D250)*1000000</f>
        <v>0</v>
      </c>
      <c r="D13" s="284">
        <f>SUMIF('Alumina - Q&amp;V'!$H8:$H250,'CY Q&amp;V 2004 to Now'!C7,'Alumina - Q&amp;V'!$E8:$E250)*1000000</f>
        <v>0</v>
      </c>
      <c r="E13" s="284">
        <f>SUMIF('Alumina - Q&amp;V'!$H8:$H250,'CY Q&amp;V 2004 to Now'!E7,'Alumina - Q&amp;V'!$D8:$D250)*1000000</f>
        <v>0</v>
      </c>
      <c r="F13" s="284">
        <f>SUMIF('Alumina - Q&amp;V'!$H8:$H250,'CY Q&amp;V 2004 to Now'!E7,'Alumina - Q&amp;V'!$E8:$E250)*1000000</f>
        <v>0</v>
      </c>
      <c r="G13" s="284">
        <f>SUMIF('Alumina - Q&amp;V'!$H8:$H250,'CY Q&amp;V 2004 to Now'!G7,'Alumina - Q&amp;V'!$D8:$D250)*1000000</f>
        <v>0</v>
      </c>
      <c r="H13" s="284">
        <f>SUMIF('Alumina - Q&amp;V'!$H8:$H250,'CY Q&amp;V 2004 to Now'!G7,'Alumina - Q&amp;V'!$E8:$E250)*1000000</f>
        <v>0</v>
      </c>
      <c r="I13" s="284">
        <f>SUMIF('Alumina - Q&amp;V'!$H8:$H250,'CY Q&amp;V 2004 to Now'!I7,'Alumina - Q&amp;V'!$D8:$D250)*1000000</f>
        <v>0</v>
      </c>
      <c r="J13" s="284">
        <f>SUMIF('Alumina - Q&amp;V'!$H8:$H250,'CY Q&amp;V 2004 to Now'!I7,'Alumina - Q&amp;V'!$E8:$E250)*1000000</f>
        <v>0</v>
      </c>
      <c r="K13" s="284">
        <f>SUMIF('Alumina - Q&amp;V'!$H8:$H250,'CY Q&amp;V 2004 to Now'!K7,'Alumina - Q&amp;V'!$D8:$D250)*1000000</f>
        <v>0</v>
      </c>
      <c r="L13" s="284">
        <f>SUMIF('Alumina - Q&amp;V'!$H8:$H250,'CY Q&amp;V 2004 to Now'!K7,'Alumina - Q&amp;V'!$E8:$E250)*1000000</f>
        <v>0</v>
      </c>
      <c r="M13" s="284">
        <f>SUMIF('Alumina - Q&amp;V'!$H8:$H250,'CY Q&amp;V 2004 to Now'!M7,'Alumina - Q&amp;V'!$D8:$D250)*1000000</f>
        <v>0</v>
      </c>
      <c r="N13" s="284">
        <f>SUMIF('Alumina - Q&amp;V'!$H8:$H250,'CY Q&amp;V 2004 to Now'!M7,'Alumina - Q&amp;V'!$E8:$E250)*1000000</f>
        <v>0</v>
      </c>
      <c r="O13" s="284">
        <f>SUMIF('Alumina - Q&amp;V'!$H8:$H250,'CY Q&amp;V 2004 to Now'!O7,'Alumina - Q&amp;V'!$D8:$D250)*1000000</f>
        <v>0</v>
      </c>
      <c r="P13" s="284">
        <f>SUMIF('Alumina - Q&amp;V'!$H8:$H250,'CY Q&amp;V 2004 to Now'!O7,'Alumina - Q&amp;V'!$E8:$E250)*1000000</f>
        <v>0</v>
      </c>
      <c r="Q13" s="284">
        <f>SUMIF('Alumina - Q&amp;V'!$H8:$H250,'CY Q&amp;V 2004 to Now'!Q7,'Alumina - Q&amp;V'!$D8:$D250)*1000000</f>
        <v>0</v>
      </c>
      <c r="R13" s="284">
        <f>SUMIF('Alumina - Q&amp;V'!$H8:$H250,'CY Q&amp;V 2004 to Now'!Q7,'Alumina - Q&amp;V'!$E8:$E250)*1000000</f>
        <v>0</v>
      </c>
      <c r="S13" s="284">
        <f>SUMIF('Alumina - Q&amp;V'!$H8:$H250,'CY Q&amp;V 2004 to Now'!S7,'Alumina - Q&amp;V'!$D8:$D250)*1000000</f>
        <v>0</v>
      </c>
      <c r="T13" s="284">
        <f>SUMIF('Alumina - Q&amp;V'!$H8:$H250,'CY Q&amp;V 2004 to Now'!S7,'Alumina - Q&amp;V'!$E8:$E250)*1000000</f>
        <v>0</v>
      </c>
      <c r="U13" s="284">
        <f>SUMIF('Alumina - Q&amp;V'!$H8:$H250,'CY Q&amp;V 2004 to Now'!U7,'Alumina - Q&amp;V'!$D8:$D250)*1000000</f>
        <v>0</v>
      </c>
      <c r="V13" s="284">
        <f>SUMIF('Alumina - Q&amp;V'!$H8:$H250,'CY Q&amp;V 2004 to Now'!U7,'Alumina - Q&amp;V'!$E8:$E250)*1000000</f>
        <v>0</v>
      </c>
      <c r="W13" s="284">
        <f>SUMIF('Alumina - Q&amp;V'!$H8:$H250,'CY Q&amp;V 2004 to Now'!W7,'Alumina - Q&amp;V'!$D8:$D250)*1000000</f>
        <v>0</v>
      </c>
      <c r="X13" s="284">
        <f>SUMIF('Alumina - Q&amp;V'!$H8:$H250,'CY Q&amp;V 2004 to Now'!W7,'Alumina - Q&amp;V'!$E8:$E250)*1000000</f>
        <v>0</v>
      </c>
      <c r="Y13" s="284">
        <f>SUMIF('Alumina - Q&amp;V'!$H8:$H250,'CY Q&amp;V 2004 to Now'!Y7,'Alumina - Q&amp;V'!$D8:$D250)*1000000</f>
        <v>0</v>
      </c>
      <c r="Z13" s="284">
        <f>SUMIF('Alumina - Q&amp;V'!$H8:$H250,'CY Q&amp;V 2004 to Now'!Y7,'Alumina - Q&amp;V'!$E8:$E250)*1000000</f>
        <v>0</v>
      </c>
      <c r="AA13" s="284">
        <f>SUMIF('Alumina - Q&amp;V'!$H8:$H250,'CY Q&amp;V 2004 to Now'!AA7,'Alumina - Q&amp;V'!$D8:$D250)*1000000</f>
        <v>92315.000000000015</v>
      </c>
      <c r="AB13" s="284">
        <f>SUMIF('Alumina - Q&amp;V'!$H8:$H250,'CY Q&amp;V 2004 to Now'!AA7,'Alumina - Q&amp;V'!$E8:$E250)*1000000</f>
        <v>3947034.9999999995</v>
      </c>
      <c r="AC13" s="284">
        <f>SUMIF('Alumina - Q&amp;V'!$H8:$H250,'CY Q&amp;V 2004 to Now'!AC7,'Alumina - Q&amp;V'!$D8:$D250)*1000000</f>
        <v>824002.39</v>
      </c>
      <c r="AD13" s="284">
        <f>SUMIF('Alumina - Q&amp;V'!$H8:$H250,'CY Q&amp;V 2004 to Now'!AC7,'Alumina - Q&amp;V'!$E8:$E250)*1000000</f>
        <v>38833832</v>
      </c>
      <c r="AE13" s="284">
        <f>SUMIF('Alumina - Q&amp;V'!$H8:$H250,'CY Q&amp;V 2004 to Now'!AE7,'Alumina - Q&amp;V'!$D8:$D250)*1000000</f>
        <v>1480962.68</v>
      </c>
      <c r="AF13" s="1255">
        <f>SUMIF('Alumina - Q&amp;V'!$H8:$H250,'CY Q&amp;V 2004 to Now'!AE7,'Alumina - Q&amp;V'!$E8:$E250)*1000000</f>
        <v>55917262.000000007</v>
      </c>
      <c r="AG13" s="284">
        <f>SUMIF('Alumina - Q&amp;V'!$H8:$H250,'CY Q&amp;V 2004 to Now'!AG7,'Alumina - Q&amp;V'!$D8:$D250)*1000000</f>
        <v>1866166.03</v>
      </c>
      <c r="AH13" s="284">
        <f>SUMIF('Alumina - Q&amp;V'!$H8:$H250,'CY Q&amp;V 2004 to Now'!AG7,'Alumina - Q&amp;V'!$E8:$E250)*1000000</f>
        <v>69905999.000000015</v>
      </c>
      <c r="AI13" s="284">
        <f>SUMIF('Alumina - Q&amp;V'!$H8:$H250,'CY Q&amp;V 2004 to Now'!AI7,'Alumina - Q&amp;V'!$D8:$D250)*1000000</f>
        <v>1955861.3</v>
      </c>
      <c r="AJ13" s="284">
        <f>SUMIF('Alumina - Q&amp;V'!$H8:$H250,'CY Q&amp;V 2004 to Now'!AI7,'Alumina - Q&amp;V'!$E8:$E250)*1000000</f>
        <v>67441130</v>
      </c>
      <c r="AK13" s="284">
        <f ca="1">SUMIF($C$9:AJ$10,1,$C13:AJ13)</f>
        <v>6219307.3999999994</v>
      </c>
      <c r="AL13" s="284">
        <f ca="1">SUMIF($C$9:AJ$10,0,$C13:AJ13)</f>
        <v>236045258</v>
      </c>
      <c r="AM13" s="242"/>
      <c r="AN13" s="1627"/>
      <c r="AO13" s="189"/>
      <c r="AP13" s="189"/>
      <c r="AQ13" s="189"/>
    </row>
    <row r="14" spans="1:43" s="172" customFormat="1">
      <c r="A14" s="220" t="s">
        <v>559</v>
      </c>
      <c r="B14" s="197"/>
      <c r="C14" s="1252">
        <f t="shared" ref="C14:AK14" si="32">SUM(C12:C13)</f>
        <v>10988386</v>
      </c>
      <c r="D14" s="1252">
        <f t="shared" si="32"/>
        <v>3178952432.7800002</v>
      </c>
      <c r="E14" s="1252">
        <f t="shared" si="32"/>
        <v>11352183</v>
      </c>
      <c r="F14" s="1252">
        <f t="shared" si="32"/>
        <v>3594857487.9999995</v>
      </c>
      <c r="G14" s="1252">
        <f t="shared" si="32"/>
        <v>11821747.75</v>
      </c>
      <c r="H14" s="1252">
        <f t="shared" si="32"/>
        <v>4921721511.4200001</v>
      </c>
      <c r="I14" s="1252">
        <f t="shared" si="32"/>
        <v>12193625.759000001</v>
      </c>
      <c r="J14" s="1252">
        <f t="shared" si="32"/>
        <v>5048349872.8499994</v>
      </c>
      <c r="K14" s="1252">
        <f t="shared" si="32"/>
        <v>12245763.095999999</v>
      </c>
      <c r="L14" s="1252">
        <f t="shared" si="32"/>
        <v>4759510952.3999996</v>
      </c>
      <c r="M14" s="1252">
        <f t="shared" si="32"/>
        <v>12421970</v>
      </c>
      <c r="N14" s="1252">
        <f t="shared" si="32"/>
        <v>3800773509.1799998</v>
      </c>
      <c r="O14" s="1252">
        <f t="shared" si="32"/>
        <v>12563285</v>
      </c>
      <c r="P14" s="1252">
        <f t="shared" si="32"/>
        <v>3959414750.8300004</v>
      </c>
      <c r="Q14" s="1252">
        <f t="shared" si="32"/>
        <v>12291484</v>
      </c>
      <c r="R14" s="1252">
        <f t="shared" si="32"/>
        <v>4189465678.9399996</v>
      </c>
      <c r="S14" s="1252">
        <f t="shared" si="32"/>
        <v>12811549.390000001</v>
      </c>
      <c r="T14" s="1252">
        <f t="shared" si="32"/>
        <v>3831147472.8899999</v>
      </c>
      <c r="U14" s="1252">
        <f t="shared" si="32"/>
        <v>13625703.529999999</v>
      </c>
      <c r="V14" s="1252">
        <f t="shared" si="32"/>
        <v>4147050893.5</v>
      </c>
      <c r="W14" s="1252">
        <f t="shared" si="32"/>
        <v>13876846.26</v>
      </c>
      <c r="X14" s="1252">
        <f t="shared" si="32"/>
        <v>4561739159</v>
      </c>
      <c r="Y14" s="1252">
        <f t="shared" si="32"/>
        <v>13778494</v>
      </c>
      <c r="Z14" s="1252">
        <f t="shared" si="32"/>
        <v>5290382612</v>
      </c>
      <c r="AA14" s="1252">
        <f t="shared" si="32"/>
        <v>13922088.890000001</v>
      </c>
      <c r="AB14" s="1252">
        <f t="shared" si="32"/>
        <v>4590604244.999999</v>
      </c>
      <c r="AC14" s="1252">
        <f t="shared" si="32"/>
        <v>14671006.450000001</v>
      </c>
      <c r="AD14" s="1252">
        <f t="shared" si="32"/>
        <v>5878731067</v>
      </c>
      <c r="AE14" s="1252">
        <f t="shared" si="32"/>
        <v>14979393.800000001</v>
      </c>
      <c r="AF14" s="1252">
        <f t="shared" si="32"/>
        <v>7924854873</v>
      </c>
      <c r="AG14" s="1252">
        <f t="shared" si="32"/>
        <v>15880636.512999998</v>
      </c>
      <c r="AH14" s="1252">
        <f t="shared" si="32"/>
        <v>7359010126.000001</v>
      </c>
      <c r="AI14" s="1252">
        <f t="shared" ref="AI14:AJ14" si="33">SUM(AI12:AI13)</f>
        <v>16198470.990000002</v>
      </c>
      <c r="AJ14" s="1252">
        <f t="shared" si="33"/>
        <v>5855740322</v>
      </c>
      <c r="AK14" s="1252">
        <f t="shared" ca="1" si="32"/>
        <v>225622634.42800003</v>
      </c>
      <c r="AL14" s="284">
        <f ca="1">SUMIF($C$9:AJ$10,0,$C14:AJ14)</f>
        <v>82892306966.790009</v>
      </c>
      <c r="AM14" s="242"/>
      <c r="AN14" s="1254"/>
      <c r="AO14" s="189"/>
      <c r="AP14" s="189"/>
      <c r="AQ14" s="189"/>
    </row>
    <row r="15" spans="1:43" s="172" customFormat="1">
      <c r="A15" s="199"/>
      <c r="B15" s="377"/>
      <c r="C15" s="1253"/>
      <c r="D15" s="1253"/>
      <c r="E15" s="281"/>
      <c r="F15" s="281"/>
      <c r="G15" s="281"/>
      <c r="H15" s="281"/>
      <c r="I15" s="1253"/>
      <c r="J15" s="1253"/>
      <c r="K15" s="281"/>
      <c r="L15" s="281"/>
      <c r="M15" s="281"/>
      <c r="N15" s="281"/>
      <c r="O15" s="281"/>
      <c r="P15" s="281"/>
      <c r="Q15" s="281"/>
      <c r="R15" s="281"/>
      <c r="S15" s="281"/>
      <c r="T15" s="281"/>
      <c r="U15" s="281"/>
      <c r="V15" s="281"/>
      <c r="W15" s="281"/>
      <c r="X15" s="281"/>
      <c r="Y15" s="281"/>
      <c r="Z15" s="281"/>
      <c r="AA15" s="281"/>
      <c r="AB15" s="1256"/>
      <c r="AC15" s="1256"/>
      <c r="AD15" s="1256"/>
      <c r="AE15" s="1256"/>
      <c r="AF15" s="1256"/>
      <c r="AG15" s="1256"/>
      <c r="AH15" s="1256"/>
      <c r="AI15" s="1256"/>
      <c r="AJ15" s="1256"/>
      <c r="AK15" s="281"/>
      <c r="AL15" s="281"/>
      <c r="AM15" s="1257"/>
      <c r="AN15" s="1254"/>
      <c r="AO15" s="189"/>
      <c r="AP15" s="189"/>
      <c r="AQ15" s="189"/>
    </row>
    <row r="16" spans="1:43" s="172" customFormat="1">
      <c r="A16" s="204" t="s">
        <v>172</v>
      </c>
      <c r="B16" s="244"/>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1256"/>
      <c r="AC16" s="1256"/>
      <c r="AD16" s="1256"/>
      <c r="AE16" s="1256"/>
      <c r="AF16" s="1256"/>
      <c r="AG16" s="1256"/>
      <c r="AH16" s="1256"/>
      <c r="AI16" s="1256"/>
      <c r="AJ16" s="1256"/>
      <c r="AK16" s="281"/>
      <c r="AL16" s="281"/>
      <c r="AM16" s="1257"/>
      <c r="AN16" s="1254"/>
      <c r="AO16" s="189"/>
      <c r="AP16" s="189"/>
      <c r="AQ16" s="189"/>
    </row>
    <row r="17" spans="1:48" s="172" customFormat="1">
      <c r="A17" s="206" t="s">
        <v>290</v>
      </c>
      <c r="B17" s="201" t="s">
        <v>87</v>
      </c>
      <c r="C17" s="281">
        <f>SUMIF('Base Metals - Q&amp;V'!$H8:$H250,'CY Q&amp;V 2004 to Now'!C7,'Base Metals - Q&amp;V'!$B8:$B250)*1000</f>
        <v>42260.094000000005</v>
      </c>
      <c r="D17" s="281">
        <f>SUMIF('Base Metals - Q&amp;V'!$H8:$H250,'CY Q&amp;V 2004 to Now'!C7,'Base Metals - Q&amp;V'!$C8:$C250)*1000000</f>
        <v>168134375.94999999</v>
      </c>
      <c r="E17" s="281">
        <f>SUMIF('Base Metals - Q&amp;V'!$H8:$H250,'CY Q&amp;V 2004 to Now'!E7,'Base Metals - Q&amp;V'!$B8:$B250)*1000</f>
        <v>85220.481</v>
      </c>
      <c r="F17" s="281">
        <f>SUMIF('Base Metals - Q&amp;V'!$H8:$H250,'CY Q&amp;V 2004 to Now'!E7,'Base Metals - Q&amp;V'!$C8:$C250)*1000000</f>
        <v>471208395.87999994</v>
      </c>
      <c r="G17" s="281">
        <f>SUMIF('Base Metals - Q&amp;V'!$H8:$H250,'CY Q&amp;V 2004 to Now'!G7,'Base Metals - Q&amp;V'!$B8:$B250)*1000</f>
        <v>99242.47099999999</v>
      </c>
      <c r="H17" s="281">
        <f>SUMIF('Base Metals - Q&amp;V'!$H8:$H250,'CY Q&amp;V 2004 to Now'!G7,'Base Metals - Q&amp;V'!$C8:$C250)*1000000</f>
        <v>865000194.02999985</v>
      </c>
      <c r="I17" s="281">
        <f>SUMIF('Base Metals - Q&amp;V'!$H8:$H250,'CY Q&amp;V 2004 to Now'!I7,'Base Metals - Q&amp;V'!$B8:$B250)*1000</f>
        <v>105404.98599999999</v>
      </c>
      <c r="J17" s="281">
        <f>SUMIF('Base Metals - Q&amp;V'!$H8:$H250,'CY Q&amp;V 2004 to Now'!I7,'Base Metals - Q&amp;V'!$C8:$C250)*1000000</f>
        <v>885582785.29999995</v>
      </c>
      <c r="K17" s="281">
        <f>SUMIF('Base Metals - Q&amp;V'!$H8:$H250,'CY Q&amp;V 2004 to Now'!K7,'Base Metals - Q&amp;V'!$B8:$B250)*1000</f>
        <v>119055.948</v>
      </c>
      <c r="L17" s="281">
        <f>SUMIF('Base Metals - Q&amp;V'!$H8:$H250,'CY Q&amp;V 2004 to Now'!K7,'Base Metals - Q&amp;V'!$C8:$C250)*1000000</f>
        <v>832515153.68000007</v>
      </c>
      <c r="M17" s="281">
        <f>SUMIF('Base Metals - Q&amp;V'!$H8:$H250,'CY Q&amp;V 2004 to Now'!M7,'Base Metals - Q&amp;V'!$B8:$B250)*1000</f>
        <v>151496.43399999998</v>
      </c>
      <c r="N17" s="281">
        <f>SUMIF('Base Metals - Q&amp;V'!$H8:$H250,'CY Q&amp;V 2004 to Now'!M7,'Base Metals - Q&amp;V'!$C8:$C250)*1000000</f>
        <v>933123284.94000006</v>
      </c>
      <c r="O17" s="281">
        <f>SUMIF('Base Metals - Q&amp;V'!$H8:$H250,'CY Q&amp;V 2004 to Now'!O7,'Base Metals - Q&amp;V'!$B8:$B250)*1000</f>
        <v>155650.68099999998</v>
      </c>
      <c r="P17" s="281">
        <f>SUMIF('Base Metals - Q&amp;V'!$H8:$H250,'CY Q&amp;V 2004 to Now'!O7,'Base Metals - Q&amp;V'!$C8:$C250)*1000000</f>
        <v>1302148086.0799999</v>
      </c>
      <c r="Q17" s="281">
        <f>SUMIF('Base Metals - Q&amp;V'!$H8:$H250,'CY Q&amp;V 2004 to Now'!Q7,'Base Metals - Q&amp;V'!$B8:$B250)*1000</f>
        <v>144958.04783199998</v>
      </c>
      <c r="R17" s="281">
        <f>SUMIF('Base Metals - Q&amp;V'!$H8:$H250,'CY Q&amp;V 2004 to Now'!Q7,'Base Metals - Q&amp;V'!$C8:$C250)*1000000</f>
        <v>1195223608.26</v>
      </c>
      <c r="S17" s="281">
        <f>SUMIF('Base Metals - Q&amp;V'!$H8:$H250,'CY Q&amp;V 2004 to Now'!S7,'Base Metals - Q&amp;V'!$B8:$B250)*1000</f>
        <v>185750.019937</v>
      </c>
      <c r="T17" s="281">
        <f>SUMIF('Base Metals - Q&amp;V'!$H8:$H250,'CY Q&amp;V 2004 to Now'!S7,'Base Metals - Q&amp;V'!$C8:$C250)*1000000</f>
        <v>1370450102.3600001</v>
      </c>
      <c r="U17" s="281">
        <f>SUMIF('Base Metals - Q&amp;V'!$H8:$H250,'CY Q&amp;V 2004 to Now'!U7,'Base Metals - Q&amp;V'!$B8:$B250)*1000</f>
        <v>216056.61499999999</v>
      </c>
      <c r="V17" s="281">
        <f>SUMIF('Base Metals - Q&amp;V'!$H8:$H250,'CY Q&amp;V 2004 to Now'!U7,'Base Metals - Q&amp;V'!$C8:$C250)*1000000</f>
        <v>1492764436.23</v>
      </c>
      <c r="W17" s="281">
        <f>SUMIF('Base Metals - Q&amp;V'!$H8:$H250,'CY Q&amp;V 2004 to Now'!W7,'Base Metals - Q&amp;V'!$B8:$B250)*1000</f>
        <v>197080.71799999999</v>
      </c>
      <c r="X17" s="281">
        <f>SUMIF('Base Metals - Q&amp;V'!$H8:$H250,'CY Q&amp;V 2004 to Now'!W7,'Base Metals - Q&amp;V'!$C8:$C250)*1000000</f>
        <v>1401605650.9999998</v>
      </c>
      <c r="Y17" s="281">
        <v>189206.02100000001</v>
      </c>
      <c r="Z17" s="281">
        <v>1244427187</v>
      </c>
      <c r="AA17" s="281">
        <f>SUMIF('Base Metals - Q&amp;V'!$H8:$H250,'CY Q&amp;V 2004 to Now'!AA7,'Base Metals - Q&amp;V'!$B8:$B250)*1000</f>
        <v>181536.03300000002</v>
      </c>
      <c r="AB17" s="1256">
        <f>SUMIF('Base Metals - Q&amp;V'!$H8:$H250,'CY Q&amp;V 2004 to Now'!AA7,'Base Metals - Q&amp;V'!$C8:$C250)*1000000</f>
        <v>1188452888</v>
      </c>
      <c r="AC17" s="1256">
        <f>SUMIF('Base Metals - Q&amp;V'!$H8:$H250,'CY Q&amp;V 2004 to Now'!AC7,'Base Metals - Q&amp;V'!$B8:$B250)*1000</f>
        <v>165701.848</v>
      </c>
      <c r="AD17" s="1256">
        <f>SUMIF('Base Metals - Q&amp;V'!$H8:$H250,'CY Q&amp;V 2004 to Now'!AC7,'Base Metals - Q&amp;V'!$C8:$C250)*1000000</f>
        <v>1255639217</v>
      </c>
      <c r="AE17" s="1256">
        <f>SUMIF('Base Metals - Q&amp;V'!$H8:$H250,'CY Q&amp;V 2004 to Now'!AE7,'Base Metals - Q&amp;V'!$B8:$B250)*1000</f>
        <v>168585.00300000003</v>
      </c>
      <c r="AF17" s="1256">
        <f>SUMIF('Base Metals - Q&amp;V'!$H8:$H250,'CY Q&amp;V 2004 to Now'!AE7,'Base Metals - Q&amp;V'!$C8:$C250)*1000000</f>
        <v>1349702534</v>
      </c>
      <c r="AG17" s="1256">
        <f>SUMIF('Base Metals - Q&amp;V'!$H8:$H250,'CY Q&amp;V 2004 to Now'!AG7,'Base Metals - Q&amp;V'!$B8:$B250)*1000</f>
        <v>172114.37100000001</v>
      </c>
      <c r="AH17" s="1256">
        <f>SUMIF('Base Metals - Q&amp;V'!$H8:$H250,'CY Q&amp;V 2004 to Now'!AG7,'Base Metals - Q&amp;V'!$C8:$C250)*1000000</f>
        <v>1415048287</v>
      </c>
      <c r="AI17" s="1256">
        <f>SUMIF('Base Metals - Q&amp;V'!$H8:$H250,'CY Q&amp;V 2004 to Now'!AI7,'Base Metals - Q&amp;V'!$B8:$B250)*1000</f>
        <v>148151.50900000002</v>
      </c>
      <c r="AJ17" s="1256">
        <f>SUMIF('Base Metals - Q&amp;V'!$H8:$H250,'CY Q&amp;V 2004 to Now'!AI7,'Base Metals - Q&amp;V'!$C8:$C250)*1000000</f>
        <v>1311153733</v>
      </c>
      <c r="AK17" s="281">
        <f ca="1">SUMIF($C$9:AJ$10,1,$C17:AJ17)</f>
        <v>2527471.2807689998</v>
      </c>
      <c r="AL17" s="281">
        <f ca="1">SUMIF($C$9:AJ$10,0,$C17:AJ17)</f>
        <v>18682179919.709999</v>
      </c>
      <c r="AM17" s="242"/>
      <c r="AN17" s="1254"/>
      <c r="AO17" s="189"/>
      <c r="AP17" s="189"/>
      <c r="AQ17" s="189"/>
    </row>
    <row r="18" spans="1:48" s="172" customFormat="1">
      <c r="A18" s="206" t="s">
        <v>291</v>
      </c>
      <c r="B18" s="201" t="s">
        <v>87</v>
      </c>
      <c r="C18" s="281">
        <f>SUMIF('Base Metals - Q&amp;V'!$H8:$H250,'CY Q&amp;V 2004 to Now'!C7,'Base Metals - Q&amp;V'!$D8:$D250)*1000</f>
        <v>1174.7399999999998</v>
      </c>
      <c r="D18" s="281">
        <f>SUMIF('Base Metals - Q&amp;V'!$H8:$H250,'CY Q&amp;V 2004 to Now'!C7,'Base Metals - Q&amp;V'!$E8:$E250)*1000000</f>
        <v>1544615.84</v>
      </c>
      <c r="E18" s="281">
        <f>SUMIF('Base Metals - Q&amp;V'!$H8:$H250,'CY Q&amp;V 2004 to Now'!E7,'Base Metals - Q&amp;V'!$D8:$D250)*1000</f>
        <v>28595.314999999999</v>
      </c>
      <c r="F18" s="281">
        <f>SUMIF('Base Metals - Q&amp;V'!$H8:$H250,'CY Q&amp;V 2004 to Now'!E7,'Base Metals - Q&amp;V'!$E8:$E250)*1000000</f>
        <v>39773083.839999996</v>
      </c>
      <c r="G18" s="281">
        <f>SUMIF('Base Metals - Q&amp;V'!$H8:$H250,'CY Q&amp;V 2004 to Now'!G7,'Base Metals - Q&amp;V'!$D8:$D250)*1000</f>
        <v>70953.488999999987</v>
      </c>
      <c r="H18" s="281">
        <f>SUMIF('Base Metals - Q&amp;V'!$H8:$H250,'CY Q&amp;V 2004 to Now'!G7,'Base Metals - Q&amp;V'!$E8:$E250)*1000000</f>
        <v>127854540.53</v>
      </c>
      <c r="I18" s="281">
        <f>SUMIF('Base Metals - Q&amp;V'!$H8:$H250,'CY Q&amp;V 2004 to Now'!I7,'Base Metals - Q&amp;V'!$D8:$D250)*1000</f>
        <v>37091.524999999994</v>
      </c>
      <c r="J18" s="281">
        <f>SUMIF('Base Metals - Q&amp;V'!$H8:$H250,'CY Q&amp;V 2004 to Now'!I7,'Base Metals - Q&amp;V'!$E8:$E250)*1000000</f>
        <v>96781479.340000004</v>
      </c>
      <c r="K18" s="281">
        <f>SUMIF('Base Metals - Q&amp;V'!$H8:$H250,'CY Q&amp;V 2004 to Now'!K7,'Base Metals - Q&amp;V'!$D8:$D250)*1000</f>
        <v>18538.827999999998</v>
      </c>
      <c r="L18" s="281">
        <f>SUMIF('Base Metals - Q&amp;V'!$H8:$H250,'CY Q&amp;V 2004 to Now'!K7,'Base Metals - Q&amp;V'!$E8:$E250)*1000000</f>
        <v>28815419.949999999</v>
      </c>
      <c r="M18" s="281">
        <f>SUMIF('Base Metals - Q&amp;V'!$H8:$H250,'CY Q&amp;V 2004 to Now'!M7,'Base Metals - Q&amp;V'!$D8:$D250)*1000</f>
        <v>22755.433000000005</v>
      </c>
      <c r="N18" s="281">
        <f>SUMIF('Base Metals - Q&amp;V'!$H8:$H250,'CY Q&amp;V 2004 to Now'!M7,'Base Metals - Q&amp;V'!$E8:$E250)*1000000</f>
        <v>48874789.219999999</v>
      </c>
      <c r="O18" s="281">
        <f>SUMIF('Base Metals - Q&amp;V'!$H8:$H250,'CY Q&amp;V 2004 to Now'!O7,'Base Metals - Q&amp;V'!$D8:$D250)*1000</f>
        <v>52922.928999999996</v>
      </c>
      <c r="P18" s="281">
        <f>SUMIF('Base Metals - Q&amp;V'!$H8:$H250,'CY Q&amp;V 2004 to Now'!O7,'Base Metals - Q&amp;V'!$E8:$E250)*1000000</f>
        <v>126644762.31999999</v>
      </c>
      <c r="Q18" s="281">
        <f>SUMIF('Base Metals - Q&amp;V'!$H8:$H250,'CY Q&amp;V 2004 to Now'!Q7,'Base Metals - Q&amp;V'!$D8:$D250)*1000</f>
        <v>8342.9220000000005</v>
      </c>
      <c r="R18" s="281">
        <f>SUMIF('Base Metals - Q&amp;V'!$H8:$H250,'CY Q&amp;V 2004 to Now'!Q7,'Base Metals - Q&amp;V'!$E8:$E250)*1000000</f>
        <v>19576467.120000001</v>
      </c>
      <c r="S18" s="281">
        <f>SUMIF('Base Metals - Q&amp;V'!$H8:$H250,'CY Q&amp;V 2004 to Now'!S7,'Base Metals - Q&amp;V'!$D8:$D250)*1000</f>
        <v>8135.2939999999999</v>
      </c>
      <c r="T18" s="281">
        <f>SUMIF('Base Metals - Q&amp;V'!$H8:$H250,'CY Q&amp;V 2004 to Now'!S7,'Base Metals - Q&amp;V'!$E8:$E250)*1000000</f>
        <v>16534423.209999999</v>
      </c>
      <c r="U18" s="281">
        <f>SUMIF('Base Metals - Q&amp;V'!$H8:$H250,'CY Q&amp;V 2004 to Now'!U7,'Base Metals - Q&amp;V'!$D8:$D250)*1000</f>
        <v>52261.51</v>
      </c>
      <c r="V18" s="281">
        <f>SUMIF('Base Metals - Q&amp;V'!$H8:$H250,'CY Q&amp;V 2004 to Now'!U7,'Base Metals - Q&amp;V'!$E8:$E250)*1000000</f>
        <v>116056678.27000003</v>
      </c>
      <c r="W18" s="281">
        <f>SUMIF('Base Metals - Q&amp;V'!$H8:$H250,'CY Q&amp;V 2004 to Now'!W7,'Base Metals - Q&amp;V'!$D8:$D250)*1000</f>
        <v>80888.5</v>
      </c>
      <c r="X18" s="281">
        <f>SUMIF('Base Metals - Q&amp;V'!$H8:$H250,'CY Q&amp;V 2004 to Now'!W7,'Base Metals - Q&amp;V'!$E8:$E250)*1000000</f>
        <v>184662425</v>
      </c>
      <c r="Y18" s="281">
        <v>20259.03</v>
      </c>
      <c r="Z18" s="281">
        <v>48685219</v>
      </c>
      <c r="AA18" s="281">
        <f>SUMIF('Base Metals - Q&amp;V'!$H8:$H250,'CY Q&amp;V 2004 to Now'!AA7,'Base Metals - Q&amp;V'!$D8:$D250)*1000</f>
        <v>4760.91</v>
      </c>
      <c r="AB18" s="1256">
        <f>SUMIF('Base Metals - Q&amp;V'!$H8:$H250,'CY Q&amp;V 2004 to Now'!AA7,'Base Metals - Q&amp;V'!$E8:$E250)*1000000</f>
        <v>12782990</v>
      </c>
      <c r="AC18" s="1256">
        <f>SUMIF('Base Metals - Q&amp;V'!$H8:$H250,'CY Q&amp;V 2004 to Now'!AC7,'Base Metals - Q&amp;V'!$D8:$D250)*1000</f>
        <v>5901.08</v>
      </c>
      <c r="AD18" s="1256">
        <f>SUMIF('Base Metals - Q&amp;V'!$H8:$H250,'CY Q&amp;V 2004 to Now'!AC7,'Base Metals - Q&amp;V'!$E8:$E250)*1000000</f>
        <v>18548734</v>
      </c>
      <c r="AE18" s="1256">
        <f>SUMIF('Base Metals - Q&amp;V'!$H8:$H250,'CY Q&amp;V 2004 to Now'!AE7,'Base Metals - Q&amp;V'!$D8:$D250)*1000</f>
        <v>6091.0000000000009</v>
      </c>
      <c r="AF18" s="1256">
        <f>SUMIF('Base Metals - Q&amp;V'!$H8:$H250,'CY Q&amp;V 2004 to Now'!AE7,'Base Metals - Q&amp;V'!$E8:$E250)*1000000</f>
        <v>17155192</v>
      </c>
      <c r="AG18" s="1256">
        <f>SUMIF('Base Metals - Q&amp;V'!$H8:$H250,'CY Q&amp;V 2004 to Now'!AG7,'Base Metals - Q&amp;V'!$D8:$D250)*1000</f>
        <v>2916.8</v>
      </c>
      <c r="AH18" s="1256">
        <f>SUMIF('Base Metals - Q&amp;V'!$H8:$H250,'CY Q&amp;V 2004 to Now'!AG7,'Base Metals - Q&amp;V'!$E8:$E250)*1000000</f>
        <v>8350650.9999999991</v>
      </c>
      <c r="AI18" s="1256">
        <f>SUMIF('Base Metals - Q&amp;V'!$H8:$H250,'CY Q&amp;V 2004 to Now'!AI7,'Base Metals - Q&amp;V'!$D8:$D250)*1000</f>
        <v>1374.5150000000001</v>
      </c>
      <c r="AJ18" s="1256">
        <f>SUMIF('Base Metals - Q&amp;V'!$H8:$H250,'CY Q&amp;V 2004 to Now'!AI7,'Base Metals - Q&amp;V'!$E8:$E250)*1000000</f>
        <v>3321639</v>
      </c>
      <c r="AK18" s="281">
        <f ca="1">SUMIF($C$9:AJ$10,1,$C18:AJ18)</f>
        <v>422963.82</v>
      </c>
      <c r="AL18" s="281">
        <f ca="1">SUMIF($C$9:AJ$10,0,$C18:AJ18)</f>
        <v>915963109.63999999</v>
      </c>
      <c r="AM18" s="242"/>
      <c r="AN18" s="1254"/>
      <c r="AO18" s="189"/>
      <c r="AP18" s="189"/>
      <c r="AQ18" s="189"/>
    </row>
    <row r="19" spans="1:48" s="172" customFormat="1">
      <c r="A19" s="206" t="s">
        <v>292</v>
      </c>
      <c r="B19" s="201" t="s">
        <v>87</v>
      </c>
      <c r="C19" s="281">
        <f>SUMIF('Base Metals - Q&amp;V'!$H8:$H250,'CY Q&amp;V 2004 to Now'!C7,'Base Metals - Q&amp;V'!$F8:$F250)*1000</f>
        <v>51783.87</v>
      </c>
      <c r="D19" s="281">
        <f>SUMIF('Base Metals - Q&amp;V'!$H8:$H250,'CY Q&amp;V 2004 to Now'!C7,'Base Metals - Q&amp;V'!$G8:$G250)*1000000</f>
        <v>71168342.370000005</v>
      </c>
      <c r="E19" s="281">
        <f>SUMIF('Base Metals - Q&amp;V'!$H8:$H250,'CY Q&amp;V 2004 to Now'!E7,'Base Metals - Q&amp;V'!$F8:$F250)*1000</f>
        <v>59104.380000000005</v>
      </c>
      <c r="F19" s="281">
        <f>SUMIF('Base Metals - Q&amp;V'!$H8:$H250,'CY Q&amp;V 2004 to Now'!E7,'Base Metals - Q&amp;V'!$G8:$G250)*1000000</f>
        <v>126895319.62</v>
      </c>
      <c r="G19" s="281">
        <f>SUMIF('Base Metals - Q&amp;V'!$H8:$H250,'CY Q&amp;V 2004 to Now'!G7,'Base Metals - Q&amp;V'!$F8:$F250)*1000</f>
        <v>109063.391</v>
      </c>
      <c r="H19" s="281">
        <f>SUMIF('Base Metals - Q&amp;V'!$H8:$H250,'CY Q&amp;V 2004 to Now'!G7,'Base Metals - Q&amp;V'!$G8:$G250)*1000000</f>
        <v>491080469.87</v>
      </c>
      <c r="I19" s="281">
        <f>SUMIF('Base Metals - Q&amp;V'!$H8:$H250,'CY Q&amp;V 2004 to Now'!I7,'Base Metals - Q&amp;V'!$F8:$F250)*1000</f>
        <v>173337.80000000002</v>
      </c>
      <c r="J19" s="281">
        <f>SUMIF('Base Metals - Q&amp;V'!$H8:$H250,'CY Q&amp;V 2004 to Now'!I7,'Base Metals - Q&amp;V'!$G8:$G250)*1000000</f>
        <v>482884677.58000004</v>
      </c>
      <c r="K19" s="281">
        <f>SUMIF('Base Metals - Q&amp;V'!$H8:$H250,'CY Q&amp;V 2004 to Now'!K7,'Base Metals - Q&amp;V'!$F8:$F250)*1000</f>
        <v>189811.95299999998</v>
      </c>
      <c r="L19" s="281">
        <f>SUMIF('Base Metals - Q&amp;V'!$H8:$H250,'CY Q&amp;V 2004 to Now'!K7,'Base Metals - Q&amp;V'!$G8:$G250)*1000000</f>
        <v>293492480.21000004</v>
      </c>
      <c r="M19" s="281">
        <f>SUMIF('Base Metals - Q&amp;V'!$H8:$H250,'CY Q&amp;V 2004 to Now'!M7,'Base Metals - Q&amp;V'!$F8:$F250)*1000</f>
        <v>99811.695999999982</v>
      </c>
      <c r="N19" s="281">
        <f>SUMIF('Base Metals - Q&amp;V'!$H8:$H250,'CY Q&amp;V 2004 to Now'!M7,'Base Metals - Q&amp;V'!$G8:$G250)*1000000</f>
        <v>215924510.84</v>
      </c>
      <c r="O19" s="281">
        <f>SUMIF('Base Metals - Q&amp;V'!$H8:$H250,'CY Q&amp;V 2004 to Now'!O7,'Base Metals - Q&amp;V'!$F8:$F250)*1000</f>
        <v>81515.22</v>
      </c>
      <c r="P19" s="281">
        <f>SUMIF('Base Metals - Q&amp;V'!$H8:$H250,'CY Q&amp;V 2004 to Now'!O7,'Base Metals - Q&amp;V'!$G8:$G250)*1000000</f>
        <v>191884134.72000003</v>
      </c>
      <c r="Q19" s="281">
        <f>SUMIF('Base Metals - Q&amp;V'!$H8:$H250,'CY Q&amp;V 2004 to Now'!Q7,'Base Metals - Q&amp;V'!$F8:$F250)*1000</f>
        <v>74400.736999999994</v>
      </c>
      <c r="R19" s="281">
        <f>SUMIF('Base Metals - Q&amp;V'!$H8:$H250,'CY Q&amp;V 2004 to Now'!Q7,'Base Metals - Q&amp;V'!$G8:$G250)*1000000</f>
        <v>153041130.46000001</v>
      </c>
      <c r="S19" s="281">
        <f>SUMIF('Base Metals - Q&amp;V'!$H8:$H250,'CY Q&amp;V 2004 to Now'!S7,'Base Metals - Q&amp;V'!$F8:$F250)*1000</f>
        <v>57112.677000000003</v>
      </c>
      <c r="T19" s="281">
        <f>SUMIF('Base Metals - Q&amp;V'!$H8:$H250,'CY Q&amp;V 2004 to Now'!S7,'Base Metals - Q&amp;V'!$G8:$G250)*1000000</f>
        <v>107302473.5</v>
      </c>
      <c r="U19" s="281">
        <f>SUMIF('Base Metals - Q&amp;V'!$H8:$H250,'CY Q&amp;V 2004 to Now'!U7,'Base Metals - Q&amp;V'!$F8:$F250)*1000</f>
        <v>47985.599999999999</v>
      </c>
      <c r="V19" s="281">
        <f>SUMIF('Base Metals - Q&amp;V'!$H8:$H250,'CY Q&amp;V 2004 to Now'!U7,'Base Metals - Q&amp;V'!$G8:$G250)*1000000</f>
        <v>96281335.519999996</v>
      </c>
      <c r="W19" s="281">
        <f>SUMIF('Base Metals - Q&amp;V'!$H8:$H250,'CY Q&amp;V 2004 to Now'!W7,'Base Metals - Q&amp;V'!$F8:$F250)*1000</f>
        <v>72763.53</v>
      </c>
      <c r="X19" s="281">
        <f>SUMIF('Base Metals - Q&amp;V'!$H8:$H250,'CY Q&amp;V 2004 to Now'!W7,'Base Metals - Q&amp;V'!$G8:$G250)*1000000</f>
        <v>173001879</v>
      </c>
      <c r="Y19" s="281">
        <v>77178.320000000007</v>
      </c>
      <c r="Z19" s="281">
        <v>185219379</v>
      </c>
      <c r="AA19" s="281">
        <f>SUMIF('Base Metals - Q&amp;V'!$H8:$H250,'CY Q&amp;V 2004 to Now'!AA7,'Base Metals - Q&amp;V'!$F8:$F250)*1000</f>
        <v>94963.54</v>
      </c>
      <c r="AB19" s="1256">
        <f>SUMIF('Base Metals - Q&amp;V'!$H8:$H250,'CY Q&amp;V 2004 to Now'!AA7,'Base Metals - Q&amp;V'!$G8:$G250)*1000000</f>
        <v>204523976</v>
      </c>
      <c r="AC19" s="1256">
        <f>SUMIF('Base Metals - Q&amp;V'!$H8:$H250,'CY Q&amp;V 2004 to Now'!AC7,'Base Metals - Q&amp;V'!$F8:$F250)*1000</f>
        <v>84653.808000000005</v>
      </c>
      <c r="AD19" s="1256">
        <f>SUMIF('Base Metals - Q&amp;V'!$H8:$H250,'CY Q&amp;V 2004 to Now'!AC7,'Base Metals - Q&amp;V'!$G8:$G250)*1000000</f>
        <v>292122965</v>
      </c>
      <c r="AE19" s="1256">
        <f>SUMIF('Base Metals - Q&amp;V'!$H8:$H250,'CY Q&amp;V 2004 to Now'!AE7,'Base Metals - Q&amp;V'!$F8:$F250)*1000</f>
        <v>68823.993000000002</v>
      </c>
      <c r="AF19" s="1256">
        <f>SUMIF('Base Metals - Q&amp;V'!$H8:$H250,'CY Q&amp;V 2004 to Now'!AE7,'Base Metals - Q&amp;V'!$G8:$G250)*1000000</f>
        <v>256932685</v>
      </c>
      <c r="AG19" s="1256">
        <f>SUMIF('Base Metals - Q&amp;V'!$H8:$H250,'CY Q&amp;V 2004 to Now'!AG7,'Base Metals - Q&amp;V'!$F8:$F250)*1000</f>
        <v>77819.27</v>
      </c>
      <c r="AH19" s="1256">
        <f>SUMIF('Base Metals - Q&amp;V'!$H8:$H250,'CY Q&amp;V 2004 to Now'!AG7,'Base Metals - Q&amp;V'!$G8:$G250)*1000000</f>
        <v>262556072.99999997</v>
      </c>
      <c r="AI19" s="1256">
        <f>SUMIF('Base Metals - Q&amp;V'!$H8:$H250,'CY Q&amp;V 2004 to Now'!AI7,'Base Metals - Q&amp;V'!$F8:$F250)*1000</f>
        <v>66272.142000000007</v>
      </c>
      <c r="AJ19" s="1256">
        <f>SUMIF('Base Metals - Q&amp;V'!$H8:$H250,'CY Q&amp;V 2004 to Now'!AI7,'Base Metals - Q&amp;V'!$G8:$G250)*1000000</f>
        <v>219862653</v>
      </c>
      <c r="AK19" s="281">
        <f ca="1">SUMIF($C$9:AJ$10,1,$C19:AJ19)</f>
        <v>1486401.9269999999</v>
      </c>
      <c r="AL19" s="281">
        <f ca="1">SUMIF($C$9:AJ$10,0,$C19:AJ19)</f>
        <v>3824174484.6900001</v>
      </c>
      <c r="AM19" s="242"/>
      <c r="AN19" s="1254"/>
      <c r="AO19" s="189"/>
      <c r="AP19" s="189"/>
      <c r="AQ19" s="189"/>
      <c r="AT19" s="200"/>
      <c r="AU19" s="200"/>
      <c r="AV19" s="200"/>
    </row>
    <row r="20" spans="1:48" s="172" customFormat="1">
      <c r="A20" s="209" t="s">
        <v>179</v>
      </c>
      <c r="B20" s="201"/>
      <c r="C20" s="281"/>
      <c r="D20" s="281">
        <f>SUM(D17:D19)</f>
        <v>240847334.16</v>
      </c>
      <c r="E20" s="281"/>
      <c r="F20" s="281">
        <f>SUM(F17:F19)</f>
        <v>637876799.33999991</v>
      </c>
      <c r="G20" s="281"/>
      <c r="H20" s="281">
        <f>SUM(H17:H19)</f>
        <v>1483935204.4299998</v>
      </c>
      <c r="I20" s="281"/>
      <c r="J20" s="281">
        <f>SUM(J17:J19)</f>
        <v>1465248942.22</v>
      </c>
      <c r="K20" s="281"/>
      <c r="L20" s="281">
        <f>SUM(L17:L19)</f>
        <v>1154823053.8400002</v>
      </c>
      <c r="M20" s="281"/>
      <c r="N20" s="281">
        <f>SUM(N17:N19)</f>
        <v>1197922585</v>
      </c>
      <c r="O20" s="281"/>
      <c r="P20" s="281">
        <f>SUM(P17:P19)</f>
        <v>1620676983.1199999</v>
      </c>
      <c r="Q20" s="281"/>
      <c r="R20" s="281">
        <f>SUM(R17:R19)</f>
        <v>1367841205.8399999</v>
      </c>
      <c r="S20" s="281"/>
      <c r="T20" s="281">
        <f>SUM(T17:T19)</f>
        <v>1494286999.0700002</v>
      </c>
      <c r="U20" s="281"/>
      <c r="V20" s="281">
        <f>SUM(V17:V19)</f>
        <v>1705102450.02</v>
      </c>
      <c r="W20" s="281"/>
      <c r="X20" s="281">
        <f>SUM(X17:X19)</f>
        <v>1759269954.9999998</v>
      </c>
      <c r="Y20" s="281"/>
      <c r="Z20" s="281">
        <v>1478485585</v>
      </c>
      <c r="AA20" s="281"/>
      <c r="AB20" s="1256">
        <f>SUM(AB17:AB19)</f>
        <v>1405759854</v>
      </c>
      <c r="AC20" s="1256"/>
      <c r="AD20" s="1256">
        <f>SUM(AD17:AD19)</f>
        <v>1566310916</v>
      </c>
      <c r="AE20" s="1256"/>
      <c r="AF20" s="1256">
        <f>SUM(AF17:AF19)</f>
        <v>1623790411</v>
      </c>
      <c r="AG20" s="1256"/>
      <c r="AH20" s="1256">
        <f>SUM(AH17:AH19)</f>
        <v>1685955011</v>
      </c>
      <c r="AI20" s="1256"/>
      <c r="AJ20" s="1256">
        <f>SUM(AJ17:AJ19)</f>
        <v>1534338025</v>
      </c>
      <c r="AK20" s="281"/>
      <c r="AL20" s="281">
        <f ca="1">SUMIF($C$9:AJ$10,0,$C20:AJ20)</f>
        <v>23422471314.040001</v>
      </c>
      <c r="AM20" s="1257"/>
      <c r="AN20" s="1254"/>
      <c r="AO20" s="189"/>
      <c r="AP20" s="189"/>
      <c r="AQ20" s="189"/>
      <c r="AT20" s="200"/>
      <c r="AU20" s="200"/>
      <c r="AV20" s="200"/>
    </row>
    <row r="21" spans="1:48" s="172" customFormat="1">
      <c r="A21" s="204"/>
      <c r="B21" s="244"/>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1256"/>
      <c r="AC21" s="1256"/>
      <c r="AD21" s="1256"/>
      <c r="AE21" s="1256"/>
      <c r="AF21" s="1256"/>
      <c r="AG21" s="1256"/>
      <c r="AH21" s="1256"/>
      <c r="AI21" s="1256"/>
      <c r="AJ21" s="1256"/>
      <c r="AK21" s="281"/>
      <c r="AL21" s="281"/>
      <c r="AM21" s="1257"/>
      <c r="AN21" s="1254"/>
      <c r="AO21" s="189"/>
      <c r="AP21" s="189"/>
      <c r="AQ21" s="189"/>
      <c r="AT21" s="208"/>
      <c r="AU21" s="208"/>
      <c r="AV21" s="208"/>
    </row>
    <row r="22" spans="1:48" s="172" customFormat="1">
      <c r="A22" s="194" t="s">
        <v>181</v>
      </c>
      <c r="B22" s="328" t="s">
        <v>87</v>
      </c>
      <c r="C22" s="258">
        <v>102085.4</v>
      </c>
      <c r="D22" s="258">
        <v>38956692</v>
      </c>
      <c r="E22" s="284">
        <v>90259.48</v>
      </c>
      <c r="F22" s="284">
        <v>36482458</v>
      </c>
      <c r="G22" s="284">
        <v>101288</v>
      </c>
      <c r="H22" s="284">
        <v>44417038.469999999</v>
      </c>
      <c r="I22" s="258">
        <v>110729</v>
      </c>
      <c r="J22" s="258">
        <v>71319703.840000004</v>
      </c>
      <c r="K22" s="284">
        <v>87635.33</v>
      </c>
      <c r="L22" s="284" t="s">
        <v>785</v>
      </c>
      <c r="M22" s="284">
        <v>74898.460000000006</v>
      </c>
      <c r="N22" s="284" t="s">
        <v>785</v>
      </c>
      <c r="O22" s="284">
        <v>59033.54</v>
      </c>
      <c r="P22" s="284" t="s">
        <v>785</v>
      </c>
      <c r="Q22" s="284">
        <v>81925.06</v>
      </c>
      <c r="R22" s="284" t="s">
        <v>785</v>
      </c>
      <c r="S22" s="284">
        <v>164219.49</v>
      </c>
      <c r="T22" s="284" t="s">
        <v>785</v>
      </c>
      <c r="U22" s="284">
        <v>195772.05</v>
      </c>
      <c r="V22" s="284" t="s">
        <v>785</v>
      </c>
      <c r="W22" s="284">
        <v>66540.210000000006</v>
      </c>
      <c r="X22" s="284" t="s">
        <v>785</v>
      </c>
      <c r="Y22" s="1252">
        <v>0</v>
      </c>
      <c r="Z22" s="1252">
        <v>0</v>
      </c>
      <c r="AA22" s="1252">
        <v>0</v>
      </c>
      <c r="AB22" s="1252">
        <v>0</v>
      </c>
      <c r="AC22" s="1252">
        <v>0</v>
      </c>
      <c r="AD22" s="1252">
        <v>0</v>
      </c>
      <c r="AE22" s="1252">
        <v>0</v>
      </c>
      <c r="AF22" s="1252">
        <v>0</v>
      </c>
      <c r="AG22" s="1252">
        <v>0</v>
      </c>
      <c r="AH22" s="1252">
        <v>0</v>
      </c>
      <c r="AI22" s="1252">
        <v>0</v>
      </c>
      <c r="AJ22" s="1252">
        <v>0</v>
      </c>
      <c r="AK22" s="284">
        <f>SUMIF($C$9:AJ$9,1,$C22:AJ22)</f>
        <v>1134386.02</v>
      </c>
      <c r="AL22" s="284">
        <f>SUMIF($C$9:AJ$9,0,$C22:AJ22)</f>
        <v>191175892.31</v>
      </c>
      <c r="AM22" s="1257"/>
      <c r="AN22" s="1254"/>
      <c r="AO22" s="189"/>
      <c r="AP22" s="189"/>
      <c r="AQ22" s="189"/>
      <c r="AT22" s="200"/>
      <c r="AU22" s="200"/>
      <c r="AV22" s="200"/>
    </row>
    <row r="23" spans="1:48" s="172" customFormat="1">
      <c r="A23" s="194"/>
      <c r="B23" s="227"/>
      <c r="C23" s="258"/>
      <c r="D23" s="258"/>
      <c r="E23" s="284"/>
      <c r="F23" s="284"/>
      <c r="G23" s="284"/>
      <c r="H23" s="284"/>
      <c r="I23" s="258"/>
      <c r="J23" s="258"/>
      <c r="K23" s="284"/>
      <c r="L23" s="284"/>
      <c r="M23" s="284"/>
      <c r="N23" s="284"/>
      <c r="O23" s="284"/>
      <c r="P23" s="284"/>
      <c r="Q23" s="284"/>
      <c r="R23" s="284"/>
      <c r="S23" s="284"/>
      <c r="T23" s="284"/>
      <c r="U23" s="284"/>
      <c r="V23" s="284"/>
      <c r="W23" s="284"/>
      <c r="X23" s="284"/>
      <c r="Y23" s="284"/>
      <c r="Z23" s="284"/>
      <c r="AA23" s="284"/>
      <c r="AB23" s="1252"/>
      <c r="AC23" s="1252"/>
      <c r="AD23" s="1252"/>
      <c r="AE23" s="1252"/>
      <c r="AF23" s="1252"/>
      <c r="AG23" s="1252"/>
      <c r="AH23" s="1252"/>
      <c r="AI23" s="1252"/>
      <c r="AJ23" s="1252"/>
      <c r="AK23" s="284"/>
      <c r="AL23" s="284"/>
      <c r="AM23" s="1257"/>
      <c r="AN23" s="1254"/>
      <c r="AO23" s="189"/>
      <c r="AP23" s="189"/>
      <c r="AQ23" s="189"/>
      <c r="AT23" s="200"/>
      <c r="AU23" s="200"/>
      <c r="AV23" s="200"/>
    </row>
    <row r="24" spans="1:48" s="172" customFormat="1">
      <c r="A24" s="204" t="s">
        <v>182</v>
      </c>
      <c r="B24" s="378" t="s">
        <v>87</v>
      </c>
      <c r="C24" s="1251">
        <v>90190.98</v>
      </c>
      <c r="D24" s="281">
        <v>1999715</v>
      </c>
      <c r="E24" s="281" t="s">
        <v>236</v>
      </c>
      <c r="F24" s="281">
        <v>1421038</v>
      </c>
      <c r="G24" s="281" t="s">
        <v>236</v>
      </c>
      <c r="H24" s="281">
        <v>1843547</v>
      </c>
      <c r="I24" s="268" t="s">
        <v>236</v>
      </c>
      <c r="J24" s="268">
        <v>1787130</v>
      </c>
      <c r="K24" s="281">
        <v>63696.81</v>
      </c>
      <c r="L24" s="281">
        <v>1225758</v>
      </c>
      <c r="M24" s="281">
        <v>57846.130000000005</v>
      </c>
      <c r="N24" s="281">
        <v>1089071</v>
      </c>
      <c r="O24" s="281">
        <v>67833.58</v>
      </c>
      <c r="P24" s="281">
        <v>1255153</v>
      </c>
      <c r="Q24" s="281">
        <v>63335.62</v>
      </c>
      <c r="R24" s="281">
        <v>1444176.96</v>
      </c>
      <c r="S24" s="281">
        <v>61290.51</v>
      </c>
      <c r="T24" s="281">
        <v>1446577.4</v>
      </c>
      <c r="U24" s="281">
        <v>36416.75</v>
      </c>
      <c r="V24" s="281">
        <v>1163527</v>
      </c>
      <c r="W24" s="281">
        <v>14517.73</v>
      </c>
      <c r="X24" s="281">
        <v>880439</v>
      </c>
      <c r="Y24" s="281">
        <v>20857</v>
      </c>
      <c r="Z24" s="281">
        <v>1087978</v>
      </c>
      <c r="AA24" s="1258">
        <v>17267.93</v>
      </c>
      <c r="AB24" s="1259">
        <v>1040912</v>
      </c>
      <c r="AC24" s="1260">
        <v>20979.690000000002</v>
      </c>
      <c r="AD24" s="1260">
        <v>1421918</v>
      </c>
      <c r="AE24" s="1260">
        <v>18898.59</v>
      </c>
      <c r="AF24" s="1260">
        <v>1425918</v>
      </c>
      <c r="AG24" s="1261">
        <v>19616.55</v>
      </c>
      <c r="AH24" s="1261">
        <v>1944713</v>
      </c>
      <c r="AI24" s="1260">
        <v>20461.117000000002</v>
      </c>
      <c r="AJ24" s="1260">
        <v>2289802</v>
      </c>
      <c r="AK24" s="281">
        <f ca="1">SUMIF($C$9:AJ$10,1,$C24:AJ24)</f>
        <v>573208.98699999996</v>
      </c>
      <c r="AL24" s="281">
        <f ca="1">SUMIF($C$9:AJ$10,0,$C24:AJ24)</f>
        <v>24767373.359999999</v>
      </c>
      <c r="AM24" s="242"/>
      <c r="AN24" s="1254"/>
      <c r="AO24" s="189"/>
      <c r="AP24" s="189"/>
      <c r="AQ24" s="189"/>
      <c r="AT24" s="200"/>
      <c r="AU24" s="200"/>
      <c r="AV24" s="200"/>
    </row>
    <row r="25" spans="1:48" s="172" customFormat="1">
      <c r="A25" s="212"/>
      <c r="B25" s="244"/>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1256"/>
      <c r="AC25" s="1256"/>
      <c r="AD25" s="1256"/>
      <c r="AE25" s="1256"/>
      <c r="AF25" s="1256"/>
      <c r="AG25" s="1256"/>
      <c r="AH25" s="1256"/>
      <c r="AI25" s="1256"/>
      <c r="AJ25" s="1256"/>
      <c r="AK25" s="281"/>
      <c r="AL25" s="281"/>
      <c r="AM25" s="1257"/>
      <c r="AN25" s="1254"/>
      <c r="AO25" s="189"/>
      <c r="AP25" s="189"/>
      <c r="AQ25" s="189"/>
      <c r="AT25" s="202"/>
      <c r="AU25" s="202"/>
      <c r="AV25" s="202"/>
    </row>
    <row r="26" spans="1:48" s="172" customFormat="1">
      <c r="A26" s="194" t="s">
        <v>194</v>
      </c>
      <c r="B26" s="197" t="s">
        <v>87</v>
      </c>
      <c r="C26" s="284">
        <f ca="1">SUMIF('Other Commodities - Q&amp;V'!$N$8:$N$250,'CY Q&amp;V 2004 to Now'!C$7,'Other Commodities - Q&amp;V'!$D$8:$D$244)*1000000</f>
        <v>6301445</v>
      </c>
      <c r="D26" s="284">
        <f ca="1">SUMIF('Other Commodities - Q&amp;V'!$N$8:$N$250,'CY Q&amp;V 2004 to Now'!C$7,'Other Commodities - Q&amp;V'!$E$8:$E$244)*1000000</f>
        <v>281457719</v>
      </c>
      <c r="E26" s="284">
        <f ca="1">SUMIF('Other Commodities - Q&amp;V'!$N8:$N250,'CY Q&amp;V 2004 to Now'!E7,'Other Commodities - Q&amp;V'!$D8:$D244)*1000000</f>
        <v>6334484</v>
      </c>
      <c r="F26" s="284">
        <f ca="1">SUMIF('Other Commodities - Q&amp;V'!$N8:$N250,'CY Q&amp;V 2004 to Now'!E7,'Other Commodities - Q&amp;V'!$E8:$E244)*1000000</f>
        <v>280186535</v>
      </c>
      <c r="G26" s="284">
        <f ca="1">SUMIF('Other Commodities - Q&amp;V'!$N8:$N250,'CY Q&amp;V 2004 to Now'!G7,'Other Commodities - Q&amp;V'!$D8:$D244)*1000000</f>
        <v>6611423</v>
      </c>
      <c r="H26" s="284">
        <f ca="1">SUMIF('Other Commodities - Q&amp;V'!$N8:$N250,'CY Q&amp;V 2004 to Now'!G7,'Other Commodities - Q&amp;V'!$E8:$E244)*1000000</f>
        <v>289726141</v>
      </c>
      <c r="I26" s="284">
        <f ca="1">SUMIF('Other Commodities - Q&amp;V'!$N8:$N250,'CY Q&amp;V 2004 to Now'!I7,'Other Commodities - Q&amp;V'!$D8:$D244)*1000000</f>
        <v>5810092</v>
      </c>
      <c r="J26" s="284">
        <f ca="1">SUMIF('Other Commodities - Q&amp;V'!$N8:$N250,'CY Q&amp;V 2004 to Now'!I7,'Other Commodities - Q&amp;V'!$E8:$E244)*1000000</f>
        <v>263961627.00000003</v>
      </c>
      <c r="K26" s="284">
        <f ca="1">SUMIF('Other Commodities - Q&amp;V'!$N8:$N250,'CY Q&amp;V 2004 to Now'!K7,'Other Commodities - Q&amp;V'!$D8:$D244)*1000000</f>
        <v>6731266</v>
      </c>
      <c r="L26" s="284">
        <f ca="1">SUMIF('Other Commodities - Q&amp;V'!$N8:$N250,'CY Q&amp;V 2004 to Now'!K7,'Other Commodities - Q&amp;V'!$E8:$E244)*1000000</f>
        <v>305499633</v>
      </c>
      <c r="M26" s="284">
        <f ca="1">SUMIF('Other Commodities - Q&amp;V'!$N8:$N250,'CY Q&amp;V 2004 to Now'!M7,'Other Commodities - Q&amp;V'!$D8:$D244)*1000000</f>
        <v>6558857</v>
      </c>
      <c r="N26" s="284">
        <f ca="1">SUMIF('Other Commodities - Q&amp;V'!$N8:$N250,'CY Q&amp;V 2004 to Now'!M7,'Other Commodities - Q&amp;V'!$E8:$E244)*1000000</f>
        <v>308156873.99999994</v>
      </c>
      <c r="O26" s="284">
        <f ca="1">SUMIF('Other Commodities - Q&amp;V'!$N8:$N250,'CY Q&amp;V 2004 to Now'!O7,'Other Commodities - Q&amp;V'!$D8:$D244)*1000000</f>
        <v>6998521</v>
      </c>
      <c r="P26" s="284">
        <f ca="1">SUMIF('Other Commodities - Q&amp;V'!$N8:$N250,'CY Q&amp;V 2004 to Now'!O7,'Other Commodities - Q&amp;V'!$E8:$E244)*1000000</f>
        <v>318268201</v>
      </c>
      <c r="Q26" s="284">
        <f ca="1">SUMIF('Other Commodities - Q&amp;V'!$N8:$N250,'CY Q&amp;V 2004 to Now'!Q7,'Other Commodities - Q&amp;V'!$D8:$D244)*1000000</f>
        <v>6981907</v>
      </c>
      <c r="R26" s="284">
        <f ca="1">SUMIF('Other Commodities - Q&amp;V'!$N8:$N250,'CY Q&amp;V 2004 to Now'!Q7,'Other Commodities - Q&amp;V'!$E8:$E244)*1000000</f>
        <v>283495535</v>
      </c>
      <c r="S26" s="284">
        <f ca="1">SUMIF('Other Commodities - Q&amp;V'!$N8:$N250,'CY Q&amp;V 2004 to Now'!S7,'Other Commodities - Q&amp;V'!$D8:$D244)*1000000</f>
        <v>7458256</v>
      </c>
      <c r="T26" s="284">
        <f ca="1">SUMIF('Other Commodities - Q&amp;V'!$N8:$N250,'CY Q&amp;V 2004 to Now'!S7,'Other Commodities - Q&amp;V'!$E8:$E244)*1000000</f>
        <v>315086290</v>
      </c>
      <c r="U26" s="284">
        <f ca="1">SUMIF('Other Commodities - Q&amp;V'!$N8:$N250,'CY Q&amp;V 2004 to Now'!U7,'Other Commodities - Q&amp;V'!$D8:$D244)*1000000</f>
        <v>7087324.0000000009</v>
      </c>
      <c r="V26" s="284">
        <f ca="1">SUMIF('Other Commodities - Q&amp;V'!$N8:$N250,'CY Q&amp;V 2004 to Now'!U7,'Other Commodities - Q&amp;V'!$E8:$E244)*1000000</f>
        <v>296605242</v>
      </c>
      <c r="W26" s="284">
        <f ca="1">SUMIF('Other Commodities - Q&amp;V'!$N8:$N250,'CY Q&amp;V 2004 to Now'!W7,'Other Commodities - Q&amp;V'!$D8:$D244)*1000000</f>
        <v>6211048.2800000003</v>
      </c>
      <c r="X26" s="284">
        <f ca="1">SUMIF('Other Commodities - Q&amp;V'!$N8:$N250,'CY Q&amp;V 2004 to Now'!W7,'Other Commodities - Q&amp;V'!$E8:$E244)*1000000</f>
        <v>266884210</v>
      </c>
      <c r="Y26" s="284">
        <v>6945779</v>
      </c>
      <c r="Z26" s="284">
        <v>341452392</v>
      </c>
      <c r="AA26" s="284">
        <f ca="1">SUMIF('Other Commodities - Q&amp;V'!$N8:$N250,'CY Q&amp;V 2004 to Now'!AA7,'Other Commodities - Q&amp;V'!$D8:$D244)*1000000</f>
        <v>6738517.4010000005</v>
      </c>
      <c r="AB26" s="1252">
        <f ca="1">SUMIF('Other Commodities - Q&amp;V'!$N8:$N250,'CY Q&amp;V 2004 to Now'!AA7,'Other Commodities - Q&amp;V'!$E8:$E244)*1000000</f>
        <v>329402521</v>
      </c>
      <c r="AC26" s="1252">
        <f ca="1">SUMIF('Other Commodities - Q&amp;V'!$N8:$N250,'CY Q&amp;V 2004 to Now'!AC7,'Other Commodities - Q&amp;V'!$D8:$D244)*1000000</f>
        <v>6814665.1800000006</v>
      </c>
      <c r="AD26" s="1252">
        <f ca="1">SUMIF('Other Commodities - Q&amp;V'!$N8:$N250,'CY Q&amp;V 2004 to Now'!AC7,'Other Commodities - Q&amp;V'!$E8:$E244)*1000000</f>
        <v>338945631.63</v>
      </c>
      <c r="AE26" s="1252">
        <f ca="1">SUMIF('Other Commodities - Q&amp;V'!$N8:$N250,'CY Q&amp;V 2004 to Now'!AE7,'Other Commodities - Q&amp;V'!$D8:$D244)*1000000</f>
        <v>6465666.2699999986</v>
      </c>
      <c r="AF26" s="1252">
        <f ca="1">SUMIF('Other Commodities - Q&amp;V'!$N8:$N250,'CY Q&amp;V 2004 to Now'!AE7,'Other Commodities - Q&amp;V'!$E8:$E244)*1000000</f>
        <v>327376363.99999994</v>
      </c>
      <c r="AG26" s="1252">
        <f ca="1">SUMIF('Other Commodities - Q&amp;V'!$N8:$N250,'CY Q&amp;V 2004 to Now'!AG7,'Other Commodities - Q&amp;V'!$D8:$D244)*1000000</f>
        <v>6239250.9469999997</v>
      </c>
      <c r="AH26" s="1252">
        <f ca="1">SUMIF('Other Commodities - Q&amp;V'!$N8:$N250,'CY Q&amp;V 2004 to Now'!AG7,'Other Commodities - Q&amp;V'!$E8:$E244)*1000000</f>
        <v>323369284</v>
      </c>
      <c r="AI26" s="1252">
        <f ca="1">SUMIF('Other Commodities - Q&amp;V'!$N8:$N250,'CY Q&amp;V 2004 to Now'!AI7,'Other Commodities - Q&amp;V'!$D8:$D244)*1000000</f>
        <v>5619507.2599999998</v>
      </c>
      <c r="AJ26" s="1252">
        <f ca="1">SUMIF('Other Commodities - Q&amp;V'!$N8:$N250,'CY Q&amp;V 2004 to Now'!AI7,'Other Commodities - Q&amp;V'!$E8:$E244)*1000000</f>
        <v>309397638.99999994</v>
      </c>
      <c r="AK26" s="284">
        <f ca="1">SUMIF($C$9:AJ$10,1,$C26:AJ26)</f>
        <v>111908009.338</v>
      </c>
      <c r="AL26" s="284">
        <f ca="1">SUMIF($C$9:AJ$10,0,$C26:AJ26)</f>
        <v>5179271838.6300001</v>
      </c>
      <c r="AM26" s="242"/>
      <c r="AN26" s="1254"/>
      <c r="AO26" s="189"/>
      <c r="AP26" s="189"/>
      <c r="AQ26" s="189"/>
      <c r="AT26" s="200"/>
      <c r="AU26" s="200"/>
      <c r="AV26" s="200"/>
    </row>
    <row r="27" spans="1:48" s="172" customFormat="1">
      <c r="A27" s="194"/>
      <c r="B27" s="195"/>
      <c r="C27" s="258"/>
      <c r="D27" s="258"/>
      <c r="E27" s="284"/>
      <c r="F27" s="284"/>
      <c r="G27" s="284"/>
      <c r="H27" s="284"/>
      <c r="I27" s="258"/>
      <c r="J27" s="258"/>
      <c r="K27" s="284"/>
      <c r="L27" s="284"/>
      <c r="M27" s="284"/>
      <c r="N27" s="284"/>
      <c r="O27" s="284"/>
      <c r="P27" s="284"/>
      <c r="Q27" s="284"/>
      <c r="R27" s="284"/>
      <c r="S27" s="284"/>
      <c r="T27" s="284"/>
      <c r="U27" s="284"/>
      <c r="V27" s="284"/>
      <c r="W27" s="284"/>
      <c r="X27" s="284"/>
      <c r="Y27" s="284"/>
      <c r="Z27" s="284"/>
      <c r="AA27" s="284"/>
      <c r="AB27" s="1252"/>
      <c r="AC27" s="1252"/>
      <c r="AD27" s="1252"/>
      <c r="AE27" s="1252"/>
      <c r="AF27" s="1252"/>
      <c r="AG27" s="1252"/>
      <c r="AH27" s="1252"/>
      <c r="AI27" s="1252"/>
      <c r="AJ27" s="1252"/>
      <c r="AK27" s="284"/>
      <c r="AL27" s="284"/>
      <c r="AM27" s="1257"/>
      <c r="AN27" s="1254"/>
      <c r="AO27" s="189"/>
      <c r="AP27" s="189"/>
      <c r="AQ27" s="189"/>
      <c r="AT27" s="200"/>
      <c r="AU27" s="200"/>
      <c r="AV27" s="200"/>
    </row>
    <row r="28" spans="1:48" s="172" customFormat="1">
      <c r="A28" s="204" t="s">
        <v>195</v>
      </c>
      <c r="B28" s="244"/>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1256"/>
      <c r="AC28" s="1256"/>
      <c r="AD28" s="1256"/>
      <c r="AE28" s="1256"/>
      <c r="AF28" s="1256"/>
      <c r="AG28" s="1256"/>
      <c r="AH28" s="1256"/>
      <c r="AI28" s="1256"/>
      <c r="AJ28" s="1256"/>
      <c r="AK28" s="281"/>
      <c r="AL28" s="281"/>
      <c r="AM28" s="1257"/>
      <c r="AN28" s="1254"/>
      <c r="AO28" s="189"/>
      <c r="AP28" s="189"/>
      <c r="AQ28" s="189"/>
      <c r="AT28" s="200"/>
      <c r="AU28" s="200"/>
      <c r="AV28" s="200"/>
    </row>
    <row r="29" spans="1:48" s="172" customFormat="1">
      <c r="A29" s="206" t="s">
        <v>293</v>
      </c>
      <c r="B29" s="327" t="s">
        <v>87</v>
      </c>
      <c r="C29" s="268">
        <v>438919.92</v>
      </c>
      <c r="D29" s="268">
        <v>3721753</v>
      </c>
      <c r="E29" s="281">
        <v>847864.56</v>
      </c>
      <c r="F29" s="281">
        <v>11198184</v>
      </c>
      <c r="G29" s="281">
        <v>1343612</v>
      </c>
      <c r="H29" s="281">
        <v>34323278</v>
      </c>
      <c r="I29" s="268">
        <v>1526310.94</v>
      </c>
      <c r="J29" s="268">
        <v>38398371</v>
      </c>
      <c r="K29" s="281">
        <v>2619510.9500000002</v>
      </c>
      <c r="L29" s="281">
        <v>65067523</v>
      </c>
      <c r="M29" s="281">
        <v>3067021.98</v>
      </c>
      <c r="N29" s="281">
        <v>82023027.300000012</v>
      </c>
      <c r="O29" s="281">
        <v>2367976.85</v>
      </c>
      <c r="P29" s="281">
        <v>57783933.350000001</v>
      </c>
      <c r="Q29" s="281">
        <v>2662483.5300000003</v>
      </c>
      <c r="R29" s="281">
        <v>61840425.085480474</v>
      </c>
      <c r="S29" s="281">
        <v>3996233.29</v>
      </c>
      <c r="T29" s="281">
        <v>128795715.78</v>
      </c>
      <c r="U29" s="281">
        <v>5527502.2000000002</v>
      </c>
      <c r="V29" s="281">
        <v>199427189.60000002</v>
      </c>
      <c r="W29" s="281">
        <v>3151108.2450000001</v>
      </c>
      <c r="X29" s="281">
        <v>80527992</v>
      </c>
      <c r="Y29" s="281">
        <v>1768041.17</v>
      </c>
      <c r="Z29" s="281">
        <v>61593971.568251476</v>
      </c>
      <c r="AA29" s="1258">
        <v>1026353.6639999998</v>
      </c>
      <c r="AB29" s="1259">
        <v>32980995.699999999</v>
      </c>
      <c r="AC29" s="1260">
        <v>1075560.2659999998</v>
      </c>
      <c r="AD29" s="1260">
        <v>32058884.600000001</v>
      </c>
      <c r="AE29" s="1260">
        <v>1449719.564</v>
      </c>
      <c r="AF29" s="1260">
        <v>45326644.450499997</v>
      </c>
      <c r="AG29" s="1261">
        <v>2417731.42</v>
      </c>
      <c r="AH29" s="1261">
        <v>72766924.980076864</v>
      </c>
      <c r="AI29" s="1260">
        <v>3405050.3740000008</v>
      </c>
      <c r="AJ29" s="1260">
        <v>86519645.464000002</v>
      </c>
      <c r="AK29" s="281">
        <f ca="1">SUMIF($C$9:AJ$10,1,$C29:AJ29)</f>
        <v>38691000.922999993</v>
      </c>
      <c r="AL29" s="281">
        <f>SUMIF($C$9:AJ$9,0,$C29:AJ29)</f>
        <v>1094354458.878309</v>
      </c>
      <c r="AM29" s="242"/>
      <c r="AN29" s="1254"/>
      <c r="AO29" s="189"/>
      <c r="AP29" s="189"/>
      <c r="AQ29" s="189"/>
      <c r="AT29" s="203"/>
      <c r="AU29" s="203"/>
      <c r="AV29" s="203"/>
    </row>
    <row r="30" spans="1:48" s="172" customFormat="1">
      <c r="A30" s="206" t="s">
        <v>294</v>
      </c>
      <c r="B30" s="327" t="s">
        <v>87</v>
      </c>
      <c r="C30" s="268">
        <v>204635.72</v>
      </c>
      <c r="D30" s="268">
        <v>850481</v>
      </c>
      <c r="E30" s="281">
        <v>125718.55</v>
      </c>
      <c r="F30" s="281">
        <v>897176</v>
      </c>
      <c r="G30" s="281">
        <v>134269</v>
      </c>
      <c r="H30" s="281">
        <v>865579</v>
      </c>
      <c r="I30" s="268">
        <v>202620.14</v>
      </c>
      <c r="J30" s="268">
        <v>1499391.5</v>
      </c>
      <c r="K30" s="281">
        <v>145591.63999999998</v>
      </c>
      <c r="L30" s="281">
        <v>1321716.5</v>
      </c>
      <c r="M30" s="281">
        <v>188799.99</v>
      </c>
      <c r="N30" s="281">
        <v>1612635.5</v>
      </c>
      <c r="O30" s="281">
        <v>124505.59</v>
      </c>
      <c r="P30" s="281">
        <v>1021717.1</v>
      </c>
      <c r="Q30" s="281">
        <v>265338.94</v>
      </c>
      <c r="R30" s="281">
        <v>2360577.75</v>
      </c>
      <c r="S30" s="281">
        <v>448457.62000000005</v>
      </c>
      <c r="T30" s="281">
        <v>3317758.3</v>
      </c>
      <c r="U30" s="281">
        <v>395241.66500000004</v>
      </c>
      <c r="V30" s="281">
        <v>7852434.2999999989</v>
      </c>
      <c r="W30" s="281">
        <v>172044.22</v>
      </c>
      <c r="X30" s="281">
        <v>1003315</v>
      </c>
      <c r="Y30" s="281">
        <v>112572.62999999999</v>
      </c>
      <c r="Z30" s="281">
        <v>714365.31499999994</v>
      </c>
      <c r="AA30" s="1258">
        <v>196879.91</v>
      </c>
      <c r="AB30" s="1259">
        <v>1115514.5825</v>
      </c>
      <c r="AC30" s="1260">
        <v>286813.37</v>
      </c>
      <c r="AD30" s="1260">
        <v>1875053.0049999999</v>
      </c>
      <c r="AE30" s="1260">
        <v>134007.35</v>
      </c>
      <c r="AF30" s="1260">
        <v>1644366.3424</v>
      </c>
      <c r="AG30" s="1261">
        <v>171206.66999999998</v>
      </c>
      <c r="AH30" s="1261">
        <v>2168318.2913314793</v>
      </c>
      <c r="AI30" s="1260">
        <v>116212.15000000002</v>
      </c>
      <c r="AJ30" s="1260">
        <v>1532143.8848000001</v>
      </c>
      <c r="AK30" s="281">
        <f ca="1">SUMIF($C$9:AJ$10,1,$C30:AJ30)</f>
        <v>3424915.1550000007</v>
      </c>
      <c r="AL30" s="281">
        <f ca="1">SUMIF($C$9:AJ$10,0,$C30:AJ30)</f>
        <v>31652543.371031478</v>
      </c>
      <c r="AM30" s="242"/>
      <c r="AN30" s="1254"/>
      <c r="AO30" s="189"/>
      <c r="AP30" s="189"/>
      <c r="AQ30" s="189"/>
      <c r="AT30" s="13"/>
      <c r="AU30" s="13"/>
      <c r="AV30" s="13"/>
    </row>
    <row r="31" spans="1:48" s="172" customFormat="1">
      <c r="A31" s="206" t="s">
        <v>295</v>
      </c>
      <c r="B31" s="327" t="s">
        <v>87</v>
      </c>
      <c r="C31" s="268">
        <v>329811.94</v>
      </c>
      <c r="D31" s="268">
        <v>1839366</v>
      </c>
      <c r="E31" s="281">
        <v>433744.37</v>
      </c>
      <c r="F31" s="281">
        <v>3558885</v>
      </c>
      <c r="G31" s="281">
        <v>525548</v>
      </c>
      <c r="H31" s="281">
        <v>4940420</v>
      </c>
      <c r="I31" s="268">
        <v>785965.24</v>
      </c>
      <c r="J31" s="268">
        <v>12530094</v>
      </c>
      <c r="K31" s="281">
        <v>1229299.4500000002</v>
      </c>
      <c r="L31" s="281">
        <v>19925191</v>
      </c>
      <c r="M31" s="281">
        <v>1136843.9099999999</v>
      </c>
      <c r="N31" s="281">
        <v>16099075</v>
      </c>
      <c r="O31" s="281">
        <v>449223.78</v>
      </c>
      <c r="P31" s="281">
        <v>7668172</v>
      </c>
      <c r="Q31" s="281">
        <v>303452.32</v>
      </c>
      <c r="R31" s="281">
        <v>2917833.25</v>
      </c>
      <c r="S31" s="281">
        <v>1019203.45</v>
      </c>
      <c r="T31" s="281">
        <v>22663022.960000001</v>
      </c>
      <c r="U31" s="281">
        <v>1223152.08</v>
      </c>
      <c r="V31" s="281">
        <v>20701085.800000001</v>
      </c>
      <c r="W31" s="281">
        <v>1501417.27</v>
      </c>
      <c r="X31" s="281">
        <v>40520470</v>
      </c>
      <c r="Y31" s="281">
        <v>739520.34</v>
      </c>
      <c r="Z31" s="281">
        <v>16782780.515000001</v>
      </c>
      <c r="AA31" s="1258">
        <v>261001.39</v>
      </c>
      <c r="AB31" s="1259">
        <v>3397097</v>
      </c>
      <c r="AC31" s="1260">
        <v>443525.77</v>
      </c>
      <c r="AD31" s="1260">
        <v>6970284.2000000002</v>
      </c>
      <c r="AE31" s="1260">
        <v>210560.61</v>
      </c>
      <c r="AF31" s="1260">
        <v>3606588.5500000003</v>
      </c>
      <c r="AG31" s="1261">
        <v>533982.49</v>
      </c>
      <c r="AH31" s="1261">
        <v>15245474.487121386</v>
      </c>
      <c r="AI31" s="1260">
        <v>143273.46</v>
      </c>
      <c r="AJ31" s="1260">
        <v>1784781.1864</v>
      </c>
      <c r="AK31" s="281">
        <f>SUMIF($C$9:AJ$9,1,$C31:AJ31)</f>
        <v>11269525.870000001</v>
      </c>
      <c r="AL31" s="281">
        <f>SUMIF($C$9:AJ$9,0,$C31:AJ31)</f>
        <v>201150620.94852135</v>
      </c>
      <c r="AM31" s="242"/>
      <c r="AN31" s="1254"/>
      <c r="AO31" s="189"/>
      <c r="AP31" s="189"/>
      <c r="AQ31" s="189"/>
      <c r="AT31" s="13"/>
      <c r="AU31" s="13"/>
      <c r="AV31" s="13"/>
    </row>
    <row r="32" spans="1:48" s="172" customFormat="1">
      <c r="A32" s="206" t="s">
        <v>296</v>
      </c>
      <c r="B32" s="327" t="s">
        <v>87</v>
      </c>
      <c r="C32" s="268">
        <v>2627705.5</v>
      </c>
      <c r="D32" s="268">
        <v>13231776.119999999</v>
      </c>
      <c r="E32" s="281">
        <v>3135474.1</v>
      </c>
      <c r="F32" s="281">
        <v>17517077.399999999</v>
      </c>
      <c r="G32" s="281">
        <v>3932959</v>
      </c>
      <c r="H32" s="281">
        <v>24019139</v>
      </c>
      <c r="I32" s="268">
        <v>4103626.72</v>
      </c>
      <c r="J32" s="268">
        <v>21867179.049999997</v>
      </c>
      <c r="K32" s="281">
        <v>3362306.3699999987</v>
      </c>
      <c r="L32" s="281">
        <v>25160242.099999998</v>
      </c>
      <c r="M32" s="281">
        <v>3872160.2800000003</v>
      </c>
      <c r="N32" s="281">
        <v>29499489.211281963</v>
      </c>
      <c r="O32" s="281">
        <v>3818957.6699999985</v>
      </c>
      <c r="P32" s="281">
        <v>29911942.450000003</v>
      </c>
      <c r="Q32" s="281">
        <v>5731340.4500000011</v>
      </c>
      <c r="R32" s="281">
        <v>45345204.100000001</v>
      </c>
      <c r="S32" s="281">
        <v>5889916.6280000014</v>
      </c>
      <c r="T32" s="281">
        <v>58176758.129999988</v>
      </c>
      <c r="U32" s="281">
        <v>6116612.7399999984</v>
      </c>
      <c r="V32" s="281">
        <v>80210842.019999996</v>
      </c>
      <c r="W32" s="281">
        <v>7136461.1120000016</v>
      </c>
      <c r="X32" s="281">
        <v>55107735</v>
      </c>
      <c r="Y32" s="281">
        <v>4446375.1189999999</v>
      </c>
      <c r="Z32" s="281">
        <v>41204751.375</v>
      </c>
      <c r="AA32" s="1258">
        <v>2513487.1880000005</v>
      </c>
      <c r="AB32" s="1259">
        <v>25230188.677999996</v>
      </c>
      <c r="AC32" s="1260">
        <v>2919658.5439999993</v>
      </c>
      <c r="AD32" s="1260">
        <v>25410160.743999999</v>
      </c>
      <c r="AE32" s="1260">
        <v>3600175.1149999998</v>
      </c>
      <c r="AF32" s="1260">
        <v>28671842.866500001</v>
      </c>
      <c r="AG32" s="1261">
        <v>2114544.89</v>
      </c>
      <c r="AH32" s="1261">
        <v>29852692.944229856</v>
      </c>
      <c r="AI32" s="1260">
        <v>2528359.9130000002</v>
      </c>
      <c r="AJ32" s="1260">
        <v>30178614.292000003</v>
      </c>
      <c r="AK32" s="281">
        <f>SUMIF($C$9:AJ$9,1,$C32:AJ32)</f>
        <v>67850121.339000002</v>
      </c>
      <c r="AL32" s="281">
        <f ca="1">SUMIF($C$9:AJ$10,0,$C32:AJ32)</f>
        <v>580595635.48101187</v>
      </c>
      <c r="AM32" s="242"/>
      <c r="AN32" s="1254"/>
      <c r="AO32" s="189"/>
      <c r="AP32" s="189"/>
      <c r="AQ32" s="189"/>
      <c r="AT32" s="13"/>
      <c r="AU32" s="13"/>
      <c r="AV32" s="13"/>
    </row>
    <row r="33" spans="1:48" s="172" customFormat="1">
      <c r="A33" s="206" t="s">
        <v>39</v>
      </c>
      <c r="B33" s="207" t="s">
        <v>87</v>
      </c>
      <c r="C33" s="268" t="s">
        <v>236</v>
      </c>
      <c r="D33" s="268">
        <v>521019</v>
      </c>
      <c r="E33" s="281">
        <v>0</v>
      </c>
      <c r="F33" s="281">
        <v>0</v>
      </c>
      <c r="G33" s="281">
        <v>0</v>
      </c>
      <c r="H33" s="281">
        <v>0</v>
      </c>
      <c r="I33" s="281">
        <v>0</v>
      </c>
      <c r="J33" s="281">
        <v>0</v>
      </c>
      <c r="K33" s="281">
        <v>0</v>
      </c>
      <c r="L33" s="281">
        <v>0</v>
      </c>
      <c r="M33" s="281">
        <v>0</v>
      </c>
      <c r="N33" s="281">
        <v>0</v>
      </c>
      <c r="O33" s="281">
        <v>0</v>
      </c>
      <c r="P33" s="281">
        <v>0</v>
      </c>
      <c r="Q33" s="281">
        <v>0</v>
      </c>
      <c r="R33" s="281">
        <v>0</v>
      </c>
      <c r="S33" s="281">
        <v>0</v>
      </c>
      <c r="T33" s="281">
        <v>0</v>
      </c>
      <c r="U33" s="281">
        <v>0</v>
      </c>
      <c r="V33" s="281">
        <v>0</v>
      </c>
      <c r="W33" s="281">
        <v>0</v>
      </c>
      <c r="X33" s="281">
        <v>0</v>
      </c>
      <c r="Y33" s="281">
        <v>0</v>
      </c>
      <c r="Z33" s="281">
        <v>0</v>
      </c>
      <c r="AA33" s="281">
        <v>0</v>
      </c>
      <c r="AB33" s="281">
        <v>0</v>
      </c>
      <c r="AC33" s="281">
        <v>0</v>
      </c>
      <c r="AD33" s="281">
        <v>0</v>
      </c>
      <c r="AE33" s="281">
        <v>0</v>
      </c>
      <c r="AF33" s="281">
        <v>0</v>
      </c>
      <c r="AG33" s="281">
        <v>0</v>
      </c>
      <c r="AH33" s="281">
        <v>0</v>
      </c>
      <c r="AI33" s="281"/>
      <c r="AJ33" s="281"/>
      <c r="AK33" s="281">
        <f ca="1">SUMIF($C$9:AJ$10,1,$C33:AJ33)</f>
        <v>0</v>
      </c>
      <c r="AL33" s="281">
        <f>SUMIF($C$9:AH$9,0,$C33:AJ33)</f>
        <v>521019</v>
      </c>
      <c r="AM33" s="242"/>
      <c r="AN33" s="1254"/>
      <c r="AO33" s="189"/>
      <c r="AP33" s="189"/>
      <c r="AQ33" s="189"/>
      <c r="AT33" s="13"/>
      <c r="AU33" s="13"/>
      <c r="AV33" s="13"/>
    </row>
    <row r="34" spans="1:48" s="172" customFormat="1">
      <c r="A34" s="209" t="s">
        <v>197</v>
      </c>
      <c r="B34" s="244"/>
      <c r="C34" s="281"/>
      <c r="D34" s="281">
        <v>20164395</v>
      </c>
      <c r="E34" s="281"/>
      <c r="F34" s="281">
        <f>SUM(F29:F33)</f>
        <v>33171322.399999999</v>
      </c>
      <c r="G34" s="281"/>
      <c r="H34" s="281">
        <v>64148416</v>
      </c>
      <c r="I34" s="268"/>
      <c r="J34" s="268">
        <v>74295035.549999997</v>
      </c>
      <c r="K34" s="281"/>
      <c r="L34" s="281">
        <v>111474672.59999999</v>
      </c>
      <c r="M34" s="281"/>
      <c r="N34" s="281">
        <v>129234227.01128197</v>
      </c>
      <c r="O34" s="281"/>
      <c r="P34" s="281">
        <v>96385764.900000006</v>
      </c>
      <c r="Q34" s="281"/>
      <c r="R34" s="281">
        <v>112464040.18548048</v>
      </c>
      <c r="S34" s="281"/>
      <c r="T34" s="281">
        <v>212953255.16999999</v>
      </c>
      <c r="U34" s="281"/>
      <c r="V34" s="281">
        <v>308191551.72000003</v>
      </c>
      <c r="W34" s="281"/>
      <c r="X34" s="281">
        <v>177159512</v>
      </c>
      <c r="Y34" s="281"/>
      <c r="Z34" s="281">
        <v>120295868.77325147</v>
      </c>
      <c r="AA34" s="1258"/>
      <c r="AB34" s="1259">
        <v>62723795.960499994</v>
      </c>
      <c r="AC34" s="1260"/>
      <c r="AD34" s="1260">
        <v>66314382.549000002</v>
      </c>
      <c r="AE34" s="1260"/>
      <c r="AF34" s="1260">
        <v>79249442.209399998</v>
      </c>
      <c r="AG34" s="1261"/>
      <c r="AH34" s="1261">
        <f>SUM(AH29:AH32)</f>
        <v>120033410.70275959</v>
      </c>
      <c r="AI34" s="1260"/>
      <c r="AJ34" s="1260">
        <f>SUM(AJ29:AJ32)</f>
        <v>120015184.8272</v>
      </c>
      <c r="AK34" s="281"/>
      <c r="AL34" s="281">
        <f>SUMIF($C$9:AJ$9,0,$C34:AJ34)</f>
        <v>1908274277.5588732</v>
      </c>
      <c r="AM34" s="1257"/>
      <c r="AN34" s="1254"/>
      <c r="AO34" s="189"/>
      <c r="AP34" s="189"/>
      <c r="AQ34" s="189"/>
      <c r="AT34" s="13"/>
      <c r="AU34" s="13"/>
      <c r="AV34" s="13"/>
    </row>
    <row r="35" spans="1:48" s="172" customFormat="1">
      <c r="A35" s="209"/>
      <c r="B35" s="244"/>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1256"/>
      <c r="AC35" s="1256"/>
      <c r="AD35" s="1256"/>
      <c r="AE35" s="1256"/>
      <c r="AF35" s="1256"/>
      <c r="AG35" s="1256"/>
      <c r="AH35" s="1256"/>
      <c r="AI35" s="1256"/>
      <c r="AJ35" s="1256"/>
      <c r="AK35" s="281"/>
      <c r="AL35" s="281"/>
      <c r="AM35" s="1257"/>
      <c r="AN35" s="1254"/>
      <c r="AO35" s="189"/>
      <c r="AP35" s="189"/>
      <c r="AQ35" s="189"/>
      <c r="AT35" s="13"/>
      <c r="AU35" s="13"/>
      <c r="AV35" s="13"/>
    </row>
    <row r="36" spans="1:48" s="172" customFormat="1">
      <c r="A36" s="194" t="s">
        <v>198</v>
      </c>
      <c r="B36" s="197" t="s">
        <v>199</v>
      </c>
      <c r="C36" s="284">
        <f ca="1">SUMIF('Other Commodities - Q&amp;V'!$N17:$N259,'CY Q&amp;V 2004 to Now'!C$7,'Other Commodities - Q&amp;V'!$H17:$H253)*1000000</f>
        <v>24225123</v>
      </c>
      <c r="D36" s="284">
        <f ca="1">SUMIF('Other Commodities - Q&amp;V'!$N17:$N259,'CY Q&amp;V 2004 to Now'!C$7,'Other Commodities - Q&amp;V'!$I17:$I253)*1000000</f>
        <v>420744555</v>
      </c>
      <c r="E36" s="284">
        <f ca="1">SUMIF('Other Commodities - Q&amp;V'!$N17:$N259,'CY Q&amp;V 2004 to Now'!E$7,'Other Commodities - Q&amp;V'!$H17:$H253)*1000000</f>
        <v>34306878.999999993</v>
      </c>
      <c r="F36" s="284">
        <f ca="1">SUMIF('Other Commodities - Q&amp;V'!$N17:$N259,'CY Q&amp;V 2004 to Now'!E$7,'Other Commodities - Q&amp;V'!$I17:$I253)*1000000</f>
        <v>740148613</v>
      </c>
      <c r="G36" s="284">
        <f ca="1">SUMIF('Other Commodities - Q&amp;V'!$N17:$N259,'CY Q&amp;V 2004 to Now'!G$7,'Other Commodities - Q&amp;V'!$H17:$H253)*1000000</f>
        <v>17070388</v>
      </c>
      <c r="H36" s="284">
        <f ca="1">SUMIF('Other Commodities - Q&amp;V'!$N17:$N259,'CY Q&amp;V 2004 to Now'!G$7,'Other Commodities - Q&amp;V'!$I17:$I253)*1000000</f>
        <v>462457560.99999994</v>
      </c>
      <c r="I36" s="284">
        <f ca="1">SUMIF('Other Commodities - Q&amp;V'!$N17:$N259,'CY Q&amp;V 2004 to Now'!I$7,'Other Commodities - Q&amp;V'!$H17:$H253)*1000000</f>
        <v>23536777</v>
      </c>
      <c r="J36" s="284">
        <f ca="1">SUMIF('Other Commodities - Q&amp;V'!$N17:$N259,'CY Q&amp;V 2004 to Now'!I$7,'Other Commodities - Q&amp;V'!$I17:$I253)*1000000</f>
        <v>560730419.00000012</v>
      </c>
      <c r="K36" s="284">
        <f ca="1">SUMIF('Other Commodities - Q&amp;V'!$N17:$N259,'CY Q&amp;V 2004 to Now'!K$7,'Other Commodities - Q&amp;V'!$H17:$H253)*1000000</f>
        <v>35240545</v>
      </c>
      <c r="L36" s="284">
        <f ca="1">SUMIF('Other Commodities - Q&amp;V'!$N17:$N259,'CY Q&amp;V 2004 to Now'!K$7,'Other Commodities - Q&amp;V'!$I17:$I253)*1000000</f>
        <v>502741709</v>
      </c>
      <c r="M36" s="284">
        <f ca="1">SUMIF('Other Commodities - Q&amp;V'!$N17:$N259,'CY Q&amp;V 2004 to Now'!M$7,'Other Commodities - Q&amp;V'!$H17:$H253)*1000000</f>
        <v>11899603</v>
      </c>
      <c r="N36" s="284">
        <f ca="1">SUMIF('Other Commodities - Q&amp;V'!$N17:$N259,'CY Q&amp;V 2004 to Now'!M$7,'Other Commodities - Q&amp;V'!$I17:$I253)*1000000</f>
        <v>231502138</v>
      </c>
      <c r="O36" s="284">
        <f ca="1">SUMIF('Other Commodities - Q&amp;V'!$N17:$N259,'CY Q&amp;V 2004 to Now'!O$7,'Other Commodities - Q&amp;V'!$H17:$H253)*1000000</f>
        <v>14416656</v>
      </c>
      <c r="P36" s="284">
        <f ca="1">SUMIF('Other Commodities - Q&amp;V'!$N17:$N259,'CY Q&amp;V 2004 to Now'!O$7,'Other Commodities - Q&amp;V'!$I17:$I253)*1000000</f>
        <v>345543720.99999994</v>
      </c>
      <c r="Q36" s="284">
        <f ca="1">SUMIF('Other Commodities - Q&amp;V'!$N17:$N259,'CY Q&amp;V 2004 to Now'!Q$7,'Other Commodities - Q&amp;V'!$H17:$H253)*1000000</f>
        <v>7634725</v>
      </c>
      <c r="R36" s="284">
        <f ca="1">SUMIF('Other Commodities - Q&amp;V'!$N17:$N259,'CY Q&amp;V 2004 to Now'!Q$7,'Other Commodities - Q&amp;V'!$I17:$I253)*1000000</f>
        <v>291177856</v>
      </c>
      <c r="S36" s="284">
        <f ca="1">SUMIF('Other Commodities - Q&amp;V'!$N17:$N259,'CY Q&amp;V 2004 to Now'!S$7,'Other Commodities - Q&amp;V'!$H17:$H253)*1000000</f>
        <v>9878125</v>
      </c>
      <c r="T36" s="284">
        <f ca="1">SUMIF('Other Commodities - Q&amp;V'!$N17:$N259,'CY Q&amp;V 2004 to Now'!S$7,'Other Commodities - Q&amp;V'!$I17:$I253)*1000000</f>
        <v>350402676.00000006</v>
      </c>
      <c r="U36" s="284">
        <f ca="1">SUMIF('Other Commodities - Q&amp;V'!$N17:$N259,'CY Q&amp;V 2004 to Now'!U$7,'Other Commodities - Q&amp;V'!$H17:$H253)*1000000</f>
        <v>10694365.999999998</v>
      </c>
      <c r="V36" s="284">
        <f ca="1">SUMIF('Other Commodities - Q&amp;V'!$N17:$N259,'CY Q&amp;V 2004 to Now'!U$7,'Other Commodities - Q&amp;V'!$I17:$I253)*1000000</f>
        <v>389095743</v>
      </c>
      <c r="W36" s="284">
        <v>10629381.779999999</v>
      </c>
      <c r="X36" s="284">
        <v>370620755</v>
      </c>
      <c r="Y36" s="284">
        <v>12643318</v>
      </c>
      <c r="Z36" s="284">
        <f ca="1">SUMIF('Other Commodities - Q&amp;V'!$N17:$N259,'CY Q&amp;V 2004 to Now'!Y$7,'Other Commodities - Q&amp;V'!$I17:$I253)*1000000</f>
        <v>350487381</v>
      </c>
      <c r="AA36" s="284">
        <f ca="1">SUMIF('Other Commodities - Q&amp;V'!$N17:$N259,'CY Q&amp;V 2004 to Now'!AA$7,'Other Commodities - Q&amp;V'!$H17:$H253)*1000000</f>
        <v>9996252.0300000012</v>
      </c>
      <c r="AB36" s="1252">
        <f ca="1">SUMIF('Other Commodities - Q&amp;V'!$N17:$N259,'CY Q&amp;V 2004 to Now'!AA$7,'Other Commodities - Q&amp;V'!$I17:$I253)*1000000</f>
        <v>277059195.00000006</v>
      </c>
      <c r="AC36" s="284">
        <f ca="1">SUMIF('Other Commodities - Q&amp;V'!$N17:$N259,'CY Q&amp;V 2004 to Now'!AC$7,'Other Commodities - Q&amp;V'!$H17:$H253)*1000000</f>
        <v>15477909.889999999</v>
      </c>
      <c r="AD36" s="1252">
        <f ca="1">SUMIF('Other Commodities - Q&amp;V'!$N17:$N259,'CY Q&amp;V 2004 to Now'!AC$7,'Other Commodities - Q&amp;V'!$I17:$I253)*1000000</f>
        <v>267062677</v>
      </c>
      <c r="AE36" s="284">
        <f ca="1">SUMIF('Other Commodities - Q&amp;V'!$N17:$N259,'CY Q&amp;V 2004 to Now'!AE$7,'Other Commodities - Q&amp;V'!$H17:$H253)*1000000</f>
        <v>15977354.379999999</v>
      </c>
      <c r="AF36" s="1252">
        <f ca="1">SUMIF('Other Commodities - Q&amp;V'!$N17:$N259,'CY Q&amp;V 2004 to Now'!AE$7,'Other Commodities - Q&amp;V'!$I17:$I253)*1000000</f>
        <v>258785252</v>
      </c>
      <c r="AG36" s="1252">
        <f ca="1">SUMIF('Other Commodities - Q&amp;V'!$N17:$N259,'CY Q&amp;V 2004 to Now'!AG$7,'Other Commodities - Q&amp;V'!$H17:$H253)*1000000</f>
        <v>15763761.609999999</v>
      </c>
      <c r="AH36" s="1252">
        <f ca="1">SUMIF('Other Commodities - Q&amp;V'!$N17:$N259,'CY Q&amp;V 2004 to Now'!AG$7,'Other Commodities - Q&amp;V'!$I17:$I253)*1000000</f>
        <v>304278103</v>
      </c>
      <c r="AI36" s="1252">
        <f ca="1">SUMIF('Other Commodities - Q&amp;V'!$N17:$N259,'CY Q&amp;V 2004 to Now'!AI$7,'Other Commodities - Q&amp;V'!$H17:$H253)*1000000</f>
        <v>13911341.17</v>
      </c>
      <c r="AJ36" s="1252">
        <f ca="1">SUMIF('Other Commodities - Q&amp;V'!$N17:$N259,'CY Q&amp;V 2004 to Now'!AI$7,'Other Commodities - Q&amp;V'!$I17:$I253)*1000000</f>
        <v>190381171</v>
      </c>
      <c r="AK36" s="284">
        <f ca="1">SUMIF($C$9:AJ$10,1,$C36:AJ36)</f>
        <v>283302505.86000001</v>
      </c>
      <c r="AL36" s="284">
        <f ca="1">SUMIF($C$9:AJ$10,0,$C36:AJ36)</f>
        <v>6313219525</v>
      </c>
      <c r="AM36" s="242"/>
      <c r="AN36" s="1254"/>
      <c r="AO36" s="189"/>
      <c r="AP36" s="189"/>
      <c r="AQ36" s="189"/>
      <c r="AT36" s="13"/>
      <c r="AU36" s="13"/>
      <c r="AV36" s="13"/>
    </row>
    <row r="37" spans="1:48" s="172" customFormat="1">
      <c r="A37" s="214"/>
      <c r="B37" s="213"/>
      <c r="C37" s="284"/>
      <c r="D37" s="284"/>
      <c r="E37" s="284"/>
      <c r="F37" s="284"/>
      <c r="G37" s="284"/>
      <c r="H37" s="284"/>
      <c r="I37" s="258"/>
      <c r="J37" s="258"/>
      <c r="K37" s="284"/>
      <c r="L37" s="284"/>
      <c r="M37" s="284"/>
      <c r="N37" s="284"/>
      <c r="O37" s="284"/>
      <c r="P37" s="284"/>
      <c r="Q37" s="284"/>
      <c r="R37" s="284"/>
      <c r="S37" s="284"/>
      <c r="T37" s="284"/>
      <c r="U37" s="284"/>
      <c r="V37" s="284"/>
      <c r="W37" s="284"/>
      <c r="X37" s="284"/>
      <c r="Y37" s="284"/>
      <c r="Z37" s="284"/>
      <c r="AA37" s="284"/>
      <c r="AB37" s="1252"/>
      <c r="AC37" s="1252"/>
      <c r="AD37" s="1252"/>
      <c r="AE37" s="1252"/>
      <c r="AF37" s="1252"/>
      <c r="AG37" s="1252"/>
      <c r="AH37" s="1252"/>
      <c r="AI37" s="1252"/>
      <c r="AJ37" s="1252"/>
      <c r="AK37" s="284"/>
      <c r="AL37" s="284"/>
      <c r="AM37" s="1257"/>
      <c r="AN37" s="1254"/>
      <c r="AO37" s="189"/>
      <c r="AP37" s="189"/>
      <c r="AQ37" s="189"/>
      <c r="AT37" s="13"/>
      <c r="AU37" s="13"/>
      <c r="AV37" s="13"/>
    </row>
    <row r="38" spans="1:48" s="172" customFormat="1">
      <c r="A38" s="204" t="s">
        <v>201</v>
      </c>
      <c r="B38" s="379" t="s">
        <v>87</v>
      </c>
      <c r="C38" s="281">
        <v>8669.94</v>
      </c>
      <c r="D38" s="281">
        <v>1793961</v>
      </c>
      <c r="E38" s="281">
        <v>6192.2939999999999</v>
      </c>
      <c r="F38" s="281">
        <v>1319717</v>
      </c>
      <c r="G38" s="281">
        <v>1932</v>
      </c>
      <c r="H38" s="281">
        <v>324543</v>
      </c>
      <c r="I38" s="268">
        <v>522.17999999999995</v>
      </c>
      <c r="J38" s="268">
        <v>140804</v>
      </c>
      <c r="K38" s="281">
        <v>1468.1200000000001</v>
      </c>
      <c r="L38" s="281">
        <v>312173</v>
      </c>
      <c r="M38" s="281">
        <v>5980.43</v>
      </c>
      <c r="N38" s="281">
        <v>333130</v>
      </c>
      <c r="O38" s="281">
        <v>5161.84</v>
      </c>
      <c r="P38" s="281">
        <v>728675</v>
      </c>
      <c r="Q38" s="281">
        <v>11281.03</v>
      </c>
      <c r="R38" s="281">
        <v>1074311.3999999999</v>
      </c>
      <c r="S38" s="281">
        <v>3497.88</v>
      </c>
      <c r="T38" s="281">
        <v>1513547</v>
      </c>
      <c r="U38" s="281">
        <v>4955.9400000000005</v>
      </c>
      <c r="V38" s="281">
        <v>1133213</v>
      </c>
      <c r="W38" s="281">
        <v>33613</v>
      </c>
      <c r="X38" s="281">
        <v>2868092</v>
      </c>
      <c r="Y38" s="281">
        <v>5372</v>
      </c>
      <c r="Z38" s="281">
        <v>2443946</v>
      </c>
      <c r="AA38" s="1258">
        <v>4699.7999999999993</v>
      </c>
      <c r="AB38" s="1259">
        <v>2024447</v>
      </c>
      <c r="AC38" s="1259">
        <v>5456.6200000000008</v>
      </c>
      <c r="AD38" s="1259">
        <v>2200482</v>
      </c>
      <c r="AE38" s="1259">
        <v>8873.75</v>
      </c>
      <c r="AF38" s="1259">
        <v>2204050</v>
      </c>
      <c r="AG38" s="1259">
        <v>5660.7350000000006</v>
      </c>
      <c r="AH38" s="1259">
        <v>1412586</v>
      </c>
      <c r="AI38" s="1259">
        <v>11533.182000000003</v>
      </c>
      <c r="AJ38" s="1259">
        <v>1504489</v>
      </c>
      <c r="AK38" s="281">
        <f>SUMIF($C$9:AJ$9,1,$C38:AJ38)</f>
        <v>124870.74100000001</v>
      </c>
      <c r="AL38" s="281">
        <f ca="1">SUMIF($C$9:AJ$10,0,$C38:AJ38)</f>
        <v>23332166.399999999</v>
      </c>
      <c r="AM38" s="242"/>
      <c r="AN38" s="1254"/>
      <c r="AO38" s="189"/>
      <c r="AP38" s="189"/>
      <c r="AQ38" s="189"/>
      <c r="AT38" s="13"/>
      <c r="AU38" s="13"/>
      <c r="AV38" s="13"/>
    </row>
    <row r="39" spans="1:48" s="172" customFormat="1">
      <c r="A39" s="209"/>
      <c r="B39" s="244"/>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1263"/>
      <c r="AB39" s="1264"/>
      <c r="AC39" s="1264"/>
      <c r="AD39" s="1264"/>
      <c r="AE39" s="1264"/>
      <c r="AF39" s="1264"/>
      <c r="AG39" s="1264"/>
      <c r="AH39" s="1264"/>
      <c r="AI39" s="1264"/>
      <c r="AJ39" s="1264"/>
      <c r="AK39" s="281"/>
      <c r="AL39" s="281"/>
      <c r="AM39" s="1257"/>
      <c r="AN39" s="1254"/>
      <c r="AO39" s="189"/>
      <c r="AP39" s="189"/>
      <c r="AQ39" s="189"/>
      <c r="AT39" s="13"/>
      <c r="AU39" s="13"/>
      <c r="AV39" s="13"/>
    </row>
    <row r="40" spans="1:48" s="172" customFormat="1">
      <c r="A40" s="194" t="s">
        <v>212</v>
      </c>
      <c r="B40" s="195" t="s">
        <v>160</v>
      </c>
      <c r="C40" s="258">
        <v>370275.9</v>
      </c>
      <c r="D40" s="258">
        <v>257986</v>
      </c>
      <c r="E40" s="284">
        <v>274497.34399999998</v>
      </c>
      <c r="F40" s="284">
        <v>227582</v>
      </c>
      <c r="G40" s="284">
        <v>321678</v>
      </c>
      <c r="H40" s="284">
        <v>267986</v>
      </c>
      <c r="I40" s="258">
        <v>263683.34000000003</v>
      </c>
      <c r="J40" s="258">
        <v>206222</v>
      </c>
      <c r="K40" s="284">
        <v>3007059.02</v>
      </c>
      <c r="L40" s="284">
        <v>402977.18</v>
      </c>
      <c r="M40" s="284">
        <v>387998.06</v>
      </c>
      <c r="N40" s="284">
        <v>317449</v>
      </c>
      <c r="O40" s="284">
        <v>508983.76</v>
      </c>
      <c r="P40" s="284">
        <v>364163</v>
      </c>
      <c r="Q40" s="284">
        <v>147262.32999999999</v>
      </c>
      <c r="R40" s="284">
        <v>133026</v>
      </c>
      <c r="S40" s="284">
        <v>274927.67199999996</v>
      </c>
      <c r="T40" s="284">
        <v>344291.28</v>
      </c>
      <c r="U40" s="284">
        <v>360314.53</v>
      </c>
      <c r="V40" s="284">
        <v>437312</v>
      </c>
      <c r="W40" s="284">
        <v>664221</v>
      </c>
      <c r="X40" s="284">
        <v>1346627</v>
      </c>
      <c r="Y40" s="284">
        <v>286935</v>
      </c>
      <c r="Z40" s="284">
        <v>650402</v>
      </c>
      <c r="AA40" s="1265">
        <v>233079.883</v>
      </c>
      <c r="AB40" s="1266">
        <v>320805</v>
      </c>
      <c r="AC40" s="1266">
        <v>273861.73033333337</v>
      </c>
      <c r="AD40" s="1266">
        <v>805787.5</v>
      </c>
      <c r="AE40" s="1266">
        <v>176428.598</v>
      </c>
      <c r="AF40" s="1266">
        <v>272125</v>
      </c>
      <c r="AG40" s="1266">
        <v>210882.95300000001</v>
      </c>
      <c r="AH40" s="1266">
        <v>467379</v>
      </c>
      <c r="AI40" s="1266">
        <v>178801.53000000003</v>
      </c>
      <c r="AJ40" s="1266">
        <v>376237</v>
      </c>
      <c r="AK40" s="284">
        <f ca="1">SUMIF($C$9:AJ$10,1,$C40:AJ40)</f>
        <v>7940890.6503333338</v>
      </c>
      <c r="AL40" s="284">
        <f>SUMIF($C$9:AJ$9,0,$C40:AJ40)</f>
        <v>7198356.96</v>
      </c>
      <c r="AM40" s="242"/>
      <c r="AN40" s="1254"/>
      <c r="AO40" s="189"/>
      <c r="AP40" s="189"/>
      <c r="AQ40" s="189"/>
      <c r="AT40" s="13"/>
      <c r="AU40" s="13"/>
      <c r="AV40" s="13"/>
    </row>
    <row r="41" spans="1:48" s="172" customFormat="1">
      <c r="A41" s="214"/>
      <c r="B41" s="213"/>
      <c r="C41" s="284"/>
      <c r="D41" s="284"/>
      <c r="E41" s="284"/>
      <c r="F41" s="284"/>
      <c r="G41" s="284"/>
      <c r="H41" s="284"/>
      <c r="I41" s="258"/>
      <c r="J41" s="258"/>
      <c r="K41" s="284"/>
      <c r="L41" s="284"/>
      <c r="M41" s="284"/>
      <c r="N41" s="284"/>
      <c r="O41" s="284"/>
      <c r="P41" s="284"/>
      <c r="Q41" s="284"/>
      <c r="R41" s="284"/>
      <c r="S41" s="284"/>
      <c r="T41" s="284"/>
      <c r="U41" s="284"/>
      <c r="V41" s="284"/>
      <c r="W41" s="284"/>
      <c r="X41" s="284"/>
      <c r="Y41" s="284"/>
      <c r="Z41" s="284"/>
      <c r="AA41" s="284"/>
      <c r="AB41" s="1252"/>
      <c r="AC41" s="1252"/>
      <c r="AD41" s="1252"/>
      <c r="AE41" s="1252"/>
      <c r="AF41" s="1252"/>
      <c r="AG41" s="1252"/>
      <c r="AH41" s="1252"/>
      <c r="AI41" s="1252"/>
      <c r="AJ41" s="1252"/>
      <c r="AK41" s="284"/>
      <c r="AL41" s="284"/>
      <c r="AM41" s="1257"/>
      <c r="AN41" s="1254"/>
      <c r="AO41" s="189"/>
      <c r="AP41" s="189"/>
      <c r="AQ41" s="189"/>
      <c r="AT41" s="13"/>
      <c r="AU41" s="13"/>
      <c r="AV41" s="13"/>
    </row>
    <row r="42" spans="1:48" s="172" customFormat="1">
      <c r="A42" s="204" t="s">
        <v>232</v>
      </c>
      <c r="B42" s="201" t="s">
        <v>160</v>
      </c>
      <c r="C42" s="281">
        <v>178958.9</v>
      </c>
      <c r="D42" s="281">
        <v>3199913329</v>
      </c>
      <c r="E42" s="281">
        <f>SUMIF('Gold - Q&amp;V'!$D8:$D250,'CY Q&amp;V 2004 to Now'!E7,'Gold - Q&amp;V'!$B8:$B250)*1000</f>
        <v>167285.32349000001</v>
      </c>
      <c r="F42" s="281">
        <f>SUMIF('Gold - Q&amp;V'!$D8:$D250,'CY Q&amp;V 2004 to Now'!E7,'Gold - Q&amp;V'!$C8:$C250)*1000000</f>
        <v>3144134798</v>
      </c>
      <c r="G42" s="281">
        <f>SUMIF('Gold - Q&amp;V'!$D8:$D250,'CY Q&amp;V 2004 to Now'!G7,'Gold - Q&amp;V'!$B8:$B250)*1000</f>
        <v>162969.09348999997</v>
      </c>
      <c r="H42" s="281">
        <f>SUMIF('Gold - Q&amp;V'!$D8:$D250,'CY Q&amp;V 2004 to Now'!G7,'Gold - Q&amp;V'!$C8:$C250)*1000000</f>
        <v>4208332570.0000005</v>
      </c>
      <c r="I42" s="281">
        <f>SUMIF('Gold - Q&amp;V'!$D8:$D250,'CY Q&amp;V 2004 to Now'!I7,'Gold - Q&amp;V'!$B8:$B250)*1000</f>
        <v>151448.83905999997</v>
      </c>
      <c r="J42" s="281">
        <f>SUMIF('Gold - Q&amp;V'!$D8:$D250,'CY Q&amp;V 2004 to Now'!I7,'Gold - Q&amp;V'!$C8:$C250)*1000000</f>
        <v>4039057729</v>
      </c>
      <c r="K42" s="281">
        <f>SUMIF('Gold - Q&amp;V'!$D8:$D250,'CY Q&amp;V 2004 to Now'!K7,'Gold - Q&amp;V'!$B8:$B250)*1000</f>
        <v>132074.25353000002</v>
      </c>
      <c r="L42" s="281">
        <f>SUMIF('Gold - Q&amp;V'!$D8:$D250,'CY Q&amp;V 2004 to Now'!K7,'Gold - Q&amp;V'!$C8:$C250)*1000000</f>
        <v>4399513068</v>
      </c>
      <c r="M42" s="281">
        <f>SUMIF('Gold - Q&amp;V'!$D8:$D250,'CY Q&amp;V 2004 to Now'!M7,'Gold - Q&amp;V'!$B8:$B250)*1000</f>
        <v>146427.91006000002</v>
      </c>
      <c r="N42" s="281">
        <f>SUMIF('Gold - Q&amp;V'!$D8:$D250,'CY Q&amp;V 2004 to Now'!M7,'Gold - Q&amp;V'!$C8:$C250)*1000000</f>
        <v>5814421613</v>
      </c>
      <c r="O42" s="281">
        <f>SUMIF('Gold - Q&amp;V'!$D8:$D250,'CY Q&amp;V 2004 to Now'!O7,'Gold - Q&amp;V'!$B8:$B250)*1000</f>
        <v>182899.55302999998</v>
      </c>
      <c r="P42" s="281">
        <f>SUMIF('Gold - Q&amp;V'!$D8:$D250,'CY Q&amp;V 2004 to Now'!O7,'Gold - Q&amp;V'!$C8:$C250)*1000000</f>
        <v>7849131459</v>
      </c>
      <c r="Q42" s="281">
        <f>SUMIF('Gold - Q&amp;V'!$D8:$D250,'CY Q&amp;V 2004 to Now'!Q7,'Gold - Q&amp;V'!$B8:$B250)*1000</f>
        <v>179608.17457</v>
      </c>
      <c r="R42" s="281">
        <f>SUMIF('Gold - Q&amp;V'!$D8:$D250,'CY Q&amp;V 2004 to Now'!Q7,'Gold - Q&amp;V'!$C8:$C250)*1000000</f>
        <v>8793892579</v>
      </c>
      <c r="S42" s="281">
        <f>SUMIF('Gold - Q&amp;V'!$D8:$D250,'CY Q&amp;V 2004 to Now'!S7,'Gold - Q&amp;V'!$B8:$B250)*1000</f>
        <v>181286.63516000001</v>
      </c>
      <c r="T42" s="281">
        <f>SUMIF('Gold - Q&amp;V'!$D8:$D250,'CY Q&amp;V 2004 to Now'!S7,'Gold - Q&amp;V'!$C8:$C250)*1000000</f>
        <v>9380306472</v>
      </c>
      <c r="U42" s="281">
        <f>SUMIF('Gold - Q&amp;V'!$D8:$D250,'CY Q&amp;V 2004 to Now'!U7,'Gold - Q&amp;V'!$B8:$B250)*1000</f>
        <v>187454.36469999998</v>
      </c>
      <c r="V42" s="281">
        <f>SUMIF('Gold - Q&amp;V'!$D8:$D250,'CY Q&amp;V 2004 to Now'!U7,'Gold - Q&amp;V'!$C8:$C250)*1000000</f>
        <v>8742677440</v>
      </c>
      <c r="W42" s="281">
        <f>SUMIF('Gold - Q&amp;V'!$D8:$D250,'CY Q&amp;V 2004 to Now'!W7,'Gold - Q&amp;V'!$B8:$B250)*1000</f>
        <v>194736.49055852593</v>
      </c>
      <c r="X42" s="281">
        <f>SUMIF('Gold - Q&amp;V'!$D8:$D250,'CY Q&amp;V 2004 to Now'!W7,'Gold - Q&amp;V'!$C8:$C250)*1000000</f>
        <v>8786109164.0000019</v>
      </c>
      <c r="Y42" s="281">
        <f>SUMIF('Gold - Q&amp;V'!$D8:$D250,'CY Q&amp;V 2004 to Now'!Y7,'Gold - Q&amp;V'!$B8:$B250)*1000</f>
        <v>194469.98849169692</v>
      </c>
      <c r="Z42" s="281">
        <f>SUMIF('Gold - Q&amp;V'!$D8:$D250,'CY Q&amp;V 2004 to Now'!Y7,'Gold - Q&amp;V'!$C8:$C250)*1000000</f>
        <v>9627653207</v>
      </c>
      <c r="AA42" s="281">
        <f>SUMIF('Gold - Q&amp;V'!$D8:$D250,'CY Q&amp;V 2004 to Now'!AA7,'Gold - Q&amp;V'!$B8:$B250)*1000</f>
        <v>197025.09114887082</v>
      </c>
      <c r="AB42" s="1256">
        <f>SUMIF('Gold - Q&amp;V'!$D8:$D250,'CY Q&amp;V 2004 to Now'!AA7,'Gold - Q&amp;V'!$C8:$C250)*1000000</f>
        <v>10627038843</v>
      </c>
      <c r="AC42" s="1256">
        <f>SUMIF('Gold - Q&amp;V'!$D8:$D250,'CY Q&amp;V 2004 to Now'!AC7,'Gold - Q&amp;V'!$B8:$B250)*1000</f>
        <v>210863.26338151269</v>
      </c>
      <c r="AD42" s="1256">
        <f>SUMIF('Gold - Q&amp;V'!$D8:$D250,'CY Q&amp;V 2004 to Now'!AC7,'Gold - Q&amp;V'!$C8:$C250)*1000000</f>
        <v>11129617231</v>
      </c>
      <c r="AE42" s="1256">
        <f>SUMIF('Gold - Q&amp;V'!$D8:$D250,'CY Q&amp;V 2004 to Now'!AE7,'Gold - Q&amp;V'!$B8:$B250)*1000</f>
        <v>212115.82052473506</v>
      </c>
      <c r="AF42" s="1256">
        <f>SUMIF('Gold - Q&amp;V'!$D8:$D250,'CY Q&amp;V 2004 to Now'!AE7,'Gold - Q&amp;V'!$C8:$C250)*1000000</f>
        <v>11516572680.999998</v>
      </c>
      <c r="AG42" s="1267">
        <f>SUMIF('Gold - Q&amp;V'!$D8:$D250,'CY Q&amp;V 2004 to Now'!AG7,'Gold - Q&amp;V'!$B8:$B250)*1000</f>
        <v>213893.67239593537</v>
      </c>
      <c r="AH42" s="1267">
        <f>SUMIF('Gold - Q&amp;V'!$D8:$D250,'CY Q&amp;V 2004 to Now'!AG7,'Gold - Q&amp;V'!$C8:$C250)*1000000</f>
        <v>13808473690</v>
      </c>
      <c r="AI42" s="1256">
        <f>SUMIF('Gold - Q&amp;V'!$D8:$D250,'CY Q&amp;V 2004 to Now'!AI7,'Gold - Q&amp;V'!$B8:$B250)*1000</f>
        <v>209576.67102115974</v>
      </c>
      <c r="AJ42" s="1256">
        <f>SUMIF('Gold - Q&amp;V'!$D8:$D250,'CY Q&amp;V 2004 to Now'!AI7,'Gold - Q&amp;V'!$C8:$C250)*1000000</f>
        <v>17269741701</v>
      </c>
      <c r="AK42" s="281">
        <f>SUMIF($C$9:AJ$9,1,$C42:AJ42)</f>
        <v>3103094.044612437</v>
      </c>
      <c r="AL42" s="281">
        <f>SUMIF($C$9:AJ$9,0,$C42:AJ42)</f>
        <v>142336587574</v>
      </c>
      <c r="AM42" s="242"/>
      <c r="AN42" s="1254"/>
      <c r="AO42" s="189"/>
      <c r="AP42" s="189"/>
      <c r="AQ42" s="189"/>
      <c r="AT42" s="13"/>
      <c r="AU42" s="13"/>
      <c r="AV42" s="13"/>
    </row>
    <row r="43" spans="1:48" s="172" customFormat="1">
      <c r="A43" s="212"/>
      <c r="B43" s="207"/>
      <c r="C43" s="268"/>
      <c r="D43" s="268"/>
      <c r="E43" s="281"/>
      <c r="F43" s="281"/>
      <c r="G43" s="281"/>
      <c r="H43" s="281"/>
      <c r="I43" s="268"/>
      <c r="J43" s="268"/>
      <c r="K43" s="281"/>
      <c r="L43" s="281"/>
      <c r="M43" s="281"/>
      <c r="N43" s="281"/>
      <c r="O43" s="281"/>
      <c r="P43" s="281"/>
      <c r="Q43" s="281"/>
      <c r="R43" s="281"/>
      <c r="S43" s="281"/>
      <c r="T43" s="281"/>
      <c r="U43" s="281"/>
      <c r="V43" s="281"/>
      <c r="W43" s="281"/>
      <c r="X43" s="281"/>
      <c r="Y43" s="1268"/>
      <c r="Z43" s="1268"/>
      <c r="AA43" s="1268"/>
      <c r="AB43" s="1269"/>
      <c r="AC43" s="1269"/>
      <c r="AD43" s="1269"/>
      <c r="AE43" s="1270"/>
      <c r="AF43" s="1270"/>
      <c r="AG43" s="1269"/>
      <c r="AH43" s="1269"/>
      <c r="AI43" s="1270"/>
      <c r="AJ43" s="1270"/>
      <c r="AK43" s="281"/>
      <c r="AL43" s="281"/>
      <c r="AM43" s="1257"/>
      <c r="AN43" s="1254"/>
      <c r="AO43" s="189"/>
      <c r="AP43" s="189"/>
      <c r="AQ43" s="189"/>
      <c r="AT43" s="13"/>
      <c r="AU43" s="13"/>
      <c r="AV43" s="13"/>
    </row>
    <row r="44" spans="1:48" s="172" customFormat="1">
      <c r="A44" s="194" t="s">
        <v>234</v>
      </c>
      <c r="B44" s="227" t="s">
        <v>87</v>
      </c>
      <c r="C44" s="258">
        <v>1578043</v>
      </c>
      <c r="D44" s="258">
        <v>26207706.609999999</v>
      </c>
      <c r="E44" s="284">
        <v>1406082</v>
      </c>
      <c r="F44" s="284">
        <v>23112327.91</v>
      </c>
      <c r="G44" s="284">
        <v>1548611</v>
      </c>
      <c r="H44" s="284">
        <v>28127147.52</v>
      </c>
      <c r="I44" s="258">
        <v>1281736</v>
      </c>
      <c r="J44" s="258">
        <v>20753890.079999998</v>
      </c>
      <c r="K44" s="284">
        <v>914370</v>
      </c>
      <c r="L44" s="284">
        <v>15420741</v>
      </c>
      <c r="M44" s="284">
        <v>784374</v>
      </c>
      <c r="N44" s="284">
        <v>17122457</v>
      </c>
      <c r="O44" s="284">
        <v>891282</v>
      </c>
      <c r="P44" s="284">
        <v>17145292</v>
      </c>
      <c r="Q44" s="284">
        <v>357356</v>
      </c>
      <c r="R44" s="284">
        <v>5674505</v>
      </c>
      <c r="S44" s="284">
        <v>245829</v>
      </c>
      <c r="T44" s="284">
        <v>3850828</v>
      </c>
      <c r="U44" s="284">
        <v>1635755</v>
      </c>
      <c r="V44" s="284">
        <v>8393968.8599999994</v>
      </c>
      <c r="W44" s="284">
        <v>612071</v>
      </c>
      <c r="X44" s="284">
        <v>11120382</v>
      </c>
      <c r="Y44" s="284">
        <v>580557.54599999997</v>
      </c>
      <c r="Z44" s="284">
        <v>13792538.75</v>
      </c>
      <c r="AA44" s="1265">
        <v>487002.755</v>
      </c>
      <c r="AB44" s="1266">
        <v>12316700.775</v>
      </c>
      <c r="AC44" s="1266">
        <v>679021.29700000002</v>
      </c>
      <c r="AD44" s="1266">
        <v>16150901.560000001</v>
      </c>
      <c r="AE44" s="1266">
        <v>854540.97000000009</v>
      </c>
      <c r="AF44" s="1266">
        <v>18831156.906199999</v>
      </c>
      <c r="AG44" s="1271">
        <v>747080.86</v>
      </c>
      <c r="AH44" s="1271">
        <v>14424214.162999999</v>
      </c>
      <c r="AI44" s="1266">
        <v>503927.78</v>
      </c>
      <c r="AJ44" s="1266">
        <v>11659740.216600001</v>
      </c>
      <c r="AK44" s="284">
        <f>SUMIF($C$9:AJ$9,1,$C44:AJ44)</f>
        <v>15107640.208000001</v>
      </c>
      <c r="AL44" s="284">
        <f>SUMIF($C$9:AJ$9,0,$C44:AJ44)</f>
        <v>264104498.35080001</v>
      </c>
      <c r="AM44" s="242"/>
      <c r="AN44" s="1254"/>
      <c r="AO44" s="189"/>
      <c r="AP44" s="189"/>
      <c r="AQ44" s="189"/>
      <c r="AT44" s="13"/>
      <c r="AU44" s="13"/>
      <c r="AV44" s="13"/>
    </row>
    <row r="45" spans="1:48" s="172" customFormat="1">
      <c r="A45" s="194"/>
      <c r="B45" s="195"/>
      <c r="C45" s="258"/>
      <c r="D45" s="258"/>
      <c r="E45" s="284"/>
      <c r="F45" s="284"/>
      <c r="G45" s="284"/>
      <c r="H45" s="284"/>
      <c r="I45" s="258"/>
      <c r="J45" s="258"/>
      <c r="K45" s="284"/>
      <c r="L45" s="284"/>
      <c r="M45" s="284"/>
      <c r="N45" s="284"/>
      <c r="O45" s="284"/>
      <c r="P45" s="284"/>
      <c r="Q45" s="284"/>
      <c r="R45" s="284"/>
      <c r="S45" s="284"/>
      <c r="T45" s="284"/>
      <c r="U45" s="284"/>
      <c r="V45" s="284"/>
      <c r="W45" s="284"/>
      <c r="X45" s="284"/>
      <c r="Y45" s="284"/>
      <c r="Z45" s="284"/>
      <c r="AA45" s="284"/>
      <c r="AB45" s="1252"/>
      <c r="AC45" s="1252"/>
      <c r="AD45" s="1252"/>
      <c r="AE45" s="1252"/>
      <c r="AF45" s="1252"/>
      <c r="AG45" s="1252"/>
      <c r="AH45" s="1252"/>
      <c r="AI45" s="1252"/>
      <c r="AJ45" s="1252"/>
      <c r="AK45" s="284"/>
      <c r="AL45" s="284"/>
      <c r="AM45" s="1257"/>
      <c r="AN45" s="1254"/>
      <c r="AO45" s="189"/>
      <c r="AP45" s="189"/>
      <c r="AQ45" s="189"/>
      <c r="AT45" s="13"/>
      <c r="AU45" s="13"/>
      <c r="AV45" s="13"/>
    </row>
    <row r="46" spans="1:48" s="172" customFormat="1">
      <c r="A46" s="204" t="s">
        <v>460</v>
      </c>
      <c r="B46" s="244"/>
      <c r="C46" s="281"/>
      <c r="D46" s="281"/>
      <c r="E46" s="281"/>
      <c r="F46" s="281"/>
      <c r="G46" s="281"/>
      <c r="H46" s="281"/>
      <c r="I46" s="281"/>
      <c r="J46" s="281"/>
      <c r="K46" s="281"/>
      <c r="L46" s="281"/>
      <c r="M46" s="281"/>
      <c r="N46" s="281"/>
      <c r="O46" s="281"/>
      <c r="P46" s="281"/>
      <c r="Q46" s="281"/>
      <c r="R46" s="281"/>
      <c r="S46" s="281"/>
      <c r="T46" s="281"/>
      <c r="U46" s="1272"/>
      <c r="V46" s="1272"/>
      <c r="W46" s="281"/>
      <c r="X46" s="281"/>
      <c r="Y46" s="1272"/>
      <c r="Z46" s="1272"/>
      <c r="AA46" s="1272"/>
      <c r="AB46" s="1273"/>
      <c r="AC46" s="1273"/>
      <c r="AD46" s="1273"/>
      <c r="AE46" s="1256"/>
      <c r="AF46" s="1256"/>
      <c r="AG46" s="1273"/>
      <c r="AH46" s="1273"/>
      <c r="AI46" s="1256"/>
      <c r="AJ46" s="1256"/>
      <c r="AK46" s="281"/>
      <c r="AL46" s="281"/>
      <c r="AM46" s="1257"/>
      <c r="AN46" s="245"/>
      <c r="AO46" s="217"/>
      <c r="AP46" s="217"/>
      <c r="AQ46" s="218"/>
      <c r="AT46" s="13"/>
      <c r="AU46" s="13"/>
      <c r="AV46" s="13"/>
    </row>
    <row r="47" spans="1:48" s="172" customFormat="1">
      <c r="A47" s="206" t="s">
        <v>297</v>
      </c>
      <c r="B47" s="327" t="s">
        <v>87</v>
      </c>
      <c r="C47" s="268">
        <v>134761.07999999999</v>
      </c>
      <c r="D47" s="268" t="s">
        <v>785</v>
      </c>
      <c r="E47" s="281">
        <v>246128.25</v>
      </c>
      <c r="F47" s="281" t="s">
        <v>785</v>
      </c>
      <c r="G47" s="281">
        <v>278233</v>
      </c>
      <c r="H47" s="281" t="s">
        <v>785</v>
      </c>
      <c r="I47" s="268">
        <v>294006.77</v>
      </c>
      <c r="J47" s="268" t="s">
        <v>785</v>
      </c>
      <c r="K47" s="281">
        <v>298290.28000000003</v>
      </c>
      <c r="L47" s="281" t="s">
        <v>785</v>
      </c>
      <c r="M47" s="281">
        <v>275559.82999999996</v>
      </c>
      <c r="N47" s="281" t="s">
        <v>785</v>
      </c>
      <c r="O47" s="281">
        <v>196839.06999999998</v>
      </c>
      <c r="P47" s="281" t="s">
        <v>785</v>
      </c>
      <c r="Q47" s="281">
        <v>308139.42</v>
      </c>
      <c r="R47" s="281" t="s">
        <v>785</v>
      </c>
      <c r="S47" s="281">
        <v>266224.46000000002</v>
      </c>
      <c r="T47" s="281" t="s">
        <v>785</v>
      </c>
      <c r="U47" s="281">
        <v>395840.81</v>
      </c>
      <c r="V47" s="281" t="s">
        <v>785</v>
      </c>
      <c r="W47" s="281">
        <v>274662</v>
      </c>
      <c r="X47" s="281" t="s">
        <v>785</v>
      </c>
      <c r="Y47" s="281">
        <v>283108</v>
      </c>
      <c r="Z47" s="281" t="s">
        <v>785</v>
      </c>
      <c r="AA47" s="1258">
        <v>574659.56999999995</v>
      </c>
      <c r="AB47" s="1259" t="s">
        <v>785</v>
      </c>
      <c r="AC47" s="1259">
        <v>363572.54000000004</v>
      </c>
      <c r="AD47" s="1259" t="s">
        <v>785</v>
      </c>
      <c r="AE47" s="1259">
        <v>360132.95999999996</v>
      </c>
      <c r="AF47" s="1259" t="s">
        <v>785</v>
      </c>
      <c r="AG47" s="1274">
        <v>352977.57999999996</v>
      </c>
      <c r="AH47" s="1600" t="s">
        <v>785</v>
      </c>
      <c r="AI47" s="1259">
        <v>296050.51</v>
      </c>
      <c r="AJ47" s="1259" t="s">
        <v>785</v>
      </c>
      <c r="AK47" s="281">
        <f>SUMIF($C$9:AJ$9,1,$C47:AJ47)</f>
        <v>5199186.13</v>
      </c>
      <c r="AL47" s="281" t="s">
        <v>785</v>
      </c>
      <c r="AM47" s="242"/>
      <c r="AN47" s="1254"/>
      <c r="AO47" s="189"/>
      <c r="AP47" s="189"/>
      <c r="AQ47" s="189"/>
      <c r="AT47" s="13"/>
      <c r="AU47" s="13"/>
      <c r="AV47" s="13"/>
    </row>
    <row r="48" spans="1:48" s="172" customFormat="1">
      <c r="A48" s="206" t="s">
        <v>298</v>
      </c>
      <c r="B48" s="327" t="s">
        <v>87</v>
      </c>
      <c r="C48" s="268">
        <v>775442.7</v>
      </c>
      <c r="D48" s="268">
        <v>90689749</v>
      </c>
      <c r="E48" s="281">
        <v>666429.46</v>
      </c>
      <c r="F48" s="281">
        <v>74696021</v>
      </c>
      <c r="G48" s="281">
        <v>742079</v>
      </c>
      <c r="H48" s="281">
        <v>84444176</v>
      </c>
      <c r="I48" s="268">
        <v>730873.79</v>
      </c>
      <c r="J48" s="268">
        <v>79800273</v>
      </c>
      <c r="K48" s="281">
        <v>598904.57999999996</v>
      </c>
      <c r="L48" s="281">
        <v>76945319</v>
      </c>
      <c r="M48" s="281">
        <v>463741.5</v>
      </c>
      <c r="N48" s="281">
        <v>63498346</v>
      </c>
      <c r="O48" s="281">
        <v>497715.15999999992</v>
      </c>
      <c r="P48" s="281">
        <v>66691050</v>
      </c>
      <c r="Q48" s="281">
        <v>379284.10000000003</v>
      </c>
      <c r="R48" s="281">
        <v>56851391</v>
      </c>
      <c r="S48" s="281">
        <v>279281.76</v>
      </c>
      <c r="T48" s="281">
        <v>68407301</v>
      </c>
      <c r="U48" s="281">
        <v>199987.25</v>
      </c>
      <c r="V48" s="281">
        <v>49257052</v>
      </c>
      <c r="W48" s="281">
        <v>14218</v>
      </c>
      <c r="X48" s="1258">
        <v>3275391</v>
      </c>
      <c r="Y48" s="281">
        <v>188333</v>
      </c>
      <c r="Z48" s="281">
        <v>42191626</v>
      </c>
      <c r="AA48" s="1258">
        <v>167959.25</v>
      </c>
      <c r="AB48" s="1259">
        <v>38220228</v>
      </c>
      <c r="AC48" s="1259">
        <v>128730.5</v>
      </c>
      <c r="AD48" s="1259">
        <v>28957263</v>
      </c>
      <c r="AE48" s="1259">
        <v>182509</v>
      </c>
      <c r="AF48" s="1259">
        <v>42629608</v>
      </c>
      <c r="AG48" s="1274">
        <v>256000.88</v>
      </c>
      <c r="AH48" s="1274">
        <v>49524668</v>
      </c>
      <c r="AI48" s="1259">
        <v>332818.63</v>
      </c>
      <c r="AJ48" s="1259">
        <v>77469322</v>
      </c>
      <c r="AK48" s="281">
        <f>SUMIF($C$9:AJ$9,1,$C48:AJ48)</f>
        <v>6604308.5599999996</v>
      </c>
      <c r="AL48" s="281">
        <f>SUMIF($C$9:AJ$9,0,$C48:AJ48)</f>
        <v>993548784</v>
      </c>
      <c r="AM48" s="242"/>
      <c r="AN48" s="1254"/>
      <c r="AO48" s="189"/>
      <c r="AP48" s="189"/>
      <c r="AQ48" s="189"/>
      <c r="AT48" s="13"/>
      <c r="AU48" s="13"/>
      <c r="AV48" s="13"/>
    </row>
    <row r="49" spans="1:48" s="172" customFormat="1">
      <c r="A49" s="206" t="s">
        <v>299</v>
      </c>
      <c r="B49" s="327" t="s">
        <v>87</v>
      </c>
      <c r="C49" s="268">
        <v>66342.77</v>
      </c>
      <c r="D49" s="268">
        <v>21474768</v>
      </c>
      <c r="E49" s="281">
        <v>84977.14</v>
      </c>
      <c r="F49" s="281">
        <v>26916075</v>
      </c>
      <c r="G49" s="281">
        <v>53518</v>
      </c>
      <c r="H49" s="281">
        <v>17667803</v>
      </c>
      <c r="I49" s="268">
        <v>73035.039999999994</v>
      </c>
      <c r="J49" s="268">
        <v>23574626</v>
      </c>
      <c r="K49" s="281">
        <v>68698.63</v>
      </c>
      <c r="L49" s="281">
        <v>20864638</v>
      </c>
      <c r="M49" s="281">
        <v>76708.94</v>
      </c>
      <c r="N49" s="281">
        <v>24463466</v>
      </c>
      <c r="O49" s="281">
        <v>33352.699999999997</v>
      </c>
      <c r="P49" s="281">
        <v>15412925</v>
      </c>
      <c r="Q49" s="281">
        <v>24771.879999999997</v>
      </c>
      <c r="R49" s="281">
        <v>14361119</v>
      </c>
      <c r="S49" s="281">
        <v>22026.97</v>
      </c>
      <c r="T49" s="281">
        <v>26194508</v>
      </c>
      <c r="U49" s="281">
        <v>33398.32</v>
      </c>
      <c r="V49" s="281">
        <v>29130672</v>
      </c>
      <c r="W49" s="281">
        <v>22090</v>
      </c>
      <c r="X49" s="1258">
        <v>17845723</v>
      </c>
      <c r="Y49" s="281">
        <v>21593</v>
      </c>
      <c r="Z49" s="281">
        <v>19858929</v>
      </c>
      <c r="AA49" s="1258">
        <v>7053.66</v>
      </c>
      <c r="AB49" s="1259">
        <v>6175940</v>
      </c>
      <c r="AC49" s="1259">
        <v>14882.130000000001</v>
      </c>
      <c r="AD49" s="1259">
        <v>13161815</v>
      </c>
      <c r="AE49" s="1259">
        <v>8032.905999999999</v>
      </c>
      <c r="AF49" s="1259">
        <v>9501004</v>
      </c>
      <c r="AG49" s="1274">
        <v>21137</v>
      </c>
      <c r="AH49" s="1274">
        <v>22517510</v>
      </c>
      <c r="AI49" s="1259">
        <v>25037.457999999999</v>
      </c>
      <c r="AJ49" s="1259">
        <v>27142196.789999999</v>
      </c>
      <c r="AK49" s="281">
        <f>SUMIF($C$9:AJ$9,1,$C49:AJ49)</f>
        <v>656656.54399999999</v>
      </c>
      <c r="AL49" s="281">
        <f>SUMIF($C$9:AJ$9,0,$C49:AJ49)</f>
        <v>336263717.79000002</v>
      </c>
      <c r="AM49" s="242"/>
      <c r="AN49" s="1254"/>
      <c r="AO49" s="189"/>
      <c r="AP49" s="189"/>
      <c r="AQ49" s="189"/>
      <c r="AT49" s="13"/>
      <c r="AU49" s="13"/>
      <c r="AV49" s="13"/>
    </row>
    <row r="50" spans="1:48" s="172" customFormat="1">
      <c r="A50" s="206" t="s">
        <v>309</v>
      </c>
      <c r="B50" s="327" t="s">
        <v>87</v>
      </c>
      <c r="C50" s="268">
        <v>113102.34</v>
      </c>
      <c r="D50" s="268">
        <v>70108292</v>
      </c>
      <c r="E50" s="281">
        <v>100452.42</v>
      </c>
      <c r="F50" s="281">
        <v>63786635</v>
      </c>
      <c r="G50" s="281">
        <v>102211</v>
      </c>
      <c r="H50" s="281">
        <v>64390184</v>
      </c>
      <c r="I50" s="281">
        <v>107671.1</v>
      </c>
      <c r="J50" s="281">
        <v>56301148</v>
      </c>
      <c r="K50" s="235" t="s">
        <v>236</v>
      </c>
      <c r="L50" s="235" t="s">
        <v>236</v>
      </c>
      <c r="M50" s="235" t="s">
        <v>236</v>
      </c>
      <c r="N50" s="235" t="s">
        <v>236</v>
      </c>
      <c r="O50" s="235" t="s">
        <v>236</v>
      </c>
      <c r="P50" s="235" t="s">
        <v>236</v>
      </c>
      <c r="Q50" s="235" t="s">
        <v>236</v>
      </c>
      <c r="R50" s="235" t="s">
        <v>236</v>
      </c>
      <c r="S50" s="235" t="s">
        <v>236</v>
      </c>
      <c r="T50" s="235" t="s">
        <v>236</v>
      </c>
      <c r="U50" s="235" t="s">
        <v>236</v>
      </c>
      <c r="V50" s="235" t="s">
        <v>236</v>
      </c>
      <c r="W50" s="281">
        <v>39801</v>
      </c>
      <c r="X50" s="1258">
        <v>36002163</v>
      </c>
      <c r="Y50" s="281">
        <v>43459</v>
      </c>
      <c r="Z50" s="281">
        <v>44030930</v>
      </c>
      <c r="AA50" s="1258">
        <v>27312.06</v>
      </c>
      <c r="AB50" s="1259">
        <v>26070876</v>
      </c>
      <c r="AC50" s="1259">
        <v>17482.63</v>
      </c>
      <c r="AD50" s="1259">
        <v>18192000</v>
      </c>
      <c r="AE50" s="1259">
        <v>25631.200000000001</v>
      </c>
      <c r="AF50" s="1259">
        <v>29610518</v>
      </c>
      <c r="AG50" s="1274">
        <v>27164.11</v>
      </c>
      <c r="AH50" s="1274">
        <v>34180006</v>
      </c>
      <c r="AI50" s="1259">
        <v>43342.26</v>
      </c>
      <c r="AJ50" s="1259">
        <v>37763958.189999998</v>
      </c>
      <c r="AK50" s="281">
        <f>SUMIF($C$9:AJ$9,1,$C50:AJ50)</f>
        <v>647629.12</v>
      </c>
      <c r="AL50" s="281">
        <f>SUMIF($C$9:AJ$9,0,$C50:AJ50)</f>
        <v>480436710.19</v>
      </c>
      <c r="AM50" s="242"/>
      <c r="AN50" s="1254"/>
      <c r="AO50" s="189"/>
      <c r="AP50" s="189"/>
      <c r="AQ50" s="189"/>
      <c r="AU50" s="13"/>
      <c r="AV50" s="13"/>
    </row>
    <row r="51" spans="1:48" s="172" customFormat="1">
      <c r="A51" s="206" t="s">
        <v>300</v>
      </c>
      <c r="B51" s="327" t="s">
        <v>87</v>
      </c>
      <c r="C51" s="268">
        <v>440794.78</v>
      </c>
      <c r="D51" s="268">
        <v>273960947</v>
      </c>
      <c r="E51" s="281">
        <v>443896.04</v>
      </c>
      <c r="F51" s="281">
        <v>330381846</v>
      </c>
      <c r="G51" s="281">
        <v>370183</v>
      </c>
      <c r="H51" s="281">
        <v>358819527</v>
      </c>
      <c r="I51" s="268">
        <v>289876.43</v>
      </c>
      <c r="J51" s="268">
        <v>263931467</v>
      </c>
      <c r="K51" s="281">
        <v>356393.16000000003</v>
      </c>
      <c r="L51" s="281">
        <v>309499986.85000002</v>
      </c>
      <c r="M51" s="281">
        <v>253499.78</v>
      </c>
      <c r="N51" s="281">
        <v>214485748</v>
      </c>
      <c r="O51" s="281">
        <v>333469.26</v>
      </c>
      <c r="P51" s="281">
        <v>229840510</v>
      </c>
      <c r="Q51" s="281">
        <v>217297.99</v>
      </c>
      <c r="R51" s="281">
        <v>210012842</v>
      </c>
      <c r="S51" s="281">
        <v>175164.13799999998</v>
      </c>
      <c r="T51" s="281">
        <v>195238759</v>
      </c>
      <c r="U51" s="281">
        <v>231508.22999999998</v>
      </c>
      <c r="V51" s="281">
        <v>157591112</v>
      </c>
      <c r="W51" s="281">
        <v>203938</v>
      </c>
      <c r="X51" s="1258">
        <v>119887628</v>
      </c>
      <c r="Y51" s="281">
        <v>214878</v>
      </c>
      <c r="Z51" s="281">
        <v>168139059</v>
      </c>
      <c r="AA51" s="1258">
        <v>202885.74</v>
      </c>
      <c r="AB51" s="1259">
        <v>119932606</v>
      </c>
      <c r="AC51" s="1259">
        <v>62317.25</v>
      </c>
      <c r="AD51" s="1259">
        <v>78668092</v>
      </c>
      <c r="AE51" s="1259">
        <v>97328.238000000012</v>
      </c>
      <c r="AF51" s="1259">
        <v>165669383</v>
      </c>
      <c r="AG51" s="1274">
        <v>178149.33000000002</v>
      </c>
      <c r="AH51" s="1274">
        <v>295498037</v>
      </c>
      <c r="AI51" s="1259">
        <v>189982.07</v>
      </c>
      <c r="AJ51" s="1259">
        <v>284134136</v>
      </c>
      <c r="AK51" s="281">
        <f>SUMIF($C$9:AJ$9,1,$C51:AJ51)</f>
        <v>4261561.4360000007</v>
      </c>
      <c r="AL51" s="281">
        <f>SUMIF($C$9:AJ$9,0,$C51:AJ51)</f>
        <v>3775691685.8499999</v>
      </c>
      <c r="AM51" s="242"/>
      <c r="AN51" s="1254"/>
      <c r="AO51" s="189"/>
      <c r="AP51" s="189"/>
      <c r="AQ51" s="189"/>
      <c r="AU51" s="13"/>
      <c r="AV51" s="13"/>
    </row>
    <row r="52" spans="1:48" s="172" customFormat="1">
      <c r="A52" s="206" t="s">
        <v>657</v>
      </c>
      <c r="B52" s="327" t="s">
        <v>87</v>
      </c>
      <c r="C52" s="268" t="s">
        <v>534</v>
      </c>
      <c r="D52" s="268" t="s">
        <v>534</v>
      </c>
      <c r="E52" s="281" t="s">
        <v>534</v>
      </c>
      <c r="F52" s="281" t="s">
        <v>534</v>
      </c>
      <c r="G52" s="281" t="s">
        <v>534</v>
      </c>
      <c r="H52" s="281" t="s">
        <v>534</v>
      </c>
      <c r="I52" s="268" t="s">
        <v>534</v>
      </c>
      <c r="J52" s="268" t="s">
        <v>534</v>
      </c>
      <c r="K52" s="281" t="s">
        <v>534</v>
      </c>
      <c r="L52" s="281" t="s">
        <v>534</v>
      </c>
      <c r="M52" s="281" t="s">
        <v>534</v>
      </c>
      <c r="N52" s="281" t="s">
        <v>534</v>
      </c>
      <c r="O52" s="281" t="s">
        <v>534</v>
      </c>
      <c r="P52" s="281" t="s">
        <v>534</v>
      </c>
      <c r="Q52" s="281" t="s">
        <v>534</v>
      </c>
      <c r="R52" s="281" t="s">
        <v>534</v>
      </c>
      <c r="S52" s="281" t="s">
        <v>534</v>
      </c>
      <c r="T52" s="281" t="s">
        <v>534</v>
      </c>
      <c r="U52" s="281" t="s">
        <v>534</v>
      </c>
      <c r="V52" s="281" t="s">
        <v>534</v>
      </c>
      <c r="W52" s="281">
        <v>186800.70303030306</v>
      </c>
      <c r="X52" s="1258">
        <v>156853001.86666667</v>
      </c>
      <c r="Y52" s="281">
        <v>252371.61212121212</v>
      </c>
      <c r="Z52" s="281">
        <v>242596752.36441705</v>
      </c>
      <c r="AA52" s="1258">
        <v>286956.36363636371</v>
      </c>
      <c r="AB52" s="1259">
        <v>262039072.01084828</v>
      </c>
      <c r="AC52" s="1259">
        <v>286455.59369696974</v>
      </c>
      <c r="AD52" s="1259">
        <v>271959792.81765264</v>
      </c>
      <c r="AE52" s="1259">
        <v>260029.59175757578</v>
      </c>
      <c r="AF52" s="1259">
        <v>276283983.39685088</v>
      </c>
      <c r="AG52" s="1274">
        <v>216001.87103030307</v>
      </c>
      <c r="AH52" s="1274">
        <v>219021193.66104165</v>
      </c>
      <c r="AI52" s="1259">
        <v>317820.11660606059</v>
      </c>
      <c r="AJ52" s="1259">
        <v>324110726.16793138</v>
      </c>
      <c r="AK52" s="281">
        <f>SUMIF($C$9:AJ$9,1,$C52:AJ52)</f>
        <v>1806435.8518787881</v>
      </c>
      <c r="AL52" s="281">
        <f>SUMIF($C$9:AJ$9,0,$C52:AJ52)</f>
        <v>1752864522.2854085</v>
      </c>
      <c r="AM52" s="242"/>
      <c r="AN52" s="1254"/>
      <c r="AO52" s="189"/>
      <c r="AP52" s="189"/>
      <c r="AQ52" s="189"/>
      <c r="AU52" s="13"/>
      <c r="AV52" s="13"/>
    </row>
    <row r="53" spans="1:48" s="172" customFormat="1">
      <c r="A53" s="206" t="s">
        <v>775</v>
      </c>
      <c r="B53" s="327" t="s">
        <v>87</v>
      </c>
      <c r="C53" s="268"/>
      <c r="D53" s="268">
        <f>D54-SUM(D48:D52)</f>
        <v>308677023.21212125</v>
      </c>
      <c r="E53" s="281"/>
      <c r="F53" s="281">
        <f>F54-SUM(F48:F52)</f>
        <v>351013014.63939393</v>
      </c>
      <c r="G53" s="281"/>
      <c r="H53" s="281">
        <f>H54-SUM(H48:H52)</f>
        <v>360941120.36130917</v>
      </c>
      <c r="I53" s="268"/>
      <c r="J53" s="268">
        <f>J54-SUM(J48:J52)</f>
        <v>267448199.60429811</v>
      </c>
      <c r="K53" s="281"/>
      <c r="L53" s="281">
        <f>L54-SUM(L48:L52)</f>
        <v>369826774.14124882</v>
      </c>
      <c r="M53" s="281"/>
      <c r="N53" s="281">
        <f>N54-SUM(N48:N52)</f>
        <v>339383380.86659384</v>
      </c>
      <c r="O53" s="281"/>
      <c r="P53" s="281">
        <f>P54-SUM(P48:P52)</f>
        <v>214526030.44375753</v>
      </c>
      <c r="Q53" s="281"/>
      <c r="R53" s="281">
        <f>R54-SUM(R48:R52)</f>
        <v>310396752.60567033</v>
      </c>
      <c r="S53" s="281"/>
      <c r="T53" s="281">
        <f>T54-SUM(T48:T52)</f>
        <v>680966464.06660604</v>
      </c>
      <c r="U53" s="281"/>
      <c r="V53" s="281">
        <f>V54-SUM(V48:V52)</f>
        <v>409186401.5995152</v>
      </c>
      <c r="W53" s="281"/>
      <c r="X53" s="1258">
        <f>X54-SUM(X48:X52)</f>
        <v>49297803.671441615</v>
      </c>
      <c r="Y53" s="281"/>
      <c r="Z53" s="1258">
        <f>Z54-SUM(Z48:Z52)</f>
        <v>69596301</v>
      </c>
      <c r="AA53" s="281"/>
      <c r="AB53" s="1259">
        <f>AB54-SUM(AB48:AB52)</f>
        <v>160025306</v>
      </c>
      <c r="AC53" s="1259"/>
      <c r="AD53" s="1259">
        <f>AD54-SUM(AD48:AD52)</f>
        <v>102570200</v>
      </c>
      <c r="AE53" s="1259"/>
      <c r="AF53" s="1259">
        <f>AF54-SUM(AF48:AF52)</f>
        <v>104403291.00000006</v>
      </c>
      <c r="AG53" s="1274"/>
      <c r="AH53" s="1274">
        <f>AH54-SUM(AH48:AH52)</f>
        <v>109169982</v>
      </c>
      <c r="AI53" s="1259"/>
      <c r="AJ53" s="1259">
        <f>AJ54-SUM(AJ48:AJ52)</f>
        <v>107757161.82000005</v>
      </c>
      <c r="AK53" s="281"/>
      <c r="AL53" s="281">
        <f>SUMIF($C$9:AJ$9,0,$C53:AJ53)</f>
        <v>4315185207.0319557</v>
      </c>
      <c r="AM53" s="1257"/>
      <c r="AN53" s="1254"/>
      <c r="AO53" s="189"/>
      <c r="AP53" s="189"/>
      <c r="AQ53" s="189"/>
      <c r="AU53" s="13"/>
      <c r="AV53" s="13"/>
    </row>
    <row r="54" spans="1:48" s="172" customFormat="1">
      <c r="A54" s="209" t="s">
        <v>465</v>
      </c>
      <c r="B54" s="244"/>
      <c r="C54" s="281"/>
      <c r="D54" s="281">
        <f>SUMIF('Mineral Sands - Q&amp;V'!$D8:$D250,'CY Q&amp;V 2004 to Now'!C7,'Mineral Sands - Q&amp;V'!$C8:$C250)*1000000</f>
        <v>764910779.21212125</v>
      </c>
      <c r="E54" s="281"/>
      <c r="F54" s="281">
        <f>SUMIF('Mineral Sands - Q&amp;V'!$D8:$D250,'CY Q&amp;V 2004 to Now'!E7,'Mineral Sands - Q&amp;V'!$C8:$C250)*1000000</f>
        <v>846793591.63939393</v>
      </c>
      <c r="G54" s="281"/>
      <c r="H54" s="281">
        <f>SUMIF('Mineral Sands - Q&amp;V'!$D8:$D250,'CY Q&amp;V 2004 to Now'!G7,'Mineral Sands - Q&amp;V'!$C8:$C250)*1000000</f>
        <v>886262810.36130917</v>
      </c>
      <c r="I54" s="268"/>
      <c r="J54" s="281">
        <f>SUMIF('Mineral Sands - Q&amp;V'!$D8:$D250,'CY Q&amp;V 2004 to Now'!I7,'Mineral Sands - Q&amp;V'!$C8:$C250)*1000000</f>
        <v>691055713.60429811</v>
      </c>
      <c r="K54" s="281"/>
      <c r="L54" s="281">
        <f>SUMIF('Mineral Sands - Q&amp;V'!$D8:$D250,'CY Q&amp;V 2004 to Now'!K7,'Mineral Sands - Q&amp;V'!$C8:$C250)*1000000</f>
        <v>777136717.99124885</v>
      </c>
      <c r="M54" s="281"/>
      <c r="N54" s="281">
        <f>SUMIF('Mineral Sands - Q&amp;V'!$D8:$D250,'CY Q&amp;V 2004 to Now'!M7,'Mineral Sands - Q&amp;V'!$C8:$C250)*1000000</f>
        <v>641830940.86659384</v>
      </c>
      <c r="O54" s="281"/>
      <c r="P54" s="281">
        <f>SUMIF('Mineral Sands - Q&amp;V'!$D8:$D250,'CY Q&amp;V 2004 to Now'!O7,'Mineral Sands - Q&amp;V'!$C8:$C250)*1000000</f>
        <v>526470515.44375753</v>
      </c>
      <c r="Q54" s="281"/>
      <c r="R54" s="281">
        <f>SUMIF('Mineral Sands - Q&amp;V'!$D8:$D250,'CY Q&amp;V 2004 to Now'!Q7,'Mineral Sands - Q&amp;V'!$C8:$C250)*1000000</f>
        <v>591622104.60567033</v>
      </c>
      <c r="S54" s="281"/>
      <c r="T54" s="281">
        <f>SUMIF('Mineral Sands - Q&amp;V'!$D8:$D250,'CY Q&amp;V 2004 to Now'!S7,'Mineral Sands - Q&amp;V'!$C8:$C250)*1000000</f>
        <v>970807032.06660604</v>
      </c>
      <c r="U54" s="281"/>
      <c r="V54" s="281">
        <f>SUMIF('Mineral Sands - Q&amp;V'!$D8:$D250,'CY Q&amp;V 2004 to Now'!U7,'Mineral Sands - Q&amp;V'!$C8:$C250)*1000000</f>
        <v>645165237.5995152</v>
      </c>
      <c r="W54" s="281"/>
      <c r="X54" s="281">
        <f>SUMIF('Mineral Sands - Q&amp;V'!$D8:$D250,'CY Q&amp;V 2004 to Now'!W7,'Mineral Sands - Q&amp;V'!$C8:$C250)*1000000</f>
        <v>383161710.53810829</v>
      </c>
      <c r="Y54" s="281"/>
      <c r="Z54" s="281">
        <v>586413597.36441708</v>
      </c>
      <c r="AA54" s="281"/>
      <c r="AB54" s="1256">
        <f>SUMIF('Mineral Sands - Q&amp;V'!$D$8:$D$261,$AA$7,'Mineral Sands - Q&amp;V'!$C8:$C261)*1000000</f>
        <v>612464028.01084828</v>
      </c>
      <c r="AC54" s="1256"/>
      <c r="AD54" s="1256">
        <f>SUMIF('Mineral Sands - Q&amp;V'!$D$8:$D$261,$AC$7,'Mineral Sands - Q&amp;V'!$C8:$C261)*1000000</f>
        <v>513509162.81765264</v>
      </c>
      <c r="AE54" s="1256"/>
      <c r="AF54" s="1256">
        <f>SUMIF('Mineral Sands - Q&amp;V'!$D$8:$D$261,$AE$7,'Mineral Sands - Q&amp;V'!$C8:$C261)*1000000</f>
        <v>628097787.39685094</v>
      </c>
      <c r="AG54" s="1267"/>
      <c r="AH54" s="1267">
        <f>SUMIF('Mineral Sands - Q&amp;V'!$D$8:$D$261,$AG$7,'Mineral Sands - Q&amp;V'!$C8:$C261)*1000000</f>
        <v>729911396.66104162</v>
      </c>
      <c r="AI54" s="1256"/>
      <c r="AJ54" s="1256">
        <f>SUMIF('Mineral Sands - Q&amp;V'!$D$8:$D$261,$AI$7,'Mineral Sands - Q&amp;V'!$C8:$C261)*1000000</f>
        <v>858377500.96793139</v>
      </c>
      <c r="AK54" s="281"/>
      <c r="AL54" s="281">
        <f>SUMIF($C$9:AH$9,0,$C54:AH54)</f>
        <v>10795613126.17943</v>
      </c>
      <c r="AM54" s="1257"/>
      <c r="AN54" s="1254"/>
      <c r="AO54" s="189"/>
      <c r="AP54" s="189"/>
      <c r="AQ54" s="189"/>
      <c r="AU54" s="13"/>
      <c r="AV54" s="13"/>
    </row>
    <row r="55" spans="1:48" s="172" customFormat="1">
      <c r="A55" s="209"/>
      <c r="B55" s="244"/>
      <c r="C55" s="281"/>
      <c r="D55" s="281"/>
      <c r="E55" s="281"/>
      <c r="F55" s="281"/>
      <c r="G55" s="281"/>
      <c r="H55" s="281"/>
      <c r="I55" s="281"/>
      <c r="J55" s="281"/>
      <c r="K55" s="281"/>
      <c r="L55" s="281"/>
      <c r="M55" s="281"/>
      <c r="N55" s="281"/>
      <c r="O55" s="281"/>
      <c r="P55" s="281"/>
      <c r="Q55" s="281"/>
      <c r="R55" s="281"/>
      <c r="S55" s="281"/>
      <c r="T55" s="281"/>
      <c r="U55" s="281"/>
      <c r="V55" s="281"/>
      <c r="W55" s="281"/>
      <c r="X55" s="281"/>
      <c r="Y55" s="1272"/>
      <c r="Z55" s="1272"/>
      <c r="AA55" s="1272"/>
      <c r="AB55" s="1273"/>
      <c r="AC55" s="1273"/>
      <c r="AD55" s="1273"/>
      <c r="AE55" s="1256"/>
      <c r="AF55" s="1256"/>
      <c r="AG55" s="1273"/>
      <c r="AH55" s="1273"/>
      <c r="AI55" s="1256"/>
      <c r="AJ55" s="1256"/>
      <c r="AK55" s="281"/>
      <c r="AL55" s="281"/>
      <c r="AM55" s="1257"/>
      <c r="AN55" s="1254"/>
      <c r="AO55" s="189"/>
      <c r="AP55" s="189"/>
      <c r="AQ55" s="189"/>
      <c r="AU55" s="13"/>
      <c r="AV55" s="13"/>
    </row>
    <row r="56" spans="1:48" s="172" customFormat="1">
      <c r="A56" s="194" t="s">
        <v>247</v>
      </c>
      <c r="B56" s="197" t="s">
        <v>87</v>
      </c>
      <c r="C56" s="284">
        <f>SUMIF('Iron Ore - Q&amp;V'!$F8:$F250,'CY Q&amp;V 2004 to Now'!C7,'Iron Ore - Q&amp;V'!$D8:$D250)*1000000</f>
        <v>213531629.07000002</v>
      </c>
      <c r="D56" s="284">
        <f>SUMIF('Iron Ore - Q&amp;V'!$F8:$F250,'CY Q&amp;V 2004 to Now'!C7,'Iron Ore - Q&amp;V'!$E8:$E250)*1000000</f>
        <v>6192976319.1399994</v>
      </c>
      <c r="E56" s="284">
        <f>SUMIF('Iron Ore - Q&amp;V'!$F8:$F250,'CY Q&amp;V 2004 to Now'!E7,'Iron Ore - Q&amp;V'!$D8:$D250)*1000000</f>
        <v>240501673.69000003</v>
      </c>
      <c r="F56" s="284">
        <f>SUMIF('Iron Ore - Q&amp;V'!$F8:$F250,'CY Q&amp;V 2004 to Now'!E7,'Iron Ore - Q&amp;V'!$E8:$E250)*1000000</f>
        <v>11308717944.99</v>
      </c>
      <c r="G56" s="284">
        <f>SUMIF('Iron Ore - Q&amp;V'!$F8:$F250,'CY Q&amp;V 2004 to Now'!G7,'Iron Ore - Q&amp;V'!$D8:$D250)*1000000</f>
        <v>250325766.36199999</v>
      </c>
      <c r="H56" s="284">
        <f>SUMIF('Iron Ore - Q&amp;V'!$F8:$F250,'CY Q&amp;V 2004 to Now'!G7,'Iron Ore - Q&amp;V'!$E8:$E250)*1000000</f>
        <v>14780092745.67</v>
      </c>
      <c r="I56" s="284">
        <f>SUMIF('Iron Ore - Q&amp;V'!$F8:$F250,'CY Q&amp;V 2004 to Now'!I7,'Iron Ore - Q&amp;V'!$D8:$D250)*1000000</f>
        <v>264449152.05099994</v>
      </c>
      <c r="J56" s="284">
        <f>SUMIF('Iron Ore - Q&amp;V'!$F8:$F250,'CY Q&amp;V 2004 to Now'!I7,'Iron Ore - Q&amp;V'!$E8:$E250)*1000000</f>
        <v>16135903953.440001</v>
      </c>
      <c r="K56" s="284">
        <f>SUMIF('Iron Ore - Q&amp;V'!$F8:$F250,'CY Q&amp;V 2004 to Now'!K7,'Iron Ore - Q&amp;V'!$D8:$D250)*1000000</f>
        <v>305884472.68200004</v>
      </c>
      <c r="L56" s="284">
        <f>SUMIF('Iron Ore - Q&amp;V'!$F8:$F250,'CY Q&amp;V 2004 to Now'!K7,'Iron Ore - Q&amp;V'!$E8:$E250)*1000000</f>
        <v>31909855018.219997</v>
      </c>
      <c r="M56" s="284">
        <f>SUMIF('Iron Ore - Q&amp;V'!$F8:$F250,'CY Q&amp;V 2004 to Now'!M7,'Iron Ore - Q&amp;V'!$D8:$D250)*1000000</f>
        <v>356069646.30899996</v>
      </c>
      <c r="N56" s="284">
        <f>SUMIF('Iron Ore - Q&amp;V'!$F8:$F250,'CY Q&amp;V 2004 to Now'!M7,'Iron Ore - Q&amp;V'!$E8:$E250)*1000000</f>
        <v>28133427135.669998</v>
      </c>
      <c r="O56" s="284">
        <f>SUMIF('Iron Ore - Q&amp;V'!$F8:$F250,'CY Q&amp;V 2004 to Now'!O7,'Iron Ore - Q&amp;V'!$D8:$D250)*1000000</f>
        <v>393851157.06600004</v>
      </c>
      <c r="P56" s="284">
        <f>SUMIF('Iron Ore - Q&amp;V'!$F8:$F250,'CY Q&amp;V 2004 to Now'!O7,'Iron Ore - Q&amp;V'!$E8:$E250)*1000000</f>
        <v>50262149327.229996</v>
      </c>
      <c r="Q56" s="284">
        <f>SUMIF('Iron Ore - Q&amp;V'!$F8:$F250,'CY Q&amp;V 2004 to Now'!Q7,'Iron Ore - Q&amp;V'!$D8:$D250)*1000000</f>
        <v>426672879.69499999</v>
      </c>
      <c r="R56" s="284">
        <f>SUMIF('Iron Ore - Q&amp;V'!$F8:$F250,'CY Q&amp;V 2004 to Now'!Q7,'Iron Ore - Q&amp;V'!$E8:$E250)*1000000</f>
        <v>62863290517.729996</v>
      </c>
      <c r="S56" s="284">
        <f>SUMIF('Iron Ore - Q&amp;V'!$F8:$F250,'CY Q&amp;V 2004 to Now'!S7,'Iron Ore - Q&amp;V'!$D8:$D250)*1000000</f>
        <v>478326216.88999999</v>
      </c>
      <c r="T56" s="284">
        <f>SUMIF('Iron Ore - Q&amp;V'!$F8:$F250,'CY Q&amp;V 2004 to Now'!S7,'Iron Ore - Q&amp;V'!$E8:$E250)*1000000</f>
        <v>52823916640.019997</v>
      </c>
      <c r="U56" s="284">
        <f>SUMIF('Iron Ore - Q&amp;V'!$F8:$F250,'CY Q&amp;V 2004 to Now'!U7,'Iron Ore - Q&amp;V'!$D8:$D250)*1000000</f>
        <v>554937833.38100004</v>
      </c>
      <c r="V56" s="284">
        <f>SUMIF('Iron Ore - Q&amp;V'!$F8:$F250,'CY Q&amp;V 2004 to Now'!U7,'Iron Ore - Q&amp;V'!$E8:$E250)*1000000</f>
        <v>70384424735.240005</v>
      </c>
      <c r="W56" s="284">
        <f>SUMIF('Iron Ore - Q&amp;V'!$F8:$F250,'CY Q&amp;V 2004 to Now'!W7,'Iron Ore - Q&amp;V'!$D8:$D250)*1000000</f>
        <v>686234258.61200011</v>
      </c>
      <c r="X56" s="284">
        <f>SUMIF('Iron Ore - Q&amp;V'!$F8:$F250,'CY Q&amp;V 2004 to Now'!W7,'Iron Ore - Q&amp;V'!$E8:$E250)*1000000</f>
        <v>65053440010.000008</v>
      </c>
      <c r="Y56" s="284">
        <f>SUMIF('Iron Ore - Q&amp;V'!$F8:$F250,'CY Q&amp;V 2004 to Now'!Y7,'Iron Ore - Q&amp;V'!$D8:$D250)*1000000</f>
        <v>742394106.78799999</v>
      </c>
      <c r="Z56" s="284">
        <f>SUMIF('Iron Ore - Q&amp;V'!$F8:$F250,'CY Q&amp;V 2004 to Now'!Y7,'Iron Ore - Q&amp;V'!$E8:$E250)*1000000</f>
        <v>49630774951</v>
      </c>
      <c r="AA56" s="284">
        <f>SUMIF('Iron Ore - Q&amp;V'!$F8:$F250,'CY Q&amp;V 2004 to Now'!AA7,'Iron Ore - Q&amp;V'!$D8:$D250)*1000000</f>
        <v>769277521.14499998</v>
      </c>
      <c r="AB56" s="1252">
        <f>SUMIF('Iron Ore - Q&amp;V'!$F8:$F250,'CY Q&amp;V 2004 to Now'!AA7,'Iron Ore - Q&amp;V'!$E8:$E250)*1000000</f>
        <v>55609172696.999992</v>
      </c>
      <c r="AC56" s="1252">
        <f>SUMIF('Iron Ore - Q&amp;V'!$F8:$F250,'CY Q&amp;V 2004 to Now'!AC7,'Iron Ore - Q&amp;V'!$D8:$D250)*1000000</f>
        <v>814119534.71399999</v>
      </c>
      <c r="AD56" s="1252">
        <f>SUMIF('Iron Ore - Q&amp;V'!$F8:$F250,'CY Q&amp;V 2004 to Now'!AC7,'Iron Ore - Q&amp;V'!$E8:$E250)*1000000</f>
        <v>63829415272</v>
      </c>
      <c r="AE56" s="1252">
        <f>SUMIF('Iron Ore - Q&amp;V'!$F8:$F250,'CY Q&amp;V 2004 to Now'!AE7,'Iron Ore - Q&amp;V'!$D8:$D250)*1000000</f>
        <v>813577820.15700006</v>
      </c>
      <c r="AF56" s="1252">
        <f>SUMIF('Iron Ore - Q&amp;V'!$F8:$F250,'CY Q&amp;V 2004 to Now'!AE7,'Iron Ore - Q&amp;V'!$E8:$E250)*1000000</f>
        <v>65683429815.999992</v>
      </c>
      <c r="AG56" s="1252">
        <f>SUMIF('Iron Ore - Q&amp;V'!$F8:$F250,'CY Q&amp;V 2004 to Now'!AG7,'Iron Ore - Q&amp;V'!$D8:$D250)*1000000</f>
        <v>807366230.09500003</v>
      </c>
      <c r="AH56" s="1252">
        <f>SUMIF('Iron Ore - Q&amp;V'!$F8:$F250,'CY Q&amp;V 2004 to Now'!AG7,'Iron Ore - Q&amp;V'!$E8:$E250)*1000000</f>
        <v>99694499159</v>
      </c>
      <c r="AI56" s="1252">
        <f>SUMIF('Iron Ore - Q&amp;V'!$F8:$F250,'CY Q&amp;V 2004 to Now'!AI7,'Iron Ore - Q&amp;V'!$D8:$D250)*1000000</f>
        <v>847211861.66400003</v>
      </c>
      <c r="AJ56" s="1252">
        <f>SUMIF('Iron Ore - Q&amp;V'!$F8:$F250,'CY Q&amp;V 2004 to Now'!AI7,'Iron Ore - Q&amp;V'!$E8:$E250)*1000000</f>
        <v>118444768295</v>
      </c>
      <c r="AK56" s="284">
        <f>SUMIF($C$9:AJ$9,1,$C56:AJ56)</f>
        <v>8964731760.3710003</v>
      </c>
      <c r="AL56" s="284">
        <f>SUMIF($C$9:AJ$9,0,$C56:AJ56)</f>
        <v>862740254537.34998</v>
      </c>
      <c r="AM56" s="242"/>
      <c r="AN56" s="1254"/>
      <c r="AO56" s="189"/>
      <c r="AP56" s="189"/>
      <c r="AQ56" s="189"/>
      <c r="AU56" s="13"/>
      <c r="AV56" s="13"/>
    </row>
    <row r="57" spans="1:48" s="172" customFormat="1">
      <c r="A57" s="220"/>
      <c r="B57" s="215"/>
      <c r="C57" s="284"/>
      <c r="D57" s="284"/>
      <c r="E57" s="284"/>
      <c r="F57" s="284"/>
      <c r="G57" s="284"/>
      <c r="H57" s="284"/>
      <c r="I57" s="258"/>
      <c r="J57" s="258"/>
      <c r="K57" s="284"/>
      <c r="L57" s="284"/>
      <c r="M57" s="284"/>
      <c r="N57" s="284"/>
      <c r="O57" s="284"/>
      <c r="P57" s="284"/>
      <c r="Q57" s="284"/>
      <c r="R57" s="284"/>
      <c r="S57" s="284"/>
      <c r="T57" s="284"/>
      <c r="U57" s="284"/>
      <c r="V57" s="284"/>
      <c r="W57" s="284"/>
      <c r="X57" s="284"/>
      <c r="Y57" s="284"/>
      <c r="Z57" s="284"/>
      <c r="AA57" s="284"/>
      <c r="AB57" s="1252"/>
      <c r="AC57" s="1252"/>
      <c r="AD57" s="1252"/>
      <c r="AE57" s="1252"/>
      <c r="AF57" s="1252"/>
      <c r="AG57" s="1252"/>
      <c r="AH57" s="1252"/>
      <c r="AI57" s="1252"/>
      <c r="AJ57" s="1252"/>
      <c r="AK57" s="284"/>
      <c r="AL57" s="284"/>
      <c r="AM57" s="1257"/>
      <c r="AN57" s="1254"/>
      <c r="AO57" s="189"/>
      <c r="AP57" s="189"/>
      <c r="AQ57" s="189"/>
      <c r="AU57" s="13"/>
      <c r="AV57" s="13"/>
    </row>
    <row r="58" spans="1:48" s="172" customFormat="1">
      <c r="A58" s="204" t="s">
        <v>253</v>
      </c>
      <c r="B58" s="139" t="s">
        <v>87</v>
      </c>
      <c r="C58" s="281">
        <v>4259360</v>
      </c>
      <c r="D58" s="281">
        <v>37974548</v>
      </c>
      <c r="E58" s="281"/>
      <c r="F58" s="281">
        <v>50236068</v>
      </c>
      <c r="G58" s="281"/>
      <c r="H58" s="281">
        <v>28682258</v>
      </c>
      <c r="I58" s="268">
        <v>3814743.85</v>
      </c>
      <c r="J58" s="268">
        <v>19304520.800000001</v>
      </c>
      <c r="K58" s="281">
        <v>3833242.0500000007</v>
      </c>
      <c r="L58" s="281">
        <v>17526640.550000001</v>
      </c>
      <c r="M58" s="281">
        <v>3921431.5100000002</v>
      </c>
      <c r="N58" s="281">
        <v>20451346.75</v>
      </c>
      <c r="O58" s="281">
        <v>3855380.6700000004</v>
      </c>
      <c r="P58" s="281">
        <v>22740018.316345755</v>
      </c>
      <c r="Q58" s="281">
        <v>3780429.983</v>
      </c>
      <c r="R58" s="281">
        <v>31618697.399999999</v>
      </c>
      <c r="S58" s="281">
        <v>4457341.1199999992</v>
      </c>
      <c r="T58" s="281">
        <v>37254338.500000007</v>
      </c>
      <c r="U58" s="281">
        <v>4719722.5</v>
      </c>
      <c r="V58" s="281">
        <v>65813961.500000007</v>
      </c>
      <c r="W58" s="281">
        <v>4857417.3599999994</v>
      </c>
      <c r="X58" s="281">
        <v>30550222</v>
      </c>
      <c r="Y58" s="281">
        <v>4623806.8849999998</v>
      </c>
      <c r="Z58" s="281">
        <v>31276960.420000002</v>
      </c>
      <c r="AA58" s="1258">
        <v>4427227.915000001</v>
      </c>
      <c r="AB58" s="1259">
        <v>28564413.240000002</v>
      </c>
      <c r="AC58" s="1259">
        <v>4086647.8699999996</v>
      </c>
      <c r="AD58" s="1259">
        <v>24739981.129999999</v>
      </c>
      <c r="AE58" s="1259">
        <v>3955714.0760000004</v>
      </c>
      <c r="AF58" s="1259">
        <v>32159428.274</v>
      </c>
      <c r="AG58" s="1274">
        <v>4397905.0599999987</v>
      </c>
      <c r="AH58" s="1274">
        <v>55539425.828000002</v>
      </c>
      <c r="AI58" s="1259">
        <v>4338190.0010000011</v>
      </c>
      <c r="AJ58" s="1259">
        <v>44796631.354100004</v>
      </c>
      <c r="AK58" s="281">
        <f>SUMIF($C$9:AJ$9,1,$C58:AJ58)</f>
        <v>63328560.849999994</v>
      </c>
      <c r="AL58" s="281">
        <f>SUMIF($C$9:AH$9,0,$C58:AH58)</f>
        <v>534432828.70834583</v>
      </c>
      <c r="AM58" s="242"/>
      <c r="AN58" s="1254"/>
      <c r="AO58" s="189"/>
      <c r="AP58" s="189"/>
      <c r="AQ58" s="189"/>
      <c r="AU58" s="13"/>
      <c r="AV58" s="13"/>
    </row>
    <row r="59" spans="1:48" s="172" customFormat="1">
      <c r="A59" s="212"/>
      <c r="B59" s="139"/>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1263"/>
      <c r="AB59" s="1264"/>
      <c r="AC59" s="1264"/>
      <c r="AD59" s="1264"/>
      <c r="AE59" s="1264"/>
      <c r="AF59" s="1264"/>
      <c r="AG59" s="1264"/>
      <c r="AH59" s="1264"/>
      <c r="AI59" s="1264"/>
      <c r="AJ59" s="1264"/>
      <c r="AK59" s="281"/>
      <c r="AL59" s="281"/>
      <c r="AM59" s="1257"/>
      <c r="AN59" s="1254"/>
      <c r="AO59" s="189"/>
      <c r="AP59" s="189"/>
      <c r="AQ59" s="189"/>
      <c r="AU59" s="13"/>
      <c r="AV59" s="13"/>
    </row>
    <row r="60" spans="1:48" s="172" customFormat="1">
      <c r="A60" s="194" t="s">
        <v>780</v>
      </c>
      <c r="B60" s="215"/>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c r="AL60" s="284"/>
      <c r="AM60" s="1257"/>
      <c r="AN60" s="1257"/>
      <c r="AT60" s="136"/>
      <c r="AU60" s="136"/>
      <c r="AV60" s="13"/>
    </row>
    <row r="61" spans="1:48" s="172" customFormat="1">
      <c r="A61" s="222" t="s">
        <v>310</v>
      </c>
      <c r="B61" s="195" t="s">
        <v>87</v>
      </c>
      <c r="C61" s="258">
        <f>SUMIF('Lithium - Q&amp;V'!$D$8:$D$252,'CY Q&amp;V 2004 to Now'!C$7,'Lithium - Q&amp;V'!$B$8:$B$252)*1000</f>
        <v>110256</v>
      </c>
      <c r="D61" s="258">
        <f>SUMIF('Lithium - Q&amp;V'!$D$8:$D$252,'CY Q&amp;V 2004 to Now'!C$7,'Lithium - Q&amp;V'!$C$8:$C$252)*1000000</f>
        <v>24199351</v>
      </c>
      <c r="E61" s="284">
        <f>SUMIF('Lithium - Q&amp;V'!$D$8:$D$252,'CY Q&amp;V 2004 to Now'!E$7,'Lithium - Q&amp;V'!$B$8:$B$252)*1000</f>
        <v>173635</v>
      </c>
      <c r="F61" s="284">
        <f>SUMIF('Lithium - Q&amp;V'!$D$8:$D$252,'CY Q&amp;V 2004 to Now'!E$7,'Lithium - Q&amp;V'!$C$8:$C$252)*1000000</f>
        <v>30318278.999999996</v>
      </c>
      <c r="G61" s="284">
        <f>SUMIF('Lithium - Q&amp;V'!$D$8:$D$252,'CY Q&amp;V 2004 to Now'!G$7,'Lithium - Q&amp;V'!$B$8:$B$252)*1000</f>
        <v>222101</v>
      </c>
      <c r="H61" s="284">
        <f>SUMIF('Lithium - Q&amp;V'!$D$8:$D$252,'CY Q&amp;V 2004 to Now'!G$7,'Lithium - Q&amp;V'!$C$8:$C$252)*1000000</f>
        <v>51784586.000000007</v>
      </c>
      <c r="I61" s="258">
        <f>SUMIF('Lithium - Q&amp;V'!$D$8:$D$252,'CY Q&amp;V 2004 to Now'!I$7,'Lithium - Q&amp;V'!$B$8:$B$252)*1000</f>
        <v>245279</v>
      </c>
      <c r="J61" s="258">
        <f>SUMIF('Lithium - Q&amp;V'!$D$8:$D$252,'CY Q&amp;V 2004 to Now'!I$7,'Lithium - Q&amp;V'!$C$8:$C$252)*1000000</f>
        <v>67904725</v>
      </c>
      <c r="K61" s="284">
        <f>SUMIF('Lithium - Q&amp;V'!$D$8:$D$252,'CY Q&amp;V 2004 to Now'!K$7,'Lithium - Q&amp;V'!$B$8:$B$252)*1000</f>
        <v>239528.00000000003</v>
      </c>
      <c r="L61" s="284">
        <f>SUMIF('Lithium - Q&amp;V'!$D$8:$D$252,'CY Q&amp;V 2004 to Now'!K$7,'Lithium - Q&amp;V'!$C$8:$C$252)*1000000</f>
        <v>73337527.329999998</v>
      </c>
      <c r="M61" s="284">
        <f>SUMIF('Lithium - Q&amp;V'!$D$8:$D$252,'CY Q&amp;V 2004 to Now'!M$7,'Lithium - Q&amp;V'!$B$8:$B$252)*1000</f>
        <v>197482.15</v>
      </c>
      <c r="N61" s="284">
        <f>SUMIF('Lithium - Q&amp;V'!$D$8:$D$252,'CY Q&amp;V 2004 to Now'!M$7,'Lithium - Q&amp;V'!$C$8:$C$252)*1000000</f>
        <v>71703547</v>
      </c>
      <c r="O61" s="284">
        <f>SUMIF('Lithium - Q&amp;V'!$D$8:$D$252,'CY Q&amp;V 2004 to Now'!O$7,'Lithium - Q&amp;V'!$B$8:$B$252)*1000</f>
        <v>326864.99999999994</v>
      </c>
      <c r="P61" s="284">
        <f>SUMIF('Lithium - Q&amp;V'!$D$8:$D$252,'CY Q&amp;V 2004 to Now'!O$7,'Lithium - Q&amp;V'!$C$8:$C$252)*1000000</f>
        <v>92182259.810000002</v>
      </c>
      <c r="Q61" s="284">
        <f>SUMIF('Lithium - Q&amp;V'!$D$8:$D$252,'CY Q&amp;V 2004 to Now'!Q$7,'Lithium - Q&amp;V'!$B$8:$B$252)*1000</f>
        <v>401535.85</v>
      </c>
      <c r="R61" s="284">
        <f>SUMIF('Lithium - Q&amp;V'!$D$8:$D$252,'CY Q&amp;V 2004 to Now'!Q$7,'Lithium - Q&amp;V'!$C$8:$C$252)*1000000</f>
        <v>117327288.90000001</v>
      </c>
      <c r="S61" s="284">
        <f>SUMIF('Lithium - Q&amp;V'!$D$8:$D$252,'CY Q&amp;V 2004 to Now'!S$7,'Lithium - Q&amp;V'!$B$8:$B$252)*1000</f>
        <v>500898.55</v>
      </c>
      <c r="T61" s="284">
        <f>SUMIF('Lithium - Q&amp;V'!$D$8:$D$252,'CY Q&amp;V 2004 to Now'!S$7,'Lithium - Q&amp;V'!$C$8:$C$252)*1000000</f>
        <v>162189381.88999999</v>
      </c>
      <c r="U61" s="284">
        <f>SUMIF('Lithium - Q&amp;V'!$D$8:$D$252,'CY Q&amp;V 2004 to Now'!U$7,'Lithium - Q&amp;V'!$B$8:$B$252)*1000</f>
        <v>405119</v>
      </c>
      <c r="V61" s="284">
        <f>SUMIF('Lithium - Q&amp;V'!$D$8:$D$252,'CY Q&amp;V 2004 to Now'!U$7,'Lithium - Q&amp;V'!$C$8:$C$252)*1000000</f>
        <v>169286544.41999999</v>
      </c>
      <c r="W61" s="284">
        <f>SUMIF('Lithium - Q&amp;V'!$D$8:$D$252,'CY Q&amp;V 2004 to Now'!W$7,'Lithium - Q&amp;V'!$B$8:$B$252)*1000</f>
        <v>444546</v>
      </c>
      <c r="X61" s="284">
        <f>SUMIF('Lithium - Q&amp;V'!$D$8:$D$252,'CY Q&amp;V 2004 to Now'!W$7,'Lithium - Q&amp;V'!$C$8:$C$252)*1000000</f>
        <v>201517762</v>
      </c>
      <c r="Y61" s="284">
        <f>SUMIF('Lithium - Q&amp;V'!$D$8:$D$252,'CY Q&amp;V 2004 to Now'!Y$7,'Lithium - Q&amp;V'!$B$8:$B$252)*1000</f>
        <v>439514</v>
      </c>
      <c r="Z61" s="284">
        <f>SUMIF('Lithium - Q&amp;V'!$D$8:$D$252,'CY Q&amp;V 2004 to Now'!Y$7,'Lithium - Q&amp;V'!$C$8:$C$252)*1000000</f>
        <v>240178272.00000003</v>
      </c>
      <c r="AA61" s="1265">
        <f>SUMIF('Lithium - Q&amp;V'!$D$8:$D$252,'CY Q&amp;V 2004 to Now'!AA$7,'Lithium - Q&amp;V'!$B$8:$B$252)*1000</f>
        <v>522181.00000000006</v>
      </c>
      <c r="AB61" s="1265">
        <f>SUMIF('Lithium - Q&amp;V'!$D$8:$D$252,'CY Q&amp;V 2004 to Now'!AA$7,'Lithium - Q&amp;V'!$C$8:$C$252)*1000000</f>
        <v>293859642</v>
      </c>
      <c r="AC61" s="1265">
        <f>SUMIF('Lithium - Q&amp;V'!$D$8:$D$252,'CY Q&amp;V 2004 to Now'!AC$7,'Lithium - Q&amp;V'!$B$8:$B$252)*1000</f>
        <v>1706618.61</v>
      </c>
      <c r="AD61" s="1265">
        <f>SUMIF('Lithium - Q&amp;V'!$D$8:$D$252,'CY Q&amp;V 2004 to Now'!AC$7,'Lithium - Q&amp;V'!$C$8:$C$252)*1000000</f>
        <v>1198528566.9999998</v>
      </c>
      <c r="AE61" s="1265">
        <f>SUMIF('Lithium - Q&amp;V'!$D$8:$D$252,'CY Q&amp;V 2004 to Now'!AE$7,'Lithium - Q&amp;V'!$B$8:$B$252)*1000</f>
        <v>1965912.4499999997</v>
      </c>
      <c r="AF61" s="1265">
        <f>SUMIF('Lithium - Q&amp;V'!$D$8:$D$252,'CY Q&amp;V 2004 to Now'!AE$7,'Lithium - Q&amp;V'!$C$8:$C$252)*1000000</f>
        <v>1863009439.0000002</v>
      </c>
      <c r="AG61" s="1570">
        <f>SUMIF('Lithium - Q&amp;V'!$D$8:$D$252,'CY Q&amp;V 2004 to Now'!AG$7,'Lithium - Q&amp;V'!$B$8:$B$252)*1000</f>
        <v>1588263.0234999999</v>
      </c>
      <c r="AH61" s="1570">
        <f>SUMIF('Lithium - Q&amp;V'!$D$8:$D$252,'CY Q&amp;V 2004 to Now'!AG$7,'Lithium - Q&amp;V'!$C$8:$C$252)*1000000</f>
        <v>1317353541</v>
      </c>
      <c r="AI61" s="1265">
        <f>SUMIF('Lithium - Q&amp;V'!$D$8:$D$252,'CY Q&amp;V 2004 to Now'!AI$7,'Lithium - Q&amp;V'!$B$8:$B$252)*1000</f>
        <v>1479872.1570000001</v>
      </c>
      <c r="AJ61" s="1265">
        <f>SUMIF('Lithium - Q&amp;V'!$D$8:$D$252,'CY Q&amp;V 2004 to Now'!AI$7,'Lithium - Q&amp;V'!$C$8:$C$252)*1000000</f>
        <v>822746813</v>
      </c>
      <c r="AK61" s="284">
        <f>SUMIF($C$9:AH$9,1,$C61:AH61)</f>
        <v>9489734.6334999986</v>
      </c>
      <c r="AL61" s="284">
        <f>SUMIF($C$9:AH$9,0,$C61:AH61)</f>
        <v>5974680713.3499994</v>
      </c>
      <c r="AM61" s="1257"/>
      <c r="AN61" s="1257"/>
      <c r="AT61" s="136"/>
      <c r="AU61" s="136"/>
      <c r="AV61" s="13"/>
    </row>
    <row r="62" spans="1:48" s="172" customFormat="1">
      <c r="A62" s="222" t="s">
        <v>311</v>
      </c>
      <c r="B62" s="195" t="s">
        <v>87</v>
      </c>
      <c r="C62" s="258" t="s">
        <v>236</v>
      </c>
      <c r="D62" s="258" t="s">
        <v>785</v>
      </c>
      <c r="E62" s="284">
        <v>1043.3599999999999</v>
      </c>
      <c r="F62" s="284" t="s">
        <v>785</v>
      </c>
      <c r="G62" s="284">
        <v>583.63</v>
      </c>
      <c r="H62" s="284" t="s">
        <v>785</v>
      </c>
      <c r="I62" s="258">
        <v>538.29</v>
      </c>
      <c r="J62" s="258" t="s">
        <v>785</v>
      </c>
      <c r="K62" s="284">
        <v>680.11</v>
      </c>
      <c r="L62" s="284" t="s">
        <v>785</v>
      </c>
      <c r="M62" s="284" t="s">
        <v>236</v>
      </c>
      <c r="N62" s="284" t="s">
        <v>785</v>
      </c>
      <c r="O62" s="284" t="s">
        <v>236</v>
      </c>
      <c r="P62" s="284" t="s">
        <v>785</v>
      </c>
      <c r="Q62" s="284" t="s">
        <v>236</v>
      </c>
      <c r="R62" s="284" t="s">
        <v>785</v>
      </c>
      <c r="S62" s="284" t="s">
        <v>236</v>
      </c>
      <c r="T62" s="284" t="s">
        <v>785</v>
      </c>
      <c r="U62" s="284" t="s">
        <v>236</v>
      </c>
      <c r="V62" s="284" t="s">
        <v>785</v>
      </c>
      <c r="W62" s="284">
        <v>87</v>
      </c>
      <c r="X62" s="284" t="s">
        <v>785</v>
      </c>
      <c r="Y62" s="284">
        <v>249.834</v>
      </c>
      <c r="Z62" s="284" t="s">
        <v>785</v>
      </c>
      <c r="AA62" s="1265">
        <v>39</v>
      </c>
      <c r="AB62" s="1265" t="s">
        <v>785</v>
      </c>
      <c r="AC62" s="1265">
        <v>74.426000000000002</v>
      </c>
      <c r="AD62" s="1265" t="s">
        <v>785</v>
      </c>
      <c r="AE62" s="1265">
        <v>117.38499999999999</v>
      </c>
      <c r="AF62" s="1265" t="s">
        <v>785</v>
      </c>
      <c r="AG62" s="1570">
        <v>246.62400000000002</v>
      </c>
      <c r="AH62" s="1571" t="s">
        <v>785</v>
      </c>
      <c r="AI62" s="1265">
        <v>153.19799999999998</v>
      </c>
      <c r="AJ62" s="1265" t="s">
        <v>785</v>
      </c>
      <c r="AK62" s="284">
        <f>SUMIF($C$9:AH$9,1,$C62:AH62)</f>
        <v>3659.6589999999997</v>
      </c>
      <c r="AL62" s="284">
        <f>SUMIF($C$9:AH$9,0,$C62:AH62)</f>
        <v>0</v>
      </c>
      <c r="AN62" s="1257"/>
      <c r="AT62" s="136"/>
      <c r="AU62" s="136"/>
      <c r="AV62" s="13"/>
    </row>
    <row r="63" spans="1:48" s="172" customFormat="1">
      <c r="A63" s="222" t="s">
        <v>312</v>
      </c>
      <c r="B63" s="195" t="s">
        <v>87</v>
      </c>
      <c r="C63" s="258" t="s">
        <v>236</v>
      </c>
      <c r="D63" s="258" t="s">
        <v>236</v>
      </c>
      <c r="E63" s="284">
        <v>426.97</v>
      </c>
      <c r="F63" s="284">
        <v>3841446</v>
      </c>
      <c r="G63" s="284">
        <v>426.11</v>
      </c>
      <c r="H63" s="284">
        <v>7854595</v>
      </c>
      <c r="I63" s="258">
        <v>148.43</v>
      </c>
      <c r="J63" s="258">
        <v>3833294</v>
      </c>
      <c r="K63" s="284">
        <v>169.5</v>
      </c>
      <c r="L63" s="284">
        <v>2265026</v>
      </c>
      <c r="M63" s="284" t="s">
        <v>236</v>
      </c>
      <c r="N63" s="284" t="s">
        <v>785</v>
      </c>
      <c r="O63" s="284" t="s">
        <v>236</v>
      </c>
      <c r="P63" s="284" t="s">
        <v>785</v>
      </c>
      <c r="Q63" s="284" t="s">
        <v>236</v>
      </c>
      <c r="R63" s="284" t="s">
        <v>785</v>
      </c>
      <c r="S63" s="284" t="s">
        <v>236</v>
      </c>
      <c r="T63" s="284" t="s">
        <v>785</v>
      </c>
      <c r="U63" s="284" t="s">
        <v>236</v>
      </c>
      <c r="V63" s="284" t="s">
        <v>785</v>
      </c>
      <c r="W63" s="284">
        <v>14</v>
      </c>
      <c r="X63" s="284" t="s">
        <v>785</v>
      </c>
      <c r="Y63" s="284">
        <v>21.766999999999999</v>
      </c>
      <c r="Z63" s="284" t="s">
        <v>785</v>
      </c>
      <c r="AA63" s="1265">
        <v>41.28</v>
      </c>
      <c r="AB63" s="1265" t="s">
        <v>785</v>
      </c>
      <c r="AC63" s="1265">
        <v>21.1</v>
      </c>
      <c r="AD63" s="1265" t="s">
        <v>785</v>
      </c>
      <c r="AE63" s="1265">
        <v>82.1</v>
      </c>
      <c r="AF63" s="1265" t="s">
        <v>785</v>
      </c>
      <c r="AG63" s="1570">
        <v>99.343999999999994</v>
      </c>
      <c r="AH63" s="1571" t="s">
        <v>785</v>
      </c>
      <c r="AI63" s="1265">
        <v>112.17400000000001</v>
      </c>
      <c r="AJ63" s="1265" t="s">
        <v>785</v>
      </c>
      <c r="AK63" s="284">
        <f>SUMIF($C$9:AH$9,1,$C63:AH63)</f>
        <v>1450.6009999999999</v>
      </c>
      <c r="AL63" s="284">
        <f>SUMIF($C$9:AH$9,0,$C63:AH63)</f>
        <v>17794361</v>
      </c>
      <c r="AM63" s="1257"/>
      <c r="AN63" s="1257"/>
      <c r="AT63" s="136"/>
      <c r="AU63" s="136"/>
      <c r="AV63" s="13"/>
    </row>
    <row r="64" spans="1:48" s="172" customFormat="1">
      <c r="A64" s="220" t="s">
        <v>781</v>
      </c>
      <c r="B64" s="215"/>
      <c r="C64" s="258">
        <v>111771</v>
      </c>
      <c r="D64" s="284">
        <v>197286847</v>
      </c>
      <c r="E64" s="284"/>
      <c r="F64" s="284">
        <v>192657468</v>
      </c>
      <c r="G64" s="284"/>
      <c r="H64" s="284">
        <v>159153126</v>
      </c>
      <c r="I64" s="258"/>
      <c r="J64" s="258">
        <v>170883445</v>
      </c>
      <c r="K64" s="284"/>
      <c r="L64" s="284">
        <v>194890438</v>
      </c>
      <c r="M64" s="284">
        <v>224374.39999999999</v>
      </c>
      <c r="N64" s="284">
        <v>92741498</v>
      </c>
      <c r="O64" s="284">
        <v>326968.908</v>
      </c>
      <c r="P64" s="284">
        <v>93312253</v>
      </c>
      <c r="Q64" s="284"/>
      <c r="R64" s="284">
        <v>196306721</v>
      </c>
      <c r="S64" s="284"/>
      <c r="T64" s="284">
        <v>200728873</v>
      </c>
      <c r="U64" s="284"/>
      <c r="V64" s="284">
        <v>173039737</v>
      </c>
      <c r="W64" s="284"/>
      <c r="X64" s="284">
        <v>207334873</v>
      </c>
      <c r="Y64" s="284"/>
      <c r="Z64" s="284">
        <v>248196274</v>
      </c>
      <c r="AA64" s="1265"/>
      <c r="AB64" s="1265">
        <v>301521166</v>
      </c>
      <c r="AC64" s="1265"/>
      <c r="AD64" s="1265">
        <v>1212138982</v>
      </c>
      <c r="AE64" s="1265"/>
      <c r="AF64" s="1570">
        <v>1891852036</v>
      </c>
      <c r="AG64" s="1570"/>
      <c r="AH64" s="1570">
        <v>1358034368</v>
      </c>
      <c r="AI64" s="1265"/>
      <c r="AJ64" s="1265">
        <v>844330937</v>
      </c>
      <c r="AK64" s="284">
        <f>SUMIF($C$9:AH$9,1,$C64:AH64)</f>
        <v>663114.30799999996</v>
      </c>
      <c r="AL64" s="284">
        <f>SUM($C64:AK64)</f>
        <v>7735735270.6160002</v>
      </c>
      <c r="AM64" s="1257"/>
      <c r="AN64" s="1254"/>
      <c r="AO64" s="189"/>
      <c r="AP64" s="231"/>
      <c r="AT64" s="136"/>
      <c r="AU64" s="136"/>
      <c r="AV64" s="13"/>
    </row>
    <row r="65" spans="1:48" s="172" customFormat="1">
      <c r="A65" s="220"/>
      <c r="B65" s="215"/>
      <c r="C65" s="258"/>
      <c r="D65" s="284"/>
      <c r="E65" s="284"/>
      <c r="F65" s="284"/>
      <c r="G65" s="284"/>
      <c r="H65" s="284"/>
      <c r="I65" s="258"/>
      <c r="J65" s="258"/>
      <c r="K65" s="284"/>
      <c r="L65" s="284"/>
      <c r="M65" s="284"/>
      <c r="N65" s="284"/>
      <c r="O65" s="284"/>
      <c r="P65" s="284"/>
      <c r="Q65" s="284"/>
      <c r="R65" s="284"/>
      <c r="S65" s="284"/>
      <c r="T65" s="284"/>
      <c r="U65" s="284"/>
      <c r="V65" s="284"/>
      <c r="W65" s="284"/>
      <c r="X65" s="284"/>
      <c r="Y65" s="284"/>
      <c r="Z65" s="284"/>
      <c r="AA65" s="1265"/>
      <c r="AB65" s="1265"/>
      <c r="AC65" s="1265"/>
      <c r="AD65" s="1265"/>
      <c r="AE65" s="1265"/>
      <c r="AF65" s="1570"/>
      <c r="AG65" s="1570"/>
      <c r="AH65" s="1570"/>
      <c r="AI65" s="1265"/>
      <c r="AJ65" s="1265"/>
      <c r="AK65" s="284"/>
      <c r="AL65" s="284"/>
      <c r="AM65" s="1257"/>
      <c r="AN65" s="1254"/>
      <c r="AO65" s="189"/>
      <c r="AP65" s="231"/>
      <c r="AT65" s="237"/>
      <c r="AU65" s="237"/>
      <c r="AV65" s="13"/>
    </row>
    <row r="66" spans="1:48" s="172" customFormat="1">
      <c r="A66" s="1483" t="s">
        <v>256</v>
      </c>
      <c r="B66" s="1511" t="s">
        <v>87</v>
      </c>
      <c r="C66" s="1512">
        <v>275612</v>
      </c>
      <c r="D66" s="1512">
        <v>109660229.37</v>
      </c>
      <c r="E66" s="1489">
        <v>352402</v>
      </c>
      <c r="F66" s="1489">
        <v>129363992.7</v>
      </c>
      <c r="G66" s="1489">
        <v>409047</v>
      </c>
      <c r="H66" s="1489">
        <v>121674018.04000001</v>
      </c>
      <c r="I66" s="1512">
        <v>398980</v>
      </c>
      <c r="J66" s="1512">
        <v>190869179.15000001</v>
      </c>
      <c r="K66" s="1489">
        <v>341672</v>
      </c>
      <c r="L66" s="1489">
        <v>358971004</v>
      </c>
      <c r="M66" s="1489">
        <v>630321</v>
      </c>
      <c r="N66" s="1489">
        <v>282389057</v>
      </c>
      <c r="O66" s="1489">
        <v>744859</v>
      </c>
      <c r="P66" s="1489">
        <v>421520073</v>
      </c>
      <c r="Q66" s="1489">
        <v>1044534</v>
      </c>
      <c r="R66" s="1489" t="s">
        <v>785</v>
      </c>
      <c r="S66" s="1489">
        <v>640160</v>
      </c>
      <c r="T66" s="1489" t="s">
        <v>785</v>
      </c>
      <c r="U66" s="1489">
        <v>718296</v>
      </c>
      <c r="V66" s="1489" t="s">
        <v>785</v>
      </c>
      <c r="W66" s="1489">
        <v>821197</v>
      </c>
      <c r="X66" s="1489" t="s">
        <v>785</v>
      </c>
      <c r="Y66" s="1489">
        <v>543408</v>
      </c>
      <c r="Z66" s="1489" t="s">
        <v>785</v>
      </c>
      <c r="AA66" s="1572">
        <v>359233.01</v>
      </c>
      <c r="AB66" s="1499">
        <v>85265180</v>
      </c>
      <c r="AC66" s="1499">
        <v>189450.23999999999</v>
      </c>
      <c r="AD66" s="1499" t="s">
        <v>785</v>
      </c>
      <c r="AE66" s="1499">
        <v>554744.22</v>
      </c>
      <c r="AF66" s="1499">
        <v>456739263</v>
      </c>
      <c r="AG66" s="1573">
        <v>559757.24</v>
      </c>
      <c r="AH66" s="1573" t="s">
        <v>785</v>
      </c>
      <c r="AI66" s="1499">
        <v>544180.68000000005</v>
      </c>
      <c r="AJ66" s="1489" t="s">
        <v>785</v>
      </c>
      <c r="AK66" s="1489">
        <f>SUMIF($C$9:AH$9,1,$C66:AH66)</f>
        <v>8583672.709999999</v>
      </c>
      <c r="AL66" s="1489">
        <f>SUM($C66:AK66)</f>
        <v>2174163522.3599997</v>
      </c>
      <c r="AM66" s="242"/>
      <c r="AN66" s="1627"/>
      <c r="AO66" s="189"/>
      <c r="AP66" s="189"/>
      <c r="AQ66" s="189"/>
      <c r="AU66" s="13"/>
      <c r="AV66" s="13"/>
    </row>
    <row r="67" spans="1:48" s="172" customFormat="1">
      <c r="A67" s="1574"/>
      <c r="B67" s="1575"/>
      <c r="C67" s="1512"/>
      <c r="D67" s="1512"/>
      <c r="E67" s="1489"/>
      <c r="F67" s="1489"/>
      <c r="G67" s="1489"/>
      <c r="H67" s="1489"/>
      <c r="I67" s="1512"/>
      <c r="J67" s="1512"/>
      <c r="K67" s="1489"/>
      <c r="L67" s="1489"/>
      <c r="M67" s="1489"/>
      <c r="N67" s="1489"/>
      <c r="O67" s="1489"/>
      <c r="P67" s="1489"/>
      <c r="Q67" s="1489"/>
      <c r="R67" s="1489"/>
      <c r="S67" s="1489"/>
      <c r="T67" s="1489"/>
      <c r="U67" s="1489"/>
      <c r="V67" s="1489"/>
      <c r="W67" s="1489"/>
      <c r="X67" s="1489"/>
      <c r="Y67" s="1489"/>
      <c r="Z67" s="1489"/>
      <c r="AA67" s="1489"/>
      <c r="AB67" s="1576"/>
      <c r="AC67" s="1576"/>
      <c r="AD67" s="1576"/>
      <c r="AE67" s="1576"/>
      <c r="AF67" s="1576"/>
      <c r="AG67" s="1576"/>
      <c r="AH67" s="1576"/>
      <c r="AI67" s="1576"/>
      <c r="AJ67" s="1576"/>
      <c r="AK67" s="1489"/>
      <c r="AL67" s="1489"/>
      <c r="AM67" s="1257"/>
      <c r="AN67" s="1254"/>
      <c r="AO67" s="189"/>
      <c r="AP67" s="189"/>
      <c r="AQ67" s="189"/>
      <c r="AU67" s="13"/>
      <c r="AV67" s="13"/>
    </row>
    <row r="68" spans="1:48" s="172" customFormat="1">
      <c r="A68" s="194" t="s">
        <v>258</v>
      </c>
      <c r="B68" s="195"/>
      <c r="C68" s="258"/>
      <c r="D68" s="258"/>
      <c r="E68" s="284"/>
      <c r="F68" s="284"/>
      <c r="G68" s="284"/>
      <c r="H68" s="284"/>
      <c r="I68" s="258"/>
      <c r="J68" s="258"/>
      <c r="K68" s="284"/>
      <c r="L68" s="284"/>
      <c r="M68" s="284"/>
      <c r="N68" s="284"/>
      <c r="O68" s="284"/>
      <c r="P68" s="284"/>
      <c r="Q68" s="284"/>
      <c r="R68" s="284"/>
      <c r="S68" s="284"/>
      <c r="T68" s="284"/>
      <c r="U68" s="284"/>
      <c r="V68" s="284"/>
      <c r="W68" s="284"/>
      <c r="X68" s="284"/>
      <c r="Y68" s="284"/>
      <c r="Z68" s="284"/>
      <c r="AA68" s="284"/>
      <c r="AB68" s="1252"/>
      <c r="AC68" s="1252"/>
      <c r="AD68" s="1252"/>
      <c r="AE68" s="1252"/>
      <c r="AF68" s="1252"/>
      <c r="AG68" s="1252"/>
      <c r="AH68" s="1252"/>
      <c r="AI68" s="1252"/>
      <c r="AJ68" s="1252"/>
      <c r="AK68" s="284"/>
      <c r="AL68" s="284"/>
      <c r="AM68" s="1257"/>
      <c r="AN68" s="1254"/>
      <c r="AO68" s="189"/>
      <c r="AP68" s="189"/>
      <c r="AQ68" s="189"/>
      <c r="AU68" s="385"/>
      <c r="AV68" s="385"/>
    </row>
    <row r="69" spans="1:48" s="172" customFormat="1">
      <c r="A69" s="222" t="s">
        <v>301</v>
      </c>
      <c r="B69" s="195" t="s">
        <v>87</v>
      </c>
      <c r="C69" s="284">
        <f>SUMIF('Other Commodities - Q&amp;V'!$N$8:$N$250,'CY Q&amp;V 2004 to Now'!C$7,'Other Commodities - Q&amp;V'!$J$8:$J$252)*1000</f>
        <v>4396.8679999999995</v>
      </c>
      <c r="D69" s="258">
        <f>SUMIF('Other Commodities - Q&amp;V'!$N$8:$N$250,'CY Q&amp;V 2004 to Now'!C$7,'Other Commodities - Q&amp;V'!$K$8:$K$252)*1000000</f>
        <v>261187543</v>
      </c>
      <c r="E69" s="258">
        <f>SUMIF('Other Commodities - Q&amp;V'!$N$8:$N$250,'CY Q&amp;V 2004 to Now'!E$7,'Other Commodities - Q&amp;V'!$J$8:$J$252)*1000</f>
        <v>4567.4600000000009</v>
      </c>
      <c r="F69" s="258">
        <f>SUMIF('Other Commodities - Q&amp;V'!$N$8:$N$250,'CY Q&amp;V 2004 to Now'!E$7,'Other Commodities - Q&amp;V'!$K$8:$K$252)*1000000</f>
        <v>166932800</v>
      </c>
      <c r="G69" s="258">
        <f>SUMIF('Other Commodities - Q&amp;V'!$N$8:$N$250,'CY Q&amp;V 2004 to Now'!G$7,'Other Commodities - Q&amp;V'!$J$8:$J$252)*1000</f>
        <v>5128.8249999999998</v>
      </c>
      <c r="H69" s="258">
        <f>SUMIF('Other Commodities - Q&amp;V'!$N$8:$N$250,'CY Q&amp;V 2004 to Now'!G$7,'Other Commodities - Q&amp;V'!$K$8:$K$252)*1000000</f>
        <v>220425176</v>
      </c>
      <c r="I69" s="258">
        <f>SUMIF('Other Commodities - Q&amp;V'!$N$8:$N$250,'CY Q&amp;V 2004 to Now'!I$7,'Other Commodities - Q&amp;V'!$J$8:$J$252)*1000</f>
        <v>4730.3459999999995</v>
      </c>
      <c r="J69" s="258">
        <f>SUMIF('Other Commodities - Q&amp;V'!$N$8:$N$250,'CY Q&amp;V 2004 to Now'!I$7,'Other Commodities - Q&amp;V'!$K$8:$K$252)*1000000</f>
        <v>348990785</v>
      </c>
      <c r="K69" s="258">
        <f>SUMIF('Other Commodities - Q&amp;V'!$N$8:$N$250,'CY Q&amp;V 2004 to Now'!K$7,'Other Commodities - Q&amp;V'!$J$8:$J$252)*1000</f>
        <v>4784.6750000000002</v>
      </c>
      <c r="L69" s="258">
        <f>SUMIF('Other Commodities - Q&amp;V'!$N$8:$N$250,'CY Q&amp;V 2004 to Now'!K$7,'Other Commodities - Q&amp;V'!$K$8:$K$252)*1000000</f>
        <v>377659792.00000006</v>
      </c>
      <c r="M69" s="258">
        <f>SUMIF('Other Commodities - Q&amp;V'!$N$8:$N$250,'CY Q&amp;V 2004 to Now'!M$7,'Other Commodities - Q&amp;V'!$J$8:$J$252)*1000</f>
        <v>4670.387999999999</v>
      </c>
      <c r="N69" s="258">
        <f>SUMIF('Other Commodities - Q&amp;V'!$N$8:$N$250,'CY Q&amp;V 2004 to Now'!M$7,'Other Commodities - Q&amp;V'!$K$8:$K$252)*1000000</f>
        <v>183872077</v>
      </c>
      <c r="O69" s="258">
        <f>SUMIF('Other Commodities - Q&amp;V'!$N$8:$N$250,'CY Q&amp;V 2004 to Now'!O$7,'Other Commodities - Q&amp;V'!$J$8:$J$252)*1000</f>
        <v>3943.0120000000006</v>
      </c>
      <c r="P69" s="258">
        <f>SUMIF('Other Commodities - Q&amp;V'!$N$8:$N$250,'CY Q&amp;V 2004 to Now'!O$7,'Other Commodities - Q&amp;V'!$K$8:$K$252)*1000000</f>
        <v>173787236</v>
      </c>
      <c r="Q69" s="258">
        <f>SUMIF('Other Commodities - Q&amp;V'!$N$8:$N$250,'CY Q&amp;V 2004 to Now'!Q$7,'Other Commodities - Q&amp;V'!$J$8:$J$252)*1000</f>
        <v>3880</v>
      </c>
      <c r="R69" s="258">
        <f>SUMIF('Other Commodities - Q&amp;V'!$N$8:$N$250,'CY Q&amp;V 2004 to Now'!Q$7,'Other Commodities - Q&amp;V'!$K$8:$K$252)*1000000</f>
        <v>127995275.99999999</v>
      </c>
      <c r="S69" s="258">
        <f>SUMIF('Other Commodities - Q&amp;V'!$N$8:$N$250,'CY Q&amp;V 2004 to Now'!S$7,'Other Commodities - Q&amp;V'!$J$8:$J$252)*1000</f>
        <v>5910</v>
      </c>
      <c r="T69" s="258">
        <f>SUMIF('Other Commodities - Q&amp;V'!$N$8:$N$250,'CY Q&amp;V 2004 to Now'!S$7,'Other Commodities - Q&amp;V'!$K$8:$K$252)*1000000</f>
        <v>155449318</v>
      </c>
      <c r="U69" s="258">
        <f>SUMIF('Other Commodities - Q&amp;V'!$N$8:$N$250,'CY Q&amp;V 2004 to Now'!U$7,'Other Commodities - Q&amp;V'!$J$8:$J$252)*1000</f>
        <v>6399.9999999999991</v>
      </c>
      <c r="V69" s="258">
        <f>SUMIF('Other Commodities - Q&amp;V'!$N$8:$N$250,'CY Q&amp;V 2004 to Now'!U$7,'Other Commodities - Q&amp;V'!$K$8:$K$252)*1000000</f>
        <v>171749885</v>
      </c>
      <c r="W69" s="258">
        <f>SUMIF('Other Commodities - Q&amp;V'!$N$8:$N$250,'CY Q&amp;V 2004 to Now'!W$7,'Other Commodities - Q&amp;V'!$J$8:$J$252)*1000</f>
        <v>6201.2560000000003</v>
      </c>
      <c r="X69" s="258">
        <f>SUMIF('Other Commodities - Q&amp;V'!$N$8:$N$250,'CY Q&amp;V 2004 to Now'!W$7,'Other Commodities - Q&amp;V'!$K$8:$K$252)*1000000</f>
        <v>197576142</v>
      </c>
      <c r="Y69" s="258">
        <f>SUMIF('Other Commodities - Q&amp;V'!$N$8:$N$250,'CY Q&amp;V 2004 to Now'!Y$7,'Other Commodities - Q&amp;V'!$J$8:$J$252)*1000</f>
        <v>5720.6859999999997</v>
      </c>
      <c r="Z69" s="258">
        <f>SUMIF('Other Commodities - Q&amp;V'!$N$8:$N$250,'CY Q&amp;V 2004 to Now'!Y$7,'Other Commodities - Q&amp;V'!$K$8:$K$252)*1000000</f>
        <v>199471951</v>
      </c>
      <c r="AA69" s="258">
        <f>SUMIF('Other Commodities - Q&amp;V'!$N$8:$N$250,'CY Q&amp;V 2004 to Now'!AA$7,'Other Commodities - Q&amp;V'!$J$8:$J$252)*1000</f>
        <v>5139.7489999999998</v>
      </c>
      <c r="AB69" s="1266">
        <f>SUMIF('Other Commodities - Q&amp;V'!$N$8:$N$250,'CY Q&amp;V 2004 to Now'!AA$7,'Other Commodities - Q&amp;V'!$K$8:$K$252)*1000000</f>
        <v>169378671</v>
      </c>
      <c r="AC69" s="1266">
        <f>SUMIF('Other Commodities - Q&amp;V'!$N$8:$N$250,'CY Q&amp;V 2004 to Now'!AC$7,'Other Commodities - Q&amp;V'!$J$8:$J$252)*1000</f>
        <v>5033.8279999999995</v>
      </c>
      <c r="AD69" s="1266">
        <f>SUMIF('Other Commodities - Q&amp;V'!$N$8:$N$250,'CY Q&amp;V 2004 to Now'!AC$7,'Other Commodities - Q&amp;V'!$K$8:$K$252)*1000000</f>
        <v>381220194</v>
      </c>
      <c r="AE69" s="1266">
        <f>SUMIF('Other Commodities - Q&amp;V'!$N$8:$N$250,'CY Q&amp;V 2004 to Now'!AE$7,'Other Commodities - Q&amp;V'!$J$8:$J$252)*1000</f>
        <v>4878.0980000000009</v>
      </c>
      <c r="AF69" s="1266">
        <f>SUMIF('Other Commodities - Q&amp;V'!$N$8:$N$250,'CY Q&amp;V 2004 to Now'!AE$7,'Other Commodities - Q&amp;V'!$K$8:$K$252)*1000000</f>
        <v>503216708.00000006</v>
      </c>
      <c r="AG69" s="1266">
        <f>SUMIF('Other Commodities - Q&amp;V'!$N$8:$N$250,'CY Q&amp;V 2004 to Now'!AG$7,'Other Commodities - Q&amp;V'!$J$8:$J$252)*1000</f>
        <v>5740.6404999999995</v>
      </c>
      <c r="AH69" s="1266">
        <f>SUMIF('Other Commodities - Q&amp;V'!$N$8:$N$250,'CY Q&amp;V 2004 to Now'!AG$7,'Other Commodities - Q&amp;V'!$K$8:$K$252)*1000000</f>
        <v>260784661.00000003</v>
      </c>
      <c r="AI69" s="1266">
        <f>SUMIF('Other Commodities - Q&amp;V'!$N$8:$N$250,'CY Q&amp;V 2004 to Now'!AI$7,'Other Commodities - Q&amp;V'!$J$8:$J$252)*1000</f>
        <v>5630.4719999999998</v>
      </c>
      <c r="AJ69" s="1266">
        <f>SUMIF('Other Commodities - Q&amp;V'!$N$8:$N$250,'CY Q&amp;V 2004 to Now'!AI$7,'Other Commodities - Q&amp;V'!$K$8:$K$252)*1000000</f>
        <v>281046260</v>
      </c>
      <c r="AK69" s="284">
        <f>SUMIF($C$9:AH$9,1,$C69:AH69)</f>
        <v>81125.831499999986</v>
      </c>
      <c r="AL69" s="284">
        <f>SUMIF($C$9:AH$9,0,$C69:AH69)</f>
        <v>3899698215</v>
      </c>
      <c r="AM69" s="242"/>
      <c r="AN69" s="1257"/>
      <c r="AO69" s="189"/>
      <c r="AP69" s="189"/>
      <c r="AQ69" s="189"/>
      <c r="AU69" s="385"/>
      <c r="AV69" s="385"/>
    </row>
    <row r="70" spans="1:48" s="172" customFormat="1">
      <c r="A70" s="222" t="s">
        <v>3</v>
      </c>
      <c r="B70" s="195" t="s">
        <v>87</v>
      </c>
      <c r="C70" s="284">
        <f>SUMIF('Nickel - Q&amp;V'!$D8:$D250,'CY Q&amp;V 2004 to Now'!C7,'Nickel - Q&amp;V'!$B8:$B250)*1000</f>
        <v>174701</v>
      </c>
      <c r="D70" s="258">
        <f>SUMIF('Nickel - Q&amp;V'!$D8:$D250,'CY Q&amp;V 2004 to Now'!C7,'Nickel - Q&amp;V'!$C8:$C250)*1000000</f>
        <v>3270207822</v>
      </c>
      <c r="E70" s="284">
        <f>SUMIF('Nickel - Q&amp;V'!$D8:$D250,'CY Q&amp;V 2004 to Now'!E7,'Nickel - Q&amp;V'!$B8:$B250)*1000</f>
        <v>188362</v>
      </c>
      <c r="F70" s="258">
        <f>SUMIF('Nickel - Q&amp;V'!$D8:$D250,'CY Q&amp;V 2004 to Now'!E7,'Nickel - Q&amp;V'!$C8:$C250)*1000000</f>
        <v>3490738470</v>
      </c>
      <c r="G70" s="284">
        <f>SUMIF('Nickel - Q&amp;V'!$D8:$D250,'CY Q&amp;V 2004 to Now'!G7,'Nickel - Q&amp;V'!$B8:$B250)*1000</f>
        <v>175087</v>
      </c>
      <c r="H70" s="258">
        <f>SUMIF('Nickel - Q&amp;V'!$D8:$D250,'CY Q&amp;V 2004 to Now'!G7,'Nickel - Q&amp;V'!$C8:$C250)*1000000</f>
        <v>5844173432</v>
      </c>
      <c r="I70" s="284">
        <f>SUMIF('Nickel - Q&amp;V'!$D8:$D250,'CY Q&amp;V 2004 to Now'!I7,'Nickel - Q&amp;V'!$B8:$B250)*1000</f>
        <v>162492.00000000003</v>
      </c>
      <c r="J70" s="258">
        <f>SUMIF('Nickel - Q&amp;V'!$D8:$D250,'CY Q&amp;V 2004 to Now'!I7,'Nickel - Q&amp;V'!$C8:$C250)*1000000</f>
        <v>6901856392</v>
      </c>
      <c r="K70" s="284">
        <f>SUMIF('Nickel - Q&amp;V'!$D8:$D250,'CY Q&amp;V 2004 to Now'!K7,'Nickel - Q&amp;V'!$B8:$B250)*1000</f>
        <v>187791</v>
      </c>
      <c r="L70" s="258">
        <f>SUMIF('Nickel - Q&amp;V'!$D8:$D250,'CY Q&amp;V 2004 to Now'!K7,'Nickel - Q&amp;V'!$C8:$C250)*1000000</f>
        <v>4059155738</v>
      </c>
      <c r="M70" s="284">
        <f>SUMIF('Nickel - Q&amp;V'!$D8:$D250,'CY Q&amp;V 2004 to Now'!M7,'Nickel - Q&amp;V'!$B8:$B250)*1000</f>
        <v>171178</v>
      </c>
      <c r="N70" s="258">
        <f>SUMIF('Nickel - Q&amp;V'!$D8:$D250,'CY Q&amp;V 2004 to Now'!M7,'Nickel - Q&amp;V'!$C8:$C250)*1000000</f>
        <v>3352941845</v>
      </c>
      <c r="O70" s="284">
        <f>SUMIF('Nickel - Q&amp;V'!$D8:$D250,'CY Q&amp;V 2004 to Now'!O7,'Nickel - Q&amp;V'!$B8:$B250)*1000</f>
        <v>193259</v>
      </c>
      <c r="P70" s="258">
        <f>SUMIF('Nickel - Q&amp;V'!$D8:$D250,'CY Q&amp;V 2004 to Now'!O7,'Nickel - Q&amp;V'!$C8:$C250)*1000000</f>
        <v>4550334790</v>
      </c>
      <c r="Q70" s="284">
        <f>SUMIF('Nickel - Q&amp;V'!$D8:$D250,'CY Q&amp;V 2004 to Now'!Q7,'Nickel - Q&amp;V'!$B8:$B250)*1000</f>
        <v>185130</v>
      </c>
      <c r="R70" s="258">
        <f>SUMIF('Nickel - Q&amp;V'!$D8:$D250,'CY Q&amp;V 2004 to Now'!Q7,'Nickel - Q&amp;V'!$C8:$C250)*1000000</f>
        <v>3951580226</v>
      </c>
      <c r="S70" s="284">
        <f>SUMIF('Nickel - Q&amp;V'!$D8:$D250,'CY Q&amp;V 2004 to Now'!S7,'Nickel - Q&amp;V'!$B8:$B250)*1000</f>
        <v>230767.1003574091</v>
      </c>
      <c r="T70" s="258">
        <f>SUMIF('Nickel - Q&amp;V'!$D8:$D250,'CY Q&amp;V 2004 to Now'!S7,'Nickel - Q&amp;V'!$C8:$C250)*1000000</f>
        <v>3801194548.54</v>
      </c>
      <c r="U70" s="284">
        <f>SUMIF('Nickel - Q&amp;V'!$D8:$D250,'CY Q&amp;V 2004 to Now'!U7,'Nickel - Q&amp;V'!$B8:$B250)*1000</f>
        <v>229730</v>
      </c>
      <c r="V70" s="258">
        <f>SUMIF('Nickel - Q&amp;V'!$D8:$D250,'CY Q&amp;V 2004 to Now'!U7,'Nickel - Q&amp;V'!$C8:$C250)*1000000</f>
        <v>3380559515</v>
      </c>
      <c r="W70" s="284">
        <f>SUMIF('Nickel - Q&amp;V'!$D8:$D250,'CY Q&amp;V 2004 to Now'!W7,'Nickel - Q&amp;V'!$B8:$B250)*1000</f>
        <v>218563.11600000001</v>
      </c>
      <c r="X70" s="258">
        <f>SUMIF('Nickel - Q&amp;V'!$D8:$D250,'CY Q&amp;V 2004 to Now'!W7,'Nickel - Q&amp;V'!$C8:$C250)*1000000</f>
        <v>3582498108</v>
      </c>
      <c r="Y70" s="284">
        <f>SUMIF('Nickel - Q&amp;V'!$D8:$D250,'CY Q&amp;V 2004 to Now'!Y7,'Nickel - Q&amp;V'!$B8:$B250)*1000</f>
        <v>173974.19099999999</v>
      </c>
      <c r="Z70" s="258">
        <f>SUMIF('Nickel - Q&amp;V'!$D8:$D250,'CY Q&amp;V 2004 to Now'!Y7,'Nickel - Q&amp;V'!$C8:$C250)*1000000</f>
        <v>2557214478.9999995</v>
      </c>
      <c r="AA70" s="284">
        <f>SUMIF('Nickel - Q&amp;V'!$D8:$D250,'CY Q&amp;V 2004 to Now'!AA7,'Nickel - Q&amp;V'!$B8:$B250)*1000</f>
        <v>165475.67600000001</v>
      </c>
      <c r="AB70" s="1266">
        <f>SUMIF('Nickel - Q&amp;V'!$D8:$D250,'CY Q&amp;V 2004 to Now'!AA7,'Nickel - Q&amp;V'!$C8:$C250)*1000000</f>
        <v>2122624423.0000002</v>
      </c>
      <c r="AC70" s="1266">
        <f>SUMIF('Nickel - Q&amp;V'!$D8:$D250,'CY Q&amp;V 2004 to Now'!AC7,'Nickel - Q&amp;V'!$B8:$B250)*1000</f>
        <v>165182.95699999999</v>
      </c>
      <c r="AD70" s="1266">
        <f>SUMIF('Nickel - Q&amp;V'!$D8:$D250,'CY Q&amp;V 2004 to Now'!AC7,'Nickel - Q&amp;V'!$C8:$C250)*1000000</f>
        <v>2258753167.0000005</v>
      </c>
      <c r="AE70" s="1266">
        <f>SUMIF('Nickel - Q&amp;V'!$D8:$D250,'CY Q&amp;V 2004 to Now'!AE7,'Nickel - Q&amp;V'!$B8:$B250)*1000</f>
        <v>149706.005</v>
      </c>
      <c r="AF70" s="1266">
        <f>SUMIF('Nickel - Q&amp;V'!$D8:$D250,'CY Q&amp;V 2004 to Now'!AE7,'Nickel - Q&amp;V'!$C8:$C250)*1000000</f>
        <v>2616263650</v>
      </c>
      <c r="AG70" s="1266">
        <f>SUMIF('Nickel - Q&amp;V'!$D8:$D250,'CY Q&amp;V 2004 to Now'!AG7,'Nickel - Q&amp;V'!$B8:$B250)*1000</f>
        <v>153502.27000000002</v>
      </c>
      <c r="AH70" s="1266">
        <f>SUMIF('Nickel - Q&amp;V'!$D8:$D250,'CY Q&amp;V 2004 to Now'!AG7,'Nickel - Q&amp;V'!$C8:$C250)*1000000</f>
        <v>3082104017</v>
      </c>
      <c r="AI70" s="1266">
        <f>SUMIF('Nickel - Q&amp;V'!$D8:$D250,'CY Q&amp;V 2004 to Now'!AI7,'Nickel - Q&amp;V'!$B8:$B250)*1000</f>
        <v>165504.67800000001</v>
      </c>
      <c r="AJ70" s="1266">
        <f>SUMIF('Nickel - Q&amp;V'!$D8:$D250,'CY Q&amp;V 2004 to Now'!AI7,'Nickel - Q&amp;V'!$C8:$C250)*1000000</f>
        <v>3348253694</v>
      </c>
      <c r="AK70" s="284">
        <f>SUMIF($C$9:AH$9,1,$C70:AH70)</f>
        <v>2924901.315357409</v>
      </c>
      <c r="AL70" s="284">
        <f>SUMIF($C$9:AH$9,0,$C70:AH70)</f>
        <v>58822200622.540001</v>
      </c>
      <c r="AM70" s="242"/>
      <c r="AN70" s="1254"/>
      <c r="AO70" s="189"/>
      <c r="AP70" s="189"/>
      <c r="AQ70" s="189"/>
      <c r="AV70" s="385"/>
    </row>
    <row r="71" spans="1:48" s="172" customFormat="1">
      <c r="A71" s="222" t="s">
        <v>302</v>
      </c>
      <c r="B71" s="195" t="s">
        <v>160</v>
      </c>
      <c r="C71" s="284">
        <f>SUMIF('Other Commodities - Q&amp;V'!$N$8:$N$250,'CY Q&amp;V 2004 to Now'!C$7,'Other Commodities - Q&amp;V'!$L$8:$L$252)</f>
        <v>1042.01</v>
      </c>
      <c r="D71" s="258">
        <f>SUMIF('Other Commodities - Q&amp;V'!$N$8:$N$250,'CY Q&amp;V 2004 to Now'!C$7,'Other Commodities - Q&amp;V'!$M$8:$M$252)*1000000</f>
        <v>10567779.999999998</v>
      </c>
      <c r="E71" s="284">
        <f>SUMIF('Other Commodities - Q&amp;V'!$N$8:$N$250,'CY Q&amp;V 2004 to Now'!E$7,'Other Commodities - Q&amp;V'!$L$8:$L$252)</f>
        <v>661.21</v>
      </c>
      <c r="F71" s="258">
        <f>SUMIF('Other Commodities - Q&amp;V'!$N$8:$N$250,'CY Q&amp;V 2004 to Now'!E$7,'Other Commodities - Q&amp;V'!$M$8:$M$252)*1000000</f>
        <v>6020111</v>
      </c>
      <c r="G71" s="284">
        <f>SUMIF('Other Commodities - Q&amp;V'!$N$8:$N$250,'CY Q&amp;V 2004 to Now'!G$7,'Other Commodities - Q&amp;V'!$L$8:$L$252)</f>
        <v>959.08</v>
      </c>
      <c r="H71" s="258">
        <f>SUMIF('Other Commodities - Q&amp;V'!$N$8:$N$250,'CY Q&amp;V 2004 to Now'!G$7,'Other Commodities - Q&amp;V'!$M$8:$M$252)*1000000</f>
        <v>12505294</v>
      </c>
      <c r="I71" s="284">
        <f>SUMIF('Other Commodities - Q&amp;V'!$N$8:$N$250,'CY Q&amp;V 2004 to Now'!I$7,'Other Commodities - Q&amp;V'!$L$8:$L$252)</f>
        <v>741.7</v>
      </c>
      <c r="J71" s="258">
        <f>SUMIF('Other Commodities - Q&amp;V'!$N$8:$N$250,'CY Q&amp;V 2004 to Now'!I$7,'Other Commodities - Q&amp;V'!$M$8:$M$252)*1000000</f>
        <v>10162872</v>
      </c>
      <c r="K71" s="284">
        <f>SUMIF('Other Commodities - Q&amp;V'!$N$8:$N$250,'CY Q&amp;V 2004 to Now'!K$7,'Other Commodities - Q&amp;V'!$L$8:$L$252)</f>
        <v>709.75</v>
      </c>
      <c r="L71" s="258">
        <f>SUMIF('Other Commodities - Q&amp;V'!$N$8:$N$250,'CY Q&amp;V 2004 to Now'!K$7,'Other Commodities - Q&amp;V'!$M$8:$M$252)*1000000</f>
        <v>8753701</v>
      </c>
      <c r="M71" s="284">
        <f>SUMIF('Other Commodities - Q&amp;V'!$N$8:$N$250,'CY Q&amp;V 2004 to Now'!M$7,'Other Commodities - Q&amp;V'!$L$8:$L$252)</f>
        <v>1034.05</v>
      </c>
      <c r="N71" s="258">
        <f>SUMIF('Other Commodities - Q&amp;V'!$N$8:$N$250,'CY Q&amp;V 2004 to Now'!M$7,'Other Commodities - Q&amp;V'!$M$8:$M$252)*1000000</f>
        <v>10001145</v>
      </c>
      <c r="O71" s="284">
        <f>SUMIF('Other Commodities - Q&amp;V'!$N$8:$N$250,'CY Q&amp;V 2004 to Now'!O$7,'Other Commodities - Q&amp;V'!$L$8:$L$252)</f>
        <v>781.03</v>
      </c>
      <c r="P71" s="258">
        <f>SUMIF('Other Commodities - Q&amp;V'!$N$8:$N$250,'CY Q&amp;V 2004 to Now'!O$7,'Other Commodities - Q&amp;V'!$M$8:$M$252)*1000000</f>
        <v>8225481</v>
      </c>
      <c r="Q71" s="284">
        <f>SUMIF('Other Commodities - Q&amp;V'!$N$8:$N$250,'CY Q&amp;V 2004 to Now'!Q$7,'Other Commodities - Q&amp;V'!$L$8:$L$252)</f>
        <v>438.60690499999998</v>
      </c>
      <c r="R71" s="258">
        <f>SUMIF('Other Commodities - Q&amp;V'!$N$8:$N$250,'CY Q&amp;V 2004 to Now'!Q$7,'Other Commodities - Q&amp;V'!$M$8:$M$252)*1000000</f>
        <v>10606194</v>
      </c>
      <c r="S71" s="284">
        <f>SUMIF('Other Commodities - Q&amp;V'!$N$8:$N$250,'CY Q&amp;V 2004 to Now'!S$7,'Other Commodities - Q&amp;V'!$L$8:$L$252)</f>
        <v>706.33281504000001</v>
      </c>
      <c r="T71" s="258">
        <f>SUMIF('Other Commodities - Q&amp;V'!$N$8:$N$250,'CY Q&amp;V 2004 to Now'!S$7,'Other Commodities - Q&amp;V'!$M$8:$M$252)*1000000</f>
        <v>15679998.159999998</v>
      </c>
      <c r="U71" s="284">
        <f>SUMIF('Other Commodities - Q&amp;V'!$N$8:$N$250,'CY Q&amp;V 2004 to Now'!U$7,'Other Commodities - Q&amp;V'!$L$8:$L$252)</f>
        <v>786.18942475000006</v>
      </c>
      <c r="V71" s="258">
        <f>SUMIF('Other Commodities - Q&amp;V'!$N$8:$N$250,'CY Q&amp;V 2004 to Now'!U$7,'Other Commodities - Q&amp;V'!$M$8:$M$252)*1000000</f>
        <v>20442434.100000001</v>
      </c>
      <c r="W71" s="284">
        <f>SUMIF('Other Commodities - Q&amp;V'!$N$8:$N$250,'CY Q&amp;V 2004 to Now'!W$7,'Other Commodities - Q&amp;V'!$L$8:$L$252)</f>
        <v>765.50463909028417</v>
      </c>
      <c r="X71" s="258">
        <f>SUMIF('Other Commodities - Q&amp;V'!$N$8:$N$250,'CY Q&amp;V 2004 to Now'!W$7,'Other Commodities - Q&amp;V'!$M$8:$M$252)*1000000</f>
        <v>12210918</v>
      </c>
      <c r="Y71" s="284">
        <f>SUMIF('Other Commodities - Q&amp;V'!$N$8:$N$250,'CY Q&amp;V 2004 to Now'!Y$7,'Other Commodities - Q&amp;V'!$L$8:$L$252)</f>
        <v>533.20421058872148</v>
      </c>
      <c r="Z71" s="258">
        <f>SUMIF('Other Commodities - Q&amp;V'!$N$8:$N$250,'CY Q&amp;V 2004 to Now'!Y$7,'Other Commodities - Q&amp;V'!$M$8:$M$252)*1000000</f>
        <v>14706059.999999998</v>
      </c>
      <c r="AA71" s="284">
        <f>SUMIF('Other Commodities - Q&amp;V'!$N$8:$N$250,'CY Q&amp;V 2004 to Now'!AA$7,'Other Commodities - Q&amp;V'!$L$8:$L$252)</f>
        <v>762.21267344101375</v>
      </c>
      <c r="AB71" s="1266">
        <f>SUMIF('Other Commodities - Q&amp;V'!$N$8:$N$250,'CY Q&amp;V 2004 to Now'!AA$7,'Other Commodities - Q&amp;V'!$M$8:$M$252)*1000000</f>
        <v>18245303</v>
      </c>
      <c r="AC71" s="1266">
        <f>SUMIF('Other Commodities - Q&amp;V'!$N$8:$N$250,'CY Q&amp;V 2004 to Now'!AC$7,'Other Commodities - Q&amp;V'!$L$8:$L$252)</f>
        <v>765.1508987362638</v>
      </c>
      <c r="AD71" s="1266">
        <f>SUMIF('Other Commodities - Q&amp;V'!$N$8:$N$250,'CY Q&amp;V 2004 to Now'!AC$7,'Other Commodities - Q&amp;V'!$M$8:$M$252)*1000000</f>
        <v>25510372.000000004</v>
      </c>
      <c r="AE71" s="1266">
        <f>SUMIF('Other Commodities - Q&amp;V'!$N$8:$N$250,'CY Q&amp;V 2004 to Now'!AE$7,'Other Commodities - Q&amp;V'!$L$8:$L$252)</f>
        <v>540.76377808259224</v>
      </c>
      <c r="AF71" s="1266">
        <f>SUMIF('Other Commodities - Q&amp;V'!$N$8:$N$250,'CY Q&amp;V 2004 to Now'!AE$7,'Other Commodities - Q&amp;V'!$M$8:$M$252)*1000000</f>
        <v>23825429</v>
      </c>
      <c r="AG71" s="1266">
        <f>SUMIF('Other Commodities - Q&amp;V'!$N$8:$N$250,'CY Q&amp;V 2004 to Now'!AG$7,'Other Commodities - Q&amp;V'!$L$8:$L$252)</f>
        <v>483.22618170055392</v>
      </c>
      <c r="AH71" s="1266">
        <f>SUMIF('Other Commodities - Q&amp;V'!$N$8:$N$250,'CY Q&amp;V 2004 to Now'!AG$7,'Other Commodities - Q&amp;V'!$M$8:$M$252)*1000000</f>
        <v>32606871.000000004</v>
      </c>
      <c r="AI71" s="1266">
        <f>SUMIF('Other Commodities - Q&amp;V'!$N$8:$N$250,'CY Q&amp;V 2004 to Now'!AI$7,'Other Commodities - Q&amp;V'!$L$8:$L$252)</f>
        <v>521.65209466667909</v>
      </c>
      <c r="AJ71" s="1266">
        <f>SUMIF('Other Commodities - Q&amp;V'!$N$8:$N$250,'CY Q&amp;V 2004 to Now'!AI$7,'Other Commodities - Q&amp;V'!$M$8:$M$252)*1000000</f>
        <v>45309975</v>
      </c>
      <c r="AK71" s="284">
        <f>SUMIF($C$9:AH$9,1,$C71:AH71)</f>
        <v>11710.021526429429</v>
      </c>
      <c r="AL71" s="284">
        <f>SUMIF($C$9:AH$9,0,$C71:AH71)</f>
        <v>240069963.25999999</v>
      </c>
      <c r="AM71" s="1257"/>
      <c r="AN71" s="1254"/>
      <c r="AO71" s="189"/>
      <c r="AP71" s="189"/>
      <c r="AQ71" s="189"/>
      <c r="AV71" s="385"/>
    </row>
    <row r="72" spans="1:48" s="172" customFormat="1">
      <c r="A72" s="220" t="s">
        <v>262</v>
      </c>
      <c r="B72" s="215"/>
      <c r="C72" s="284"/>
      <c r="D72" s="258">
        <f>SUM(D69:D71)</f>
        <v>3541963145</v>
      </c>
      <c r="E72" s="284"/>
      <c r="F72" s="258">
        <f>SUM(F69:F71)</f>
        <v>3663691381</v>
      </c>
      <c r="G72" s="284"/>
      <c r="H72" s="258">
        <f>SUM(H69:H71)</f>
        <v>6077103902</v>
      </c>
      <c r="I72" s="258"/>
      <c r="J72" s="258">
        <f>SUM(J69:J71)</f>
        <v>7261010049</v>
      </c>
      <c r="K72" s="284"/>
      <c r="L72" s="258">
        <f>SUM(L69:L71)</f>
        <v>4445569231</v>
      </c>
      <c r="M72" s="284"/>
      <c r="N72" s="258">
        <f>SUM(N69:N71)</f>
        <v>3546815067</v>
      </c>
      <c r="O72" s="284"/>
      <c r="P72" s="258">
        <f>SUM(P69:P71)</f>
        <v>4732347507</v>
      </c>
      <c r="Q72" s="284"/>
      <c r="R72" s="258">
        <f>SUM(R69:R71)</f>
        <v>4090181696</v>
      </c>
      <c r="S72" s="284"/>
      <c r="T72" s="258">
        <f>SUM(T69:T71)</f>
        <v>3972323864.6999998</v>
      </c>
      <c r="U72" s="284"/>
      <c r="V72" s="258">
        <f>SUM(V69:V71)</f>
        <v>3572751834.0999999</v>
      </c>
      <c r="W72" s="284"/>
      <c r="X72" s="258">
        <f>SUM(X69:X71)</f>
        <v>3792285168</v>
      </c>
      <c r="Y72" s="284"/>
      <c r="Z72" s="258">
        <f>SUM(Z69:Z71)</f>
        <v>2771392489.9999995</v>
      </c>
      <c r="AA72" s="258"/>
      <c r="AB72" s="1266">
        <f>SUM(AB69:AB71)</f>
        <v>2310248397</v>
      </c>
      <c r="AC72" s="1266"/>
      <c r="AD72" s="1266">
        <f>SUM(AD69:AD71)</f>
        <v>2665483733.0000005</v>
      </c>
      <c r="AE72" s="1266"/>
      <c r="AF72" s="1266">
        <f>SUM(AF69:AF71)</f>
        <v>3143305787</v>
      </c>
      <c r="AG72" s="1266"/>
      <c r="AH72" s="1266">
        <f>SUM(AH69:AH71)</f>
        <v>3375495549</v>
      </c>
      <c r="AI72" s="1266"/>
      <c r="AJ72" s="1266">
        <f>SUM(AJ69:AJ71)</f>
        <v>3674609929</v>
      </c>
      <c r="AK72" s="284"/>
      <c r="AL72" s="284">
        <f>SUMIF($C$9:AH$9,0,$C72:AH72)</f>
        <v>62961968800.799995</v>
      </c>
      <c r="AM72" s="1257"/>
      <c r="AN72" s="1254"/>
      <c r="AO72" s="189"/>
      <c r="AP72" s="189"/>
      <c r="AQ72" s="189"/>
      <c r="AV72" s="385"/>
    </row>
    <row r="73" spans="1:48" s="172" customFormat="1">
      <c r="A73" s="214" t="s">
        <v>265</v>
      </c>
      <c r="B73" s="215"/>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c r="AL73" s="284"/>
      <c r="AM73" s="1257"/>
      <c r="AN73" s="1254"/>
      <c r="AO73" s="189"/>
      <c r="AP73" s="189"/>
      <c r="AQ73" s="189"/>
      <c r="AV73" s="385"/>
    </row>
    <row r="74" spans="1:48" s="172" customFormat="1">
      <c r="A74" s="1483" t="s">
        <v>266</v>
      </c>
      <c r="B74" s="1484"/>
      <c r="C74" s="1489"/>
      <c r="D74" s="1489"/>
      <c r="E74" s="1489"/>
      <c r="F74" s="1489"/>
      <c r="G74" s="1489"/>
      <c r="H74" s="1489"/>
      <c r="I74" s="1489"/>
      <c r="J74" s="1489"/>
      <c r="K74" s="1489"/>
      <c r="L74" s="1489"/>
      <c r="M74" s="1489"/>
      <c r="N74" s="1489"/>
      <c r="O74" s="1489"/>
      <c r="P74" s="1489"/>
      <c r="Q74" s="1489"/>
      <c r="R74" s="1489"/>
      <c r="S74" s="1489"/>
      <c r="T74" s="1489"/>
      <c r="U74" s="1489"/>
      <c r="V74" s="1489"/>
      <c r="W74" s="1489"/>
      <c r="X74" s="1489"/>
      <c r="Y74" s="1489"/>
      <c r="Z74" s="1489"/>
      <c r="AA74" s="1489"/>
      <c r="AB74" s="1489"/>
      <c r="AC74" s="1489"/>
      <c r="AD74" s="1489"/>
      <c r="AE74" s="1489"/>
      <c r="AF74" s="1489"/>
      <c r="AG74" s="1489"/>
      <c r="AH74" s="1489"/>
      <c r="AI74" s="1489"/>
      <c r="AJ74" s="1489"/>
      <c r="AK74" s="1489"/>
      <c r="AL74" s="1489"/>
      <c r="AM74" s="1257"/>
      <c r="AN74" s="1254"/>
      <c r="AO74" s="189"/>
      <c r="AP74" s="189"/>
      <c r="AQ74" s="189"/>
      <c r="AV74" s="13"/>
    </row>
    <row r="75" spans="1:48" s="172" customFormat="1">
      <c r="A75" s="1524" t="s">
        <v>80</v>
      </c>
      <c r="B75" s="1511" t="s">
        <v>267</v>
      </c>
      <c r="C75" s="1489">
        <f>SUMIF('Petroleum - Q&amp;V1'!$H8:$H250,'CY Q&amp;V 2004 to Now'!C7,'Petroleum - Q&amp;V1'!$D8:$D250)*1000000</f>
        <v>5483402</v>
      </c>
      <c r="D75" s="1489">
        <f>SUMIF('Petroleum - Q&amp;V1'!$H8:$H250,'CY Q&amp;V 2004 to Now'!C7,'Petroleum - Q&amp;V1'!$E8:$E250)*1000000</f>
        <v>2022972111</v>
      </c>
      <c r="E75" s="1489">
        <f>SUMIF('Petroleum - Q&amp;V1'!$H8:$H250,'CY Q&amp;V 2004 to Now'!E7,'Petroleum - Q&amp;V1'!$D8:$D250)*1000000</f>
        <v>5884500</v>
      </c>
      <c r="F75" s="1489">
        <f>SUMIF('Petroleum - Q&amp;V1'!$H8:$H250,'CY Q&amp;V 2004 to Now'!E7,'Petroleum - Q&amp;V1'!$E8:$E250)*1000000</f>
        <v>2576899599</v>
      </c>
      <c r="G75" s="1489">
        <f>SUMIF('Petroleum - Q&amp;V1'!$H8:$H250,'CY Q&amp;V 2004 to Now'!G7,'Petroleum - Q&amp;V1'!$D8:$D250)*1000000</f>
        <v>5609151</v>
      </c>
      <c r="H75" s="1489">
        <f>SUMIF('Petroleum - Q&amp;V1'!$H8:$H250,'CY Q&amp;V 2004 to Now'!G7,'Petroleum - Q&amp;V1'!$E8:$E250)*1000000</f>
        <v>2940186079</v>
      </c>
      <c r="I75" s="1489">
        <f>SUMIF('Petroleum - Q&amp;V1'!$H8:$H250,'CY Q&amp;V 2004 to Now'!I7,'Petroleum - Q&amp;V1'!$D8:$D250)*1000000</f>
        <v>5855654</v>
      </c>
      <c r="J75" s="1489">
        <f>SUMIF('Petroleum - Q&amp;V1'!$H8:$H250,'CY Q&amp;V 2004 to Now'!I7,'Petroleum - Q&amp;V1'!$E8:$E250)*1000000</f>
        <v>3236755018</v>
      </c>
      <c r="K75" s="1489">
        <f>SUMIF('Petroleum - Q&amp;V1'!$H8:$H250,'CY Q&amp;V 2004 to Now'!K7,'Petroleum - Q&amp;V1'!$D8:$D250)*1000000</f>
        <v>5725013.0000000009</v>
      </c>
      <c r="L75" s="1489">
        <f>SUMIF('Petroleum - Q&amp;V1'!$H8:$H250,'CY Q&amp;V 2004 to Now'!K7,'Petroleum - Q&amp;V1'!$E8:$E250)*1000000</f>
        <v>3512416903.9999995</v>
      </c>
      <c r="M75" s="1489">
        <f>SUMIF('Petroleum - Q&amp;V1'!$H8:$H250,'CY Q&amp;V 2004 to Now'!M7,'Petroleum - Q&amp;V1'!$D8:$D250)*1000000</f>
        <v>7492544</v>
      </c>
      <c r="N75" s="1489">
        <f>SUMIF('Petroleum - Q&amp;V1'!$H8:$H250,'CY Q&amp;V 2004 to Now'!M7,'Petroleum - Q&amp;V1'!$E8:$E250)*1000000</f>
        <v>3121956738</v>
      </c>
      <c r="O75" s="1489">
        <f>SUMIF('Petroleum - Q&amp;V1'!$H8:$H250,'CY Q&amp;V 2004 to Now'!O7,'Petroleum - Q&amp;V1'!$D8:$D250)*1000000</f>
        <v>7215589</v>
      </c>
      <c r="P75" s="1489">
        <f>SUMIF('Petroleum - Q&amp;V1'!$H8:$H250,'CY Q&amp;V 2004 to Now'!O7,'Petroleum - Q&amp;V1'!$E8:$E250)*1000000</f>
        <v>3705433478</v>
      </c>
      <c r="Q75" s="1489">
        <f>SUMIF('Petroleum - Q&amp;V1'!$H8:$H250,'CY Q&amp;V 2004 to Now'!Q7,'Petroleum - Q&amp;V1'!$D8:$D250)*1000000</f>
        <v>6282227</v>
      </c>
      <c r="R75" s="1489">
        <f>SUMIF('Petroleum - Q&amp;V1'!$H8:$H250,'CY Q&amp;V 2004 to Now'!Q7,'Petroleum - Q&amp;V1'!$E8:$E250)*1000000</f>
        <v>4088397526</v>
      </c>
      <c r="S75" s="1489">
        <f>SUMIF('Petroleum - Q&amp;V1'!$H8:$H250,'CY Q&amp;V 2004 to Now'!S7,'Petroleum - Q&amp;V1'!$D8:$D250)*1000000</f>
        <v>5999510</v>
      </c>
      <c r="T75" s="1489">
        <f>SUMIF('Petroleum - Q&amp;V1'!$H8:$H250,'CY Q&amp;V 2004 to Now'!S7,'Petroleum - Q&amp;V1'!$E8:$E250)*1000000</f>
        <v>3862301114.9999995</v>
      </c>
      <c r="U75" s="1489">
        <f>SUMIF('Petroleum - Q&amp;V1'!$H8:$H250,'CY Q&amp;V 2004 to Now'!U7,'Petroleum - Q&amp;V1'!$D8:$D250)*1000000</f>
        <v>5957271</v>
      </c>
      <c r="V75" s="1489">
        <f>SUMIF('Petroleum - Q&amp;V1'!$H8:$H250,'CY Q&amp;V 2004 to Now'!U7,'Petroleum - Q&amp;V1'!$E8:$E250)*1000000</f>
        <v>4116922037.0000005</v>
      </c>
      <c r="W75" s="1489">
        <f>SUMIF('Petroleum - Q&amp;V1'!$H8:$H250,'CY Q&amp;V 2004 to Now'!W7,'Petroleum - Q&amp;V1'!$D8:$D250)*1000000</f>
        <v>4916020.9720000001</v>
      </c>
      <c r="X75" s="1489">
        <f>SUMIF('Petroleum - Q&amp;V1'!$H8:$H250,'CY Q&amp;V 2004 to Now'!W7,'Petroleum - Q&amp;V1'!$E8:$E250)*1000000</f>
        <v>3197191703.1127391</v>
      </c>
      <c r="Y75" s="1489">
        <f>SUMIF('Petroleum - Q&amp;V1'!$H8:$H250,'CY Q&amp;V 2004 to Now'!Y7,'Petroleum - Q&amp;V1'!$D8:$D250)*1000000</f>
        <v>6630118.2649999997</v>
      </c>
      <c r="Z75" s="1489">
        <f>SUMIF('Petroleum - Q&amp;V1'!$H8:$H250,'CY Q&amp;V 2004 to Now'!Y7,'Petroleum - Q&amp;V1'!$E8:$E250)*1000000</f>
        <v>2461749279.2567773</v>
      </c>
      <c r="AA75" s="1489">
        <f>SUMIF('Petroleum - Q&amp;V1'!$H8:$H250,'CY Q&amp;V 2004 to Now'!AA7,'Petroleum - Q&amp;V1'!$D8:$D250)*1000000</f>
        <v>6456941.0225498695</v>
      </c>
      <c r="AB75" s="1489">
        <f>SUMIF('Petroleum - Q&amp;V1'!$H8:$H250,'CY Q&amp;V 2004 to Now'!AA7,'Petroleum - Q&amp;V1'!$E8:$E250)*1000000</f>
        <v>2155876768.9303102</v>
      </c>
      <c r="AC75" s="1489">
        <f>SUMIF('Petroleum - Q&amp;V1'!$H8:$H250,'CY Q&amp;V 2004 to Now'!AC7,'Petroleum - Q&amp;V1'!$D8:$D250)*1000000</f>
        <v>6265165.7466368768</v>
      </c>
      <c r="AD75" s="1489">
        <f>SUMIF('Petroleum - Q&amp;V1'!$H8:$H250,'CY Q&amp;V 2004 to Now'!AC7,'Petroleum - Q&amp;V1'!$E8:$E250)*1000000</f>
        <v>2554525131.7507629</v>
      </c>
      <c r="AE75" s="1489">
        <f>SUMIF('Petroleum - Q&amp;V1'!$H8:$H250,'CY Q&amp;V 2004 to Now'!AE7,'Petroleum - Q&amp;V1'!$D8:$D250)*1000000</f>
        <v>8781603.9429353364</v>
      </c>
      <c r="AF75" s="1489">
        <f>SUMIF('Petroleum - Q&amp;V1'!$H8:$H250,'CY Q&amp;V 2004 to Now'!AE7,'Petroleum - Q&amp;V1'!$E8:$E250)*1000000</f>
        <v>4741992500.9907799</v>
      </c>
      <c r="AG75" s="1577">
        <f>SUMIF('Petroleum - Q&amp;V1'!$H8:$H250,'CY Q&amp;V 2004 to Now'!AG7,'Petroleum - Q&amp;V1'!$D8:$D250)*1000000</f>
        <v>12585088.887795024</v>
      </c>
      <c r="AH75" s="1577">
        <f>SUMIF('Petroleum - Q&amp;V1'!$H8:$H250,'CY Q&amp;V 2004 to Now'!AG7,'Petroleum - Q&amp;V1'!$E8:$E250)*1000000</f>
        <v>6778940306.6019497</v>
      </c>
      <c r="AI75" s="1489">
        <f>SUMIF('Petroleum - Q&amp;V1'!$H8:$H250,'CY Q&amp;V 2004 to Now'!AI7,'Petroleum - Q&amp;V1'!$D8:$D250)*1000000</f>
        <v>11368146.719501417</v>
      </c>
      <c r="AJ75" s="1489">
        <f>SUMIF('Petroleum - Q&amp;V1'!$H8:$H250,'CY Q&amp;V 2004 to Now'!AI7,'Petroleum - Q&amp;V1'!$E8:$E250)*1000000</f>
        <v>3561402284.0852423</v>
      </c>
      <c r="AK75" s="1489">
        <f>SUMIF($C$9:AH$9,1,$C75:AJ75)</f>
        <v>107139799.8369171</v>
      </c>
      <c r="AL75" s="1489">
        <f>SUMIF($C$9:AH$9,0,$C75:AJ75)</f>
        <v>55074516295.643318</v>
      </c>
      <c r="AM75" s="1257"/>
      <c r="AN75" s="1254"/>
      <c r="AO75" s="189"/>
      <c r="AP75" s="189"/>
      <c r="AQ75" s="189"/>
      <c r="AV75" s="13"/>
    </row>
    <row r="76" spans="1:48" s="172" customFormat="1">
      <c r="A76" s="1524" t="s">
        <v>79</v>
      </c>
      <c r="B76" s="1511" t="s">
        <v>267</v>
      </c>
      <c r="C76" s="1489">
        <f>SUMIF('Petroleum - Q&amp;V1'!$H8:$H250,'CY Q&amp;V 2004 to Now'!C7,'Petroleum - Q&amp;V1'!$B8:$B250)*1000000</f>
        <v>12218847</v>
      </c>
      <c r="D76" s="1489">
        <f>SUMIF('Petroleum - Q&amp;V1'!$H8:$H250,'CY Q&amp;V 2004 to Now'!C7,'Petroleum - Q&amp;V1'!$C8:$C250)*1000000</f>
        <v>4209310075.0000005</v>
      </c>
      <c r="E76" s="1489">
        <f>SUMIF('Petroleum - Q&amp;V1'!$H8:$H250,'CY Q&amp;V 2004 to Now'!E7,'Petroleum - Q&amp;V1'!$B8:$B250)*1000000</f>
        <v>13173896.999999998</v>
      </c>
      <c r="F76" s="1489">
        <f>SUMIF('Petroleum - Q&amp;V1'!$H8:$H250,'CY Q&amp;V 2004 to Now'!E7,'Petroleum - Q&amp;V1'!$C8:$C250)*1000000</f>
        <v>6162270370</v>
      </c>
      <c r="G76" s="1489">
        <f>SUMIF('Petroleum - Q&amp;V1'!$H8:$H250,'CY Q&amp;V 2004 to Now'!G7,'Petroleum - Q&amp;V1'!$B8:$B250)*1000000</f>
        <v>11953792</v>
      </c>
      <c r="H76" s="1489">
        <f>SUMIF('Petroleum - Q&amp;V1'!$H8:$H250,'CY Q&amp;V 2004 to Now'!G7,'Petroleum - Q&amp;V1'!$C8:$C250)*1000000</f>
        <v>6602800654</v>
      </c>
      <c r="I76" s="1489">
        <f>SUMIF('Petroleum - Q&amp;V1'!$H8:$H250,'CY Q&amp;V 2004 to Now'!I7,'Petroleum - Q&amp;V1'!$B8:$B250)*1000000</f>
        <v>13195792</v>
      </c>
      <c r="J76" s="1489">
        <f>SUMIF('Petroleum - Q&amp;V1'!$H8:$H250,'CY Q&amp;V 2004 to Now'!I7,'Petroleum - Q&amp;V1'!$C8:$C250)*1000000</f>
        <v>7384292250</v>
      </c>
      <c r="K76" s="1489">
        <f>SUMIF('Petroleum - Q&amp;V1'!$H8:$H250,'CY Q&amp;V 2004 to Now'!K7,'Petroleum - Q&amp;V1'!$B8:$B250)*1000000</f>
        <v>13324422</v>
      </c>
      <c r="L76" s="1489">
        <f>SUMIF('Petroleum - Q&amp;V1'!$H8:$H250,'CY Q&amp;V 2004 to Now'!K7,'Petroleum - Q&amp;V1'!$C8:$C250)*1000000</f>
        <v>9737620320</v>
      </c>
      <c r="M76" s="1489">
        <f>SUMIF('Petroleum - Q&amp;V1'!$H8:$H250,'CY Q&amp;V 2004 to Now'!M7,'Petroleum - Q&amp;V1'!$B8:$B250)*1000000</f>
        <v>11246917</v>
      </c>
      <c r="N76" s="1489">
        <f>SUMIF('Petroleum - Q&amp;V1'!$H8:$H250,'CY Q&amp;V 2004 to Now'!M7,'Petroleum - Q&amp;V1'!$C8:$C250)*1000000</f>
        <v>5505448018.000001</v>
      </c>
      <c r="O76" s="1489">
        <f>SUMIF('Petroleum - Q&amp;V1'!$H8:$H250,'CY Q&amp;V 2004 to Now'!O7,'Petroleum - Q&amp;V1'!$B8:$B250)*1000000</f>
        <v>14705000</v>
      </c>
      <c r="P76" s="1489">
        <f>SUMIF('Petroleum - Q&amp;V1'!$H8:$H250,'CY Q&amp;V 2004 to Now'!O7,'Petroleum - Q&amp;V1'!$C8:$C250)*1000000</f>
        <v>8247309631</v>
      </c>
      <c r="Q76" s="1489">
        <f>SUMIF('Petroleum - Q&amp;V1'!$H8:$H250,'CY Q&amp;V 2004 to Now'!Q7,'Petroleum - Q&amp;V1'!$B8:$B250)*1000000</f>
        <v>12053493</v>
      </c>
      <c r="R76" s="1489">
        <f>SUMIF('Petroleum - Q&amp;V1'!$H8:$H250,'CY Q&amp;V 2004 to Now'!Q7,'Petroleum - Q&amp;V1'!$C8:$C250)*1000000</f>
        <v>8030943573.999999</v>
      </c>
      <c r="S76" s="1489">
        <f>SUMIF('Petroleum - Q&amp;V1'!$H8:$H250,'CY Q&amp;V 2004 to Now'!S7,'Petroleum - Q&amp;V1'!$B8:$B250)*1000000</f>
        <v>9991681</v>
      </c>
      <c r="T76" s="1489">
        <f>SUMIF('Petroleum - Q&amp;V1'!$H8:$H250,'CY Q&amp;V 2004 to Now'!S7,'Petroleum - Q&amp;V1'!$C8:$C250)*1000000</f>
        <v>7099593535.000001</v>
      </c>
      <c r="U76" s="1489">
        <f>SUMIF('Petroleum - Q&amp;V1'!$H8:$H250,'CY Q&amp;V 2004 to Now'!U7,'Petroleum - Q&amp;V1'!$B8:$B250)*1000000</f>
        <v>6870977</v>
      </c>
      <c r="V76" s="1489">
        <f>SUMIF('Petroleum - Q&amp;V1'!$H8:$H250,'CY Q&amp;V 2004 to Now'!U7,'Petroleum - Q&amp;V1'!$C8:$C250)*1000000</f>
        <v>5111092673</v>
      </c>
      <c r="W76" s="1489">
        <f>SUMIF('Petroleum - Q&amp;V1'!$H8:$H250,'CY Q&amp;V 2004 to Now'!W7,'Petroleum - Q&amp;V1'!$B8:$B250)*1000000</f>
        <v>7608303.3370000003</v>
      </c>
      <c r="X76" s="1489">
        <f>SUMIF('Petroleum - Q&amp;V1'!$H8:$H250,'CY Q&amp;V 2004 to Now'!W7,'Petroleum - Q&amp;V1'!$C8:$C250)*1000000</f>
        <v>5376682614.1111679</v>
      </c>
      <c r="Y76" s="1489">
        <f>SUMIF('Petroleum - Q&amp;V1'!$H8:$H250,'CY Q&amp;V 2004 to Now'!Y7,'Petroleum - Q&amp;V1'!$B8:$B250)*1000000</f>
        <v>8343417.7189999996</v>
      </c>
      <c r="Z76" s="1489">
        <f>SUMIF('Petroleum - Q&amp;V1'!$H8:$H250,'CY Q&amp;V 2004 to Now'!Y7,'Petroleum - Q&amp;V1'!$C8:$C250)*1000000</f>
        <v>3775532080.3098979</v>
      </c>
      <c r="AA76" s="1489">
        <f>SUMIF('Petroleum - Q&amp;V1'!$H8:$H250,'CY Q&amp;V 2004 to Now'!AA7,'Petroleum - Q&amp;V1'!$B8:$B250)*1000000</f>
        <v>5813947.7664729292</v>
      </c>
      <c r="AB76" s="1489">
        <f>SUMIF('Petroleum - Q&amp;V1'!$H8:$H250,'CY Q&amp;V 2004 to Now'!AA7,'Petroleum - Q&amp;V1'!$C8:$C250)*1000000</f>
        <v>2141190896.7671175</v>
      </c>
      <c r="AC76" s="1489">
        <f>SUMIF('Petroleum - Q&amp;V1'!$H8:$H250,'CY Q&amp;V 2004 to Now'!AC7,'Petroleum - Q&amp;V1'!$B8:$B250)*1000000</f>
        <v>5280838.499799314</v>
      </c>
      <c r="AD76" s="1489">
        <f>SUMIF('Petroleum - Q&amp;V1'!$H8:$H250,'CY Q&amp;V 2004 to Now'!AC7,'Petroleum - Q&amp;V1'!$C8:$C250)*1000000</f>
        <v>2195102753.5703077</v>
      </c>
      <c r="AE76" s="1489">
        <f>SUMIF('Petroleum - Q&amp;V1'!$H8:$H250,'CY Q&amp;V 2004 to Now'!AE7,'Petroleum - Q&amp;V1'!$B8:$B250)*1000000</f>
        <v>3638135.9035488847</v>
      </c>
      <c r="AF76" s="1489">
        <f>SUMIF('Petroleum - Q&amp;V1'!$H8:$H250,'CY Q&amp;V 2004 to Now'!AE7,'Petroleum - Q&amp;V1'!$C8:$C250)*1000000</f>
        <v>2054622997.4472644</v>
      </c>
      <c r="AG76" s="1577">
        <f>SUMIF('Petroleum - Q&amp;V1'!$H8:$H250,'CY Q&amp;V 2004 to Now'!AG7,'Petroleum - Q&amp;V1'!$B8:$B250)*1000000</f>
        <v>4449187.4086461682</v>
      </c>
      <c r="AH76" s="1577">
        <f>SUMIF('Petroleum - Q&amp;V1'!$H8:$H250,'CY Q&amp;V 2004 to Now'!AG7,'Petroleum - Q&amp;V1'!$C8:$C250)*1000000</f>
        <v>2601347918.1443701</v>
      </c>
      <c r="AI76" s="1489">
        <f>SUMIF('Petroleum - Q&amp;V1'!$H8:$H250,'CY Q&amp;V 2004 to Now'!AI7,'Petroleum - Q&amp;V1'!$B8:$B250)*1000000</f>
        <v>4604854.1812436935</v>
      </c>
      <c r="AJ76" s="1489">
        <f>SUMIF('Petroleum - Q&amp;V1'!$H8:$H250,'CY Q&amp;V 2004 to Now'!AI7,'Petroleum - Q&amp;V1'!$C8:$C250)*1000000</f>
        <v>1816827362.4612257</v>
      </c>
      <c r="AK76" s="1489">
        <f>SUMIF($C$9:AH$9,1,$C76:AJ76)</f>
        <v>153868648.6344673</v>
      </c>
      <c r="AL76" s="1489">
        <f>SUMIF($C$9:AH$9,0,$C76:AJ76)</f>
        <v>86235160360.350128</v>
      </c>
      <c r="AM76" s="1257"/>
      <c r="AN76" s="1254"/>
      <c r="AO76" s="189"/>
      <c r="AP76" s="189"/>
      <c r="AQ76" s="189"/>
      <c r="AV76" s="13"/>
    </row>
    <row r="77" spans="1:48" s="172" customFormat="1">
      <c r="A77" s="1524" t="s">
        <v>303</v>
      </c>
      <c r="B77" s="1511" t="s">
        <v>87</v>
      </c>
      <c r="C77" s="1489">
        <f>SUMIF('Petroleum - Q&amp;V2'!$L8:$L250,'CY Q&amp;V 2004 to Now'!C7,'Petroleum - Q&amp;V2'!$C8:$C250)</f>
        <v>9219308.2852303274</v>
      </c>
      <c r="D77" s="1489">
        <f>SUMIF('Petroleum - Q&amp;V2'!$L8:$L250,'CY Q&amp;V 2004 to Now'!C7,'Petroleum - Q&amp;V2'!$E8:$E250)*1000000</f>
        <v>3150809630</v>
      </c>
      <c r="E77" s="1489">
        <f>SUMIF('Petroleum - Q&amp;V2'!$L8:$L250,'CY Q&amp;V 2004 to Now'!E7,'Petroleum - Q&amp;V2'!$C8:$C250)</f>
        <v>11600612</v>
      </c>
      <c r="F77" s="1489">
        <f>SUMIF('Petroleum - Q&amp;V2'!$L8:$L250,'CY Q&amp;V 2004 to Now'!E7,'Petroleum - Q&amp;V2'!$E8:$E250)*1000000</f>
        <v>4446336486.208416</v>
      </c>
      <c r="G77" s="1489">
        <f>SUMIF('Petroleum - Q&amp;V2'!$L8:$L250,'CY Q&amp;V 2004 to Now'!G7,'Petroleum - Q&amp;V2'!$C8:$C250)</f>
        <v>11958780</v>
      </c>
      <c r="H77" s="1489">
        <f>SUMIF('Petroleum - Q&amp;V2'!$L8:$L250,'CY Q&amp;V 2004 to Now'!G7,'Petroleum - Q&amp;V2'!$E8:$E250)*1000000</f>
        <v>4550762377.726985</v>
      </c>
      <c r="I77" s="1489">
        <f>SUMIF('Petroleum - Q&amp;V2'!$L8:$L250,'CY Q&amp;V 2004 to Now'!I7,'Petroleum - Q&amp;V2'!$C8:$C250)</f>
        <v>12375731</v>
      </c>
      <c r="J77" s="1489">
        <f>SUMIF('Petroleum - Q&amp;V2'!$L8:$L250,'CY Q&amp;V 2004 to Now'!I7,'Petroleum - Q&amp;V2'!$E8:$E250)*1000000</f>
        <v>4448575119.4258499</v>
      </c>
      <c r="K77" s="1489">
        <f>SUMIF('Petroleum - Q&amp;V2'!$L8:$L250,'CY Q&amp;V 2004 to Now'!K7,'Petroleum - Q&amp;V2'!$C8:$C250)</f>
        <v>12381004</v>
      </c>
      <c r="L77" s="1489">
        <f>SUMIF('Petroleum - Q&amp;V2'!$L8:$L250,'CY Q&amp;V 2004 to Now'!K7,'Petroleum - Q&amp;V2'!$E8:$E250)*1000000</f>
        <v>8157477515.6968403</v>
      </c>
      <c r="M77" s="1489">
        <f>SUMIF('Petroleum - Q&amp;V2'!$L8:$L250,'CY Q&amp;V 2004 to Now'!M7,'Petroleum - Q&amp;V2'!$C8:$C250)</f>
        <v>15252516</v>
      </c>
      <c r="N77" s="1489">
        <f>SUMIF('Petroleum - Q&amp;V2'!$L8:$L250,'CY Q&amp;V 2004 to Now'!M7,'Petroleum - Q&amp;V2'!$E8:$E250)*1000000</f>
        <v>6320744990.7749481</v>
      </c>
      <c r="O77" s="1489">
        <f>SUMIF('Petroleum - Q&amp;V2'!$L8:$L250,'CY Q&amp;V 2004 to Now'!O7,'Petroleum - Q&amp;V2'!$C8:$C250)</f>
        <v>16527193</v>
      </c>
      <c r="P77" s="1489">
        <f>SUMIF('Petroleum - Q&amp;V2'!$L8:$L250,'CY Q&amp;V 2004 to Now'!O7,'Petroleum - Q&amp;V2'!$E8:$E250)*1000000</f>
        <v>8754682473.68223</v>
      </c>
      <c r="Q77" s="1489">
        <f>SUMIF('Petroleum - Q&amp;V2'!$L8:$L250,'CY Q&amp;V 2004 to Now'!Q7,'Petroleum - Q&amp;V2'!$C8:$C250)</f>
        <v>16554099.919233976</v>
      </c>
      <c r="R77" s="1489">
        <f>SUMIF('Petroleum - Q&amp;V2'!$L8:$L250,'CY Q&amp;V 2004 to Now'!Q7,'Petroleum - Q&amp;V2'!$E8:$E250)*1000000</f>
        <v>8552071284</v>
      </c>
      <c r="S77" s="1489">
        <f>SUMIF('Petroleum - Q&amp;V2'!$L8:$L250,'CY Q&amp;V 2004 to Now'!S7,'Petroleum - Q&amp;V2'!$C8:$C250)</f>
        <v>18260551</v>
      </c>
      <c r="T77" s="1489">
        <f>SUMIF('Petroleum - Q&amp;V2'!$L8:$L250,'CY Q&amp;V 2004 to Now'!S7,'Petroleum - Q&amp;V2'!$E8:$E250)*1000000</f>
        <v>11271620675.400679</v>
      </c>
      <c r="U77" s="1489">
        <f>SUMIF('Petroleum - Q&amp;V2'!$L8:$L250,'CY Q&amp;V 2004 to Now'!U7,'Petroleum - Q&amp;V2'!$C8:$C250)</f>
        <v>19220443</v>
      </c>
      <c r="V77" s="1489">
        <f>SUMIF('Petroleum - Q&amp;V2'!$L8:$L250,'CY Q&amp;V 2004 to Now'!U7,'Petroleum - Q&amp;V2'!$E8:$E250)*1000000</f>
        <v>13287960818.379126</v>
      </c>
      <c r="W77" s="1489">
        <f>SUMIF('Petroleum - Q&amp;V2'!$L8:$L250,'CY Q&amp;V 2004 to Now'!W7,'Petroleum - Q&amp;V2'!$C8:$C250)</f>
        <v>20852601</v>
      </c>
      <c r="X77" s="1489">
        <f>SUMIF('Petroleum - Q&amp;V2'!$L8:$L250,'CY Q&amp;V 2004 to Now'!W7,'Petroleum - Q&amp;V2'!$E8:$E250)*1000000</f>
        <v>15487317250.651384</v>
      </c>
      <c r="Y77" s="1489">
        <f>SUMIF('Petroleum - Q&amp;V2'!$L8:$L250,'CY Q&amp;V 2004 to Now'!Y7,'Petroleum - Q&amp;V2'!$C8:$C250)</f>
        <v>20385653</v>
      </c>
      <c r="Z77" s="1489">
        <f>SUMIF('Petroleum - Q&amp;V2'!$L8:$L250,'CY Q&amp;V 2004 to Now'!Y7,'Petroleum - Q&amp;V2'!$E8:$E250)*1000000</f>
        <v>11554349752.904898</v>
      </c>
      <c r="AA77" s="1489">
        <f>SUMIF('Petroleum - Q&amp;V2'!$L8:$L250,'CY Q&amp;V 2004 to Now'!AA7,'Petroleum - Q&amp;V2'!$C8:$C250)</f>
        <v>23774656.646750003</v>
      </c>
      <c r="AB77" s="1489">
        <f>SUMIF('Petroleum - Q&amp;V2'!$L8:$L250,'CY Q&amp;V 2004 to Now'!AA7,'Petroleum - Q&amp;V2'!$E8:$E250)*1000000</f>
        <v>10620614121.943232</v>
      </c>
      <c r="AC77" s="1489">
        <f>SUMIF('Petroleum - Q&amp;V2'!$L8:$L250,'CY Q&amp;V 2004 to Now'!AC7,'Petroleum - Q&amp;V2'!$C8:$C250)</f>
        <v>32599760.111609735</v>
      </c>
      <c r="AD77" s="1489">
        <f>SUMIF('Petroleum - Q&amp;V2'!$L8:$L250,'CY Q&amp;V 2004 to Now'!AC7,'Petroleum - Q&amp;V2'!$E8:$E250)*1000000</f>
        <v>14921887350.350874</v>
      </c>
      <c r="AE77" s="1489">
        <f>SUMIF('Petroleum - Q&amp;V2'!$L8:$L250,'CY Q&amp;V 2004 to Now'!AE7,'Petroleum - Q&amp;V2'!$C8:$C250)</f>
        <v>43722336.378265209</v>
      </c>
      <c r="AF77" s="1489">
        <f>SUMIF('Petroleum - Q&amp;V2'!$L8:$L250,'CY Q&amp;V 2004 to Now'!AE7,'Petroleum - Q&amp;V2'!$E8:$E250)*1000000</f>
        <v>26978126958.992531</v>
      </c>
      <c r="AG77" s="1577">
        <f>SUMIF('Petroleum - Q&amp;V2'!$L8:$L250,'CY Q&amp;V 2004 to Now'!AG7,'Petroleum - Q&amp;V2'!$C8:$C250)</f>
        <v>44147614.446351066</v>
      </c>
      <c r="AH77" s="1577">
        <f>SUMIF('Petroleum - Q&amp;V2'!$L8:$L250,'CY Q&amp;V 2004 to Now'!AG7,'Petroleum - Q&amp;V2'!$E8:$E250)*1000000</f>
        <v>27188874086.867092</v>
      </c>
      <c r="AI77" s="1489">
        <f>SUMIF('Petroleum - Q&amp;V2'!$L8:$L250,'CY Q&amp;V 2004 to Now'!AI7,'Petroleum - Q&amp;V2'!$C8:$C250)</f>
        <v>44267391.555617362</v>
      </c>
      <c r="AJ77" s="1489">
        <f>SUMIF('Petroleum - Q&amp;V2'!$L8:$L250,'CY Q&amp;V 2004 to Now'!AI7,'Petroleum - Q&amp;V2'!$E8:$E250)*1000000</f>
        <v>19313563005.964447</v>
      </c>
      <c r="AK77" s="1489">
        <f>SUMIF($C$9:AH$9,1,$C77:AJ77)</f>
        <v>328832859.7874403</v>
      </c>
      <c r="AL77" s="1489">
        <f>SUMIF($C$9:AH$9,0,$C77:AJ77)</f>
        <v>179692210893.0051</v>
      </c>
      <c r="AM77" s="1257"/>
      <c r="AN77" s="1254"/>
      <c r="AO77" s="189"/>
      <c r="AP77" s="189"/>
      <c r="AQ77" s="189"/>
      <c r="AV77" s="13"/>
    </row>
    <row r="78" spans="1:48" s="172" customFormat="1">
      <c r="A78" s="1524" t="s">
        <v>304</v>
      </c>
      <c r="B78" s="1511" t="s">
        <v>87</v>
      </c>
      <c r="C78" s="1489">
        <f>SUMIF('Petroleum - Q&amp;V2'!$L8:$L250,'CY Q&amp;V 2004 to Now'!C7,'Petroleum - Q&amp;V2'!$F8:$F250)</f>
        <v>721688</v>
      </c>
      <c r="D78" s="1489">
        <f>SUMIF('Petroleum - Q&amp;V2'!$L8:$L250,'CY Q&amp;V 2004 to Now'!C7,'Petroleum - Q&amp;V2'!$H8:$H250)*1000000</f>
        <v>340417957</v>
      </c>
      <c r="E78" s="1489">
        <f>SUMIF('Petroleum - Q&amp;V2'!$L8:$L250,'CY Q&amp;V 2004 to Now'!E7,'Petroleum - Q&amp;V2'!$F8:$F250)</f>
        <v>870730</v>
      </c>
      <c r="F78" s="1489">
        <f>SUMIF('Petroleum - Q&amp;V2'!$L8:$L250,'CY Q&amp;V 2004 to Now'!E7,'Petroleum - Q&amp;V2'!$H8:$H250)*1000000</f>
        <v>544222021.35632873</v>
      </c>
      <c r="G78" s="1489">
        <f>SUMIF('Petroleum - Q&amp;V2'!$L8:$L250,'CY Q&amp;V 2004 to Now'!G7,'Petroleum - Q&amp;V2'!$F8:$F250)</f>
        <v>862231</v>
      </c>
      <c r="H78" s="1489">
        <f>SUMIF('Petroleum - Q&amp;V2'!$L8:$L250,'CY Q&amp;V 2004 to Now'!G7,'Petroleum - Q&amp;V2'!$H8:$H250)*1000000</f>
        <v>613830073.30998862</v>
      </c>
      <c r="I78" s="1489">
        <f>SUMIF('Petroleum - Q&amp;V2'!$L8:$L250,'CY Q&amp;V 2004 to Now'!I7,'Petroleum - Q&amp;V2'!$F8:$F250)</f>
        <v>893914</v>
      </c>
      <c r="J78" s="1489">
        <f>SUMIF('Petroleum - Q&amp;V2'!$L8:$L250,'CY Q&amp;V 2004 to Now'!I7,'Petroleum - Q&amp;V2'!$H8:$H250)*1000000</f>
        <v>686636886.81833994</v>
      </c>
      <c r="K78" s="1489">
        <f>SUMIF('Petroleum - Q&amp;V2'!$L8:$L250,'CY Q&amp;V 2004 to Now'!K7,'Petroleum - Q&amp;V2'!$F8:$F250)</f>
        <v>764668</v>
      </c>
      <c r="L78" s="1489">
        <f>SUMIF('Petroleum - Q&amp;V2'!$L8:$L250,'CY Q&amp;V 2004 to Now'!K7,'Petroleum - Q&amp;V2'!$H8:$H250)*1000000</f>
        <v>754340749.19629419</v>
      </c>
      <c r="M78" s="1489">
        <f>SUMIF('Petroleum - Q&amp;V2'!$L8:$L250,'CY Q&amp;V 2004 to Now'!M7,'Petroleum - Q&amp;V2'!$F8:$F250)</f>
        <v>950524</v>
      </c>
      <c r="N78" s="1489">
        <f>SUMIF('Petroleum - Q&amp;V2'!$L8:$L250,'CY Q&amp;V 2004 to Now'!M7,'Petroleum - Q&amp;V2'!$H8:$H250)*1000000</f>
        <v>612776966.1391654</v>
      </c>
      <c r="O78" s="1489">
        <f>SUMIF('Petroleum - Q&amp;V2'!$L8:$L250,'CY Q&amp;V 2004 to Now'!O7,'Petroleum - Q&amp;V2'!$F8:$F250)</f>
        <v>988724</v>
      </c>
      <c r="P78" s="1489">
        <f>SUMIF('Petroleum - Q&amp;V2'!$L8:$L250,'CY Q&amp;V 2004 to Now'!O7,'Petroleum - Q&amp;V2'!$H8:$H250)*1000000</f>
        <v>763328435.01571763</v>
      </c>
      <c r="Q78" s="1489">
        <f>SUMIF('Petroleum - Q&amp;V2'!$L8:$L250,'CY Q&amp;V 2004 to Now'!Q7,'Petroleum - Q&amp;V2'!$F8:$F250)</f>
        <v>861480</v>
      </c>
      <c r="R78" s="1489">
        <f>SUMIF('Petroleum - Q&amp;V2'!$L8:$L250,'CY Q&amp;V 2004 to Now'!Q7,'Petroleum - Q&amp;V2'!$H8:$H250)*1000000</f>
        <v>745879959.94549286</v>
      </c>
      <c r="S78" s="1489">
        <f>SUMIF('Petroleum - Q&amp;V2'!$L8:$L250,'CY Q&amp;V 2004 to Now'!S7,'Petroleum - Q&amp;V2'!$F8:$F250)</f>
        <v>809878</v>
      </c>
      <c r="T78" s="1489">
        <f>SUMIF('Petroleum - Q&amp;V2'!$L8:$L250,'CY Q&amp;V 2004 to Now'!S7,'Petroleum - Q&amp;V2'!$H8:$H250)*1000000</f>
        <v>729155763.19075692</v>
      </c>
      <c r="U78" s="1489">
        <f>SUMIF('Petroleum - Q&amp;V2'!$L8:$L250,'CY Q&amp;V 2004 to Now'!U7,'Petroleum - Q&amp;V2'!$F8:$F250)</f>
        <v>685934</v>
      </c>
      <c r="V78" s="1489">
        <f>SUMIF('Petroleum - Q&amp;V2'!$L8:$L250,'CY Q&amp;V 2004 to Now'!U7,'Petroleum - Q&amp;V2'!$H8:$H250)*1000000</f>
        <v>600135301.29233539</v>
      </c>
      <c r="W78" s="1489">
        <f>SUMIF('Petroleum - Q&amp;V2'!$L8:$L250,'CY Q&amp;V 2004 to Now'!W7,'Petroleum - Q&amp;V2'!$F8:$F250)</f>
        <v>357609</v>
      </c>
      <c r="X78" s="1489">
        <f>SUMIF('Petroleum - Q&amp;V2'!$L8:$L250,'CY Q&amp;V 2004 to Now'!W7,'Petroleum - Q&amp;V2'!$H8:$H250)*1000000</f>
        <v>309007022.95666265</v>
      </c>
      <c r="Y78" s="1489">
        <f>SUMIF('Petroleum - Q&amp;V2'!$L8:$L250,'CY Q&amp;V 2004 to Now'!Y7,'Petroleum - Q&amp;V2'!$F8:$F250)</f>
        <v>501903</v>
      </c>
      <c r="Z78" s="1489">
        <f>SUMIF('Petroleum - Q&amp;V2'!$L8:$L250,'CY Q&amp;V 2004 to Now'!Y7,'Petroleum - Q&amp;V2'!$H8:$H250)*1000000</f>
        <v>254108296.40322834</v>
      </c>
      <c r="AA78" s="1489">
        <f>SUMIF('Petroleum - Q&amp;V2'!$L8:$L250,'CY Q&amp;V 2004 to Now'!AA7,'Petroleum - Q&amp;V2'!$F8:$F250)</f>
        <v>575755</v>
      </c>
      <c r="AB78" s="1489">
        <f>SUMIF('Petroleum - Q&amp;V2'!$L8:$L250,'CY Q&amp;V 2004 to Now'!AA7,'Petroleum - Q&amp;V2'!$H8:$H250)*1000000</f>
        <v>288140716.02423233</v>
      </c>
      <c r="AC78" s="1489">
        <f>SUMIF('Petroleum - Q&amp;V2'!$L8:$L250,'CY Q&amp;V 2004 to Now'!AC7,'Petroleum - Q&amp;V2'!$F8:$F250)</f>
        <v>456275</v>
      </c>
      <c r="AD78" s="1489">
        <f>SUMIF('Petroleum - Q&amp;V2'!$L8:$L250,'CY Q&amp;V 2004 to Now'!AC7,'Petroleum - Q&amp;V2'!$H8:$H250)*1000000</f>
        <v>288498125.77110589</v>
      </c>
      <c r="AE78" s="1489">
        <f>SUMIF('Petroleum - Q&amp;V2'!$L8:$L250,'CY Q&amp;V 2004 to Now'!AE7,'Petroleum - Q&amp;V2'!$F8:$F250)</f>
        <v>463110</v>
      </c>
      <c r="AF78" s="1489">
        <f>SUMIF('Petroleum - Q&amp;V2'!$L8:$L250,'CY Q&amp;V 2004 to Now'!AE7,'Petroleum - Q&amp;V2'!$H8:$H250)*1000000</f>
        <v>348824394.21846777</v>
      </c>
      <c r="AG78" s="1577">
        <f>SUMIF('Petroleum - Q&amp;V2'!$L8:$L250,'CY Q&amp;V 2004 to Now'!AG7,'Petroleum - Q&amp;V2'!$F8:$F250)</f>
        <v>418249</v>
      </c>
      <c r="AH78" s="1577">
        <f>SUMIF('Petroleum - Q&amp;V2'!$L8:$L250,'CY Q&amp;V 2004 to Now'!AG7,'Petroleum - Q&amp;V2'!$H8:$H250)*1000000</f>
        <v>274240157.70186311</v>
      </c>
      <c r="AI78" s="1489">
        <f>SUMIF('Petroleum - Q&amp;V2'!$L8:$L250,'CY Q&amp;V 2004 to Now'!AI7,'Petroleum - Q&amp;V2'!$F8:$F250)</f>
        <v>402582</v>
      </c>
      <c r="AJ78" s="1489">
        <f>SUMIF('Petroleum - Q&amp;V2'!$L8:$L250,'CY Q&amp;V 2004 to Now'!AI7,'Petroleum - Q&amp;V2'!$H8:$H250)*1000000</f>
        <v>189482513.66819999</v>
      </c>
      <c r="AK78" s="1489">
        <f>SUMIF($C$9:AH$9,1,$C78:AJ78)</f>
        <v>11182672</v>
      </c>
      <c r="AL78" s="1489">
        <f>SUMIF($C$9:AH$9,0,$C78:AJ78)</f>
        <v>8153542826.3399801</v>
      </c>
      <c r="AM78" s="1257"/>
      <c r="AN78" s="1254"/>
      <c r="AO78" s="189"/>
      <c r="AP78" s="189"/>
      <c r="AQ78" s="189"/>
      <c r="AV78" s="13"/>
    </row>
    <row r="79" spans="1:48" s="172" customFormat="1">
      <c r="A79" s="1524" t="s">
        <v>124</v>
      </c>
      <c r="B79" s="1527" t="s">
        <v>305</v>
      </c>
      <c r="C79" s="1489">
        <f>SUMIF('Petroleum - Q&amp;V2'!$L8:$L250,'CY Q&amp;V 2004 to Now'!C7,'Petroleum - Q&amp;V2'!$I8:$I250)</f>
        <v>7713691</v>
      </c>
      <c r="D79" s="1489">
        <f>SUMIF('Petroleum - Q&amp;V2'!$L8:$L250,'CY Q&amp;V 2004 to Now'!C7,'Petroleum - Q&amp;V2'!$K8:$K250)*1000000</f>
        <v>655458232</v>
      </c>
      <c r="E79" s="1489">
        <f>SUMIF('Petroleum - Q&amp;V2'!$L8:$L250,'CY Q&amp;V 2004 to Now'!E7,'Petroleum - Q&amp;V2'!$I8:$I250)</f>
        <v>7406249</v>
      </c>
      <c r="F79" s="1489">
        <f>SUMIF('Petroleum - Q&amp;V2'!$L8:$L250,'CY Q&amp;V 2004 to Now'!E7,'Petroleum - Q&amp;V2'!$K8:$K250)*1000000</f>
        <v>661610646</v>
      </c>
      <c r="G79" s="1489">
        <f>SUMIF('Petroleum - Q&amp;V2'!$L8:$L250,'CY Q&amp;V 2004 to Now'!G7,'Petroleum - Q&amp;V2'!$I8:$I250)</f>
        <v>8364468</v>
      </c>
      <c r="H79" s="1489">
        <f>SUMIF('Petroleum - Q&amp;V2'!$L8:$L250,'CY Q&amp;V 2004 to Now'!G7,'Petroleum - Q&amp;V2'!$K8:$K250)*1000000</f>
        <v>816673663.99999988</v>
      </c>
      <c r="I79" s="1489">
        <f>SUMIF('Petroleum - Q&amp;V2'!$L8:$L250,'CY Q&amp;V 2004 to Now'!I7,'Petroleum - Q&amp;V2'!$I8:$I250)</f>
        <v>9174076</v>
      </c>
      <c r="J79" s="1489">
        <f>SUMIF('Petroleum - Q&amp;V2'!$L8:$L250,'CY Q&amp;V 2004 to Now'!I7,'Petroleum - Q&amp;V2'!$K8:$K250)*1000000</f>
        <v>1002465839</v>
      </c>
      <c r="K79" s="1489">
        <f>SUMIF('Petroleum - Q&amp;V2'!$L8:$L250,'CY Q&amp;V 2004 to Now'!K7,'Petroleum - Q&amp;V2'!$I8:$I250)</f>
        <v>8502567</v>
      </c>
      <c r="L79" s="1489">
        <f>SUMIF('Petroleum - Q&amp;V2'!$L8:$L250,'CY Q&amp;V 2004 to Now'!K7,'Petroleum - Q&amp;V2'!$K8:$K250)*1000000</f>
        <v>1191442427</v>
      </c>
      <c r="M79" s="1489">
        <f>SUMIF('Petroleum - Q&amp;V2'!$L8:$L250,'CY Q&amp;V 2004 to Now'!M7,'Petroleum - Q&amp;V2'!$I8:$I250)</f>
        <v>9312415</v>
      </c>
      <c r="N79" s="1489">
        <f>SUMIF('Petroleum - Q&amp;V2'!$L8:$L250,'CY Q&amp;V 2004 to Now'!M7,'Petroleum - Q&amp;V2'!$K8:$K250)*1000000</f>
        <v>1156235342</v>
      </c>
      <c r="O79" s="1489">
        <f>SUMIF('Petroleum - Q&amp;V2'!$L8:$L250,'CY Q&amp;V 2004 to Now'!O7,'Petroleum - Q&amp;V2'!$I8:$I250)</f>
        <v>9226158</v>
      </c>
      <c r="P79" s="1489">
        <f>SUMIF('Petroleum - Q&amp;V2'!$L8:$L250,'CY Q&amp;V 2004 to Now'!O7,'Petroleum - Q&amp;V2'!$K8:$K250)*1000000</f>
        <v>1391169679</v>
      </c>
      <c r="Q79" s="1489">
        <f>SUMIF('Petroleum - Q&amp;V2'!$L8:$L250,'CY Q&amp;V 2004 to Now'!Q7,'Petroleum - Q&amp;V2'!$I8:$I250)</f>
        <v>8869413</v>
      </c>
      <c r="R79" s="1489">
        <f>SUMIF('Petroleum - Q&amp;V2'!$L8:$L250,'CY Q&amp;V 2004 to Now'!Q7,'Petroleum - Q&amp;V2'!$K8:$K250)*1000000</f>
        <v>1421126106</v>
      </c>
      <c r="S79" s="1489">
        <f>SUMIF('Petroleum - Q&amp;V2'!$L8:$L250,'CY Q&amp;V 2004 to Now'!S7,'Petroleum - Q&amp;V2'!$I8:$I250)</f>
        <v>9009209</v>
      </c>
      <c r="T79" s="1489">
        <f>SUMIF('Petroleum - Q&amp;V2'!$L8:$L250,'CY Q&amp;V 2004 to Now'!S7,'Petroleum - Q&amp;V2'!$K8:$K250)*1000000</f>
        <v>1470541897</v>
      </c>
      <c r="U79" s="1489">
        <f>SUMIF('Petroleum - Q&amp;V2'!$L8:$L250,'CY Q&amp;V 2004 to Now'!U7,'Petroleum - Q&amp;V2'!$I8:$I250)</f>
        <v>9297667</v>
      </c>
      <c r="V79" s="1489">
        <f>SUMIF('Petroleum - Q&amp;V2'!$L8:$L250,'CY Q&amp;V 2004 to Now'!U7,'Petroleum - Q&amp;V2'!$K8:$K250)*1000000</f>
        <v>1559456330</v>
      </c>
      <c r="W79" s="1489">
        <f>SUMIF('Petroleum - Q&amp;V2'!$L8:$L250,'CY Q&amp;V 2004 to Now'!W7,'Petroleum - Q&amp;V2'!$I8:$I250)</f>
        <v>8070924.6770000001</v>
      </c>
      <c r="X79" s="1489">
        <f>SUMIF('Petroleum - Q&amp;V2'!$L8:$L250,'CY Q&amp;V 2004 to Now'!W7,'Petroleum - Q&amp;V2'!$K8:$K250)*1000000</f>
        <v>1491260153.7561886</v>
      </c>
      <c r="Y79" s="1489">
        <f>SUMIF('Petroleum - Q&amp;V2'!$L8:$L250,'CY Q&amp;V 2004 to Now'!Y7,'Petroleum - Q&amp;V2'!$I8:$I250)</f>
        <v>10016682.171999998</v>
      </c>
      <c r="Z79" s="1489">
        <f>SUMIF('Petroleum - Q&amp;V2'!$L8:$L250,'CY Q&amp;V 2004 to Now'!Y7,'Petroleum - Q&amp;V2'!$K8:$K250)*1000000</f>
        <v>1861523430.198</v>
      </c>
      <c r="AA79" s="1489">
        <f>SUMIF('Petroleum - Q&amp;V2'!$L8:$L250,'CY Q&amp;V 2004 to Now'!AA7,'Petroleum - Q&amp;V2'!$I8:$I250)</f>
        <v>10131107.748056386</v>
      </c>
      <c r="AB79" s="1489">
        <f>SUMIF('Petroleum - Q&amp;V2'!$L8:$L250,'CY Q&amp;V 2004 to Now'!AA7,'Petroleum - Q&amp;V2'!$K8:$K250)*1000000</f>
        <v>1911456841.3304968</v>
      </c>
      <c r="AC79" s="1489">
        <f>SUMIF('Petroleum - Q&amp;V2'!$L8:$L250,'CY Q&amp;V 2004 to Now'!AC7,'Petroleum - Q&amp;V2'!$I8:$I250)</f>
        <v>9887401.4177690279</v>
      </c>
      <c r="AD79" s="1489">
        <f>SUMIF('Petroleum - Q&amp;V2'!$L8:$L250,'CY Q&amp;V 2004 to Now'!AC7,'Petroleum - Q&amp;V2'!$K8:$K250)*1000000</f>
        <v>1755415451.6162231</v>
      </c>
      <c r="AE79" s="1489">
        <f>SUMIF('Petroleum - Q&amp;V2'!$L8:$L250,'CY Q&amp;V 2004 to Now'!AE7,'Petroleum - Q&amp;V2'!$I8:$I250)</f>
        <v>10128603.143680073</v>
      </c>
      <c r="AF79" s="1489">
        <f>SUMIF('Petroleum - Q&amp;V2'!$L8:$L250,'CY Q&amp;V 2004 to Now'!AE7,'Petroleum - Q&amp;V2'!$K8:$K250)*1000000</f>
        <v>1577183008.9677842</v>
      </c>
      <c r="AG79" s="1577">
        <f>SUMIF('Petroleum - Q&amp;V2'!$L8:$L250,'CY Q&amp;V 2004 to Now'!AG7,'Petroleum - Q&amp;V2'!$I8:$I250)</f>
        <v>10926725.65204655</v>
      </c>
      <c r="AH79" s="1577">
        <f>SUMIF('Petroleum - Q&amp;V2'!$L8:$L250,'CY Q&amp;V 2004 to Now'!AG7,'Petroleum - Q&amp;V2'!$K8:$K250)*1000000</f>
        <v>1697538348.7165918</v>
      </c>
      <c r="AI79" s="1489">
        <f>SUMIF('Petroleum - Q&amp;V2'!$L8:$L250,'CY Q&amp;V 2004 to Now'!AI7,'Petroleum - Q&amp;V2'!$I8:$I250)</f>
        <v>10838449.187103886</v>
      </c>
      <c r="AJ79" s="1489">
        <f>SUMIF('Petroleum - Q&amp;V2'!$L8:$L250,'CY Q&amp;V 2004 to Now'!AI7,'Petroleum - Q&amp;V2'!$K8:$K250)*1000000</f>
        <v>1647154654.3895259</v>
      </c>
      <c r="AK79" s="1489">
        <f>SUMIF($C$9:AH$9,1,$C79:AJ79)</f>
        <v>146037357.81055206</v>
      </c>
      <c r="AL79" s="1489">
        <f>SUMIF($C$9:AH$9,0,$C79:AJ79)</f>
        <v>21620557396.585285</v>
      </c>
      <c r="AM79" s="1257"/>
      <c r="AN79" s="1254"/>
      <c r="AO79" s="189"/>
      <c r="AP79" s="189"/>
      <c r="AQ79" s="189"/>
      <c r="AV79" s="13"/>
    </row>
    <row r="80" spans="1:48" s="172" customFormat="1">
      <c r="A80" s="1520" t="s">
        <v>268</v>
      </c>
      <c r="B80" s="1484"/>
      <c r="C80" s="1489"/>
      <c r="D80" s="1489">
        <f>SUM(D75:D79)</f>
        <v>10378968005</v>
      </c>
      <c r="E80" s="1489"/>
      <c r="F80" s="1489">
        <f>SUM(F75:F79)</f>
        <v>14391339122.564745</v>
      </c>
      <c r="G80" s="1489"/>
      <c r="H80" s="1489">
        <f>SUM(H75:H79)</f>
        <v>15524252848.036974</v>
      </c>
      <c r="I80" s="1489"/>
      <c r="J80" s="1489">
        <f>SUM(J75:J79)</f>
        <v>16758725113.24419</v>
      </c>
      <c r="K80" s="1489"/>
      <c r="L80" s="1489">
        <f>SUM(L75:L79)</f>
        <v>23353297915.893131</v>
      </c>
      <c r="M80" s="1489"/>
      <c r="N80" s="1489">
        <f>SUM(N75:N79)</f>
        <v>16717162054.914114</v>
      </c>
      <c r="O80" s="1489"/>
      <c r="P80" s="1489">
        <f>SUM(P75:P79)</f>
        <v>22861923696.697945</v>
      </c>
      <c r="Q80" s="1489"/>
      <c r="R80" s="1489">
        <f>SUM(R75:R79)</f>
        <v>22838418449.945492</v>
      </c>
      <c r="S80" s="1489"/>
      <c r="T80" s="1489">
        <f>SUM(T75:T79)</f>
        <v>24433212985.591438</v>
      </c>
      <c r="U80" s="1489"/>
      <c r="V80" s="1489">
        <f>SUM(V75:V79)</f>
        <v>24675567159.671463</v>
      </c>
      <c r="W80" s="1489"/>
      <c r="X80" s="1489">
        <f>SUM(X75:X79)</f>
        <v>25861458744.588139</v>
      </c>
      <c r="Y80" s="1489"/>
      <c r="Z80" s="1489">
        <f>SUM(Z75:Z79)</f>
        <v>19907262839.0728</v>
      </c>
      <c r="AA80" s="1489"/>
      <c r="AB80" s="1489">
        <f>SUM(AB75:AB79)</f>
        <v>17117279344.995388</v>
      </c>
      <c r="AC80" s="1489"/>
      <c r="AD80" s="1489">
        <f>SUM(AD75:AD79)</f>
        <v>21715428813.059273</v>
      </c>
      <c r="AE80" s="1489"/>
      <c r="AF80" s="1489">
        <f>SUM(AF75:AF79)</f>
        <v>35700749860.616829</v>
      </c>
      <c r="AG80" s="1577"/>
      <c r="AH80" s="1577">
        <f>SUM(AH75:AH79)</f>
        <v>38540940818.031868</v>
      </c>
      <c r="AJ80" s="231">
        <f>SUM(AJ75:AJ79)</f>
        <v>26528429820.568642</v>
      </c>
      <c r="AK80" s="1489"/>
      <c r="AL80" s="1489">
        <f>SUMIF($C$9:AH$9,0,$C80:AJ80)</f>
        <v>350775987771.92377</v>
      </c>
      <c r="AM80" s="1257"/>
      <c r="AN80" s="1254"/>
      <c r="AO80" s="189"/>
      <c r="AP80" s="189"/>
      <c r="AQ80" s="189"/>
      <c r="AV80" s="13"/>
    </row>
    <row r="81" spans="1:48" s="172" customFormat="1">
      <c r="A81" s="1530"/>
      <c r="B81" s="1511"/>
      <c r="C81" s="1512"/>
      <c r="D81" s="1512"/>
      <c r="E81" s="1489"/>
      <c r="F81" s="1489"/>
      <c r="G81" s="1489"/>
      <c r="H81" s="1489"/>
      <c r="I81" s="1512"/>
      <c r="J81" s="1512"/>
      <c r="K81" s="1489"/>
      <c r="L81" s="1489"/>
      <c r="M81" s="1489"/>
      <c r="N81" s="1489"/>
      <c r="O81" s="1489"/>
      <c r="P81" s="1489"/>
      <c r="Q81" s="1489"/>
      <c r="R81" s="1489"/>
      <c r="S81" s="1489"/>
      <c r="T81" s="1489"/>
      <c r="U81" s="1489"/>
      <c r="V81" s="1489"/>
      <c r="W81" s="1489"/>
      <c r="X81" s="1489"/>
      <c r="Y81" s="1489"/>
      <c r="Z81" s="1489"/>
      <c r="AA81" s="1489"/>
      <c r="AB81" s="1489"/>
      <c r="AC81" s="1489"/>
      <c r="AD81" s="1489"/>
      <c r="AE81" s="1489"/>
      <c r="AF81" s="1489"/>
      <c r="AG81" s="1489"/>
      <c r="AH81" s="1489"/>
      <c r="AI81" s="1489"/>
      <c r="AJ81" s="1489"/>
      <c r="AK81" s="1489"/>
      <c r="AL81" s="1489"/>
      <c r="AM81" s="1257"/>
      <c r="AN81" s="1254"/>
      <c r="AO81" s="189"/>
      <c r="AP81" s="189"/>
      <c r="AQ81" s="189"/>
      <c r="AV81" s="13"/>
    </row>
    <row r="82" spans="1:48" s="172" customFormat="1">
      <c r="A82" s="194" t="s">
        <v>665</v>
      </c>
      <c r="B82" s="195" t="s">
        <v>160</v>
      </c>
      <c r="C82" s="258">
        <v>0</v>
      </c>
      <c r="D82" s="258">
        <v>0</v>
      </c>
      <c r="E82" s="258">
        <v>0</v>
      </c>
      <c r="F82" s="258">
        <v>0</v>
      </c>
      <c r="G82" s="258">
        <v>0</v>
      </c>
      <c r="H82" s="258">
        <v>0</v>
      </c>
      <c r="I82" s="258">
        <v>0</v>
      </c>
      <c r="J82" s="258">
        <v>0</v>
      </c>
      <c r="K82" s="258">
        <v>0</v>
      </c>
      <c r="L82" s="258">
        <v>0</v>
      </c>
      <c r="M82" s="258">
        <v>0</v>
      </c>
      <c r="N82" s="258">
        <v>0</v>
      </c>
      <c r="O82" s="258">
        <v>0</v>
      </c>
      <c r="P82" s="258">
        <v>0</v>
      </c>
      <c r="Q82" s="258">
        <v>0</v>
      </c>
      <c r="R82" s="258">
        <v>0</v>
      </c>
      <c r="S82" s="284">
        <v>647334.62399999995</v>
      </c>
      <c r="T82" s="284" t="s">
        <v>785</v>
      </c>
      <c r="U82" s="284">
        <v>3943213.1379999998</v>
      </c>
      <c r="V82" s="284" t="s">
        <v>785</v>
      </c>
      <c r="W82" s="284">
        <v>11027370</v>
      </c>
      <c r="X82" s="284" t="s">
        <v>785</v>
      </c>
      <c r="Y82" s="284">
        <v>16029377</v>
      </c>
      <c r="Z82" s="284" t="s">
        <v>785</v>
      </c>
      <c r="AA82" s="284">
        <v>23274070</v>
      </c>
      <c r="AB82" s="284" t="s">
        <v>785</v>
      </c>
      <c r="AC82" s="284">
        <v>28429810</v>
      </c>
      <c r="AD82" s="284" t="s">
        <v>785</v>
      </c>
      <c r="AE82" s="284">
        <v>29932472</v>
      </c>
      <c r="AF82" s="284">
        <v>362137322</v>
      </c>
      <c r="AG82" s="1275">
        <v>25954592</v>
      </c>
      <c r="AH82" s="1275" t="s">
        <v>785</v>
      </c>
      <c r="AI82" s="284">
        <v>22984121.239999998</v>
      </c>
      <c r="AJ82" s="284">
        <v>269960362</v>
      </c>
      <c r="AK82" s="284">
        <f>SUMIF($C$9:AH$9,1,$C82:AJ82)</f>
        <v>139238238.76199999</v>
      </c>
      <c r="AL82" s="284">
        <f>SUMIF($C$9:AH$9,0,$C82:AJ82)</f>
        <v>362137322</v>
      </c>
      <c r="AM82" s="1257"/>
      <c r="AN82" s="1254"/>
      <c r="AO82" s="189"/>
      <c r="AP82" s="189"/>
      <c r="AQ82" s="189"/>
      <c r="AV82" s="13"/>
    </row>
    <row r="83" spans="1:48" s="172" customFormat="1">
      <c r="A83" s="223"/>
      <c r="B83" s="195"/>
      <c r="C83" s="258"/>
      <c r="D83" s="258"/>
      <c r="E83" s="284"/>
      <c r="F83" s="284"/>
      <c r="G83" s="284"/>
      <c r="H83" s="284"/>
      <c r="I83" s="258"/>
      <c r="J83" s="258"/>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c r="AL83" s="284"/>
      <c r="AM83" s="1257"/>
      <c r="AN83" s="1254"/>
      <c r="AO83" s="189"/>
      <c r="AP83" s="189"/>
      <c r="AQ83" s="189"/>
      <c r="AV83" s="13"/>
    </row>
    <row r="84" spans="1:48" s="172" customFormat="1">
      <c r="A84" s="1483" t="s">
        <v>274</v>
      </c>
      <c r="B84" s="1511" t="s">
        <v>87</v>
      </c>
      <c r="C84" s="1512">
        <f ca="1">SUMIF('Other Commodities - Q&amp;V'!$N$8:$N$250,'CY Q&amp;V 2004 to Now'!C$7,'Other Commodities - Q&amp;V'!$F$8:$F$244)*1000000</f>
        <v>10486431.916000001</v>
      </c>
      <c r="D84" s="1512">
        <f ca="1">SUMIF('Other Commodities - Q&amp;V'!$N$8:$N$250,'CY Q&amp;V 2004 to Now'!C$7,'Other Commodities - Q&amp;V'!$G$8:$G$244)*1000000</f>
        <v>186629417.10000002</v>
      </c>
      <c r="E84" s="1512">
        <f ca="1">SUMIF('Other Commodities - Q&amp;V'!$N$8:$N$250,'CY Q&amp;V 2004 to Now'!E$7,'Other Commodities - Q&amp;V'!$F$8:$F$244)*1000000</f>
        <v>11475206.92</v>
      </c>
      <c r="F84" s="1512">
        <f ca="1">SUMIF('Other Commodities - Q&amp;V'!$N$8:$N$250,'CY Q&amp;V 2004 to Now'!E$7,'Other Commodities - Q&amp;V'!$G$8:$G$244)*1000000</f>
        <v>213782655.01000002</v>
      </c>
      <c r="G84" s="1512">
        <f ca="1">SUMIF('Other Commodities - Q&amp;V'!$N$8:$N$250,'CY Q&amp;V 2004 to Now'!G$7,'Other Commodities - Q&amp;V'!$F$8:$F$244)*1000000</f>
        <v>10715927.219999999</v>
      </c>
      <c r="H84" s="1512">
        <f ca="1">SUMIF('Other Commodities - Q&amp;V'!$N$8:$N$250,'CY Q&amp;V 2004 to Now'!G$7,'Other Commodities - Q&amp;V'!$G$8:$G$244)*1000000</f>
        <v>241642998.10999998</v>
      </c>
      <c r="I84" s="1512">
        <f ca="1">SUMIF('Other Commodities - Q&amp;V'!$N$8:$N$250,'CY Q&amp;V 2004 to Now'!I$7,'Other Commodities - Q&amp;V'!$F$8:$F$244)*1000000</f>
        <v>10385685.728999998</v>
      </c>
      <c r="J84" s="1512">
        <f ca="1">SUMIF('Other Commodities - Q&amp;V'!$N$8:$N$250,'CY Q&amp;V 2004 to Now'!I$7,'Other Commodities - Q&amp;V'!$G$8:$G$244)*1000000</f>
        <v>229604348.91</v>
      </c>
      <c r="K84" s="1512">
        <f ca="1">SUMIF('Other Commodities - Q&amp;V'!$N$8:$N$250,'CY Q&amp;V 2004 to Now'!K$7,'Other Commodities - Q&amp;V'!$F$8:$F$244)*1000000</f>
        <v>11488632.785</v>
      </c>
      <c r="L84" s="1512">
        <f ca="1">SUMIF('Other Commodities - Q&amp;V'!$N$8:$N$250,'CY Q&amp;V 2004 to Now'!K$7,'Other Commodities - Q&amp;V'!$G$8:$G$244)*1000000</f>
        <v>290950415.91000003</v>
      </c>
      <c r="M84" s="1512">
        <f ca="1">SUMIF('Other Commodities - Q&amp;V'!$N$8:$N$250,'CY Q&amp;V 2004 to Now'!M$7,'Other Commodities - Q&amp;V'!$F$8:$F$244)*1000000</f>
        <v>10063552.932</v>
      </c>
      <c r="N84" s="1512">
        <f ca="1">SUMIF('Other Commodities - Q&amp;V'!$N$8:$N$250,'CY Q&amp;V 2004 to Now'!M$7,'Other Commodities - Q&amp;V'!$G$8:$G$244)*1000000</f>
        <v>447592200.68000001</v>
      </c>
      <c r="O84" s="1512">
        <f ca="1">SUMIF('Other Commodities - Q&amp;V'!$N$8:$N$250,'CY Q&amp;V 2004 to Now'!O$7,'Other Commodities - Q&amp;V'!$F$8:$F$244)*1000000</f>
        <v>11542636.41</v>
      </c>
      <c r="P84" s="1512">
        <f ca="1">SUMIF('Other Commodities - Q&amp;V'!$N$8:$N$250,'CY Q&amp;V 2004 to Now'!O$7,'Other Commodities - Q&amp;V'!$G$8:$G$244)*1000000</f>
        <v>386668816.90000004</v>
      </c>
      <c r="Q84" s="1512">
        <f ca="1">SUMIF('Other Commodities - Q&amp;V'!$N$8:$N$250,'CY Q&amp;V 2004 to Now'!Q$7,'Other Commodities - Q&amp;V'!$F$8:$F$244)*1000000</f>
        <v>12252575.100000001</v>
      </c>
      <c r="R84" s="1512">
        <f ca="1">SUMIF('Other Commodities - Q&amp;V'!$N$8:$N$250,'CY Q&amp;V 2004 to Now'!Q$7,'Other Commodities - Q&amp;V'!$G$8:$G$244)*1000000</f>
        <v>335770892.65000004</v>
      </c>
      <c r="S84" s="1512">
        <f ca="1">SUMIF('Other Commodities - Q&amp;V'!$N$8:$N$250,'CY Q&amp;V 2004 to Now'!S$7,'Other Commodities - Q&amp;V'!$F$8:$F$244)*1000000</f>
        <v>12504826.539999999</v>
      </c>
      <c r="T84" s="1512">
        <f ca="1">SUMIF('Other Commodities - Q&amp;V'!$N$8:$N$250,'CY Q&amp;V 2004 to Now'!S$7,'Other Commodities - Q&amp;V'!$G$8:$G$244)*1000000</f>
        <v>364509384.84000003</v>
      </c>
      <c r="U84" s="1512">
        <f ca="1">SUMIF('Other Commodities - Q&amp;V'!$N$8:$N$250,'CY Q&amp;V 2004 to Now'!U$7,'Other Commodities - Q&amp;V'!$F$8:$F$244)*1000000</f>
        <v>12900183.612000002</v>
      </c>
      <c r="V84" s="1512">
        <f ca="1">SUMIF('Other Commodities - Q&amp;V'!$N$8:$N$250,'CY Q&amp;V 2004 to Now'!U$7,'Other Commodities - Q&amp;V'!$G$8:$G$244)*1000000</f>
        <v>412414961.90999997</v>
      </c>
      <c r="W84" s="1512">
        <f ca="1">SUMIF('Other Commodities - Q&amp;V'!$N$8:$N$250,'CY Q&amp;V 2004 to Now'!W$7,'Other Commodities - Q&amp;V'!$F$8:$F$244)*1000000</f>
        <v>12997952.599999998</v>
      </c>
      <c r="X84" s="1512">
        <f ca="1">SUMIF('Other Commodities - Q&amp;V'!$N$8:$N$250,'CY Q&amp;V 2004 to Now'!W$7,'Other Commodities - Q&amp;V'!$G$8:$G$244)*1000000</f>
        <v>406426593</v>
      </c>
      <c r="Y84" s="1512">
        <f ca="1">SUMIF('Other Commodities - Q&amp;V'!$N$8:$N$250,'CY Q&amp;V 2004 to Now'!Y$7,'Other Commodities - Q&amp;V'!$F$8:$F$244)*1000000</f>
        <v>11390053.199999999</v>
      </c>
      <c r="Z84" s="1512">
        <f ca="1">SUMIF('Other Commodities - Q&amp;V'!$N$8:$N$250,'CY Q&amp;V 2004 to Now'!Y$7,'Other Commodities - Q&amp;V'!$G$8:$G$244)*1000000</f>
        <v>355146406</v>
      </c>
      <c r="AA84" s="1512">
        <f ca="1">SUMIF('Other Commodities - Q&amp;V'!$N$8:$N$250,'CY Q&amp;V 2004 to Now'!AA$7,'Other Commodities - Q&amp;V'!$F$8:$F$244)*1000000</f>
        <v>10410190.17</v>
      </c>
      <c r="AB84" s="1512">
        <f ca="1">SUMIF('Other Commodities - Q&amp;V'!$N$8:$N$250,'CY Q&amp;V 2004 to Now'!AA$7,'Other Commodities - Q&amp;V'!$G$8:$G$244)*1000000</f>
        <v>312742939</v>
      </c>
      <c r="AC84" s="1512">
        <f ca="1">SUMIF('Other Commodities - Q&amp;V'!$N$8:$N$250,'CY Q&amp;V 2004 to Now'!AC$7,'Other Commodities - Q&amp;V'!$F$8:$F$244)*1000000</f>
        <v>11674986.52</v>
      </c>
      <c r="AD84" s="1512">
        <f ca="1">SUMIF('Other Commodities - Q&amp;V'!$N$8:$N$250,'CY Q&amp;V 2004 to Now'!AC$7,'Other Commodities - Q&amp;V'!$G$8:$G$244)*1000000</f>
        <v>274061355</v>
      </c>
      <c r="AE84" s="1512">
        <f ca="1">SUMIF('Other Commodities - Q&amp;V'!$N$8:$N$250,'CY Q&amp;V 2004 to Now'!AE$7,'Other Commodities - Q&amp;V'!$F$8:$F$244)*1000000</f>
        <v>12894453.490000002</v>
      </c>
      <c r="AF84" s="1512">
        <f ca="1">SUMIF('Other Commodities - Q&amp;V'!$N$8:$N$250,'CY Q&amp;V 2004 to Now'!AE$7,'Other Commodities - Q&amp;V'!$G$8:$G$244)*1000000</f>
        <v>303629543.49680001</v>
      </c>
      <c r="AG84" s="1512">
        <f ca="1">SUMIF('Other Commodities - Q&amp;V'!$N$8:$N$250,'CY Q&amp;V 2004 to Now'!AG$7,'Other Commodities - Q&amp;V'!$F$8:$F$244)*1000000</f>
        <v>11473768.142999999</v>
      </c>
      <c r="AH84" s="1512">
        <f ca="1">SUMIF('Other Commodities - Q&amp;V'!$N$8:$N$250,'CY Q&amp;V 2004 to Now'!AG$7,'Other Commodities - Q&amp;V'!$G$8:$G$244)*1000000</f>
        <v>333387857</v>
      </c>
      <c r="AI84" s="1512">
        <f ca="1">SUMIF('Other Commodities - Q&amp;V'!$N$8:$N$250,'CY Q&amp;V 2004 to Now'!AI$7,'Other Commodities - Q&amp;V'!$F$8:$F$244)*1000000</f>
        <v>11542308.713000001</v>
      </c>
      <c r="AJ84" s="1512">
        <f ca="1">SUMIF('Other Commodities - Q&amp;V'!$N$8:$N$250,'CY Q&amp;V 2004 to Now'!AI$7,'Other Commodities - Q&amp;V'!$G$8:$G$244)*1000000</f>
        <v>430680645.59699994</v>
      </c>
      <c r="AK84" s="1489">
        <f ca="1">SUMIF($C$9:AH$9,1,$C84:AJ84)</f>
        <v>184657063.287</v>
      </c>
      <c r="AL84" s="1489">
        <f ca="1">SUMIF($C$9:AH$9,0,$C84:AJ84)</f>
        <v>5094960785.5168009</v>
      </c>
      <c r="AM84" s="242"/>
      <c r="AN84" s="1254"/>
      <c r="AO84" s="189"/>
      <c r="AP84" s="189"/>
      <c r="AQ84" s="189"/>
      <c r="AV84" s="13"/>
    </row>
    <row r="85" spans="1:48" s="172" customFormat="1">
      <c r="A85" s="1483"/>
      <c r="B85" s="1511"/>
      <c r="C85" s="1512"/>
      <c r="D85" s="1512"/>
      <c r="E85" s="1489"/>
      <c r="F85" s="1489"/>
      <c r="G85" s="1489"/>
      <c r="H85" s="1489"/>
      <c r="I85" s="1512"/>
      <c r="J85" s="1512"/>
      <c r="K85" s="1489"/>
      <c r="L85" s="1489"/>
      <c r="M85" s="1489"/>
      <c r="N85" s="1489"/>
      <c r="O85" s="1489"/>
      <c r="P85" s="1489"/>
      <c r="Q85" s="1489"/>
      <c r="R85" s="1489"/>
      <c r="S85" s="1489"/>
      <c r="T85" s="1489"/>
      <c r="U85" s="1489"/>
      <c r="V85" s="1489"/>
      <c r="W85" s="1489"/>
      <c r="X85" s="1489"/>
      <c r="Y85" s="1489"/>
      <c r="Z85" s="1489"/>
      <c r="AA85" s="1489"/>
      <c r="AB85" s="1489"/>
      <c r="AC85" s="1489"/>
      <c r="AD85" s="1489"/>
      <c r="AE85" s="1489"/>
      <c r="AF85" s="1489"/>
      <c r="AG85" s="1489"/>
      <c r="AH85" s="1489"/>
      <c r="AI85" s="1489"/>
      <c r="AJ85" s="1489"/>
      <c r="AK85" s="1489"/>
      <c r="AL85" s="1489"/>
      <c r="AM85" s="1257"/>
      <c r="AN85" s="1254"/>
      <c r="AO85" s="189"/>
      <c r="AP85" s="189"/>
      <c r="AQ85" s="189"/>
      <c r="AV85" s="13"/>
    </row>
    <row r="86" spans="1:48" s="172" customFormat="1">
      <c r="A86" s="194" t="s">
        <v>275</v>
      </c>
      <c r="B86" s="213" t="s">
        <v>87</v>
      </c>
      <c r="C86" s="258">
        <v>701496</v>
      </c>
      <c r="D86" s="284">
        <v>6795566.4699999997</v>
      </c>
      <c r="E86" s="284">
        <v>745740</v>
      </c>
      <c r="F86" s="284">
        <v>7029286.46</v>
      </c>
      <c r="G86" s="284">
        <v>717676</v>
      </c>
      <c r="H86" s="284">
        <v>6380178.0099999998</v>
      </c>
      <c r="I86" s="258">
        <v>667000</v>
      </c>
      <c r="J86" s="258">
        <v>10649062.92</v>
      </c>
      <c r="K86" s="284">
        <v>507785</v>
      </c>
      <c r="L86" s="284">
        <v>7562492</v>
      </c>
      <c r="M86" s="284">
        <v>462314</v>
      </c>
      <c r="N86" s="284">
        <v>10006288</v>
      </c>
      <c r="O86" s="284">
        <v>422611</v>
      </c>
      <c r="P86" s="284">
        <v>12544042</v>
      </c>
      <c r="Q86" s="284">
        <v>477640</v>
      </c>
      <c r="R86" s="284">
        <v>15394140</v>
      </c>
      <c r="S86" s="284">
        <v>459537</v>
      </c>
      <c r="T86" s="284">
        <v>15289183</v>
      </c>
      <c r="U86" s="284">
        <v>438688</v>
      </c>
      <c r="V86" s="284">
        <v>15325432.539999999</v>
      </c>
      <c r="W86" s="284">
        <v>487248</v>
      </c>
      <c r="X86" s="284">
        <v>17353328.100000001</v>
      </c>
      <c r="Y86" s="284">
        <v>550002</v>
      </c>
      <c r="Z86" s="284">
        <v>20550675</v>
      </c>
      <c r="AA86" s="1265">
        <v>587126.48300000001</v>
      </c>
      <c r="AB86" s="1265">
        <v>14549866</v>
      </c>
      <c r="AC86" s="1265">
        <v>883747.11900000006</v>
      </c>
      <c r="AD86" s="1265">
        <v>21288628.25</v>
      </c>
      <c r="AE86" s="1265">
        <v>1006493.4319999999</v>
      </c>
      <c r="AF86" s="1265">
        <v>19989688</v>
      </c>
      <c r="AG86" s="1570">
        <v>997590.89100000006</v>
      </c>
      <c r="AH86" s="1570">
        <v>21606680</v>
      </c>
      <c r="AI86" s="1265">
        <v>940470.85899999994</v>
      </c>
      <c r="AJ86" s="1265">
        <v>17053489</v>
      </c>
      <c r="AK86" s="284">
        <f>SUMIF($C$9:AH$9,1,$C86:AJ86)</f>
        <v>10112694.925000001</v>
      </c>
      <c r="AL86" s="284">
        <f>SUMIF($C$9:AH$9,0,$C86:AJ86)</f>
        <v>222314536.75</v>
      </c>
      <c r="AM86" s="242"/>
      <c r="AN86" s="1254"/>
      <c r="AO86" s="189"/>
      <c r="AP86" s="189"/>
      <c r="AQ86" s="189"/>
      <c r="AV86" s="13"/>
    </row>
    <row r="87" spans="1:48" s="172" customFormat="1">
      <c r="A87" s="214"/>
      <c r="B87" s="215"/>
      <c r="C87" s="284"/>
      <c r="D87" s="284"/>
      <c r="E87" s="284"/>
      <c r="F87" s="284"/>
      <c r="G87" s="284"/>
      <c r="H87" s="284"/>
      <c r="I87" s="258"/>
      <c r="J87" s="258"/>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1257"/>
      <c r="AN87" s="1254"/>
      <c r="AO87" s="189"/>
      <c r="AP87" s="189"/>
      <c r="AQ87" s="189"/>
      <c r="AV87" s="13"/>
    </row>
    <row r="88" spans="1:48" s="172" customFormat="1">
      <c r="A88" s="1483" t="s">
        <v>278</v>
      </c>
      <c r="B88" s="1511" t="s">
        <v>160</v>
      </c>
      <c r="C88" s="1512">
        <f>SUMIF('Other Commodities - Q&amp;V'!$N$8:$N$250,'CY Q&amp;V 2004 to Now'!C$7,'Other Commodities - Q&amp;V'!$B$8:$B$252)*1000</f>
        <v>121539.99999999999</v>
      </c>
      <c r="D88" s="1489">
        <f>SUMIF('Other Commodities - Q&amp;V'!$N$8:$N$250,'CY Q&amp;V 2004 to Now'!C$7,'Other Commodities - Q&amp;V'!$C$8:$C$252)*1000000</f>
        <v>24654912.799999997</v>
      </c>
      <c r="E88" s="1489">
        <f>SUMIF('Other Commodities - Q&amp;V'!$N$8:$N$250,'CY Q&amp;V 2004 to Now'!E$7,'Other Commodities - Q&amp;V'!$B$8:$B$252)*1000</f>
        <v>127520.00000000001</v>
      </c>
      <c r="F88" s="1489">
        <f>SUMIF('Other Commodities - Q&amp;V'!$N$8:$N$250,'CY Q&amp;V 2004 to Now'!E$7,'Other Commodities - Q&amp;V'!$C$8:$C$252)*1000000</f>
        <v>39103266.360000007</v>
      </c>
      <c r="G88" s="1489">
        <f>SUMIF('Other Commodities - Q&amp;V'!$N$8:$N$250,'CY Q&amp;V 2004 to Now'!G$7,'Other Commodities - Q&amp;V'!$B$8:$B$252)*1000</f>
        <v>103020.00000000001</v>
      </c>
      <c r="H88" s="1489">
        <f>SUMIF('Other Commodities - Q&amp;V'!$N$8:$N$250,'CY Q&amp;V 2004 to Now'!G$7,'Other Commodities - Q&amp;V'!$C$8:$C$252)*1000000</f>
        <v>49870901.419999994</v>
      </c>
      <c r="I88" s="1489">
        <f>SUMIF('Other Commodities - Q&amp;V'!$N$8:$N$250,'CY Q&amp;V 2004 to Now'!I$7,'Other Commodities - Q&amp;V'!$B$8:$B$252)*1000</f>
        <v>120330</v>
      </c>
      <c r="J88" s="1489">
        <f>SUMIF('Other Commodities - Q&amp;V'!$N$8:$N$250,'CY Q&amp;V 2004 to Now'!I$7,'Other Commodities - Q&amp;V'!$C$8:$C$252)*1000000</f>
        <v>63222478.219999999</v>
      </c>
      <c r="K88" s="1489">
        <f>SUMIF('Other Commodities - Q&amp;V'!$N$8:$N$250,'CY Q&amp;V 2004 to Now'!K$7,'Other Commodities - Q&amp;V'!$B$8:$B$252)*1000</f>
        <v>88060</v>
      </c>
      <c r="L88" s="1489">
        <f>SUMIF('Other Commodities - Q&amp;V'!$N$8:$N$250,'CY Q&amp;V 2004 to Now'!K$7,'Other Commodities - Q&amp;V'!$C$8:$C$252)*1000000</f>
        <v>51411615.130000003</v>
      </c>
      <c r="M88" s="1489">
        <f>SUMIF('Other Commodities - Q&amp;V'!$N$8:$N$250,'CY Q&amp;V 2004 to Now'!M$7,'Other Commodities - Q&amp;V'!$B$8:$B$252)*1000</f>
        <v>124140</v>
      </c>
      <c r="N88" s="1489">
        <f>SUMIF('Other Commodities - Q&amp;V'!$N$8:$N$250,'CY Q&amp;V 2004 to Now'!M$7,'Other Commodities - Q&amp;V'!$C$8:$C$252)*1000000</f>
        <v>74044649.460000008</v>
      </c>
      <c r="O88" s="1489">
        <f>SUMIF('Other Commodities - Q&amp;V'!$N$8:$N$250,'CY Q&amp;V 2004 to Now'!O$7,'Other Commodities - Q&amp;V'!$B$8:$B$252)*1000</f>
        <v>112990.00000000001</v>
      </c>
      <c r="P88" s="1489">
        <f>SUMIF('Other Commodities - Q&amp;V'!$N$8:$N$250,'CY Q&amp;V 2004 to Now'!O$7,'Other Commodities - Q&amp;V'!$C$8:$C$252)*1000000</f>
        <v>80654205.189999998</v>
      </c>
      <c r="Q88" s="1489">
        <f>SUMIF('Other Commodities - Q&amp;V'!$N$8:$N$250,'CY Q&amp;V 2004 to Now'!Q$7,'Other Commodities - Q&amp;V'!$B$8:$B$252)*1000</f>
        <v>91470</v>
      </c>
      <c r="R88" s="1489">
        <f>SUMIF('Other Commodities - Q&amp;V'!$N$8:$N$250,'CY Q&amp;V 2004 to Now'!Q$7,'Other Commodities - Q&amp;V'!$C$8:$C$252)*1000000</f>
        <v>96223977.849999994</v>
      </c>
      <c r="S88" s="1489">
        <f>SUMIF('Other Commodities - Q&amp;V'!$N$8:$N$250,'CY Q&amp;V 2004 to Now'!S$7,'Other Commodities - Q&amp;V'!$B$8:$B$252)*1000</f>
        <v>134670.00000000003</v>
      </c>
      <c r="T88" s="1489">
        <f>SUMIF('Other Commodities - Q&amp;V'!$N$8:$N$250,'CY Q&amp;V 2004 to Now'!S$7,'Other Commodities - Q&amp;V'!$C$8:$C$252)*1000000</f>
        <v>120732521.81</v>
      </c>
      <c r="U88" s="1489">
        <f>SUMIF('Other Commodities - Q&amp;V'!$N$8:$N$250,'CY Q&amp;V 2004 to Now'!U$7,'Other Commodities - Q&amp;V'!$B$8:$B$252)*1000</f>
        <v>126350</v>
      </c>
      <c r="V88" s="1489">
        <f>SUMIF('Other Commodities - Q&amp;V'!$N$8:$N$250,'CY Q&amp;V 2004 to Now'!U$7,'Other Commodities - Q&amp;V'!$C$8:$C$252)*1000000</f>
        <v>88375709.99000001</v>
      </c>
      <c r="W88" s="1489">
        <f>SUMIF('Other Commodities - Q&amp;V'!$N$8:$N$250,'CY Q&amp;V 2004 to Now'!W$7,'Other Commodities - Q&amp;V'!$B$8:$B$252)*1000</f>
        <v>147469.35516178497</v>
      </c>
      <c r="X88" s="1489">
        <f>SUMIF('Other Commodities - Q&amp;V'!$N$8:$N$250,'CY Q&amp;V 2004 to Now'!W$7,'Other Commodities - Q&amp;V'!$C$8:$C$252)*1000000</f>
        <v>94609190.000000015</v>
      </c>
      <c r="Y88" s="1489">
        <f>SUMIF('Other Commodities - Q&amp;V'!$N$8:$N$250,'CY Q&amp;V 2004 to Now'!Y$7,'Other Commodities - Q&amp;V'!$B$8:$B$252)*1000</f>
        <v>149760.98616826386</v>
      </c>
      <c r="Z88" s="1489">
        <f>SUMIF('Other Commodities - Q&amp;V'!$N$8:$N$250,'CY Q&amp;V 2004 to Now'!Y$7,'Other Commodities - Q&amp;V'!$C$8:$C$252)*1000000</f>
        <v>96075520.000000015</v>
      </c>
      <c r="AA88" s="1489">
        <f>SUMIF('Other Commodities - Q&amp;V'!$N$8:$N$250,'CY Q&amp;V 2004 to Now'!AA$7,'Other Commodities - Q&amp;V'!$B$8:$B$252)*1000</f>
        <v>158024.03033215451</v>
      </c>
      <c r="AB88" s="1489">
        <f>SUMIF('Other Commodities - Q&amp;V'!$N$8:$N$250,'CY Q&amp;V 2004 to Now'!AA$7,'Other Commodities - Q&amp;V'!$C$8:$C$252)*1000000</f>
        <v>111613164</v>
      </c>
      <c r="AC88" s="1489">
        <f>SUMIF('Other Commodities - Q&amp;V'!$N$8:$N$250,'CY Q&amp;V 2004 to Now'!AC$7,'Other Commodities - Q&amp;V'!$B$8:$B$252)*1000</f>
        <v>149950.26093158158</v>
      </c>
      <c r="AD88" s="1489">
        <f>SUMIF('Other Commodities - Q&amp;V'!$N$8:$N$250,'CY Q&amp;V 2004 to Now'!AC$7,'Other Commodities - Q&amp;V'!$C$8:$C$252)*1000000</f>
        <v>98532446.999999985</v>
      </c>
      <c r="AE88" s="1489">
        <f>SUMIF('Other Commodities - Q&amp;V'!$N$8:$N$250,'CY Q&amp;V 2004 to Now'!AE$7,'Other Commodities - Q&amp;V'!$B$8:$B$252)*1000</f>
        <v>143733.06976208914</v>
      </c>
      <c r="AF88" s="1489">
        <f>SUMIF('Other Commodities - Q&amp;V'!$N$8:$N$250,'CY Q&amp;V 2004 to Now'!AE$7,'Other Commodities - Q&amp;V'!$C$8:$C$252)*1000000</f>
        <v>94066417</v>
      </c>
      <c r="AG88" s="1489">
        <f>SUMIF('Other Commodities - Q&amp;V'!$N$8:$N$250,'CY Q&amp;V 2004 to Now'!AG$7,'Other Commodities - Q&amp;V'!$B$8:$B$252)*1000</f>
        <v>132045.33829745543</v>
      </c>
      <c r="AH88" s="1489">
        <f>SUMIF('Other Commodities - Q&amp;V'!$N$8:$N$250,'CY Q&amp;V 2004 to Now'!AG$7,'Other Commodities - Q&amp;V'!$C$8:$C$252)*1000000</f>
        <v>96186253.999999985</v>
      </c>
      <c r="AI88" s="1489">
        <f>SUMIF('Other Commodities - Q&amp;V'!$N$8:$N$250,'CY Q&amp;V 2004 to Now'!AI$7,'Other Commodities - Q&amp;V'!$B$8:$B$252)*1000</f>
        <v>125104.2550862034</v>
      </c>
      <c r="AJ88" s="1489">
        <f>SUMIF('Other Commodities - Q&amp;V'!$N$8:$N$250,'CY Q&amp;V 2004 to Now'!AI$7,'Other Commodities - Q&amp;V'!$C$8:$C$252)*1000000</f>
        <v>130314235.89000002</v>
      </c>
      <c r="AK88" s="1489">
        <f>SUMIF($C$9:AH$9,1,$C88:AJ88)</f>
        <v>2031073.0406533293</v>
      </c>
      <c r="AL88" s="1489">
        <f>SUMIF($C$9:AH$9,0,$C88:AJ88)</f>
        <v>1279377230.23</v>
      </c>
      <c r="AM88" s="242"/>
      <c r="AN88" s="1254"/>
      <c r="AO88" s="189"/>
      <c r="AP88" s="189"/>
      <c r="AQ88" s="189"/>
      <c r="AT88" s="136"/>
      <c r="AU88" s="136"/>
      <c r="AV88" s="13"/>
    </row>
    <row r="89" spans="1:48" s="172" customFormat="1">
      <c r="A89" s="1483"/>
      <c r="B89" s="1511"/>
      <c r="C89" s="1512"/>
      <c r="D89" s="1512"/>
      <c r="E89" s="1489"/>
      <c r="F89" s="1489"/>
      <c r="G89" s="1489"/>
      <c r="H89" s="1489"/>
      <c r="I89" s="1512"/>
      <c r="J89" s="1512"/>
      <c r="K89" s="1489"/>
      <c r="L89" s="1489"/>
      <c r="M89" s="1489"/>
      <c r="N89" s="1489"/>
      <c r="O89" s="1489"/>
      <c r="P89" s="1489"/>
      <c r="Q89" s="1489"/>
      <c r="R89" s="1489"/>
      <c r="S89" s="1489"/>
      <c r="T89" s="1489"/>
      <c r="U89" s="1489"/>
      <c r="V89" s="1489"/>
      <c r="W89" s="1489"/>
      <c r="X89" s="1489"/>
      <c r="Y89" s="1578"/>
      <c r="Z89" s="1578"/>
      <c r="AA89" s="1578"/>
      <c r="AB89" s="1578"/>
      <c r="AC89" s="1578"/>
      <c r="AD89" s="1578"/>
      <c r="AE89" s="1489"/>
      <c r="AF89" s="1489"/>
      <c r="AG89" s="1578"/>
      <c r="AH89" s="1578"/>
      <c r="AI89" s="1489"/>
      <c r="AJ89" s="1489"/>
      <c r="AK89" s="1489"/>
      <c r="AL89" s="1489"/>
      <c r="AM89" s="1257"/>
      <c r="AN89" s="1254"/>
      <c r="AO89" s="189"/>
      <c r="AP89" s="189"/>
      <c r="AQ89" s="189"/>
      <c r="AT89" s="136"/>
      <c r="AU89" s="136"/>
      <c r="AV89" s="13"/>
    </row>
    <row r="90" spans="1:48" s="172" customFormat="1">
      <c r="A90" s="194" t="s">
        <v>263</v>
      </c>
      <c r="B90" s="195" t="s">
        <v>87</v>
      </c>
      <c r="C90" s="258"/>
      <c r="D90" s="258">
        <v>15290405.57</v>
      </c>
      <c r="E90" s="258"/>
      <c r="F90" s="258">
        <v>13646771.57</v>
      </c>
      <c r="G90" s="284"/>
      <c r="H90" s="284">
        <v>15561388.1</v>
      </c>
      <c r="I90" s="258"/>
      <c r="J90" s="284">
        <v>13647434.57</v>
      </c>
      <c r="K90" s="284"/>
      <c r="L90" s="284">
        <v>76975183</v>
      </c>
      <c r="M90" s="284"/>
      <c r="N90" s="284">
        <v>63335222</v>
      </c>
      <c r="O90" s="284"/>
      <c r="P90" s="284">
        <v>42263274</v>
      </c>
      <c r="Q90" s="284"/>
      <c r="R90" s="284">
        <v>469000214</v>
      </c>
      <c r="S90" s="284"/>
      <c r="T90" s="284">
        <v>380036531</v>
      </c>
      <c r="U90" s="284"/>
      <c r="V90" s="284">
        <v>492647032.50999999</v>
      </c>
      <c r="W90" s="284"/>
      <c r="X90" s="284">
        <v>602934218</v>
      </c>
      <c r="Y90" s="284"/>
      <c r="Z90" s="284">
        <v>406916933.1599884</v>
      </c>
      <c r="AA90" s="284"/>
      <c r="AB90" s="284">
        <v>214860007</v>
      </c>
      <c r="AC90" s="284"/>
      <c r="AD90" s="1278">
        <v>415614680</v>
      </c>
      <c r="AE90" s="1278"/>
      <c r="AF90" s="1278">
        <v>16169871</v>
      </c>
      <c r="AG90" s="1278"/>
      <c r="AH90" s="1278">
        <v>745664045</v>
      </c>
      <c r="AI90" s="1278"/>
      <c r="AJ90" s="1278">
        <v>338218043.44771075</v>
      </c>
      <c r="AK90" s="284"/>
      <c r="AL90" s="284">
        <f>SUM($C90:AJ90)</f>
        <v>4322781253.9276991</v>
      </c>
      <c r="AM90" s="1257"/>
      <c r="AN90" s="1257"/>
      <c r="AO90" s="231"/>
      <c r="AP90" s="231"/>
      <c r="AQ90" s="189"/>
      <c r="AT90" s="136"/>
      <c r="AU90" s="136"/>
      <c r="AV90" s="13"/>
    </row>
    <row r="91" spans="1:48" s="172" customFormat="1">
      <c r="A91" s="194" t="s">
        <v>652</v>
      </c>
      <c r="B91" s="215"/>
      <c r="C91" s="284"/>
      <c r="D91" s="284"/>
      <c r="E91" s="284"/>
      <c r="F91" s="284"/>
      <c r="G91" s="284"/>
      <c r="H91" s="284"/>
      <c r="I91" s="284"/>
      <c r="J91" s="284"/>
      <c r="K91" s="284"/>
      <c r="L91" s="284"/>
      <c r="M91" s="284"/>
      <c r="N91" s="284"/>
      <c r="O91" s="284"/>
      <c r="P91" s="284"/>
      <c r="Q91" s="284"/>
      <c r="R91" s="284"/>
      <c r="S91" s="284"/>
      <c r="T91" s="284"/>
      <c r="U91" s="284"/>
      <c r="V91" s="284"/>
      <c r="W91" s="284"/>
      <c r="X91" s="284"/>
      <c r="Y91" s="1277"/>
      <c r="Z91" s="1277"/>
      <c r="AA91" s="1277"/>
      <c r="AB91" s="1277"/>
      <c r="AC91" s="1277"/>
      <c r="AD91" s="1277"/>
      <c r="AE91" s="284"/>
      <c r="AF91" s="284"/>
      <c r="AG91" s="1277"/>
      <c r="AH91" s="1277"/>
      <c r="AI91" s="284"/>
      <c r="AJ91" s="284"/>
      <c r="AK91" s="284"/>
      <c r="AL91" s="284"/>
      <c r="AM91" s="1257"/>
      <c r="AN91" s="242"/>
      <c r="AO91" s="437"/>
      <c r="AQ91" s="189"/>
      <c r="AT91" s="136"/>
      <c r="AU91" s="136"/>
      <c r="AV91" s="13"/>
    </row>
    <row r="92" spans="1:48" s="172" customFormat="1">
      <c r="A92" s="194"/>
      <c r="B92" s="215"/>
      <c r="C92" s="284"/>
      <c r="D92" s="284"/>
      <c r="E92" s="284"/>
      <c r="F92" s="284"/>
      <c r="G92" s="284"/>
      <c r="H92" s="284"/>
      <c r="I92" s="284"/>
      <c r="J92" s="284"/>
      <c r="K92" s="284"/>
      <c r="L92" s="284"/>
      <c r="M92" s="284"/>
      <c r="N92" s="284"/>
      <c r="O92" s="284"/>
      <c r="P92" s="284"/>
      <c r="Q92" s="284"/>
      <c r="R92" s="284"/>
      <c r="S92" s="284"/>
      <c r="T92" s="284"/>
      <c r="U92" s="284"/>
      <c r="V92" s="284"/>
      <c r="W92" s="284"/>
      <c r="X92" s="284"/>
      <c r="Y92" s="1277"/>
      <c r="Z92" s="1277"/>
      <c r="AA92" s="1277"/>
      <c r="AB92" s="1277"/>
      <c r="AC92" s="1277"/>
      <c r="AD92" s="1277"/>
      <c r="AE92" s="284"/>
      <c r="AF92" s="284"/>
      <c r="AG92" s="1277"/>
      <c r="AH92" s="1277"/>
      <c r="AI92" s="284"/>
      <c r="AJ92" s="284"/>
      <c r="AK92" s="284"/>
      <c r="AL92" s="284"/>
      <c r="AM92" s="1257"/>
      <c r="AN92" s="242"/>
      <c r="AO92" s="437"/>
      <c r="AQ92" s="189"/>
      <c r="AT92" s="237"/>
      <c r="AU92" s="237"/>
      <c r="AV92" s="13"/>
    </row>
    <row r="93" spans="1:48" s="172" customFormat="1">
      <c r="A93" s="1563" t="s">
        <v>777</v>
      </c>
      <c r="B93" s="1568"/>
      <c r="C93" s="1565"/>
      <c r="D93" s="1566">
        <f ca="1">D95-D80</f>
        <v>18379777765.842121</v>
      </c>
      <c r="E93" s="1565"/>
      <c r="F93" s="1566">
        <f ca="1">F95-F80</f>
        <v>24828597111.67939</v>
      </c>
      <c r="G93" s="1565"/>
      <c r="H93" s="1566">
        <f ca="1">H95-H80</f>
        <v>33750051973.511307</v>
      </c>
      <c r="I93" s="1565"/>
      <c r="J93" s="1566">
        <f ca="1">J95-J80</f>
        <v>36141132382.004303</v>
      </c>
      <c r="K93" s="1565"/>
      <c r="L93" s="1566">
        <f ca="1">L95-L80</f>
        <v>49022802489.821243</v>
      </c>
      <c r="M93" s="1565"/>
      <c r="N93" s="1566">
        <f ca="1">N95-N80</f>
        <v>44531117401.617874</v>
      </c>
      <c r="O93" s="1565"/>
      <c r="P93" s="1566">
        <f ca="1">P95-P80</f>
        <v>70368064121.930084</v>
      </c>
      <c r="Q93" s="1565"/>
      <c r="R93" s="1566">
        <f ca="1">R95-R80</f>
        <v>83736071875.561142</v>
      </c>
      <c r="S93" s="1565"/>
      <c r="T93" s="1566">
        <f ca="1">T95-T80</f>
        <v>74476936777.746613</v>
      </c>
      <c r="U93" s="1565"/>
      <c r="V93" s="1566">
        <f ca="1">V95-V80</f>
        <v>91449809983.489532</v>
      </c>
      <c r="W93" s="1565"/>
      <c r="X93" s="1566">
        <f ca="1">X95-X80</f>
        <v>86526093607.638107</v>
      </c>
      <c r="Y93" s="1565"/>
      <c r="Z93" s="1566">
        <f ca="1">Z95-Z80</f>
        <v>71373475717.467651</v>
      </c>
      <c r="AA93" s="1565"/>
      <c r="AB93" s="1566">
        <f ca="1">AB95-AB80</f>
        <v>76909293175.986328</v>
      </c>
      <c r="AC93" s="1565"/>
      <c r="AD93" s="1566">
        <f ca="1">AD95-AD80</f>
        <v>88322345235.436646</v>
      </c>
      <c r="AE93" s="1565"/>
      <c r="AF93" s="1566">
        <f ca="1">AF95-AF80</f>
        <v>94384939232.283264</v>
      </c>
      <c r="AG93" s="1565"/>
      <c r="AH93" s="1566">
        <f ca="1">AH95-AH80</f>
        <v>130029693251.3548</v>
      </c>
      <c r="AI93" s="1566"/>
      <c r="AJ93" s="1566">
        <f ca="1">AJ95-AJ80</f>
        <v>150348554380.30057</v>
      </c>
      <c r="AK93" s="1565"/>
      <c r="AL93" s="1566">
        <f ca="1">AL95-AL80</f>
        <v>1074230202103.3704</v>
      </c>
      <c r="AM93" s="1257"/>
      <c r="AN93" s="242"/>
      <c r="AO93" s="437"/>
      <c r="AQ93" s="189"/>
      <c r="AT93" s="237"/>
      <c r="AU93" s="237"/>
      <c r="AV93" s="13"/>
    </row>
    <row r="94" spans="1:48" s="172" customFormat="1">
      <c r="A94" s="1563"/>
      <c r="B94" s="1568"/>
      <c r="C94" s="1565"/>
      <c r="D94" s="1565"/>
      <c r="E94" s="1565"/>
      <c r="F94" s="1565"/>
      <c r="G94" s="1565"/>
      <c r="H94" s="1565"/>
      <c r="I94" s="1565"/>
      <c r="J94" s="1565"/>
      <c r="K94" s="1565"/>
      <c r="L94" s="1565"/>
      <c r="M94" s="1565"/>
      <c r="N94" s="1565"/>
      <c r="O94" s="1565"/>
      <c r="P94" s="1565"/>
      <c r="Q94" s="1565"/>
      <c r="R94" s="1565"/>
      <c r="S94" s="1565"/>
      <c r="T94" s="1565"/>
      <c r="U94" s="1565"/>
      <c r="V94" s="1565"/>
      <c r="W94" s="1565"/>
      <c r="X94" s="1565"/>
      <c r="Y94" s="1565"/>
      <c r="Z94" s="1565"/>
      <c r="AA94" s="1565"/>
      <c r="AB94" s="1565"/>
      <c r="AC94" s="1565"/>
      <c r="AD94" s="1565"/>
      <c r="AE94" s="1565"/>
      <c r="AF94" s="1565"/>
      <c r="AG94" s="1565"/>
      <c r="AH94" s="1565"/>
      <c r="AI94" s="1565"/>
      <c r="AJ94" s="1565"/>
      <c r="AK94" s="1565"/>
      <c r="AL94" s="1565"/>
      <c r="AM94" s="1257"/>
      <c r="AN94" s="1257"/>
      <c r="AQ94" s="189"/>
      <c r="AT94" s="237"/>
      <c r="AU94" s="237"/>
      <c r="AV94" s="13"/>
    </row>
    <row r="95" spans="1:48" s="172" customFormat="1">
      <c r="A95" s="1563" t="s">
        <v>778</v>
      </c>
      <c r="B95" s="1568"/>
      <c r="C95" s="1565"/>
      <c r="D95" s="1566">
        <f ca="1">SUM(D90,D64,D88,D86,D84,D80,D72,D58,D56,D54,D44,D42,D40,D38,D36,D34,D26,D24,D22,D20,D14)</f>
        <v>28758745770.842121</v>
      </c>
      <c r="E95" s="1566"/>
      <c r="F95" s="1566">
        <f ca="1">SUM(F90,F64,F88,F86,F84,F80,F72,F58,F56,F54,F44,F42,F40,F38,F36,F34,F26,F24,F22,F20,F14)</f>
        <v>39219936234.244133</v>
      </c>
      <c r="G95" s="1566"/>
      <c r="H95" s="1566">
        <f ca="1">SUM(H90,H64,H88,H86,H84,H80,H72,H58,H56,H54,H44,H42,H40,H38,H36,H34,H26,H24,H22,H20,H14)</f>
        <v>49274304821.548279</v>
      </c>
      <c r="I95" s="1566"/>
      <c r="J95" s="1566">
        <f ca="1">SUM(J90,J64,J88,J86,J84,J80,J72,J58,J56,J54,J44,J42,J40,J38,J36,J34,J26,J24,J22,J20,J14)</f>
        <v>52899857495.248489</v>
      </c>
      <c r="K95" s="1566"/>
      <c r="L95" s="1566">
        <f ca="1">SUM(L90,L64,L88,L86,L84,L80,L72,L58,L56,L54,L44,L42,L40,L38,L36,L34,L26,L24,L22,L20,L14)</f>
        <v>72376100405.714371</v>
      </c>
      <c r="M95" s="1566"/>
      <c r="N95" s="1566">
        <f ca="1">SUM(N90,N64,N88,N86,N84,N80,N72,N58,N56,N54,N44,N42,N40,N38,N36,N34,N26,N24,N22,N20,N14)</f>
        <v>61248279456.53199</v>
      </c>
      <c r="O95" s="1566"/>
      <c r="P95" s="1566">
        <f ca="1">SUM(P90,P64,P88,P86,P84,P80,P72,P58,P56,P54,P44,P42,P40,P38,P36,P34,P26,P24,P22,P20,P14)</f>
        <v>93229987818.628036</v>
      </c>
      <c r="Q95" s="1566"/>
      <c r="R95" s="1566">
        <f ca="1">SUM(R90,R64,R88,R86,R84,R80,R72,R58,R56,R54,R44,R42,R40,R38,R36,R34,R26,R24,R22,R20,R14)</f>
        <v>106574490325.50664</v>
      </c>
      <c r="S95" s="1566"/>
      <c r="T95" s="1566">
        <f ca="1">SUM(T90,T64,T88,T86,T84,T80,T72,T58,T56,T54,T44,T42,T40,T38,T36,T34,T26,T24,T22,T20,T14)</f>
        <v>98910149763.338043</v>
      </c>
      <c r="U95" s="1566"/>
      <c r="V95" s="1566">
        <f ca="1">SUM(V90,V64,V88,V86,V84,V80,V72,V58,V56,V54,V44,V42,V40,V38,V36,V34,V26,V24,V22,V20,V14)</f>
        <v>116125377143.161</v>
      </c>
      <c r="W95" s="1566"/>
      <c r="X95" s="1566">
        <f ca="1">SUM(X90,X64,X88,X86,X84,X80,X72,X58,X56,X54,X44,X42,X40,X38,X36,X34,X26,X24,X22,X20,X14)</f>
        <v>112387552352.22624</v>
      </c>
      <c r="Y95" s="1566"/>
      <c r="Z95" s="1566">
        <f ca="1">SUM(Z90,Z64,Z88,Z86,Z84,Z80,Z72,Z58,Z56,Z54,Z44,Z42,Z40,Z38,Z36,Z34,Z26,Z24,Z22,Z20,Z14)</f>
        <v>91280738556.540451</v>
      </c>
      <c r="AA95" s="1566"/>
      <c r="AB95" s="1566">
        <f ca="1">SUM(AB90,AB64,AB88,AB86,AB84,AB80,AB72,AB58,AB56,AB54,AB44,AB42,AB40,AB38,AB36,AB34,AB26,AB24,AB22,AB20,AB14,AB66)</f>
        <v>94026572520.98172</v>
      </c>
      <c r="AC95" s="1566"/>
      <c r="AD95" s="1566">
        <f ca="1">SUM(AD90,AD64,AD88,AD86,AD84,AD80,AD72,AD58,AD56,AD54,AD44,AD42,AD40,AD38,AD36,AD34,AD26,AD24,AD22,AD20,AD14)</f>
        <v>110037774048.49593</v>
      </c>
      <c r="AE95" s="1566"/>
      <c r="AF95" s="1566">
        <f ca="1">SUM(AF90,AF64,AF88,AF86,AF84,AF80,AF72,AF66,AF58,AF56,AF54,AF44,AF42,AF40,AF38,AF36,AF34,AF26,AF24,AF22,AF20,AF14,AF82)</f>
        <v>130085689092.90009</v>
      </c>
      <c r="AG95" s="1566"/>
      <c r="AH95" s="1566">
        <f ca="1">SUM(AH90,AH64,AH88,AH86,AH84,AH80,AH72,AH58,AH56,AH54,AH44,AH42,AH40,AH38,AH36,AH34,AH26,AH24,AH22,AH20,AH14,AH66)</f>
        <v>168570634069.38666</v>
      </c>
      <c r="AI95" s="1566"/>
      <c r="AJ95" s="1566">
        <f ca="1">SUM(AJ90,AJ64,AJ88,AJ86,AJ84,AJ80,AJ72,AJ58,AJ56,AJ54,AJ44,AJ42,AJ40,AJ38,AJ36,AJ34,AJ26,AJ24,AJ22,AJ20,AJ14,AJ66,AJ82)</f>
        <v>176876984200.8692</v>
      </c>
      <c r="AK95" s="1566"/>
      <c r="AL95" s="1566">
        <f ca="1">SUM($C95:AH95)</f>
        <v>1425006189875.2942</v>
      </c>
      <c r="AM95" s="1257"/>
      <c r="AN95" s="242"/>
      <c r="AP95" s="189"/>
      <c r="AQ95" s="189"/>
      <c r="AT95" s="136"/>
      <c r="AU95" s="136"/>
      <c r="AV95" s="13"/>
    </row>
    <row r="96" spans="1:48" s="172" customFormat="1">
      <c r="A96" s="1568"/>
      <c r="B96" s="1564"/>
      <c r="C96" s="1579"/>
      <c r="D96" s="1580"/>
      <c r="E96" s="1579"/>
      <c r="F96" s="1579" t="s">
        <v>265</v>
      </c>
      <c r="G96" s="1579"/>
      <c r="H96" s="1579" t="s">
        <v>265</v>
      </c>
      <c r="I96" s="1579"/>
      <c r="J96" s="1579"/>
      <c r="K96" s="1579"/>
      <c r="L96" s="1579"/>
      <c r="M96" s="1568"/>
      <c r="N96" s="1568"/>
      <c r="O96" s="1568"/>
      <c r="P96" s="1568"/>
      <c r="Q96" s="1568"/>
      <c r="R96" s="1568" t="s">
        <v>265</v>
      </c>
      <c r="S96" s="1568"/>
      <c r="T96" s="1568"/>
      <c r="U96" s="1568"/>
      <c r="V96" s="1568"/>
      <c r="W96" s="1568"/>
      <c r="X96" s="1568" t="s">
        <v>265</v>
      </c>
      <c r="Y96" s="1567"/>
      <c r="Z96" s="1567"/>
      <c r="AA96" s="1567"/>
      <c r="AB96" s="1567"/>
      <c r="AC96" s="1567"/>
      <c r="AD96" s="1567"/>
      <c r="AE96" s="1567"/>
      <c r="AF96" s="1567"/>
      <c r="AG96" s="1567"/>
      <c r="AH96" s="1567"/>
      <c r="AI96" s="1567"/>
      <c r="AJ96" s="1567"/>
      <c r="AK96" s="1568"/>
      <c r="AL96" s="1567"/>
      <c r="AN96" s="189"/>
      <c r="AO96" s="189"/>
      <c r="AP96" s="189"/>
      <c r="AQ96" s="189"/>
      <c r="AT96" s="136"/>
      <c r="AU96" s="136"/>
      <c r="AV96" s="13"/>
    </row>
    <row r="97" spans="1:48" s="172" customFormat="1">
      <c r="A97" s="330"/>
      <c r="B97" s="244"/>
      <c r="C97" s="244"/>
      <c r="D97" s="380"/>
      <c r="E97" s="330"/>
      <c r="F97" s="330"/>
      <c r="G97" s="330"/>
      <c r="H97" s="330"/>
      <c r="I97" s="244"/>
      <c r="J97" s="244"/>
      <c r="K97" s="330"/>
      <c r="L97" s="330"/>
      <c r="M97" s="330"/>
      <c r="N97" s="330"/>
      <c r="O97" s="330"/>
      <c r="P97" s="330"/>
      <c r="Q97" s="330"/>
      <c r="R97" s="330"/>
      <c r="S97" s="330"/>
      <c r="T97" s="330"/>
      <c r="U97" s="330"/>
      <c r="V97" s="330"/>
      <c r="W97" s="330"/>
      <c r="X97" s="330"/>
      <c r="Y97" s="271"/>
      <c r="Z97" s="271"/>
      <c r="AA97" s="271"/>
      <c r="AB97" s="271"/>
      <c r="AC97" s="271"/>
      <c r="AD97" s="271"/>
      <c r="AE97" s="271"/>
      <c r="AF97" s="271"/>
      <c r="AG97" s="271"/>
      <c r="AH97" s="271"/>
      <c r="AI97" s="271"/>
      <c r="AJ97" s="271"/>
      <c r="AK97" s="330"/>
      <c r="AL97" s="271"/>
      <c r="AN97" s="189"/>
      <c r="AO97" s="189"/>
      <c r="AP97" s="189"/>
      <c r="AQ97" s="189"/>
      <c r="AV97" s="385"/>
    </row>
    <row r="98" spans="1:48">
      <c r="A98" s="359" t="s">
        <v>786</v>
      </c>
      <c r="B98" s="359"/>
      <c r="C98" s="228"/>
      <c r="D98" s="381"/>
      <c r="U98" s="139"/>
      <c r="V98" s="139"/>
      <c r="W98" s="200"/>
      <c r="X98" s="200"/>
      <c r="Y98" s="139"/>
      <c r="Z98" s="289"/>
      <c r="AA98" s="289"/>
      <c r="AB98" s="289"/>
      <c r="AC98" s="289"/>
      <c r="AD98" s="289"/>
      <c r="AE98" s="289"/>
      <c r="AF98" s="289"/>
      <c r="AG98" s="289"/>
      <c r="AH98" s="289"/>
      <c r="AI98" s="289"/>
      <c r="AJ98" s="289"/>
      <c r="AL98" s="330"/>
      <c r="AM98" s="172"/>
      <c r="AN98" s="164"/>
      <c r="AO98" s="189"/>
      <c r="AP98" s="172"/>
      <c r="AQ98" s="172"/>
      <c r="AV98" s="13"/>
    </row>
    <row r="99" spans="1:48" s="237" customFormat="1">
      <c r="A99" s="237" t="s">
        <v>787</v>
      </c>
      <c r="B99" s="359"/>
      <c r="C99" s="228"/>
      <c r="D99" s="381"/>
      <c r="U99" s="330"/>
      <c r="V99" s="330"/>
      <c r="W99" s="289"/>
      <c r="X99" s="289"/>
      <c r="Y99" s="330"/>
      <c r="Z99" s="289"/>
      <c r="AA99" s="289"/>
      <c r="AB99" s="289"/>
      <c r="AC99" s="289"/>
      <c r="AD99" s="289"/>
      <c r="AE99" s="289"/>
      <c r="AF99" s="289"/>
      <c r="AG99" s="289"/>
      <c r="AH99" s="289"/>
      <c r="AI99" s="289"/>
      <c r="AJ99" s="289"/>
      <c r="AL99" s="330"/>
      <c r="AM99" s="172"/>
      <c r="AN99" s="164"/>
      <c r="AO99" s="189"/>
      <c r="AP99" s="172"/>
      <c r="AQ99" s="172"/>
      <c r="AV99" s="13"/>
    </row>
    <row r="100" spans="1:48">
      <c r="D100" s="382"/>
      <c r="F100" s="229"/>
      <c r="H100" s="229"/>
      <c r="J100" s="229"/>
      <c r="L100" s="229"/>
      <c r="N100" s="229"/>
      <c r="P100" s="229"/>
      <c r="R100" s="229"/>
      <c r="T100" s="229"/>
      <c r="V100" s="229"/>
      <c r="W100" s="210"/>
      <c r="X100" s="229"/>
      <c r="Y100" s="138"/>
      <c r="Z100" s="229"/>
      <c r="AA100" s="238"/>
      <c r="AB100" s="458"/>
      <c r="AC100" s="458"/>
      <c r="AD100" s="1660"/>
      <c r="AE100" s="458"/>
      <c r="AF100" s="458"/>
      <c r="AG100" s="458"/>
      <c r="AH100" s="458"/>
      <c r="AI100" s="458"/>
      <c r="AJ100" s="238"/>
      <c r="AL100" s="238"/>
      <c r="AM100" s="229"/>
      <c r="AN100" s="231"/>
      <c r="AO100" s="172"/>
      <c r="AP100" s="231"/>
      <c r="AQ100" s="172"/>
      <c r="AV100" s="13"/>
    </row>
    <row r="101" spans="1:48">
      <c r="D101" s="329"/>
      <c r="F101" s="229"/>
      <c r="G101" s="229"/>
      <c r="H101" s="229"/>
      <c r="I101" s="229"/>
      <c r="J101" s="229"/>
      <c r="K101" s="229"/>
      <c r="L101" s="229"/>
      <c r="M101" s="229"/>
      <c r="N101" s="229"/>
      <c r="O101" s="229"/>
      <c r="P101" s="229"/>
      <c r="Q101" s="229"/>
      <c r="R101" s="229"/>
      <c r="S101" s="229"/>
      <c r="T101" s="229"/>
      <c r="U101" s="229"/>
      <c r="V101" s="229"/>
      <c r="W101" s="229"/>
      <c r="X101" s="238"/>
      <c r="Y101" s="229"/>
      <c r="Z101" s="238"/>
      <c r="AA101" s="238"/>
      <c r="AB101" s="238"/>
      <c r="AC101" s="238"/>
      <c r="AD101" s="238"/>
      <c r="AE101" s="238"/>
      <c r="AF101" s="238"/>
      <c r="AG101" s="238"/>
      <c r="AH101" s="238"/>
      <c r="AI101" s="238"/>
      <c r="AJ101" s="238"/>
      <c r="AK101" s="238"/>
      <c r="AL101" s="238"/>
      <c r="AN101" s="231"/>
      <c r="AO101" s="172"/>
      <c r="AP101" s="231"/>
      <c r="AQ101" s="172"/>
      <c r="AV101" s="13"/>
    </row>
    <row r="102" spans="1:48">
      <c r="C102" s="384"/>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3"/>
      <c r="Z102" s="383"/>
      <c r="AA102" s="383"/>
      <c r="AB102" s="383"/>
      <c r="AC102" s="239"/>
      <c r="AD102" s="1661"/>
      <c r="AE102" s="383"/>
      <c r="AF102" s="383"/>
      <c r="AG102" s="383"/>
      <c r="AH102" s="383"/>
      <c r="AI102" s="383"/>
      <c r="AJ102" s="383"/>
      <c r="AN102" s="231"/>
      <c r="AO102" s="172"/>
      <c r="AP102" s="231"/>
      <c r="AQ102" s="172"/>
      <c r="AV102" s="13"/>
    </row>
    <row r="103" spans="1:48">
      <c r="C103" s="384"/>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N103" s="231"/>
      <c r="AO103" s="172"/>
      <c r="AP103" s="231"/>
      <c r="AQ103" s="172"/>
    </row>
    <row r="104" spans="1:48">
      <c r="G104" s="200"/>
      <c r="H104" s="200"/>
      <c r="AJ104" s="238"/>
      <c r="AN104" s="231"/>
      <c r="AO104" s="172"/>
      <c r="AP104" s="231"/>
    </row>
    <row r="105" spans="1:48">
      <c r="G105" s="200"/>
      <c r="H105" s="230"/>
      <c r="Z105" s="383"/>
      <c r="AL105" s="238"/>
      <c r="AN105" s="172"/>
      <c r="AO105" s="172"/>
      <c r="AP105" s="229"/>
    </row>
    <row r="106" spans="1:48">
      <c r="G106" s="200"/>
      <c r="H106" s="231"/>
      <c r="U106" s="200"/>
      <c r="V106" s="200"/>
      <c r="Y106" s="200"/>
      <c r="Z106" s="200"/>
      <c r="AA106" s="289"/>
      <c r="AB106" s="289"/>
      <c r="AC106" s="289"/>
      <c r="AD106" s="289"/>
      <c r="AE106" s="289"/>
      <c r="AF106" s="289"/>
      <c r="AG106" s="289"/>
      <c r="AH106" s="289"/>
      <c r="AI106" s="289"/>
      <c r="AJ106" s="289"/>
      <c r="AK106" s="172"/>
      <c r="AN106" s="172"/>
    </row>
    <row r="107" spans="1:48">
      <c r="G107" s="200"/>
      <c r="H107" s="230"/>
      <c r="U107" s="200"/>
      <c r="V107" s="200"/>
      <c r="Y107" s="200"/>
      <c r="Z107" s="200"/>
      <c r="AA107" s="289"/>
      <c r="AB107" s="289"/>
      <c r="AC107" s="289"/>
      <c r="AD107" s="289"/>
      <c r="AE107" s="289"/>
      <c r="AF107" s="289"/>
      <c r="AG107" s="289"/>
      <c r="AH107" s="289"/>
      <c r="AI107" s="289"/>
      <c r="AJ107" s="289"/>
      <c r="AK107" s="172"/>
      <c r="AN107" s="229"/>
      <c r="AP107" s="229"/>
    </row>
    <row r="108" spans="1:48">
      <c r="G108" s="200"/>
      <c r="H108" s="230"/>
      <c r="U108" s="139"/>
      <c r="V108" s="139"/>
      <c r="Y108" s="232"/>
      <c r="Z108" s="232"/>
      <c r="AA108" s="271"/>
      <c r="AB108" s="271"/>
      <c r="AC108" s="271"/>
      <c r="AD108" s="271"/>
      <c r="AE108" s="271"/>
      <c r="AF108" s="271"/>
      <c r="AG108" s="271"/>
      <c r="AH108" s="271"/>
      <c r="AI108" s="271"/>
      <c r="AJ108" s="271"/>
      <c r="AK108" s="172"/>
    </row>
    <row r="109" spans="1:48">
      <c r="G109" s="232"/>
      <c r="H109" s="230"/>
      <c r="AN109" s="229"/>
      <c r="AP109" s="229"/>
    </row>
    <row r="110" spans="1:48">
      <c r="G110" s="139"/>
      <c r="H110" s="139"/>
    </row>
    <row r="111" spans="1:48">
      <c r="G111" s="139"/>
      <c r="H111" s="139"/>
      <c r="W111" s="200"/>
      <c r="X111" s="200"/>
      <c r="AN111" s="229"/>
      <c r="AP111" s="229"/>
    </row>
    <row r="112" spans="1:48">
      <c r="G112" s="139"/>
      <c r="H112" s="139"/>
      <c r="W112" s="200"/>
      <c r="X112" s="200"/>
    </row>
    <row r="113" spans="6:42">
      <c r="G113" s="139"/>
      <c r="H113" s="138"/>
      <c r="W113" s="232"/>
      <c r="X113" s="232"/>
      <c r="AP113" s="229"/>
    </row>
    <row r="114" spans="6:42">
      <c r="G114" s="138"/>
      <c r="H114" s="233"/>
    </row>
    <row r="115" spans="6:42">
      <c r="G115" s="138"/>
      <c r="H115" s="138"/>
      <c r="AP115" s="229"/>
    </row>
    <row r="116" spans="6:42">
      <c r="G116" s="138"/>
      <c r="H116" s="138"/>
    </row>
    <row r="118" spans="6:42">
      <c r="AP118" s="229"/>
    </row>
    <row r="124" spans="6:42">
      <c r="F124" s="200"/>
      <c r="G124" s="208"/>
      <c r="H124" s="200"/>
      <c r="I124" s="200"/>
      <c r="J124" s="200"/>
    </row>
  </sheetData>
  <mergeCells count="18">
    <mergeCell ref="C7:D7"/>
    <mergeCell ref="Q7:R7"/>
    <mergeCell ref="S7:T7"/>
    <mergeCell ref="U7:V7"/>
    <mergeCell ref="W7:X7"/>
    <mergeCell ref="AK7:AL7"/>
    <mergeCell ref="Y7:Z7"/>
    <mergeCell ref="O7:P7"/>
    <mergeCell ref="E7:F7"/>
    <mergeCell ref="G7:H7"/>
    <mergeCell ref="I7:J7"/>
    <mergeCell ref="K7:L7"/>
    <mergeCell ref="M7:N7"/>
    <mergeCell ref="AA7:AB7"/>
    <mergeCell ref="AC7:AD7"/>
    <mergeCell ref="AE7:AF7"/>
    <mergeCell ref="AG7:AH7"/>
    <mergeCell ref="AI7:AJ7"/>
  </mergeCells>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2:AP227"/>
  <sheetViews>
    <sheetView showGridLines="0" workbookViewId="0">
      <pane xSplit="2" ySplit="9" topLeftCell="AG64" activePane="bottomRight" state="frozen"/>
      <selection activeCell="AJ2" sqref="AJ2"/>
      <selection pane="topRight" activeCell="AJ2" sqref="AJ2"/>
      <selection pane="bottomLeft" activeCell="AJ2" sqref="AJ2"/>
      <selection pane="bottomRight" activeCell="AJ2" sqref="AJ2"/>
    </sheetView>
  </sheetViews>
  <sheetFormatPr defaultRowHeight="15"/>
  <cols>
    <col min="1" max="1" width="78" style="161" bestFit="1" customWidth="1"/>
    <col min="2" max="2" width="6.85546875" style="161" bestFit="1" customWidth="1"/>
    <col min="3" max="3" width="19.7109375" style="161" bestFit="1" customWidth="1"/>
    <col min="4" max="4" width="20.42578125" style="161" bestFit="1" customWidth="1"/>
    <col min="5" max="5" width="19.7109375" style="161" bestFit="1" customWidth="1"/>
    <col min="6" max="6" width="20.42578125" style="161" bestFit="1" customWidth="1"/>
    <col min="7" max="7" width="19.7109375" style="161" bestFit="1" customWidth="1"/>
    <col min="8" max="8" width="20.42578125" style="161" bestFit="1" customWidth="1"/>
    <col min="9" max="9" width="19.7109375" style="161" bestFit="1" customWidth="1"/>
    <col min="10" max="10" width="20.42578125" style="161" bestFit="1" customWidth="1"/>
    <col min="11" max="11" width="19.7109375" style="161" bestFit="1" customWidth="1"/>
    <col min="12" max="12" width="20.42578125" style="161" bestFit="1" customWidth="1"/>
    <col min="13" max="13" width="19.7109375" style="161" bestFit="1" customWidth="1"/>
    <col min="14" max="14" width="20.42578125" style="161" bestFit="1" customWidth="1"/>
    <col min="15" max="15" width="19.7109375" style="161" bestFit="1" customWidth="1"/>
    <col min="16" max="16" width="20.42578125" style="161" bestFit="1" customWidth="1"/>
    <col min="17" max="17" width="19.7109375" style="161" bestFit="1" customWidth="1"/>
    <col min="18" max="18" width="20.42578125" style="161" bestFit="1" customWidth="1"/>
    <col min="19" max="19" width="19.7109375" style="307" bestFit="1" customWidth="1"/>
    <col min="20" max="20" width="20.42578125" style="307" bestFit="1" customWidth="1"/>
    <col min="21" max="21" width="19.7109375" style="161" bestFit="1" customWidth="1"/>
    <col min="22" max="22" width="20.42578125" style="161" bestFit="1" customWidth="1"/>
    <col min="23" max="23" width="19.7109375" style="161" bestFit="1" customWidth="1"/>
    <col min="24" max="24" width="20.42578125" style="161" bestFit="1" customWidth="1"/>
    <col min="25" max="25" width="19.7109375" style="161" bestFit="1" customWidth="1"/>
    <col min="26" max="26" width="20.42578125" style="161" bestFit="1" customWidth="1"/>
    <col min="27" max="27" width="19.7109375" style="161" bestFit="1" customWidth="1"/>
    <col min="28" max="28" width="20.42578125" style="161" bestFit="1" customWidth="1"/>
    <col min="29" max="29" width="19.7109375" style="161" bestFit="1" customWidth="1"/>
    <col min="30" max="30" width="20.42578125" style="161" bestFit="1" customWidth="1"/>
    <col min="31" max="31" width="17.7109375" style="91" bestFit="1" customWidth="1"/>
    <col min="32" max="32" width="20.42578125" style="91" bestFit="1" customWidth="1"/>
    <col min="33" max="33" width="19.7109375" style="91" bestFit="1" customWidth="1"/>
    <col min="34" max="34" width="20.42578125" style="91" bestFit="1" customWidth="1"/>
    <col min="35" max="35" width="17.7109375" style="91" bestFit="1" customWidth="1"/>
    <col min="36" max="36" width="20.42578125" style="91" bestFit="1" customWidth="1"/>
    <col min="37" max="37" width="19.7109375" style="91" bestFit="1" customWidth="1"/>
    <col min="38" max="38" width="20.42578125" style="91" bestFit="1" customWidth="1"/>
    <col min="39" max="39" width="19.7109375" style="91" bestFit="1" customWidth="1"/>
    <col min="40" max="40" width="20.42578125" style="91" bestFit="1" customWidth="1"/>
    <col min="41" max="41" width="9.140625" style="91"/>
    <col min="42" max="42" width="11.140625" style="91" bestFit="1" customWidth="1"/>
    <col min="43" max="16384" width="9.140625" style="91"/>
  </cols>
  <sheetData>
    <row r="2" spans="1:42">
      <c r="K2" s="357"/>
    </row>
    <row r="3" spans="1:42">
      <c r="AG3" s="237"/>
    </row>
    <row r="5" spans="1:42">
      <c r="A5" s="436" t="s">
        <v>741</v>
      </c>
      <c r="B5" s="330"/>
      <c r="C5" s="330"/>
      <c r="D5" s="330"/>
      <c r="E5" s="330"/>
      <c r="F5" s="330"/>
      <c r="G5" s="330"/>
      <c r="H5" s="330"/>
      <c r="I5" s="330"/>
      <c r="J5" s="330"/>
      <c r="K5" s="330"/>
      <c r="L5" s="330"/>
      <c r="M5" s="330"/>
      <c r="N5" s="330"/>
      <c r="O5" s="330"/>
      <c r="P5" s="330"/>
      <c r="Q5" s="330"/>
      <c r="R5" s="330"/>
      <c r="S5" s="281"/>
      <c r="T5" s="281"/>
      <c r="U5" s="330"/>
      <c r="V5" s="330"/>
      <c r="W5" s="330"/>
      <c r="X5" s="330"/>
      <c r="Y5" s="330"/>
      <c r="Z5" s="330"/>
      <c r="AA5" s="330"/>
      <c r="AB5" s="330"/>
      <c r="AC5" s="330"/>
      <c r="AD5" s="330"/>
      <c r="AG5" s="131"/>
      <c r="AH5" s="131"/>
      <c r="AI5" s="131"/>
      <c r="AJ5" s="131"/>
    </row>
    <row r="6" spans="1:42">
      <c r="A6" s="330"/>
      <c r="B6" s="330"/>
      <c r="C6" s="330"/>
      <c r="D6" s="330"/>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c r="AL6" s="330"/>
      <c r="AM6" s="330"/>
      <c r="AN6" s="330"/>
    </row>
    <row r="7" spans="1:42">
      <c r="A7" s="351"/>
      <c r="B7" s="351"/>
      <c r="C7" s="1968" t="s">
        <v>475</v>
      </c>
      <c r="D7" s="1968"/>
      <c r="E7" s="1968" t="s">
        <v>476</v>
      </c>
      <c r="F7" s="1968"/>
      <c r="G7" s="1968" t="s">
        <v>477</v>
      </c>
      <c r="H7" s="1968"/>
      <c r="I7" s="1968" t="s">
        <v>478</v>
      </c>
      <c r="J7" s="1968"/>
      <c r="K7" s="1968" t="s">
        <v>479</v>
      </c>
      <c r="L7" s="1968"/>
      <c r="M7" s="1968" t="s">
        <v>480</v>
      </c>
      <c r="N7" s="1968"/>
      <c r="O7" s="1968" t="s">
        <v>481</v>
      </c>
      <c r="P7" s="1968"/>
      <c r="Q7" s="1968" t="s">
        <v>482</v>
      </c>
      <c r="R7" s="1968"/>
      <c r="S7" s="1968" t="s">
        <v>483</v>
      </c>
      <c r="T7" s="1968"/>
      <c r="U7" s="1968" t="s">
        <v>484</v>
      </c>
      <c r="V7" s="1968"/>
      <c r="W7" s="1968" t="s">
        <v>485</v>
      </c>
      <c r="X7" s="1968"/>
      <c r="Y7" s="1968" t="s">
        <v>486</v>
      </c>
      <c r="Z7" s="1968"/>
      <c r="AA7" s="1968" t="s">
        <v>487</v>
      </c>
      <c r="AB7" s="1968"/>
      <c r="AC7" s="1968" t="s">
        <v>488</v>
      </c>
      <c r="AD7" s="1968"/>
      <c r="AE7" s="1968" t="s">
        <v>489</v>
      </c>
      <c r="AF7" s="1968"/>
      <c r="AG7" s="1968" t="s">
        <v>490</v>
      </c>
      <c r="AH7" s="1968"/>
      <c r="AI7" s="1968" t="s">
        <v>491</v>
      </c>
      <c r="AJ7" s="1968"/>
      <c r="AK7" s="1968" t="s">
        <v>492</v>
      </c>
      <c r="AL7" s="1968"/>
      <c r="AM7" s="1968" t="s">
        <v>493</v>
      </c>
      <c r="AN7" s="1968"/>
    </row>
    <row r="8" spans="1:42">
      <c r="A8" s="360" t="s">
        <v>154</v>
      </c>
      <c r="B8" s="1156" t="s">
        <v>155</v>
      </c>
      <c r="C8" s="1177" t="str">
        <f>CONCATENATE(C7, " Quantity")</f>
        <v>1984-85 Quantity</v>
      </c>
      <c r="D8" s="1176" t="str">
        <f>CONCATENATE(C7, " Value $")</f>
        <v>1984-85 Value $</v>
      </c>
      <c r="E8" s="1177" t="str">
        <f t="shared" ref="E8" si="0">CONCATENATE(E7, " Quantity")</f>
        <v>1985-86 Quantity</v>
      </c>
      <c r="F8" s="1176" t="str">
        <f t="shared" ref="F8" si="1">CONCATENATE(E7, " Value $")</f>
        <v>1985-86 Value $</v>
      </c>
      <c r="G8" s="1177" t="str">
        <f t="shared" ref="G8" si="2">CONCATENATE(G7, " Quantity")</f>
        <v>1986-87 Quantity</v>
      </c>
      <c r="H8" s="1176" t="str">
        <f t="shared" ref="H8" si="3">CONCATENATE(G7, " Value $")</f>
        <v>1986-87 Value $</v>
      </c>
      <c r="I8" s="1177" t="str">
        <f t="shared" ref="I8" si="4">CONCATENATE(I7, " Quantity")</f>
        <v>1987-88 Quantity</v>
      </c>
      <c r="J8" s="1176" t="str">
        <f t="shared" ref="J8" si="5">CONCATENATE(I7, " Value $")</f>
        <v>1987-88 Value $</v>
      </c>
      <c r="K8" s="1177" t="str">
        <f t="shared" ref="K8" si="6">CONCATENATE(K7, " Quantity")</f>
        <v>1988-89 Quantity</v>
      </c>
      <c r="L8" s="1176" t="str">
        <f t="shared" ref="L8" si="7">CONCATENATE(K7, " Value $")</f>
        <v>1988-89 Value $</v>
      </c>
      <c r="M8" s="1177" t="str">
        <f t="shared" ref="M8" si="8">CONCATENATE(M7, " Quantity")</f>
        <v>1989-90 Quantity</v>
      </c>
      <c r="N8" s="1176" t="str">
        <f t="shared" ref="N8" si="9">CONCATENATE(M7, " Value $")</f>
        <v>1989-90 Value $</v>
      </c>
      <c r="O8" s="1177" t="str">
        <f t="shared" ref="O8" si="10">CONCATENATE(O7, " Quantity")</f>
        <v>1990-91 Quantity</v>
      </c>
      <c r="P8" s="1176" t="str">
        <f t="shared" ref="P8" si="11">CONCATENATE(O7, " Value $")</f>
        <v>1990-91 Value $</v>
      </c>
      <c r="Q8" s="1177" t="str">
        <f t="shared" ref="Q8" si="12">CONCATENATE(Q7, " Quantity")</f>
        <v>1991-92 Quantity</v>
      </c>
      <c r="R8" s="1176" t="str">
        <f t="shared" ref="R8" si="13">CONCATENATE(Q7, " Value $")</f>
        <v>1991-92 Value $</v>
      </c>
      <c r="S8" s="1177" t="str">
        <f t="shared" ref="S8" si="14">CONCATENATE(S7, " Quantity")</f>
        <v>1992-93 Quantity</v>
      </c>
      <c r="T8" s="1176" t="str">
        <f t="shared" ref="T8" si="15">CONCATENATE(S7, " Value $")</f>
        <v>1992-93 Value $</v>
      </c>
      <c r="U8" s="1177" t="str">
        <f t="shared" ref="U8" si="16">CONCATENATE(U7, " Quantity")</f>
        <v>1993-94 Quantity</v>
      </c>
      <c r="V8" s="1176" t="str">
        <f t="shared" ref="V8" si="17">CONCATENATE(U7, " Value $")</f>
        <v>1993-94 Value $</v>
      </c>
      <c r="W8" s="1177" t="str">
        <f t="shared" ref="W8" si="18">CONCATENATE(W7, " Quantity")</f>
        <v>1994-95 Quantity</v>
      </c>
      <c r="X8" s="1176" t="str">
        <f t="shared" ref="X8" si="19">CONCATENATE(W7, " Value $")</f>
        <v>1994-95 Value $</v>
      </c>
      <c r="Y8" s="1177" t="str">
        <f t="shared" ref="Y8" si="20">CONCATENATE(Y7, " Quantity")</f>
        <v>1995-96 Quantity</v>
      </c>
      <c r="Z8" s="1176" t="str">
        <f t="shared" ref="Z8" si="21">CONCATENATE(Y7, " Value $")</f>
        <v>1995-96 Value $</v>
      </c>
      <c r="AA8" s="1177" t="str">
        <f t="shared" ref="AA8" si="22">CONCATENATE(AA7, " Quantity")</f>
        <v>1996-97 Quantity</v>
      </c>
      <c r="AB8" s="1176" t="str">
        <f t="shared" ref="AB8" si="23">CONCATENATE(AA7, " Value $")</f>
        <v>1996-97 Value $</v>
      </c>
      <c r="AC8" s="1177" t="str">
        <f t="shared" ref="AC8" si="24">CONCATENATE(AC7, " Quantity")</f>
        <v>1997-98 Quantity</v>
      </c>
      <c r="AD8" s="1176" t="str">
        <f t="shared" ref="AD8" si="25">CONCATENATE(AC7, " Value $")</f>
        <v>1997-98 Value $</v>
      </c>
      <c r="AE8" s="1177" t="str">
        <f t="shared" ref="AE8" si="26">CONCATENATE(AE7, " Quantity")</f>
        <v>1998-99 Quantity</v>
      </c>
      <c r="AF8" s="1176" t="str">
        <f t="shared" ref="AF8" si="27">CONCATENATE(AE7, " Value $")</f>
        <v>1998-99 Value $</v>
      </c>
      <c r="AG8" s="1177" t="str">
        <f t="shared" ref="AG8" si="28">CONCATENATE(AG7, " Quantity")</f>
        <v>1999-00 Quantity</v>
      </c>
      <c r="AH8" s="1176" t="str">
        <f t="shared" ref="AH8" si="29">CONCATENATE(AG7, " Value $")</f>
        <v>1999-00 Value $</v>
      </c>
      <c r="AI8" s="1177" t="str">
        <f t="shared" ref="AI8" si="30">CONCATENATE(AI7, " Quantity")</f>
        <v>2000-01 Quantity</v>
      </c>
      <c r="AJ8" s="1176" t="str">
        <f t="shared" ref="AJ8" si="31">CONCATENATE(AI7, " Value $")</f>
        <v>2000-01 Value $</v>
      </c>
      <c r="AK8" s="1177" t="str">
        <f t="shared" ref="AK8" si="32">CONCATENATE(AK7, " Quantity")</f>
        <v>2001-02 Quantity</v>
      </c>
      <c r="AL8" s="1176" t="str">
        <f t="shared" ref="AL8" si="33">CONCATENATE(AK7, " Value $")</f>
        <v>2001-02 Value $</v>
      </c>
      <c r="AM8" s="1177" t="str">
        <f t="shared" ref="AM8" si="34">CONCATENATE(AM7, " Quantity")</f>
        <v>2002-03 Quantity</v>
      </c>
      <c r="AN8" s="1176" t="str">
        <f t="shared" ref="AN8" si="35">CONCATENATE(AM7, " Value $")</f>
        <v>2002-03 Value $</v>
      </c>
    </row>
    <row r="9" spans="1:42">
      <c r="A9" s="1156"/>
      <c r="B9" s="1156"/>
      <c r="C9" s="1935"/>
      <c r="D9" s="1935"/>
      <c r="E9" s="1935"/>
      <c r="F9" s="1935"/>
      <c r="G9" s="1935"/>
      <c r="H9" s="1935"/>
      <c r="I9" s="1935"/>
      <c r="J9" s="1935"/>
      <c r="K9" s="1935"/>
      <c r="L9" s="1935"/>
      <c r="M9" s="1935"/>
      <c r="N9" s="1936"/>
      <c r="O9" s="1935"/>
      <c r="P9" s="1935"/>
      <c r="Q9" s="1935"/>
      <c r="R9" s="1935"/>
      <c r="S9" s="1937"/>
      <c r="T9" s="1937"/>
      <c r="U9" s="1935"/>
      <c r="V9" s="1935"/>
      <c r="W9" s="1935"/>
      <c r="X9" s="1935"/>
      <c r="Y9" s="1935"/>
      <c r="Z9" s="1935"/>
      <c r="AA9" s="1935"/>
      <c r="AB9" s="1935"/>
      <c r="AC9" s="1935"/>
      <c r="AD9" s="1935"/>
      <c r="AE9" s="1938"/>
      <c r="AF9" s="1939"/>
      <c r="AG9" s="1940"/>
      <c r="AH9" s="1935"/>
      <c r="AI9" s="1940"/>
      <c r="AJ9" s="1935"/>
      <c r="AK9" s="1933"/>
      <c r="AL9" s="1934"/>
      <c r="AM9" s="358"/>
      <c r="AN9" s="358"/>
    </row>
    <row r="10" spans="1:42">
      <c r="A10" s="365" t="s">
        <v>468</v>
      </c>
      <c r="B10" s="353"/>
      <c r="C10" s="1279"/>
      <c r="D10" s="1279"/>
      <c r="E10" s="1279"/>
      <c r="F10" s="1279"/>
      <c r="G10" s="1279"/>
      <c r="H10" s="1279"/>
      <c r="I10" s="1279"/>
      <c r="J10" s="1279"/>
      <c r="K10" s="1279"/>
      <c r="L10" s="1279"/>
      <c r="M10" s="1279"/>
      <c r="N10" s="1279"/>
      <c r="O10" s="1279"/>
      <c r="P10" s="1279"/>
      <c r="Q10" s="1279"/>
      <c r="R10" s="1279"/>
      <c r="S10" s="1279"/>
      <c r="T10" s="1279"/>
      <c r="U10" s="1279"/>
      <c r="V10" s="1279"/>
      <c r="W10" s="1279"/>
      <c r="X10" s="1279"/>
      <c r="Y10" s="1279"/>
      <c r="Z10" s="1279"/>
      <c r="AA10" s="1178"/>
      <c r="AB10" s="1178"/>
      <c r="AC10" s="1178"/>
      <c r="AD10" s="1178"/>
      <c r="AE10" s="1280"/>
      <c r="AF10" s="1281"/>
      <c r="AG10" s="1178"/>
      <c r="AH10" s="1178"/>
      <c r="AI10" s="1178"/>
      <c r="AJ10" s="1178"/>
      <c r="AK10" s="1282"/>
      <c r="AL10" s="1282"/>
      <c r="AM10" s="1282"/>
      <c r="AN10" s="1282"/>
    </row>
    <row r="11" spans="1:42">
      <c r="A11" s="368" t="s">
        <v>0</v>
      </c>
      <c r="B11" s="353" t="s">
        <v>87</v>
      </c>
      <c r="C11" s="1279">
        <v>5326982</v>
      </c>
      <c r="D11" s="1279">
        <v>1056839641</v>
      </c>
      <c r="E11" s="1279">
        <v>5430555</v>
      </c>
      <c r="F11" s="1279">
        <v>1029283528</v>
      </c>
      <c r="G11" s="1279">
        <v>5727327</v>
      </c>
      <c r="H11" s="1279">
        <v>1090879157</v>
      </c>
      <c r="I11" s="1280">
        <v>6063130</v>
      </c>
      <c r="J11" s="1280">
        <v>1182997535</v>
      </c>
      <c r="K11" s="1280">
        <v>6171962</v>
      </c>
      <c r="L11" s="1280">
        <v>1619228331</v>
      </c>
      <c r="M11" s="1280">
        <v>6651028</v>
      </c>
      <c r="N11" s="1280">
        <v>2335697184</v>
      </c>
      <c r="O11" s="1279">
        <v>6800451</v>
      </c>
      <c r="P11" s="1279">
        <v>2099125726</v>
      </c>
      <c r="Q11" s="1279">
        <v>7129199</v>
      </c>
      <c r="R11" s="1279">
        <v>1758150370</v>
      </c>
      <c r="S11" s="1279">
        <v>7547856</v>
      </c>
      <c r="T11" s="1279">
        <v>1818116459</v>
      </c>
      <c r="U11" s="1279">
        <v>7830064</v>
      </c>
      <c r="V11" s="1279">
        <v>1784319220</v>
      </c>
      <c r="W11" s="1279">
        <v>7906987</v>
      </c>
      <c r="X11" s="1279">
        <v>1684604310</v>
      </c>
      <c r="Y11" s="1279">
        <v>8232135</v>
      </c>
      <c r="Z11" s="1280">
        <v>1918337128</v>
      </c>
      <c r="AA11" s="1280">
        <v>8347933</v>
      </c>
      <c r="AB11" s="1280">
        <v>1955770170</v>
      </c>
      <c r="AC11" s="1280">
        <v>8514673</v>
      </c>
      <c r="AD11" s="1280">
        <v>2260538170</v>
      </c>
      <c r="AE11" s="1280">
        <v>8864125</v>
      </c>
      <c r="AF11" s="1280">
        <v>2367032747.3600001</v>
      </c>
      <c r="AG11" s="1280">
        <v>9354252</v>
      </c>
      <c r="AH11" s="1280">
        <v>2657894317</v>
      </c>
      <c r="AI11" s="1279">
        <v>10479429</v>
      </c>
      <c r="AJ11" s="1279">
        <v>3600668963</v>
      </c>
      <c r="AK11" s="1279">
        <v>10856507</v>
      </c>
      <c r="AL11" s="1279">
        <v>3584378494</v>
      </c>
      <c r="AM11" s="1279">
        <v>11132187</v>
      </c>
      <c r="AN11" s="1279">
        <v>3204651644</v>
      </c>
      <c r="AP11" s="348"/>
    </row>
    <row r="12" spans="1:42">
      <c r="A12" s="368" t="s">
        <v>159</v>
      </c>
      <c r="B12" s="353" t="s">
        <v>160</v>
      </c>
      <c r="C12" s="1280">
        <v>0</v>
      </c>
      <c r="D12" s="1280">
        <v>0</v>
      </c>
      <c r="E12" s="1280">
        <v>0</v>
      </c>
      <c r="F12" s="1280">
        <v>0</v>
      </c>
      <c r="G12" s="1280">
        <v>0</v>
      </c>
      <c r="H12" s="1280">
        <v>0</v>
      </c>
      <c r="I12" s="1280">
        <v>0</v>
      </c>
      <c r="J12" s="1280">
        <v>0</v>
      </c>
      <c r="K12" s="1280">
        <v>1767</v>
      </c>
      <c r="L12" s="1280">
        <v>60641</v>
      </c>
      <c r="M12" s="1279">
        <v>42986</v>
      </c>
      <c r="N12" s="1279">
        <v>1454998</v>
      </c>
      <c r="O12" s="1279">
        <v>8481</v>
      </c>
      <c r="P12" s="1279">
        <v>267377</v>
      </c>
      <c r="Q12" s="1279">
        <v>0</v>
      </c>
      <c r="R12" s="1279">
        <v>0</v>
      </c>
      <c r="S12" s="1279">
        <v>0</v>
      </c>
      <c r="T12" s="1279">
        <v>0</v>
      </c>
      <c r="U12" s="1279">
        <v>0</v>
      </c>
      <c r="V12" s="1279">
        <v>0</v>
      </c>
      <c r="W12" s="1279">
        <v>0</v>
      </c>
      <c r="X12" s="1279">
        <v>0</v>
      </c>
      <c r="Y12" s="1279">
        <v>5388</v>
      </c>
      <c r="Z12" s="1280">
        <v>2118702</v>
      </c>
      <c r="AA12" s="1280">
        <v>26745.768000000004</v>
      </c>
      <c r="AB12" s="1280">
        <v>10058746</v>
      </c>
      <c r="AC12" s="1280">
        <v>0</v>
      </c>
      <c r="AD12" s="1280">
        <v>0</v>
      </c>
      <c r="AE12" s="1280">
        <v>0</v>
      </c>
      <c r="AF12" s="1280">
        <v>0</v>
      </c>
      <c r="AG12" s="1280">
        <v>0</v>
      </c>
      <c r="AH12" s="1280">
        <v>0</v>
      </c>
      <c r="AI12" s="1280">
        <v>0</v>
      </c>
      <c r="AJ12" s="1280">
        <v>0</v>
      </c>
      <c r="AK12" s="1279">
        <v>0</v>
      </c>
      <c r="AL12" s="1279">
        <v>0</v>
      </c>
      <c r="AM12" s="1279">
        <v>0</v>
      </c>
      <c r="AN12" s="1279">
        <v>0</v>
      </c>
    </row>
    <row r="13" spans="1:42">
      <c r="A13" s="369" t="s">
        <v>736</v>
      </c>
      <c r="B13" s="353"/>
      <c r="C13" s="1279">
        <f>SUM(C11:C12)</f>
        <v>5326982</v>
      </c>
      <c r="D13" s="1279">
        <f>SUM(D11:D12)</f>
        <v>1056839641</v>
      </c>
      <c r="E13" s="1279">
        <f t="shared" ref="E13:AN13" si="36">SUM(E11:E12)</f>
        <v>5430555</v>
      </c>
      <c r="F13" s="1279">
        <f t="shared" si="36"/>
        <v>1029283528</v>
      </c>
      <c r="G13" s="1279">
        <f t="shared" si="36"/>
        <v>5727327</v>
      </c>
      <c r="H13" s="1279">
        <f t="shared" si="36"/>
        <v>1090879157</v>
      </c>
      <c r="I13" s="1279">
        <f t="shared" si="36"/>
        <v>6063130</v>
      </c>
      <c r="J13" s="1279">
        <f t="shared" si="36"/>
        <v>1182997535</v>
      </c>
      <c r="K13" s="1279">
        <f t="shared" si="36"/>
        <v>6173729</v>
      </c>
      <c r="L13" s="1279">
        <f t="shared" si="36"/>
        <v>1619288972</v>
      </c>
      <c r="M13" s="1279">
        <f t="shared" si="36"/>
        <v>6694014</v>
      </c>
      <c r="N13" s="1279">
        <f t="shared" si="36"/>
        <v>2337152182</v>
      </c>
      <c r="O13" s="1279">
        <f t="shared" si="36"/>
        <v>6808932</v>
      </c>
      <c r="P13" s="1279">
        <f t="shared" si="36"/>
        <v>2099393103</v>
      </c>
      <c r="Q13" s="1279">
        <f t="shared" si="36"/>
        <v>7129199</v>
      </c>
      <c r="R13" s="1279">
        <f t="shared" si="36"/>
        <v>1758150370</v>
      </c>
      <c r="S13" s="1279">
        <f t="shared" si="36"/>
        <v>7547856</v>
      </c>
      <c r="T13" s="1279">
        <f t="shared" si="36"/>
        <v>1818116459</v>
      </c>
      <c r="U13" s="1279">
        <f t="shared" si="36"/>
        <v>7830064</v>
      </c>
      <c r="V13" s="1279">
        <f t="shared" si="36"/>
        <v>1784319220</v>
      </c>
      <c r="W13" s="1279">
        <f t="shared" si="36"/>
        <v>7906987</v>
      </c>
      <c r="X13" s="1279">
        <f t="shared" si="36"/>
        <v>1684604310</v>
      </c>
      <c r="Y13" s="1279">
        <f t="shared" si="36"/>
        <v>8237523</v>
      </c>
      <c r="Z13" s="1279">
        <f t="shared" si="36"/>
        <v>1920455830</v>
      </c>
      <c r="AA13" s="1279">
        <f t="shared" si="36"/>
        <v>8374678.7680000002</v>
      </c>
      <c r="AB13" s="1279">
        <f t="shared" si="36"/>
        <v>1965828916</v>
      </c>
      <c r="AC13" s="1279">
        <f t="shared" si="36"/>
        <v>8514673</v>
      </c>
      <c r="AD13" s="1279">
        <f t="shared" si="36"/>
        <v>2260538170</v>
      </c>
      <c r="AE13" s="1279">
        <f t="shared" si="36"/>
        <v>8864125</v>
      </c>
      <c r="AF13" s="1279">
        <f t="shared" si="36"/>
        <v>2367032747.3600001</v>
      </c>
      <c r="AG13" s="1279">
        <f t="shared" si="36"/>
        <v>9354252</v>
      </c>
      <c r="AH13" s="1279">
        <f t="shared" si="36"/>
        <v>2657894317</v>
      </c>
      <c r="AI13" s="1279">
        <f t="shared" si="36"/>
        <v>10479429</v>
      </c>
      <c r="AJ13" s="1279">
        <f t="shared" si="36"/>
        <v>3600668963</v>
      </c>
      <c r="AK13" s="1279">
        <f t="shared" si="36"/>
        <v>10856507</v>
      </c>
      <c r="AL13" s="1279">
        <f t="shared" si="36"/>
        <v>3584378494</v>
      </c>
      <c r="AM13" s="1279">
        <f t="shared" si="36"/>
        <v>11132187</v>
      </c>
      <c r="AN13" s="1279">
        <f t="shared" si="36"/>
        <v>3204651644</v>
      </c>
    </row>
    <row r="14" spans="1:42">
      <c r="A14" s="355"/>
      <c r="B14" s="353"/>
      <c r="C14" s="1279"/>
      <c r="D14" s="1279"/>
      <c r="E14" s="1279"/>
      <c r="F14" s="1279"/>
      <c r="G14" s="1279"/>
      <c r="H14" s="1279"/>
      <c r="I14" s="1279"/>
      <c r="J14" s="1279"/>
      <c r="K14" s="1279"/>
      <c r="L14" s="1279"/>
      <c r="M14" s="1279"/>
      <c r="N14" s="1279"/>
      <c r="O14" s="1279"/>
      <c r="P14" s="1279"/>
      <c r="Q14" s="1279"/>
      <c r="R14" s="1279"/>
      <c r="S14" s="1279"/>
      <c r="T14" s="1279"/>
      <c r="U14" s="1279"/>
      <c r="V14" s="1279"/>
      <c r="W14" s="1279"/>
      <c r="X14" s="1279"/>
      <c r="Y14" s="1280"/>
      <c r="Z14" s="1279"/>
      <c r="AA14" s="1280"/>
      <c r="AB14" s="1280"/>
      <c r="AC14" s="1280"/>
      <c r="AD14" s="1280"/>
      <c r="AE14" s="1280"/>
      <c r="AF14" s="1280"/>
      <c r="AG14" s="1280"/>
      <c r="AH14" s="1280"/>
      <c r="AI14" s="1279"/>
      <c r="AJ14" s="1279"/>
      <c r="AK14" s="1279"/>
      <c r="AL14" s="1279"/>
      <c r="AM14" s="1279"/>
      <c r="AN14" s="1279"/>
    </row>
    <row r="15" spans="1:42">
      <c r="A15" s="366" t="s">
        <v>171</v>
      </c>
      <c r="B15" s="207" t="s">
        <v>87</v>
      </c>
      <c r="C15" s="307">
        <v>0</v>
      </c>
      <c r="D15" s="307">
        <v>0</v>
      </c>
      <c r="E15" s="307">
        <v>0</v>
      </c>
      <c r="F15" s="307">
        <v>0</v>
      </c>
      <c r="G15" s="307">
        <v>0</v>
      </c>
      <c r="H15" s="307">
        <v>0</v>
      </c>
      <c r="I15" s="307">
        <v>9669</v>
      </c>
      <c r="J15" s="307">
        <v>1160280</v>
      </c>
      <c r="K15" s="307">
        <v>0</v>
      </c>
      <c r="L15" s="307">
        <v>0</v>
      </c>
      <c r="M15" s="307">
        <v>7521</v>
      </c>
      <c r="N15" s="307">
        <v>1006603</v>
      </c>
      <c r="O15" s="1283">
        <v>0</v>
      </c>
      <c r="P15" s="1283">
        <v>0</v>
      </c>
      <c r="Q15" s="1283">
        <v>0</v>
      </c>
      <c r="R15" s="1283">
        <v>0</v>
      </c>
      <c r="S15" s="1283">
        <v>0</v>
      </c>
      <c r="T15" s="1283">
        <v>0</v>
      </c>
      <c r="U15" s="1283">
        <v>0</v>
      </c>
      <c r="V15" s="1283">
        <v>0</v>
      </c>
      <c r="W15" s="1283">
        <v>0</v>
      </c>
      <c r="X15" s="1283">
        <v>0</v>
      </c>
      <c r="Y15" s="1283">
        <v>0</v>
      </c>
      <c r="Z15" s="1283">
        <v>0</v>
      </c>
      <c r="AA15" s="1283">
        <v>0</v>
      </c>
      <c r="AB15" s="1283">
        <v>0</v>
      </c>
      <c r="AC15" s="1283">
        <v>0</v>
      </c>
      <c r="AD15" s="1283">
        <v>0</v>
      </c>
      <c r="AE15" s="1283">
        <v>0</v>
      </c>
      <c r="AF15" s="1283">
        <v>0</v>
      </c>
      <c r="AG15" s="1283">
        <v>0</v>
      </c>
      <c r="AH15" s="1283">
        <v>0</v>
      </c>
      <c r="AI15" s="1283">
        <v>0</v>
      </c>
      <c r="AJ15" s="1283">
        <v>0</v>
      </c>
      <c r="AK15" s="268">
        <v>0</v>
      </c>
      <c r="AL15" s="268">
        <v>0</v>
      </c>
      <c r="AM15" s="268">
        <v>0</v>
      </c>
      <c r="AN15" s="268">
        <v>0</v>
      </c>
    </row>
    <row r="16" spans="1:42">
      <c r="A16" s="280"/>
      <c r="B16" s="330"/>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49"/>
      <c r="AH16" s="249"/>
      <c r="AI16" s="249"/>
      <c r="AJ16" s="249"/>
      <c r="AK16" s="268"/>
      <c r="AL16" s="268"/>
      <c r="AM16" s="268"/>
      <c r="AN16" s="268"/>
    </row>
    <row r="17" spans="1:42">
      <c r="A17" s="545" t="s">
        <v>172</v>
      </c>
      <c r="B17" s="349"/>
      <c r="C17" s="1284"/>
      <c r="D17" s="1284"/>
      <c r="E17" s="1284"/>
      <c r="F17" s="1284"/>
      <c r="G17" s="1284"/>
      <c r="H17" s="1284"/>
      <c r="I17" s="1284"/>
      <c r="J17" s="1284"/>
      <c r="K17" s="1284"/>
      <c r="L17" s="1284"/>
      <c r="M17" s="1284"/>
      <c r="N17" s="1284"/>
      <c r="O17" s="1284"/>
      <c r="P17" s="1284"/>
      <c r="Q17" s="1284"/>
      <c r="R17" s="1284"/>
      <c r="S17" s="1284"/>
      <c r="T17" s="1284"/>
      <c r="U17" s="1284"/>
      <c r="V17" s="1284"/>
      <c r="W17" s="1284"/>
      <c r="X17" s="1284"/>
      <c r="Y17" s="1284"/>
      <c r="Z17" s="1284"/>
      <c r="AA17" s="1284"/>
      <c r="AB17" s="1284"/>
      <c r="AC17" s="1280"/>
      <c r="AD17" s="1284"/>
      <c r="AE17" s="1284"/>
      <c r="AF17" s="1284"/>
      <c r="AG17" s="1284"/>
      <c r="AH17" s="1284"/>
      <c r="AI17" s="1285"/>
      <c r="AJ17" s="1285"/>
      <c r="AK17" s="1285"/>
      <c r="AL17" s="1285"/>
      <c r="AM17" s="1285"/>
      <c r="AN17" s="1285"/>
    </row>
    <row r="18" spans="1:42">
      <c r="A18" s="546" t="s">
        <v>375</v>
      </c>
      <c r="B18" s="350" t="s">
        <v>87</v>
      </c>
      <c r="C18" s="1286">
        <f>3424+10381+42</f>
        <v>13847</v>
      </c>
      <c r="D18" s="1286">
        <f>3141119+12803570+6748</f>
        <v>15951437</v>
      </c>
      <c r="E18" s="1286">
        <f>3484+8788</f>
        <v>12272</v>
      </c>
      <c r="F18" s="1286">
        <f>4162432+9700345</f>
        <v>13862777</v>
      </c>
      <c r="G18" s="1286">
        <v>3519</v>
      </c>
      <c r="H18" s="1286">
        <v>4106685</v>
      </c>
      <c r="I18" s="1284">
        <v>2701</v>
      </c>
      <c r="J18" s="1284">
        <v>5938229</v>
      </c>
      <c r="K18" s="1284">
        <v>13083</v>
      </c>
      <c r="L18" s="1284">
        <v>31374188</v>
      </c>
      <c r="M18" s="1284">
        <v>14979</v>
      </c>
      <c r="N18" s="1284">
        <v>23922443</v>
      </c>
      <c r="O18" s="1286">
        <v>11995</v>
      </c>
      <c r="P18" s="1286">
        <v>20349205</v>
      </c>
      <c r="Q18" s="1286">
        <v>12018.012999999999</v>
      </c>
      <c r="R18" s="1286">
        <v>17440805</v>
      </c>
      <c r="S18" s="1286">
        <v>22915</v>
      </c>
      <c r="T18" s="1286">
        <v>27438799</v>
      </c>
      <c r="U18" s="1286">
        <v>32456</v>
      </c>
      <c r="V18" s="1286">
        <v>40255726</v>
      </c>
      <c r="W18" s="1286">
        <v>29203</v>
      </c>
      <c r="X18" s="1286">
        <v>76534777</v>
      </c>
      <c r="Y18" s="1286">
        <v>23685</v>
      </c>
      <c r="Z18" s="1284">
        <v>65420387</v>
      </c>
      <c r="AA18" s="1284">
        <v>27733.521000000001</v>
      </c>
      <c r="AB18" s="1284">
        <v>58979700</v>
      </c>
      <c r="AC18" s="1284">
        <v>29434</v>
      </c>
      <c r="AD18" s="1284">
        <v>61121739</v>
      </c>
      <c r="AE18" s="1284">
        <v>24435.789957999998</v>
      </c>
      <c r="AF18" s="1284">
        <v>43712910.772800945</v>
      </c>
      <c r="AG18" s="1284">
        <v>30731.591499999999</v>
      </c>
      <c r="AH18" s="1284">
        <v>64618092</v>
      </c>
      <c r="AI18" s="1286">
        <v>42616</v>
      </c>
      <c r="AJ18" s="1286">
        <v>111116266</v>
      </c>
      <c r="AK18" s="1286">
        <v>53496</v>
      </c>
      <c r="AL18" s="1286">
        <v>122573732</v>
      </c>
      <c r="AM18" s="1286">
        <v>59447</v>
      </c>
      <c r="AN18" s="1286">
        <v>138780268</v>
      </c>
    </row>
    <row r="19" spans="1:42">
      <c r="A19" s="546" t="s">
        <v>291</v>
      </c>
      <c r="B19" s="350" t="s">
        <v>87</v>
      </c>
      <c r="C19" s="1286">
        <v>0</v>
      </c>
      <c r="D19" s="1286">
        <v>0</v>
      </c>
      <c r="E19" s="1286">
        <v>0</v>
      </c>
      <c r="F19" s="1286">
        <v>0</v>
      </c>
      <c r="G19" s="1286">
        <v>0</v>
      </c>
      <c r="H19" s="1286">
        <v>0</v>
      </c>
      <c r="I19" s="1286">
        <v>0</v>
      </c>
      <c r="J19" s="1286">
        <v>0</v>
      </c>
      <c r="K19" s="1284">
        <v>2431</v>
      </c>
      <c r="L19" s="1284">
        <v>920073</v>
      </c>
      <c r="M19" s="1284">
        <v>13171</v>
      </c>
      <c r="N19" s="1284">
        <v>7604934</v>
      </c>
      <c r="O19" s="1286">
        <v>12481</v>
      </c>
      <c r="P19" s="1286">
        <v>5990776</v>
      </c>
      <c r="Q19" s="1286">
        <v>21678</v>
      </c>
      <c r="R19" s="1286">
        <v>7297295</v>
      </c>
      <c r="S19" s="1286">
        <v>22302</v>
      </c>
      <c r="T19" s="1286">
        <v>6649704</v>
      </c>
      <c r="U19" s="1286">
        <v>21113</v>
      </c>
      <c r="V19" s="1286">
        <v>4981363</v>
      </c>
      <c r="W19" s="1286">
        <v>21098</v>
      </c>
      <c r="X19" s="1286">
        <v>9204496.3827228192</v>
      </c>
      <c r="Y19" s="1286">
        <v>21277</v>
      </c>
      <c r="Z19" s="1284">
        <v>12644200</v>
      </c>
      <c r="AA19" s="1284">
        <v>13486.043999999998</v>
      </c>
      <c r="AB19" s="1284">
        <v>6086206</v>
      </c>
      <c r="AC19" s="1284">
        <v>27001</v>
      </c>
      <c r="AD19" s="1284">
        <v>10448512</v>
      </c>
      <c r="AE19" s="1284">
        <v>51552.917000000001</v>
      </c>
      <c r="AF19" s="1284">
        <v>17253219.559999999</v>
      </c>
      <c r="AG19" s="1284">
        <v>64465</v>
      </c>
      <c r="AH19" s="1284">
        <v>20242917</v>
      </c>
      <c r="AI19" s="1286">
        <v>82326</v>
      </c>
      <c r="AJ19" s="1286">
        <v>37308780</v>
      </c>
      <c r="AK19" s="1286">
        <v>75076</v>
      </c>
      <c r="AL19" s="1286">
        <v>36723119</v>
      </c>
      <c r="AM19" s="1286">
        <v>70019</v>
      </c>
      <c r="AN19" s="1286">
        <v>31850488</v>
      </c>
      <c r="AP19" s="347"/>
    </row>
    <row r="20" spans="1:42">
      <c r="A20" s="546" t="s">
        <v>292</v>
      </c>
      <c r="B20" s="350" t="s">
        <v>87</v>
      </c>
      <c r="C20" s="1286">
        <v>21677</v>
      </c>
      <c r="D20" s="1286">
        <v>10451891</v>
      </c>
      <c r="E20" s="1286">
        <v>31822</v>
      </c>
      <c r="F20" s="1286">
        <v>20044441</v>
      </c>
      <c r="G20" s="1286">
        <v>0</v>
      </c>
      <c r="H20" s="1286">
        <v>0</v>
      </c>
      <c r="I20" s="1284">
        <v>4059</v>
      </c>
      <c r="J20" s="1284">
        <v>2805427</v>
      </c>
      <c r="K20" s="1284">
        <v>28799</v>
      </c>
      <c r="L20" s="1284">
        <v>26786585</v>
      </c>
      <c r="M20" s="1284">
        <v>45878</v>
      </c>
      <c r="N20" s="1284">
        <v>59754974</v>
      </c>
      <c r="O20" s="1286">
        <v>57331</v>
      </c>
      <c r="P20" s="1286">
        <v>76385678</v>
      </c>
      <c r="Q20" s="1286">
        <v>142919</v>
      </c>
      <c r="R20" s="1286">
        <v>125578837</v>
      </c>
      <c r="S20" s="1286">
        <v>127963</v>
      </c>
      <c r="T20" s="1286">
        <v>104106685</v>
      </c>
      <c r="U20" s="1286">
        <v>136385</v>
      </c>
      <c r="V20" s="1286">
        <v>79541654</v>
      </c>
      <c r="W20" s="1286">
        <v>132850.11430000002</v>
      </c>
      <c r="X20" s="1286">
        <v>95841711</v>
      </c>
      <c r="Y20" s="1286">
        <v>113492</v>
      </c>
      <c r="Z20" s="1284">
        <v>75322576</v>
      </c>
      <c r="AA20" s="1284">
        <v>88368.614000000001</v>
      </c>
      <c r="AB20" s="1284">
        <v>75120390</v>
      </c>
      <c r="AC20" s="1284">
        <v>123968</v>
      </c>
      <c r="AD20" s="1284">
        <v>117107347</v>
      </c>
      <c r="AE20" s="1284">
        <v>194899.92499999999</v>
      </c>
      <c r="AF20" s="1284">
        <v>170726482.72</v>
      </c>
      <c r="AG20" s="1284">
        <v>232584.87</v>
      </c>
      <c r="AH20" s="1284">
        <v>251013207</v>
      </c>
      <c r="AI20" s="1286">
        <v>236089</v>
      </c>
      <c r="AJ20" s="1286">
        <v>280239658</v>
      </c>
      <c r="AK20" s="1286">
        <v>223669</v>
      </c>
      <c r="AL20" s="1286">
        <v>173815927</v>
      </c>
      <c r="AM20" s="1286">
        <v>206451</v>
      </c>
      <c r="AN20" s="1286">
        <v>173193024</v>
      </c>
      <c r="AP20" s="347"/>
    </row>
    <row r="21" spans="1:42">
      <c r="A21" s="547" t="s">
        <v>179</v>
      </c>
      <c r="B21" s="349"/>
      <c r="C21" s="1284"/>
      <c r="D21" s="1284">
        <f>SUM(D18:D20)</f>
        <v>26403328</v>
      </c>
      <c r="E21" s="1284"/>
      <c r="F21" s="1284">
        <f>SUM(F18:F20)</f>
        <v>33907218</v>
      </c>
      <c r="G21" s="1284"/>
      <c r="H21" s="1284">
        <f>SUM(H18:H20)</f>
        <v>4106685</v>
      </c>
      <c r="I21" s="1284"/>
      <c r="J21" s="1284">
        <f>SUM(J18:J20)</f>
        <v>8743656</v>
      </c>
      <c r="K21" s="1284"/>
      <c r="L21" s="1284">
        <v>59080846</v>
      </c>
      <c r="M21" s="1284"/>
      <c r="N21" s="1284">
        <v>91282351</v>
      </c>
      <c r="O21" s="1284"/>
      <c r="P21" s="1286">
        <f>SUM(P18:P20)</f>
        <v>102725659</v>
      </c>
      <c r="Q21" s="1284"/>
      <c r="R21" s="1284">
        <v>150316937</v>
      </c>
      <c r="S21" s="1284"/>
      <c r="T21" s="1284">
        <v>138195188</v>
      </c>
      <c r="U21" s="1284"/>
      <c r="V21" s="1286">
        <v>124778743</v>
      </c>
      <c r="W21" s="1284"/>
      <c r="X21" s="1286">
        <v>181580984</v>
      </c>
      <c r="Y21" s="1284"/>
      <c r="Z21" s="1286">
        <v>153387163</v>
      </c>
      <c r="AA21" s="1284"/>
      <c r="AB21" s="1284">
        <v>140186296</v>
      </c>
      <c r="AC21" s="1284"/>
      <c r="AD21" s="1284">
        <v>188677598</v>
      </c>
      <c r="AE21" s="1285"/>
      <c r="AF21" s="1284">
        <v>231692613.05280095</v>
      </c>
      <c r="AG21" s="1284"/>
      <c r="AH21" s="1284">
        <v>335874216</v>
      </c>
      <c r="AI21" s="1284"/>
      <c r="AJ21" s="1286">
        <f>SUM(AJ18:AJ20)</f>
        <v>428664704</v>
      </c>
      <c r="AK21" s="1286"/>
      <c r="AL21" s="1286">
        <f>SUM(AL18:AL20)</f>
        <v>333112778</v>
      </c>
      <c r="AM21" s="1286"/>
      <c r="AN21" s="1286">
        <f>SUM(AN18:AN20)</f>
        <v>343823780</v>
      </c>
      <c r="AP21" s="347"/>
    </row>
    <row r="22" spans="1:42">
      <c r="A22" s="355"/>
      <c r="B22" s="351"/>
      <c r="C22" s="1280"/>
      <c r="D22" s="1280"/>
      <c r="E22" s="1280"/>
      <c r="F22" s="1280"/>
      <c r="G22" s="1280"/>
      <c r="H22" s="1280"/>
      <c r="I22" s="1280"/>
      <c r="J22" s="1280"/>
      <c r="K22" s="1280"/>
      <c r="L22" s="1280"/>
      <c r="M22" s="1280"/>
      <c r="N22" s="1280"/>
      <c r="O22" s="1280"/>
      <c r="P22" s="1280"/>
      <c r="Q22" s="1280"/>
      <c r="R22" s="1280"/>
      <c r="S22" s="1280"/>
      <c r="T22" s="1280"/>
      <c r="U22" s="1280"/>
      <c r="V22" s="1280"/>
      <c r="W22" s="1280"/>
      <c r="X22" s="1280"/>
      <c r="Y22" s="1280"/>
      <c r="Z22" s="1280"/>
      <c r="AA22" s="1280"/>
      <c r="AB22" s="1280"/>
      <c r="AC22" s="1280"/>
      <c r="AD22" s="1280"/>
      <c r="AE22" s="1281"/>
      <c r="AF22" s="1281"/>
      <c r="AG22" s="1280"/>
      <c r="AH22" s="1280"/>
      <c r="AI22" s="1280"/>
      <c r="AJ22" s="1279"/>
      <c r="AK22" s="1279"/>
      <c r="AL22" s="1279"/>
      <c r="AM22" s="1280"/>
      <c r="AN22" s="1280"/>
    </row>
    <row r="23" spans="1:42">
      <c r="A23" s="366" t="s">
        <v>181</v>
      </c>
      <c r="B23" s="207" t="s">
        <v>87</v>
      </c>
      <c r="C23" s="268">
        <v>0</v>
      </c>
      <c r="D23" s="268">
        <v>0</v>
      </c>
      <c r="E23" s="268">
        <v>0</v>
      </c>
      <c r="F23" s="268">
        <v>0</v>
      </c>
      <c r="G23" s="268">
        <v>0</v>
      </c>
      <c r="H23" s="268">
        <v>0</v>
      </c>
      <c r="I23" s="268">
        <v>0</v>
      </c>
      <c r="J23" s="268">
        <v>0</v>
      </c>
      <c r="K23" s="268">
        <v>0</v>
      </c>
      <c r="L23" s="268">
        <v>0</v>
      </c>
      <c r="M23" s="268">
        <v>0</v>
      </c>
      <c r="N23" s="268">
        <v>0</v>
      </c>
      <c r="O23" s="268">
        <v>0</v>
      </c>
      <c r="P23" s="268">
        <v>0</v>
      </c>
      <c r="Q23" s="268">
        <v>0</v>
      </c>
      <c r="R23" s="268">
        <v>0</v>
      </c>
      <c r="S23" s="268">
        <v>0</v>
      </c>
      <c r="T23" s="268">
        <v>0</v>
      </c>
      <c r="U23" s="268">
        <v>0</v>
      </c>
      <c r="V23" s="268">
        <v>0</v>
      </c>
      <c r="W23" s="268">
        <v>0</v>
      </c>
      <c r="X23" s="268">
        <v>0</v>
      </c>
      <c r="Y23" s="268">
        <v>0</v>
      </c>
      <c r="Z23" s="268">
        <v>0</v>
      </c>
      <c r="AA23" s="268"/>
      <c r="AB23" s="268"/>
      <c r="AC23" s="307">
        <v>16115</v>
      </c>
      <c r="AD23" s="307">
        <v>3658408</v>
      </c>
      <c r="AE23" s="281">
        <v>30052.491000000002</v>
      </c>
      <c r="AF23" s="281">
        <v>6528155.9699999997</v>
      </c>
      <c r="AG23" s="281">
        <v>17547</v>
      </c>
      <c r="AH23" s="281">
        <v>3249086</v>
      </c>
      <c r="AI23" s="268">
        <v>33014</v>
      </c>
      <c r="AJ23" s="268">
        <v>6898498</v>
      </c>
      <c r="AK23" s="268">
        <v>5678</v>
      </c>
      <c r="AL23" s="268">
        <v>450582</v>
      </c>
      <c r="AM23" s="268">
        <v>31187</v>
      </c>
      <c r="AN23" s="268">
        <v>6323498</v>
      </c>
    </row>
    <row r="24" spans="1:42">
      <c r="A24" s="206"/>
      <c r="B24" s="330"/>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307"/>
      <c r="AD24" s="307"/>
      <c r="AE24" s="281"/>
      <c r="AF24" s="281"/>
      <c r="AG24" s="1276"/>
      <c r="AH24" s="1276"/>
      <c r="AI24" s="1276"/>
      <c r="AJ24" s="1276"/>
      <c r="AK24" s="268"/>
      <c r="AL24" s="268"/>
      <c r="AM24" s="268"/>
      <c r="AN24" s="268"/>
    </row>
    <row r="25" spans="1:42">
      <c r="A25" s="545" t="s">
        <v>182</v>
      </c>
      <c r="B25" s="349"/>
      <c r="C25" s="1284"/>
      <c r="D25" s="1284"/>
      <c r="E25" s="1284"/>
      <c r="F25" s="1284"/>
      <c r="G25" s="1284"/>
      <c r="H25" s="1284"/>
      <c r="I25" s="1284"/>
      <c r="J25" s="1284"/>
      <c r="K25" s="1284"/>
      <c r="L25" s="1284"/>
      <c r="M25" s="1284"/>
      <c r="N25" s="1284"/>
      <c r="O25" s="1284"/>
      <c r="P25" s="1284"/>
      <c r="Q25" s="1284"/>
      <c r="R25" s="1284"/>
      <c r="S25" s="1284"/>
      <c r="T25" s="1284"/>
      <c r="U25" s="1284"/>
      <c r="V25" s="1284"/>
      <c r="W25" s="1284"/>
      <c r="X25" s="1284"/>
      <c r="Y25" s="1284"/>
      <c r="Z25" s="1284"/>
      <c r="AA25" s="1284"/>
      <c r="AB25" s="1284"/>
      <c r="AC25" s="1284"/>
      <c r="AD25" s="1284"/>
      <c r="AE25" s="1284"/>
      <c r="AF25" s="1284"/>
      <c r="AG25" s="1284"/>
      <c r="AH25" s="1284"/>
      <c r="AI25" s="1284"/>
      <c r="AJ25" s="1284"/>
      <c r="AK25" s="1284"/>
      <c r="AL25" s="1284"/>
      <c r="AM25" s="1284"/>
      <c r="AN25" s="1284"/>
    </row>
    <row r="26" spans="1:42">
      <c r="A26" s="546" t="s">
        <v>183</v>
      </c>
      <c r="B26" s="350" t="s">
        <v>87</v>
      </c>
      <c r="C26" s="1284">
        <v>0</v>
      </c>
      <c r="D26" s="1284">
        <v>0</v>
      </c>
      <c r="E26" s="1284">
        <v>0</v>
      </c>
      <c r="F26" s="1284">
        <v>0</v>
      </c>
      <c r="G26" s="1284">
        <v>0</v>
      </c>
      <c r="H26" s="1284">
        <v>0</v>
      </c>
      <c r="I26" s="1284">
        <v>0</v>
      </c>
      <c r="J26" s="1284">
        <v>0</v>
      </c>
      <c r="K26" s="1284">
        <v>0</v>
      </c>
      <c r="L26" s="1284">
        <v>0</v>
      </c>
      <c r="M26" s="1284">
        <v>0</v>
      </c>
      <c r="N26" s="1284">
        <v>0</v>
      </c>
      <c r="O26" s="1284">
        <v>0</v>
      </c>
      <c r="P26" s="1284">
        <v>0</v>
      </c>
      <c r="Q26" s="1284">
        <v>0</v>
      </c>
      <c r="R26" s="1284">
        <v>0</v>
      </c>
      <c r="S26" s="1284">
        <v>0</v>
      </c>
      <c r="T26" s="1284">
        <v>0</v>
      </c>
      <c r="U26" s="1284">
        <v>0</v>
      </c>
      <c r="V26" s="1284">
        <v>0</v>
      </c>
      <c r="W26" s="1284">
        <v>0</v>
      </c>
      <c r="X26" s="1284">
        <v>0</v>
      </c>
      <c r="Y26" s="1284">
        <v>0</v>
      </c>
      <c r="Z26" s="1284">
        <v>0</v>
      </c>
      <c r="AA26" s="1284">
        <v>0</v>
      </c>
      <c r="AB26" s="1284">
        <v>0</v>
      </c>
      <c r="AC26" s="1284">
        <v>0</v>
      </c>
      <c r="AD26" s="1284">
        <v>0</v>
      </c>
      <c r="AE26" s="1284">
        <v>0</v>
      </c>
      <c r="AF26" s="1284">
        <v>0</v>
      </c>
      <c r="AG26" s="1284">
        <v>0</v>
      </c>
      <c r="AH26" s="1284">
        <v>0</v>
      </c>
      <c r="AI26" s="1284">
        <v>0</v>
      </c>
      <c r="AJ26" s="1284">
        <v>0</v>
      </c>
      <c r="AK26" s="1284">
        <v>0</v>
      </c>
      <c r="AL26" s="1284">
        <v>0</v>
      </c>
      <c r="AM26" s="1284">
        <v>0</v>
      </c>
      <c r="AN26" s="1284">
        <v>0</v>
      </c>
    </row>
    <row r="27" spans="1:42">
      <c r="A27" s="546" t="s">
        <v>184</v>
      </c>
      <c r="B27" s="350" t="s">
        <v>87</v>
      </c>
      <c r="C27" s="1286">
        <v>0</v>
      </c>
      <c r="D27" s="1286">
        <v>0</v>
      </c>
      <c r="E27" s="1286">
        <v>41885</v>
      </c>
      <c r="F27" s="1286" t="s">
        <v>466</v>
      </c>
      <c r="G27" s="1286">
        <v>10458</v>
      </c>
      <c r="H27" s="1286">
        <f>G27*150</f>
        <v>1568700</v>
      </c>
      <c r="I27" s="1284">
        <v>11387</v>
      </c>
      <c r="J27" s="1284">
        <v>2238865</v>
      </c>
      <c r="K27" s="1284">
        <v>44065</v>
      </c>
      <c r="L27" s="1284">
        <v>3527557</v>
      </c>
      <c r="M27" s="1284">
        <v>28137</v>
      </c>
      <c r="N27" s="1284">
        <v>3988107</v>
      </c>
      <c r="O27" s="1286">
        <v>15403</v>
      </c>
      <c r="P27" s="1286">
        <v>3914836</v>
      </c>
      <c r="Q27" s="1286">
        <v>19329</v>
      </c>
      <c r="R27" s="1286">
        <v>5860557</v>
      </c>
      <c r="S27" s="1286">
        <v>20208</v>
      </c>
      <c r="T27" s="1286">
        <v>5891735</v>
      </c>
      <c r="U27" s="1286">
        <v>20351</v>
      </c>
      <c r="V27" s="1284">
        <v>6044132</v>
      </c>
      <c r="W27" s="1286">
        <v>18796</v>
      </c>
      <c r="X27" s="1284">
        <v>4662524</v>
      </c>
      <c r="Y27" s="1286">
        <v>19753</v>
      </c>
      <c r="Z27" s="1284">
        <v>4096240</v>
      </c>
      <c r="AA27" s="1284">
        <v>20473</v>
      </c>
      <c r="AB27" s="1284">
        <v>4073620</v>
      </c>
      <c r="AC27" s="1284">
        <v>24023</v>
      </c>
      <c r="AD27" s="1284">
        <v>4362859</v>
      </c>
      <c r="AE27" s="1284">
        <v>11688</v>
      </c>
      <c r="AF27" s="1284">
        <v>1220812</v>
      </c>
      <c r="AG27" s="1284">
        <v>11513.36</v>
      </c>
      <c r="AH27" s="1284">
        <v>1202424</v>
      </c>
      <c r="AI27" s="1286">
        <v>12366</v>
      </c>
      <c r="AJ27" s="1286">
        <v>1291319</v>
      </c>
      <c r="AK27" s="1284">
        <v>12623</v>
      </c>
      <c r="AL27" s="1284">
        <v>1318221</v>
      </c>
      <c r="AM27" s="1284">
        <v>11366</v>
      </c>
      <c r="AN27" s="1284">
        <v>1186952</v>
      </c>
    </row>
    <row r="28" spans="1:42">
      <c r="A28" s="546" t="s">
        <v>186</v>
      </c>
      <c r="B28" s="350" t="s">
        <v>87</v>
      </c>
      <c r="C28" s="1286">
        <v>28155</v>
      </c>
      <c r="D28" s="1286">
        <v>70389</v>
      </c>
      <c r="E28" s="1286">
        <v>23131</v>
      </c>
      <c r="F28" s="1286">
        <v>57828</v>
      </c>
      <c r="G28" s="1286">
        <v>23991</v>
      </c>
      <c r="H28" s="1286">
        <v>59969</v>
      </c>
      <c r="I28" s="1284">
        <v>22679</v>
      </c>
      <c r="J28" s="1284">
        <v>56698</v>
      </c>
      <c r="K28" s="1284">
        <v>24007</v>
      </c>
      <c r="L28" s="1284">
        <v>60020</v>
      </c>
      <c r="M28" s="1284">
        <v>21952</v>
      </c>
      <c r="N28" s="1284">
        <v>54880</v>
      </c>
      <c r="O28" s="1286">
        <v>22994</v>
      </c>
      <c r="P28" s="1286">
        <v>137964</v>
      </c>
      <c r="Q28" s="1286">
        <v>16741</v>
      </c>
      <c r="R28" s="1286">
        <v>170243</v>
      </c>
      <c r="S28" s="1286">
        <v>0</v>
      </c>
      <c r="T28" s="1286">
        <v>0</v>
      </c>
      <c r="U28" s="1286">
        <v>0</v>
      </c>
      <c r="V28" s="1286">
        <v>0</v>
      </c>
      <c r="W28" s="1286">
        <v>0</v>
      </c>
      <c r="X28" s="1286">
        <v>0</v>
      </c>
      <c r="Y28" s="1286">
        <v>0</v>
      </c>
      <c r="Z28" s="1286">
        <v>0</v>
      </c>
      <c r="AA28" s="1286">
        <v>0</v>
      </c>
      <c r="AB28" s="1286">
        <v>0</v>
      </c>
      <c r="AC28" s="1286">
        <v>0</v>
      </c>
      <c r="AD28" s="1286">
        <v>0</v>
      </c>
      <c r="AE28" s="1286">
        <v>0</v>
      </c>
      <c r="AF28" s="1286">
        <v>0</v>
      </c>
      <c r="AG28" s="1286">
        <v>0</v>
      </c>
      <c r="AH28" s="1286">
        <v>0</v>
      </c>
      <c r="AI28" s="1286">
        <v>0</v>
      </c>
      <c r="AJ28" s="1286">
        <v>0</v>
      </c>
      <c r="AK28" s="1284">
        <v>0</v>
      </c>
      <c r="AL28" s="1284">
        <v>0</v>
      </c>
      <c r="AM28" s="1284">
        <v>0</v>
      </c>
      <c r="AN28" s="1284">
        <v>0</v>
      </c>
    </row>
    <row r="29" spans="1:42">
      <c r="A29" s="546" t="s">
        <v>187</v>
      </c>
      <c r="B29" s="350" t="s">
        <v>87</v>
      </c>
      <c r="C29" s="1286">
        <v>0</v>
      </c>
      <c r="D29" s="1286">
        <v>0</v>
      </c>
      <c r="E29" s="1286">
        <v>0</v>
      </c>
      <c r="F29" s="1286">
        <v>0</v>
      </c>
      <c r="G29" s="1286">
        <v>0</v>
      </c>
      <c r="H29" s="1286">
        <v>0</v>
      </c>
      <c r="I29" s="1286">
        <v>0</v>
      </c>
      <c r="J29" s="1286">
        <v>0</v>
      </c>
      <c r="K29" s="1284">
        <v>383</v>
      </c>
      <c r="L29" s="1284">
        <v>765</v>
      </c>
      <c r="M29" s="1286">
        <v>0</v>
      </c>
      <c r="N29" s="1286">
        <v>0</v>
      </c>
      <c r="O29" s="1286">
        <v>0</v>
      </c>
      <c r="P29" s="1286">
        <v>0</v>
      </c>
      <c r="Q29" s="1286">
        <v>0</v>
      </c>
      <c r="R29" s="1286">
        <v>0</v>
      </c>
      <c r="S29" s="1286">
        <v>0</v>
      </c>
      <c r="T29" s="1284">
        <v>0</v>
      </c>
      <c r="U29" s="1286">
        <v>66483</v>
      </c>
      <c r="V29" s="1284">
        <v>797796</v>
      </c>
      <c r="W29" s="1286">
        <v>13921</v>
      </c>
      <c r="X29" s="1284">
        <v>169475</v>
      </c>
      <c r="Y29" s="1286">
        <v>21175</v>
      </c>
      <c r="Z29" s="1284">
        <v>259212</v>
      </c>
      <c r="AA29" s="1284">
        <v>16689</v>
      </c>
      <c r="AB29" s="1284">
        <v>212081</v>
      </c>
      <c r="AC29" s="1284">
        <v>36296</v>
      </c>
      <c r="AD29" s="1284">
        <v>541990</v>
      </c>
      <c r="AE29" s="1284">
        <v>10190</v>
      </c>
      <c r="AF29" s="1284">
        <v>101900</v>
      </c>
      <c r="AG29" s="1284">
        <v>28478</v>
      </c>
      <c r="AH29" s="1284">
        <v>284780</v>
      </c>
      <c r="AI29" s="1286">
        <v>11783</v>
      </c>
      <c r="AJ29" s="1286">
        <v>117830</v>
      </c>
      <c r="AK29" s="1284">
        <v>11751</v>
      </c>
      <c r="AL29" s="1284">
        <v>117510</v>
      </c>
      <c r="AM29" s="1284">
        <v>19117</v>
      </c>
      <c r="AN29" s="1284">
        <v>191170</v>
      </c>
    </row>
    <row r="30" spans="1:42">
      <c r="A30" s="546" t="s">
        <v>188</v>
      </c>
      <c r="B30" s="350" t="s">
        <v>87</v>
      </c>
      <c r="C30" s="1286">
        <v>242489</v>
      </c>
      <c r="D30" s="1286">
        <v>292136</v>
      </c>
      <c r="E30" s="1286">
        <v>242489</v>
      </c>
      <c r="F30" s="1286">
        <v>292015</v>
      </c>
      <c r="G30" s="1286">
        <v>208895</v>
      </c>
      <c r="H30" s="1286">
        <v>252326</v>
      </c>
      <c r="I30" s="1284">
        <v>191184</v>
      </c>
      <c r="J30" s="1284">
        <v>381127</v>
      </c>
      <c r="K30" s="1284">
        <v>171189</v>
      </c>
      <c r="L30" s="1284">
        <v>205570</v>
      </c>
      <c r="M30" s="1284">
        <v>279538</v>
      </c>
      <c r="N30" s="1284">
        <v>511780</v>
      </c>
      <c r="O30" s="1286">
        <v>620</v>
      </c>
      <c r="P30" s="1286">
        <v>744</v>
      </c>
      <c r="Q30" s="1286">
        <v>0</v>
      </c>
      <c r="R30" s="1286">
        <v>0</v>
      </c>
      <c r="S30" s="1286">
        <v>29927</v>
      </c>
      <c r="T30" s="1286">
        <v>35913</v>
      </c>
      <c r="U30" s="1286">
        <v>27766</v>
      </c>
      <c r="V30" s="1284">
        <v>33320</v>
      </c>
      <c r="W30" s="1286">
        <v>31778</v>
      </c>
      <c r="X30" s="1284">
        <v>38134</v>
      </c>
      <c r="Y30" s="1286">
        <v>127813</v>
      </c>
      <c r="Z30" s="1284">
        <v>258976</v>
      </c>
      <c r="AA30" s="1284">
        <v>54861</v>
      </c>
      <c r="AB30" s="1284">
        <v>65833</v>
      </c>
      <c r="AC30" s="1284">
        <v>72975</v>
      </c>
      <c r="AD30" s="1284">
        <v>87570</v>
      </c>
      <c r="AE30" s="1284">
        <v>74032</v>
      </c>
      <c r="AF30" s="1284">
        <v>88838</v>
      </c>
      <c r="AG30" s="1284">
        <v>98706</v>
      </c>
      <c r="AH30" s="1284">
        <v>118448</v>
      </c>
      <c r="AI30" s="1286">
        <v>70320</v>
      </c>
      <c r="AJ30" s="1286">
        <v>150614</v>
      </c>
      <c r="AK30" s="1284">
        <v>10619</v>
      </c>
      <c r="AL30" s="1284">
        <v>76883</v>
      </c>
      <c r="AM30" s="1284">
        <v>0</v>
      </c>
      <c r="AN30" s="1284">
        <v>0</v>
      </c>
    </row>
    <row r="31" spans="1:42">
      <c r="A31" s="546" t="s">
        <v>190</v>
      </c>
      <c r="B31" s="350" t="s">
        <v>87</v>
      </c>
      <c r="C31" s="1286">
        <v>1710</v>
      </c>
      <c r="D31" s="1286">
        <v>31505</v>
      </c>
      <c r="E31" s="1286">
        <v>4600</v>
      </c>
      <c r="F31" s="1286">
        <v>188422</v>
      </c>
      <c r="G31" s="1286">
        <v>7460</v>
      </c>
      <c r="H31" s="1286">
        <v>241564</v>
      </c>
      <c r="I31" s="1284">
        <v>185</v>
      </c>
      <c r="J31" s="1284">
        <v>11187</v>
      </c>
      <c r="K31" s="1284">
        <v>3706</v>
      </c>
      <c r="L31" s="1284">
        <v>186553</v>
      </c>
      <c r="M31" s="1284">
        <v>7701</v>
      </c>
      <c r="N31" s="1284">
        <v>472291</v>
      </c>
      <c r="O31" s="1286">
        <v>0</v>
      </c>
      <c r="P31" s="1286">
        <v>0</v>
      </c>
      <c r="Q31" s="1286">
        <v>3120</v>
      </c>
      <c r="R31" s="1286">
        <v>218131</v>
      </c>
      <c r="S31" s="1286">
        <v>2840</v>
      </c>
      <c r="T31" s="1286">
        <v>175794</v>
      </c>
      <c r="U31" s="1286">
        <v>3563</v>
      </c>
      <c r="V31" s="1284">
        <v>243900</v>
      </c>
      <c r="W31" s="1286">
        <v>4225</v>
      </c>
      <c r="X31" s="1284">
        <v>250392</v>
      </c>
      <c r="Y31" s="1286">
        <v>3363</v>
      </c>
      <c r="Z31" s="1284">
        <v>173565</v>
      </c>
      <c r="AA31" s="1284">
        <v>3307</v>
      </c>
      <c r="AB31" s="1284">
        <v>211973</v>
      </c>
      <c r="AC31" s="1284">
        <v>280</v>
      </c>
      <c r="AD31" s="1284">
        <v>31649</v>
      </c>
      <c r="AE31" s="1284">
        <v>1776</v>
      </c>
      <c r="AF31" s="1284">
        <v>216398</v>
      </c>
      <c r="AG31" s="1284">
        <v>2478</v>
      </c>
      <c r="AH31" s="1284">
        <v>206974</v>
      </c>
      <c r="AI31" s="1286">
        <v>440</v>
      </c>
      <c r="AJ31" s="1286">
        <v>45508</v>
      </c>
      <c r="AK31" s="1284">
        <v>400</v>
      </c>
      <c r="AL31" s="1284">
        <v>42243</v>
      </c>
      <c r="AM31" s="1284">
        <v>1837</v>
      </c>
      <c r="AN31" s="1284">
        <v>147239</v>
      </c>
    </row>
    <row r="32" spans="1:42">
      <c r="A32" s="546" t="s">
        <v>191</v>
      </c>
      <c r="B32" s="350" t="s">
        <v>87</v>
      </c>
      <c r="C32" s="1286">
        <v>0</v>
      </c>
      <c r="D32" s="1286">
        <v>0</v>
      </c>
      <c r="E32" s="1286">
        <v>0</v>
      </c>
      <c r="F32" s="1286">
        <v>0</v>
      </c>
      <c r="G32" s="1286">
        <v>0</v>
      </c>
      <c r="H32" s="1286">
        <v>0</v>
      </c>
      <c r="I32" s="1286">
        <v>0</v>
      </c>
      <c r="J32" s="1286">
        <v>0</v>
      </c>
      <c r="K32" s="1286">
        <v>0</v>
      </c>
      <c r="L32" s="1286">
        <v>0</v>
      </c>
      <c r="M32" s="1286">
        <v>0</v>
      </c>
      <c r="N32" s="1286">
        <v>0</v>
      </c>
      <c r="O32" s="1286">
        <v>0</v>
      </c>
      <c r="P32" s="1286">
        <v>0</v>
      </c>
      <c r="Q32" s="1286">
        <v>0</v>
      </c>
      <c r="R32" s="1286">
        <v>0</v>
      </c>
      <c r="S32" s="1286">
        <v>0</v>
      </c>
      <c r="T32" s="1284">
        <v>0</v>
      </c>
      <c r="U32" s="1286">
        <v>0</v>
      </c>
      <c r="V32" s="1284">
        <v>0</v>
      </c>
      <c r="W32" s="1286">
        <v>0</v>
      </c>
      <c r="X32" s="1284">
        <v>0</v>
      </c>
      <c r="Y32" s="1286">
        <v>0</v>
      </c>
      <c r="Z32" s="1284">
        <v>0</v>
      </c>
      <c r="AA32" s="1284">
        <v>0</v>
      </c>
      <c r="AB32" s="1284">
        <v>0</v>
      </c>
      <c r="AC32" s="1284">
        <v>0</v>
      </c>
      <c r="AD32" s="1284">
        <v>0</v>
      </c>
      <c r="AE32" s="1284">
        <v>0</v>
      </c>
      <c r="AF32" s="1284">
        <v>0</v>
      </c>
      <c r="AG32" s="1284">
        <v>358.37</v>
      </c>
      <c r="AH32" s="1284">
        <v>24970</v>
      </c>
      <c r="AI32" s="1286">
        <v>1273</v>
      </c>
      <c r="AJ32" s="1286">
        <v>91582</v>
      </c>
      <c r="AK32" s="1284">
        <v>1679</v>
      </c>
      <c r="AL32" s="1284">
        <v>114216</v>
      </c>
      <c r="AM32" s="1284">
        <v>713</v>
      </c>
      <c r="AN32" s="1284">
        <v>57919</v>
      </c>
    </row>
    <row r="33" spans="1:40">
      <c r="A33" s="546" t="s">
        <v>192</v>
      </c>
      <c r="B33" s="350" t="s">
        <v>87</v>
      </c>
      <c r="C33" s="1286">
        <v>0</v>
      </c>
      <c r="D33" s="1286">
        <v>0</v>
      </c>
      <c r="E33" s="1286">
        <v>126899</v>
      </c>
      <c r="F33" s="1286">
        <v>372318</v>
      </c>
      <c r="G33" s="1286">
        <v>72176</v>
      </c>
      <c r="H33" s="1286">
        <v>209528</v>
      </c>
      <c r="I33" s="1284">
        <v>1697</v>
      </c>
      <c r="J33" s="1284">
        <v>20364</v>
      </c>
      <c r="K33" s="1284">
        <v>1709</v>
      </c>
      <c r="L33" s="1284">
        <v>20503</v>
      </c>
      <c r="M33" s="1284">
        <v>32401</v>
      </c>
      <c r="N33" s="1284">
        <v>324010</v>
      </c>
      <c r="O33" s="1286">
        <v>153611</v>
      </c>
      <c r="P33" s="1286">
        <v>1689718</v>
      </c>
      <c r="Q33" s="1286">
        <v>22575</v>
      </c>
      <c r="R33" s="1286">
        <v>225745</v>
      </c>
      <c r="S33" s="1286">
        <v>22984</v>
      </c>
      <c r="T33" s="1286">
        <v>249946</v>
      </c>
      <c r="U33" s="1286">
        <v>33189</v>
      </c>
      <c r="V33" s="1284">
        <v>318018</v>
      </c>
      <c r="W33" s="1286">
        <v>61599</v>
      </c>
      <c r="X33" s="1284">
        <v>615990</v>
      </c>
      <c r="Y33" s="1286">
        <v>10885</v>
      </c>
      <c r="Z33" s="1284">
        <v>108850</v>
      </c>
      <c r="AA33" s="1284">
        <v>13003</v>
      </c>
      <c r="AB33" s="1284">
        <v>130030</v>
      </c>
      <c r="AC33" s="1284">
        <v>2360</v>
      </c>
      <c r="AD33" s="1284">
        <v>14160</v>
      </c>
      <c r="AE33" s="1284">
        <v>0</v>
      </c>
      <c r="AF33" s="1284">
        <v>0</v>
      </c>
      <c r="AG33" s="1284">
        <v>0</v>
      </c>
      <c r="AH33" s="1284">
        <v>0</v>
      </c>
      <c r="AI33" s="1284">
        <v>0</v>
      </c>
      <c r="AJ33" s="1284">
        <v>0</v>
      </c>
      <c r="AK33" s="1284">
        <v>0</v>
      </c>
      <c r="AL33" s="1284">
        <v>0</v>
      </c>
      <c r="AM33" s="1284">
        <v>0</v>
      </c>
      <c r="AN33" s="1284">
        <v>0</v>
      </c>
    </row>
    <row r="34" spans="1:40">
      <c r="A34" s="547" t="s">
        <v>193</v>
      </c>
      <c r="B34" s="349"/>
      <c r="C34" s="1284"/>
      <c r="D34" s="1284">
        <f>SUM(D27:D33)</f>
        <v>394030</v>
      </c>
      <c r="E34" s="1284"/>
      <c r="F34" s="1284">
        <f>SUM(F27:F33)</f>
        <v>910583</v>
      </c>
      <c r="G34" s="1284"/>
      <c r="H34" s="1284">
        <f>SUM(H27:H33)</f>
        <v>2332087</v>
      </c>
      <c r="I34" s="1284"/>
      <c r="J34" s="1284">
        <f>SUM(J27:J33)</f>
        <v>2708241</v>
      </c>
      <c r="K34" s="1284"/>
      <c r="L34" s="1284">
        <v>4000968</v>
      </c>
      <c r="M34" s="1284"/>
      <c r="N34" s="1284">
        <v>5351068</v>
      </c>
      <c r="O34" s="1286"/>
      <c r="P34" s="1286">
        <f>SUM(P27:P33)</f>
        <v>5743262</v>
      </c>
      <c r="Q34" s="1286"/>
      <c r="R34" s="1286">
        <v>6474676</v>
      </c>
      <c r="S34" s="1284"/>
      <c r="T34" s="1284">
        <v>6353388</v>
      </c>
      <c r="U34" s="1284"/>
      <c r="V34" s="1286">
        <v>7437166</v>
      </c>
      <c r="W34" s="1284"/>
      <c r="X34" s="1286">
        <v>5736515</v>
      </c>
      <c r="Y34" s="1284"/>
      <c r="Z34" s="1286">
        <v>4896843</v>
      </c>
      <c r="AA34" s="1284"/>
      <c r="AB34" s="1284">
        <v>4693537</v>
      </c>
      <c r="AC34" s="1284"/>
      <c r="AD34" s="1284">
        <v>5038228</v>
      </c>
      <c r="AE34" s="1285"/>
      <c r="AF34" s="1284">
        <v>1627948</v>
      </c>
      <c r="AG34" s="1284"/>
      <c r="AH34" s="1284">
        <v>1837596</v>
      </c>
      <c r="AI34" s="1284"/>
      <c r="AJ34" s="1286">
        <f>SUM(AJ26:AJ33)</f>
        <v>1696853</v>
      </c>
      <c r="AK34" s="1284"/>
      <c r="AL34" s="1284">
        <f>SUM(AL26:AL33)</f>
        <v>1669073</v>
      </c>
      <c r="AM34" s="1284"/>
      <c r="AN34" s="1284">
        <v>1583280</v>
      </c>
    </row>
    <row r="35" spans="1:40">
      <c r="A35" s="362"/>
      <c r="B35" s="351"/>
      <c r="C35" s="1280"/>
      <c r="D35" s="1280"/>
      <c r="E35" s="1280"/>
      <c r="F35" s="1280"/>
      <c r="G35" s="1280"/>
      <c r="H35" s="1280"/>
      <c r="I35" s="1280"/>
      <c r="J35" s="1280"/>
      <c r="K35" s="1280"/>
      <c r="L35" s="1280"/>
      <c r="M35" s="1279"/>
      <c r="N35" s="1279"/>
      <c r="O35" s="1279"/>
      <c r="P35" s="1279"/>
      <c r="Q35" s="1280"/>
      <c r="R35" s="1280"/>
      <c r="S35" s="1280"/>
      <c r="T35" s="1280"/>
      <c r="U35" s="1280"/>
      <c r="V35" s="1279"/>
      <c r="W35" s="1280"/>
      <c r="X35" s="1279"/>
      <c r="Y35" s="1280"/>
      <c r="Z35" s="1279"/>
      <c r="AA35" s="1280"/>
      <c r="AB35" s="1280"/>
      <c r="AC35" s="1280"/>
      <c r="AD35" s="1280"/>
      <c r="AE35" s="1280"/>
      <c r="AF35" s="1280"/>
      <c r="AG35" s="1280"/>
      <c r="AH35" s="1280"/>
      <c r="AI35" s="1280"/>
      <c r="AJ35" s="1279"/>
      <c r="AK35" s="1279"/>
      <c r="AL35" s="1279"/>
      <c r="AM35" s="1280"/>
      <c r="AN35" s="1279"/>
    </row>
    <row r="36" spans="1:40">
      <c r="A36" s="366" t="s">
        <v>194</v>
      </c>
      <c r="B36" s="207" t="s">
        <v>87</v>
      </c>
      <c r="C36" s="268">
        <v>2672619</v>
      </c>
      <c r="D36" s="268">
        <v>109120090</v>
      </c>
      <c r="E36" s="268">
        <v>3765045</v>
      </c>
      <c r="F36" s="268">
        <v>126840815</v>
      </c>
      <c r="G36" s="268">
        <v>3795055</v>
      </c>
      <c r="H36" s="268">
        <v>141742231</v>
      </c>
      <c r="I36" s="307">
        <v>3701942</v>
      </c>
      <c r="J36" s="307">
        <v>150965157</v>
      </c>
      <c r="K36" s="307">
        <v>3800228</v>
      </c>
      <c r="L36" s="307">
        <v>161240819</v>
      </c>
      <c r="M36" s="307">
        <v>4160646</v>
      </c>
      <c r="N36" s="307">
        <v>183698442</v>
      </c>
      <c r="O36" s="1283">
        <v>5218176</v>
      </c>
      <c r="P36" s="1283">
        <v>232915908</v>
      </c>
      <c r="Q36" s="281">
        <v>5491310</v>
      </c>
      <c r="R36" s="281">
        <v>243540117</v>
      </c>
      <c r="S36" s="268">
        <v>5428055</v>
      </c>
      <c r="T36" s="268">
        <v>244773673</v>
      </c>
      <c r="U36" s="307">
        <v>5152574</v>
      </c>
      <c r="V36" s="307">
        <v>236288139</v>
      </c>
      <c r="W36" s="307">
        <v>5863747</v>
      </c>
      <c r="X36" s="307">
        <v>274745803</v>
      </c>
      <c r="Y36" s="268">
        <v>5897443</v>
      </c>
      <c r="Z36" s="281">
        <v>270359539</v>
      </c>
      <c r="AA36" s="281">
        <v>5556644</v>
      </c>
      <c r="AB36" s="281">
        <v>257303044</v>
      </c>
      <c r="AC36" s="307">
        <v>5708548</v>
      </c>
      <c r="AD36" s="307">
        <v>257282501</v>
      </c>
      <c r="AE36" s="281">
        <v>5796621.7999999998</v>
      </c>
      <c r="AF36" s="281">
        <v>256742210</v>
      </c>
      <c r="AG36" s="281">
        <v>6504505.7000000002</v>
      </c>
      <c r="AH36" s="281">
        <v>271531464</v>
      </c>
      <c r="AI36" s="268">
        <v>6102813</v>
      </c>
      <c r="AJ36" s="268">
        <v>252281765</v>
      </c>
      <c r="AK36" s="268">
        <v>6164194</v>
      </c>
      <c r="AL36" s="268">
        <v>258125908</v>
      </c>
      <c r="AM36" s="268">
        <v>6323197</v>
      </c>
      <c r="AN36" s="268">
        <v>272886748</v>
      </c>
    </row>
    <row r="37" spans="1:40">
      <c r="A37" s="204"/>
      <c r="B37" s="207"/>
      <c r="C37" s="268"/>
      <c r="D37" s="268"/>
      <c r="E37" s="268"/>
      <c r="F37" s="268"/>
      <c r="G37" s="268"/>
      <c r="H37" s="268"/>
      <c r="I37" s="268"/>
      <c r="J37" s="268"/>
      <c r="K37" s="307"/>
      <c r="L37" s="307"/>
      <c r="M37" s="307"/>
      <c r="N37" s="307"/>
      <c r="O37" s="307"/>
      <c r="P37" s="307"/>
      <c r="Q37" s="268"/>
      <c r="R37" s="268"/>
      <c r="S37" s="268"/>
      <c r="T37" s="268"/>
      <c r="U37" s="307"/>
      <c r="V37" s="307"/>
      <c r="W37" s="307"/>
      <c r="X37" s="307"/>
      <c r="Y37" s="307"/>
      <c r="Z37" s="307"/>
      <c r="AA37" s="281"/>
      <c r="AB37" s="281"/>
      <c r="AC37" s="307"/>
      <c r="AD37" s="307"/>
      <c r="AE37" s="281"/>
      <c r="AF37" s="281"/>
      <c r="AG37" s="281"/>
      <c r="AH37" s="281"/>
      <c r="AI37" s="268"/>
      <c r="AJ37" s="268"/>
      <c r="AK37" s="268"/>
      <c r="AL37" s="268"/>
      <c r="AM37" s="268"/>
      <c r="AN37" s="268"/>
    </row>
    <row r="38" spans="1:40">
      <c r="A38" s="545" t="s">
        <v>195</v>
      </c>
      <c r="B38" s="349"/>
      <c r="C38" s="1284"/>
      <c r="D38" s="1284"/>
      <c r="E38" s="1284"/>
      <c r="F38" s="1284"/>
      <c r="G38" s="1284"/>
      <c r="H38" s="1284"/>
      <c r="I38" s="1284"/>
      <c r="J38" s="1284"/>
      <c r="K38" s="1284"/>
      <c r="L38" s="1284"/>
      <c r="M38" s="1284"/>
      <c r="N38" s="1284"/>
      <c r="O38" s="1284"/>
      <c r="P38" s="1284"/>
      <c r="Q38" s="1286"/>
      <c r="R38" s="1286"/>
      <c r="S38" s="1284"/>
      <c r="T38" s="1284"/>
      <c r="U38" s="1284"/>
      <c r="V38" s="1284"/>
      <c r="W38" s="1284"/>
      <c r="X38" s="1284"/>
      <c r="Y38" s="1284"/>
      <c r="Z38" s="1284"/>
      <c r="AA38" s="1284"/>
      <c r="AB38" s="1284"/>
      <c r="AC38" s="1284"/>
      <c r="AD38" s="1284"/>
      <c r="AE38" s="1284"/>
      <c r="AF38" s="1284"/>
      <c r="AG38" s="1284"/>
      <c r="AH38" s="1284"/>
      <c r="AI38" s="1284"/>
      <c r="AJ38" s="1284"/>
      <c r="AK38" s="1286"/>
      <c r="AL38" s="1286"/>
      <c r="AM38" s="1286"/>
      <c r="AN38" s="1286"/>
    </row>
    <row r="39" spans="1:40">
      <c r="A39" s="546" t="s">
        <v>293</v>
      </c>
      <c r="B39" s="350" t="s">
        <v>87</v>
      </c>
      <c r="C39" s="1286">
        <v>160544</v>
      </c>
      <c r="D39" s="1286">
        <v>1007069</v>
      </c>
      <c r="E39" s="1286">
        <v>117255</v>
      </c>
      <c r="F39" s="1286">
        <v>744055</v>
      </c>
      <c r="G39" s="1286">
        <v>100816</v>
      </c>
      <c r="H39" s="1286">
        <v>581430</v>
      </c>
      <c r="I39" s="1284">
        <v>261853</v>
      </c>
      <c r="J39" s="1284">
        <v>1314472</v>
      </c>
      <c r="K39" s="1284">
        <v>170838</v>
      </c>
      <c r="L39" s="1284">
        <v>1134173</v>
      </c>
      <c r="M39" s="1284">
        <v>150814</v>
      </c>
      <c r="N39" s="1284">
        <v>754854</v>
      </c>
      <c r="O39" s="1286">
        <v>102945</v>
      </c>
      <c r="P39" s="1286">
        <v>435358</v>
      </c>
      <c r="Q39" s="1286">
        <v>121343</v>
      </c>
      <c r="R39" s="1286">
        <v>737177</v>
      </c>
      <c r="S39" s="1284">
        <v>298943</v>
      </c>
      <c r="T39" s="1284">
        <v>1791423</v>
      </c>
      <c r="U39" s="1284">
        <v>51434</v>
      </c>
      <c r="V39" s="1284">
        <v>226475</v>
      </c>
      <c r="W39" s="1284">
        <v>328940</v>
      </c>
      <c r="X39" s="1284">
        <v>1876744</v>
      </c>
      <c r="Y39" s="1286">
        <v>556743</v>
      </c>
      <c r="Z39" s="1284">
        <v>3487810</v>
      </c>
      <c r="AA39" s="1284">
        <v>405993</v>
      </c>
      <c r="AB39" s="1284">
        <v>2635481</v>
      </c>
      <c r="AC39" s="1284">
        <v>311081</v>
      </c>
      <c r="AD39" s="1284">
        <v>2244377</v>
      </c>
      <c r="AE39" s="1284">
        <v>277486</v>
      </c>
      <c r="AF39" s="1284">
        <v>2271690</v>
      </c>
      <c r="AG39" s="1284">
        <v>301267.43</v>
      </c>
      <c r="AH39" s="1284">
        <v>2248441</v>
      </c>
      <c r="AI39" s="1286">
        <v>284164</v>
      </c>
      <c r="AJ39" s="1286">
        <v>2776441</v>
      </c>
      <c r="AK39" s="1286">
        <v>650749</v>
      </c>
      <c r="AL39" s="1286">
        <v>5631178</v>
      </c>
      <c r="AM39" s="1286">
        <v>477673</v>
      </c>
      <c r="AN39" s="1286">
        <v>4354630</v>
      </c>
    </row>
    <row r="40" spans="1:40">
      <c r="A40" s="546" t="s">
        <v>294</v>
      </c>
      <c r="B40" s="350" t="s">
        <v>87</v>
      </c>
      <c r="C40" s="1286">
        <v>58944</v>
      </c>
      <c r="D40" s="1286">
        <v>67107</v>
      </c>
      <c r="E40" s="1286">
        <v>6379</v>
      </c>
      <c r="F40" s="1286">
        <v>16098</v>
      </c>
      <c r="G40" s="1286">
        <v>22365</v>
      </c>
      <c r="H40" s="1286">
        <v>28965</v>
      </c>
      <c r="I40" s="1284">
        <v>5989</v>
      </c>
      <c r="J40" s="1284">
        <v>38905</v>
      </c>
      <c r="K40" s="1284">
        <v>24643</v>
      </c>
      <c r="L40" s="1284">
        <v>114215</v>
      </c>
      <c r="M40" s="1284">
        <v>44981</v>
      </c>
      <c r="N40" s="1284">
        <v>213086</v>
      </c>
      <c r="O40" s="1286">
        <v>30952</v>
      </c>
      <c r="P40" s="1286">
        <v>152200</v>
      </c>
      <c r="Q40" s="1284">
        <v>120716</v>
      </c>
      <c r="R40" s="1284">
        <v>620463</v>
      </c>
      <c r="S40" s="1284">
        <v>57740</v>
      </c>
      <c r="T40" s="1284">
        <v>283399</v>
      </c>
      <c r="U40" s="1284">
        <v>106280</v>
      </c>
      <c r="V40" s="1284">
        <v>525788</v>
      </c>
      <c r="W40" s="1284">
        <v>145017</v>
      </c>
      <c r="X40" s="1284">
        <v>739570</v>
      </c>
      <c r="Y40" s="1286">
        <v>177597</v>
      </c>
      <c r="Z40" s="1284">
        <v>1019434</v>
      </c>
      <c r="AA40" s="1284">
        <v>234063</v>
      </c>
      <c r="AB40" s="1284">
        <v>1326354</v>
      </c>
      <c r="AC40" s="1284">
        <v>182618</v>
      </c>
      <c r="AD40" s="1284">
        <v>1022704</v>
      </c>
      <c r="AE40" s="1284">
        <v>254165</v>
      </c>
      <c r="AF40" s="1284">
        <v>1668738</v>
      </c>
      <c r="AG40" s="1284">
        <v>222579.04</v>
      </c>
      <c r="AH40" s="1284">
        <v>1411176.5</v>
      </c>
      <c r="AI40" s="1286">
        <v>161947</v>
      </c>
      <c r="AJ40" s="1286">
        <v>1059089</v>
      </c>
      <c r="AK40" s="1286">
        <v>353191</v>
      </c>
      <c r="AL40" s="1286">
        <v>1300475</v>
      </c>
      <c r="AM40" s="1286">
        <v>154806</v>
      </c>
      <c r="AN40" s="1286">
        <v>1088798</v>
      </c>
    </row>
    <row r="41" spans="1:40">
      <c r="A41" s="546" t="s">
        <v>295</v>
      </c>
      <c r="B41" s="350" t="s">
        <v>87</v>
      </c>
      <c r="C41" s="1286">
        <v>46524</v>
      </c>
      <c r="D41" s="1286">
        <v>92686</v>
      </c>
      <c r="E41" s="1286">
        <v>46524</v>
      </c>
      <c r="F41" s="1286">
        <v>92686</v>
      </c>
      <c r="G41" s="1286">
        <v>116222</v>
      </c>
      <c r="H41" s="1286">
        <v>187560</v>
      </c>
      <c r="I41" s="1284">
        <v>90056</v>
      </c>
      <c r="J41" s="1284">
        <v>1237914</v>
      </c>
      <c r="K41" s="1284">
        <v>180494</v>
      </c>
      <c r="L41" s="1284">
        <v>1672350</v>
      </c>
      <c r="M41" s="1284">
        <v>108198</v>
      </c>
      <c r="N41" s="1284">
        <v>800585</v>
      </c>
      <c r="O41" s="1286">
        <v>43135</v>
      </c>
      <c r="P41" s="1286">
        <v>454534</v>
      </c>
      <c r="Q41" s="1286">
        <v>144617</v>
      </c>
      <c r="R41" s="1286">
        <v>538908</v>
      </c>
      <c r="S41" s="1284">
        <v>58614</v>
      </c>
      <c r="T41" s="1284">
        <v>494327</v>
      </c>
      <c r="U41" s="1284">
        <v>144732</v>
      </c>
      <c r="V41" s="1284">
        <v>2054589</v>
      </c>
      <c r="W41" s="1284">
        <v>47001</v>
      </c>
      <c r="X41" s="1284">
        <v>692168</v>
      </c>
      <c r="Y41" s="1286">
        <v>261652</v>
      </c>
      <c r="Z41" s="1284">
        <v>1711061</v>
      </c>
      <c r="AA41" s="1284">
        <v>404438</v>
      </c>
      <c r="AB41" s="1284">
        <v>2525448</v>
      </c>
      <c r="AC41" s="1284">
        <v>425434</v>
      </c>
      <c r="AD41" s="1284">
        <v>2670997</v>
      </c>
      <c r="AE41" s="1284">
        <v>310114</v>
      </c>
      <c r="AF41" s="1284">
        <v>2090288</v>
      </c>
      <c r="AG41" s="1284">
        <v>221596.01</v>
      </c>
      <c r="AH41" s="1284">
        <v>1551019</v>
      </c>
      <c r="AI41" s="1286">
        <v>251360</v>
      </c>
      <c r="AJ41" s="1286">
        <v>2074419</v>
      </c>
      <c r="AK41" s="1286">
        <v>249449</v>
      </c>
      <c r="AL41" s="1286">
        <v>1625004</v>
      </c>
      <c r="AM41" s="1286">
        <v>350834</v>
      </c>
      <c r="AN41" s="1286">
        <v>3465632</v>
      </c>
    </row>
    <row r="42" spans="1:40">
      <c r="A42" s="546" t="s">
        <v>296</v>
      </c>
      <c r="B42" s="350" t="s">
        <v>87</v>
      </c>
      <c r="C42" s="1286">
        <v>594017</v>
      </c>
      <c r="D42" s="1286">
        <v>1007661</v>
      </c>
      <c r="E42" s="1286">
        <v>886091</v>
      </c>
      <c r="F42" s="1286">
        <v>1660770</v>
      </c>
      <c r="G42" s="1286">
        <v>1271826</v>
      </c>
      <c r="H42" s="1286">
        <v>3786995</v>
      </c>
      <c r="I42" s="1284">
        <v>580514</v>
      </c>
      <c r="J42" s="1284">
        <v>1651086</v>
      </c>
      <c r="K42" s="1284">
        <v>757976</v>
      </c>
      <c r="L42" s="1284">
        <v>2142695</v>
      </c>
      <c r="M42" s="1284">
        <v>729863</v>
      </c>
      <c r="N42" s="1284">
        <v>2693633</v>
      </c>
      <c r="O42" s="1284">
        <v>0</v>
      </c>
      <c r="P42" s="1284">
        <v>0</v>
      </c>
      <c r="Q42" s="1286">
        <v>1031609</v>
      </c>
      <c r="R42" s="1286">
        <v>5752069</v>
      </c>
      <c r="S42" s="1284">
        <v>1304088</v>
      </c>
      <c r="T42" s="1284">
        <v>6098122</v>
      </c>
      <c r="U42" s="1284">
        <v>2434032</v>
      </c>
      <c r="V42" s="1284">
        <v>9927160</v>
      </c>
      <c r="W42" s="1284">
        <v>1927572</v>
      </c>
      <c r="X42" s="1284">
        <v>9090488</v>
      </c>
      <c r="Y42" s="1286">
        <v>1353346</v>
      </c>
      <c r="Z42" s="1284">
        <v>5968708</v>
      </c>
      <c r="AA42" s="1284">
        <v>1623046</v>
      </c>
      <c r="AB42" s="1284">
        <v>7594735</v>
      </c>
      <c r="AC42" s="1284">
        <v>1788494</v>
      </c>
      <c r="AD42" s="1284">
        <v>8426742</v>
      </c>
      <c r="AE42" s="1284">
        <v>1934437.5</v>
      </c>
      <c r="AF42" s="1284">
        <v>8754554</v>
      </c>
      <c r="AG42" s="1284">
        <v>1705099.34</v>
      </c>
      <c r="AH42" s="1284">
        <v>7830707.0600000005</v>
      </c>
      <c r="AI42" s="1286">
        <v>1174861</v>
      </c>
      <c r="AJ42" s="1286">
        <v>5874215</v>
      </c>
      <c r="AK42" s="1286">
        <v>1544804</v>
      </c>
      <c r="AL42" s="1286">
        <v>6964844</v>
      </c>
      <c r="AM42" s="1286">
        <v>1436049</v>
      </c>
      <c r="AN42" s="1286">
        <v>7291151</v>
      </c>
    </row>
    <row r="43" spans="1:40">
      <c r="A43" s="546" t="s">
        <v>196</v>
      </c>
      <c r="B43" s="350" t="s">
        <v>87</v>
      </c>
      <c r="C43" s="1286">
        <v>0</v>
      </c>
      <c r="D43" s="1286">
        <v>0</v>
      </c>
      <c r="E43" s="1286">
        <v>0</v>
      </c>
      <c r="F43" s="1286">
        <v>0</v>
      </c>
      <c r="G43" s="1286">
        <v>20</v>
      </c>
      <c r="H43" s="1286">
        <v>40</v>
      </c>
      <c r="I43" s="1284">
        <v>0</v>
      </c>
      <c r="J43" s="1284">
        <v>0</v>
      </c>
      <c r="K43" s="1284">
        <v>0</v>
      </c>
      <c r="L43" s="1284">
        <v>0</v>
      </c>
      <c r="M43" s="1284">
        <v>0</v>
      </c>
      <c r="N43" s="1284">
        <v>0</v>
      </c>
      <c r="O43" s="1286">
        <v>548673</v>
      </c>
      <c r="P43" s="1286">
        <v>2327258</v>
      </c>
      <c r="Q43" s="1284">
        <v>0</v>
      </c>
      <c r="R43" s="1284">
        <v>0</v>
      </c>
      <c r="S43" s="1284">
        <v>0</v>
      </c>
      <c r="T43" s="1284">
        <v>0</v>
      </c>
      <c r="U43" s="1284">
        <v>0</v>
      </c>
      <c r="V43" s="1284">
        <v>0</v>
      </c>
      <c r="W43" s="1284">
        <v>92</v>
      </c>
      <c r="X43" s="1284">
        <v>21823</v>
      </c>
      <c r="Y43" s="1286">
        <v>0</v>
      </c>
      <c r="Z43" s="1284">
        <v>0</v>
      </c>
      <c r="AA43" s="1284">
        <v>0</v>
      </c>
      <c r="AB43" s="1284">
        <v>0</v>
      </c>
      <c r="AC43" s="1284">
        <v>0</v>
      </c>
      <c r="AD43" s="1284">
        <v>0</v>
      </c>
      <c r="AE43" s="1284">
        <v>0</v>
      </c>
      <c r="AF43" s="1284">
        <v>0</v>
      </c>
      <c r="AG43" s="1284">
        <v>0</v>
      </c>
      <c r="AH43" s="1284">
        <v>0</v>
      </c>
      <c r="AI43" s="1286">
        <v>1100</v>
      </c>
      <c r="AJ43" s="1286">
        <v>55000</v>
      </c>
      <c r="AK43" s="1286">
        <v>300</v>
      </c>
      <c r="AL43" s="1286">
        <v>16500</v>
      </c>
      <c r="AM43" s="1286">
        <v>568</v>
      </c>
      <c r="AN43" s="1286">
        <v>31240</v>
      </c>
    </row>
    <row r="44" spans="1:40">
      <c r="A44" s="547" t="s">
        <v>197</v>
      </c>
      <c r="B44" s="349"/>
      <c r="C44" s="1284"/>
      <c r="D44" s="1284">
        <f>SUM(D39:D43)</f>
        <v>2174523</v>
      </c>
      <c r="E44" s="1284"/>
      <c r="F44" s="1284">
        <f>SUM(F39:F43)</f>
        <v>2513609</v>
      </c>
      <c r="G44" s="1284"/>
      <c r="H44" s="1284">
        <f>SUM(H39:H43)</f>
        <v>4584990</v>
      </c>
      <c r="I44" s="1284"/>
      <c r="J44" s="1284">
        <f>SUM(J39:J43)</f>
        <v>4242377</v>
      </c>
      <c r="K44" s="1284"/>
      <c r="L44" s="1284">
        <v>5063433</v>
      </c>
      <c r="M44" s="1284"/>
      <c r="N44" s="1284">
        <f>SUM(N39:N43)</f>
        <v>4462158</v>
      </c>
      <c r="O44" s="1284"/>
      <c r="P44" s="1286">
        <f>SUM(P39:P43)</f>
        <v>3369350</v>
      </c>
      <c r="Q44" s="1286"/>
      <c r="R44" s="1286">
        <v>7648617</v>
      </c>
      <c r="S44" s="1284"/>
      <c r="T44" s="1286">
        <v>8667271</v>
      </c>
      <c r="U44" s="1284"/>
      <c r="V44" s="1284">
        <v>12734012</v>
      </c>
      <c r="W44" s="1284"/>
      <c r="X44" s="1284">
        <v>12420793</v>
      </c>
      <c r="Y44" s="1284"/>
      <c r="Z44" s="1284">
        <v>12187013</v>
      </c>
      <c r="AA44" s="1284"/>
      <c r="AB44" s="1284">
        <v>14082018</v>
      </c>
      <c r="AC44" s="1284"/>
      <c r="AD44" s="1284">
        <v>14364820</v>
      </c>
      <c r="AE44" s="1285"/>
      <c r="AF44" s="1284">
        <v>14785270</v>
      </c>
      <c r="AG44" s="1284"/>
      <c r="AH44" s="1284">
        <v>13041343.560000001</v>
      </c>
      <c r="AI44" s="1284"/>
      <c r="AJ44" s="1286">
        <f>SUM(AJ39:AJ43)</f>
        <v>11839164</v>
      </c>
      <c r="AK44" s="1286"/>
      <c r="AL44" s="1286">
        <f>SUM(AL39:AL43)</f>
        <v>15538001</v>
      </c>
      <c r="AM44" s="1286"/>
      <c r="AN44" s="1286">
        <f>SUM(AN39:AN43)</f>
        <v>16231451</v>
      </c>
    </row>
    <row r="45" spans="1:40">
      <c r="A45" s="362"/>
      <c r="B45" s="351"/>
      <c r="C45" s="1280"/>
      <c r="D45" s="1280"/>
      <c r="E45" s="1280"/>
      <c r="F45" s="1280"/>
      <c r="G45" s="1280"/>
      <c r="H45" s="1280"/>
      <c r="I45" s="1280"/>
      <c r="J45" s="1280"/>
      <c r="K45" s="1280"/>
      <c r="L45" s="1280"/>
      <c r="M45" s="1280"/>
      <c r="N45" s="1280"/>
      <c r="O45" s="1280"/>
      <c r="P45" s="1279"/>
      <c r="Q45" s="1279"/>
      <c r="R45" s="1279"/>
      <c r="S45" s="1280"/>
      <c r="T45" s="1279"/>
      <c r="U45" s="1280"/>
      <c r="V45" s="1279"/>
      <c r="W45" s="1280"/>
      <c r="X45" s="1279"/>
      <c r="Y45" s="1280"/>
      <c r="Z45" s="1279"/>
      <c r="AA45" s="1280"/>
      <c r="AB45" s="1280"/>
      <c r="AC45" s="1280"/>
      <c r="AD45" s="1280"/>
      <c r="AE45" s="1280"/>
      <c r="AF45" s="1280"/>
      <c r="AG45" s="1280"/>
      <c r="AH45" s="1280"/>
      <c r="AI45" s="1280"/>
      <c r="AJ45" s="1279"/>
      <c r="AK45" s="1279"/>
      <c r="AL45" s="1279"/>
      <c r="AM45" s="1280"/>
      <c r="AN45" s="1279"/>
    </row>
    <row r="46" spans="1:40">
      <c r="A46" s="366" t="s">
        <v>198</v>
      </c>
      <c r="B46" s="207" t="s">
        <v>199</v>
      </c>
      <c r="C46" s="268">
        <v>5569285</v>
      </c>
      <c r="D46" s="268">
        <v>45056768</v>
      </c>
      <c r="E46" s="268">
        <v>17472460</v>
      </c>
      <c r="F46" s="268">
        <v>147567905</v>
      </c>
      <c r="G46" s="268">
        <v>32164524</v>
      </c>
      <c r="H46" s="268">
        <v>284094805</v>
      </c>
      <c r="I46" s="307">
        <v>30218355</v>
      </c>
      <c r="J46" s="307">
        <v>248202718</v>
      </c>
      <c r="K46" s="307">
        <v>36470380</v>
      </c>
      <c r="L46" s="307">
        <v>354745556</v>
      </c>
      <c r="M46" s="307">
        <v>33854620</v>
      </c>
      <c r="N46" s="307">
        <v>413583727</v>
      </c>
      <c r="O46" s="1283">
        <v>29964155</v>
      </c>
      <c r="P46" s="1283">
        <v>435725448</v>
      </c>
      <c r="Q46" s="268">
        <v>47485294</v>
      </c>
      <c r="R46" s="268">
        <v>564768721</v>
      </c>
      <c r="S46" s="307">
        <v>24827163</v>
      </c>
      <c r="T46" s="307">
        <v>519981370</v>
      </c>
      <c r="U46" s="307">
        <v>28864319</v>
      </c>
      <c r="V46" s="307">
        <v>476747331</v>
      </c>
      <c r="W46" s="307">
        <v>23931476</v>
      </c>
      <c r="X46" s="307">
        <v>480031071</v>
      </c>
      <c r="Y46" s="1283">
        <v>33522991</v>
      </c>
      <c r="Z46" s="307">
        <v>525213116</v>
      </c>
      <c r="AA46" s="281">
        <v>52521276</v>
      </c>
      <c r="AB46" s="281">
        <v>395793806</v>
      </c>
      <c r="AC46" s="307">
        <v>42483235</v>
      </c>
      <c r="AD46" s="307">
        <v>537870611</v>
      </c>
      <c r="AE46" s="281">
        <v>51230582</v>
      </c>
      <c r="AF46" s="281">
        <v>610435064</v>
      </c>
      <c r="AG46" s="281">
        <v>50984633</v>
      </c>
      <c r="AH46" s="281">
        <v>703669937</v>
      </c>
      <c r="AI46" s="268">
        <v>25419431</v>
      </c>
      <c r="AJ46" s="268">
        <v>614453364</v>
      </c>
      <c r="AK46" s="268">
        <v>25694968</v>
      </c>
      <c r="AL46" s="268">
        <v>489339885</v>
      </c>
      <c r="AM46" s="268">
        <v>38891107</v>
      </c>
      <c r="AN46" s="268">
        <v>773323675</v>
      </c>
    </row>
    <row r="47" spans="1:40">
      <c r="A47" s="204"/>
      <c r="B47" s="207"/>
      <c r="C47" s="268"/>
      <c r="D47" s="268"/>
      <c r="E47" s="268"/>
      <c r="F47" s="268"/>
      <c r="G47" s="268"/>
      <c r="H47" s="268"/>
      <c r="I47" s="307"/>
      <c r="J47" s="307"/>
      <c r="K47" s="268"/>
      <c r="L47" s="268"/>
      <c r="M47" s="307"/>
      <c r="N47" s="307"/>
      <c r="O47" s="1283"/>
      <c r="P47" s="1283"/>
      <c r="Q47" s="281"/>
      <c r="R47" s="281"/>
      <c r="U47" s="307"/>
      <c r="V47" s="307"/>
      <c r="W47" s="307"/>
      <c r="X47" s="307"/>
      <c r="Y47" s="1283"/>
      <c r="Z47" s="307"/>
      <c r="AA47" s="281"/>
      <c r="AB47" s="281"/>
      <c r="AC47" s="307"/>
      <c r="AD47" s="307"/>
      <c r="AE47" s="281"/>
      <c r="AF47" s="281"/>
      <c r="AG47" s="281"/>
      <c r="AH47" s="281"/>
      <c r="AI47" s="268"/>
      <c r="AJ47" s="268"/>
      <c r="AK47" s="268"/>
      <c r="AL47" s="268"/>
      <c r="AM47" s="268"/>
      <c r="AN47" s="268"/>
    </row>
    <row r="48" spans="1:40">
      <c r="A48" s="545" t="s">
        <v>200</v>
      </c>
      <c r="B48" s="350" t="s">
        <v>87</v>
      </c>
      <c r="C48" s="1286">
        <v>257</v>
      </c>
      <c r="D48" s="1286">
        <v>1029</v>
      </c>
      <c r="E48" s="1286">
        <v>1638</v>
      </c>
      <c r="F48" s="1286">
        <v>8450</v>
      </c>
      <c r="G48" s="1286">
        <v>401</v>
      </c>
      <c r="H48" s="1286">
        <v>2006</v>
      </c>
      <c r="I48" s="1284">
        <v>124</v>
      </c>
      <c r="J48" s="1284">
        <v>682</v>
      </c>
      <c r="K48" s="1284">
        <v>0</v>
      </c>
      <c r="L48" s="1284">
        <v>0</v>
      </c>
      <c r="M48" s="1284">
        <v>0</v>
      </c>
      <c r="N48" s="1284">
        <v>0</v>
      </c>
      <c r="O48" s="1286">
        <v>22</v>
      </c>
      <c r="P48" s="1286">
        <v>160</v>
      </c>
      <c r="Q48" s="1284">
        <v>169</v>
      </c>
      <c r="R48" s="1284">
        <v>1300</v>
      </c>
      <c r="S48" s="1284">
        <v>445</v>
      </c>
      <c r="T48" s="1284">
        <v>5171</v>
      </c>
      <c r="U48" s="1284">
        <v>0</v>
      </c>
      <c r="V48" s="1284">
        <v>0</v>
      </c>
      <c r="W48" s="1284">
        <v>9636</v>
      </c>
      <c r="X48" s="1284">
        <v>77062</v>
      </c>
      <c r="Y48" s="1286">
        <v>0</v>
      </c>
      <c r="Z48" s="1284">
        <v>0</v>
      </c>
      <c r="AA48" s="1286">
        <v>0</v>
      </c>
      <c r="AB48" s="1284">
        <v>0</v>
      </c>
      <c r="AC48" s="1286">
        <v>0</v>
      </c>
      <c r="AD48" s="1284">
        <v>0</v>
      </c>
      <c r="AE48" s="1286">
        <v>0</v>
      </c>
      <c r="AF48" s="1284">
        <v>0</v>
      </c>
      <c r="AG48" s="1286">
        <v>0</v>
      </c>
      <c r="AH48" s="1284">
        <v>0</v>
      </c>
      <c r="AI48" s="1286">
        <v>0</v>
      </c>
      <c r="AJ48" s="1284">
        <v>0</v>
      </c>
      <c r="AK48" s="1286">
        <v>0</v>
      </c>
      <c r="AL48" s="1284">
        <v>0</v>
      </c>
      <c r="AM48" s="1286">
        <v>0</v>
      </c>
      <c r="AN48" s="1284">
        <v>0</v>
      </c>
    </row>
    <row r="49" spans="1:40">
      <c r="A49" s="362"/>
      <c r="B49" s="353"/>
      <c r="C49" s="1279"/>
      <c r="D49" s="1279"/>
      <c r="E49" s="1279"/>
      <c r="F49" s="1279"/>
      <c r="G49" s="1279"/>
      <c r="H49" s="1279"/>
      <c r="I49" s="1279"/>
      <c r="J49" s="1279"/>
      <c r="K49" s="1280"/>
      <c r="L49" s="1280"/>
      <c r="M49" s="1280"/>
      <c r="N49" s="1280"/>
      <c r="O49" s="1279"/>
      <c r="P49" s="1279"/>
      <c r="Q49" s="1279"/>
      <c r="R49" s="1279"/>
      <c r="S49" s="1280"/>
      <c r="T49" s="1280"/>
      <c r="U49" s="1280"/>
      <c r="V49" s="1280"/>
      <c r="W49" s="1280"/>
      <c r="X49" s="1280"/>
      <c r="Y49" s="1280"/>
      <c r="Z49" s="1280"/>
      <c r="AA49" s="1280"/>
      <c r="AB49" s="1280"/>
      <c r="AC49" s="1280"/>
      <c r="AD49" s="1280"/>
      <c r="AE49" s="1280"/>
      <c r="AF49" s="1280"/>
      <c r="AG49" s="1280"/>
      <c r="AH49" s="1280"/>
      <c r="AI49" s="1279"/>
      <c r="AJ49" s="1279"/>
      <c r="AK49" s="1279"/>
      <c r="AL49" s="1279"/>
      <c r="AM49" s="1279"/>
      <c r="AN49" s="1279"/>
    </row>
    <row r="50" spans="1:40">
      <c r="A50" s="366" t="s">
        <v>201</v>
      </c>
      <c r="B50" s="330"/>
      <c r="C50" s="281"/>
      <c r="D50" s="281"/>
      <c r="E50" s="281"/>
      <c r="F50" s="281"/>
      <c r="G50" s="281"/>
      <c r="H50" s="281"/>
      <c r="I50" s="281"/>
      <c r="J50" s="281"/>
      <c r="K50" s="268"/>
      <c r="L50" s="268"/>
      <c r="M50" s="307"/>
      <c r="N50" s="307"/>
      <c r="O50" s="1283"/>
      <c r="P50" s="1283"/>
      <c r="Q50" s="268"/>
      <c r="R50" s="268"/>
      <c r="U50" s="307"/>
      <c r="V50" s="307"/>
      <c r="W50" s="307"/>
      <c r="X50" s="307"/>
      <c r="Y50" s="281"/>
      <c r="Z50" s="281"/>
      <c r="AA50" s="281"/>
      <c r="AB50" s="281"/>
      <c r="AC50" s="281"/>
      <c r="AD50" s="281"/>
      <c r="AE50" s="281"/>
      <c r="AF50" s="281"/>
      <c r="AG50" s="281"/>
      <c r="AH50" s="281"/>
      <c r="AI50" s="268"/>
      <c r="AJ50" s="268"/>
      <c r="AK50" s="268"/>
      <c r="AL50" s="268"/>
      <c r="AM50" s="268"/>
      <c r="AN50" s="268"/>
    </row>
    <row r="51" spans="1:40">
      <c r="A51" s="367" t="s">
        <v>203</v>
      </c>
      <c r="B51" s="207" t="s">
        <v>87</v>
      </c>
      <c r="C51" s="281">
        <v>0</v>
      </c>
      <c r="D51" s="281">
        <v>0</v>
      </c>
      <c r="E51" s="268">
        <v>145</v>
      </c>
      <c r="F51" s="268">
        <v>45000</v>
      </c>
      <c r="G51" s="268">
        <v>585</v>
      </c>
      <c r="H51" s="268">
        <v>50000</v>
      </c>
      <c r="I51" s="307">
        <v>0</v>
      </c>
      <c r="J51" s="307">
        <v>0</v>
      </c>
      <c r="K51" s="307">
        <v>0</v>
      </c>
      <c r="L51" s="307">
        <v>0</v>
      </c>
      <c r="M51" s="307">
        <v>1239</v>
      </c>
      <c r="N51" s="307">
        <v>1789485</v>
      </c>
      <c r="O51" s="1283">
        <v>249</v>
      </c>
      <c r="P51" s="1283">
        <v>76706</v>
      </c>
      <c r="Q51" s="268">
        <v>5687</v>
      </c>
      <c r="R51" s="268">
        <v>1932444</v>
      </c>
      <c r="S51" s="307">
        <v>1486</v>
      </c>
      <c r="T51" s="307">
        <v>443200</v>
      </c>
      <c r="U51" s="307">
        <v>1762</v>
      </c>
      <c r="V51" s="307">
        <v>485121</v>
      </c>
      <c r="W51" s="281">
        <v>571</v>
      </c>
      <c r="X51" s="281">
        <v>171408</v>
      </c>
      <c r="Y51" s="268">
        <v>0</v>
      </c>
      <c r="Z51" s="281">
        <v>0</v>
      </c>
      <c r="AA51" s="281">
        <v>946</v>
      </c>
      <c r="AB51" s="281">
        <v>283695</v>
      </c>
      <c r="AC51" s="281">
        <v>958</v>
      </c>
      <c r="AD51" s="281">
        <v>287457</v>
      </c>
      <c r="AE51" s="281">
        <v>0</v>
      </c>
      <c r="AF51" s="281">
        <v>0</v>
      </c>
      <c r="AG51" s="281">
        <v>0</v>
      </c>
      <c r="AH51" s="281">
        <v>0</v>
      </c>
      <c r="AI51" s="268">
        <v>0</v>
      </c>
      <c r="AJ51" s="268">
        <v>0</v>
      </c>
      <c r="AK51" s="268">
        <v>0</v>
      </c>
      <c r="AL51" s="268">
        <v>0</v>
      </c>
      <c r="AM51" s="268">
        <v>0</v>
      </c>
      <c r="AN51" s="268">
        <v>0</v>
      </c>
    </row>
    <row r="52" spans="1:40">
      <c r="A52" s="367" t="s">
        <v>204</v>
      </c>
      <c r="B52" s="207" t="s">
        <v>87</v>
      </c>
      <c r="C52" s="281">
        <v>0</v>
      </c>
      <c r="D52" s="281">
        <v>0</v>
      </c>
      <c r="E52" s="281">
        <v>0</v>
      </c>
      <c r="F52" s="281">
        <v>0</v>
      </c>
      <c r="G52" s="281">
        <v>0</v>
      </c>
      <c r="H52" s="281">
        <v>0</v>
      </c>
      <c r="I52" s="281">
        <v>0</v>
      </c>
      <c r="J52" s="281">
        <v>0</v>
      </c>
      <c r="K52" s="281">
        <v>0</v>
      </c>
      <c r="L52" s="281">
        <v>0</v>
      </c>
      <c r="M52" s="281">
        <v>0</v>
      </c>
      <c r="N52" s="281">
        <v>0</v>
      </c>
      <c r="O52" s="281">
        <v>0</v>
      </c>
      <c r="P52" s="281">
        <v>0</v>
      </c>
      <c r="Q52" s="281">
        <v>0</v>
      </c>
      <c r="R52" s="281">
        <v>0</v>
      </c>
      <c r="S52" s="281">
        <v>0</v>
      </c>
      <c r="T52" s="281">
        <v>0</v>
      </c>
      <c r="U52" s="281">
        <v>0</v>
      </c>
      <c r="V52" s="281">
        <v>0</v>
      </c>
      <c r="W52" s="281">
        <v>0</v>
      </c>
      <c r="X52" s="281">
        <v>0</v>
      </c>
      <c r="Y52" s="268">
        <v>40</v>
      </c>
      <c r="Z52" s="281">
        <v>12000</v>
      </c>
      <c r="AA52" s="281">
        <v>220</v>
      </c>
      <c r="AB52" s="281">
        <v>11000</v>
      </c>
      <c r="AC52" s="281">
        <v>391</v>
      </c>
      <c r="AD52" s="281">
        <v>80800</v>
      </c>
      <c r="AE52" s="281">
        <v>5177</v>
      </c>
      <c r="AF52" s="281">
        <v>950000</v>
      </c>
      <c r="AG52" s="281">
        <v>2990</v>
      </c>
      <c r="AH52" s="281">
        <v>621780</v>
      </c>
      <c r="AI52" s="268">
        <v>1448</v>
      </c>
      <c r="AJ52" s="268">
        <v>366995</v>
      </c>
      <c r="AK52" s="268">
        <v>802</v>
      </c>
      <c r="AL52" s="268">
        <v>176531</v>
      </c>
      <c r="AM52" s="268">
        <v>769</v>
      </c>
      <c r="AN52" s="268">
        <v>212485</v>
      </c>
    </row>
    <row r="53" spans="1:40">
      <c r="A53" s="367" t="s">
        <v>205</v>
      </c>
      <c r="B53" s="207" t="s">
        <v>87</v>
      </c>
      <c r="C53" s="281">
        <v>0</v>
      </c>
      <c r="D53" s="281">
        <v>0</v>
      </c>
      <c r="E53" s="281">
        <v>0</v>
      </c>
      <c r="F53" s="281">
        <v>0</v>
      </c>
      <c r="G53" s="281">
        <v>0</v>
      </c>
      <c r="H53" s="281">
        <v>0</v>
      </c>
      <c r="I53" s="281">
        <v>0</v>
      </c>
      <c r="J53" s="281">
        <v>0</v>
      </c>
      <c r="K53" s="281">
        <v>0</v>
      </c>
      <c r="L53" s="281">
        <v>0</v>
      </c>
      <c r="M53" s="281">
        <v>0</v>
      </c>
      <c r="N53" s="281">
        <v>0</v>
      </c>
      <c r="O53" s="281">
        <v>0</v>
      </c>
      <c r="P53" s="281">
        <v>0</v>
      </c>
      <c r="Q53" s="281">
        <v>0</v>
      </c>
      <c r="R53" s="281">
        <v>0</v>
      </c>
      <c r="S53" s="281">
        <v>0</v>
      </c>
      <c r="T53" s="281">
        <v>0</v>
      </c>
      <c r="U53" s="281">
        <v>0</v>
      </c>
      <c r="V53" s="281">
        <v>0</v>
      </c>
      <c r="W53" s="281">
        <v>0</v>
      </c>
      <c r="X53" s="281">
        <v>0</v>
      </c>
      <c r="Y53" s="268">
        <v>25</v>
      </c>
      <c r="Z53" s="281">
        <v>9016</v>
      </c>
      <c r="AA53" s="281">
        <v>0</v>
      </c>
      <c r="AB53" s="281">
        <v>0</v>
      </c>
      <c r="AC53" s="281">
        <v>0</v>
      </c>
      <c r="AD53" s="281">
        <v>0</v>
      </c>
      <c r="AE53" s="281">
        <v>0</v>
      </c>
      <c r="AF53" s="281">
        <v>0</v>
      </c>
      <c r="AG53" s="281">
        <v>0</v>
      </c>
      <c r="AH53" s="281">
        <v>0</v>
      </c>
      <c r="AI53" s="281">
        <v>0</v>
      </c>
      <c r="AJ53" s="281">
        <v>0</v>
      </c>
      <c r="AK53" s="281">
        <v>0</v>
      </c>
      <c r="AL53" s="281">
        <v>0</v>
      </c>
      <c r="AM53" s="268">
        <v>0</v>
      </c>
      <c r="AN53" s="268">
        <v>0</v>
      </c>
    </row>
    <row r="54" spans="1:40">
      <c r="A54" s="367" t="s">
        <v>206</v>
      </c>
      <c r="B54" s="207" t="s">
        <v>87</v>
      </c>
      <c r="C54" s="281">
        <v>0</v>
      </c>
      <c r="D54" s="281">
        <v>0</v>
      </c>
      <c r="E54" s="281">
        <v>0</v>
      </c>
      <c r="F54" s="281">
        <v>0</v>
      </c>
      <c r="G54" s="281">
        <v>0</v>
      </c>
      <c r="H54" s="281">
        <v>0</v>
      </c>
      <c r="I54" s="281">
        <v>0</v>
      </c>
      <c r="J54" s="281">
        <v>0</v>
      </c>
      <c r="K54" s="281">
        <v>0</v>
      </c>
      <c r="L54" s="281">
        <v>0</v>
      </c>
      <c r="M54" s="281">
        <v>0</v>
      </c>
      <c r="N54" s="281">
        <v>0</v>
      </c>
      <c r="O54" s="281">
        <v>0</v>
      </c>
      <c r="P54" s="281">
        <v>0</v>
      </c>
      <c r="Q54" s="281">
        <v>0</v>
      </c>
      <c r="R54" s="281">
        <v>0</v>
      </c>
      <c r="S54" s="281">
        <v>0</v>
      </c>
      <c r="T54" s="281">
        <v>0</v>
      </c>
      <c r="U54" s="281">
        <v>0</v>
      </c>
      <c r="V54" s="281">
        <v>0</v>
      </c>
      <c r="W54" s="281">
        <v>0</v>
      </c>
      <c r="X54" s="281">
        <v>0</v>
      </c>
      <c r="Y54" s="281">
        <v>0</v>
      </c>
      <c r="Z54" s="281">
        <v>0</v>
      </c>
      <c r="AA54" s="281">
        <v>0</v>
      </c>
      <c r="AB54" s="281">
        <v>0</v>
      </c>
      <c r="AC54" s="281">
        <v>0</v>
      </c>
      <c r="AD54" s="281">
        <v>0</v>
      </c>
      <c r="AE54" s="281">
        <v>0</v>
      </c>
      <c r="AF54" s="281">
        <v>0</v>
      </c>
      <c r="AG54" s="281">
        <v>0</v>
      </c>
      <c r="AH54" s="281">
        <v>0</v>
      </c>
      <c r="AI54" s="281">
        <v>0</v>
      </c>
      <c r="AJ54" s="281">
        <v>0</v>
      </c>
      <c r="AK54" s="281">
        <v>0</v>
      </c>
      <c r="AL54" s="281">
        <v>0</v>
      </c>
      <c r="AM54" s="268">
        <v>0</v>
      </c>
      <c r="AN54" s="268">
        <v>0</v>
      </c>
    </row>
    <row r="55" spans="1:40">
      <c r="A55" s="367" t="s">
        <v>207</v>
      </c>
      <c r="B55" s="207" t="s">
        <v>87</v>
      </c>
      <c r="C55" s="281">
        <v>0</v>
      </c>
      <c r="D55" s="281">
        <v>0</v>
      </c>
      <c r="E55" s="281">
        <v>0</v>
      </c>
      <c r="F55" s="281">
        <v>0</v>
      </c>
      <c r="G55" s="281">
        <v>0</v>
      </c>
      <c r="H55" s="281">
        <v>0</v>
      </c>
      <c r="I55" s="281">
        <v>0</v>
      </c>
      <c r="J55" s="281">
        <v>0</v>
      </c>
      <c r="K55" s="281">
        <v>0</v>
      </c>
      <c r="L55" s="281">
        <v>0</v>
      </c>
      <c r="M55" s="281">
        <v>0</v>
      </c>
      <c r="N55" s="281">
        <v>0</v>
      </c>
      <c r="O55" s="281">
        <v>0</v>
      </c>
      <c r="P55" s="281">
        <v>0</v>
      </c>
      <c r="Q55" s="281">
        <v>0</v>
      </c>
      <c r="R55" s="281">
        <v>0</v>
      </c>
      <c r="S55" s="281">
        <v>0</v>
      </c>
      <c r="T55" s="281">
        <v>0</v>
      </c>
      <c r="U55" s="281">
        <v>0</v>
      </c>
      <c r="V55" s="281">
        <v>0</v>
      </c>
      <c r="W55" s="281">
        <v>0</v>
      </c>
      <c r="X55" s="281">
        <v>0</v>
      </c>
      <c r="Y55" s="268">
        <v>0</v>
      </c>
      <c r="Z55" s="281">
        <v>0</v>
      </c>
      <c r="AA55" s="281">
        <v>0</v>
      </c>
      <c r="AB55" s="281">
        <v>0</v>
      </c>
      <c r="AC55" s="281">
        <v>0</v>
      </c>
      <c r="AD55" s="281">
        <v>0</v>
      </c>
      <c r="AE55" s="281">
        <v>984</v>
      </c>
      <c r="AF55" s="281">
        <v>594880</v>
      </c>
      <c r="AG55" s="281">
        <v>0</v>
      </c>
      <c r="AH55" s="281">
        <v>0</v>
      </c>
      <c r="AI55" s="268">
        <v>131.33000000000001</v>
      </c>
      <c r="AJ55" s="268">
        <v>48640</v>
      </c>
      <c r="AK55" s="268">
        <v>267</v>
      </c>
      <c r="AL55" s="268">
        <v>94530</v>
      </c>
      <c r="AM55" s="268">
        <v>619</v>
      </c>
      <c r="AN55" s="268">
        <v>216509</v>
      </c>
    </row>
    <row r="56" spans="1:40">
      <c r="A56" s="367" t="s">
        <v>39</v>
      </c>
      <c r="B56" s="207" t="s">
        <v>87</v>
      </c>
      <c r="C56" s="281">
        <v>0</v>
      </c>
      <c r="D56" s="281">
        <v>0</v>
      </c>
      <c r="E56" s="281">
        <v>0</v>
      </c>
      <c r="F56" s="281">
        <v>0</v>
      </c>
      <c r="G56" s="281">
        <v>0</v>
      </c>
      <c r="H56" s="281">
        <v>0</v>
      </c>
      <c r="I56" s="281">
        <v>0</v>
      </c>
      <c r="J56" s="281">
        <v>0</v>
      </c>
      <c r="K56" s="281">
        <v>0</v>
      </c>
      <c r="L56" s="281">
        <v>0</v>
      </c>
      <c r="M56" s="281">
        <v>0</v>
      </c>
      <c r="N56" s="281">
        <v>0</v>
      </c>
      <c r="O56" s="281">
        <v>0</v>
      </c>
      <c r="P56" s="281">
        <v>0</v>
      </c>
      <c r="Q56" s="281">
        <v>0</v>
      </c>
      <c r="R56" s="281">
        <v>0</v>
      </c>
      <c r="S56" s="281">
        <v>0</v>
      </c>
      <c r="T56" s="281">
        <v>0</v>
      </c>
      <c r="U56" s="281">
        <v>0</v>
      </c>
      <c r="V56" s="281">
        <v>0</v>
      </c>
      <c r="W56" s="281">
        <v>0</v>
      </c>
      <c r="X56" s="281">
        <v>0</v>
      </c>
      <c r="Y56" s="281">
        <v>0</v>
      </c>
      <c r="Z56" s="281">
        <v>0</v>
      </c>
      <c r="AA56" s="281">
        <v>0</v>
      </c>
      <c r="AB56" s="281">
        <v>0</v>
      </c>
      <c r="AC56" s="281">
        <v>0</v>
      </c>
      <c r="AD56" s="281">
        <v>0</v>
      </c>
      <c r="AE56" s="281">
        <v>0</v>
      </c>
      <c r="AF56" s="281">
        <v>0</v>
      </c>
      <c r="AG56" s="281">
        <v>0</v>
      </c>
      <c r="AH56" s="281">
        <v>0</v>
      </c>
      <c r="AI56" s="281">
        <v>0</v>
      </c>
      <c r="AJ56" s="281">
        <v>0</v>
      </c>
      <c r="AK56" s="281">
        <v>435</v>
      </c>
      <c r="AL56" s="281">
        <v>226690</v>
      </c>
      <c r="AM56" s="268">
        <v>100</v>
      </c>
      <c r="AN56" s="268">
        <v>45000</v>
      </c>
    </row>
    <row r="57" spans="1:40">
      <c r="A57" s="367" t="s">
        <v>208</v>
      </c>
      <c r="B57" s="207" t="s">
        <v>87</v>
      </c>
      <c r="C57" s="268">
        <v>2644</v>
      </c>
      <c r="D57" s="268">
        <v>118980</v>
      </c>
      <c r="E57" s="268">
        <v>2233</v>
      </c>
      <c r="F57" s="268">
        <v>100481</v>
      </c>
      <c r="G57" s="268">
        <v>1861</v>
      </c>
      <c r="H57" s="268">
        <v>83755</v>
      </c>
      <c r="I57" s="307">
        <v>294</v>
      </c>
      <c r="J57" s="307">
        <v>13210</v>
      </c>
      <c r="K57" s="307">
        <v>1088</v>
      </c>
      <c r="L57" s="307">
        <v>48977</v>
      </c>
      <c r="M57" s="307">
        <v>994</v>
      </c>
      <c r="N57" s="307">
        <v>43341</v>
      </c>
      <c r="O57" s="1283">
        <v>430</v>
      </c>
      <c r="P57" s="1283">
        <v>19302</v>
      </c>
      <c r="Q57" s="268">
        <v>295</v>
      </c>
      <c r="R57" s="268">
        <v>13258</v>
      </c>
      <c r="S57" s="307">
        <v>1002</v>
      </c>
      <c r="T57" s="307">
        <v>45047</v>
      </c>
      <c r="U57" s="307">
        <v>995</v>
      </c>
      <c r="V57" s="307">
        <v>44753</v>
      </c>
      <c r="W57" s="281">
        <v>0</v>
      </c>
      <c r="X57" s="281">
        <v>0</v>
      </c>
      <c r="Y57" s="281">
        <v>0</v>
      </c>
      <c r="Z57" s="281">
        <v>0</v>
      </c>
      <c r="AA57" s="281">
        <v>0</v>
      </c>
      <c r="AB57" s="281">
        <v>0</v>
      </c>
      <c r="AC57" s="281">
        <v>0</v>
      </c>
      <c r="AD57" s="281">
        <v>0</v>
      </c>
      <c r="AE57" s="281">
        <v>0</v>
      </c>
      <c r="AF57" s="281">
        <v>0</v>
      </c>
      <c r="AG57" s="281">
        <v>0</v>
      </c>
      <c r="AH57" s="281">
        <v>0</v>
      </c>
      <c r="AI57" s="281">
        <v>0</v>
      </c>
      <c r="AJ57" s="281">
        <v>0</v>
      </c>
      <c r="AK57" s="281">
        <v>0</v>
      </c>
      <c r="AL57" s="281">
        <v>0</v>
      </c>
      <c r="AM57" s="268">
        <v>0</v>
      </c>
      <c r="AN57" s="268">
        <v>0</v>
      </c>
    </row>
    <row r="58" spans="1:40">
      <c r="A58" s="367" t="s">
        <v>209</v>
      </c>
      <c r="B58" s="207" t="s">
        <v>87</v>
      </c>
      <c r="C58" s="281">
        <v>0</v>
      </c>
      <c r="D58" s="281">
        <v>0</v>
      </c>
      <c r="E58" s="307">
        <v>0</v>
      </c>
      <c r="F58" s="307">
        <v>0</v>
      </c>
      <c r="G58" s="307">
        <v>0</v>
      </c>
      <c r="H58" s="307">
        <v>0</v>
      </c>
      <c r="I58" s="307">
        <v>0</v>
      </c>
      <c r="J58" s="307">
        <v>0</v>
      </c>
      <c r="K58" s="307">
        <v>0</v>
      </c>
      <c r="L58" s="307">
        <v>0</v>
      </c>
      <c r="M58" s="307">
        <v>59</v>
      </c>
      <c r="N58" s="307">
        <v>2360</v>
      </c>
      <c r="O58" s="281">
        <v>0</v>
      </c>
      <c r="P58" s="281">
        <v>0</v>
      </c>
      <c r="Q58" s="281">
        <v>0</v>
      </c>
      <c r="R58" s="281">
        <v>0</v>
      </c>
      <c r="S58" s="281">
        <v>0</v>
      </c>
      <c r="T58" s="281">
        <v>0</v>
      </c>
      <c r="U58" s="281">
        <v>0</v>
      </c>
      <c r="V58" s="281">
        <v>0</v>
      </c>
      <c r="W58" s="281">
        <v>0</v>
      </c>
      <c r="X58" s="281">
        <v>0</v>
      </c>
      <c r="Y58" s="281">
        <v>0</v>
      </c>
      <c r="Z58" s="281">
        <v>0</v>
      </c>
      <c r="AA58" s="281">
        <v>0</v>
      </c>
      <c r="AB58" s="281">
        <v>0</v>
      </c>
      <c r="AC58" s="281">
        <v>0</v>
      </c>
      <c r="AD58" s="281">
        <v>0</v>
      </c>
      <c r="AE58" s="281">
        <v>0</v>
      </c>
      <c r="AF58" s="281">
        <v>0</v>
      </c>
      <c r="AG58" s="281">
        <v>0</v>
      </c>
      <c r="AH58" s="281">
        <v>0</v>
      </c>
      <c r="AI58" s="281">
        <v>0</v>
      </c>
      <c r="AJ58" s="281">
        <v>0</v>
      </c>
      <c r="AK58" s="281">
        <v>0</v>
      </c>
      <c r="AL58" s="281">
        <v>0</v>
      </c>
      <c r="AM58" s="268">
        <v>0</v>
      </c>
      <c r="AN58" s="268">
        <v>0</v>
      </c>
    </row>
    <row r="59" spans="1:40">
      <c r="A59" s="370" t="s">
        <v>211</v>
      </c>
      <c r="B59" s="330"/>
      <c r="C59" s="281"/>
      <c r="D59" s="281">
        <f>SUM(D51:D58)</f>
        <v>118980</v>
      </c>
      <c r="E59" s="281"/>
      <c r="F59" s="281">
        <f>SUM(F51:F58)</f>
        <v>145481</v>
      </c>
      <c r="G59" s="281"/>
      <c r="H59" s="281">
        <f>SUM(H51:H58)</f>
        <v>133755</v>
      </c>
      <c r="I59" s="281"/>
      <c r="J59" s="281">
        <f>SUM(J51:J58)</f>
        <v>13210</v>
      </c>
      <c r="K59" s="307"/>
      <c r="L59" s="307">
        <v>48977</v>
      </c>
      <c r="M59" s="307"/>
      <c r="N59" s="307">
        <f>SUM(N51:N58)</f>
        <v>1835186</v>
      </c>
      <c r="O59" s="307"/>
      <c r="P59" s="1283">
        <f>SUM(P51:P57)</f>
        <v>96008</v>
      </c>
      <c r="Q59" s="281"/>
      <c r="R59" s="281">
        <f>SUM(R51:R57)</f>
        <v>1945702</v>
      </c>
      <c r="T59" s="307">
        <f>SUM(T51:T57)</f>
        <v>488247</v>
      </c>
      <c r="U59" s="307"/>
      <c r="V59" s="307">
        <v>529874</v>
      </c>
      <c r="W59" s="281"/>
      <c r="X59" s="281">
        <v>171408</v>
      </c>
      <c r="Y59" s="281"/>
      <c r="Z59" s="281">
        <v>21016</v>
      </c>
      <c r="AA59" s="281"/>
      <c r="AB59" s="281">
        <v>294695</v>
      </c>
      <c r="AC59" s="281"/>
      <c r="AD59" s="281">
        <f>SUM(AD51:AD55)</f>
        <v>368257</v>
      </c>
      <c r="AE59" s="249"/>
      <c r="AF59" s="281">
        <v>1544880</v>
      </c>
      <c r="AG59" s="281"/>
      <c r="AH59" s="281">
        <v>621780</v>
      </c>
      <c r="AI59" s="281"/>
      <c r="AJ59" s="268">
        <f>SUM(AJ51:AJ58)</f>
        <v>415635</v>
      </c>
      <c r="AK59" s="268"/>
      <c r="AL59" s="268">
        <f>SUM(AL51:AL58)</f>
        <v>497751</v>
      </c>
      <c r="AM59" s="281"/>
      <c r="AN59" s="268">
        <f>SUM(AN51:AN58)</f>
        <v>473994</v>
      </c>
    </row>
    <row r="60" spans="1:40">
      <c r="A60" s="209"/>
      <c r="B60" s="330"/>
      <c r="C60" s="281"/>
      <c r="D60" s="281"/>
      <c r="E60" s="281"/>
      <c r="F60" s="281"/>
      <c r="G60" s="281"/>
      <c r="H60" s="281"/>
      <c r="I60" s="281"/>
      <c r="J60" s="281"/>
      <c r="K60" s="268"/>
      <c r="L60" s="268"/>
      <c r="M60" s="307"/>
      <c r="N60" s="307"/>
      <c r="O60" s="307"/>
      <c r="P60" s="307"/>
      <c r="Q60" s="268"/>
      <c r="R60" s="268"/>
      <c r="U60" s="307"/>
      <c r="V60" s="307"/>
      <c r="W60" s="281"/>
      <c r="X60" s="281"/>
      <c r="Y60" s="307"/>
      <c r="Z60" s="307"/>
      <c r="AA60" s="281"/>
      <c r="AB60" s="281"/>
      <c r="AC60" s="307"/>
      <c r="AD60" s="307"/>
      <c r="AE60" s="249"/>
      <c r="AF60" s="249"/>
      <c r="AG60" s="281"/>
      <c r="AH60" s="281"/>
      <c r="AI60" s="281"/>
      <c r="AJ60" s="268"/>
      <c r="AK60" s="268"/>
      <c r="AL60" s="268"/>
      <c r="AM60" s="281"/>
      <c r="AN60" s="268"/>
    </row>
    <row r="61" spans="1:40">
      <c r="A61" s="545" t="s">
        <v>212</v>
      </c>
      <c r="B61" s="349"/>
      <c r="C61" s="1284"/>
      <c r="D61" s="1284"/>
      <c r="E61" s="1284"/>
      <c r="F61" s="1284"/>
      <c r="G61" s="1284"/>
      <c r="H61" s="1284"/>
      <c r="I61" s="1284"/>
      <c r="J61" s="1284"/>
      <c r="K61" s="1286"/>
      <c r="L61" s="1286"/>
      <c r="M61" s="1284"/>
      <c r="N61" s="1284"/>
      <c r="O61" s="1284"/>
      <c r="P61" s="1284"/>
      <c r="Q61" s="1286"/>
      <c r="R61" s="1286"/>
      <c r="S61" s="1284"/>
      <c r="T61" s="1284"/>
      <c r="U61" s="1284"/>
      <c r="V61" s="1284"/>
      <c r="W61" s="1284"/>
      <c r="X61" s="1284"/>
      <c r="Y61" s="1284"/>
      <c r="Z61" s="1284"/>
      <c r="AA61" s="1284"/>
      <c r="AB61" s="1284"/>
      <c r="AC61" s="1284"/>
      <c r="AD61" s="1284"/>
      <c r="AE61" s="1284"/>
      <c r="AF61" s="1284"/>
      <c r="AG61" s="1284"/>
      <c r="AH61" s="1284"/>
      <c r="AI61" s="1284"/>
      <c r="AJ61" s="1284"/>
      <c r="AK61" s="1284"/>
      <c r="AL61" s="1284"/>
      <c r="AM61" s="1284"/>
      <c r="AN61" s="1284"/>
    </row>
    <row r="62" spans="1:40">
      <c r="A62" s="546" t="s">
        <v>577</v>
      </c>
      <c r="B62" s="350" t="s">
        <v>160</v>
      </c>
      <c r="C62" s="1286">
        <v>0</v>
      </c>
      <c r="D62" s="1286">
        <v>0</v>
      </c>
      <c r="E62" s="1286">
        <v>0</v>
      </c>
      <c r="F62" s="1286">
        <v>0</v>
      </c>
      <c r="G62" s="1286">
        <v>0</v>
      </c>
      <c r="H62" s="1286">
        <v>0</v>
      </c>
      <c r="I62" s="1286">
        <v>0</v>
      </c>
      <c r="J62" s="1286">
        <v>0</v>
      </c>
      <c r="K62" s="1286">
        <v>0</v>
      </c>
      <c r="L62" s="1286">
        <v>0</v>
      </c>
      <c r="M62" s="1286">
        <v>0</v>
      </c>
      <c r="N62" s="1286">
        <v>0</v>
      </c>
      <c r="O62" s="1286">
        <v>0</v>
      </c>
      <c r="P62" s="1286">
        <v>0</v>
      </c>
      <c r="Q62" s="1286">
        <v>0</v>
      </c>
      <c r="R62" s="1286">
        <v>0</v>
      </c>
      <c r="S62" s="1284">
        <v>28384</v>
      </c>
      <c r="T62" s="1284">
        <v>22012</v>
      </c>
      <c r="U62" s="1284">
        <v>23236</v>
      </c>
      <c r="V62" s="1284">
        <v>16741</v>
      </c>
      <c r="W62" s="1284">
        <v>17380</v>
      </c>
      <c r="X62" s="1284">
        <v>14812</v>
      </c>
      <c r="Y62" s="1286">
        <v>0</v>
      </c>
      <c r="Z62" s="1284">
        <v>0</v>
      </c>
      <c r="AA62" s="1284">
        <v>5149</v>
      </c>
      <c r="AB62" s="1284">
        <v>3089</v>
      </c>
      <c r="AC62" s="1284">
        <v>0</v>
      </c>
      <c r="AD62" s="1284">
        <v>0</v>
      </c>
      <c r="AE62" s="1284">
        <v>0</v>
      </c>
      <c r="AF62" s="1284">
        <v>0</v>
      </c>
      <c r="AG62" s="1284">
        <v>7186</v>
      </c>
      <c r="AH62" s="1284">
        <v>4312</v>
      </c>
      <c r="AI62" s="1286">
        <v>0</v>
      </c>
      <c r="AJ62" s="1286">
        <v>0</v>
      </c>
      <c r="AK62" s="1284" t="s">
        <v>236</v>
      </c>
      <c r="AL62" s="1284" t="s">
        <v>236</v>
      </c>
      <c r="AM62" s="1284" t="s">
        <v>236</v>
      </c>
      <c r="AN62" s="1284" t="s">
        <v>236</v>
      </c>
    </row>
    <row r="63" spans="1:40">
      <c r="A63" s="546" t="s">
        <v>213</v>
      </c>
      <c r="B63" s="350" t="s">
        <v>160</v>
      </c>
      <c r="C63" s="1286">
        <v>59586</v>
      </c>
      <c r="D63" s="1286">
        <v>90368</v>
      </c>
      <c r="E63" s="1286">
        <v>8988</v>
      </c>
      <c r="F63" s="1286">
        <v>50716</v>
      </c>
      <c r="G63" s="1286">
        <v>51000</v>
      </c>
      <c r="H63" s="1286">
        <v>195500</v>
      </c>
      <c r="I63" s="1284">
        <v>51000</v>
      </c>
      <c r="J63" s="1284">
        <v>195500</v>
      </c>
      <c r="K63" s="1284">
        <v>41064</v>
      </c>
      <c r="L63" s="1284">
        <v>198426</v>
      </c>
      <c r="M63" s="1284">
        <v>14594</v>
      </c>
      <c r="N63" s="1284">
        <v>67958</v>
      </c>
      <c r="O63" s="1286">
        <v>24617</v>
      </c>
      <c r="P63" s="1286">
        <v>131426</v>
      </c>
      <c r="Q63" s="1286">
        <v>17659</v>
      </c>
      <c r="R63" s="1286">
        <v>127910</v>
      </c>
      <c r="S63" s="1284">
        <v>25352</v>
      </c>
      <c r="T63" s="1284">
        <v>308045</v>
      </c>
      <c r="U63" s="1284">
        <v>0</v>
      </c>
      <c r="V63" s="1284">
        <v>0</v>
      </c>
      <c r="W63" s="1284">
        <v>0</v>
      </c>
      <c r="X63" s="1284">
        <v>0</v>
      </c>
      <c r="Y63" s="1284">
        <v>0</v>
      </c>
      <c r="Z63" s="1284">
        <v>0</v>
      </c>
      <c r="AA63" s="1284">
        <v>0</v>
      </c>
      <c r="AB63" s="1284">
        <v>0</v>
      </c>
      <c r="AC63" s="1284">
        <v>0</v>
      </c>
      <c r="AD63" s="1284">
        <v>0</v>
      </c>
      <c r="AE63" s="1284">
        <v>0</v>
      </c>
      <c r="AF63" s="1284">
        <v>0</v>
      </c>
      <c r="AG63" s="1284">
        <v>0</v>
      </c>
      <c r="AH63" s="1284">
        <v>0</v>
      </c>
      <c r="AI63" s="1284">
        <v>0</v>
      </c>
      <c r="AJ63" s="1284">
        <v>0</v>
      </c>
      <c r="AK63" s="1284" t="s">
        <v>236</v>
      </c>
      <c r="AL63" s="1284" t="s">
        <v>236</v>
      </c>
      <c r="AM63" s="1284" t="s">
        <v>236</v>
      </c>
      <c r="AN63" s="1284" t="s">
        <v>236</v>
      </c>
    </row>
    <row r="64" spans="1:40">
      <c r="A64" s="546" t="s">
        <v>214</v>
      </c>
      <c r="B64" s="350" t="s">
        <v>160</v>
      </c>
      <c r="C64" s="1286">
        <v>0</v>
      </c>
      <c r="D64" s="1286">
        <v>0</v>
      </c>
      <c r="E64" s="1286">
        <v>0</v>
      </c>
      <c r="F64" s="1286">
        <v>0</v>
      </c>
      <c r="G64" s="1286">
        <v>0</v>
      </c>
      <c r="H64" s="1286">
        <v>0</v>
      </c>
      <c r="I64" s="1286">
        <v>0</v>
      </c>
      <c r="J64" s="1286">
        <v>0</v>
      </c>
      <c r="K64" s="1286">
        <v>0</v>
      </c>
      <c r="L64" s="1286">
        <v>0</v>
      </c>
      <c r="M64" s="1286">
        <v>0</v>
      </c>
      <c r="N64" s="1286">
        <v>0</v>
      </c>
      <c r="O64" s="1286">
        <v>0</v>
      </c>
      <c r="P64" s="1286">
        <v>0</v>
      </c>
      <c r="Q64" s="1286">
        <v>0</v>
      </c>
      <c r="R64" s="1286">
        <v>0</v>
      </c>
      <c r="S64" s="1284">
        <v>13000</v>
      </c>
      <c r="T64" s="1284">
        <v>9117</v>
      </c>
      <c r="U64" s="1284">
        <v>23775</v>
      </c>
      <c r="V64" s="1284">
        <v>19020</v>
      </c>
      <c r="W64" s="1286">
        <v>0</v>
      </c>
      <c r="X64" s="1284">
        <v>0</v>
      </c>
      <c r="Y64" s="1286">
        <v>2053</v>
      </c>
      <c r="Z64" s="1284">
        <v>20020</v>
      </c>
      <c r="AA64" s="1284">
        <v>41360</v>
      </c>
      <c r="AB64" s="1284">
        <v>20680</v>
      </c>
      <c r="AC64" s="1284">
        <v>8053</v>
      </c>
      <c r="AD64" s="1284">
        <v>4027</v>
      </c>
      <c r="AE64" s="1284">
        <v>0</v>
      </c>
      <c r="AF64" s="1284">
        <v>0</v>
      </c>
      <c r="AG64" s="1284">
        <v>0</v>
      </c>
      <c r="AH64" s="1284">
        <v>0</v>
      </c>
      <c r="AI64" s="1286">
        <v>4344</v>
      </c>
      <c r="AJ64" s="1286">
        <v>2172</v>
      </c>
      <c r="AK64" s="1284" t="s">
        <v>236</v>
      </c>
      <c r="AL64" s="1284" t="s">
        <v>236</v>
      </c>
      <c r="AM64" s="1284" t="s">
        <v>236</v>
      </c>
      <c r="AN64" s="1284" t="s">
        <v>236</v>
      </c>
    </row>
    <row r="65" spans="1:40">
      <c r="A65" s="546" t="s">
        <v>215</v>
      </c>
      <c r="B65" s="350" t="s">
        <v>160</v>
      </c>
      <c r="C65" s="1286">
        <v>0</v>
      </c>
      <c r="D65" s="1286">
        <v>0</v>
      </c>
      <c r="E65" s="1286">
        <v>0</v>
      </c>
      <c r="F65" s="1286">
        <v>0</v>
      </c>
      <c r="G65" s="1286">
        <v>0</v>
      </c>
      <c r="H65" s="1286">
        <v>0</v>
      </c>
      <c r="I65" s="1286">
        <v>0</v>
      </c>
      <c r="J65" s="1286">
        <v>0</v>
      </c>
      <c r="K65" s="1286">
        <v>0</v>
      </c>
      <c r="L65" s="1286">
        <v>0</v>
      </c>
      <c r="M65" s="1286">
        <v>0</v>
      </c>
      <c r="N65" s="1286">
        <v>0</v>
      </c>
      <c r="O65" s="1286">
        <v>0</v>
      </c>
      <c r="P65" s="1286">
        <v>0</v>
      </c>
      <c r="Q65" s="1286">
        <v>18555</v>
      </c>
      <c r="R65" s="1286">
        <v>342249</v>
      </c>
      <c r="S65" s="1284">
        <v>27773</v>
      </c>
      <c r="T65" s="1284">
        <v>1450587</v>
      </c>
      <c r="U65" s="1284">
        <v>178540</v>
      </c>
      <c r="V65" s="1284">
        <v>1197961</v>
      </c>
      <c r="W65" s="1284">
        <v>236990</v>
      </c>
      <c r="X65" s="1284">
        <v>1395607</v>
      </c>
      <c r="Y65" s="1286">
        <v>39220</v>
      </c>
      <c r="Z65" s="1284">
        <v>47136</v>
      </c>
      <c r="AA65" s="1284">
        <v>37000</v>
      </c>
      <c r="AB65" s="1284">
        <v>12500</v>
      </c>
      <c r="AC65" s="1284">
        <v>21536</v>
      </c>
      <c r="AD65" s="1284">
        <v>8936</v>
      </c>
      <c r="AE65" s="1284">
        <v>0</v>
      </c>
      <c r="AF65" s="1284">
        <v>0</v>
      </c>
      <c r="AG65" s="1284">
        <v>178.35</v>
      </c>
      <c r="AH65" s="1284">
        <v>4369</v>
      </c>
      <c r="AI65" s="1286">
        <v>16171</v>
      </c>
      <c r="AJ65" s="1286">
        <v>36315</v>
      </c>
      <c r="AK65" s="1284" t="s">
        <v>236</v>
      </c>
      <c r="AL65" s="1284" t="s">
        <v>236</v>
      </c>
      <c r="AM65" s="1284" t="s">
        <v>236</v>
      </c>
      <c r="AN65" s="1284" t="s">
        <v>236</v>
      </c>
    </row>
    <row r="66" spans="1:40">
      <c r="A66" s="546" t="s">
        <v>217</v>
      </c>
      <c r="B66" s="350" t="s">
        <v>160</v>
      </c>
      <c r="C66" s="1286">
        <v>0</v>
      </c>
      <c r="D66" s="1286">
        <v>0</v>
      </c>
      <c r="E66" s="1286">
        <v>0.22500000000000001</v>
      </c>
      <c r="F66" s="1286">
        <v>1685</v>
      </c>
      <c r="G66" s="1286">
        <f>200/1000</f>
        <v>0.2</v>
      </c>
      <c r="H66" s="1286">
        <v>1784</v>
      </c>
      <c r="I66" s="1286">
        <v>0</v>
      </c>
      <c r="J66" s="1286">
        <v>0</v>
      </c>
      <c r="K66" s="1284">
        <f>1930/1000</f>
        <v>1.93</v>
      </c>
      <c r="L66" s="1284">
        <v>2200</v>
      </c>
      <c r="M66" s="1286">
        <v>550</v>
      </c>
      <c r="N66" s="1286">
        <v>2020</v>
      </c>
      <c r="O66" s="1286">
        <v>0</v>
      </c>
      <c r="P66" s="1286">
        <v>0</v>
      </c>
      <c r="Q66" s="1284">
        <v>0</v>
      </c>
      <c r="R66" s="1284">
        <v>0</v>
      </c>
      <c r="S66" s="1284">
        <v>0</v>
      </c>
      <c r="T66" s="1284">
        <v>0</v>
      </c>
      <c r="U66" s="1284">
        <v>0</v>
      </c>
      <c r="V66" s="1284">
        <v>0</v>
      </c>
      <c r="W66" s="1284">
        <v>0</v>
      </c>
      <c r="X66" s="1284">
        <v>0</v>
      </c>
      <c r="Y66" s="1286">
        <v>0</v>
      </c>
      <c r="Z66" s="1284">
        <v>0</v>
      </c>
      <c r="AA66" s="1284">
        <v>0</v>
      </c>
      <c r="AB66" s="1284">
        <v>0</v>
      </c>
      <c r="AC66" s="1284">
        <v>0</v>
      </c>
      <c r="AD66" s="1284">
        <v>0</v>
      </c>
      <c r="AE66" s="1284">
        <v>0</v>
      </c>
      <c r="AF66" s="1284">
        <v>0</v>
      </c>
      <c r="AG66" s="1284">
        <v>4</v>
      </c>
      <c r="AH66" s="1284">
        <v>10420</v>
      </c>
      <c r="AI66" s="1286">
        <v>11.5</v>
      </c>
      <c r="AJ66" s="1286">
        <v>20000</v>
      </c>
      <c r="AK66" s="1284" t="s">
        <v>236</v>
      </c>
      <c r="AL66" s="1284" t="s">
        <v>236</v>
      </c>
      <c r="AM66" s="1284" t="s">
        <v>236</v>
      </c>
      <c r="AN66" s="1284" t="s">
        <v>236</v>
      </c>
    </row>
    <row r="67" spans="1:40">
      <c r="A67" s="546" t="s">
        <v>205</v>
      </c>
      <c r="B67" s="350" t="s">
        <v>160</v>
      </c>
      <c r="C67" s="1286">
        <v>0</v>
      </c>
      <c r="D67" s="1286">
        <v>0</v>
      </c>
      <c r="E67" s="1286">
        <v>0</v>
      </c>
      <c r="F67" s="1286">
        <v>0</v>
      </c>
      <c r="G67" s="1286">
        <v>0</v>
      </c>
      <c r="H67" s="1286">
        <v>0</v>
      </c>
      <c r="I67" s="1286">
        <v>0</v>
      </c>
      <c r="J67" s="1286">
        <v>0</v>
      </c>
      <c r="K67" s="1286">
        <v>0</v>
      </c>
      <c r="L67" s="1286">
        <v>0</v>
      </c>
      <c r="M67" s="1286">
        <v>0</v>
      </c>
      <c r="N67" s="1286">
        <v>0</v>
      </c>
      <c r="O67" s="1286">
        <v>0</v>
      </c>
      <c r="P67" s="1286">
        <v>0</v>
      </c>
      <c r="Q67" s="1284">
        <v>8844</v>
      </c>
      <c r="R67" s="1284">
        <v>7499</v>
      </c>
      <c r="S67" s="1284">
        <v>70819</v>
      </c>
      <c r="T67" s="1284">
        <v>45116</v>
      </c>
      <c r="U67" s="1284">
        <v>0</v>
      </c>
      <c r="V67" s="1284">
        <v>0</v>
      </c>
      <c r="W67" s="1284">
        <v>0</v>
      </c>
      <c r="X67" s="1284">
        <v>0</v>
      </c>
      <c r="Y67" s="1286">
        <v>0</v>
      </c>
      <c r="Z67" s="1284">
        <v>0</v>
      </c>
      <c r="AA67" s="1284">
        <v>38796</v>
      </c>
      <c r="AB67" s="1284">
        <v>23798</v>
      </c>
      <c r="AC67" s="1284">
        <v>0</v>
      </c>
      <c r="AD67" s="1284">
        <v>0</v>
      </c>
      <c r="AE67" s="1284">
        <v>0</v>
      </c>
      <c r="AF67" s="1284">
        <v>0</v>
      </c>
      <c r="AG67" s="1284">
        <v>20748</v>
      </c>
      <c r="AH67" s="1284">
        <v>16045</v>
      </c>
      <c r="AI67" s="1286">
        <v>14430</v>
      </c>
      <c r="AJ67" s="1286">
        <v>8658</v>
      </c>
      <c r="AK67" s="1284" t="s">
        <v>236</v>
      </c>
      <c r="AL67" s="1284" t="s">
        <v>236</v>
      </c>
      <c r="AM67" s="1284" t="s">
        <v>236</v>
      </c>
      <c r="AN67" s="1284" t="s">
        <v>236</v>
      </c>
    </row>
    <row r="68" spans="1:40">
      <c r="A68" s="546" t="s">
        <v>220</v>
      </c>
      <c r="B68" s="350" t="s">
        <v>160</v>
      </c>
      <c r="C68" s="1286">
        <v>0</v>
      </c>
      <c r="D68" s="1286">
        <v>0</v>
      </c>
      <c r="E68" s="1286">
        <v>0</v>
      </c>
      <c r="F68" s="1286">
        <v>0</v>
      </c>
      <c r="G68" s="1286">
        <v>0</v>
      </c>
      <c r="H68" s="1286">
        <v>0</v>
      </c>
      <c r="I68" s="1286">
        <v>0</v>
      </c>
      <c r="J68" s="1286">
        <v>0</v>
      </c>
      <c r="K68" s="1286">
        <v>0</v>
      </c>
      <c r="L68" s="1286">
        <v>0</v>
      </c>
      <c r="M68" s="1286">
        <v>0</v>
      </c>
      <c r="N68" s="1286">
        <v>0</v>
      </c>
      <c r="O68" s="1286">
        <v>0</v>
      </c>
      <c r="P68" s="1286">
        <v>0</v>
      </c>
      <c r="Q68" s="1284">
        <v>0</v>
      </c>
      <c r="R68" s="1284">
        <v>0</v>
      </c>
      <c r="S68" s="1284">
        <v>88</v>
      </c>
      <c r="T68" s="1284">
        <v>17138</v>
      </c>
      <c r="U68" s="1284">
        <v>285</v>
      </c>
      <c r="V68" s="1284">
        <v>977</v>
      </c>
      <c r="W68" s="1284">
        <v>5561</v>
      </c>
      <c r="X68" s="1284">
        <v>19639</v>
      </c>
      <c r="Y68" s="1286">
        <v>0</v>
      </c>
      <c r="Z68" s="1284">
        <v>0</v>
      </c>
      <c r="AA68" s="1286">
        <v>0</v>
      </c>
      <c r="AB68" s="1284">
        <v>0</v>
      </c>
      <c r="AC68" s="1286">
        <v>0</v>
      </c>
      <c r="AD68" s="1284">
        <v>0</v>
      </c>
      <c r="AE68" s="1286">
        <v>0</v>
      </c>
      <c r="AF68" s="1284">
        <v>0</v>
      </c>
      <c r="AG68" s="1286">
        <v>0</v>
      </c>
      <c r="AH68" s="1284">
        <v>0</v>
      </c>
      <c r="AI68" s="1286">
        <v>0</v>
      </c>
      <c r="AJ68" s="1284">
        <v>0</v>
      </c>
      <c r="AK68" s="1284" t="s">
        <v>236</v>
      </c>
      <c r="AL68" s="1284" t="s">
        <v>236</v>
      </c>
      <c r="AM68" s="1284" t="s">
        <v>236</v>
      </c>
      <c r="AN68" s="1284" t="s">
        <v>236</v>
      </c>
    </row>
    <row r="69" spans="1:40">
      <c r="A69" s="546" t="s">
        <v>221</v>
      </c>
      <c r="B69" s="350" t="s">
        <v>160</v>
      </c>
      <c r="C69" s="1286">
        <v>0</v>
      </c>
      <c r="D69" s="1286">
        <v>0</v>
      </c>
      <c r="E69" s="1286">
        <v>21</v>
      </c>
      <c r="F69" s="1286">
        <v>14</v>
      </c>
      <c r="G69" s="1286">
        <v>0</v>
      </c>
      <c r="H69" s="1286">
        <v>0</v>
      </c>
      <c r="I69" s="1286">
        <v>0</v>
      </c>
      <c r="J69" s="1286">
        <v>0</v>
      </c>
      <c r="K69" s="1286">
        <v>0</v>
      </c>
      <c r="L69" s="1286">
        <v>0</v>
      </c>
      <c r="M69" s="1286">
        <v>0</v>
      </c>
      <c r="N69" s="1286">
        <v>0</v>
      </c>
      <c r="O69" s="1286">
        <v>0</v>
      </c>
      <c r="P69" s="1286">
        <v>0</v>
      </c>
      <c r="Q69" s="1286">
        <v>0</v>
      </c>
      <c r="R69" s="1286">
        <v>0</v>
      </c>
      <c r="S69" s="1286">
        <v>0</v>
      </c>
      <c r="T69" s="1286">
        <v>0</v>
      </c>
      <c r="U69" s="1286">
        <v>0</v>
      </c>
      <c r="V69" s="1286">
        <v>0</v>
      </c>
      <c r="W69" s="1286">
        <v>0</v>
      </c>
      <c r="X69" s="1286">
        <v>0</v>
      </c>
      <c r="Y69" s="1286">
        <v>0</v>
      </c>
      <c r="Z69" s="1286">
        <v>0</v>
      </c>
      <c r="AA69" s="1286">
        <v>0</v>
      </c>
      <c r="AB69" s="1286">
        <v>0</v>
      </c>
      <c r="AC69" s="1286">
        <v>0</v>
      </c>
      <c r="AD69" s="1286">
        <v>0</v>
      </c>
      <c r="AE69" s="1286">
        <v>0</v>
      </c>
      <c r="AF69" s="1286">
        <v>0</v>
      </c>
      <c r="AG69" s="1286">
        <v>0</v>
      </c>
      <c r="AH69" s="1286">
        <v>0</v>
      </c>
      <c r="AI69" s="1286">
        <v>0</v>
      </c>
      <c r="AJ69" s="1286">
        <v>0</v>
      </c>
      <c r="AK69" s="1284" t="s">
        <v>236</v>
      </c>
      <c r="AL69" s="1284" t="s">
        <v>236</v>
      </c>
      <c r="AM69" s="1284" t="s">
        <v>236</v>
      </c>
      <c r="AN69" s="1284" t="s">
        <v>236</v>
      </c>
    </row>
    <row r="70" spans="1:40">
      <c r="A70" s="546" t="s">
        <v>225</v>
      </c>
      <c r="B70" s="350" t="s">
        <v>160</v>
      </c>
      <c r="C70" s="1286">
        <v>0</v>
      </c>
      <c r="D70" s="1286">
        <v>0</v>
      </c>
      <c r="E70" s="1286">
        <v>0</v>
      </c>
      <c r="F70" s="1286">
        <v>0</v>
      </c>
      <c r="G70" s="1286">
        <v>0</v>
      </c>
      <c r="H70" s="1286">
        <v>0</v>
      </c>
      <c r="I70" s="1286">
        <v>0</v>
      </c>
      <c r="J70" s="1286">
        <v>0</v>
      </c>
      <c r="K70" s="1286">
        <v>0</v>
      </c>
      <c r="L70" s="1286">
        <v>0</v>
      </c>
      <c r="M70" s="1286">
        <v>0</v>
      </c>
      <c r="N70" s="1286">
        <v>0</v>
      </c>
      <c r="O70" s="1286">
        <v>0</v>
      </c>
      <c r="P70" s="1286">
        <v>0</v>
      </c>
      <c r="Q70" s="1286">
        <v>0</v>
      </c>
      <c r="R70" s="1286">
        <v>0</v>
      </c>
      <c r="S70" s="1286">
        <v>0</v>
      </c>
      <c r="T70" s="1286">
        <v>0</v>
      </c>
      <c r="U70" s="1286">
        <v>0</v>
      </c>
      <c r="V70" s="1286">
        <v>0</v>
      </c>
      <c r="W70" s="1286">
        <v>0</v>
      </c>
      <c r="X70" s="1286">
        <v>0</v>
      </c>
      <c r="Y70" s="1286">
        <v>0</v>
      </c>
      <c r="Z70" s="1286">
        <v>0</v>
      </c>
      <c r="AA70" s="1286">
        <v>0</v>
      </c>
      <c r="AB70" s="1286">
        <v>0</v>
      </c>
      <c r="AC70" s="1286">
        <v>0</v>
      </c>
      <c r="AD70" s="1286">
        <v>0</v>
      </c>
      <c r="AE70" s="1286">
        <v>0</v>
      </c>
      <c r="AF70" s="1286">
        <v>0</v>
      </c>
      <c r="AG70" s="1286">
        <v>0</v>
      </c>
      <c r="AH70" s="1286">
        <v>0</v>
      </c>
      <c r="AI70" s="1286">
        <v>0</v>
      </c>
      <c r="AJ70" s="1286">
        <v>0</v>
      </c>
      <c r="AK70" s="1284" t="s">
        <v>236</v>
      </c>
      <c r="AL70" s="1284" t="s">
        <v>236</v>
      </c>
      <c r="AM70" s="1284" t="s">
        <v>236</v>
      </c>
      <c r="AN70" s="1284" t="s">
        <v>236</v>
      </c>
    </row>
    <row r="71" spans="1:40">
      <c r="A71" s="546" t="s">
        <v>226</v>
      </c>
      <c r="B71" s="350" t="s">
        <v>87</v>
      </c>
      <c r="C71" s="1286">
        <v>0</v>
      </c>
      <c r="D71" s="1286">
        <v>0</v>
      </c>
      <c r="E71" s="1286">
        <v>54</v>
      </c>
      <c r="F71" s="1286">
        <v>50214</v>
      </c>
      <c r="G71" s="1286">
        <v>0</v>
      </c>
      <c r="H71" s="1286">
        <v>0</v>
      </c>
      <c r="I71" s="1286">
        <v>0</v>
      </c>
      <c r="J71" s="1286">
        <v>0</v>
      </c>
      <c r="K71" s="1286">
        <v>0</v>
      </c>
      <c r="L71" s="1286">
        <v>0</v>
      </c>
      <c r="M71" s="1286">
        <v>0</v>
      </c>
      <c r="N71" s="1286">
        <v>0</v>
      </c>
      <c r="O71" s="1286">
        <v>0</v>
      </c>
      <c r="P71" s="1286">
        <v>0</v>
      </c>
      <c r="Q71" s="1286">
        <v>0</v>
      </c>
      <c r="R71" s="1286">
        <v>0</v>
      </c>
      <c r="S71" s="1286">
        <v>0</v>
      </c>
      <c r="T71" s="1286">
        <v>0</v>
      </c>
      <c r="U71" s="1286">
        <v>0</v>
      </c>
      <c r="V71" s="1286">
        <v>0</v>
      </c>
      <c r="W71" s="1286">
        <v>0</v>
      </c>
      <c r="X71" s="1286">
        <v>0</v>
      </c>
      <c r="Y71" s="1286">
        <v>0</v>
      </c>
      <c r="Z71" s="1286">
        <v>0</v>
      </c>
      <c r="AA71" s="1286">
        <v>0</v>
      </c>
      <c r="AB71" s="1286">
        <v>0</v>
      </c>
      <c r="AC71" s="1286">
        <v>0</v>
      </c>
      <c r="AD71" s="1286">
        <v>0</v>
      </c>
      <c r="AE71" s="1286">
        <v>0</v>
      </c>
      <c r="AF71" s="1286">
        <v>0</v>
      </c>
      <c r="AG71" s="1286">
        <v>0</v>
      </c>
      <c r="AH71" s="1286">
        <v>0</v>
      </c>
      <c r="AI71" s="1286">
        <v>0</v>
      </c>
      <c r="AJ71" s="1286">
        <v>0</v>
      </c>
      <c r="AK71" s="1284" t="s">
        <v>236</v>
      </c>
      <c r="AL71" s="1284" t="s">
        <v>236</v>
      </c>
      <c r="AM71" s="1284" t="s">
        <v>236</v>
      </c>
      <c r="AN71" s="1284" t="s">
        <v>236</v>
      </c>
    </row>
    <row r="72" spans="1:40">
      <c r="A72" s="546" t="s">
        <v>227</v>
      </c>
      <c r="B72" s="350" t="s">
        <v>160</v>
      </c>
      <c r="C72" s="1286">
        <v>0</v>
      </c>
      <c r="D72" s="1286">
        <v>0</v>
      </c>
      <c r="E72" s="1286">
        <v>0</v>
      </c>
      <c r="F72" s="1286">
        <v>0</v>
      </c>
      <c r="G72" s="1286">
        <v>0</v>
      </c>
      <c r="H72" s="1286">
        <v>0</v>
      </c>
      <c r="I72" s="1286">
        <v>0</v>
      </c>
      <c r="J72" s="1286">
        <v>0</v>
      </c>
      <c r="K72" s="1286">
        <v>0</v>
      </c>
      <c r="L72" s="1286">
        <v>0</v>
      </c>
      <c r="M72" s="1286">
        <v>0</v>
      </c>
      <c r="N72" s="1286">
        <v>0</v>
      </c>
      <c r="O72" s="1286">
        <v>0</v>
      </c>
      <c r="P72" s="1286">
        <v>0</v>
      </c>
      <c r="Q72" s="1284">
        <v>0</v>
      </c>
      <c r="R72" s="1284">
        <v>0</v>
      </c>
      <c r="S72" s="1284">
        <v>1960</v>
      </c>
      <c r="T72" s="1284">
        <v>7415</v>
      </c>
      <c r="U72" s="1284">
        <v>0</v>
      </c>
      <c r="V72" s="1284">
        <v>0</v>
      </c>
      <c r="W72" s="1284">
        <v>0</v>
      </c>
      <c r="X72" s="1284">
        <v>0</v>
      </c>
      <c r="Y72" s="1284">
        <v>0</v>
      </c>
      <c r="Z72" s="1284">
        <v>0</v>
      </c>
      <c r="AA72" s="1284">
        <v>0</v>
      </c>
      <c r="AB72" s="1284">
        <v>0</v>
      </c>
      <c r="AC72" s="1284">
        <v>0</v>
      </c>
      <c r="AD72" s="1284">
        <v>0</v>
      </c>
      <c r="AE72" s="1284">
        <v>0</v>
      </c>
      <c r="AF72" s="1284">
        <v>0</v>
      </c>
      <c r="AG72" s="1284">
        <v>0</v>
      </c>
      <c r="AH72" s="1284">
        <v>0</v>
      </c>
      <c r="AI72" s="1284">
        <v>0</v>
      </c>
      <c r="AJ72" s="1284">
        <v>0</v>
      </c>
      <c r="AK72" s="1284" t="s">
        <v>236</v>
      </c>
      <c r="AL72" s="1284" t="s">
        <v>236</v>
      </c>
      <c r="AM72" s="1284" t="s">
        <v>236</v>
      </c>
      <c r="AN72" s="1284" t="s">
        <v>236</v>
      </c>
    </row>
    <row r="73" spans="1:40">
      <c r="A73" s="546" t="s">
        <v>228</v>
      </c>
      <c r="B73" s="350" t="s">
        <v>160</v>
      </c>
      <c r="C73" s="1286">
        <v>0</v>
      </c>
      <c r="D73" s="1286">
        <v>0</v>
      </c>
      <c r="E73" s="1286">
        <v>0</v>
      </c>
      <c r="F73" s="1286">
        <v>0</v>
      </c>
      <c r="G73" s="1286">
        <v>0</v>
      </c>
      <c r="H73" s="1286">
        <v>0</v>
      </c>
      <c r="I73" s="1286">
        <v>0</v>
      </c>
      <c r="J73" s="1286">
        <v>0</v>
      </c>
      <c r="K73" s="1286">
        <v>0</v>
      </c>
      <c r="L73" s="1286">
        <v>0</v>
      </c>
      <c r="M73" s="1286">
        <v>0</v>
      </c>
      <c r="N73" s="1286">
        <v>0</v>
      </c>
      <c r="O73" s="1286">
        <v>0</v>
      </c>
      <c r="P73" s="1286">
        <v>0</v>
      </c>
      <c r="Q73" s="1286">
        <v>0</v>
      </c>
      <c r="R73" s="1286">
        <v>0</v>
      </c>
      <c r="S73" s="1284">
        <v>1863</v>
      </c>
      <c r="T73" s="1284">
        <v>7550</v>
      </c>
      <c r="U73" s="1284">
        <v>0</v>
      </c>
      <c r="V73" s="1284">
        <v>0</v>
      </c>
      <c r="W73" s="1284">
        <v>441</v>
      </c>
      <c r="X73" s="1284">
        <v>3996</v>
      </c>
      <c r="Y73" s="1286">
        <v>25700</v>
      </c>
      <c r="Z73" s="1284">
        <v>33314</v>
      </c>
      <c r="AA73" s="1284">
        <v>28730</v>
      </c>
      <c r="AB73" s="1284">
        <v>17238</v>
      </c>
      <c r="AC73" s="1284">
        <v>0</v>
      </c>
      <c r="AD73" s="1284">
        <v>0</v>
      </c>
      <c r="AE73" s="1284">
        <v>0</v>
      </c>
      <c r="AF73" s="1284">
        <v>0</v>
      </c>
      <c r="AG73" s="1284">
        <v>100.09</v>
      </c>
      <c r="AH73" s="1284">
        <v>60054</v>
      </c>
      <c r="AI73" s="1286">
        <v>111830</v>
      </c>
      <c r="AJ73" s="1286">
        <v>67098</v>
      </c>
      <c r="AK73" s="1284" t="s">
        <v>236</v>
      </c>
      <c r="AL73" s="1284" t="s">
        <v>236</v>
      </c>
      <c r="AM73" s="1284" t="s">
        <v>236</v>
      </c>
      <c r="AN73" s="1284" t="s">
        <v>236</v>
      </c>
    </row>
    <row r="74" spans="1:40">
      <c r="A74" s="546" t="s">
        <v>229</v>
      </c>
      <c r="B74" s="350" t="s">
        <v>160</v>
      </c>
      <c r="C74" s="1286">
        <v>0</v>
      </c>
      <c r="D74" s="1286">
        <v>0</v>
      </c>
      <c r="E74" s="1286">
        <v>0</v>
      </c>
      <c r="F74" s="1286">
        <v>0</v>
      </c>
      <c r="G74" s="1286">
        <v>0</v>
      </c>
      <c r="H74" s="1286">
        <v>0</v>
      </c>
      <c r="I74" s="1286">
        <v>0</v>
      </c>
      <c r="J74" s="1286">
        <v>0</v>
      </c>
      <c r="K74" s="1284">
        <v>1260</v>
      </c>
      <c r="L74" s="1284">
        <v>12600</v>
      </c>
      <c r="M74" s="1286">
        <v>0</v>
      </c>
      <c r="N74" s="1286">
        <v>0</v>
      </c>
      <c r="O74" s="1286">
        <v>0</v>
      </c>
      <c r="P74" s="1286">
        <v>0</v>
      </c>
      <c r="Q74" s="1286">
        <v>0</v>
      </c>
      <c r="R74" s="1286">
        <v>0</v>
      </c>
      <c r="S74" s="1286">
        <v>0</v>
      </c>
      <c r="T74" s="1286">
        <v>0</v>
      </c>
      <c r="U74" s="1286">
        <v>0</v>
      </c>
      <c r="V74" s="1286">
        <v>0</v>
      </c>
      <c r="W74" s="1286">
        <v>0</v>
      </c>
      <c r="X74" s="1286">
        <v>0</v>
      </c>
      <c r="Y74" s="1286">
        <v>0</v>
      </c>
      <c r="Z74" s="1286">
        <v>0</v>
      </c>
      <c r="AA74" s="1286">
        <v>0</v>
      </c>
      <c r="AB74" s="1286">
        <v>0</v>
      </c>
      <c r="AC74" s="1286">
        <v>0</v>
      </c>
      <c r="AD74" s="1286">
        <v>0</v>
      </c>
      <c r="AE74" s="1286">
        <v>0</v>
      </c>
      <c r="AF74" s="1286">
        <v>0</v>
      </c>
      <c r="AG74" s="1286">
        <v>0</v>
      </c>
      <c r="AH74" s="1286">
        <v>0</v>
      </c>
      <c r="AI74" s="1286">
        <v>0</v>
      </c>
      <c r="AJ74" s="1286">
        <v>0</v>
      </c>
      <c r="AK74" s="1284" t="s">
        <v>236</v>
      </c>
      <c r="AL74" s="1284" t="s">
        <v>236</v>
      </c>
      <c r="AM74" s="1284" t="s">
        <v>236</v>
      </c>
      <c r="AN74" s="1284" t="s">
        <v>236</v>
      </c>
    </row>
    <row r="75" spans="1:40">
      <c r="A75" s="547" t="s">
        <v>230</v>
      </c>
      <c r="B75" s="349"/>
      <c r="C75" s="1284"/>
      <c r="D75" s="1284">
        <f>SUM(D62:D74)</f>
        <v>90368</v>
      </c>
      <c r="E75" s="1284"/>
      <c r="F75" s="1284">
        <f>SUM(F62:F74)</f>
        <v>102629</v>
      </c>
      <c r="G75" s="1284"/>
      <c r="H75" s="1284">
        <f>SUM(H62:H74)</f>
        <v>197284</v>
      </c>
      <c r="I75" s="1284"/>
      <c r="J75" s="1284">
        <f>SUM(J62:J74)</f>
        <v>195500</v>
      </c>
      <c r="K75" s="1286"/>
      <c r="L75" s="1286">
        <f>SUM(L62:L74)</f>
        <v>213226</v>
      </c>
      <c r="M75" s="1284"/>
      <c r="N75" s="1284">
        <f>SUM(N62:N74)</f>
        <v>69978</v>
      </c>
      <c r="O75" s="1284"/>
      <c r="P75" s="1286">
        <f>SUM(P63:P63)</f>
        <v>131426</v>
      </c>
      <c r="Q75" s="1286"/>
      <c r="R75" s="1286">
        <v>477658</v>
      </c>
      <c r="S75" s="1284"/>
      <c r="T75" s="1286">
        <v>1866980</v>
      </c>
      <c r="U75" s="1284"/>
      <c r="V75" s="1284">
        <v>1234699</v>
      </c>
      <c r="W75" s="1284"/>
      <c r="X75" s="1284">
        <v>1434054</v>
      </c>
      <c r="Y75" s="1284"/>
      <c r="Z75" s="1284">
        <v>100470</v>
      </c>
      <c r="AA75" s="1284"/>
      <c r="AB75" s="1284">
        <f>SUM(AB62:AB73)</f>
        <v>77305</v>
      </c>
      <c r="AC75" s="1285"/>
      <c r="AD75" s="1284">
        <v>12963</v>
      </c>
      <c r="AE75" s="1284"/>
      <c r="AF75" s="1284"/>
      <c r="AG75" s="1284"/>
      <c r="AH75" s="1284">
        <v>95200</v>
      </c>
      <c r="AI75" s="1284"/>
      <c r="AJ75" s="1284">
        <v>134243</v>
      </c>
      <c r="AK75" s="1284">
        <v>435280</v>
      </c>
      <c r="AL75" s="1284">
        <v>403929</v>
      </c>
      <c r="AM75" s="1284">
        <v>180298</v>
      </c>
      <c r="AN75" s="1284">
        <v>227714</v>
      </c>
    </row>
    <row r="76" spans="1:40">
      <c r="A76" s="362"/>
      <c r="B76" s="351"/>
      <c r="C76" s="1280"/>
      <c r="D76" s="1280"/>
      <c r="E76" s="1280"/>
      <c r="F76" s="1280"/>
      <c r="G76" s="1280"/>
      <c r="H76" s="1280"/>
      <c r="I76" s="1280"/>
      <c r="J76" s="1280"/>
      <c r="K76" s="1279"/>
      <c r="L76" s="1279"/>
      <c r="M76" s="1279"/>
      <c r="N76" s="1279"/>
      <c r="O76" s="1279"/>
      <c r="P76" s="1279"/>
      <c r="Q76" s="1279"/>
      <c r="R76" s="1279"/>
      <c r="S76" s="1280"/>
      <c r="T76" s="1279"/>
      <c r="U76" s="1280"/>
      <c r="V76" s="1279"/>
      <c r="W76" s="1280"/>
      <c r="X76" s="1279"/>
      <c r="Y76" s="1280"/>
      <c r="Z76" s="1279"/>
      <c r="AA76" s="1280"/>
      <c r="AB76" s="1280"/>
      <c r="AC76" s="1281"/>
      <c r="AD76" s="1280"/>
      <c r="AE76" s="1280"/>
      <c r="AF76" s="1280"/>
      <c r="AG76" s="1280"/>
      <c r="AH76" s="1280"/>
      <c r="AI76" s="1280"/>
      <c r="AJ76" s="1279"/>
      <c r="AK76" s="1279"/>
      <c r="AL76" s="1279"/>
      <c r="AM76" s="1280"/>
      <c r="AN76" s="1279"/>
    </row>
    <row r="77" spans="1:40">
      <c r="A77" s="366" t="s">
        <v>232</v>
      </c>
      <c r="B77" s="207" t="s">
        <v>160</v>
      </c>
      <c r="C77" s="268">
        <v>37425</v>
      </c>
      <c r="D77" s="268">
        <v>508891876</v>
      </c>
      <c r="E77" s="268">
        <v>46287</v>
      </c>
      <c r="F77" s="268">
        <v>710655104</v>
      </c>
      <c r="G77" s="268">
        <v>64911</v>
      </c>
      <c r="H77" s="268">
        <v>1300079190</v>
      </c>
      <c r="I77" s="307">
        <v>90546</v>
      </c>
      <c r="J77" s="307">
        <v>1843770410</v>
      </c>
      <c r="K77" s="307">
        <v>130565</v>
      </c>
      <c r="L77" s="307">
        <v>2072691840</v>
      </c>
      <c r="M77" s="307">
        <v>161789</v>
      </c>
      <c r="N77" s="307">
        <v>2596453778</v>
      </c>
      <c r="O77" s="268">
        <v>181175</v>
      </c>
      <c r="P77" s="268">
        <v>2762816830</v>
      </c>
      <c r="Q77" s="268">
        <v>182042.864</v>
      </c>
      <c r="R77" s="268">
        <v>2689922065.1066504</v>
      </c>
      <c r="S77" s="307">
        <v>179800.1580467186</v>
      </c>
      <c r="T77" s="307">
        <v>2834190199.1441336</v>
      </c>
      <c r="U77" s="307">
        <v>193599</v>
      </c>
      <c r="V77" s="307">
        <v>3415060358</v>
      </c>
      <c r="W77" s="281">
        <v>187848</v>
      </c>
      <c r="X77" s="281">
        <v>3132866624</v>
      </c>
      <c r="Y77" s="268">
        <v>205889</v>
      </c>
      <c r="Z77" s="281">
        <v>3404646735</v>
      </c>
      <c r="AA77" s="281">
        <v>228021.62029211895</v>
      </c>
      <c r="AB77" s="281">
        <v>3409613840.042223</v>
      </c>
      <c r="AC77" s="281">
        <v>239456</v>
      </c>
      <c r="AD77" s="281">
        <v>3468954490</v>
      </c>
      <c r="AE77" s="281">
        <v>219258.32447076053</v>
      </c>
      <c r="AF77" s="281">
        <v>3219516923.8099003</v>
      </c>
      <c r="AG77" s="281">
        <v>204959.06826328571</v>
      </c>
      <c r="AH77" s="281">
        <v>2951257682.7412167</v>
      </c>
      <c r="AI77" s="268">
        <v>201205</v>
      </c>
      <c r="AJ77" s="268">
        <v>3245063559</v>
      </c>
      <c r="AK77" s="268">
        <v>184998</v>
      </c>
      <c r="AL77" s="268">
        <v>3279499524</v>
      </c>
      <c r="AM77" s="268">
        <v>187474</v>
      </c>
      <c r="AN77" s="268">
        <v>3445336712</v>
      </c>
    </row>
    <row r="78" spans="1:40">
      <c r="A78" s="212"/>
      <c r="B78" s="207"/>
      <c r="C78" s="268"/>
      <c r="D78" s="268"/>
      <c r="E78" s="268"/>
      <c r="F78" s="268"/>
      <c r="G78" s="268"/>
      <c r="H78" s="268"/>
      <c r="I78" s="268"/>
      <c r="J78" s="268"/>
      <c r="K78" s="307"/>
      <c r="L78" s="307"/>
      <c r="M78" s="307"/>
      <c r="N78" s="307"/>
      <c r="O78" s="268"/>
      <c r="P78" s="268"/>
      <c r="Q78" s="268"/>
      <c r="R78" s="268"/>
      <c r="S78" s="1283"/>
      <c r="T78" s="1283"/>
      <c r="U78" s="1283"/>
      <c r="V78" s="1283"/>
      <c r="W78" s="1283"/>
      <c r="X78" s="1283"/>
      <c r="Y78" s="1283"/>
      <c r="Z78" s="1283"/>
      <c r="AA78" s="281"/>
      <c r="AB78" s="281"/>
      <c r="AC78" s="307"/>
      <c r="AD78" s="307"/>
      <c r="AE78" s="281"/>
      <c r="AF78" s="281"/>
      <c r="AG78" s="281"/>
      <c r="AH78" s="281"/>
      <c r="AI78" s="268"/>
      <c r="AJ78" s="268"/>
      <c r="AK78" s="268"/>
      <c r="AL78" s="268"/>
      <c r="AM78" s="268"/>
      <c r="AN78" s="268"/>
    </row>
    <row r="79" spans="1:40">
      <c r="A79" s="545" t="s">
        <v>234</v>
      </c>
      <c r="B79" s="350" t="s">
        <v>87</v>
      </c>
      <c r="C79" s="1286">
        <v>545151</v>
      </c>
      <c r="D79" s="1286">
        <v>6169189</v>
      </c>
      <c r="E79" s="1286">
        <v>348639</v>
      </c>
      <c r="F79" s="1286">
        <v>3908872</v>
      </c>
      <c r="G79" s="1286">
        <v>233404</v>
      </c>
      <c r="H79" s="1286">
        <v>2673698</v>
      </c>
      <c r="I79" s="1284">
        <v>99162</v>
      </c>
      <c r="J79" s="1284">
        <v>947660</v>
      </c>
      <c r="K79" s="1284">
        <v>165967</v>
      </c>
      <c r="L79" s="1284">
        <v>1326387</v>
      </c>
      <c r="M79" s="1284">
        <v>154809</v>
      </c>
      <c r="N79" s="1284">
        <v>995281</v>
      </c>
      <c r="O79" s="1286">
        <v>82520</v>
      </c>
      <c r="P79" s="1286">
        <v>612778</v>
      </c>
      <c r="Q79" s="1286">
        <v>101822</v>
      </c>
      <c r="R79" s="1286">
        <v>1041012</v>
      </c>
      <c r="S79" s="1284">
        <v>124486</v>
      </c>
      <c r="T79" s="1286">
        <v>1100095</v>
      </c>
      <c r="U79" s="1284">
        <v>195158</v>
      </c>
      <c r="V79" s="1286">
        <v>2071423</v>
      </c>
      <c r="W79" s="1284">
        <v>229617</v>
      </c>
      <c r="X79" s="1284">
        <v>2658560</v>
      </c>
      <c r="Y79" s="1286">
        <v>252910</v>
      </c>
      <c r="Z79" s="1284">
        <v>2451768</v>
      </c>
      <c r="AA79" s="1284">
        <v>251909</v>
      </c>
      <c r="AB79" s="1284">
        <v>2642427</v>
      </c>
      <c r="AC79" s="1284">
        <v>834946</v>
      </c>
      <c r="AD79" s="1284">
        <v>14337774</v>
      </c>
      <c r="AE79" s="1284">
        <v>1261538</v>
      </c>
      <c r="AF79" s="1284">
        <v>21767354</v>
      </c>
      <c r="AG79" s="1284">
        <v>1336915.93</v>
      </c>
      <c r="AH79" s="1284">
        <v>23394311</v>
      </c>
      <c r="AI79" s="1286">
        <v>947380</v>
      </c>
      <c r="AJ79" s="1286">
        <v>18470170</v>
      </c>
      <c r="AK79" s="1286">
        <v>1346341</v>
      </c>
      <c r="AL79" s="1286">
        <v>25704569</v>
      </c>
      <c r="AM79" s="1286">
        <v>1458625</v>
      </c>
      <c r="AN79" s="1286">
        <v>24786306</v>
      </c>
    </row>
    <row r="80" spans="1:40">
      <c r="A80" s="352"/>
      <c r="B80" s="353"/>
      <c r="C80" s="1279"/>
      <c r="D80" s="1279"/>
      <c r="E80" s="1279"/>
      <c r="F80" s="1279"/>
      <c r="G80" s="1279"/>
      <c r="H80" s="1279"/>
      <c r="I80" s="1279"/>
      <c r="J80" s="1279"/>
      <c r="K80" s="1280"/>
      <c r="L80" s="1280"/>
      <c r="M80" s="1280"/>
      <c r="N80" s="1280"/>
      <c r="O80" s="1279"/>
      <c r="P80" s="1279"/>
      <c r="Q80" s="1279"/>
      <c r="R80" s="1279"/>
      <c r="S80" s="1279"/>
      <c r="T80" s="1279"/>
      <c r="U80" s="1279"/>
      <c r="V80" s="1279"/>
      <c r="W80" s="1279"/>
      <c r="X80" s="1279"/>
      <c r="Y80" s="1279"/>
      <c r="Z80" s="1279"/>
      <c r="AA80" s="1280"/>
      <c r="AB80" s="1280"/>
      <c r="AC80" s="1280"/>
      <c r="AD80" s="1280"/>
      <c r="AE80" s="1280"/>
      <c r="AF80" s="1280"/>
      <c r="AG80" s="1280"/>
      <c r="AH80" s="1280"/>
      <c r="AI80" s="1279"/>
      <c r="AJ80" s="1279"/>
      <c r="AK80" s="1279"/>
      <c r="AL80" s="1279"/>
      <c r="AM80" s="1279"/>
      <c r="AN80" s="1279"/>
    </row>
    <row r="81" spans="1:40">
      <c r="A81" s="366" t="s">
        <v>235</v>
      </c>
      <c r="B81" s="330"/>
      <c r="C81" s="281"/>
      <c r="D81" s="281"/>
      <c r="E81" s="281"/>
      <c r="F81" s="281"/>
      <c r="G81" s="281"/>
      <c r="H81" s="281"/>
      <c r="I81" s="281"/>
      <c r="J81" s="281"/>
      <c r="K81" s="307"/>
      <c r="L81" s="307"/>
      <c r="M81" s="307"/>
      <c r="N81" s="307"/>
      <c r="O81" s="268"/>
      <c r="P81" s="268"/>
      <c r="Q81" s="268"/>
      <c r="R81" s="268"/>
      <c r="S81" s="1283"/>
      <c r="T81" s="1283"/>
      <c r="U81" s="1283"/>
      <c r="V81" s="1283"/>
      <c r="W81" s="268"/>
      <c r="X81" s="268"/>
      <c r="Y81" s="268"/>
      <c r="Z81" s="268"/>
      <c r="AA81" s="281"/>
      <c r="AB81" s="281"/>
      <c r="AC81" s="281"/>
      <c r="AD81" s="281"/>
      <c r="AE81" s="281"/>
      <c r="AF81" s="281"/>
      <c r="AG81" s="281"/>
      <c r="AH81" s="281"/>
      <c r="AI81" s="268"/>
      <c r="AJ81" s="268"/>
      <c r="AK81" s="268"/>
      <c r="AL81" s="268"/>
      <c r="AM81" s="268"/>
      <c r="AN81" s="268"/>
    </row>
    <row r="82" spans="1:40">
      <c r="A82" s="367" t="s">
        <v>297</v>
      </c>
      <c r="B82" s="207" t="s">
        <v>87</v>
      </c>
      <c r="C82" s="268">
        <v>4269</v>
      </c>
      <c r="D82" s="268">
        <v>149459</v>
      </c>
      <c r="E82" s="268">
        <v>8166</v>
      </c>
      <c r="F82" s="268">
        <v>285810</v>
      </c>
      <c r="G82" s="268">
        <v>12122</v>
      </c>
      <c r="H82" s="268">
        <v>427334</v>
      </c>
      <c r="I82" s="307">
        <v>17890</v>
      </c>
      <c r="J82" s="307">
        <v>630044</v>
      </c>
      <c r="K82" s="307">
        <v>26069</v>
      </c>
      <c r="L82" s="307">
        <v>977265</v>
      </c>
      <c r="M82" s="307">
        <v>27768</v>
      </c>
      <c r="N82" s="307">
        <v>1152128</v>
      </c>
      <c r="O82" s="1283">
        <v>22141</v>
      </c>
      <c r="P82" s="1283">
        <v>2071178</v>
      </c>
      <c r="Q82" s="268">
        <v>35993</v>
      </c>
      <c r="R82" s="268">
        <v>3385985</v>
      </c>
      <c r="S82" s="307">
        <v>42517</v>
      </c>
      <c r="T82" s="307">
        <v>4038822</v>
      </c>
      <c r="U82" s="307">
        <v>55962</v>
      </c>
      <c r="V82" s="307">
        <v>5320446</v>
      </c>
      <c r="W82" s="281">
        <v>71070</v>
      </c>
      <c r="X82" s="281">
        <v>6752553</v>
      </c>
      <c r="Y82" s="268">
        <v>83655</v>
      </c>
      <c r="Z82" s="281">
        <v>7948288</v>
      </c>
      <c r="AA82" s="281">
        <v>98456</v>
      </c>
      <c r="AB82" s="281">
        <v>11323354</v>
      </c>
      <c r="AC82" s="281">
        <v>116037</v>
      </c>
      <c r="AD82" s="281">
        <v>13644227</v>
      </c>
      <c r="AE82" s="281">
        <v>88579.665000000008</v>
      </c>
      <c r="AF82" s="281">
        <v>11313352.26</v>
      </c>
      <c r="AG82" s="281">
        <v>103814.68</v>
      </c>
      <c r="AH82" s="281">
        <v>12471320</v>
      </c>
      <c r="AI82" s="268">
        <v>111637</v>
      </c>
      <c r="AJ82" s="268" t="s">
        <v>785</v>
      </c>
      <c r="AK82" s="268">
        <v>102276</v>
      </c>
      <c r="AL82" s="268" t="s">
        <v>785</v>
      </c>
      <c r="AM82" s="268">
        <v>110972</v>
      </c>
      <c r="AN82" s="281" t="s">
        <v>785</v>
      </c>
    </row>
    <row r="83" spans="1:40">
      <c r="A83" s="367" t="s">
        <v>298</v>
      </c>
      <c r="B83" s="207" t="s">
        <v>87</v>
      </c>
      <c r="C83" s="268">
        <v>1187577</v>
      </c>
      <c r="D83" s="268"/>
      <c r="E83" s="268">
        <v>1050131</v>
      </c>
      <c r="F83" s="307"/>
      <c r="G83" s="268">
        <v>1038922</v>
      </c>
      <c r="H83" s="268">
        <v>57843880</v>
      </c>
      <c r="I83" s="307">
        <v>946494</v>
      </c>
      <c r="J83" s="307">
        <v>63934291</v>
      </c>
      <c r="K83" s="307">
        <v>874782</v>
      </c>
      <c r="L83" s="307">
        <v>67183462</v>
      </c>
      <c r="M83" s="307">
        <v>1071845</v>
      </c>
      <c r="N83" s="307">
        <v>89606326</v>
      </c>
      <c r="O83" s="1283">
        <v>965930</v>
      </c>
      <c r="P83" s="1283">
        <v>85482878</v>
      </c>
      <c r="Q83" s="268">
        <v>974801</v>
      </c>
      <c r="R83" s="268">
        <v>83153556</v>
      </c>
      <c r="S83" s="307">
        <v>990351</v>
      </c>
      <c r="T83" s="307">
        <v>81661030</v>
      </c>
      <c r="U83" s="307">
        <v>1069717</v>
      </c>
      <c r="V83" s="307">
        <v>92318841</v>
      </c>
      <c r="W83" s="281">
        <v>987018</v>
      </c>
      <c r="X83" s="281">
        <v>89648027</v>
      </c>
      <c r="Y83" s="268">
        <v>1101515</v>
      </c>
      <c r="Z83" s="281">
        <v>111179482</v>
      </c>
      <c r="AA83" s="281">
        <v>1100919</v>
      </c>
      <c r="AB83" s="281">
        <v>117284071</v>
      </c>
      <c r="AC83" s="281">
        <v>1313266</v>
      </c>
      <c r="AD83" s="281">
        <v>149137955</v>
      </c>
      <c r="AE83" s="281">
        <v>1319855.76</v>
      </c>
      <c r="AF83" s="281">
        <v>158587045.05000001</v>
      </c>
      <c r="AG83" s="281">
        <v>1161389</v>
      </c>
      <c r="AH83" s="281">
        <v>151655393</v>
      </c>
      <c r="AI83" s="268">
        <v>1088613</v>
      </c>
      <c r="AJ83" s="268">
        <v>168745136</v>
      </c>
      <c r="AK83" s="268">
        <v>801236</v>
      </c>
      <c r="AL83" s="268">
        <v>128753900</v>
      </c>
      <c r="AM83" s="268">
        <v>960367</v>
      </c>
      <c r="AN83" s="268">
        <v>136508821</v>
      </c>
    </row>
    <row r="84" spans="1:40">
      <c r="A84" s="367" t="s">
        <v>237</v>
      </c>
      <c r="B84" s="207" t="s">
        <v>87</v>
      </c>
      <c r="C84" s="268">
        <v>140</v>
      </c>
      <c r="D84" s="268">
        <v>55385867</v>
      </c>
      <c r="E84" s="307">
        <v>0</v>
      </c>
      <c r="F84" s="268">
        <v>59817919</v>
      </c>
      <c r="G84" s="268">
        <v>53</v>
      </c>
      <c r="H84" s="268">
        <v>13250</v>
      </c>
      <c r="I84" s="307">
        <v>0</v>
      </c>
      <c r="J84" s="307">
        <v>0</v>
      </c>
      <c r="K84" s="307">
        <v>0</v>
      </c>
      <c r="L84" s="307">
        <v>0</v>
      </c>
      <c r="M84" s="307">
        <v>0</v>
      </c>
      <c r="N84" s="307">
        <v>0</v>
      </c>
      <c r="O84" s="307">
        <v>0</v>
      </c>
      <c r="P84" s="307">
        <v>0</v>
      </c>
      <c r="Q84" s="307">
        <v>0</v>
      </c>
      <c r="R84" s="307">
        <v>0</v>
      </c>
      <c r="S84" s="307">
        <v>0</v>
      </c>
      <c r="T84" s="307">
        <v>0</v>
      </c>
      <c r="U84" s="307">
        <v>0</v>
      </c>
      <c r="V84" s="307">
        <v>0</v>
      </c>
      <c r="W84" s="307">
        <v>0</v>
      </c>
      <c r="X84" s="307">
        <v>0</v>
      </c>
      <c r="Y84" s="307">
        <v>0</v>
      </c>
      <c r="Z84" s="307">
        <v>0</v>
      </c>
      <c r="AA84" s="307">
        <v>0</v>
      </c>
      <c r="AB84" s="307">
        <v>0</v>
      </c>
      <c r="AC84" s="307">
        <v>0</v>
      </c>
      <c r="AD84" s="307">
        <v>0</v>
      </c>
      <c r="AE84" s="307">
        <v>0</v>
      </c>
      <c r="AF84" s="307">
        <v>0</v>
      </c>
      <c r="AG84" s="307">
        <v>0</v>
      </c>
      <c r="AH84" s="307">
        <v>0</v>
      </c>
      <c r="AI84" s="307">
        <v>0</v>
      </c>
      <c r="AJ84" s="307">
        <v>0</v>
      </c>
      <c r="AK84" s="268">
        <v>0</v>
      </c>
      <c r="AL84" s="268">
        <v>0</v>
      </c>
      <c r="AM84" s="268">
        <v>0</v>
      </c>
      <c r="AN84" s="268">
        <v>0</v>
      </c>
    </row>
    <row r="85" spans="1:40">
      <c r="A85" s="367" t="s">
        <v>421</v>
      </c>
      <c r="B85" s="207" t="s">
        <v>87</v>
      </c>
      <c r="C85" s="268">
        <v>69516</v>
      </c>
      <c r="D85" s="268"/>
      <c r="E85" s="268">
        <v>57818</v>
      </c>
      <c r="F85" s="268"/>
      <c r="G85" s="268">
        <v>61178</v>
      </c>
      <c r="H85" s="268">
        <v>22899652</v>
      </c>
      <c r="I85" s="307">
        <v>195504</v>
      </c>
      <c r="J85" s="307">
        <v>69996495</v>
      </c>
      <c r="K85" s="307">
        <v>227979</v>
      </c>
      <c r="L85" s="307">
        <v>95474088</v>
      </c>
      <c r="M85" s="307">
        <v>284109.11</v>
      </c>
      <c r="N85" s="307">
        <v>131107248</v>
      </c>
      <c r="O85" s="1283">
        <v>263408</v>
      </c>
      <c r="P85" s="1283">
        <v>131710093</v>
      </c>
      <c r="Q85" s="281">
        <v>305118</v>
      </c>
      <c r="R85" s="281">
        <v>153117864</v>
      </c>
      <c r="S85" s="307">
        <v>361421</v>
      </c>
      <c r="T85" s="307">
        <v>168546726</v>
      </c>
      <c r="U85" s="307">
        <v>332994</v>
      </c>
      <c r="V85" s="307">
        <v>153940432</v>
      </c>
      <c r="W85" s="281">
        <v>396275</v>
      </c>
      <c r="X85" s="281">
        <v>184625545</v>
      </c>
      <c r="Y85" s="268">
        <v>408521</v>
      </c>
      <c r="Z85" s="281">
        <v>199569466</v>
      </c>
      <c r="AA85" s="281">
        <v>413457</v>
      </c>
      <c r="AB85" s="281">
        <v>205199238</v>
      </c>
      <c r="AC85" s="281">
        <v>467258</v>
      </c>
      <c r="AD85" s="281">
        <v>241631970</v>
      </c>
      <c r="AE85" s="281">
        <v>475539</v>
      </c>
      <c r="AF85" s="281">
        <v>275230270.17250901</v>
      </c>
      <c r="AG85" s="281">
        <v>552505</v>
      </c>
      <c r="AH85" s="281">
        <v>324646687.80963999</v>
      </c>
      <c r="AI85" s="268">
        <v>643274</v>
      </c>
      <c r="AJ85" s="268">
        <v>409192213.61184621</v>
      </c>
      <c r="AK85" s="268">
        <v>585913</v>
      </c>
      <c r="AL85" s="268">
        <v>380208228</v>
      </c>
      <c r="AM85" s="268">
        <v>597273.93939393945</v>
      </c>
      <c r="AN85" s="268">
        <v>353782300</v>
      </c>
    </row>
    <row r="86" spans="1:40">
      <c r="A86" s="367" t="s">
        <v>238</v>
      </c>
      <c r="B86" s="207" t="s">
        <v>87</v>
      </c>
      <c r="C86" s="268">
        <v>39</v>
      </c>
      <c r="D86" s="268">
        <v>3618</v>
      </c>
      <c r="E86" s="268">
        <v>249</v>
      </c>
      <c r="F86" s="268">
        <v>29817</v>
      </c>
      <c r="G86" s="268">
        <v>955</v>
      </c>
      <c r="H86" s="268">
        <v>153220</v>
      </c>
      <c r="I86" s="307">
        <v>826</v>
      </c>
      <c r="J86" s="307">
        <v>114799</v>
      </c>
      <c r="K86" s="281">
        <v>0</v>
      </c>
      <c r="L86" s="281">
        <v>0</v>
      </c>
      <c r="M86" s="281">
        <v>0</v>
      </c>
      <c r="N86" s="281">
        <v>0</v>
      </c>
      <c r="O86" s="281">
        <v>0</v>
      </c>
      <c r="P86" s="281">
        <v>0</v>
      </c>
      <c r="Q86" s="281">
        <v>0</v>
      </c>
      <c r="R86" s="281">
        <v>0</v>
      </c>
      <c r="S86" s="281">
        <v>0</v>
      </c>
      <c r="T86" s="281">
        <v>0</v>
      </c>
      <c r="U86" s="281">
        <v>0</v>
      </c>
      <c r="V86" s="281">
        <v>0</v>
      </c>
      <c r="W86" s="281">
        <v>0</v>
      </c>
      <c r="X86" s="281">
        <v>0</v>
      </c>
      <c r="Y86" s="281">
        <v>0</v>
      </c>
      <c r="Z86" s="281">
        <v>0</v>
      </c>
      <c r="AA86" s="281">
        <v>0</v>
      </c>
      <c r="AB86" s="281">
        <v>0</v>
      </c>
      <c r="AC86" s="281">
        <v>0</v>
      </c>
      <c r="AD86" s="281">
        <v>0</v>
      </c>
      <c r="AE86" s="281">
        <v>0</v>
      </c>
      <c r="AF86" s="281">
        <v>0</v>
      </c>
      <c r="AG86" s="281">
        <v>0</v>
      </c>
      <c r="AH86" s="281">
        <v>0</v>
      </c>
      <c r="AI86" s="281">
        <v>0</v>
      </c>
      <c r="AJ86" s="281">
        <v>0</v>
      </c>
      <c r="AK86" s="268">
        <v>0</v>
      </c>
      <c r="AL86" s="268">
        <v>0</v>
      </c>
      <c r="AM86" s="268">
        <v>0</v>
      </c>
      <c r="AN86" s="268">
        <v>0</v>
      </c>
    </row>
    <row r="87" spans="1:40">
      <c r="A87" s="367" t="s">
        <v>299</v>
      </c>
      <c r="B87" s="207" t="s">
        <v>87</v>
      </c>
      <c r="C87" s="268">
        <v>19571</v>
      </c>
      <c r="D87" s="268">
        <v>4583699</v>
      </c>
      <c r="E87" s="268">
        <v>19002</v>
      </c>
      <c r="F87" s="268">
        <v>6219583</v>
      </c>
      <c r="G87" s="268">
        <v>12606</v>
      </c>
      <c r="H87" s="268">
        <v>5140988</v>
      </c>
      <c r="I87" s="307">
        <v>10882</v>
      </c>
      <c r="J87" s="307">
        <v>4581114</v>
      </c>
      <c r="K87" s="307">
        <v>18297</v>
      </c>
      <c r="L87" s="307">
        <v>7781578</v>
      </c>
      <c r="M87" s="307">
        <v>15023</v>
      </c>
      <c r="N87" s="307">
        <v>7902766</v>
      </c>
      <c r="O87" s="1283">
        <v>23836</v>
      </c>
      <c r="P87" s="1283">
        <v>13259826</v>
      </c>
      <c r="Q87" s="281">
        <v>11782</v>
      </c>
      <c r="R87" s="281">
        <v>6517864</v>
      </c>
      <c r="S87" s="307">
        <v>11215</v>
      </c>
      <c r="T87" s="307">
        <v>4446491</v>
      </c>
      <c r="U87" s="307">
        <v>17438</v>
      </c>
      <c r="V87" s="307">
        <v>6934515</v>
      </c>
      <c r="W87" s="281">
        <v>19243</v>
      </c>
      <c r="X87" s="281">
        <v>7730200</v>
      </c>
      <c r="Y87" s="268">
        <v>21776</v>
      </c>
      <c r="Z87" s="281">
        <v>10556319</v>
      </c>
      <c r="AA87" s="281">
        <v>30723</v>
      </c>
      <c r="AB87" s="281">
        <v>15187711</v>
      </c>
      <c r="AC87" s="281">
        <v>28346</v>
      </c>
      <c r="AD87" s="281">
        <v>10986255</v>
      </c>
      <c r="AE87" s="281">
        <v>17512.75</v>
      </c>
      <c r="AF87" s="281">
        <v>8130864.9000000004</v>
      </c>
      <c r="AG87" s="281">
        <v>39064</v>
      </c>
      <c r="AH87" s="281">
        <v>16378713</v>
      </c>
      <c r="AI87" s="268">
        <v>39814</v>
      </c>
      <c r="AJ87" s="268">
        <v>18052535</v>
      </c>
      <c r="AK87" s="268">
        <v>39768</v>
      </c>
      <c r="AL87" s="268">
        <v>19442862</v>
      </c>
      <c r="AM87" s="268">
        <v>38060</v>
      </c>
      <c r="AN87" s="268">
        <v>15935474</v>
      </c>
    </row>
    <row r="88" spans="1:40">
      <c r="A88" s="367" t="s">
        <v>239</v>
      </c>
      <c r="B88" s="207" t="s">
        <v>87</v>
      </c>
      <c r="C88" s="268">
        <v>0</v>
      </c>
      <c r="D88" s="268">
        <v>0</v>
      </c>
      <c r="E88" s="268">
        <v>0</v>
      </c>
      <c r="F88" s="268">
        <v>0</v>
      </c>
      <c r="G88" s="268">
        <v>0</v>
      </c>
      <c r="H88" s="268">
        <v>0</v>
      </c>
      <c r="I88" s="268">
        <v>0</v>
      </c>
      <c r="J88" s="268">
        <v>0</v>
      </c>
      <c r="K88" s="268">
        <v>0</v>
      </c>
      <c r="L88" s="268">
        <v>0</v>
      </c>
      <c r="M88" s="268">
        <v>0</v>
      </c>
      <c r="N88" s="268">
        <v>0</v>
      </c>
      <c r="O88" s="268">
        <v>0</v>
      </c>
      <c r="P88" s="268">
        <v>0</v>
      </c>
      <c r="Q88" s="268">
        <v>0</v>
      </c>
      <c r="R88" s="268">
        <v>0</v>
      </c>
      <c r="S88" s="268">
        <v>0</v>
      </c>
      <c r="T88" s="268">
        <v>0</v>
      </c>
      <c r="U88" s="268">
        <v>0</v>
      </c>
      <c r="V88" s="268">
        <v>0</v>
      </c>
      <c r="W88" s="268">
        <v>0</v>
      </c>
      <c r="X88" s="268">
        <v>0</v>
      </c>
      <c r="Y88" s="268">
        <v>0</v>
      </c>
      <c r="Z88" s="268">
        <v>0</v>
      </c>
      <c r="AA88" s="268">
        <v>0</v>
      </c>
      <c r="AB88" s="268">
        <v>0</v>
      </c>
      <c r="AC88" s="268">
        <v>0</v>
      </c>
      <c r="AD88" s="268">
        <v>0</v>
      </c>
      <c r="AE88" s="268">
        <v>0</v>
      </c>
      <c r="AF88" s="268">
        <v>0</v>
      </c>
      <c r="AG88" s="268">
        <v>0</v>
      </c>
      <c r="AH88" s="268">
        <v>0</v>
      </c>
      <c r="AI88" s="268">
        <v>0</v>
      </c>
      <c r="AJ88" s="268">
        <v>0</v>
      </c>
      <c r="AK88" s="268">
        <v>0</v>
      </c>
      <c r="AL88" s="268">
        <v>0</v>
      </c>
      <c r="AM88" s="268">
        <v>0</v>
      </c>
      <c r="AN88" s="268">
        <v>0</v>
      </c>
    </row>
    <row r="89" spans="1:40">
      <c r="A89" s="367" t="s">
        <v>240</v>
      </c>
      <c r="B89" s="207" t="s">
        <v>87</v>
      </c>
      <c r="C89" s="268">
        <v>16590</v>
      </c>
      <c r="D89" s="268">
        <v>7512887</v>
      </c>
      <c r="E89" s="268">
        <v>17962</v>
      </c>
      <c r="F89" s="268">
        <v>10384934</v>
      </c>
      <c r="G89" s="268">
        <v>12407</v>
      </c>
      <c r="H89" s="268">
        <v>8417755</v>
      </c>
      <c r="I89" s="307">
        <v>9705</v>
      </c>
      <c r="J89" s="307">
        <v>6960550</v>
      </c>
      <c r="K89" s="307">
        <v>10133</v>
      </c>
      <c r="L89" s="307">
        <v>7445827</v>
      </c>
      <c r="M89" s="307">
        <v>13358</v>
      </c>
      <c r="N89" s="307">
        <v>9731111</v>
      </c>
      <c r="O89" s="1283">
        <v>6869</v>
      </c>
      <c r="P89" s="1283">
        <v>5113867</v>
      </c>
      <c r="Q89" s="268">
        <v>7372</v>
      </c>
      <c r="R89" s="268">
        <v>2131269</v>
      </c>
      <c r="S89" s="307">
        <v>6211</v>
      </c>
      <c r="T89" s="307">
        <v>1813910</v>
      </c>
      <c r="U89" s="307">
        <v>5848</v>
      </c>
      <c r="V89" s="307">
        <v>1667044</v>
      </c>
      <c r="W89" s="281">
        <v>300</v>
      </c>
      <c r="X89" s="281">
        <v>82525</v>
      </c>
      <c r="Y89" s="281">
        <v>0</v>
      </c>
      <c r="Z89" s="281">
        <v>0</v>
      </c>
      <c r="AA89" s="281">
        <v>0</v>
      </c>
      <c r="AB89" s="281">
        <v>0</v>
      </c>
      <c r="AC89" s="281">
        <v>0</v>
      </c>
      <c r="AD89" s="281">
        <v>0</v>
      </c>
      <c r="AE89" s="281">
        <v>0</v>
      </c>
      <c r="AF89" s="281">
        <v>0</v>
      </c>
      <c r="AG89" s="281">
        <v>0</v>
      </c>
      <c r="AH89" s="281">
        <v>0</v>
      </c>
      <c r="AI89" s="281">
        <v>0</v>
      </c>
      <c r="AJ89" s="281">
        <v>0</v>
      </c>
      <c r="AK89" s="268">
        <v>0</v>
      </c>
      <c r="AL89" s="268">
        <v>0</v>
      </c>
      <c r="AM89" s="268">
        <v>0</v>
      </c>
      <c r="AN89" s="268">
        <v>0</v>
      </c>
    </row>
    <row r="90" spans="1:40">
      <c r="A90" s="367" t="s">
        <v>309</v>
      </c>
      <c r="B90" s="207" t="s">
        <v>87</v>
      </c>
      <c r="C90" s="268">
        <v>73484</v>
      </c>
      <c r="D90" s="268">
        <v>25457848</v>
      </c>
      <c r="E90" s="268">
        <v>71794</v>
      </c>
      <c r="F90" s="268">
        <v>30751960</v>
      </c>
      <c r="G90" s="268">
        <v>82462</v>
      </c>
      <c r="H90" s="268">
        <v>46089968</v>
      </c>
      <c r="I90" s="307">
        <v>85078</v>
      </c>
      <c r="J90" s="307">
        <v>51168571</v>
      </c>
      <c r="K90" s="307">
        <v>100484</v>
      </c>
      <c r="L90" s="307">
        <v>62491492</v>
      </c>
      <c r="M90" s="307">
        <v>82232</v>
      </c>
      <c r="N90" s="307">
        <v>58541710</v>
      </c>
      <c r="O90" s="1283">
        <v>65446</v>
      </c>
      <c r="P90" s="1283">
        <v>49598010</v>
      </c>
      <c r="Q90" s="268">
        <v>47466</v>
      </c>
      <c r="R90" s="268">
        <v>26878559</v>
      </c>
      <c r="S90" s="307">
        <v>75928</v>
      </c>
      <c r="T90" s="307">
        <v>42135260</v>
      </c>
      <c r="U90" s="307">
        <v>68931</v>
      </c>
      <c r="V90" s="307">
        <v>35757509</v>
      </c>
      <c r="W90" s="281">
        <v>107782</v>
      </c>
      <c r="X90" s="281">
        <v>56131247</v>
      </c>
      <c r="Y90" s="268">
        <v>119140</v>
      </c>
      <c r="Z90" s="281">
        <v>75058683</v>
      </c>
      <c r="AA90" s="281">
        <v>110962</v>
      </c>
      <c r="AB90" s="281">
        <v>77743262</v>
      </c>
      <c r="AC90" s="281">
        <v>104134</v>
      </c>
      <c r="AD90" s="281">
        <v>78581122</v>
      </c>
      <c r="AE90" s="281">
        <v>119708.715</v>
      </c>
      <c r="AF90" s="281">
        <v>90971055.629999995</v>
      </c>
      <c r="AG90" s="281">
        <v>98493</v>
      </c>
      <c r="AH90" s="281">
        <v>72778349</v>
      </c>
      <c r="AI90" s="268">
        <v>127212.62</v>
      </c>
      <c r="AJ90" s="268">
        <v>110036230</v>
      </c>
      <c r="AK90" s="268">
        <v>122610</v>
      </c>
      <c r="AL90" s="268">
        <v>106743027</v>
      </c>
      <c r="AM90" s="268">
        <v>113569</v>
      </c>
      <c r="AN90" s="268">
        <v>82530715</v>
      </c>
    </row>
    <row r="91" spans="1:40">
      <c r="A91" s="367" t="s">
        <v>241</v>
      </c>
      <c r="B91" s="207" t="s">
        <v>87</v>
      </c>
      <c r="C91" s="281">
        <v>0</v>
      </c>
      <c r="D91" s="281">
        <v>0</v>
      </c>
      <c r="E91" s="281">
        <v>0</v>
      </c>
      <c r="F91" s="281">
        <v>0</v>
      </c>
      <c r="G91" s="281">
        <v>0</v>
      </c>
      <c r="H91" s="281">
        <v>0</v>
      </c>
      <c r="I91" s="281">
        <v>0</v>
      </c>
      <c r="J91" s="281">
        <v>0</v>
      </c>
      <c r="K91" s="281">
        <v>0</v>
      </c>
      <c r="L91" s="281">
        <v>0</v>
      </c>
      <c r="M91" s="281">
        <v>0</v>
      </c>
      <c r="N91" s="281">
        <v>0</v>
      </c>
      <c r="O91" s="281">
        <v>0</v>
      </c>
      <c r="P91" s="281">
        <v>0</v>
      </c>
      <c r="Q91" s="281">
        <v>0</v>
      </c>
      <c r="R91" s="281">
        <v>0</v>
      </c>
      <c r="S91" s="281">
        <v>0</v>
      </c>
      <c r="T91" s="281">
        <v>0</v>
      </c>
      <c r="U91" s="281">
        <v>0</v>
      </c>
      <c r="V91" s="281">
        <v>0</v>
      </c>
      <c r="W91" s="281">
        <v>0</v>
      </c>
      <c r="X91" s="281">
        <v>0</v>
      </c>
      <c r="Y91" s="281">
        <v>0</v>
      </c>
      <c r="Z91" s="281">
        <v>0</v>
      </c>
      <c r="AA91" s="281">
        <v>0</v>
      </c>
      <c r="AB91" s="281">
        <v>0</v>
      </c>
      <c r="AC91" s="281">
        <v>0</v>
      </c>
      <c r="AD91" s="281">
        <v>0</v>
      </c>
      <c r="AE91" s="281">
        <v>0</v>
      </c>
      <c r="AF91" s="281">
        <v>0</v>
      </c>
      <c r="AG91" s="281">
        <v>0</v>
      </c>
      <c r="AH91" s="281">
        <v>0</v>
      </c>
      <c r="AI91" s="268">
        <v>191.5</v>
      </c>
      <c r="AJ91" s="268">
        <v>37407</v>
      </c>
      <c r="AK91" s="268">
        <v>2129</v>
      </c>
      <c r="AL91" s="268">
        <v>332509</v>
      </c>
      <c r="AM91" s="268">
        <v>1613</v>
      </c>
      <c r="AN91" s="268">
        <v>242988</v>
      </c>
    </row>
    <row r="92" spans="1:40">
      <c r="A92" s="367" t="s">
        <v>242</v>
      </c>
      <c r="B92" s="207" t="s">
        <v>87</v>
      </c>
      <c r="C92" s="268">
        <v>42</v>
      </c>
      <c r="D92" s="268">
        <v>397547</v>
      </c>
      <c r="E92" s="268">
        <v>25</v>
      </c>
      <c r="F92" s="268">
        <v>345693</v>
      </c>
      <c r="G92" s="268">
        <v>43</v>
      </c>
      <c r="H92" s="268">
        <v>328846</v>
      </c>
      <c r="I92" s="281">
        <v>0</v>
      </c>
      <c r="J92" s="281">
        <v>0</v>
      </c>
      <c r="K92" s="307">
        <v>20</v>
      </c>
      <c r="L92" s="307">
        <v>105840</v>
      </c>
      <c r="M92" s="281">
        <v>0</v>
      </c>
      <c r="N92" s="281">
        <v>0</v>
      </c>
      <c r="O92" s="281">
        <v>0</v>
      </c>
      <c r="P92" s="281">
        <v>0</v>
      </c>
      <c r="Q92" s="281">
        <v>0</v>
      </c>
      <c r="R92" s="281">
        <v>0</v>
      </c>
      <c r="S92" s="281">
        <v>0</v>
      </c>
      <c r="T92" s="281">
        <v>0</v>
      </c>
      <c r="U92" s="281">
        <v>0</v>
      </c>
      <c r="V92" s="281">
        <v>0</v>
      </c>
      <c r="W92" s="281">
        <v>0</v>
      </c>
      <c r="X92" s="281">
        <v>0</v>
      </c>
      <c r="Y92" s="281">
        <v>0</v>
      </c>
      <c r="Z92" s="281">
        <v>0</v>
      </c>
      <c r="AA92" s="281">
        <v>0</v>
      </c>
      <c r="AB92" s="281">
        <v>0</v>
      </c>
      <c r="AC92" s="281">
        <v>0</v>
      </c>
      <c r="AD92" s="281">
        <v>0</v>
      </c>
      <c r="AE92" s="281">
        <v>0</v>
      </c>
      <c r="AF92" s="281">
        <v>0</v>
      </c>
      <c r="AG92" s="281">
        <v>0</v>
      </c>
      <c r="AH92" s="281">
        <v>0</v>
      </c>
      <c r="AI92" s="281">
        <v>0</v>
      </c>
      <c r="AJ92" s="281">
        <v>0</v>
      </c>
      <c r="AK92" s="268">
        <v>0</v>
      </c>
      <c r="AL92" s="268">
        <v>0</v>
      </c>
      <c r="AM92" s="268">
        <v>0</v>
      </c>
      <c r="AN92" s="268">
        <v>0</v>
      </c>
    </row>
    <row r="93" spans="1:40">
      <c r="A93" s="367" t="s">
        <v>300</v>
      </c>
      <c r="B93" s="207" t="s">
        <v>87</v>
      </c>
      <c r="C93" s="268">
        <v>362339</v>
      </c>
      <c r="D93" s="268">
        <v>41279076</v>
      </c>
      <c r="E93" s="268">
        <v>249030</v>
      </c>
      <c r="F93" s="268">
        <v>48356864</v>
      </c>
      <c r="G93" s="268">
        <v>310576</v>
      </c>
      <c r="H93" s="268">
        <v>56297397</v>
      </c>
      <c r="I93" s="307">
        <v>366053</v>
      </c>
      <c r="J93" s="307">
        <v>97148148</v>
      </c>
      <c r="K93" s="307">
        <v>340140</v>
      </c>
      <c r="L93" s="307">
        <v>151609319</v>
      </c>
      <c r="M93" s="307">
        <v>300256</v>
      </c>
      <c r="N93" s="307">
        <v>175190729</v>
      </c>
      <c r="O93" s="1283">
        <v>208424</v>
      </c>
      <c r="P93" s="1283">
        <v>100801777</v>
      </c>
      <c r="Q93" s="268">
        <v>226930</v>
      </c>
      <c r="R93" s="268">
        <v>61114152</v>
      </c>
      <c r="S93" s="307">
        <v>302463</v>
      </c>
      <c r="T93" s="307">
        <v>49191977</v>
      </c>
      <c r="U93" s="307">
        <v>349134</v>
      </c>
      <c r="V93" s="307">
        <v>63098512</v>
      </c>
      <c r="W93" s="281">
        <v>477052</v>
      </c>
      <c r="X93" s="281">
        <v>129771749</v>
      </c>
      <c r="Y93" s="268">
        <v>410025</v>
      </c>
      <c r="Z93" s="281">
        <v>181210326</v>
      </c>
      <c r="AA93" s="281">
        <v>324087</v>
      </c>
      <c r="AB93" s="281">
        <v>177986602</v>
      </c>
      <c r="AC93" s="281">
        <v>321381</v>
      </c>
      <c r="AD93" s="281">
        <v>169129893</v>
      </c>
      <c r="AE93" s="281">
        <v>284532.83</v>
      </c>
      <c r="AF93" s="281">
        <v>136065790.06999999</v>
      </c>
      <c r="AG93" s="281">
        <v>348109</v>
      </c>
      <c r="AH93" s="281">
        <v>153271253</v>
      </c>
      <c r="AI93" s="268">
        <v>343080</v>
      </c>
      <c r="AJ93" s="268">
        <v>198837333</v>
      </c>
      <c r="AK93" s="268">
        <v>317770</v>
      </c>
      <c r="AL93" s="268">
        <v>218836980</v>
      </c>
      <c r="AM93" s="268">
        <v>411150</v>
      </c>
      <c r="AN93" s="268">
        <v>255814591</v>
      </c>
    </row>
    <row r="94" spans="1:40">
      <c r="A94" s="367" t="s">
        <v>39</v>
      </c>
      <c r="B94" s="207"/>
      <c r="C94" s="268">
        <v>0</v>
      </c>
      <c r="D94" s="268">
        <v>0</v>
      </c>
      <c r="E94" s="268">
        <v>0</v>
      </c>
      <c r="F94" s="268">
        <v>0</v>
      </c>
      <c r="G94" s="268">
        <v>0</v>
      </c>
      <c r="H94" s="268">
        <v>0</v>
      </c>
      <c r="I94" s="268">
        <v>0</v>
      </c>
      <c r="J94" s="268">
        <v>0</v>
      </c>
      <c r="K94" s="268">
        <v>0</v>
      </c>
      <c r="L94" s="268">
        <v>0</v>
      </c>
      <c r="M94" s="268">
        <v>0</v>
      </c>
      <c r="N94" s="268">
        <v>0</v>
      </c>
      <c r="O94" s="268">
        <v>0</v>
      </c>
      <c r="P94" s="268">
        <v>0</v>
      </c>
      <c r="Q94" s="268">
        <v>0</v>
      </c>
      <c r="R94" s="268">
        <v>0</v>
      </c>
      <c r="S94" s="268">
        <v>0</v>
      </c>
      <c r="T94" s="268">
        <v>0</v>
      </c>
      <c r="U94" s="268">
        <v>0</v>
      </c>
      <c r="V94" s="268">
        <v>0</v>
      </c>
      <c r="W94" s="268">
        <v>0</v>
      </c>
      <c r="X94" s="268">
        <v>0</v>
      </c>
      <c r="Y94" s="268">
        <v>0</v>
      </c>
      <c r="Z94" s="268">
        <v>0</v>
      </c>
      <c r="AA94" s="268">
        <v>0</v>
      </c>
      <c r="AB94" s="268">
        <v>0</v>
      </c>
      <c r="AC94" s="268">
        <v>0</v>
      </c>
      <c r="AD94" s="268">
        <v>0</v>
      </c>
      <c r="AE94" s="268">
        <v>0</v>
      </c>
      <c r="AF94" s="268">
        <v>0</v>
      </c>
      <c r="AG94" s="268">
        <v>0</v>
      </c>
      <c r="AH94" s="268">
        <v>0</v>
      </c>
      <c r="AI94" s="268">
        <v>0</v>
      </c>
      <c r="AJ94" s="268">
        <v>0</v>
      </c>
      <c r="AK94" s="268">
        <v>0</v>
      </c>
      <c r="AL94" s="268">
        <v>0</v>
      </c>
      <c r="AM94" s="268">
        <v>0</v>
      </c>
      <c r="AN94" s="268">
        <v>0</v>
      </c>
    </row>
    <row r="95" spans="1:40">
      <c r="A95" s="370" t="s">
        <v>465</v>
      </c>
      <c r="B95" s="330"/>
      <c r="C95" s="281"/>
      <c r="D95" s="281">
        <f>SUM(D82:D93)</f>
        <v>134770001</v>
      </c>
      <c r="E95" s="281"/>
      <c r="F95" s="281">
        <f>SUM(F82:F93)</f>
        <v>156192580</v>
      </c>
      <c r="G95" s="281"/>
      <c r="H95" s="281">
        <f>SUM(H84:H93)</f>
        <v>139341076</v>
      </c>
      <c r="I95" s="281"/>
      <c r="J95" s="281">
        <f>SUM(J82:J93)</f>
        <v>294534012</v>
      </c>
      <c r="K95" s="307"/>
      <c r="L95" s="307">
        <v>393068871</v>
      </c>
      <c r="M95" s="307"/>
      <c r="N95" s="307">
        <v>473232018</v>
      </c>
      <c r="O95" s="307"/>
      <c r="P95" s="1283">
        <f>SUM(P82:P93)</f>
        <v>388037629</v>
      </c>
      <c r="Q95" s="268"/>
      <c r="R95" s="268">
        <v>336299249</v>
      </c>
      <c r="T95" s="1283">
        <v>351834216</v>
      </c>
      <c r="U95" s="307"/>
      <c r="V95" s="307">
        <v>359037299</v>
      </c>
      <c r="W95" s="281"/>
      <c r="X95" s="281">
        <v>474741846</v>
      </c>
      <c r="Y95" s="281"/>
      <c r="Z95" s="281">
        <v>585522564</v>
      </c>
      <c r="AA95" s="281"/>
      <c r="AB95" s="281">
        <v>604724238</v>
      </c>
      <c r="AC95" s="281"/>
      <c r="AD95" s="281">
        <v>663111422</v>
      </c>
      <c r="AE95" s="249"/>
      <c r="AF95" s="281">
        <v>680298378.08250904</v>
      </c>
      <c r="AG95" s="281"/>
      <c r="AH95" s="281">
        <v>731201715.80963993</v>
      </c>
      <c r="AI95" s="281"/>
      <c r="AJ95" s="268">
        <f>SUM(AJ83:AJ93)</f>
        <v>904900854.61184621</v>
      </c>
      <c r="AK95" s="268"/>
      <c r="AL95" s="268">
        <f>SUM(AL83:AL93)</f>
        <v>854317506</v>
      </c>
      <c r="AM95" s="281"/>
      <c r="AN95" s="268">
        <f>SUM(AN83:AN93)</f>
        <v>844814889</v>
      </c>
    </row>
    <row r="96" spans="1:40">
      <c r="A96" s="209"/>
      <c r="B96" s="330"/>
      <c r="C96" s="281"/>
      <c r="D96" s="281"/>
      <c r="E96" s="281"/>
      <c r="F96" s="281"/>
      <c r="G96" s="281"/>
      <c r="H96" s="281"/>
      <c r="I96" s="281"/>
      <c r="J96" s="281"/>
      <c r="K96" s="268"/>
      <c r="L96" s="268"/>
      <c r="M96" s="307"/>
      <c r="N96" s="307"/>
      <c r="O96" s="307"/>
      <c r="P96" s="307"/>
      <c r="Q96" s="281"/>
      <c r="R96" s="281"/>
      <c r="T96" s="1283"/>
      <c r="U96" s="307"/>
      <c r="V96" s="307"/>
      <c r="W96" s="307"/>
      <c r="X96" s="307"/>
      <c r="Y96" s="307"/>
      <c r="Z96" s="307"/>
      <c r="AA96" s="281"/>
      <c r="AB96" s="281"/>
      <c r="AC96" s="307"/>
      <c r="AD96" s="307"/>
      <c r="AE96" s="249"/>
      <c r="AF96" s="249"/>
      <c r="AG96" s="281"/>
      <c r="AH96" s="281"/>
      <c r="AI96" s="281"/>
      <c r="AJ96" s="268"/>
      <c r="AK96" s="268"/>
      <c r="AL96" s="268"/>
      <c r="AM96" s="281"/>
      <c r="AN96" s="268"/>
    </row>
    <row r="97" spans="1:40">
      <c r="A97" s="545" t="s">
        <v>243</v>
      </c>
      <c r="B97" s="349"/>
      <c r="C97" s="1284"/>
      <c r="D97" s="1284"/>
      <c r="E97" s="1284"/>
      <c r="F97" s="1284"/>
      <c r="G97" s="1284"/>
      <c r="H97" s="1284"/>
      <c r="I97" s="1284"/>
      <c r="J97" s="1284"/>
      <c r="K97" s="1284"/>
      <c r="L97" s="1284"/>
      <c r="M97" s="1284"/>
      <c r="N97" s="1284"/>
      <c r="O97" s="1284"/>
      <c r="P97" s="1284"/>
      <c r="Q97" s="1284"/>
      <c r="R97" s="1284"/>
      <c r="S97" s="1284"/>
      <c r="T97" s="1284"/>
      <c r="U97" s="1284"/>
      <c r="V97" s="1284"/>
      <c r="W97" s="1284"/>
      <c r="X97" s="1284"/>
      <c r="Y97" s="1284"/>
      <c r="Z97" s="1284"/>
      <c r="AA97" s="1284"/>
      <c r="AB97" s="1284"/>
      <c r="AC97" s="1284"/>
      <c r="AD97" s="1284"/>
      <c r="AE97" s="1284"/>
      <c r="AF97" s="1284"/>
      <c r="AG97" s="1284"/>
      <c r="AH97" s="1284"/>
      <c r="AI97" s="1284"/>
      <c r="AJ97" s="1284"/>
      <c r="AK97" s="1286"/>
      <c r="AL97" s="1286"/>
      <c r="AM97" s="1284"/>
      <c r="AN97" s="1284"/>
    </row>
    <row r="98" spans="1:40">
      <c r="A98" s="546" t="s">
        <v>244</v>
      </c>
      <c r="B98" s="350" t="s">
        <v>87</v>
      </c>
      <c r="C98" s="1286">
        <v>4779</v>
      </c>
      <c r="D98" s="1286">
        <v>32017</v>
      </c>
      <c r="E98" s="1286">
        <v>10104</v>
      </c>
      <c r="F98" s="1286">
        <v>118452</v>
      </c>
      <c r="G98" s="1286">
        <v>4405</v>
      </c>
      <c r="H98" s="1286">
        <v>68814</v>
      </c>
      <c r="I98" s="1284">
        <v>9602</v>
      </c>
      <c r="J98" s="1284">
        <v>387558</v>
      </c>
      <c r="K98" s="1284">
        <v>18358</v>
      </c>
      <c r="L98" s="1284">
        <v>739627</v>
      </c>
      <c r="M98" s="1284">
        <v>9692</v>
      </c>
      <c r="N98" s="1284">
        <v>437909</v>
      </c>
      <c r="O98" s="1286">
        <v>34315</v>
      </c>
      <c r="P98" s="1286">
        <v>1346129</v>
      </c>
      <c r="Q98" s="1286">
        <v>22793</v>
      </c>
      <c r="R98" s="1286">
        <v>1057900</v>
      </c>
      <c r="S98" s="1284">
        <v>22311</v>
      </c>
      <c r="T98" s="1284">
        <v>858398</v>
      </c>
      <c r="U98" s="1284">
        <v>22167</v>
      </c>
      <c r="V98" s="1284">
        <v>864560</v>
      </c>
      <c r="W98" s="1284">
        <v>52515</v>
      </c>
      <c r="X98" s="1284">
        <v>1933436</v>
      </c>
      <c r="Y98" s="1286">
        <v>61445</v>
      </c>
      <c r="Z98" s="1284">
        <v>2265550</v>
      </c>
      <c r="AA98" s="1284">
        <v>63066</v>
      </c>
      <c r="AB98" s="1284">
        <v>2725219</v>
      </c>
      <c r="AC98" s="1284">
        <v>35742</v>
      </c>
      <c r="AD98" s="1284">
        <v>1513545</v>
      </c>
      <c r="AE98" s="1284">
        <v>23694</v>
      </c>
      <c r="AF98" s="1284">
        <v>907504</v>
      </c>
      <c r="AG98" s="1284">
        <v>42997.66</v>
      </c>
      <c r="AH98" s="1284">
        <v>1649003</v>
      </c>
      <c r="AI98" s="1286">
        <v>56245</v>
      </c>
      <c r="AJ98" s="1286">
        <v>2520890</v>
      </c>
      <c r="AK98" s="1286">
        <v>36027</v>
      </c>
      <c r="AL98" s="1286">
        <v>1685053</v>
      </c>
      <c r="AM98" s="1284">
        <v>43144</v>
      </c>
      <c r="AN98" s="1284">
        <v>2169260</v>
      </c>
    </row>
    <row r="99" spans="1:40">
      <c r="A99" s="546" t="s">
        <v>245</v>
      </c>
      <c r="B99" s="350" t="s">
        <v>87</v>
      </c>
      <c r="C99" s="1284">
        <v>0</v>
      </c>
      <c r="D99" s="1284">
        <v>0</v>
      </c>
      <c r="E99" s="1284">
        <v>0</v>
      </c>
      <c r="F99" s="1284">
        <v>0</v>
      </c>
      <c r="G99" s="1284">
        <v>0</v>
      </c>
      <c r="H99" s="1284">
        <v>0</v>
      </c>
      <c r="I99" s="1284">
        <v>0</v>
      </c>
      <c r="J99" s="1284">
        <v>0</v>
      </c>
      <c r="K99" s="1284">
        <v>3513</v>
      </c>
      <c r="L99" s="1284">
        <v>916814</v>
      </c>
      <c r="M99" s="1284">
        <v>0</v>
      </c>
      <c r="N99" s="1284">
        <v>0</v>
      </c>
      <c r="O99" s="1286">
        <v>2280</v>
      </c>
      <c r="P99" s="1286">
        <v>113597</v>
      </c>
      <c r="Q99" s="1286">
        <v>164</v>
      </c>
      <c r="R99" s="1286">
        <v>6483</v>
      </c>
      <c r="S99" s="1284">
        <v>0</v>
      </c>
      <c r="T99" s="1284">
        <v>0</v>
      </c>
      <c r="U99" s="1284">
        <v>0</v>
      </c>
      <c r="V99" s="1284">
        <v>0</v>
      </c>
      <c r="W99" s="1284">
        <v>0</v>
      </c>
      <c r="X99" s="1284">
        <v>0</v>
      </c>
      <c r="Y99" s="1284">
        <v>0</v>
      </c>
      <c r="Z99" s="1284">
        <v>0</v>
      </c>
      <c r="AA99" s="1284">
        <v>0</v>
      </c>
      <c r="AB99" s="1284">
        <v>0</v>
      </c>
      <c r="AC99" s="1284">
        <v>0</v>
      </c>
      <c r="AD99" s="1284">
        <v>0</v>
      </c>
      <c r="AE99" s="1284">
        <v>0</v>
      </c>
      <c r="AF99" s="1284">
        <v>0</v>
      </c>
      <c r="AG99" s="1284">
        <v>0</v>
      </c>
      <c r="AH99" s="1284">
        <v>0</v>
      </c>
      <c r="AI99" s="1284">
        <v>0</v>
      </c>
      <c r="AJ99" s="1284">
        <v>0</v>
      </c>
      <c r="AK99" s="1286">
        <v>0</v>
      </c>
      <c r="AL99" s="1286">
        <v>0</v>
      </c>
      <c r="AM99" s="1284">
        <v>0</v>
      </c>
      <c r="AN99" s="1284">
        <v>0</v>
      </c>
    </row>
    <row r="100" spans="1:40">
      <c r="A100" s="369" t="s">
        <v>246</v>
      </c>
      <c r="B100" s="353"/>
      <c r="C100" s="1279"/>
      <c r="D100" s="1279">
        <f>SUM(D98:D99)</f>
        <v>32017</v>
      </c>
      <c r="E100" s="1279"/>
      <c r="F100" s="1279">
        <f>SUM(F98:F99)</f>
        <v>118452</v>
      </c>
      <c r="G100" s="1279"/>
      <c r="H100" s="1279">
        <f>SUM(H98:H99)</f>
        <v>68814</v>
      </c>
      <c r="I100" s="1279"/>
      <c r="J100" s="1279">
        <f>SUM(J98:J99)</f>
        <v>387558</v>
      </c>
      <c r="K100" s="1280"/>
      <c r="L100" s="1280">
        <v>1656441</v>
      </c>
      <c r="M100" s="1280"/>
      <c r="N100" s="1280">
        <v>437909</v>
      </c>
      <c r="O100" s="1280"/>
      <c r="P100" s="1279">
        <f>SUM(P98:P99)</f>
        <v>1459726</v>
      </c>
      <c r="Q100" s="1279"/>
      <c r="R100" s="1279">
        <v>1064383</v>
      </c>
      <c r="S100" s="1280"/>
      <c r="T100" s="1280">
        <f>SUM(T98:T99)</f>
        <v>858398</v>
      </c>
      <c r="U100" s="1280"/>
      <c r="V100" s="1280">
        <f>SUM(V98:V99)</f>
        <v>864560</v>
      </c>
      <c r="W100" s="1280"/>
      <c r="X100" s="1280">
        <f>SUM(X98:X99)</f>
        <v>1933436</v>
      </c>
      <c r="Y100" s="1280"/>
      <c r="Z100" s="1280">
        <f>SUM(Z98:Z99)</f>
        <v>2265550</v>
      </c>
      <c r="AA100" s="1280"/>
      <c r="AB100" s="1280">
        <f>SUM(AB98:AB99)</f>
        <v>2725219</v>
      </c>
      <c r="AC100" s="1280"/>
      <c r="AD100" s="1280">
        <f>SUM(AD98:AD99)</f>
        <v>1513545</v>
      </c>
      <c r="AE100" s="1280"/>
      <c r="AF100" s="1280">
        <f>SUM(AF98:AF99)</f>
        <v>907504</v>
      </c>
      <c r="AG100" s="1280"/>
      <c r="AH100" s="1280">
        <f>SUM(AH98:AH99)</f>
        <v>1649003</v>
      </c>
      <c r="AI100" s="1280"/>
      <c r="AJ100" s="1280">
        <f>SUM(AJ98:AJ99)</f>
        <v>2520890</v>
      </c>
      <c r="AK100" s="1279"/>
      <c r="AL100" s="1279">
        <f>SUM(AL98:AL99)</f>
        <v>1685053</v>
      </c>
      <c r="AM100" s="1280"/>
      <c r="AN100" s="1280">
        <f>SUM(AN98:AN99)</f>
        <v>2169260</v>
      </c>
    </row>
    <row r="101" spans="1:40">
      <c r="A101" s="1179"/>
      <c r="B101" s="353"/>
      <c r="C101" s="1279"/>
      <c r="D101" s="1279"/>
      <c r="E101" s="1279"/>
      <c r="F101" s="1279"/>
      <c r="G101" s="1279"/>
      <c r="H101" s="1279"/>
      <c r="I101" s="1279"/>
      <c r="J101" s="1279"/>
      <c r="K101" s="1280"/>
      <c r="L101" s="1280"/>
      <c r="M101" s="1280"/>
      <c r="N101" s="1280"/>
      <c r="O101" s="1280"/>
      <c r="P101" s="1280"/>
      <c r="Q101" s="1279"/>
      <c r="R101" s="1279"/>
      <c r="S101" s="1280"/>
      <c r="T101" s="1280"/>
      <c r="U101" s="1280"/>
      <c r="V101" s="1280"/>
      <c r="W101" s="1280"/>
      <c r="X101" s="1280"/>
      <c r="Y101" s="1280"/>
      <c r="Z101" s="1280"/>
      <c r="AA101" s="1280"/>
      <c r="AB101" s="1280"/>
      <c r="AC101" s="1280"/>
      <c r="AD101" s="1280"/>
      <c r="AE101" s="1280"/>
      <c r="AF101" s="1280"/>
      <c r="AG101" s="1280"/>
      <c r="AH101" s="1280"/>
      <c r="AI101" s="1279"/>
      <c r="AJ101" s="1279"/>
      <c r="AK101" s="1279"/>
      <c r="AL101" s="1279"/>
      <c r="AM101" s="1279"/>
      <c r="AN101" s="1279"/>
    </row>
    <row r="102" spans="1:40">
      <c r="A102" s="366" t="s">
        <v>247</v>
      </c>
      <c r="B102" s="330"/>
      <c r="C102" s="281"/>
      <c r="D102" s="281"/>
      <c r="E102" s="281"/>
      <c r="F102" s="281"/>
      <c r="G102" s="281"/>
      <c r="H102" s="281"/>
      <c r="I102" s="281"/>
      <c r="J102" s="281"/>
      <c r="K102" s="307"/>
      <c r="L102" s="307"/>
      <c r="M102" s="307"/>
      <c r="N102" s="307"/>
      <c r="O102" s="307"/>
      <c r="P102" s="307"/>
      <c r="Q102" s="268"/>
      <c r="R102" s="268"/>
      <c r="U102" s="307"/>
      <c r="V102" s="307"/>
      <c r="W102" s="281"/>
      <c r="X102" s="281"/>
      <c r="Y102" s="281"/>
      <c r="Z102" s="281"/>
      <c r="AA102" s="281"/>
      <c r="AB102" s="281"/>
      <c r="AC102" s="281"/>
      <c r="AD102" s="281"/>
      <c r="AE102" s="281"/>
      <c r="AF102" s="281"/>
      <c r="AG102" s="281"/>
      <c r="AH102" s="281"/>
      <c r="AI102" s="281"/>
      <c r="AJ102" s="281"/>
      <c r="AK102" s="268"/>
      <c r="AL102" s="268"/>
      <c r="AM102" s="268"/>
      <c r="AN102" s="268"/>
    </row>
    <row r="103" spans="1:40">
      <c r="A103" s="367" t="s">
        <v>248</v>
      </c>
      <c r="B103" s="207" t="s">
        <v>87</v>
      </c>
      <c r="C103" s="268">
        <v>5751054</v>
      </c>
      <c r="D103" s="268">
        <v>92668925</v>
      </c>
      <c r="E103" s="268">
        <v>6650394</v>
      </c>
      <c r="F103" s="268">
        <v>115988759</v>
      </c>
      <c r="G103" s="268">
        <v>5902633</v>
      </c>
      <c r="H103" s="268">
        <v>113339893</v>
      </c>
      <c r="I103" s="307">
        <v>5447458</v>
      </c>
      <c r="J103" s="307">
        <v>101593363</v>
      </c>
      <c r="K103" s="307">
        <v>4914588</v>
      </c>
      <c r="L103" s="307">
        <v>78446430</v>
      </c>
      <c r="M103" s="307">
        <v>5255037</v>
      </c>
      <c r="N103" s="307">
        <v>103517251</v>
      </c>
      <c r="O103" s="1283">
        <v>4368036</v>
      </c>
      <c r="P103" s="1283">
        <v>113955037</v>
      </c>
      <c r="Q103" s="268">
        <v>5797570</v>
      </c>
      <c r="R103" s="268">
        <v>157663947</v>
      </c>
      <c r="S103" s="1283">
        <v>5037380</v>
      </c>
      <c r="T103" s="1283">
        <v>144446749</v>
      </c>
      <c r="U103" s="307">
        <v>6049806</v>
      </c>
      <c r="V103" s="307">
        <v>156792953</v>
      </c>
      <c r="W103" s="307">
        <v>6628986</v>
      </c>
      <c r="X103" s="307">
        <v>152208376</v>
      </c>
      <c r="Y103" s="268">
        <v>6328119</v>
      </c>
      <c r="Z103" s="281">
        <v>149565656</v>
      </c>
      <c r="AA103" s="281">
        <v>5938893</v>
      </c>
      <c r="AB103" s="281">
        <v>139776550</v>
      </c>
      <c r="AC103" s="281">
        <v>7738897</v>
      </c>
      <c r="AD103" s="281">
        <v>206647943</v>
      </c>
      <c r="AE103" s="281">
        <v>7144618</v>
      </c>
      <c r="AF103" s="281">
        <v>207872396</v>
      </c>
      <c r="AG103" s="281">
        <v>6037470</v>
      </c>
      <c r="AH103" s="281">
        <v>154209360</v>
      </c>
      <c r="AI103" s="268">
        <v>6646444</v>
      </c>
      <c r="AJ103" s="268">
        <v>207408487</v>
      </c>
      <c r="AK103" s="268">
        <v>6660230</v>
      </c>
      <c r="AL103" s="268">
        <v>214483003</v>
      </c>
      <c r="AM103" s="268">
        <v>7739409</v>
      </c>
      <c r="AN103" s="268">
        <v>200420603</v>
      </c>
    </row>
    <row r="104" spans="1:40">
      <c r="A104" s="367" t="s">
        <v>249</v>
      </c>
      <c r="B104" s="207" t="s">
        <v>87</v>
      </c>
      <c r="C104" s="268">
        <v>83524061</v>
      </c>
      <c r="D104" s="268">
        <v>1737428851</v>
      </c>
      <c r="E104" s="268">
        <v>78863020</v>
      </c>
      <c r="F104" s="268">
        <v>1849678084</v>
      </c>
      <c r="G104" s="268">
        <v>71995023</v>
      </c>
      <c r="H104" s="268">
        <v>1562495836</v>
      </c>
      <c r="I104" s="307">
        <v>89189441</v>
      </c>
      <c r="J104" s="307">
        <v>1754075785</v>
      </c>
      <c r="K104" s="307">
        <v>95502782</v>
      </c>
      <c r="L104" s="307">
        <v>1712003160</v>
      </c>
      <c r="M104" s="307">
        <v>101017156</v>
      </c>
      <c r="N104" s="307">
        <v>2142510771</v>
      </c>
      <c r="O104" s="1283">
        <v>103304766</v>
      </c>
      <c r="P104" s="1283">
        <v>2534731534</v>
      </c>
      <c r="Q104" s="268">
        <v>105845490</v>
      </c>
      <c r="R104" s="268">
        <v>2795606350</v>
      </c>
      <c r="S104" s="1283">
        <v>106692763</v>
      </c>
      <c r="T104" s="1283">
        <v>2846693812</v>
      </c>
      <c r="U104" s="307">
        <v>113640430</v>
      </c>
      <c r="V104" s="307">
        <v>2708362762</v>
      </c>
      <c r="W104" s="281">
        <v>126498792</v>
      </c>
      <c r="X104" s="281">
        <v>2642098607</v>
      </c>
      <c r="Y104" s="268">
        <v>126571650</v>
      </c>
      <c r="Z104" s="281">
        <v>2774492764</v>
      </c>
      <c r="AA104" s="281">
        <v>135349473</v>
      </c>
      <c r="AB104" s="281">
        <v>3019871477</v>
      </c>
      <c r="AC104" s="281">
        <v>142003028</v>
      </c>
      <c r="AD104" s="281">
        <v>3724124135</v>
      </c>
      <c r="AE104" s="281">
        <v>133882496</v>
      </c>
      <c r="AF104" s="281">
        <v>3690655347</v>
      </c>
      <c r="AG104" s="281">
        <v>145120868</v>
      </c>
      <c r="AH104" s="281">
        <v>3567914626</v>
      </c>
      <c r="AI104" s="268">
        <v>155123446</v>
      </c>
      <c r="AJ104" s="268">
        <v>4705296377</v>
      </c>
      <c r="AK104" s="268">
        <v>157973734</v>
      </c>
      <c r="AL104" s="268">
        <v>4993130854</v>
      </c>
      <c r="AM104" s="268">
        <v>180778095</v>
      </c>
      <c r="AN104" s="268">
        <v>5004850990</v>
      </c>
    </row>
    <row r="105" spans="1:40">
      <c r="A105" s="367" t="s">
        <v>250</v>
      </c>
      <c r="B105" s="207" t="s">
        <v>87</v>
      </c>
      <c r="C105" s="268">
        <v>21433</v>
      </c>
      <c r="D105" s="268">
        <v>422109</v>
      </c>
      <c r="E105" s="268">
        <v>0</v>
      </c>
      <c r="F105" s="268">
        <v>0</v>
      </c>
      <c r="G105" s="268">
        <v>128659</v>
      </c>
      <c r="H105" s="268">
        <v>2975568</v>
      </c>
      <c r="I105" s="307">
        <v>540803</v>
      </c>
      <c r="J105" s="307">
        <v>11502886</v>
      </c>
      <c r="K105" s="281">
        <v>0</v>
      </c>
      <c r="L105" s="281">
        <v>0</v>
      </c>
      <c r="M105" s="281">
        <v>0</v>
      </c>
      <c r="N105" s="281">
        <v>0</v>
      </c>
      <c r="O105" s="281">
        <v>0</v>
      </c>
      <c r="P105" s="281">
        <v>0</v>
      </c>
      <c r="Q105" s="281">
        <v>0</v>
      </c>
      <c r="R105" s="281">
        <v>0</v>
      </c>
      <c r="S105" s="281">
        <v>0</v>
      </c>
      <c r="T105" s="281">
        <v>0</v>
      </c>
      <c r="U105" s="281">
        <v>0</v>
      </c>
      <c r="V105" s="281">
        <v>0</v>
      </c>
      <c r="W105" s="281">
        <v>0</v>
      </c>
      <c r="X105" s="281">
        <v>0</v>
      </c>
      <c r="Y105" s="281">
        <v>0</v>
      </c>
      <c r="Z105" s="281">
        <v>0</v>
      </c>
      <c r="AA105" s="281">
        <v>0</v>
      </c>
      <c r="AB105" s="281">
        <v>0</v>
      </c>
      <c r="AC105" s="281">
        <v>0</v>
      </c>
      <c r="AD105" s="281">
        <v>0</v>
      </c>
      <c r="AE105" s="281">
        <v>0</v>
      </c>
      <c r="AF105" s="281">
        <v>0</v>
      </c>
      <c r="AG105" s="281">
        <v>0</v>
      </c>
      <c r="AH105" s="281">
        <v>0</v>
      </c>
      <c r="AI105" s="281">
        <v>0</v>
      </c>
      <c r="AJ105" s="281">
        <v>0</v>
      </c>
      <c r="AK105" s="268">
        <v>0</v>
      </c>
      <c r="AL105" s="268">
        <v>0</v>
      </c>
      <c r="AM105" s="268">
        <v>0</v>
      </c>
      <c r="AN105" s="268">
        <v>0</v>
      </c>
    </row>
    <row r="106" spans="1:40">
      <c r="A106" s="370" t="s">
        <v>252</v>
      </c>
      <c r="B106" s="330"/>
      <c r="C106" s="281">
        <f t="shared" ref="C106:J106" si="37">SUM(C103:C105)</f>
        <v>89296548</v>
      </c>
      <c r="D106" s="281">
        <f t="shared" si="37"/>
        <v>1830519885</v>
      </c>
      <c r="E106" s="281">
        <f t="shared" si="37"/>
        <v>85513414</v>
      </c>
      <c r="F106" s="281">
        <f t="shared" si="37"/>
        <v>1965666843</v>
      </c>
      <c r="G106" s="281">
        <f t="shared" si="37"/>
        <v>78026315</v>
      </c>
      <c r="H106" s="281">
        <f t="shared" si="37"/>
        <v>1678811297</v>
      </c>
      <c r="I106" s="281">
        <f t="shared" si="37"/>
        <v>95177702</v>
      </c>
      <c r="J106" s="281">
        <f t="shared" si="37"/>
        <v>1867172034</v>
      </c>
      <c r="K106" s="307">
        <v>100417370</v>
      </c>
      <c r="L106" s="307">
        <v>1790449590</v>
      </c>
      <c r="M106" s="307">
        <v>106272193</v>
      </c>
      <c r="N106" s="307">
        <v>2246028022</v>
      </c>
      <c r="O106" s="1283">
        <f>O104+O103</f>
        <v>107672802</v>
      </c>
      <c r="P106" s="1283">
        <f>SUM(P103:P104)</f>
        <v>2648686571</v>
      </c>
      <c r="Q106" s="268">
        <v>111643060</v>
      </c>
      <c r="R106" s="268">
        <v>2953270297</v>
      </c>
      <c r="S106" s="307">
        <v>111730143</v>
      </c>
      <c r="T106" s="307">
        <v>2991140561</v>
      </c>
      <c r="U106" s="307">
        <v>119690236</v>
      </c>
      <c r="V106" s="307">
        <v>2865155715</v>
      </c>
      <c r="W106" s="281">
        <v>133127777.61</v>
      </c>
      <c r="X106" s="281">
        <v>2794306983</v>
      </c>
      <c r="Y106" s="281">
        <v>132899769</v>
      </c>
      <c r="Z106" s="281">
        <v>2924058420</v>
      </c>
      <c r="AA106" s="281">
        <v>141288366</v>
      </c>
      <c r="AB106" s="281">
        <v>3159648027</v>
      </c>
      <c r="AC106" s="281">
        <v>149741925</v>
      </c>
      <c r="AD106" s="281">
        <v>3930772078</v>
      </c>
      <c r="AE106" s="281">
        <v>141027114</v>
      </c>
      <c r="AF106" s="281">
        <v>3898527743</v>
      </c>
      <c r="AG106" s="281">
        <v>151158338</v>
      </c>
      <c r="AH106" s="281">
        <v>3722123986</v>
      </c>
      <c r="AI106" s="268">
        <v>161769890</v>
      </c>
      <c r="AJ106" s="268">
        <f>SUM(AJ103:AJ105)</f>
        <v>4912704864</v>
      </c>
      <c r="AK106" s="268">
        <f>SUM(AK103:AK105)</f>
        <v>164633964</v>
      </c>
      <c r="AL106" s="268">
        <f>SUM(AL103:AL105)</f>
        <v>5207613857</v>
      </c>
      <c r="AM106" s="268">
        <f>SUM(AM103:AM105)</f>
        <v>188517504</v>
      </c>
      <c r="AN106" s="268">
        <f>SUM(AN103:AN105)</f>
        <v>5205271593</v>
      </c>
    </row>
    <row r="107" spans="1:40">
      <c r="A107" s="209"/>
      <c r="B107" s="330"/>
      <c r="C107" s="281"/>
      <c r="D107" s="281"/>
      <c r="E107" s="281"/>
      <c r="F107" s="281"/>
      <c r="G107" s="281"/>
      <c r="H107" s="281"/>
      <c r="I107" s="281"/>
      <c r="J107" s="281"/>
      <c r="K107" s="268"/>
      <c r="L107" s="268"/>
      <c r="M107" s="307"/>
      <c r="N107" s="307"/>
      <c r="O107" s="307"/>
      <c r="P107" s="307"/>
      <c r="Q107" s="268"/>
      <c r="R107" s="268"/>
      <c r="U107" s="307"/>
      <c r="V107" s="307"/>
      <c r="W107" s="281"/>
      <c r="X107" s="281"/>
      <c r="Y107" s="307"/>
      <c r="Z107" s="307"/>
      <c r="AA107" s="281"/>
      <c r="AB107" s="281"/>
      <c r="AC107" s="307"/>
      <c r="AD107" s="307"/>
      <c r="AE107" s="249"/>
      <c r="AF107" s="249"/>
      <c r="AG107" s="281"/>
      <c r="AH107" s="281"/>
      <c r="AI107" s="268"/>
      <c r="AJ107" s="268"/>
      <c r="AK107" s="268"/>
      <c r="AL107" s="268"/>
      <c r="AM107" s="268"/>
      <c r="AN107" s="268"/>
    </row>
    <row r="108" spans="1:40">
      <c r="A108" s="545" t="s">
        <v>253</v>
      </c>
      <c r="B108" s="349"/>
      <c r="C108" s="1284"/>
      <c r="D108" s="1284"/>
      <c r="E108" s="1284"/>
      <c r="F108" s="1284"/>
      <c r="G108" s="1284"/>
      <c r="H108" s="1284"/>
      <c r="I108" s="1284"/>
      <c r="J108" s="1284"/>
      <c r="K108" s="1284"/>
      <c r="L108" s="1284"/>
      <c r="M108" s="1284"/>
      <c r="N108" s="1284"/>
      <c r="O108" s="1284"/>
      <c r="P108" s="1284"/>
      <c r="Q108" s="1286"/>
      <c r="R108" s="1286"/>
      <c r="S108" s="1284"/>
      <c r="T108" s="1284"/>
      <c r="U108" s="1284"/>
      <c r="V108" s="1284"/>
      <c r="W108" s="1284"/>
      <c r="X108" s="1284"/>
      <c r="Y108" s="1284"/>
      <c r="Z108" s="1284"/>
      <c r="AA108" s="1284"/>
      <c r="AB108" s="1284"/>
      <c r="AC108" s="1284"/>
      <c r="AD108" s="1284"/>
      <c r="AE108" s="1284"/>
      <c r="AF108" s="1284"/>
      <c r="AG108" s="1284"/>
      <c r="AH108" s="1284"/>
      <c r="AI108" s="1286"/>
      <c r="AJ108" s="1286"/>
      <c r="AK108" s="1286"/>
      <c r="AL108" s="1286"/>
      <c r="AM108" s="1286"/>
      <c r="AN108" s="1286"/>
    </row>
    <row r="109" spans="1:40">
      <c r="A109" s="546" t="s">
        <v>788</v>
      </c>
      <c r="B109" s="350" t="s">
        <v>87</v>
      </c>
      <c r="C109" s="1286">
        <v>300</v>
      </c>
      <c r="D109" s="1286">
        <v>2100</v>
      </c>
      <c r="E109" s="1286">
        <v>330</v>
      </c>
      <c r="F109" s="1286">
        <v>2310</v>
      </c>
      <c r="G109" s="1286">
        <v>243</v>
      </c>
      <c r="H109" s="1286">
        <v>3162</v>
      </c>
      <c r="I109" s="1284">
        <v>130</v>
      </c>
      <c r="J109" s="1284">
        <v>2060</v>
      </c>
      <c r="K109" s="1284">
        <v>360</v>
      </c>
      <c r="L109" s="1284">
        <v>7200</v>
      </c>
      <c r="M109" s="1284">
        <v>333</v>
      </c>
      <c r="N109" s="1284">
        <v>6660</v>
      </c>
      <c r="O109" s="1286">
        <v>0</v>
      </c>
      <c r="P109" s="1286">
        <v>0</v>
      </c>
      <c r="Q109" s="1284">
        <v>280</v>
      </c>
      <c r="R109" s="1284">
        <v>1120</v>
      </c>
      <c r="S109" s="1284">
        <v>0</v>
      </c>
      <c r="T109" s="1286">
        <v>0</v>
      </c>
      <c r="U109" s="1284">
        <v>2500</v>
      </c>
      <c r="V109" s="1284">
        <v>25000</v>
      </c>
      <c r="W109" s="1284">
        <v>3950</v>
      </c>
      <c r="X109" s="1284">
        <v>39500</v>
      </c>
      <c r="Y109" s="1286">
        <v>7342</v>
      </c>
      <c r="Z109" s="1284">
        <v>62040</v>
      </c>
      <c r="AA109" s="1284">
        <v>4387</v>
      </c>
      <c r="AB109" s="1284">
        <v>126045</v>
      </c>
      <c r="AC109" s="1284">
        <v>3624</v>
      </c>
      <c r="AD109" s="1284">
        <v>86372</v>
      </c>
      <c r="AE109" s="1284">
        <v>3086</v>
      </c>
      <c r="AF109" s="1284">
        <v>67892</v>
      </c>
      <c r="AG109" s="1284">
        <v>2932</v>
      </c>
      <c r="AH109" s="1284">
        <v>64504</v>
      </c>
      <c r="AI109" s="1286">
        <v>9103</v>
      </c>
      <c r="AJ109" s="1286">
        <v>146074</v>
      </c>
      <c r="AK109" s="1286">
        <v>17080</v>
      </c>
      <c r="AL109" s="1286">
        <v>315846</v>
      </c>
      <c r="AM109" s="1286">
        <v>8870</v>
      </c>
      <c r="AN109" s="1286">
        <v>89697</v>
      </c>
    </row>
    <row r="110" spans="1:40">
      <c r="A110" s="546" t="s">
        <v>789</v>
      </c>
      <c r="B110" s="350" t="s">
        <v>87</v>
      </c>
      <c r="C110" s="1286">
        <v>209618</v>
      </c>
      <c r="D110" s="1286">
        <v>1187327</v>
      </c>
      <c r="E110" s="1286">
        <v>206289</v>
      </c>
      <c r="F110" s="1286">
        <v>1088735</v>
      </c>
      <c r="G110" s="1286">
        <v>194895</v>
      </c>
      <c r="H110" s="1286">
        <v>1251642</v>
      </c>
      <c r="I110" s="1284">
        <v>1433143</v>
      </c>
      <c r="J110" s="1284">
        <v>6560914</v>
      </c>
      <c r="K110" s="1284">
        <v>1739324</v>
      </c>
      <c r="L110" s="1284">
        <v>8325470</v>
      </c>
      <c r="M110" s="1284">
        <v>1698820</v>
      </c>
      <c r="N110" s="1284">
        <v>7868870</v>
      </c>
      <c r="O110" s="1286">
        <v>1738427</v>
      </c>
      <c r="P110" s="1286">
        <v>9853611</v>
      </c>
      <c r="Q110" s="1284">
        <v>2053239</v>
      </c>
      <c r="R110" s="1284">
        <v>12143544</v>
      </c>
      <c r="S110" s="1284">
        <v>2103555</v>
      </c>
      <c r="T110" s="1286">
        <v>13587083</v>
      </c>
      <c r="U110" s="1284">
        <v>2147271</v>
      </c>
      <c r="V110" s="1284">
        <v>14764597</v>
      </c>
      <c r="W110" s="1284">
        <v>2195221</v>
      </c>
      <c r="X110" s="1284">
        <v>14653307</v>
      </c>
      <c r="Y110" s="1286">
        <v>2612334</v>
      </c>
      <c r="Z110" s="1284">
        <v>17508415</v>
      </c>
      <c r="AA110" s="1284">
        <v>2353431</v>
      </c>
      <c r="AB110" s="1284">
        <v>15744780</v>
      </c>
      <c r="AC110" s="1284">
        <v>2579643</v>
      </c>
      <c r="AD110" s="1284">
        <v>11791428</v>
      </c>
      <c r="AE110" s="1284">
        <v>3046105</v>
      </c>
      <c r="AF110" s="1284">
        <v>13867322</v>
      </c>
      <c r="AG110" s="1284">
        <v>3007559.02</v>
      </c>
      <c r="AH110" s="1284">
        <v>14523824.26</v>
      </c>
      <c r="AI110" s="1286">
        <v>3825671</v>
      </c>
      <c r="AJ110" s="1286">
        <v>15740387</v>
      </c>
      <c r="AK110" s="1286">
        <v>3195825</v>
      </c>
      <c r="AL110" s="1286">
        <v>15079931</v>
      </c>
      <c r="AM110" s="1286">
        <v>4884233</v>
      </c>
      <c r="AN110" s="1286">
        <v>19421112</v>
      </c>
    </row>
    <row r="111" spans="1:40">
      <c r="A111" s="547" t="s">
        <v>254</v>
      </c>
      <c r="B111" s="349"/>
      <c r="C111" s="1284"/>
      <c r="D111" s="1284">
        <f>SUM(D109:D110)</f>
        <v>1189427</v>
      </c>
      <c r="E111" s="1284"/>
      <c r="F111" s="1284">
        <f>SUM(F109:F110)</f>
        <v>1091045</v>
      </c>
      <c r="G111" s="1284"/>
      <c r="H111" s="1284">
        <f>SUM(H109:H110)</f>
        <v>1254804</v>
      </c>
      <c r="I111" s="1284"/>
      <c r="J111" s="1284">
        <f>SUM(J109:J110)</f>
        <v>6562974</v>
      </c>
      <c r="K111" s="1284"/>
      <c r="L111" s="1284">
        <v>8332670</v>
      </c>
      <c r="M111" s="1284"/>
      <c r="N111" s="1284">
        <v>7875530</v>
      </c>
      <c r="O111" s="1284"/>
      <c r="P111" s="1286">
        <f>SUM(P109:P110)</f>
        <v>9853611</v>
      </c>
      <c r="Q111" s="1284"/>
      <c r="R111" s="1284">
        <v>12144664</v>
      </c>
      <c r="S111" s="1284"/>
      <c r="T111" s="1284">
        <v>13587083</v>
      </c>
      <c r="U111" s="1284"/>
      <c r="V111" s="1284">
        <v>14789597</v>
      </c>
      <c r="W111" s="1284"/>
      <c r="X111" s="1284">
        <v>14692807</v>
      </c>
      <c r="Y111" s="1284"/>
      <c r="Z111" s="1284">
        <v>17570455</v>
      </c>
      <c r="AA111" s="1284"/>
      <c r="AB111" s="1284">
        <v>15870825</v>
      </c>
      <c r="AC111" s="1284"/>
      <c r="AD111" s="1284">
        <v>11877800</v>
      </c>
      <c r="AE111" s="1285"/>
      <c r="AF111" s="1284">
        <v>13935214</v>
      </c>
      <c r="AG111" s="1284"/>
      <c r="AH111" s="1284">
        <v>14588328.26</v>
      </c>
      <c r="AI111" s="1284"/>
      <c r="AJ111" s="1286">
        <f>SUM(AJ109:AJ110)</f>
        <v>15886461</v>
      </c>
      <c r="AK111" s="1286"/>
      <c r="AL111" s="1286">
        <f>SUM(AL109:AL110)</f>
        <v>15395777</v>
      </c>
      <c r="AM111" s="1286"/>
      <c r="AN111" s="1286">
        <f>SUM(AN109:AN110)</f>
        <v>19510809</v>
      </c>
    </row>
    <row r="112" spans="1:40">
      <c r="A112" s="362"/>
      <c r="B112" s="351"/>
      <c r="C112" s="1280"/>
      <c r="D112" s="1280"/>
      <c r="E112" s="1280"/>
      <c r="F112" s="1280"/>
      <c r="G112" s="1280"/>
      <c r="H112" s="1280"/>
      <c r="I112" s="1279"/>
      <c r="J112" s="1279"/>
      <c r="K112" s="1280"/>
      <c r="L112" s="1280"/>
      <c r="M112" s="1280"/>
      <c r="N112" s="1280"/>
      <c r="O112" s="1280"/>
      <c r="P112" s="1279"/>
      <c r="Q112" s="1279"/>
      <c r="R112" s="1279"/>
      <c r="S112" s="1279"/>
      <c r="T112" s="1279"/>
      <c r="U112" s="1279"/>
      <c r="V112" s="1279"/>
      <c r="W112" s="1279"/>
      <c r="X112" s="1279"/>
      <c r="Y112" s="1279"/>
      <c r="Z112" s="1279"/>
      <c r="AA112" s="1280"/>
      <c r="AB112" s="1280"/>
      <c r="AC112" s="1280"/>
      <c r="AD112" s="1280"/>
      <c r="AE112" s="1280"/>
      <c r="AF112" s="1280"/>
      <c r="AG112" s="1280"/>
      <c r="AH112" s="1280"/>
      <c r="AI112" s="1280"/>
      <c r="AJ112" s="1279"/>
      <c r="AK112" s="1279"/>
      <c r="AL112" s="1279"/>
      <c r="AM112" s="1280"/>
      <c r="AN112" s="1279"/>
    </row>
    <row r="113" spans="1:40">
      <c r="A113" s="1496" t="s">
        <v>780</v>
      </c>
      <c r="B113" s="1484"/>
      <c r="C113" s="1489"/>
      <c r="D113" s="1489"/>
      <c r="E113" s="1489"/>
      <c r="F113" s="1489"/>
      <c r="G113" s="1489"/>
      <c r="H113" s="1489"/>
      <c r="I113" s="1512"/>
      <c r="J113" s="1512"/>
      <c r="K113" s="1489"/>
      <c r="L113" s="1489"/>
      <c r="M113" s="1512"/>
      <c r="N113" s="1512"/>
      <c r="O113" s="1489"/>
      <c r="P113" s="1489"/>
      <c r="Q113" s="1512"/>
      <c r="R113" s="1512"/>
      <c r="S113" s="1489"/>
      <c r="T113" s="1489"/>
      <c r="U113" s="1489"/>
      <c r="V113" s="1489"/>
      <c r="W113" s="1489"/>
      <c r="X113" s="1489"/>
      <c r="Y113" s="1489"/>
      <c r="Z113" s="1489"/>
      <c r="AA113" s="1489"/>
      <c r="AB113" s="1489"/>
      <c r="AC113" s="1489"/>
      <c r="AD113" s="1489"/>
      <c r="AE113" s="1489"/>
      <c r="AF113" s="1489"/>
      <c r="AG113" s="1489"/>
      <c r="AH113" s="1489"/>
      <c r="AI113" s="1489"/>
      <c r="AJ113" s="1489"/>
      <c r="AK113" s="1512"/>
      <c r="AL113" s="1512"/>
      <c r="AM113" s="1489"/>
      <c r="AN113" s="1489"/>
    </row>
    <row r="114" spans="1:40">
      <c r="A114" s="1581" t="s">
        <v>310</v>
      </c>
      <c r="B114" s="1511" t="s">
        <v>87</v>
      </c>
      <c r="C114" s="1512">
        <v>8505</v>
      </c>
      <c r="D114" s="1512">
        <v>1852772</v>
      </c>
      <c r="E114" s="1512">
        <v>12690</v>
      </c>
      <c r="F114" s="1512">
        <v>2967402</v>
      </c>
      <c r="G114" s="1512">
        <v>8221</v>
      </c>
      <c r="H114" s="1512">
        <v>1855601</v>
      </c>
      <c r="I114" s="1489">
        <v>24471</v>
      </c>
      <c r="J114" s="1489">
        <v>4397393</v>
      </c>
      <c r="K114" s="1489">
        <v>32812</v>
      </c>
      <c r="L114" s="1489">
        <v>5742022</v>
      </c>
      <c r="M114" s="1512">
        <v>47428</v>
      </c>
      <c r="N114" s="1512">
        <v>8305325</v>
      </c>
      <c r="O114" s="1512">
        <v>40376</v>
      </c>
      <c r="P114" s="1512">
        <v>7079333</v>
      </c>
      <c r="Q114" s="1512">
        <v>42516</v>
      </c>
      <c r="R114" s="1512">
        <v>8893387</v>
      </c>
      <c r="S114" s="1489">
        <v>42550</v>
      </c>
      <c r="T114" s="1489">
        <v>7341552</v>
      </c>
      <c r="U114" s="1489">
        <v>47787</v>
      </c>
      <c r="V114" s="1489">
        <v>10245802</v>
      </c>
      <c r="W114" s="1489">
        <v>71875</v>
      </c>
      <c r="X114" s="1489">
        <v>11561445</v>
      </c>
      <c r="Y114" s="1512">
        <v>105324</v>
      </c>
      <c r="Z114" s="1489">
        <v>13445325</v>
      </c>
      <c r="AA114" s="1489">
        <v>113191</v>
      </c>
      <c r="AB114" s="1489">
        <v>18628946</v>
      </c>
      <c r="AC114" s="1489">
        <v>46566</v>
      </c>
      <c r="AD114" s="1489">
        <v>8897759</v>
      </c>
      <c r="AE114" s="1489">
        <v>48021</v>
      </c>
      <c r="AF114" s="1489">
        <v>10886637</v>
      </c>
      <c r="AG114" s="1489">
        <v>62116</v>
      </c>
      <c r="AH114" s="1489">
        <v>14448602</v>
      </c>
      <c r="AI114" s="1512">
        <v>68944</v>
      </c>
      <c r="AJ114" s="1512" t="s">
        <v>785</v>
      </c>
      <c r="AK114" s="1512">
        <v>90400</v>
      </c>
      <c r="AL114" s="1512" t="s">
        <v>785</v>
      </c>
      <c r="AM114" s="1512">
        <v>102573</v>
      </c>
      <c r="AN114" s="1489" t="s">
        <v>785</v>
      </c>
    </row>
    <row r="115" spans="1:40">
      <c r="A115" s="1581" t="s">
        <v>311</v>
      </c>
      <c r="B115" s="1511" t="s">
        <v>87</v>
      </c>
      <c r="C115" s="1512">
        <v>69</v>
      </c>
      <c r="D115" s="1512">
        <v>4219279</v>
      </c>
      <c r="E115" s="1512">
        <v>143</v>
      </c>
      <c r="F115" s="1512">
        <v>4853625</v>
      </c>
      <c r="G115" s="1512">
        <v>108</v>
      </c>
      <c r="H115" s="1512">
        <v>4224365</v>
      </c>
      <c r="I115" s="1489">
        <v>133</v>
      </c>
      <c r="J115" s="1489">
        <v>5676606</v>
      </c>
      <c r="K115" s="1489">
        <v>548</v>
      </c>
      <c r="L115" s="1489">
        <v>13352435</v>
      </c>
      <c r="M115" s="1512">
        <v>439</v>
      </c>
      <c r="N115" s="1512">
        <v>16169644</v>
      </c>
      <c r="O115" s="1512">
        <v>702</v>
      </c>
      <c r="P115" s="1512">
        <v>22767073</v>
      </c>
      <c r="Q115" s="1512">
        <v>873</v>
      </c>
      <c r="R115" s="1512">
        <v>25005667</v>
      </c>
      <c r="S115" s="1489">
        <v>537</v>
      </c>
      <c r="T115" s="1512">
        <v>19741076</v>
      </c>
      <c r="U115" s="1489">
        <v>246</v>
      </c>
      <c r="V115" s="1489">
        <v>14278830</v>
      </c>
      <c r="W115" s="1489">
        <v>379</v>
      </c>
      <c r="X115" s="1489">
        <v>31839882</v>
      </c>
      <c r="Y115" s="1512">
        <v>447</v>
      </c>
      <c r="Z115" s="1489">
        <v>33018287</v>
      </c>
      <c r="AA115" s="1489">
        <v>410</v>
      </c>
      <c r="AB115" s="1489">
        <v>34255688</v>
      </c>
      <c r="AC115" s="1489">
        <v>371</v>
      </c>
      <c r="AD115" s="1489">
        <v>41864039</v>
      </c>
      <c r="AE115" s="1489">
        <v>415</v>
      </c>
      <c r="AF115" s="1489">
        <v>65929047</v>
      </c>
      <c r="AG115" s="1489">
        <v>513.95000000000005</v>
      </c>
      <c r="AH115" s="1489">
        <v>78670971</v>
      </c>
      <c r="AI115" s="1512">
        <v>737.55</v>
      </c>
      <c r="AJ115" s="1512" t="s">
        <v>785</v>
      </c>
      <c r="AK115" s="1512">
        <v>905</v>
      </c>
      <c r="AL115" s="1512" t="s">
        <v>785</v>
      </c>
      <c r="AM115" s="1512">
        <v>1006</v>
      </c>
      <c r="AN115" s="1489" t="s">
        <v>785</v>
      </c>
    </row>
    <row r="116" spans="1:40">
      <c r="A116" s="1582" t="s">
        <v>312</v>
      </c>
      <c r="B116" s="1511" t="s">
        <v>87</v>
      </c>
      <c r="C116" s="1512">
        <v>569</v>
      </c>
      <c r="D116" s="1512">
        <v>9442807</v>
      </c>
      <c r="E116" s="1512">
        <v>679</v>
      </c>
      <c r="F116" s="1512">
        <v>6371195</v>
      </c>
      <c r="G116" s="1512">
        <v>731</v>
      </c>
      <c r="H116" s="1512">
        <v>4882698</v>
      </c>
      <c r="I116" s="1489">
        <v>434</v>
      </c>
      <c r="J116" s="1489">
        <v>2855928</v>
      </c>
      <c r="K116" s="1489">
        <v>365</v>
      </c>
      <c r="L116" s="1489">
        <v>2253656</v>
      </c>
      <c r="M116" s="1528">
        <v>237</v>
      </c>
      <c r="N116" s="1528">
        <v>1298492</v>
      </c>
      <c r="O116" s="1512">
        <v>262</v>
      </c>
      <c r="P116" s="1512">
        <v>1229162</v>
      </c>
      <c r="Q116" s="1512">
        <v>273</v>
      </c>
      <c r="R116" s="1512">
        <v>1286279</v>
      </c>
      <c r="S116" s="1489">
        <v>208.59633027522941</v>
      </c>
      <c r="T116" s="1512">
        <v>1139902</v>
      </c>
      <c r="U116" s="1489">
        <v>104</v>
      </c>
      <c r="V116" s="1489">
        <v>790621</v>
      </c>
      <c r="W116" s="1489">
        <v>457</v>
      </c>
      <c r="X116" s="1489">
        <v>3109397</v>
      </c>
      <c r="Y116" s="1512">
        <v>403</v>
      </c>
      <c r="Z116" s="1489">
        <v>3227809</v>
      </c>
      <c r="AA116" s="1489">
        <v>549</v>
      </c>
      <c r="AB116" s="1489">
        <v>3576738</v>
      </c>
      <c r="AC116" s="1489">
        <v>481</v>
      </c>
      <c r="AD116" s="1489">
        <v>3622811</v>
      </c>
      <c r="AE116" s="1489">
        <v>596</v>
      </c>
      <c r="AF116" s="1489">
        <v>4999060</v>
      </c>
      <c r="AG116" s="1489">
        <v>575.62</v>
      </c>
      <c r="AH116" s="1489">
        <v>4756778</v>
      </c>
      <c r="AI116" s="1512">
        <v>885</v>
      </c>
      <c r="AJ116" s="1512">
        <v>7930963</v>
      </c>
      <c r="AK116" s="1512">
        <v>874</v>
      </c>
      <c r="AL116" s="1512">
        <v>6007866</v>
      </c>
      <c r="AM116" s="1512">
        <v>762.7</v>
      </c>
      <c r="AN116" s="1512" t="s">
        <v>785</v>
      </c>
    </row>
    <row r="117" spans="1:40">
      <c r="A117" s="1583" t="s">
        <v>781</v>
      </c>
      <c r="B117" s="1484"/>
      <c r="C117" s="1489"/>
      <c r="D117" s="1489">
        <f>SUM(D114:D116)</f>
        <v>15514858</v>
      </c>
      <c r="E117" s="1489"/>
      <c r="F117" s="1489">
        <f>SUM(F114:F116)</f>
        <v>14192222</v>
      </c>
      <c r="G117" s="1489"/>
      <c r="H117" s="1489">
        <f>SUM(H114:H116)</f>
        <v>10962664</v>
      </c>
      <c r="I117" s="1489"/>
      <c r="J117" s="1489">
        <f>SUM(J114:J116)</f>
        <v>12929927</v>
      </c>
      <c r="K117" s="1489"/>
      <c r="L117" s="1489">
        <v>21348113</v>
      </c>
      <c r="M117" s="1489"/>
      <c r="N117" s="1489">
        <v>25773461</v>
      </c>
      <c r="O117" s="1489"/>
      <c r="P117" s="1512">
        <f>SUM(P114:P116)</f>
        <v>31075568</v>
      </c>
      <c r="Q117" s="1512"/>
      <c r="R117" s="1512">
        <v>35185333</v>
      </c>
      <c r="S117" s="1489"/>
      <c r="T117" s="1489">
        <v>28222530</v>
      </c>
      <c r="U117" s="1489"/>
      <c r="V117" s="1489">
        <v>25315253</v>
      </c>
      <c r="W117" s="1489"/>
      <c r="X117" s="1489">
        <v>46510724</v>
      </c>
      <c r="Y117" s="1489"/>
      <c r="Z117" s="1489">
        <v>49691421</v>
      </c>
      <c r="AA117" s="1489"/>
      <c r="AB117" s="1489">
        <v>56461372</v>
      </c>
      <c r="AC117" s="1489"/>
      <c r="AD117" s="1489">
        <v>54384609</v>
      </c>
      <c r="AE117" s="1485"/>
      <c r="AF117" s="1489">
        <v>81814744</v>
      </c>
      <c r="AG117" s="1489"/>
      <c r="AH117" s="1489">
        <v>97876351</v>
      </c>
      <c r="AI117" s="1489"/>
      <c r="AJ117" s="1512">
        <v>169908738</v>
      </c>
      <c r="AK117" s="1512"/>
      <c r="AL117" s="1512">
        <v>225840014</v>
      </c>
      <c r="AM117" s="1489"/>
      <c r="AN117" s="1512">
        <v>217287947</v>
      </c>
    </row>
    <row r="118" spans="1:40" s="347" customFormat="1">
      <c r="A118" s="1583"/>
      <c r="B118" s="1484"/>
      <c r="C118" s="1489"/>
      <c r="D118" s="1489"/>
      <c r="E118" s="1489"/>
      <c r="F118" s="1489"/>
      <c r="G118" s="1489"/>
      <c r="H118" s="1489"/>
      <c r="I118" s="1489"/>
      <c r="J118" s="1489"/>
      <c r="K118" s="1489"/>
      <c r="L118" s="1489"/>
      <c r="M118" s="1489"/>
      <c r="N118" s="1489"/>
      <c r="O118" s="1489"/>
      <c r="P118" s="1512"/>
      <c r="Q118" s="1512"/>
      <c r="R118" s="1512"/>
      <c r="S118" s="1489"/>
      <c r="T118" s="1489"/>
      <c r="U118" s="1489"/>
      <c r="V118" s="1489"/>
      <c r="W118" s="1489"/>
      <c r="X118" s="1489"/>
      <c r="Y118" s="1489"/>
      <c r="Z118" s="1489"/>
      <c r="AA118" s="1489"/>
      <c r="AB118" s="1489"/>
      <c r="AC118" s="1489"/>
      <c r="AD118" s="1489"/>
      <c r="AE118" s="1485"/>
      <c r="AF118" s="1489"/>
      <c r="AG118" s="1489"/>
      <c r="AH118" s="1489"/>
      <c r="AI118" s="1489"/>
      <c r="AJ118" s="1512"/>
      <c r="AK118" s="1512"/>
      <c r="AL118" s="1512"/>
      <c r="AM118" s="1489"/>
      <c r="AN118" s="1512"/>
    </row>
    <row r="119" spans="1:40">
      <c r="A119" s="365" t="s">
        <v>255</v>
      </c>
      <c r="B119" s="353" t="s">
        <v>87</v>
      </c>
      <c r="C119" s="1280">
        <v>16729</v>
      </c>
      <c r="D119" s="1280">
        <v>215936</v>
      </c>
      <c r="E119" s="1280">
        <v>0</v>
      </c>
      <c r="F119" s="1280">
        <v>0</v>
      </c>
      <c r="G119" s="1280">
        <v>0</v>
      </c>
      <c r="H119" s="1280">
        <v>0</v>
      </c>
      <c r="I119" s="1280">
        <v>0</v>
      </c>
      <c r="J119" s="1280">
        <v>0</v>
      </c>
      <c r="K119" s="1280">
        <v>0</v>
      </c>
      <c r="L119" s="1280">
        <v>0</v>
      </c>
      <c r="M119" s="1280">
        <v>0</v>
      </c>
      <c r="N119" s="1280">
        <v>0</v>
      </c>
      <c r="O119" s="1280">
        <v>0</v>
      </c>
      <c r="P119" s="1280">
        <v>0</v>
      </c>
      <c r="Q119" s="1280">
        <v>0</v>
      </c>
      <c r="R119" s="1280">
        <v>0</v>
      </c>
      <c r="S119" s="1280">
        <v>0</v>
      </c>
      <c r="T119" s="1280">
        <v>0</v>
      </c>
      <c r="U119" s="1280">
        <v>0</v>
      </c>
      <c r="V119" s="1280">
        <v>0</v>
      </c>
      <c r="W119" s="1280">
        <v>0</v>
      </c>
      <c r="X119" s="1280">
        <v>0</v>
      </c>
      <c r="Y119" s="1280">
        <v>0</v>
      </c>
      <c r="Z119" s="1280">
        <v>0</v>
      </c>
      <c r="AA119" s="1280">
        <v>0</v>
      </c>
      <c r="AB119" s="1280">
        <v>0</v>
      </c>
      <c r="AC119" s="1280">
        <v>0</v>
      </c>
      <c r="AD119" s="1280">
        <v>0</v>
      </c>
      <c r="AE119" s="1280">
        <v>0</v>
      </c>
      <c r="AF119" s="1280">
        <v>0</v>
      </c>
      <c r="AG119" s="1280">
        <v>0</v>
      </c>
      <c r="AH119" s="1280">
        <v>0</v>
      </c>
      <c r="AI119" s="1280">
        <v>0</v>
      </c>
      <c r="AJ119" s="1280">
        <v>0</v>
      </c>
      <c r="AK119" s="1280">
        <v>0</v>
      </c>
      <c r="AL119" s="1280">
        <v>0</v>
      </c>
      <c r="AM119" s="1280">
        <v>0</v>
      </c>
      <c r="AN119" s="1280">
        <v>0</v>
      </c>
    </row>
    <row r="120" spans="1:40">
      <c r="A120" s="362"/>
      <c r="B120" s="351"/>
      <c r="C120" s="1280"/>
      <c r="D120" s="1280"/>
      <c r="E120" s="1280"/>
      <c r="F120" s="1280"/>
      <c r="G120" s="1280"/>
      <c r="H120" s="1280"/>
      <c r="I120" s="1279"/>
      <c r="J120" s="1279"/>
      <c r="K120" s="1280"/>
      <c r="L120" s="1280"/>
      <c r="M120" s="1280"/>
      <c r="N120" s="1280"/>
      <c r="O120" s="1280"/>
      <c r="P120" s="1279"/>
      <c r="Q120" s="1279"/>
      <c r="R120" s="1279"/>
      <c r="S120" s="1279"/>
      <c r="T120" s="1279"/>
      <c r="U120" s="1279"/>
      <c r="V120" s="1279"/>
      <c r="W120" s="1279"/>
      <c r="X120" s="1279"/>
      <c r="Y120" s="1279"/>
      <c r="Z120" s="1279"/>
      <c r="AA120" s="1280"/>
      <c r="AB120" s="1280"/>
      <c r="AC120" s="1280"/>
      <c r="AD120" s="1280"/>
      <c r="AE120" s="1280"/>
      <c r="AF120" s="1280"/>
      <c r="AG120" s="1280"/>
      <c r="AH120" s="1280"/>
      <c r="AI120" s="1280"/>
      <c r="AJ120" s="1279"/>
      <c r="AK120" s="1279"/>
      <c r="AL120" s="1279"/>
      <c r="AM120" s="1280"/>
      <c r="AN120" s="1279"/>
    </row>
    <row r="121" spans="1:40">
      <c r="A121" s="1496" t="s">
        <v>256</v>
      </c>
      <c r="B121" s="1511" t="s">
        <v>87</v>
      </c>
      <c r="C121" s="1489">
        <v>0</v>
      </c>
      <c r="D121" s="1489">
        <v>0</v>
      </c>
      <c r="E121" s="1489">
        <v>0</v>
      </c>
      <c r="F121" s="1489">
        <v>0</v>
      </c>
      <c r="G121" s="1489">
        <v>0</v>
      </c>
      <c r="H121" s="1489">
        <v>0</v>
      </c>
      <c r="I121" s="1489">
        <v>0</v>
      </c>
      <c r="J121" s="1489">
        <v>0</v>
      </c>
      <c r="K121" s="1489">
        <v>0</v>
      </c>
      <c r="L121" s="1489">
        <v>0</v>
      </c>
      <c r="M121" s="1489">
        <v>273000</v>
      </c>
      <c r="N121" s="1489">
        <v>1200000</v>
      </c>
      <c r="O121" s="1512">
        <v>160322</v>
      </c>
      <c r="P121" s="1512">
        <v>25585813</v>
      </c>
      <c r="Q121" s="1512">
        <v>395303</v>
      </c>
      <c r="R121" s="1512">
        <v>71855982</v>
      </c>
      <c r="S121" s="1512">
        <v>251532</v>
      </c>
      <c r="T121" s="1512">
        <v>46887348</v>
      </c>
      <c r="U121" s="1489">
        <v>315786</v>
      </c>
      <c r="V121" s="1489">
        <v>42010988</v>
      </c>
      <c r="W121" s="1489">
        <v>71912</v>
      </c>
      <c r="X121" s="1489">
        <v>8842461</v>
      </c>
      <c r="Y121" s="1512">
        <v>347038</v>
      </c>
      <c r="Z121" s="1489">
        <v>41335413</v>
      </c>
      <c r="AA121" s="1489">
        <v>324113</v>
      </c>
      <c r="AB121" s="1489">
        <v>37619254</v>
      </c>
      <c r="AC121" s="1489">
        <v>86297</v>
      </c>
      <c r="AD121" s="1489">
        <v>9394938</v>
      </c>
      <c r="AE121" s="1489">
        <v>27414.14</v>
      </c>
      <c r="AF121" s="1489">
        <v>3415875.39</v>
      </c>
      <c r="AG121" s="1489">
        <v>212382</v>
      </c>
      <c r="AH121" s="1489">
        <v>25684859</v>
      </c>
      <c r="AI121" s="1512">
        <v>401358</v>
      </c>
      <c r="AJ121" s="1512">
        <v>58501917</v>
      </c>
      <c r="AK121" s="1512">
        <v>474267</v>
      </c>
      <c r="AL121" s="1512">
        <v>68616729</v>
      </c>
      <c r="AM121" s="1512">
        <v>619651</v>
      </c>
      <c r="AN121" s="1512">
        <v>75377357</v>
      </c>
    </row>
    <row r="122" spans="1:40">
      <c r="A122" s="1483"/>
      <c r="B122" s="1511"/>
      <c r="C122" s="1512"/>
      <c r="D122" s="1512"/>
      <c r="E122" s="1512"/>
      <c r="F122" s="1512"/>
      <c r="G122" s="1512"/>
      <c r="H122" s="1512"/>
      <c r="I122" s="1512"/>
      <c r="J122" s="1512"/>
      <c r="K122" s="1489"/>
      <c r="L122" s="1489"/>
      <c r="M122" s="1489"/>
      <c r="N122" s="1489"/>
      <c r="O122" s="1512"/>
      <c r="P122" s="1512"/>
      <c r="Q122" s="1489"/>
      <c r="R122" s="1489"/>
      <c r="S122" s="1512"/>
      <c r="T122" s="1512"/>
      <c r="U122" s="1512"/>
      <c r="V122" s="1512"/>
      <c r="W122" s="1512"/>
      <c r="X122" s="1512"/>
      <c r="Y122" s="1512"/>
      <c r="Z122" s="1512"/>
      <c r="AA122" s="1489"/>
      <c r="AB122" s="1489"/>
      <c r="AC122" s="1489"/>
      <c r="AD122" s="1489"/>
      <c r="AE122" s="1489"/>
      <c r="AF122" s="1489"/>
      <c r="AG122" s="1489"/>
      <c r="AH122" s="1489"/>
      <c r="AI122" s="1512"/>
      <c r="AJ122" s="1512"/>
      <c r="AK122" s="1512"/>
      <c r="AL122" s="1512"/>
      <c r="AM122" s="1512"/>
      <c r="AN122" s="1512"/>
    </row>
    <row r="123" spans="1:40">
      <c r="A123" s="365" t="s">
        <v>258</v>
      </c>
      <c r="B123" s="353"/>
      <c r="C123" s="1279"/>
      <c r="D123" s="1279"/>
      <c r="E123" s="1279"/>
      <c r="F123" s="1279"/>
      <c r="G123" s="1279"/>
      <c r="H123" s="1279"/>
      <c r="I123" s="1280"/>
      <c r="J123" s="1280"/>
      <c r="K123" s="1279"/>
      <c r="L123" s="1279"/>
      <c r="M123" s="1280"/>
      <c r="N123" s="1280"/>
      <c r="O123" s="1279"/>
      <c r="P123" s="1279"/>
      <c r="Q123" s="1280"/>
      <c r="R123" s="1280"/>
      <c r="S123" s="1279"/>
      <c r="T123" s="1279"/>
      <c r="U123" s="1279"/>
      <c r="V123" s="1279"/>
      <c r="W123" s="1279"/>
      <c r="X123" s="1279"/>
      <c r="Y123" s="1279"/>
      <c r="Z123" s="1279"/>
      <c r="AA123" s="1280"/>
      <c r="AB123" s="1280"/>
      <c r="AC123" s="1280"/>
      <c r="AD123" s="1280"/>
      <c r="AE123" s="1280"/>
      <c r="AF123" s="1280"/>
      <c r="AG123" s="1280"/>
      <c r="AH123" s="1280"/>
      <c r="AI123" s="1279"/>
      <c r="AJ123" s="1279"/>
      <c r="AK123" s="1279"/>
      <c r="AL123" s="1279"/>
      <c r="AM123" s="1279"/>
      <c r="AN123" s="1279"/>
    </row>
    <row r="124" spans="1:40">
      <c r="A124" s="368" t="s">
        <v>415</v>
      </c>
      <c r="B124" s="353" t="s">
        <v>87</v>
      </c>
      <c r="C124" s="1279">
        <v>449</v>
      </c>
      <c r="D124" s="1279">
        <v>5937452</v>
      </c>
      <c r="E124" s="1279">
        <v>515</v>
      </c>
      <c r="F124" s="1279">
        <v>9230525</v>
      </c>
      <c r="G124" s="1279">
        <v>463</v>
      </c>
      <c r="H124" s="1279">
        <v>4012332</v>
      </c>
      <c r="I124" s="1280">
        <v>325</v>
      </c>
      <c r="J124" s="1280">
        <v>3521185</v>
      </c>
      <c r="K124" s="1280">
        <v>266</v>
      </c>
      <c r="L124" s="1280">
        <v>3681889</v>
      </c>
      <c r="M124" s="1280">
        <v>268</v>
      </c>
      <c r="N124" s="1280">
        <v>4600916</v>
      </c>
      <c r="O124" s="1279">
        <v>222</v>
      </c>
      <c r="P124" s="1279">
        <v>3697617</v>
      </c>
      <c r="Q124" s="1279">
        <v>633.995</v>
      </c>
      <c r="R124" s="1279">
        <v>28808544</v>
      </c>
      <c r="S124" s="1279">
        <v>287.41000000000003</v>
      </c>
      <c r="T124" s="1279">
        <v>12109563</v>
      </c>
      <c r="U124" s="1280">
        <v>370</v>
      </c>
      <c r="V124" s="1280">
        <v>19954659</v>
      </c>
      <c r="W124" s="1280">
        <v>786</v>
      </c>
      <c r="X124" s="1280">
        <v>48072829</v>
      </c>
      <c r="Y124" s="1279">
        <v>870</v>
      </c>
      <c r="Z124" s="1280">
        <v>66688908</v>
      </c>
      <c r="AA124" s="1280">
        <v>878.00099999999998</v>
      </c>
      <c r="AB124" s="1280">
        <v>50853771</v>
      </c>
      <c r="AC124" s="1280">
        <v>1499</v>
      </c>
      <c r="AD124" s="1280">
        <v>81778705</v>
      </c>
      <c r="AE124" s="1280">
        <v>1092.2338400000001</v>
      </c>
      <c r="AF124" s="1280">
        <v>55266893.764114715</v>
      </c>
      <c r="AG124" s="1280">
        <v>994.42200000000003</v>
      </c>
      <c r="AH124" s="1280">
        <v>49064798</v>
      </c>
      <c r="AI124" s="1279">
        <v>1947</v>
      </c>
      <c r="AJ124" s="1279">
        <v>94627283</v>
      </c>
      <c r="AK124" s="1279">
        <v>1898</v>
      </c>
      <c r="AL124" s="1279">
        <v>56866445</v>
      </c>
      <c r="AM124" s="1279">
        <v>2035</v>
      </c>
      <c r="AN124" s="1279">
        <v>54471438</v>
      </c>
    </row>
    <row r="125" spans="1:40">
      <c r="A125" s="368" t="s">
        <v>416</v>
      </c>
      <c r="B125" s="353" t="s">
        <v>87</v>
      </c>
      <c r="C125" s="1280">
        <v>0</v>
      </c>
      <c r="D125" s="1280">
        <v>0</v>
      </c>
      <c r="E125" s="1280">
        <v>0</v>
      </c>
      <c r="F125" s="1280">
        <v>0</v>
      </c>
      <c r="G125" s="1280">
        <v>0</v>
      </c>
      <c r="H125" s="1280">
        <v>0</v>
      </c>
      <c r="I125" s="1280">
        <v>0</v>
      </c>
      <c r="J125" s="1280">
        <v>0</v>
      </c>
      <c r="K125" s="1280">
        <v>0</v>
      </c>
      <c r="L125" s="1280">
        <v>0</v>
      </c>
      <c r="M125" s="1280">
        <v>0</v>
      </c>
      <c r="N125" s="1280">
        <v>0</v>
      </c>
      <c r="O125" s="1280">
        <v>0</v>
      </c>
      <c r="P125" s="1280">
        <v>0</v>
      </c>
      <c r="Q125" s="1280">
        <v>0</v>
      </c>
      <c r="R125" s="1280">
        <v>0</v>
      </c>
      <c r="S125" s="1280">
        <v>0</v>
      </c>
      <c r="T125" s="1280">
        <v>0</v>
      </c>
      <c r="U125" s="1280">
        <v>0</v>
      </c>
      <c r="V125" s="1280">
        <v>0</v>
      </c>
      <c r="W125" s="1280">
        <v>0</v>
      </c>
      <c r="X125" s="1280">
        <v>0</v>
      </c>
      <c r="Y125" s="1280">
        <v>0</v>
      </c>
      <c r="Z125" s="1280">
        <v>0</v>
      </c>
      <c r="AA125" s="1280">
        <v>0</v>
      </c>
      <c r="AB125" s="1280">
        <v>0</v>
      </c>
      <c r="AC125" s="1280">
        <v>0</v>
      </c>
      <c r="AD125" s="1280">
        <v>0</v>
      </c>
      <c r="AE125" s="1280">
        <v>0</v>
      </c>
      <c r="AF125" s="1280">
        <v>0</v>
      </c>
      <c r="AG125" s="1280">
        <v>340.32</v>
      </c>
      <c r="AH125" s="1280">
        <v>14101071</v>
      </c>
      <c r="AI125" s="1279">
        <v>1321.72</v>
      </c>
      <c r="AJ125" s="1279">
        <v>54656716</v>
      </c>
      <c r="AK125" s="1279">
        <v>1985</v>
      </c>
      <c r="AL125" s="1279">
        <v>54828789</v>
      </c>
      <c r="AM125" s="1279">
        <v>2390</v>
      </c>
      <c r="AN125" s="1279">
        <v>55784670</v>
      </c>
    </row>
    <row r="126" spans="1:40">
      <c r="A126" s="368" t="s">
        <v>417</v>
      </c>
      <c r="B126" s="353" t="s">
        <v>87</v>
      </c>
      <c r="C126" s="1280">
        <v>0</v>
      </c>
      <c r="D126" s="1280">
        <v>0</v>
      </c>
      <c r="E126" s="1280">
        <v>0</v>
      </c>
      <c r="F126" s="1280">
        <v>0</v>
      </c>
      <c r="G126" s="1280">
        <v>0</v>
      </c>
      <c r="H126" s="1280">
        <v>0</v>
      </c>
      <c r="I126" s="1280">
        <v>0</v>
      </c>
      <c r="J126" s="1280">
        <v>0</v>
      </c>
      <c r="K126" s="1280">
        <v>0</v>
      </c>
      <c r="L126" s="1280">
        <v>0</v>
      </c>
      <c r="M126" s="1280">
        <v>0</v>
      </c>
      <c r="N126" s="1280">
        <v>0</v>
      </c>
      <c r="O126" s="1280">
        <v>0</v>
      </c>
      <c r="P126" s="1280">
        <v>0</v>
      </c>
      <c r="Q126" s="1280">
        <v>0</v>
      </c>
      <c r="R126" s="1280">
        <v>0</v>
      </c>
      <c r="S126" s="1280">
        <v>0</v>
      </c>
      <c r="T126" s="1280">
        <v>0</v>
      </c>
      <c r="U126" s="1280">
        <v>0</v>
      </c>
      <c r="V126" s="1280">
        <v>0</v>
      </c>
      <c r="W126" s="1280">
        <v>0</v>
      </c>
      <c r="X126" s="1280">
        <v>0</v>
      </c>
      <c r="Y126" s="1280">
        <v>0</v>
      </c>
      <c r="Z126" s="1280">
        <v>0</v>
      </c>
      <c r="AA126" s="1280">
        <v>0</v>
      </c>
      <c r="AB126" s="1280">
        <v>0</v>
      </c>
      <c r="AC126" s="1280">
        <v>0</v>
      </c>
      <c r="AD126" s="1280">
        <v>0</v>
      </c>
      <c r="AE126" s="1280">
        <v>0</v>
      </c>
      <c r="AF126" s="1280">
        <v>0</v>
      </c>
      <c r="AG126" s="1280">
        <v>732</v>
      </c>
      <c r="AH126" s="1280">
        <v>23090295</v>
      </c>
      <c r="AI126" s="1279">
        <v>920.85</v>
      </c>
      <c r="AJ126" s="1279">
        <v>25096601</v>
      </c>
      <c r="AK126" s="1279">
        <v>549</v>
      </c>
      <c r="AL126" s="1279">
        <v>15668639</v>
      </c>
      <c r="AM126" s="1279">
        <v>495.15</v>
      </c>
      <c r="AN126" s="1279">
        <v>13926085</v>
      </c>
    </row>
    <row r="127" spans="1:40">
      <c r="A127" s="369" t="s">
        <v>259</v>
      </c>
      <c r="B127" s="353"/>
      <c r="C127" s="1279">
        <f t="shared" ref="C127:J127" si="38">SUM(C124:C126)</f>
        <v>449</v>
      </c>
      <c r="D127" s="1279">
        <f t="shared" si="38"/>
        <v>5937452</v>
      </c>
      <c r="E127" s="1280">
        <f t="shared" si="38"/>
        <v>515</v>
      </c>
      <c r="F127" s="1280">
        <f t="shared" si="38"/>
        <v>9230525</v>
      </c>
      <c r="G127" s="1280">
        <f t="shared" si="38"/>
        <v>463</v>
      </c>
      <c r="H127" s="1280">
        <f t="shared" si="38"/>
        <v>4012332</v>
      </c>
      <c r="I127" s="1279">
        <f t="shared" si="38"/>
        <v>325</v>
      </c>
      <c r="J127" s="1279">
        <f t="shared" si="38"/>
        <v>3521185</v>
      </c>
      <c r="K127" s="1280">
        <v>266</v>
      </c>
      <c r="L127" s="1280">
        <v>3681889</v>
      </c>
      <c r="M127" s="1280">
        <v>268</v>
      </c>
      <c r="N127" s="1280">
        <v>4600916</v>
      </c>
      <c r="O127" s="1279">
        <v>222</v>
      </c>
      <c r="P127" s="1279">
        <v>3697617</v>
      </c>
      <c r="Q127" s="1279">
        <v>633.995</v>
      </c>
      <c r="R127" s="1279">
        <v>28808544</v>
      </c>
      <c r="S127" s="1279">
        <v>287.41000000000003</v>
      </c>
      <c r="T127" s="1279">
        <v>12109563</v>
      </c>
      <c r="U127" s="1280">
        <v>370</v>
      </c>
      <c r="V127" s="1280">
        <v>19954659</v>
      </c>
      <c r="W127" s="1280">
        <v>786</v>
      </c>
      <c r="X127" s="1280">
        <v>48072829</v>
      </c>
      <c r="Y127" s="1279">
        <v>870</v>
      </c>
      <c r="Z127" s="1280">
        <v>66688908</v>
      </c>
      <c r="AA127" s="1280">
        <v>878.00099999999998</v>
      </c>
      <c r="AB127" s="1280">
        <v>50853771</v>
      </c>
      <c r="AC127" s="1280">
        <v>1499</v>
      </c>
      <c r="AD127" s="1280">
        <v>81778705</v>
      </c>
      <c r="AE127" s="1280">
        <v>1092.2338400000001</v>
      </c>
      <c r="AF127" s="1280">
        <v>55266893.764114715</v>
      </c>
      <c r="AG127" s="1280"/>
      <c r="AH127" s="1280">
        <v>86256164</v>
      </c>
      <c r="AI127" s="1279"/>
      <c r="AJ127" s="1279">
        <f>SUM(AJ124:AJ126)</f>
        <v>174380600</v>
      </c>
      <c r="AK127" s="1279"/>
      <c r="AL127" s="1279">
        <f>SUM(AL124:AL126)</f>
        <v>127363873</v>
      </c>
      <c r="AM127" s="1279"/>
      <c r="AN127" s="1279">
        <f>SUM(AN124:AN126)</f>
        <v>124182193</v>
      </c>
    </row>
    <row r="128" spans="1:40">
      <c r="A128" s="368" t="s">
        <v>576</v>
      </c>
      <c r="B128" s="353" t="s">
        <v>87</v>
      </c>
      <c r="C128" s="1279">
        <v>486491</v>
      </c>
      <c r="D128" s="1279">
        <v>363306720</v>
      </c>
      <c r="E128" s="1279">
        <v>455155</v>
      </c>
      <c r="F128" s="1279">
        <v>313472129</v>
      </c>
      <c r="G128" s="1279">
        <v>406321</v>
      </c>
      <c r="H128" s="1279">
        <v>264726489</v>
      </c>
      <c r="I128" s="1280">
        <v>388964</v>
      </c>
      <c r="J128" s="1280">
        <v>391749276</v>
      </c>
      <c r="K128" s="1280">
        <v>353850</v>
      </c>
      <c r="L128" s="1280">
        <v>633839033</v>
      </c>
      <c r="M128" s="1280">
        <v>446453</v>
      </c>
      <c r="N128" s="1280">
        <v>565370341</v>
      </c>
      <c r="O128" s="1279">
        <v>510320</v>
      </c>
      <c r="P128" s="1279">
        <v>591302981</v>
      </c>
      <c r="Q128" s="1279">
        <v>475305</v>
      </c>
      <c r="R128" s="1279">
        <v>485907939</v>
      </c>
      <c r="S128" s="1279">
        <f>521030</f>
        <v>521030</v>
      </c>
      <c r="T128" s="1279">
        <f>470435536</f>
        <v>470435536</v>
      </c>
      <c r="U128" s="1280">
        <v>563025</v>
      </c>
      <c r="V128" s="1280">
        <v>458620550</v>
      </c>
      <c r="W128" s="1280">
        <v>729442</v>
      </c>
      <c r="X128" s="1280">
        <v>897118281</v>
      </c>
      <c r="Y128" s="1279">
        <v>761919</v>
      </c>
      <c r="Z128" s="1280">
        <v>1097301395</v>
      </c>
      <c r="AA128" s="1280">
        <v>776490</v>
      </c>
      <c r="AB128" s="1280">
        <v>1051111897</v>
      </c>
      <c r="AC128" s="1280">
        <v>942470</v>
      </c>
      <c r="AD128" s="1280">
        <v>1146639375</v>
      </c>
      <c r="AE128" s="1280">
        <v>835160.1</v>
      </c>
      <c r="AF128" s="1280">
        <v>872398146.45216513</v>
      </c>
      <c r="AG128" s="1280">
        <v>871262</v>
      </c>
      <c r="AH128" s="1280">
        <v>1613510211</v>
      </c>
      <c r="AI128" s="1279">
        <v>899618.48</v>
      </c>
      <c r="AJ128" s="1279">
        <v>1857503896</v>
      </c>
      <c r="AK128" s="1279">
        <v>1110357</v>
      </c>
      <c r="AL128" s="1279">
        <v>1619104901</v>
      </c>
      <c r="AM128" s="1279">
        <v>1355882</v>
      </c>
      <c r="AN128" s="1279">
        <v>1997056701</v>
      </c>
    </row>
    <row r="129" spans="1:40">
      <c r="A129" s="368" t="s">
        <v>790</v>
      </c>
      <c r="B129" s="353" t="s">
        <v>87</v>
      </c>
      <c r="C129" s="1279">
        <v>0</v>
      </c>
      <c r="D129" s="1279">
        <v>0</v>
      </c>
      <c r="E129" s="1280">
        <v>0</v>
      </c>
      <c r="F129" s="1280">
        <v>0</v>
      </c>
      <c r="G129" s="1280">
        <v>0</v>
      </c>
      <c r="H129" s="1280">
        <v>0</v>
      </c>
      <c r="I129" s="1280">
        <v>0</v>
      </c>
      <c r="J129" s="1280">
        <v>0</v>
      </c>
      <c r="K129" s="1280">
        <v>0</v>
      </c>
      <c r="L129" s="1280">
        <v>0</v>
      </c>
      <c r="M129" s="1279">
        <v>0</v>
      </c>
      <c r="N129" s="1279">
        <v>0</v>
      </c>
      <c r="O129" s="1279">
        <v>0</v>
      </c>
      <c r="P129" s="1279">
        <v>0</v>
      </c>
      <c r="Q129" s="1280">
        <v>0</v>
      </c>
      <c r="R129" s="1280">
        <v>0</v>
      </c>
      <c r="S129" s="1280">
        <v>0</v>
      </c>
      <c r="T129" s="1280">
        <v>0</v>
      </c>
      <c r="U129" s="1280">
        <v>0</v>
      </c>
      <c r="V129" s="1280">
        <v>0</v>
      </c>
      <c r="W129" s="1280">
        <v>0</v>
      </c>
      <c r="X129" s="1280">
        <v>0</v>
      </c>
      <c r="Y129" s="1280">
        <v>0</v>
      </c>
      <c r="Z129" s="1280">
        <v>0</v>
      </c>
      <c r="AA129" s="1280">
        <v>0</v>
      </c>
      <c r="AB129" s="1280">
        <v>0</v>
      </c>
      <c r="AC129" s="1280">
        <v>0</v>
      </c>
      <c r="AD129" s="1280">
        <v>0</v>
      </c>
      <c r="AE129" s="1280">
        <v>519</v>
      </c>
      <c r="AF129" s="1280">
        <v>4220297</v>
      </c>
      <c r="AG129" s="1280">
        <v>14199.976000000001</v>
      </c>
      <c r="AH129" s="1280">
        <v>192774850</v>
      </c>
      <c r="AI129" s="1279">
        <v>27969.37</v>
      </c>
      <c r="AJ129" s="1279">
        <v>381234256</v>
      </c>
      <c r="AK129" s="1279">
        <v>35522</v>
      </c>
      <c r="AL129" s="1279">
        <v>382964497</v>
      </c>
      <c r="AM129" s="1279">
        <v>37915</v>
      </c>
      <c r="AN129" s="1279">
        <v>485414557</v>
      </c>
    </row>
    <row r="130" spans="1:40">
      <c r="A130" s="368" t="s">
        <v>260</v>
      </c>
      <c r="B130" s="353" t="s">
        <v>87</v>
      </c>
      <c r="C130" s="1279">
        <v>0</v>
      </c>
      <c r="D130" s="1279">
        <v>0</v>
      </c>
      <c r="E130" s="1279">
        <v>45937</v>
      </c>
      <c r="F130" s="1279">
        <v>8490324</v>
      </c>
      <c r="G130" s="1279">
        <v>59257</v>
      </c>
      <c r="H130" s="1279">
        <v>10065723</v>
      </c>
      <c r="I130" s="1280">
        <v>0</v>
      </c>
      <c r="J130" s="1280">
        <v>0</v>
      </c>
      <c r="K130" s="1280">
        <v>0</v>
      </c>
      <c r="L130" s="1280">
        <v>0</v>
      </c>
      <c r="M130" s="1280">
        <v>37084</v>
      </c>
      <c r="N130" s="1280">
        <v>20598342</v>
      </c>
      <c r="O130" s="1279">
        <v>8666</v>
      </c>
      <c r="P130" s="1279">
        <v>4575271</v>
      </c>
      <c r="Q130" s="1280">
        <v>5210</v>
      </c>
      <c r="R130" s="1280">
        <v>3135393</v>
      </c>
      <c r="S130" s="1280">
        <v>0</v>
      </c>
      <c r="T130" s="1280">
        <v>0</v>
      </c>
      <c r="U130" s="1280">
        <v>0</v>
      </c>
      <c r="V130" s="1280">
        <v>0</v>
      </c>
      <c r="W130" s="1280">
        <v>0</v>
      </c>
      <c r="X130" s="1280">
        <v>0</v>
      </c>
      <c r="Y130" s="1280">
        <v>0</v>
      </c>
      <c r="Z130" s="1280">
        <v>0</v>
      </c>
      <c r="AA130" s="1280">
        <v>0</v>
      </c>
      <c r="AB130" s="1280">
        <v>0</v>
      </c>
      <c r="AC130" s="1280">
        <v>0</v>
      </c>
      <c r="AD130" s="1280">
        <v>0</v>
      </c>
      <c r="AE130" s="1280">
        <v>0</v>
      </c>
      <c r="AF130" s="1280">
        <v>0</v>
      </c>
      <c r="AG130" s="1280">
        <v>0</v>
      </c>
      <c r="AH130" s="1280">
        <v>0</v>
      </c>
      <c r="AI130" s="1280">
        <v>0</v>
      </c>
      <c r="AJ130" s="1280">
        <v>0</v>
      </c>
      <c r="AK130" s="1279">
        <v>0</v>
      </c>
      <c r="AL130" s="1279">
        <v>0</v>
      </c>
      <c r="AM130" s="1279">
        <v>0</v>
      </c>
      <c r="AN130" s="1279">
        <v>0</v>
      </c>
    </row>
    <row r="131" spans="1:40">
      <c r="A131" s="368" t="s">
        <v>409</v>
      </c>
      <c r="B131" s="353" t="s">
        <v>160</v>
      </c>
      <c r="C131" s="1279">
        <v>461</v>
      </c>
      <c r="D131" s="1279">
        <v>2491786</v>
      </c>
      <c r="E131" s="1279">
        <v>421</v>
      </c>
      <c r="F131" s="1279">
        <v>2050352</v>
      </c>
      <c r="G131" s="1279">
        <v>490</v>
      </c>
      <c r="H131" s="1279">
        <v>3218062</v>
      </c>
      <c r="I131" s="1280">
        <v>454</v>
      </c>
      <c r="J131" s="1280">
        <v>2842171</v>
      </c>
      <c r="K131" s="1280">
        <v>280</v>
      </c>
      <c r="L131" s="1280">
        <v>1622806</v>
      </c>
      <c r="M131" s="1280">
        <v>431</v>
      </c>
      <c r="N131" s="1280">
        <v>1631497</v>
      </c>
      <c r="O131" s="1279">
        <v>350</v>
      </c>
      <c r="P131" s="1279">
        <v>1229183</v>
      </c>
      <c r="Q131" s="1280">
        <v>554.50900000000001</v>
      </c>
      <c r="R131" s="1280">
        <v>1386855</v>
      </c>
      <c r="S131" s="1280">
        <v>422.01299999999998</v>
      </c>
      <c r="T131" s="1279">
        <v>1626008</v>
      </c>
      <c r="U131" s="1280">
        <v>373</v>
      </c>
      <c r="V131" s="1280">
        <v>2576698</v>
      </c>
      <c r="W131" s="1280">
        <v>514</v>
      </c>
      <c r="X131" s="1280">
        <v>3100988</v>
      </c>
      <c r="Y131" s="1279">
        <v>558</v>
      </c>
      <c r="Z131" s="1280">
        <v>2703172</v>
      </c>
      <c r="AA131" s="1280">
        <v>433.21499999999997</v>
      </c>
      <c r="AB131" s="1280">
        <v>2238476</v>
      </c>
      <c r="AC131" s="1280">
        <v>668</v>
      </c>
      <c r="AD131" s="1280">
        <v>6785327</v>
      </c>
      <c r="AE131" s="1280">
        <v>791.89519984889159</v>
      </c>
      <c r="AF131" s="1280">
        <v>9233229.6406634524</v>
      </c>
      <c r="AG131" s="1280">
        <v>790.93299999999999</v>
      </c>
      <c r="AH131" s="1280">
        <v>17154394</v>
      </c>
      <c r="AI131" s="1279">
        <v>862.87700000000007</v>
      </c>
      <c r="AJ131" s="1279">
        <v>39173885</v>
      </c>
      <c r="AK131" s="1279">
        <v>828</v>
      </c>
      <c r="AL131" s="1279">
        <v>20072174</v>
      </c>
      <c r="AM131" s="1279">
        <v>517</v>
      </c>
      <c r="AN131" s="1279">
        <v>7468326</v>
      </c>
    </row>
    <row r="132" spans="1:40">
      <c r="A132" s="368" t="s">
        <v>410</v>
      </c>
      <c r="B132" s="353" t="s">
        <v>160</v>
      </c>
      <c r="C132" s="1279">
        <v>81</v>
      </c>
      <c r="D132" s="1279">
        <v>1225011</v>
      </c>
      <c r="E132" s="1279">
        <v>94</v>
      </c>
      <c r="F132" s="1279">
        <v>1498493</v>
      </c>
      <c r="G132" s="1279">
        <v>105</v>
      </c>
      <c r="H132" s="1279">
        <v>2645121</v>
      </c>
      <c r="I132" s="1280">
        <v>82</v>
      </c>
      <c r="J132" s="1280">
        <v>1936029</v>
      </c>
      <c r="K132" s="1280">
        <v>70</v>
      </c>
      <c r="L132" s="1280">
        <v>1504088</v>
      </c>
      <c r="M132" s="1280">
        <v>66</v>
      </c>
      <c r="N132" s="1280">
        <v>1049022</v>
      </c>
      <c r="O132" s="1279">
        <v>89</v>
      </c>
      <c r="P132" s="1279">
        <v>1268587</v>
      </c>
      <c r="Q132" s="1279">
        <v>125.637</v>
      </c>
      <c r="R132" s="1279">
        <v>1646045</v>
      </c>
      <c r="S132" s="1280">
        <v>112.181</v>
      </c>
      <c r="T132" s="1279">
        <v>1246898</v>
      </c>
      <c r="U132" s="1280">
        <v>64</v>
      </c>
      <c r="V132" s="1280">
        <v>987882</v>
      </c>
      <c r="W132" s="1280">
        <v>121</v>
      </c>
      <c r="X132" s="1280">
        <v>1412150</v>
      </c>
      <c r="Y132" s="1279">
        <v>87</v>
      </c>
      <c r="Z132" s="1280">
        <v>1995309</v>
      </c>
      <c r="AA132" s="1280">
        <v>254.56</v>
      </c>
      <c r="AB132" s="1280">
        <v>1582314</v>
      </c>
      <c r="AC132" s="1280">
        <v>212</v>
      </c>
      <c r="AD132" s="1280">
        <v>3105879</v>
      </c>
      <c r="AE132" s="1280">
        <v>101.83586977349816</v>
      </c>
      <c r="AF132" s="1280">
        <v>1838766.5099171938</v>
      </c>
      <c r="AG132" s="1280">
        <v>115.55800000000001</v>
      </c>
      <c r="AH132" s="1280">
        <v>2581065</v>
      </c>
      <c r="AI132" s="1279">
        <v>188.16800000000001</v>
      </c>
      <c r="AJ132" s="1279">
        <v>6062098</v>
      </c>
      <c r="AK132" s="1279">
        <v>144</v>
      </c>
      <c r="AL132" s="1279">
        <v>3949956</v>
      </c>
      <c r="AM132" s="1279">
        <v>152</v>
      </c>
      <c r="AN132" s="1279">
        <v>4337857</v>
      </c>
    </row>
    <row r="133" spans="1:40">
      <c r="A133" s="369" t="s">
        <v>262</v>
      </c>
      <c r="B133" s="351"/>
      <c r="C133" s="1280"/>
      <c r="D133" s="1280">
        <f>SUM(D127:D132)</f>
        <v>372960969</v>
      </c>
      <c r="E133" s="1280"/>
      <c r="F133" s="1280">
        <f>SUM(F127:F132)</f>
        <v>334741823</v>
      </c>
      <c r="G133" s="1280"/>
      <c r="H133" s="1280">
        <f>SUM(H127:H132)</f>
        <v>284667727</v>
      </c>
      <c r="I133" s="1280"/>
      <c r="J133" s="1280">
        <f>SUM(J127:J132)</f>
        <v>400048661</v>
      </c>
      <c r="K133" s="1280"/>
      <c r="L133" s="1280">
        <f>SUM(L127:L132)</f>
        <v>640647816</v>
      </c>
      <c r="M133" s="1280"/>
      <c r="N133" s="1280">
        <f>SUM(N127:N132)</f>
        <v>593250118</v>
      </c>
      <c r="O133" s="1280"/>
      <c r="P133" s="1279">
        <f>SUM(P127:P132)</f>
        <v>602073639</v>
      </c>
      <c r="Q133" s="1279"/>
      <c r="R133" s="1279">
        <f>521349718-464942</f>
        <v>520884776</v>
      </c>
      <c r="S133" s="1279"/>
      <c r="T133" s="1279">
        <f>487155241-1737236</f>
        <v>485418005</v>
      </c>
      <c r="U133" s="1280"/>
      <c r="V133" s="1280">
        <v>482139789</v>
      </c>
      <c r="W133" s="1280"/>
      <c r="X133" s="1280">
        <v>949704248</v>
      </c>
      <c r="Y133" s="1280"/>
      <c r="Z133" s="1280">
        <v>1168688784</v>
      </c>
      <c r="AA133" s="1280"/>
      <c r="AB133" s="1280">
        <v>1105786458</v>
      </c>
      <c r="AC133" s="1280"/>
      <c r="AD133" s="1280">
        <v>1238309287</v>
      </c>
      <c r="AE133" s="1281"/>
      <c r="AF133" s="1280">
        <v>942957333.36686051</v>
      </c>
      <c r="AG133" s="1280"/>
      <c r="AH133" s="1280">
        <v>1912276684</v>
      </c>
      <c r="AI133" s="1280"/>
      <c r="AJ133" s="1279">
        <f>SUM(AJ127:AJ132)</f>
        <v>2458354735</v>
      </c>
      <c r="AK133" s="1279"/>
      <c r="AL133" s="1279">
        <f>SUM(AL127:AL132)</f>
        <v>2153455401</v>
      </c>
      <c r="AM133" s="1279"/>
      <c r="AN133" s="1279">
        <f>SUM(AN127:AN132)</f>
        <v>2618459634</v>
      </c>
    </row>
    <row r="134" spans="1:40">
      <c r="A134" s="1520"/>
      <c r="B134" s="1484"/>
      <c r="C134" s="1489"/>
      <c r="D134" s="1489"/>
      <c r="E134" s="1489"/>
      <c r="F134" s="1489"/>
      <c r="G134" s="1489"/>
      <c r="H134" s="1489"/>
      <c r="I134" s="1489"/>
      <c r="J134" s="1489"/>
      <c r="K134" s="1489"/>
      <c r="L134" s="1489"/>
      <c r="M134" s="1512"/>
      <c r="N134" s="1512"/>
      <c r="O134" s="1489"/>
      <c r="P134" s="1512"/>
      <c r="Q134" s="1489"/>
      <c r="R134" s="1489"/>
      <c r="S134" s="1512"/>
      <c r="T134" s="1512"/>
      <c r="U134" s="1512"/>
      <c r="V134" s="1512"/>
      <c r="W134" s="1512"/>
      <c r="X134" s="1512"/>
      <c r="Y134" s="1489"/>
      <c r="Z134" s="1489"/>
      <c r="AA134" s="1489"/>
      <c r="AB134" s="1489"/>
      <c r="AC134" s="1489"/>
      <c r="AD134" s="1489"/>
      <c r="AE134" s="1485"/>
      <c r="AF134" s="1489"/>
      <c r="AG134" s="1489"/>
      <c r="AH134" s="1489"/>
      <c r="AI134" s="1489"/>
      <c r="AJ134" s="1512"/>
      <c r="AK134" s="1512"/>
      <c r="AL134" s="1512"/>
      <c r="AM134" s="1489"/>
      <c r="AN134" s="1512"/>
    </row>
    <row r="135" spans="1:40">
      <c r="A135" s="1496" t="s">
        <v>264</v>
      </c>
      <c r="B135" s="1497" t="s">
        <v>87</v>
      </c>
      <c r="C135" s="1489">
        <v>0</v>
      </c>
      <c r="D135" s="1489">
        <v>0</v>
      </c>
      <c r="E135" s="1489">
        <v>10238</v>
      </c>
      <c r="F135" s="1489">
        <v>441894</v>
      </c>
      <c r="G135" s="1489">
        <v>1641</v>
      </c>
      <c r="H135" s="1489">
        <v>51669</v>
      </c>
      <c r="I135" s="1489">
        <v>879</v>
      </c>
      <c r="J135" s="1489">
        <v>52794</v>
      </c>
      <c r="K135" s="1489">
        <v>1338</v>
      </c>
      <c r="L135" s="1489">
        <v>78504</v>
      </c>
      <c r="M135" s="1512">
        <v>1111</v>
      </c>
      <c r="N135" s="1512">
        <v>68546</v>
      </c>
      <c r="O135" s="1512">
        <v>376</v>
      </c>
      <c r="P135" s="1512">
        <v>28000</v>
      </c>
      <c r="Q135" s="1489">
        <v>762</v>
      </c>
      <c r="R135" s="1489">
        <v>56685</v>
      </c>
      <c r="S135" s="1489">
        <v>1134</v>
      </c>
      <c r="T135" s="1489">
        <v>84432</v>
      </c>
      <c r="U135" s="1489">
        <v>813</v>
      </c>
      <c r="V135" s="1489">
        <v>60380</v>
      </c>
      <c r="W135" s="1489">
        <v>960</v>
      </c>
      <c r="X135" s="1489">
        <v>66992</v>
      </c>
      <c r="Y135" s="1512">
        <v>547</v>
      </c>
      <c r="Z135" s="1489">
        <v>40748</v>
      </c>
      <c r="AA135" s="1489">
        <v>0</v>
      </c>
      <c r="AB135" s="1489">
        <v>0</v>
      </c>
      <c r="AC135" s="1489">
        <v>0</v>
      </c>
      <c r="AD135" s="1489">
        <v>0</v>
      </c>
      <c r="AE135" s="1489">
        <v>0</v>
      </c>
      <c r="AF135" s="1489">
        <v>0</v>
      </c>
      <c r="AG135" s="1489">
        <v>0</v>
      </c>
      <c r="AH135" s="1489">
        <v>0</v>
      </c>
      <c r="AI135" s="1489">
        <v>0</v>
      </c>
      <c r="AJ135" s="1489">
        <v>0</v>
      </c>
      <c r="AK135" s="1512">
        <v>0</v>
      </c>
      <c r="AL135" s="1512">
        <v>0</v>
      </c>
      <c r="AM135" s="1512">
        <v>0</v>
      </c>
      <c r="AN135" s="1512">
        <v>0</v>
      </c>
    </row>
    <row r="136" spans="1:40">
      <c r="A136" s="1515" t="s">
        <v>265</v>
      </c>
      <c r="B136" s="1484"/>
      <c r="C136" s="1489"/>
      <c r="D136" s="1489"/>
      <c r="E136" s="1489"/>
      <c r="F136" s="1489"/>
      <c r="G136" s="1489"/>
      <c r="H136" s="1489"/>
      <c r="I136" s="1489"/>
      <c r="J136" s="1489"/>
      <c r="K136" s="1489"/>
      <c r="L136" s="1489"/>
      <c r="M136" s="1489"/>
      <c r="N136" s="1489"/>
      <c r="O136" s="1512"/>
      <c r="P136" s="1512"/>
      <c r="Q136" s="1512"/>
      <c r="R136" s="1512"/>
      <c r="S136" s="1489"/>
      <c r="T136" s="1489"/>
      <c r="U136" s="1489"/>
      <c r="V136" s="1489"/>
      <c r="W136" s="1489"/>
      <c r="X136" s="1489"/>
      <c r="Y136" s="1489"/>
      <c r="Z136" s="1489"/>
      <c r="AA136" s="1489"/>
      <c r="AB136" s="1489"/>
      <c r="AC136" s="1489"/>
      <c r="AD136" s="1489"/>
      <c r="AE136" s="1489"/>
      <c r="AF136" s="1489"/>
      <c r="AG136" s="1489"/>
      <c r="AH136" s="1489"/>
      <c r="AI136" s="1489"/>
      <c r="AJ136" s="1512"/>
      <c r="AK136" s="1512"/>
      <c r="AL136" s="1512"/>
      <c r="AM136" s="1512"/>
      <c r="AN136" s="1512"/>
    </row>
    <row r="137" spans="1:40">
      <c r="A137" s="365" t="s">
        <v>266</v>
      </c>
      <c r="B137" s="351"/>
      <c r="C137" s="1280"/>
      <c r="D137" s="1280"/>
      <c r="E137" s="1280"/>
      <c r="F137" s="1280"/>
      <c r="G137" s="1280"/>
      <c r="H137" s="1280"/>
      <c r="I137" s="1279"/>
      <c r="J137" s="1279"/>
      <c r="K137" s="1280"/>
      <c r="L137" s="1280"/>
      <c r="M137" s="1280"/>
      <c r="N137" s="1280"/>
      <c r="O137" s="1279"/>
      <c r="P137" s="1279"/>
      <c r="Q137" s="1279"/>
      <c r="R137" s="1279"/>
      <c r="S137" s="1280"/>
      <c r="T137" s="1280"/>
      <c r="U137" s="1280"/>
      <c r="V137" s="1280"/>
      <c r="W137" s="1280"/>
      <c r="X137" s="1280"/>
      <c r="Y137" s="1280"/>
      <c r="Z137" s="1280"/>
      <c r="AA137" s="1280"/>
      <c r="AB137" s="1280"/>
      <c r="AC137" s="1280"/>
      <c r="AD137" s="1280"/>
      <c r="AE137" s="1280"/>
      <c r="AF137" s="1280"/>
      <c r="AG137" s="1280"/>
      <c r="AH137" s="1280"/>
      <c r="AI137" s="1279"/>
      <c r="AJ137" s="1279"/>
      <c r="AK137" s="1279"/>
      <c r="AL137" s="1279"/>
      <c r="AM137" s="1279"/>
      <c r="AN137" s="1279"/>
    </row>
    <row r="138" spans="1:40">
      <c r="A138" s="368" t="s">
        <v>80</v>
      </c>
      <c r="B138" s="353" t="s">
        <v>267</v>
      </c>
      <c r="C138" s="1279">
        <f>94861/0.733</f>
        <v>129414.73396998637</v>
      </c>
      <c r="D138" s="1279" t="s">
        <v>466</v>
      </c>
      <c r="E138" s="1279">
        <v>381287</v>
      </c>
      <c r="F138" s="1279" t="s">
        <v>467</v>
      </c>
      <c r="G138" s="1279">
        <v>512434</v>
      </c>
      <c r="H138" s="1279">
        <v>76464584</v>
      </c>
      <c r="I138" s="1280">
        <v>1140514</v>
      </c>
      <c r="J138" s="1280">
        <v>169911500</v>
      </c>
      <c r="K138" s="1280">
        <v>1154116</v>
      </c>
      <c r="L138" s="1280">
        <v>141799395</v>
      </c>
      <c r="M138" s="1280">
        <v>1601163</v>
      </c>
      <c r="N138" s="1280">
        <v>235653383</v>
      </c>
      <c r="O138" s="1279">
        <v>1867892</v>
      </c>
      <c r="P138" s="1279">
        <v>370948987</v>
      </c>
      <c r="Q138" s="1279">
        <v>1996708</v>
      </c>
      <c r="R138" s="1279">
        <v>338981745</v>
      </c>
      <c r="S138" s="1280">
        <v>1995401</v>
      </c>
      <c r="T138" s="1280">
        <v>363038053</v>
      </c>
      <c r="U138" s="1280">
        <v>2350031</v>
      </c>
      <c r="V138" s="1280">
        <v>348711923</v>
      </c>
      <c r="W138" s="1280">
        <v>2634932</v>
      </c>
      <c r="X138" s="1280">
        <v>398338386</v>
      </c>
      <c r="Y138" s="1279">
        <v>4648827</v>
      </c>
      <c r="Z138" s="1280">
        <v>685743146</v>
      </c>
      <c r="AA138" s="1280">
        <v>5734946</v>
      </c>
      <c r="AB138" s="1280">
        <v>943153536</v>
      </c>
      <c r="AC138" s="1280">
        <v>6758554</v>
      </c>
      <c r="AD138" s="1280">
        <v>1065843094</v>
      </c>
      <c r="AE138" s="1280">
        <v>5554129</v>
      </c>
      <c r="AF138" s="1280">
        <v>743906225.27999997</v>
      </c>
      <c r="AG138" s="1280">
        <v>6347648</v>
      </c>
      <c r="AH138" s="1280">
        <v>1583938449</v>
      </c>
      <c r="AI138" s="1279">
        <v>5809460</v>
      </c>
      <c r="AJ138" s="1279">
        <v>1984526940</v>
      </c>
      <c r="AK138" s="1279">
        <v>6326003</v>
      </c>
      <c r="AL138" s="1279">
        <v>1680033506</v>
      </c>
      <c r="AM138" s="1279">
        <v>6934156</v>
      </c>
      <c r="AN138" s="1279">
        <v>2046370293</v>
      </c>
    </row>
    <row r="139" spans="1:40">
      <c r="A139" s="368" t="s">
        <v>79</v>
      </c>
      <c r="B139" s="353" t="s">
        <v>267</v>
      </c>
      <c r="C139" s="1279">
        <v>1216456</v>
      </c>
      <c r="D139" s="1279">
        <v>284790518</v>
      </c>
      <c r="E139" s="1279">
        <v>1430180</v>
      </c>
      <c r="F139" s="1279">
        <v>311924009</v>
      </c>
      <c r="G139" s="1279">
        <v>1574655</v>
      </c>
      <c r="H139" s="1279">
        <v>262843620</v>
      </c>
      <c r="I139" s="1280">
        <v>1932597</v>
      </c>
      <c r="J139" s="1280">
        <v>304355749</v>
      </c>
      <c r="K139" s="1280">
        <v>2198943</v>
      </c>
      <c r="L139" s="1280">
        <v>269860578</v>
      </c>
      <c r="M139" s="1279">
        <v>3962739</v>
      </c>
      <c r="N139" s="1279">
        <v>601471936</v>
      </c>
      <c r="O139" s="1279">
        <v>5136529</v>
      </c>
      <c r="P139" s="1279">
        <v>1054061459</v>
      </c>
      <c r="Q139" s="1279">
        <v>5432496</v>
      </c>
      <c r="R139" s="1279">
        <v>941287650</v>
      </c>
      <c r="S139" s="1280">
        <v>4538080</v>
      </c>
      <c r="T139" s="1280">
        <v>855690950</v>
      </c>
      <c r="U139" s="1280">
        <v>5327567</v>
      </c>
      <c r="V139" s="1280">
        <v>815332844</v>
      </c>
      <c r="W139" s="1280">
        <v>9901184</v>
      </c>
      <c r="X139" s="1280">
        <v>1559650770</v>
      </c>
      <c r="Y139" s="1279">
        <v>9646943</v>
      </c>
      <c r="Z139" s="1280">
        <v>1535670541</v>
      </c>
      <c r="AA139" s="1280">
        <v>10465951</v>
      </c>
      <c r="AB139" s="1280">
        <v>1915933489</v>
      </c>
      <c r="AC139" s="1280">
        <v>9852490</v>
      </c>
      <c r="AD139" s="1280">
        <v>1567158552</v>
      </c>
      <c r="AE139" s="1280">
        <v>9162535.7458721325</v>
      </c>
      <c r="AF139" s="1280">
        <v>1189643507.9398711</v>
      </c>
      <c r="AG139" s="1280">
        <v>12054819</v>
      </c>
      <c r="AH139" s="1280">
        <v>3144766638</v>
      </c>
      <c r="AI139" s="1279">
        <v>13957274</v>
      </c>
      <c r="AJ139" s="1279">
        <v>4792052082.1799994</v>
      </c>
      <c r="AK139" s="1279">
        <v>15087852</v>
      </c>
      <c r="AL139" s="1279">
        <v>4198780711</v>
      </c>
      <c r="AM139" s="1279">
        <v>14004299</v>
      </c>
      <c r="AN139" s="1279">
        <v>4258124798</v>
      </c>
    </row>
    <row r="140" spans="1:40">
      <c r="A140" s="368" t="s">
        <v>303</v>
      </c>
      <c r="B140" s="353" t="s">
        <v>87</v>
      </c>
      <c r="C140" s="1280">
        <v>0</v>
      </c>
      <c r="D140" s="1280">
        <v>0</v>
      </c>
      <c r="E140" s="1280">
        <v>0</v>
      </c>
      <c r="F140" s="1280">
        <v>0</v>
      </c>
      <c r="G140" s="1280">
        <v>0</v>
      </c>
      <c r="H140" s="1280">
        <v>0</v>
      </c>
      <c r="I140" s="1280">
        <v>0</v>
      </c>
      <c r="J140" s="1280">
        <v>0</v>
      </c>
      <c r="K140" s="1280">
        <v>0</v>
      </c>
      <c r="L140" s="1280">
        <v>0</v>
      </c>
      <c r="M140" s="1279">
        <v>2003220.7692307692</v>
      </c>
      <c r="N140" s="1279">
        <v>336091222</v>
      </c>
      <c r="O140" s="1279">
        <v>3556359.2115384615</v>
      </c>
      <c r="P140" s="1279">
        <v>836400762</v>
      </c>
      <c r="Q140" s="1279">
        <v>4225019.230769231</v>
      </c>
      <c r="R140" s="1279">
        <v>846334383</v>
      </c>
      <c r="S140" s="1280">
        <v>4893574.192307692</v>
      </c>
      <c r="T140" s="1279">
        <v>1025056102</v>
      </c>
      <c r="U140" s="1280">
        <v>5699265.75</v>
      </c>
      <c r="V140" s="1280">
        <v>1015679244</v>
      </c>
      <c r="W140" s="1280">
        <v>6848223.557692308</v>
      </c>
      <c r="X140" s="1280">
        <v>1262512586</v>
      </c>
      <c r="Y140" s="1279">
        <v>7303621.384615385</v>
      </c>
      <c r="Z140" s="1280">
        <v>1350915501</v>
      </c>
      <c r="AA140" s="1280">
        <v>7124972.653846154</v>
      </c>
      <c r="AB140" s="1280">
        <v>1528770813</v>
      </c>
      <c r="AC140" s="1280">
        <v>7298921.730769231</v>
      </c>
      <c r="AD140" s="1280">
        <v>1591935107</v>
      </c>
      <c r="AE140" s="1280">
        <v>7536486.865384615</v>
      </c>
      <c r="AF140" s="1280">
        <v>1434419363</v>
      </c>
      <c r="AG140" s="1280">
        <v>7569482.692307692</v>
      </c>
      <c r="AH140" s="1280">
        <v>1971060425</v>
      </c>
      <c r="AI140" s="1279">
        <v>8260389.230769231</v>
      </c>
      <c r="AJ140" s="1279">
        <v>2695528134</v>
      </c>
      <c r="AK140" s="1279">
        <v>7424657.653846154</v>
      </c>
      <c r="AL140" s="1279">
        <v>2970606165</v>
      </c>
      <c r="AM140" s="1279">
        <v>7765873.730769231</v>
      </c>
      <c r="AN140" s="1279">
        <v>3130828043</v>
      </c>
    </row>
    <row r="141" spans="1:40">
      <c r="A141" s="368" t="s">
        <v>412</v>
      </c>
      <c r="B141" s="353" t="s">
        <v>87</v>
      </c>
      <c r="C141" s="1280">
        <v>0</v>
      </c>
      <c r="D141" s="1280">
        <v>0</v>
      </c>
      <c r="E141" s="1280">
        <v>0</v>
      </c>
      <c r="F141" s="1280">
        <v>0</v>
      </c>
      <c r="G141" s="1280">
        <v>0</v>
      </c>
      <c r="H141" s="1280">
        <v>0</v>
      </c>
      <c r="I141" s="1280">
        <v>0</v>
      </c>
      <c r="J141" s="1280">
        <v>0</v>
      </c>
      <c r="K141" s="1280">
        <v>0</v>
      </c>
      <c r="L141" s="1280">
        <v>0</v>
      </c>
      <c r="M141" s="1280">
        <v>0</v>
      </c>
      <c r="N141" s="1280">
        <v>0</v>
      </c>
      <c r="O141" s="1280">
        <v>0</v>
      </c>
      <c r="P141" s="1280">
        <v>0</v>
      </c>
      <c r="Q141" s="1280">
        <v>0</v>
      </c>
      <c r="R141" s="1280">
        <v>0</v>
      </c>
      <c r="S141" s="1280">
        <v>0</v>
      </c>
      <c r="T141" s="1280">
        <v>0</v>
      </c>
      <c r="U141" s="1280">
        <v>0</v>
      </c>
      <c r="V141" s="1280">
        <v>0</v>
      </c>
      <c r="W141" s="1280">
        <v>0</v>
      </c>
      <c r="X141" s="1280">
        <v>0</v>
      </c>
      <c r="Y141" s="1279">
        <v>100241</v>
      </c>
      <c r="Z141" s="1280">
        <v>22708772</v>
      </c>
      <c r="AA141" s="1280">
        <v>209685</v>
      </c>
      <c r="AB141" s="1280">
        <v>59668659</v>
      </c>
      <c r="AC141" s="1280">
        <v>376089</v>
      </c>
      <c r="AD141" s="1280">
        <v>90469095</v>
      </c>
      <c r="AE141" s="1280">
        <v>388694</v>
      </c>
      <c r="AF141" s="1280">
        <v>90621537</v>
      </c>
      <c r="AG141" s="1280">
        <v>443576</v>
      </c>
      <c r="AH141" s="1280">
        <v>190900705</v>
      </c>
      <c r="AI141" s="1279">
        <v>428900</v>
      </c>
      <c r="AJ141" s="1279">
        <v>221968789.00000003</v>
      </c>
      <c r="AK141" s="1279">
        <v>482203</v>
      </c>
      <c r="AL141" s="1279">
        <v>193711852</v>
      </c>
      <c r="AM141" s="1279">
        <v>460467</v>
      </c>
      <c r="AN141" s="1279">
        <v>221468636</v>
      </c>
    </row>
    <row r="142" spans="1:40">
      <c r="A142" s="368" t="s">
        <v>413</v>
      </c>
      <c r="B142" s="353" t="s">
        <v>87</v>
      </c>
      <c r="C142" s="1280">
        <v>0</v>
      </c>
      <c r="D142" s="1280">
        <v>0</v>
      </c>
      <c r="E142" s="1280">
        <v>0</v>
      </c>
      <c r="F142" s="1280">
        <v>0</v>
      </c>
      <c r="G142" s="1280">
        <v>0</v>
      </c>
      <c r="H142" s="1280">
        <v>0</v>
      </c>
      <c r="I142" s="1280">
        <v>0</v>
      </c>
      <c r="J142" s="1280">
        <v>0</v>
      </c>
      <c r="K142" s="1280">
        <v>0</v>
      </c>
      <c r="L142" s="1280">
        <v>0</v>
      </c>
      <c r="M142" s="1280">
        <v>0</v>
      </c>
      <c r="N142" s="1280">
        <v>0</v>
      </c>
      <c r="O142" s="1280">
        <v>0</v>
      </c>
      <c r="P142" s="1280">
        <v>0</v>
      </c>
      <c r="Q142" s="1280">
        <v>0</v>
      </c>
      <c r="R142" s="1280">
        <v>0</v>
      </c>
      <c r="S142" s="1280">
        <v>0</v>
      </c>
      <c r="T142" s="1280">
        <v>0</v>
      </c>
      <c r="U142" s="1280">
        <v>0</v>
      </c>
      <c r="V142" s="1280">
        <v>0</v>
      </c>
      <c r="W142" s="1280">
        <v>0</v>
      </c>
      <c r="X142" s="1280">
        <v>0</v>
      </c>
      <c r="Y142" s="1279">
        <v>87016</v>
      </c>
      <c r="Z142" s="1280">
        <v>19732974</v>
      </c>
      <c r="AA142" s="1280">
        <v>185737</v>
      </c>
      <c r="AB142" s="1280">
        <v>55658974</v>
      </c>
      <c r="AC142" s="1280">
        <v>263259</v>
      </c>
      <c r="AD142" s="1280">
        <v>61264851</v>
      </c>
      <c r="AE142" s="1280">
        <v>259207</v>
      </c>
      <c r="AF142" s="1280">
        <v>57626638.760000005</v>
      </c>
      <c r="AG142" s="1280">
        <v>334573</v>
      </c>
      <c r="AH142" s="1280">
        <v>145937645</v>
      </c>
      <c r="AI142" s="1279">
        <v>367672</v>
      </c>
      <c r="AJ142" s="1279">
        <v>187540575</v>
      </c>
      <c r="AK142" s="1279">
        <v>374319</v>
      </c>
      <c r="AL142" s="1279">
        <v>167866073</v>
      </c>
      <c r="AM142" s="1279">
        <v>346596</v>
      </c>
      <c r="AN142" s="1279">
        <v>172394567</v>
      </c>
    </row>
    <row r="143" spans="1:40" ht="17.25">
      <c r="A143" s="368" t="s">
        <v>124</v>
      </c>
      <c r="B143" s="363" t="s">
        <v>423</v>
      </c>
      <c r="C143" s="1287">
        <v>1759631</v>
      </c>
      <c r="D143" s="1287">
        <v>165844011</v>
      </c>
      <c r="E143" s="1287">
        <v>2756065</v>
      </c>
      <c r="F143" s="1287">
        <v>291608694</v>
      </c>
      <c r="G143" s="1287">
        <v>3199165</v>
      </c>
      <c r="H143" s="1287">
        <v>277989304</v>
      </c>
      <c r="I143" s="1280">
        <v>3629175</v>
      </c>
      <c r="J143" s="1280">
        <v>320504994</v>
      </c>
      <c r="K143" s="1280">
        <v>3642292</v>
      </c>
      <c r="L143" s="1280">
        <v>284641291</v>
      </c>
      <c r="M143" s="1279">
        <v>3847731</v>
      </c>
      <c r="N143" s="1279">
        <v>256846939</v>
      </c>
      <c r="O143" s="1279">
        <v>3613720</v>
      </c>
      <c r="P143" s="1279">
        <v>379228944</v>
      </c>
      <c r="Q143" s="1279">
        <v>3768848</v>
      </c>
      <c r="R143" s="1279">
        <v>349257426</v>
      </c>
      <c r="S143" s="1279">
        <v>3960289</v>
      </c>
      <c r="T143" s="1279">
        <v>407019305</v>
      </c>
      <c r="U143" s="1280">
        <v>4456991</v>
      </c>
      <c r="V143" s="1280">
        <v>413371442</v>
      </c>
      <c r="W143" s="1280">
        <v>5366201</v>
      </c>
      <c r="X143" s="1280">
        <v>445714284</v>
      </c>
      <c r="Y143" s="1279">
        <v>6309564</v>
      </c>
      <c r="Z143" s="1280">
        <v>454763779</v>
      </c>
      <c r="AA143" s="1280">
        <v>6892911</v>
      </c>
      <c r="AB143" s="1280">
        <v>534648055</v>
      </c>
      <c r="AC143" s="1280">
        <v>6881954</v>
      </c>
      <c r="AD143" s="1280">
        <v>557469068</v>
      </c>
      <c r="AE143" s="1280">
        <v>6439698.5700000003</v>
      </c>
      <c r="AF143" s="1280">
        <v>549830768.50999999</v>
      </c>
      <c r="AG143" s="1280">
        <v>6546243.8900000006</v>
      </c>
      <c r="AH143" s="1280">
        <v>578766829</v>
      </c>
      <c r="AI143" s="1279">
        <v>7625011</v>
      </c>
      <c r="AJ143" s="1279">
        <v>630363197.27295518</v>
      </c>
      <c r="AK143" s="1279">
        <v>7533986</v>
      </c>
      <c r="AL143" s="1279">
        <v>643277079</v>
      </c>
      <c r="AM143" s="1279">
        <v>8120105</v>
      </c>
      <c r="AN143" s="1279">
        <v>661920544</v>
      </c>
    </row>
    <row r="144" spans="1:40">
      <c r="A144" s="369" t="s">
        <v>268</v>
      </c>
      <c r="B144" s="351"/>
      <c r="C144" s="1280"/>
      <c r="D144" s="1280">
        <f>SUM(D138:D143)</f>
        <v>450634529</v>
      </c>
      <c r="E144" s="1280"/>
      <c r="F144" s="1280">
        <f>SUM(F138:F143)</f>
        <v>603532703</v>
      </c>
      <c r="G144" s="1280"/>
      <c r="H144" s="1280">
        <f>SUM(H138:H143)</f>
        <v>617297508</v>
      </c>
      <c r="I144" s="1279"/>
      <c r="J144" s="1279">
        <f>SUM(J138:J143)</f>
        <v>794772243</v>
      </c>
      <c r="K144" s="1280"/>
      <c r="L144" s="1280">
        <v>696301264</v>
      </c>
      <c r="M144" s="1279"/>
      <c r="N144" s="1279">
        <v>1530063480</v>
      </c>
      <c r="O144" s="1280"/>
      <c r="P144" s="1279">
        <f>SUM(P138:P143)</f>
        <v>2640640152</v>
      </c>
      <c r="Q144" s="1279"/>
      <c r="R144" s="1279">
        <v>2475861204</v>
      </c>
      <c r="S144" s="1280"/>
      <c r="T144" s="1280">
        <v>2650804410</v>
      </c>
      <c r="U144" s="1280"/>
      <c r="V144" s="1280">
        <v>2593095453</v>
      </c>
      <c r="W144" s="1280"/>
      <c r="X144" s="1280">
        <v>3666216026</v>
      </c>
      <c r="Y144" s="1280"/>
      <c r="Z144" s="1280">
        <v>4069534713</v>
      </c>
      <c r="AA144" s="1280"/>
      <c r="AB144" s="1280">
        <v>5037833526</v>
      </c>
      <c r="AC144" s="1280"/>
      <c r="AD144" s="1280">
        <v>4934139769</v>
      </c>
      <c r="AE144" s="1281"/>
      <c r="AF144" s="1280">
        <v>4066048040.489871</v>
      </c>
      <c r="AG144" s="1280"/>
      <c r="AH144" s="1280">
        <v>7615370691</v>
      </c>
      <c r="AI144" s="1280"/>
      <c r="AJ144" s="1279">
        <f>SUM(AJ138:AJ143)</f>
        <v>10511979717.452955</v>
      </c>
      <c r="AK144" s="1279"/>
      <c r="AL144" s="1279">
        <f>SUM(AL138:AL143)</f>
        <v>9854275386</v>
      </c>
      <c r="AM144" s="1279"/>
      <c r="AN144" s="1279">
        <f>SUM(AN138:AN143)</f>
        <v>10491106881</v>
      </c>
    </row>
    <row r="145" spans="1:40">
      <c r="A145" s="364"/>
      <c r="B145" s="353"/>
      <c r="C145" s="1279"/>
      <c r="D145" s="1279"/>
      <c r="E145" s="1279"/>
      <c r="F145" s="1279"/>
      <c r="G145" s="1279"/>
      <c r="H145" s="1279"/>
      <c r="I145" s="1279"/>
      <c r="J145" s="1279"/>
      <c r="K145" s="1280"/>
      <c r="L145" s="1280"/>
      <c r="M145" s="1279"/>
      <c r="N145" s="1279"/>
      <c r="O145" s="1280"/>
      <c r="P145" s="1280"/>
      <c r="Q145" s="1279"/>
      <c r="R145" s="1279"/>
      <c r="S145" s="1280"/>
      <c r="T145" s="1280"/>
      <c r="U145" s="1280"/>
      <c r="V145" s="1280"/>
      <c r="W145" s="1280"/>
      <c r="X145" s="1280"/>
      <c r="Y145" s="1280"/>
      <c r="Z145" s="1280"/>
      <c r="AA145" s="1280"/>
      <c r="AB145" s="1280"/>
      <c r="AC145" s="1280"/>
      <c r="AD145" s="1280"/>
      <c r="AE145" s="1280"/>
      <c r="AF145" s="1280"/>
      <c r="AG145" s="1280"/>
      <c r="AH145" s="1280"/>
      <c r="AI145" s="1279"/>
      <c r="AJ145" s="1279"/>
      <c r="AK145" s="1279"/>
      <c r="AL145" s="1279"/>
      <c r="AM145" s="1279"/>
      <c r="AN145" s="1279"/>
    </row>
    <row r="146" spans="1:40">
      <c r="A146" s="1496" t="s">
        <v>270</v>
      </c>
      <c r="B146" s="1511"/>
      <c r="C146" s="1512"/>
      <c r="D146" s="1512"/>
      <c r="E146" s="1512"/>
      <c r="F146" s="1512"/>
      <c r="G146" s="1512"/>
      <c r="H146" s="1512"/>
      <c r="I146" s="1512"/>
      <c r="J146" s="1512"/>
      <c r="K146" s="1489"/>
      <c r="L146" s="1489"/>
      <c r="M146" s="1512"/>
      <c r="N146" s="1512"/>
      <c r="O146" s="1489"/>
      <c r="P146" s="1489"/>
      <c r="Q146" s="1512"/>
      <c r="R146" s="1512"/>
      <c r="S146" s="1489"/>
      <c r="T146" s="1489"/>
      <c r="U146" s="1489"/>
      <c r="V146" s="1489"/>
      <c r="W146" s="1489"/>
      <c r="X146" s="1489"/>
      <c r="Y146" s="1489"/>
      <c r="Z146" s="1489"/>
      <c r="AA146" s="1489"/>
      <c r="AB146" s="1489"/>
      <c r="AC146" s="1489"/>
      <c r="AD146" s="1489"/>
      <c r="AE146" s="1489"/>
      <c r="AF146" s="1489"/>
      <c r="AG146" s="1489"/>
      <c r="AH146" s="1489"/>
      <c r="AI146" s="1512"/>
      <c r="AJ146" s="1512"/>
      <c r="AK146" s="1512"/>
      <c r="AL146" s="1512"/>
      <c r="AM146" s="1512"/>
      <c r="AN146" s="1512"/>
    </row>
    <row r="147" spans="1:40">
      <c r="A147" s="1581" t="s">
        <v>271</v>
      </c>
      <c r="B147" s="1511" t="s">
        <v>87</v>
      </c>
      <c r="C147" s="1512">
        <v>0</v>
      </c>
      <c r="D147" s="1512">
        <v>0</v>
      </c>
      <c r="E147" s="1512">
        <v>0</v>
      </c>
      <c r="F147" s="1512">
        <v>0</v>
      </c>
      <c r="G147" s="1512">
        <v>0</v>
      </c>
      <c r="H147" s="1512">
        <v>0</v>
      </c>
      <c r="I147" s="1512">
        <v>0</v>
      </c>
      <c r="J147" s="1512">
        <v>0</v>
      </c>
      <c r="K147" s="1512">
        <v>0</v>
      </c>
      <c r="L147" s="1512">
        <v>0</v>
      </c>
      <c r="M147" s="1512">
        <v>0</v>
      </c>
      <c r="N147" s="1512">
        <v>0</v>
      </c>
      <c r="O147" s="1512">
        <v>0</v>
      </c>
      <c r="P147" s="1512">
        <v>0</v>
      </c>
      <c r="Q147" s="1512">
        <v>0</v>
      </c>
      <c r="R147" s="1512">
        <v>0</v>
      </c>
      <c r="S147" s="1512">
        <v>0</v>
      </c>
      <c r="T147" s="1512">
        <v>0</v>
      </c>
      <c r="U147" s="1512">
        <v>0</v>
      </c>
      <c r="V147" s="1512">
        <v>0</v>
      </c>
      <c r="W147" s="1512">
        <v>0</v>
      </c>
      <c r="X147" s="1512">
        <v>0</v>
      </c>
      <c r="Y147" s="1512">
        <v>0</v>
      </c>
      <c r="Z147" s="1512">
        <v>0</v>
      </c>
      <c r="AA147" s="1512">
        <v>0</v>
      </c>
      <c r="AB147" s="1512">
        <v>0</v>
      </c>
      <c r="AC147" s="1512">
        <v>0</v>
      </c>
      <c r="AD147" s="1512">
        <v>0</v>
      </c>
      <c r="AE147" s="1512">
        <v>0</v>
      </c>
      <c r="AF147" s="1512">
        <v>0</v>
      </c>
      <c r="AG147" s="1512">
        <v>0</v>
      </c>
      <c r="AH147" s="1512">
        <v>0</v>
      </c>
      <c r="AI147" s="1512">
        <v>0</v>
      </c>
      <c r="AJ147" s="1512">
        <v>0</v>
      </c>
      <c r="AK147" s="1512">
        <v>0</v>
      </c>
      <c r="AL147" s="1512">
        <v>0</v>
      </c>
      <c r="AM147" s="1512">
        <v>0</v>
      </c>
      <c r="AN147" s="1512">
        <v>0</v>
      </c>
    </row>
    <row r="148" spans="1:40">
      <c r="A148" s="1581" t="s">
        <v>411</v>
      </c>
      <c r="B148" s="1511" t="s">
        <v>87</v>
      </c>
      <c r="C148" s="1512">
        <v>0</v>
      </c>
      <c r="D148" s="1512">
        <v>0</v>
      </c>
      <c r="E148" s="1512">
        <v>0</v>
      </c>
      <c r="F148" s="1512">
        <v>0</v>
      </c>
      <c r="G148" s="1512">
        <v>0</v>
      </c>
      <c r="H148" s="1512">
        <v>0</v>
      </c>
      <c r="I148" s="1512">
        <v>0</v>
      </c>
      <c r="J148" s="1512">
        <v>0</v>
      </c>
      <c r="K148" s="1512">
        <v>0</v>
      </c>
      <c r="L148" s="1512">
        <v>0</v>
      </c>
      <c r="M148" s="1512">
        <v>0</v>
      </c>
      <c r="N148" s="1512">
        <v>0</v>
      </c>
      <c r="O148" s="1512">
        <v>5757</v>
      </c>
      <c r="P148" s="1512">
        <v>110531</v>
      </c>
      <c r="Q148" s="1489">
        <v>0</v>
      </c>
      <c r="R148" s="1489">
        <v>0</v>
      </c>
      <c r="S148" s="1489">
        <v>0</v>
      </c>
      <c r="T148" s="1489">
        <v>0</v>
      </c>
      <c r="U148" s="1489">
        <v>0</v>
      </c>
      <c r="V148" s="1489">
        <v>0</v>
      </c>
      <c r="W148" s="1489">
        <v>0</v>
      </c>
      <c r="X148" s="1489">
        <v>0</v>
      </c>
      <c r="Y148" s="1512">
        <v>6000</v>
      </c>
      <c r="Z148" s="1489">
        <v>164250</v>
      </c>
      <c r="AA148" s="1489">
        <v>0</v>
      </c>
      <c r="AB148" s="1489">
        <v>0</v>
      </c>
      <c r="AC148" s="1489">
        <v>6910</v>
      </c>
      <c r="AD148" s="1489">
        <v>1312900</v>
      </c>
      <c r="AE148" s="1489">
        <v>331</v>
      </c>
      <c r="AF148" s="1489">
        <v>62890</v>
      </c>
      <c r="AG148" s="1489">
        <v>1000</v>
      </c>
      <c r="AH148" s="1489">
        <v>670441</v>
      </c>
      <c r="AI148" s="1512">
        <v>1065</v>
      </c>
      <c r="AJ148" s="1512">
        <v>36218</v>
      </c>
      <c r="AK148" s="1512">
        <v>2458</v>
      </c>
      <c r="AL148" s="1512">
        <v>682817</v>
      </c>
      <c r="AM148" s="1512">
        <v>1994</v>
      </c>
      <c r="AN148" s="1512">
        <v>677653</v>
      </c>
    </row>
    <row r="149" spans="1:40">
      <c r="A149" s="1583" t="s">
        <v>272</v>
      </c>
      <c r="B149" s="1511"/>
      <c r="C149" s="1512"/>
      <c r="D149" s="1512">
        <f>SUM(D147:D148)</f>
        <v>0</v>
      </c>
      <c r="E149" s="1512"/>
      <c r="F149" s="1512">
        <f>SUM(F147:F148)</f>
        <v>0</v>
      </c>
      <c r="G149" s="1512"/>
      <c r="H149" s="1512">
        <f>SUM(H147:H148)</f>
        <v>0</v>
      </c>
      <c r="I149" s="1512"/>
      <c r="J149" s="1512">
        <f>SUM(J147:J148)</f>
        <v>0</v>
      </c>
      <c r="K149" s="1512"/>
      <c r="L149" s="1512">
        <f>SUM(L147:L148)</f>
        <v>0</v>
      </c>
      <c r="M149" s="1512"/>
      <c r="N149" s="1512">
        <f>SUM(N147:N148)</f>
        <v>0</v>
      </c>
      <c r="O149" s="1512"/>
      <c r="P149" s="1512">
        <f>SUM(P147:P148)</f>
        <v>110531</v>
      </c>
      <c r="Q149" s="1512"/>
      <c r="R149" s="1512">
        <f>SUM(R147:R148)</f>
        <v>0</v>
      </c>
      <c r="S149" s="1512"/>
      <c r="T149" s="1512">
        <f>SUM(T147:T148)</f>
        <v>0</v>
      </c>
      <c r="U149" s="1512"/>
      <c r="V149" s="1512">
        <f>SUM(V147:V148)</f>
        <v>0</v>
      </c>
      <c r="W149" s="1512"/>
      <c r="X149" s="1512">
        <f>SUM(X147:X148)</f>
        <v>0</v>
      </c>
      <c r="Y149" s="1512"/>
      <c r="Z149" s="1512">
        <f>SUM(Z147:Z148)</f>
        <v>164250</v>
      </c>
      <c r="AA149" s="1512"/>
      <c r="AB149" s="1512">
        <f>SUM(AB147:AB148)</f>
        <v>0</v>
      </c>
      <c r="AC149" s="1512"/>
      <c r="AD149" s="1512">
        <f>SUM(AD147:AD148)</f>
        <v>1312900</v>
      </c>
      <c r="AE149" s="1512"/>
      <c r="AF149" s="1512">
        <f>SUM(AF147:AF148)</f>
        <v>62890</v>
      </c>
      <c r="AG149" s="1512"/>
      <c r="AH149" s="1512">
        <f>SUM(AH147:AH148)</f>
        <v>670441</v>
      </c>
      <c r="AI149" s="1512"/>
      <c r="AJ149" s="1512">
        <f>SUM(AJ147:AJ148)</f>
        <v>36218</v>
      </c>
      <c r="AK149" s="1512"/>
      <c r="AL149" s="1512">
        <f>SUM(AL147:AL148)</f>
        <v>682817</v>
      </c>
      <c r="AM149" s="1512"/>
      <c r="AN149" s="1512">
        <f>SUM(AN147:AN148)</f>
        <v>677653</v>
      </c>
    </row>
    <row r="150" spans="1:40">
      <c r="A150" s="1524"/>
      <c r="B150" s="1511"/>
      <c r="C150" s="1512"/>
      <c r="D150" s="1512"/>
      <c r="E150" s="1512"/>
      <c r="F150" s="1512"/>
      <c r="G150" s="1512"/>
      <c r="H150" s="1512"/>
      <c r="I150" s="1512"/>
      <c r="J150" s="1512"/>
      <c r="K150" s="1489"/>
      <c r="L150" s="1489"/>
      <c r="M150" s="1512"/>
      <c r="N150" s="1512"/>
      <c r="O150" s="1512"/>
      <c r="P150" s="1512"/>
      <c r="Q150" s="1512"/>
      <c r="R150" s="1512"/>
      <c r="S150" s="1489"/>
      <c r="T150" s="1489"/>
      <c r="U150" s="1489"/>
      <c r="V150" s="1489"/>
      <c r="W150" s="1489"/>
      <c r="X150" s="1489"/>
      <c r="Y150" s="1489"/>
      <c r="Z150" s="1489"/>
      <c r="AA150" s="1489"/>
      <c r="AB150" s="1489"/>
      <c r="AC150" s="1489"/>
      <c r="AD150" s="1489"/>
      <c r="AE150" s="1489"/>
      <c r="AF150" s="1489"/>
      <c r="AG150" s="1489"/>
      <c r="AH150" s="1489"/>
      <c r="AI150" s="1512"/>
      <c r="AJ150" s="1512"/>
      <c r="AK150" s="1512"/>
      <c r="AL150" s="1512"/>
      <c r="AM150" s="1512"/>
      <c r="AN150" s="1512"/>
    </row>
    <row r="151" spans="1:40">
      <c r="A151" s="365" t="s">
        <v>274</v>
      </c>
      <c r="B151" s="353" t="s">
        <v>87</v>
      </c>
      <c r="C151" s="1279">
        <v>4822931</v>
      </c>
      <c r="D151" s="1279">
        <v>88560999</v>
      </c>
      <c r="E151" s="1279">
        <v>4814138</v>
      </c>
      <c r="F151" s="1279">
        <v>95326825</v>
      </c>
      <c r="G151" s="1279">
        <v>5051148</v>
      </c>
      <c r="H151" s="1279">
        <v>107382344</v>
      </c>
      <c r="I151" s="1280">
        <v>5533859</v>
      </c>
      <c r="J151" s="1280">
        <v>107165215</v>
      </c>
      <c r="K151" s="1280">
        <v>6023426</v>
      </c>
      <c r="L151" s="1280">
        <v>106705667</v>
      </c>
      <c r="M151" s="1279">
        <v>5924943</v>
      </c>
      <c r="N151" s="1279">
        <v>124110422</v>
      </c>
      <c r="O151" s="1279">
        <v>6413163</v>
      </c>
      <c r="P151" s="1279">
        <v>136973045</v>
      </c>
      <c r="Q151" s="1279">
        <v>6927198</v>
      </c>
      <c r="R151" s="1279">
        <v>153141494</v>
      </c>
      <c r="S151" s="1280">
        <v>6632911</v>
      </c>
      <c r="T151" s="1280">
        <v>158377590</v>
      </c>
      <c r="U151" s="1280">
        <v>6155387</v>
      </c>
      <c r="V151" s="1280">
        <v>149179209</v>
      </c>
      <c r="W151" s="1280">
        <v>7176351</v>
      </c>
      <c r="X151" s="1280">
        <v>155144299</v>
      </c>
      <c r="Y151" s="1279">
        <v>7451699</v>
      </c>
      <c r="Z151" s="1280">
        <v>154217940</v>
      </c>
      <c r="AA151" s="1280">
        <v>7546293.6160000004</v>
      </c>
      <c r="AB151" s="1280">
        <v>153616036</v>
      </c>
      <c r="AC151" s="1280">
        <v>8185664</v>
      </c>
      <c r="AD151" s="1280">
        <v>188700479</v>
      </c>
      <c r="AE151" s="1280">
        <v>8570782</v>
      </c>
      <c r="AF151" s="1280">
        <v>199638214</v>
      </c>
      <c r="AG151" s="1280">
        <v>8809769.0499999989</v>
      </c>
      <c r="AH151" s="1280">
        <v>208578472</v>
      </c>
      <c r="AI151" s="1279">
        <v>8303628</v>
      </c>
      <c r="AJ151" s="1279">
        <v>233081734</v>
      </c>
      <c r="AK151" s="1279">
        <v>8646154</v>
      </c>
      <c r="AL151" s="1279">
        <v>251041857</v>
      </c>
      <c r="AM151" s="1279">
        <v>9606930</v>
      </c>
      <c r="AN151" s="1279">
        <v>227949656</v>
      </c>
    </row>
    <row r="152" spans="1:40">
      <c r="A152" s="352"/>
      <c r="B152" s="353"/>
      <c r="C152" s="1279"/>
      <c r="D152" s="1279"/>
      <c r="E152" s="1279"/>
      <c r="F152" s="1279"/>
      <c r="G152" s="1279"/>
      <c r="H152" s="1279"/>
      <c r="I152" s="1280"/>
      <c r="J152" s="1280"/>
      <c r="K152" s="1280"/>
      <c r="L152" s="1280"/>
      <c r="M152" s="1279"/>
      <c r="N152" s="1279"/>
      <c r="O152" s="1280"/>
      <c r="P152" s="1280"/>
      <c r="Q152" s="1279"/>
      <c r="R152" s="1279"/>
      <c r="S152" s="1280"/>
      <c r="T152" s="1280"/>
      <c r="U152" s="1280"/>
      <c r="V152" s="1280"/>
      <c r="W152" s="1280"/>
      <c r="X152" s="1280"/>
      <c r="Y152" s="1280"/>
      <c r="Z152" s="1280"/>
      <c r="AA152" s="1280"/>
      <c r="AB152" s="1280"/>
      <c r="AC152" s="1280"/>
      <c r="AD152" s="1280"/>
      <c r="AE152" s="1280"/>
      <c r="AF152" s="1280"/>
      <c r="AG152" s="1280"/>
      <c r="AH152" s="1280"/>
      <c r="AI152" s="1279"/>
      <c r="AJ152" s="1279"/>
      <c r="AK152" s="1279"/>
      <c r="AL152" s="1279"/>
      <c r="AM152" s="1279"/>
      <c r="AN152" s="1279"/>
    </row>
    <row r="153" spans="1:40">
      <c r="A153" s="1496" t="s">
        <v>275</v>
      </c>
      <c r="B153" s="1484"/>
      <c r="C153" s="1489"/>
      <c r="D153" s="1489"/>
      <c r="E153" s="1489"/>
      <c r="F153" s="1489"/>
      <c r="G153" s="1489"/>
      <c r="H153" s="1489"/>
      <c r="I153" s="1512"/>
      <c r="J153" s="1512"/>
      <c r="K153" s="1489"/>
      <c r="L153" s="1489"/>
      <c r="M153" s="1512"/>
      <c r="N153" s="1512"/>
      <c r="O153" s="1489"/>
      <c r="P153" s="1489"/>
      <c r="Q153" s="1512"/>
      <c r="R153" s="1512"/>
      <c r="S153" s="1489"/>
      <c r="T153" s="1489"/>
      <c r="U153" s="1489"/>
      <c r="V153" s="1489"/>
      <c r="W153" s="1489"/>
      <c r="X153" s="1489"/>
      <c r="Y153" s="1489"/>
      <c r="Z153" s="1489"/>
      <c r="AA153" s="1489"/>
      <c r="AB153" s="1489"/>
      <c r="AC153" s="1489"/>
      <c r="AD153" s="1489"/>
      <c r="AE153" s="1489"/>
      <c r="AF153" s="1489"/>
      <c r="AG153" s="1489"/>
      <c r="AH153" s="1489"/>
      <c r="AI153" s="1489"/>
      <c r="AJ153" s="1489"/>
      <c r="AK153" s="1512"/>
      <c r="AL153" s="1512"/>
      <c r="AM153" s="1489"/>
      <c r="AN153" s="1489"/>
    </row>
    <row r="154" spans="1:40">
      <c r="A154" s="1581" t="s">
        <v>276</v>
      </c>
      <c r="B154" s="1511" t="s">
        <v>87</v>
      </c>
      <c r="C154" s="1512">
        <v>0</v>
      </c>
      <c r="D154" s="1512">
        <v>0</v>
      </c>
      <c r="E154" s="1512">
        <v>0</v>
      </c>
      <c r="F154" s="1512">
        <v>0</v>
      </c>
      <c r="G154" s="1512">
        <v>0</v>
      </c>
      <c r="H154" s="1512">
        <v>0</v>
      </c>
      <c r="I154" s="1512">
        <v>0</v>
      </c>
      <c r="J154" s="1512">
        <v>0</v>
      </c>
      <c r="K154" s="1512">
        <v>0</v>
      </c>
      <c r="L154" s="1512">
        <v>0</v>
      </c>
      <c r="M154" s="1512">
        <v>0</v>
      </c>
      <c r="N154" s="1512">
        <v>0</v>
      </c>
      <c r="O154" s="1512">
        <v>0</v>
      </c>
      <c r="P154" s="1512">
        <v>0</v>
      </c>
      <c r="Q154" s="1512">
        <v>0</v>
      </c>
      <c r="R154" s="1512">
        <v>0</v>
      </c>
      <c r="S154" s="1512">
        <v>0</v>
      </c>
      <c r="T154" s="1512">
        <v>0</v>
      </c>
      <c r="U154" s="1512">
        <v>0</v>
      </c>
      <c r="V154" s="1512">
        <v>0</v>
      </c>
      <c r="W154" s="1512">
        <v>0</v>
      </c>
      <c r="X154" s="1512">
        <v>0</v>
      </c>
      <c r="Y154" s="1512">
        <v>0</v>
      </c>
      <c r="Z154" s="1512">
        <v>0</v>
      </c>
      <c r="AA154" s="1512">
        <v>0</v>
      </c>
      <c r="AB154" s="1512">
        <v>0</v>
      </c>
      <c r="AC154" s="1512">
        <v>0</v>
      </c>
      <c r="AD154" s="1512">
        <v>0</v>
      </c>
      <c r="AE154" s="1512">
        <v>0</v>
      </c>
      <c r="AF154" s="1512">
        <v>0</v>
      </c>
      <c r="AG154" s="1512">
        <v>0</v>
      </c>
      <c r="AH154" s="1512">
        <v>0</v>
      </c>
      <c r="AI154" s="1512">
        <v>0</v>
      </c>
      <c r="AJ154" s="1512">
        <v>0</v>
      </c>
      <c r="AK154" s="1512">
        <v>0</v>
      </c>
      <c r="AL154" s="1512">
        <v>0</v>
      </c>
      <c r="AM154" s="1512">
        <v>0</v>
      </c>
      <c r="AN154" s="1512">
        <v>0</v>
      </c>
    </row>
    <row r="155" spans="1:40">
      <c r="A155" s="1581" t="s">
        <v>418</v>
      </c>
      <c r="B155" s="1511" t="s">
        <v>87</v>
      </c>
      <c r="C155" s="1489">
        <v>0</v>
      </c>
      <c r="D155" s="1489">
        <v>0</v>
      </c>
      <c r="E155" s="1489">
        <v>0</v>
      </c>
      <c r="F155" s="1489">
        <v>0</v>
      </c>
      <c r="G155" s="1489">
        <v>0</v>
      </c>
      <c r="H155" s="1489">
        <v>0</v>
      </c>
      <c r="I155" s="1489">
        <v>0</v>
      </c>
      <c r="J155" s="1489">
        <v>0</v>
      </c>
      <c r="K155" s="1489">
        <v>0</v>
      </c>
      <c r="L155" s="1489">
        <v>0</v>
      </c>
      <c r="M155" s="1512">
        <v>32544</v>
      </c>
      <c r="N155" s="1512">
        <v>325435</v>
      </c>
      <c r="O155" s="1512">
        <v>80147</v>
      </c>
      <c r="P155" s="1512">
        <v>822975</v>
      </c>
      <c r="Q155" s="1512">
        <v>74171</v>
      </c>
      <c r="R155" s="1512">
        <v>749846</v>
      </c>
      <c r="S155" s="1489">
        <v>61263</v>
      </c>
      <c r="T155" s="1512">
        <v>652157</v>
      </c>
      <c r="U155" s="1489">
        <v>78235</v>
      </c>
      <c r="V155" s="1489">
        <v>788096</v>
      </c>
      <c r="W155" s="1489">
        <v>82046</v>
      </c>
      <c r="X155" s="1489">
        <v>820477</v>
      </c>
      <c r="Y155" s="1512">
        <v>81479</v>
      </c>
      <c r="Z155" s="1489">
        <v>814785</v>
      </c>
      <c r="AA155" s="1489">
        <v>74866</v>
      </c>
      <c r="AB155" s="1489">
        <v>748664</v>
      </c>
      <c r="AC155" s="1489">
        <v>92427</v>
      </c>
      <c r="AD155" s="1489">
        <v>924266</v>
      </c>
      <c r="AE155" s="1489">
        <v>90069</v>
      </c>
      <c r="AF155" s="1489">
        <v>900692</v>
      </c>
      <c r="AG155" s="1489">
        <v>97686.99</v>
      </c>
      <c r="AH155" s="1489">
        <v>976872</v>
      </c>
      <c r="AI155" s="1512">
        <v>92375</v>
      </c>
      <c r="AJ155" s="1512">
        <v>923746</v>
      </c>
      <c r="AK155" s="1512">
        <v>100021</v>
      </c>
      <c r="AL155" s="1512">
        <v>1000212</v>
      </c>
      <c r="AM155" s="1512">
        <v>93957</v>
      </c>
      <c r="AN155" s="1512">
        <v>939568</v>
      </c>
    </row>
    <row r="156" spans="1:40">
      <c r="A156" s="1581" t="s">
        <v>419</v>
      </c>
      <c r="B156" s="1511" t="s">
        <v>87</v>
      </c>
      <c r="C156" s="1512">
        <v>404636</v>
      </c>
      <c r="D156" s="1512">
        <v>1274898</v>
      </c>
      <c r="E156" s="1512">
        <v>377009</v>
      </c>
      <c r="F156" s="1512" t="s">
        <v>466</v>
      </c>
      <c r="G156" s="1512">
        <v>371165</v>
      </c>
      <c r="H156" s="1512">
        <v>2279997</v>
      </c>
      <c r="I156" s="1489">
        <v>402995</v>
      </c>
      <c r="J156" s="1489">
        <v>2985987</v>
      </c>
      <c r="K156" s="1489">
        <v>364453</v>
      </c>
      <c r="L156" s="1489">
        <v>3051841</v>
      </c>
      <c r="M156" s="1512">
        <v>445874</v>
      </c>
      <c r="N156" s="1512">
        <v>3662014</v>
      </c>
      <c r="O156" s="1512">
        <v>781503</v>
      </c>
      <c r="P156" s="1512">
        <v>6774328</v>
      </c>
      <c r="Q156" s="1512">
        <v>580467</v>
      </c>
      <c r="R156" s="1512">
        <v>5489268</v>
      </c>
      <c r="S156" s="1489">
        <v>456896</v>
      </c>
      <c r="T156" s="1512">
        <v>4332324</v>
      </c>
      <c r="U156" s="1489">
        <v>490161</v>
      </c>
      <c r="V156" s="1489">
        <v>4444654</v>
      </c>
      <c r="W156" s="1489">
        <v>532439</v>
      </c>
      <c r="X156" s="1489">
        <v>4658336</v>
      </c>
      <c r="Y156" s="1512">
        <v>660373</v>
      </c>
      <c r="Z156" s="1489">
        <v>6439983</v>
      </c>
      <c r="AA156" s="1489">
        <v>625338</v>
      </c>
      <c r="AB156" s="1489">
        <v>6306388</v>
      </c>
      <c r="AC156" s="1489">
        <v>729084</v>
      </c>
      <c r="AD156" s="1489">
        <v>6917165</v>
      </c>
      <c r="AE156" s="1489">
        <v>519518</v>
      </c>
      <c r="AF156" s="1489">
        <v>5489158</v>
      </c>
      <c r="AG156" s="1489">
        <v>501907.86</v>
      </c>
      <c r="AH156" s="1489">
        <v>6066213</v>
      </c>
      <c r="AI156" s="1512">
        <v>464952</v>
      </c>
      <c r="AJ156" s="1512">
        <v>5850341</v>
      </c>
      <c r="AK156" s="1512">
        <v>553019</v>
      </c>
      <c r="AL156" s="1512">
        <v>6355535</v>
      </c>
      <c r="AM156" s="1512">
        <v>658555</v>
      </c>
      <c r="AN156" s="1512">
        <v>7075787</v>
      </c>
    </row>
    <row r="157" spans="1:40">
      <c r="A157" s="1583" t="s">
        <v>277</v>
      </c>
      <c r="B157" s="1484"/>
      <c r="C157" s="1489"/>
      <c r="D157" s="1489">
        <f>SUM(D155:D156)</f>
        <v>1274898</v>
      </c>
      <c r="E157" s="1489"/>
      <c r="F157" s="1489">
        <f>SUM(F155:F156)</f>
        <v>0</v>
      </c>
      <c r="G157" s="1489"/>
      <c r="H157" s="1489">
        <f>SUM(H155:H156)</f>
        <v>2279997</v>
      </c>
      <c r="I157" s="1489"/>
      <c r="J157" s="1489">
        <f>SUM(J155:J156)</f>
        <v>2985987</v>
      </c>
      <c r="K157" s="1489"/>
      <c r="L157" s="1489">
        <v>3051841</v>
      </c>
      <c r="M157" s="1512"/>
      <c r="N157" s="1512">
        <v>3987449</v>
      </c>
      <c r="O157" s="1489"/>
      <c r="P157" s="1512">
        <f>SUM(P155:P156)</f>
        <v>7597303</v>
      </c>
      <c r="Q157" s="1489"/>
      <c r="R157" s="1489">
        <v>6239114</v>
      </c>
      <c r="S157" s="1512"/>
      <c r="T157" s="1512">
        <v>4984481</v>
      </c>
      <c r="U157" s="1489"/>
      <c r="V157" s="1489">
        <v>5232750</v>
      </c>
      <c r="W157" s="1489"/>
      <c r="X157" s="1489">
        <v>5478813</v>
      </c>
      <c r="Y157" s="1489"/>
      <c r="Z157" s="1489">
        <v>7254768</v>
      </c>
      <c r="AA157" s="1489"/>
      <c r="AB157" s="1489">
        <v>7055052</v>
      </c>
      <c r="AC157" s="1489"/>
      <c r="AD157" s="1489">
        <v>7841431</v>
      </c>
      <c r="AE157" s="1485"/>
      <c r="AF157" s="1489">
        <v>6389850</v>
      </c>
      <c r="AG157" s="1489"/>
      <c r="AH157" s="1489">
        <v>7043085</v>
      </c>
      <c r="AI157" s="1489"/>
      <c r="AJ157" s="1512">
        <v>6774087</v>
      </c>
      <c r="AK157" s="1512"/>
      <c r="AL157" s="1512">
        <f>SUM(AL154:AL156)</f>
        <v>7355747</v>
      </c>
      <c r="AM157" s="1489"/>
      <c r="AN157" s="1512">
        <v>8015355</v>
      </c>
    </row>
    <row r="158" spans="1:40">
      <c r="A158" s="1515"/>
      <c r="B158" s="1484"/>
      <c r="C158" s="1489"/>
      <c r="D158" s="1489"/>
      <c r="E158" s="1489"/>
      <c r="F158" s="1489"/>
      <c r="G158" s="1489"/>
      <c r="H158" s="1489"/>
      <c r="I158" s="1512"/>
      <c r="J158" s="1512"/>
      <c r="K158" s="1489"/>
      <c r="L158" s="1489"/>
      <c r="M158" s="1489"/>
      <c r="N158" s="1489"/>
      <c r="O158" s="1489"/>
      <c r="P158" s="1512"/>
      <c r="Q158" s="1489"/>
      <c r="R158" s="1489"/>
      <c r="S158" s="1512"/>
      <c r="T158" s="1512"/>
      <c r="U158" s="1489"/>
      <c r="V158" s="1489"/>
      <c r="W158" s="1489"/>
      <c r="X158" s="1489"/>
      <c r="Y158" s="1489"/>
      <c r="Z158" s="1489"/>
      <c r="AA158" s="1489"/>
      <c r="AB158" s="1489"/>
      <c r="AC158" s="1489"/>
      <c r="AD158" s="1489"/>
      <c r="AE158" s="1489"/>
      <c r="AF158" s="1489"/>
      <c r="AG158" s="1489"/>
      <c r="AH158" s="1489"/>
      <c r="AI158" s="1489"/>
      <c r="AJ158" s="1512"/>
      <c r="AK158" s="1512"/>
      <c r="AL158" s="1512"/>
      <c r="AM158" s="1489"/>
      <c r="AN158" s="1512"/>
    </row>
    <row r="159" spans="1:40">
      <c r="A159" s="365" t="s">
        <v>278</v>
      </c>
      <c r="B159" s="353" t="s">
        <v>160</v>
      </c>
      <c r="C159" s="1279">
        <v>44670</v>
      </c>
      <c r="D159" s="1279">
        <v>12761245</v>
      </c>
      <c r="E159" s="1279">
        <v>41135</v>
      </c>
      <c r="F159" s="1279">
        <v>10705718</v>
      </c>
      <c r="G159" s="1279">
        <v>11160</v>
      </c>
      <c r="H159" s="1279">
        <v>1971953</v>
      </c>
      <c r="I159" s="1280">
        <v>12673</v>
      </c>
      <c r="J159" s="1280">
        <v>2295547</v>
      </c>
      <c r="K159" s="1280">
        <v>30426</v>
      </c>
      <c r="L159" s="1280">
        <v>4362975</v>
      </c>
      <c r="M159" s="1280">
        <v>34566</v>
      </c>
      <c r="N159" s="1280">
        <v>5621356</v>
      </c>
      <c r="O159" s="1279">
        <v>36919</v>
      </c>
      <c r="P159" s="1279">
        <v>5491093</v>
      </c>
      <c r="Q159" s="1280">
        <v>42696.709217748939</v>
      </c>
      <c r="R159" s="1280">
        <v>6540741</v>
      </c>
      <c r="S159" s="1280">
        <v>81832.916377602101</v>
      </c>
      <c r="T159" s="1280">
        <v>12371220.769820902</v>
      </c>
      <c r="U159" s="1280">
        <v>75207</v>
      </c>
      <c r="V159" s="1280">
        <v>15777870</v>
      </c>
      <c r="W159" s="1280">
        <v>57912</v>
      </c>
      <c r="X159" s="1280">
        <v>12231206</v>
      </c>
      <c r="Y159" s="1279">
        <v>42621</v>
      </c>
      <c r="Z159" s="1280">
        <v>9267484</v>
      </c>
      <c r="AA159" s="1280">
        <v>52707.253585500177</v>
      </c>
      <c r="AB159" s="1280">
        <v>9149570.5023943</v>
      </c>
      <c r="AC159" s="1280">
        <v>56893</v>
      </c>
      <c r="AD159" s="1280">
        <v>13346063</v>
      </c>
      <c r="AE159" s="1280">
        <v>66410.110583904723</v>
      </c>
      <c r="AF159" s="1280">
        <v>14588953.379567331</v>
      </c>
      <c r="AG159" s="1280">
        <v>110116.97648420157</v>
      </c>
      <c r="AH159" s="1280">
        <v>24985173.98</v>
      </c>
      <c r="AI159" s="1279">
        <v>154252</v>
      </c>
      <c r="AJ159" s="1279">
        <v>39921693</v>
      </c>
      <c r="AK159" s="1279">
        <v>102527</v>
      </c>
      <c r="AL159" s="1279">
        <v>24562825</v>
      </c>
      <c r="AM159" s="1279">
        <v>82590.903496241823</v>
      </c>
      <c r="AN159" s="1279">
        <v>20232606</v>
      </c>
    </row>
    <row r="160" spans="1:40">
      <c r="A160" s="352"/>
      <c r="B160" s="353"/>
      <c r="C160" s="1279"/>
      <c r="D160" s="1279"/>
      <c r="E160" s="1279"/>
      <c r="F160" s="1279"/>
      <c r="G160" s="1279"/>
      <c r="H160" s="1279"/>
      <c r="I160" s="1279"/>
      <c r="J160" s="1279"/>
      <c r="K160" s="1280"/>
      <c r="L160" s="1280"/>
      <c r="M160" s="1280"/>
      <c r="N160" s="1280"/>
      <c r="O160" s="1279"/>
      <c r="P160" s="1279"/>
      <c r="Q160" s="1280"/>
      <c r="R160" s="1280"/>
      <c r="S160" s="1280"/>
      <c r="T160" s="1280"/>
      <c r="U160" s="1280"/>
      <c r="V160" s="1280"/>
      <c r="W160" s="1280"/>
      <c r="X160" s="1280"/>
      <c r="Y160" s="1280"/>
      <c r="Z160" s="1280"/>
      <c r="AA160" s="1280"/>
      <c r="AB160" s="1280"/>
      <c r="AC160" s="1280"/>
      <c r="AD160" s="1280"/>
      <c r="AE160" s="1280"/>
      <c r="AF160" s="1280"/>
      <c r="AG160" s="1280"/>
      <c r="AH160" s="1280"/>
      <c r="AI160" s="1279"/>
      <c r="AJ160" s="1279"/>
      <c r="AK160" s="1279"/>
      <c r="AL160" s="1279"/>
      <c r="AM160" s="1279"/>
      <c r="AN160" s="1279"/>
    </row>
    <row r="161" spans="1:40">
      <c r="A161" s="1496" t="s">
        <v>280</v>
      </c>
      <c r="B161" s="1511" t="s">
        <v>87</v>
      </c>
      <c r="C161" s="1512">
        <v>0</v>
      </c>
      <c r="D161" s="1512">
        <v>0</v>
      </c>
      <c r="E161" s="1489">
        <v>0</v>
      </c>
      <c r="F161" s="1489">
        <v>0</v>
      </c>
      <c r="G161" s="1489">
        <v>0</v>
      </c>
      <c r="H161" s="1489">
        <v>0</v>
      </c>
      <c r="I161" s="1489">
        <v>0</v>
      </c>
      <c r="J161" s="1489">
        <v>0</v>
      </c>
      <c r="K161" s="1489">
        <v>0</v>
      </c>
      <c r="L161" s="1489">
        <v>0</v>
      </c>
      <c r="M161" s="1489">
        <v>2280</v>
      </c>
      <c r="N161" s="1489">
        <v>145354</v>
      </c>
      <c r="O161" s="1512">
        <v>115</v>
      </c>
      <c r="P161" s="1512">
        <v>9430</v>
      </c>
      <c r="Q161" s="1512">
        <v>376</v>
      </c>
      <c r="R161" s="1512">
        <v>26836</v>
      </c>
      <c r="S161" s="1489">
        <v>200</v>
      </c>
      <c r="T161" s="1489">
        <v>16400</v>
      </c>
      <c r="U161" s="1489">
        <v>0</v>
      </c>
      <c r="V161" s="1489">
        <v>0</v>
      </c>
      <c r="W161" s="1489">
        <v>0</v>
      </c>
      <c r="X161" s="1489">
        <v>0</v>
      </c>
      <c r="Y161" s="1489">
        <v>0</v>
      </c>
      <c r="Z161" s="1489">
        <v>0</v>
      </c>
      <c r="AA161" s="1489">
        <v>0</v>
      </c>
      <c r="AB161" s="1489">
        <v>0</v>
      </c>
      <c r="AC161" s="1489">
        <v>1881</v>
      </c>
      <c r="AD161" s="1489">
        <v>150480</v>
      </c>
      <c r="AE161" s="1489">
        <v>8180.2730000000001</v>
      </c>
      <c r="AF161" s="1489">
        <v>654374.84</v>
      </c>
      <c r="AG161" s="1489">
        <v>9914.93</v>
      </c>
      <c r="AH161" s="1489">
        <v>1909370</v>
      </c>
      <c r="AI161" s="1512">
        <v>12660</v>
      </c>
      <c r="AJ161" s="1512">
        <v>1714507</v>
      </c>
      <c r="AK161" s="1512">
        <v>13141</v>
      </c>
      <c r="AL161" s="1512">
        <v>1725027</v>
      </c>
      <c r="AM161" s="1512">
        <v>12154</v>
      </c>
      <c r="AN161" s="1512">
        <v>1739077</v>
      </c>
    </row>
    <row r="162" spans="1:40">
      <c r="A162" s="1515"/>
      <c r="B162" s="1511"/>
      <c r="C162" s="1512"/>
      <c r="D162" s="1512"/>
      <c r="E162" s="1512"/>
      <c r="F162" s="1512"/>
      <c r="G162" s="1512"/>
      <c r="H162" s="1512"/>
      <c r="I162" s="1512"/>
      <c r="J162" s="1512"/>
      <c r="K162" s="1489"/>
      <c r="L162" s="1489"/>
      <c r="M162" s="1489"/>
      <c r="N162" s="1489"/>
      <c r="O162" s="1512"/>
      <c r="P162" s="1512"/>
      <c r="Q162" s="1489"/>
      <c r="R162" s="1489"/>
      <c r="S162" s="1489"/>
      <c r="T162" s="1489"/>
      <c r="U162" s="1489"/>
      <c r="V162" s="1489"/>
      <c r="W162" s="1489"/>
      <c r="X162" s="1489"/>
      <c r="Y162" s="1489"/>
      <c r="Z162" s="1489"/>
      <c r="AA162" s="1489"/>
      <c r="AB162" s="1489"/>
      <c r="AC162" s="1489"/>
      <c r="AD162" s="1489"/>
      <c r="AE162" s="1489"/>
      <c r="AF162" s="1489"/>
      <c r="AG162" s="1489"/>
      <c r="AH162" s="1489"/>
      <c r="AI162" s="1512"/>
      <c r="AJ162" s="1512"/>
      <c r="AK162" s="1512"/>
      <c r="AL162" s="1512"/>
      <c r="AM162" s="1512"/>
      <c r="AN162" s="1512"/>
    </row>
    <row r="163" spans="1:40">
      <c r="A163" s="365" t="s">
        <v>281</v>
      </c>
      <c r="B163" s="353" t="s">
        <v>87</v>
      </c>
      <c r="C163" s="1279">
        <v>182613</v>
      </c>
      <c r="D163" s="1279">
        <v>0</v>
      </c>
      <c r="E163" s="1279">
        <v>132262</v>
      </c>
      <c r="F163" s="1279">
        <v>0</v>
      </c>
      <c r="G163" s="1279">
        <v>179241</v>
      </c>
      <c r="H163" s="1279">
        <f>G163*71</f>
        <v>12726111</v>
      </c>
      <c r="I163" s="1280">
        <v>169612</v>
      </c>
      <c r="J163" s="1280">
        <v>12695341</v>
      </c>
      <c r="K163" s="1280">
        <v>195307</v>
      </c>
      <c r="L163" s="1280">
        <v>14991613</v>
      </c>
      <c r="M163" s="1279">
        <v>220263</v>
      </c>
      <c r="N163" s="1279">
        <v>15223112</v>
      </c>
      <c r="O163" s="1279">
        <v>161560</v>
      </c>
      <c r="P163" s="1279">
        <v>11691732</v>
      </c>
      <c r="Q163" s="1280">
        <v>168891</v>
      </c>
      <c r="R163" s="1280">
        <v>11822370</v>
      </c>
      <c r="S163" s="1280">
        <v>158789</v>
      </c>
      <c r="T163" s="1280">
        <v>11525240</v>
      </c>
      <c r="U163" s="1280">
        <v>141057</v>
      </c>
      <c r="V163" s="1280">
        <v>10043030</v>
      </c>
      <c r="W163" s="1280">
        <v>112724</v>
      </c>
      <c r="X163" s="1280">
        <v>8517234</v>
      </c>
      <c r="Y163" s="1279">
        <v>161412</v>
      </c>
      <c r="Z163" s="1280">
        <v>13029931</v>
      </c>
      <c r="AA163" s="1280">
        <v>177540</v>
      </c>
      <c r="AB163" s="1280">
        <v>14077712</v>
      </c>
      <c r="AC163" s="1280">
        <v>191297</v>
      </c>
      <c r="AD163" s="1280">
        <v>15059872</v>
      </c>
      <c r="AE163" s="1280">
        <v>182838</v>
      </c>
      <c r="AF163" s="1280">
        <v>14665992</v>
      </c>
      <c r="AG163" s="1280">
        <v>169135.2</v>
      </c>
      <c r="AH163" s="1280">
        <v>13569779</v>
      </c>
      <c r="AI163" s="1279">
        <v>164320</v>
      </c>
      <c r="AJ163" s="1279">
        <v>13405119</v>
      </c>
      <c r="AK163" s="1279">
        <v>152369</v>
      </c>
      <c r="AL163" s="1279">
        <v>13721295</v>
      </c>
      <c r="AM163" s="1279">
        <v>157364</v>
      </c>
      <c r="AN163" s="1279">
        <v>14985371</v>
      </c>
    </row>
    <row r="164" spans="1:40">
      <c r="A164" s="352"/>
      <c r="B164" s="353"/>
      <c r="C164" s="1279"/>
      <c r="D164" s="1279"/>
      <c r="E164" s="1279"/>
      <c r="F164" s="1279"/>
      <c r="G164" s="1279"/>
      <c r="H164" s="1279"/>
      <c r="I164" s="1280"/>
      <c r="J164" s="1280"/>
      <c r="K164" s="1280"/>
      <c r="L164" s="1280"/>
      <c r="M164" s="1279"/>
      <c r="N164" s="1279"/>
      <c r="O164" s="1280"/>
      <c r="P164" s="1280"/>
      <c r="Q164" s="1279"/>
      <c r="R164" s="1279"/>
      <c r="S164" s="1280"/>
      <c r="T164" s="1280"/>
      <c r="U164" s="1280"/>
      <c r="V164" s="1280"/>
      <c r="W164" s="1280"/>
      <c r="X164" s="1280"/>
      <c r="Y164" s="1280"/>
      <c r="Z164" s="1280"/>
      <c r="AA164" s="1280"/>
      <c r="AB164" s="1280"/>
      <c r="AC164" s="1280"/>
      <c r="AD164" s="1280"/>
      <c r="AE164" s="1280"/>
      <c r="AF164" s="1280"/>
      <c r="AG164" s="1280"/>
      <c r="AH164" s="1280"/>
      <c r="AI164" s="1279"/>
      <c r="AJ164" s="1279"/>
      <c r="AK164" s="1279"/>
      <c r="AL164" s="1279"/>
      <c r="AM164" s="1279"/>
      <c r="AN164" s="1279"/>
    </row>
    <row r="165" spans="1:40">
      <c r="A165" s="1496" t="s">
        <v>287</v>
      </c>
      <c r="B165" s="1497" t="s">
        <v>87</v>
      </c>
      <c r="C165" s="1489">
        <v>0</v>
      </c>
      <c r="D165" s="1489">
        <v>0</v>
      </c>
      <c r="E165" s="1489">
        <v>0</v>
      </c>
      <c r="F165" s="1489">
        <v>0</v>
      </c>
      <c r="G165" s="1489">
        <v>0</v>
      </c>
      <c r="H165" s="1489">
        <v>0</v>
      </c>
      <c r="I165" s="1489">
        <v>0</v>
      </c>
      <c r="J165" s="1489">
        <v>0</v>
      </c>
      <c r="K165" s="1489">
        <v>0</v>
      </c>
      <c r="L165" s="1489">
        <v>0</v>
      </c>
      <c r="M165" s="1489">
        <v>0</v>
      </c>
      <c r="N165" s="1489">
        <v>0</v>
      </c>
      <c r="O165" s="1489">
        <v>0</v>
      </c>
      <c r="P165" s="1489">
        <v>0</v>
      </c>
      <c r="Q165" s="1489">
        <v>0</v>
      </c>
      <c r="R165" s="1489">
        <v>0</v>
      </c>
      <c r="S165" s="1489">
        <v>0</v>
      </c>
      <c r="T165" s="1489">
        <v>0</v>
      </c>
      <c r="U165" s="1489">
        <v>0</v>
      </c>
      <c r="V165" s="1489">
        <v>0</v>
      </c>
      <c r="W165" s="1489">
        <v>0</v>
      </c>
      <c r="X165" s="1489">
        <v>0</v>
      </c>
      <c r="Y165" s="1489">
        <v>0</v>
      </c>
      <c r="Z165" s="1489">
        <v>0</v>
      </c>
      <c r="AA165" s="1489">
        <v>0</v>
      </c>
      <c r="AB165" s="1489">
        <v>0</v>
      </c>
      <c r="AC165" s="1489">
        <v>0</v>
      </c>
      <c r="AD165" s="1489">
        <v>0</v>
      </c>
      <c r="AE165" s="1489">
        <v>0</v>
      </c>
      <c r="AF165" s="1489">
        <v>0</v>
      </c>
      <c r="AG165" s="1489">
        <v>757</v>
      </c>
      <c r="AH165" s="1489">
        <v>4981932</v>
      </c>
      <c r="AI165" s="1489">
        <v>4034</v>
      </c>
      <c r="AJ165" s="1512">
        <v>24695581</v>
      </c>
      <c r="AK165" s="1489">
        <v>5190</v>
      </c>
      <c r="AL165" s="1512">
        <v>27128981</v>
      </c>
      <c r="AM165" s="1512">
        <v>3332</v>
      </c>
      <c r="AN165" s="1512">
        <v>20416212</v>
      </c>
    </row>
    <row r="166" spans="1:40">
      <c r="A166" s="1483"/>
      <c r="B166" s="1497"/>
      <c r="C166" s="1489"/>
      <c r="D166" s="1489"/>
      <c r="E166" s="1489"/>
      <c r="F166" s="1489"/>
      <c r="G166" s="1489"/>
      <c r="H166" s="1489"/>
      <c r="I166" s="1489"/>
      <c r="J166" s="1489"/>
      <c r="K166" s="1489"/>
      <c r="L166" s="1489"/>
      <c r="M166" s="1512"/>
      <c r="N166" s="1512"/>
      <c r="O166" s="1489"/>
      <c r="P166" s="1512"/>
      <c r="Q166" s="1512"/>
      <c r="R166" s="1512"/>
      <c r="S166" s="1489"/>
      <c r="T166" s="1489"/>
      <c r="U166" s="1489"/>
      <c r="V166" s="1489"/>
      <c r="W166" s="1489"/>
      <c r="X166" s="1489"/>
      <c r="Y166" s="1489"/>
      <c r="Z166" s="1489"/>
      <c r="AA166" s="1489"/>
      <c r="AB166" s="1489"/>
      <c r="AC166" s="1489"/>
      <c r="AD166" s="1489"/>
      <c r="AE166" s="1489"/>
      <c r="AF166" s="1489"/>
      <c r="AG166" s="1489"/>
      <c r="AH166" s="1489"/>
      <c r="AI166" s="1489"/>
      <c r="AJ166" s="1512"/>
      <c r="AK166" s="1512"/>
      <c r="AL166" s="1512"/>
      <c r="AM166" s="1489"/>
      <c r="AN166" s="1512"/>
    </row>
    <row r="167" spans="1:40">
      <c r="A167" s="365" t="s">
        <v>288</v>
      </c>
      <c r="B167" s="361" t="s">
        <v>87</v>
      </c>
      <c r="C167" s="1280">
        <v>471</v>
      </c>
      <c r="D167" s="1280">
        <v>7740</v>
      </c>
      <c r="E167" s="1280">
        <v>552</v>
      </c>
      <c r="F167" s="1280">
        <v>9034</v>
      </c>
      <c r="G167" s="1280">
        <v>819</v>
      </c>
      <c r="H167" s="1280">
        <v>16388</v>
      </c>
      <c r="I167" s="1280">
        <v>1679</v>
      </c>
      <c r="J167" s="1280">
        <v>87072</v>
      </c>
      <c r="K167" s="1280">
        <v>651</v>
      </c>
      <c r="L167" s="1280">
        <v>114410</v>
      </c>
      <c r="M167" s="1280">
        <v>105</v>
      </c>
      <c r="N167" s="1280">
        <v>18528</v>
      </c>
      <c r="O167" s="1279">
        <v>507</v>
      </c>
      <c r="P167" s="1279">
        <v>90227</v>
      </c>
      <c r="Q167" s="1280">
        <v>225</v>
      </c>
      <c r="R167" s="1280">
        <v>39943</v>
      </c>
      <c r="S167" s="1279">
        <v>199</v>
      </c>
      <c r="T167" s="1279">
        <v>35293</v>
      </c>
      <c r="U167" s="1280">
        <v>0</v>
      </c>
      <c r="V167" s="1280">
        <v>0</v>
      </c>
      <c r="W167" s="1280">
        <v>0</v>
      </c>
      <c r="X167" s="1280">
        <v>0</v>
      </c>
      <c r="Y167" s="1280">
        <v>0</v>
      </c>
      <c r="Z167" s="1280">
        <v>0</v>
      </c>
      <c r="AA167" s="1280">
        <v>0</v>
      </c>
      <c r="AB167" s="1280">
        <v>0</v>
      </c>
      <c r="AC167" s="1280">
        <v>0</v>
      </c>
      <c r="AD167" s="1280">
        <v>0</v>
      </c>
      <c r="AE167" s="1280">
        <v>0</v>
      </c>
      <c r="AF167" s="1280">
        <v>0</v>
      </c>
      <c r="AG167" s="1280">
        <v>0</v>
      </c>
      <c r="AH167" s="1280">
        <v>0</v>
      </c>
      <c r="AI167" s="1280">
        <v>0</v>
      </c>
      <c r="AJ167" s="1280">
        <v>0</v>
      </c>
      <c r="AK167" s="1279">
        <v>0</v>
      </c>
      <c r="AL167" s="1279">
        <v>0</v>
      </c>
      <c r="AM167" s="1279">
        <v>0</v>
      </c>
      <c r="AN167" s="1279">
        <v>0</v>
      </c>
    </row>
    <row r="168" spans="1:40">
      <c r="A168" s="352"/>
      <c r="B168" s="361"/>
      <c r="C168" s="1280"/>
      <c r="D168" s="1280"/>
      <c r="E168" s="1280"/>
      <c r="F168" s="1280"/>
      <c r="G168" s="1280"/>
      <c r="H168" s="1280"/>
      <c r="I168" s="1280"/>
      <c r="J168" s="1280"/>
      <c r="K168" s="1280"/>
      <c r="L168" s="1280"/>
      <c r="M168" s="1280"/>
      <c r="N168" s="1280"/>
      <c r="O168" s="1279"/>
      <c r="P168" s="1279"/>
      <c r="Q168" s="1280"/>
      <c r="R168" s="1280"/>
      <c r="S168" s="1279"/>
      <c r="T168" s="1279"/>
      <c r="U168" s="1280"/>
      <c r="V168" s="1280"/>
      <c r="W168" s="1280"/>
      <c r="X168" s="1280"/>
      <c r="Y168" s="1280"/>
      <c r="Z168" s="1280"/>
      <c r="AA168" s="1280"/>
      <c r="AB168" s="1280"/>
      <c r="AC168" s="1280"/>
      <c r="AD168" s="1280"/>
      <c r="AE168" s="1280"/>
      <c r="AF168" s="1280"/>
      <c r="AG168" s="1280"/>
      <c r="AH168" s="1280"/>
      <c r="AI168" s="1280"/>
      <c r="AJ168" s="1280"/>
      <c r="AK168" s="1279"/>
      <c r="AL168" s="1279"/>
      <c r="AM168" s="1279"/>
      <c r="AN168" s="1279"/>
    </row>
    <row r="169" spans="1:40">
      <c r="A169" s="1496" t="s">
        <v>263</v>
      </c>
      <c r="B169" s="1497"/>
      <c r="C169" s="1489"/>
      <c r="D169" s="1489"/>
      <c r="E169" s="1489"/>
      <c r="F169" s="1489"/>
      <c r="G169" s="1489"/>
      <c r="H169" s="1489"/>
      <c r="I169" s="1489"/>
      <c r="J169" s="1489"/>
      <c r="K169" s="1489"/>
      <c r="L169" s="1489"/>
      <c r="M169" s="1489"/>
      <c r="N169" s="1489"/>
      <c r="O169" s="1512"/>
      <c r="P169" s="1512"/>
      <c r="Q169" s="1489"/>
      <c r="R169" s="1489"/>
      <c r="S169" s="1512"/>
      <c r="T169" s="1512"/>
      <c r="U169" s="1489"/>
      <c r="V169" s="1489"/>
      <c r="W169" s="1489"/>
      <c r="X169" s="1489"/>
      <c r="Y169" s="1489"/>
      <c r="Z169" s="1489"/>
      <c r="AA169" s="1489"/>
      <c r="AB169" s="1489"/>
      <c r="AC169" s="1489"/>
      <c r="AD169" s="1489"/>
      <c r="AE169" s="1489"/>
      <c r="AF169" s="1489"/>
      <c r="AG169" s="1489"/>
      <c r="AH169" s="1489"/>
      <c r="AI169" s="1489"/>
      <c r="AJ169" s="1489"/>
      <c r="AK169" s="1512"/>
      <c r="AL169" s="1512"/>
      <c r="AM169" s="1512"/>
      <c r="AN169" s="1512"/>
    </row>
    <row r="170" spans="1:40">
      <c r="A170" s="1496" t="s">
        <v>791</v>
      </c>
      <c r="B170" s="1497"/>
      <c r="C170" s="1489"/>
      <c r="D170" s="1489"/>
      <c r="E170" s="1489"/>
      <c r="F170" s="1489"/>
      <c r="G170" s="1489"/>
      <c r="H170" s="1489"/>
      <c r="I170" s="1489"/>
      <c r="J170" s="1489"/>
      <c r="K170" s="1489"/>
      <c r="L170" s="1489"/>
      <c r="M170" s="1489"/>
      <c r="N170" s="1489"/>
      <c r="O170" s="1512"/>
      <c r="P170" s="1512"/>
      <c r="Q170" s="1489"/>
      <c r="R170" s="1489"/>
      <c r="S170" s="1512"/>
      <c r="T170" s="1512"/>
      <c r="U170" s="1489"/>
      <c r="V170" s="1489"/>
      <c r="W170" s="1489"/>
      <c r="X170" s="1489"/>
      <c r="Y170" s="1489"/>
      <c r="Z170" s="1489"/>
      <c r="AA170" s="1489"/>
      <c r="AB170" s="1489"/>
      <c r="AC170" s="1489"/>
      <c r="AD170" s="1489"/>
      <c r="AE170" s="1489"/>
      <c r="AF170" s="1489"/>
      <c r="AG170" s="1489"/>
      <c r="AH170" s="1489"/>
      <c r="AI170" s="1489"/>
      <c r="AJ170" s="1512"/>
      <c r="AK170" s="1512"/>
      <c r="AL170" s="1512"/>
      <c r="AM170" s="1577"/>
      <c r="AN170" s="1577"/>
    </row>
    <row r="171" spans="1:40" s="347" customFormat="1">
      <c r="A171" s="1483"/>
      <c r="B171" s="1497"/>
      <c r="C171" s="1489"/>
      <c r="D171" s="1489"/>
      <c r="E171" s="1489"/>
      <c r="F171" s="1489"/>
      <c r="G171" s="1489"/>
      <c r="H171" s="1489"/>
      <c r="I171" s="1489"/>
      <c r="J171" s="1489"/>
      <c r="K171" s="1489"/>
      <c r="L171" s="1489"/>
      <c r="M171" s="1489"/>
      <c r="N171" s="1489"/>
      <c r="O171" s="1512"/>
      <c r="P171" s="1512"/>
      <c r="Q171" s="1489"/>
      <c r="R171" s="1489"/>
      <c r="S171" s="1512"/>
      <c r="T171" s="1512"/>
      <c r="U171" s="1489"/>
      <c r="V171" s="1489"/>
      <c r="W171" s="1489"/>
      <c r="X171" s="1489"/>
      <c r="Y171" s="1489"/>
      <c r="Z171" s="1489"/>
      <c r="AA171" s="1489"/>
      <c r="AB171" s="1489"/>
      <c r="AC171" s="1489"/>
      <c r="AD171" s="1489"/>
      <c r="AE171" s="1489"/>
      <c r="AF171" s="1489"/>
      <c r="AG171" s="1489"/>
      <c r="AH171" s="1489"/>
      <c r="AI171" s="1489"/>
      <c r="AJ171" s="1512"/>
      <c r="AK171" s="1512"/>
      <c r="AL171" s="1512"/>
      <c r="AM171" s="1577"/>
      <c r="AN171" s="1577"/>
    </row>
    <row r="172" spans="1:40" s="347" customFormat="1">
      <c r="A172" s="1490" t="s">
        <v>777</v>
      </c>
      <c r="B172" s="1491"/>
      <c r="C172" s="1492"/>
      <c r="D172" s="1584">
        <f>D174-D144</f>
        <v>4213067797</v>
      </c>
      <c r="E172" s="1492"/>
      <c r="F172" s="1584">
        <f>F174-F144</f>
        <v>4634330630</v>
      </c>
      <c r="G172" s="1492"/>
      <c r="H172" s="1584">
        <f>H174-H144</f>
        <v>5070360732</v>
      </c>
      <c r="I172" s="1492"/>
      <c r="J172" s="1584">
        <f>J174-J144</f>
        <v>6150864548</v>
      </c>
      <c r="K172" s="1492"/>
      <c r="L172" s="1584">
        <f>L174-L144</f>
        <v>7262509535</v>
      </c>
      <c r="M172" s="1492"/>
      <c r="N172" s="1584">
        <f>N174-N144</f>
        <v>9132862579</v>
      </c>
      <c r="O172" s="1493"/>
      <c r="P172" s="1585">
        <f>P174-P144</f>
        <v>9512293850</v>
      </c>
      <c r="Q172" s="1492"/>
      <c r="R172" s="1584">
        <f>R174-R144</f>
        <v>9532859042.1067009</v>
      </c>
      <c r="S172" s="1493"/>
      <c r="T172" s="1585">
        <f>T174-T144</f>
        <v>9679080839</v>
      </c>
      <c r="U172" s="1492"/>
      <c r="V172" s="1584">
        <f>V174-V144</f>
        <v>10030807405</v>
      </c>
      <c r="W172" s="1492"/>
      <c r="X172" s="1584">
        <f>X174-X144</f>
        <v>10248498232</v>
      </c>
      <c r="Y172" s="1492"/>
      <c r="Z172" s="1584">
        <f>Z174-Z144</f>
        <v>11266827221</v>
      </c>
      <c r="AA172" s="1492"/>
      <c r="AB172" s="1584">
        <f>AB174-AB144</f>
        <v>11357249647</v>
      </c>
      <c r="AC172" s="1492"/>
      <c r="AD172" s="1584">
        <f>AD174-AD144</f>
        <v>12847962124</v>
      </c>
      <c r="AE172" s="1492"/>
      <c r="AF172" s="1584">
        <f>AF174-AF144</f>
        <v>12589530232.25164</v>
      </c>
      <c r="AG172" s="1492"/>
      <c r="AH172" s="1584">
        <f>AH174-AH144</f>
        <v>13729606113.350857</v>
      </c>
      <c r="AI172" s="1492"/>
      <c r="AJ172" s="1585">
        <f>AJ174-AJ144</f>
        <v>17035099375.547045</v>
      </c>
      <c r="AK172" s="1493"/>
      <c r="AL172" s="1585">
        <f>AL174-AL144</f>
        <v>16841863380</v>
      </c>
      <c r="AM172" s="1494"/>
      <c r="AN172" s="1586">
        <f>AN174-AN144</f>
        <v>17366556221</v>
      </c>
    </row>
    <row r="173" spans="1:40" s="347" customFormat="1">
      <c r="A173" s="1495"/>
      <c r="B173" s="1491"/>
      <c r="C173" s="1492"/>
      <c r="D173" s="1492"/>
      <c r="E173" s="1492"/>
      <c r="F173" s="1492"/>
      <c r="G173" s="1492"/>
      <c r="H173" s="1492"/>
      <c r="I173" s="1492"/>
      <c r="J173" s="1492"/>
      <c r="K173" s="1492"/>
      <c r="L173" s="1492"/>
      <c r="M173" s="1492"/>
      <c r="N173" s="1492"/>
      <c r="O173" s="1493"/>
      <c r="P173" s="1493"/>
      <c r="Q173" s="1492"/>
      <c r="R173" s="1492"/>
      <c r="S173" s="1493"/>
      <c r="T173" s="1493"/>
      <c r="U173" s="1492"/>
      <c r="V173" s="1492"/>
      <c r="W173" s="1492"/>
      <c r="X173" s="1492"/>
      <c r="Y173" s="1492"/>
      <c r="Z173" s="1492"/>
      <c r="AA173" s="1492"/>
      <c r="AB173" s="1492"/>
      <c r="AC173" s="1492"/>
      <c r="AD173" s="1492"/>
      <c r="AE173" s="1492"/>
      <c r="AF173" s="1492"/>
      <c r="AG173" s="1492"/>
      <c r="AH173" s="1492"/>
      <c r="AI173" s="1492"/>
      <c r="AJ173" s="1493"/>
      <c r="AK173" s="1493"/>
      <c r="AL173" s="1493"/>
      <c r="AM173" s="1494"/>
      <c r="AN173" s="1494"/>
    </row>
    <row r="174" spans="1:40">
      <c r="A174" s="1490" t="s">
        <v>778</v>
      </c>
      <c r="B174" s="49"/>
      <c r="C174" s="1584"/>
      <c r="D174" s="1584">
        <v>4663702326</v>
      </c>
      <c r="E174" s="1584"/>
      <c r="F174" s="1584">
        <v>5237863333</v>
      </c>
      <c r="G174" s="1584"/>
      <c r="H174" s="1584">
        <v>5687658240</v>
      </c>
      <c r="I174" s="1584"/>
      <c r="J174" s="1584">
        <v>6945636791</v>
      </c>
      <c r="K174" s="1587"/>
      <c r="L174" s="1584">
        <v>7958810799</v>
      </c>
      <c r="M174" s="1585"/>
      <c r="N174" s="1585">
        <v>10662926059</v>
      </c>
      <c r="O174" s="1585"/>
      <c r="P174" s="1585">
        <f>P13+P21+P23+P34+P36+P44+P46+P48+P59+P75+P77+P79+P95+P100+P106+P111+P121+P133+P135+P144+P148+P151+P157+P159+P161+P163+P117+P167</f>
        <v>12152934002</v>
      </c>
      <c r="Q174" s="1585"/>
      <c r="R174" s="1585">
        <f>12009185188.1067-464942</f>
        <v>12008720246.106701</v>
      </c>
      <c r="S174" s="1585"/>
      <c r="T174" s="1585">
        <v>12329885249</v>
      </c>
      <c r="U174" s="1585"/>
      <c r="V174" s="1585">
        <v>12623902858</v>
      </c>
      <c r="W174" s="1585"/>
      <c r="X174" s="1585">
        <v>13914714258</v>
      </c>
      <c r="Y174" s="1585"/>
      <c r="Z174" s="1585">
        <v>15336361934</v>
      </c>
      <c r="AA174" s="1585"/>
      <c r="AB174" s="1585">
        <v>16395083173</v>
      </c>
      <c r="AC174" s="1585"/>
      <c r="AD174" s="1584">
        <v>17782101893</v>
      </c>
      <c r="AE174" s="1585"/>
      <c r="AF174" s="1584">
        <v>16655578272.74151</v>
      </c>
      <c r="AG174" s="1585"/>
      <c r="AH174" s="1584">
        <v>21344976804.350857</v>
      </c>
      <c r="AI174" s="1588"/>
      <c r="AJ174" s="1585">
        <v>27547079093</v>
      </c>
      <c r="AK174" s="1588"/>
      <c r="AL174" s="1585">
        <v>26696138766</v>
      </c>
      <c r="AM174" s="1585"/>
      <c r="AN174" s="1585">
        <v>27857663102</v>
      </c>
    </row>
    <row r="175" spans="1:40">
      <c r="A175" s="49"/>
      <c r="B175" s="49"/>
      <c r="C175" s="1589"/>
      <c r="D175" s="1492"/>
      <c r="E175" s="49"/>
      <c r="F175" s="1492"/>
      <c r="G175" s="1589"/>
      <c r="H175" s="1492"/>
      <c r="I175" s="49"/>
      <c r="J175" s="1492"/>
      <c r="K175" s="49"/>
      <c r="L175" s="1492"/>
      <c r="M175" s="49"/>
      <c r="N175" s="1492"/>
      <c r="O175" s="49"/>
      <c r="P175" s="1492"/>
      <c r="Q175" s="49"/>
      <c r="R175" s="1492"/>
      <c r="S175" s="49"/>
      <c r="T175" s="1492"/>
      <c r="U175" s="1589"/>
      <c r="V175" s="1492"/>
      <c r="W175" s="49"/>
      <c r="X175" s="1492"/>
      <c r="Y175" s="49"/>
      <c r="Z175" s="1492"/>
      <c r="AA175" s="49"/>
      <c r="AB175" s="1492"/>
      <c r="AC175" s="1589"/>
      <c r="AD175" s="1492"/>
      <c r="AE175" s="49"/>
      <c r="AF175" s="1492"/>
      <c r="AG175" s="49"/>
      <c r="AH175" s="1492"/>
      <c r="AI175" s="49"/>
      <c r="AJ175" s="1492"/>
      <c r="AK175" s="1590"/>
      <c r="AL175" s="1492"/>
      <c r="AM175" s="1591"/>
      <c r="AN175" s="1492"/>
    </row>
    <row r="176" spans="1:40">
      <c r="A176" s="359"/>
      <c r="B176" s="330"/>
      <c r="C176" s="330"/>
      <c r="D176" s="330"/>
      <c r="E176" s="281"/>
      <c r="F176" s="281"/>
      <c r="G176" s="330"/>
      <c r="H176" s="330"/>
      <c r="I176" s="330"/>
      <c r="J176" s="330"/>
      <c r="K176" s="207"/>
      <c r="L176" s="330"/>
      <c r="M176" s="330"/>
      <c r="N176" s="330"/>
      <c r="O176" s="207"/>
      <c r="P176" s="207"/>
      <c r="Q176" s="207"/>
      <c r="R176" s="207"/>
      <c r="S176" s="268"/>
      <c r="T176" s="268"/>
      <c r="U176" s="207"/>
      <c r="V176" s="207"/>
      <c r="W176" s="330"/>
      <c r="X176" s="330"/>
      <c r="Y176" s="330"/>
      <c r="Z176" s="330"/>
      <c r="AA176" s="207"/>
      <c r="AB176" s="207"/>
      <c r="AC176" s="207"/>
      <c r="AD176" s="207"/>
      <c r="AE176" s="131"/>
      <c r="AF176" s="346"/>
      <c r="AG176" s="131"/>
      <c r="AH176" s="346"/>
      <c r="AI176" s="131"/>
      <c r="AJ176" s="346"/>
      <c r="AK176" s="346"/>
      <c r="AL176" s="300"/>
      <c r="AM176" s="131"/>
      <c r="AN176" s="346"/>
    </row>
    <row r="177" spans="1:40">
      <c r="A177" s="359" t="s">
        <v>786</v>
      </c>
      <c r="B177" s="330"/>
      <c r="C177" s="330"/>
      <c r="D177" s="330"/>
      <c r="E177" s="281"/>
      <c r="F177" s="281"/>
      <c r="G177" s="330"/>
      <c r="H177" s="330"/>
      <c r="I177" s="330"/>
      <c r="J177" s="330"/>
      <c r="K177" s="207"/>
      <c r="L177" s="207"/>
      <c r="M177" s="207"/>
      <c r="N177" s="207"/>
      <c r="O177" s="305"/>
      <c r="P177" s="305"/>
      <c r="Q177" s="207"/>
      <c r="R177" s="207"/>
      <c r="S177" s="268"/>
      <c r="T177" s="268"/>
      <c r="U177" s="305"/>
      <c r="V177" s="305"/>
      <c r="W177" s="207"/>
      <c r="X177" s="207"/>
      <c r="Y177" s="207"/>
      <c r="Z177" s="207"/>
      <c r="AA177" s="330"/>
      <c r="AB177" s="330"/>
      <c r="AC177" s="207"/>
      <c r="AD177" s="207"/>
      <c r="AE177" s="131"/>
      <c r="AF177" s="359"/>
      <c r="AG177" s="131"/>
      <c r="AH177" s="359"/>
      <c r="AI177" s="131"/>
      <c r="AJ177" s="346"/>
      <c r="AK177" s="346"/>
      <c r="AL177" s="300"/>
      <c r="AM177" s="131"/>
      <c r="AN177" s="131"/>
    </row>
    <row r="178" spans="1:40">
      <c r="A178" s="237" t="s">
        <v>787</v>
      </c>
      <c r="K178" s="207"/>
      <c r="L178" s="207"/>
      <c r="M178" s="207"/>
      <c r="N178" s="207"/>
      <c r="O178" s="330"/>
      <c r="P178" s="330"/>
      <c r="Q178" s="207"/>
      <c r="R178" s="207"/>
      <c r="S178" s="281"/>
      <c r="T178" s="281"/>
      <c r="U178" s="330"/>
      <c r="V178" s="330"/>
      <c r="W178" s="207"/>
      <c r="X178" s="207"/>
      <c r="Y178" s="207"/>
      <c r="Z178" s="207"/>
      <c r="AA178" s="330"/>
      <c r="AB178" s="330"/>
      <c r="AC178" s="207"/>
      <c r="AD178" s="207"/>
      <c r="AE178" s="131"/>
      <c r="AF178" s="131"/>
      <c r="AJ178" s="347"/>
      <c r="AK178" s="348"/>
      <c r="AL178" s="300"/>
      <c r="AM178" s="131"/>
      <c r="AN178" s="131"/>
    </row>
    <row r="179" spans="1:40">
      <c r="A179" s="359"/>
      <c r="B179" s="330"/>
      <c r="C179" s="330"/>
      <c r="D179" s="330"/>
      <c r="E179" s="330"/>
      <c r="F179" s="330"/>
      <c r="G179" s="330"/>
      <c r="H179" s="330"/>
      <c r="I179" s="330"/>
      <c r="J179" s="330"/>
      <c r="K179" s="207"/>
      <c r="L179" s="207"/>
      <c r="M179" s="330"/>
      <c r="N179" s="330"/>
      <c r="O179" s="207"/>
      <c r="P179" s="207"/>
      <c r="Q179" s="207"/>
      <c r="R179" s="207"/>
      <c r="S179" s="268"/>
      <c r="T179" s="268"/>
      <c r="U179" s="207"/>
      <c r="V179" s="207"/>
      <c r="W179" s="330"/>
      <c r="X179" s="330"/>
      <c r="Y179" s="330"/>
      <c r="Z179" s="330"/>
      <c r="AA179" s="207"/>
      <c r="AB179" s="207"/>
      <c r="AC179" s="207"/>
      <c r="AD179" s="207"/>
      <c r="AK179" s="348"/>
      <c r="AL179" s="300"/>
      <c r="AM179" s="131"/>
      <c r="AN179" s="131"/>
    </row>
    <row r="180" spans="1:40">
      <c r="A180" s="359"/>
      <c r="B180" s="359"/>
      <c r="I180" s="330"/>
      <c r="J180" s="330"/>
      <c r="K180" s="330"/>
      <c r="L180" s="207"/>
      <c r="M180" s="207"/>
      <c r="N180" s="207"/>
      <c r="O180" s="207"/>
      <c r="P180" s="207"/>
      <c r="Q180" s="207"/>
      <c r="R180" s="207"/>
      <c r="S180" s="281"/>
      <c r="T180" s="281"/>
      <c r="U180" s="207"/>
      <c r="V180" s="207"/>
      <c r="W180" s="207"/>
      <c r="X180" s="207"/>
      <c r="Y180" s="207"/>
      <c r="Z180" s="207"/>
      <c r="AA180" s="207"/>
      <c r="AB180" s="207"/>
      <c r="AC180" s="207"/>
      <c r="AD180" s="207"/>
      <c r="AK180" s="348"/>
      <c r="AL180" s="300"/>
      <c r="AM180" s="131"/>
      <c r="AN180" s="131"/>
    </row>
    <row r="181" spans="1:40">
      <c r="A181" s="359"/>
      <c r="B181" s="330"/>
      <c r="I181" s="330"/>
      <c r="J181" s="330"/>
      <c r="K181" s="207"/>
      <c r="L181" s="330"/>
      <c r="M181" s="207"/>
      <c r="N181" s="207"/>
      <c r="O181" s="207"/>
      <c r="P181" s="207"/>
      <c r="Q181" s="330"/>
      <c r="R181" s="330"/>
      <c r="S181" s="268"/>
      <c r="T181" s="268"/>
      <c r="U181" s="207"/>
      <c r="V181" s="207"/>
      <c r="W181" s="207"/>
      <c r="X181" s="207"/>
      <c r="Y181" s="207"/>
      <c r="Z181" s="207"/>
      <c r="AA181" s="207"/>
      <c r="AB181" s="207"/>
      <c r="AC181" s="207"/>
      <c r="AD181" s="207"/>
      <c r="AK181" s="348"/>
      <c r="AL181" s="300"/>
      <c r="AM181" s="131"/>
      <c r="AN181" s="131"/>
    </row>
    <row r="182" spans="1:40">
      <c r="A182" s="359"/>
      <c r="B182" s="330"/>
      <c r="K182" s="207"/>
      <c r="L182" s="207"/>
      <c r="M182" s="207"/>
      <c r="N182" s="207"/>
      <c r="O182" s="330"/>
      <c r="P182" s="330"/>
      <c r="Q182" s="330"/>
      <c r="R182" s="330"/>
      <c r="S182" s="268"/>
      <c r="T182" s="268"/>
      <c r="U182" s="207"/>
      <c r="V182" s="207"/>
      <c r="W182" s="207"/>
      <c r="X182" s="207"/>
      <c r="Y182" s="207"/>
      <c r="Z182" s="207"/>
      <c r="AA182" s="207"/>
      <c r="AB182" s="207"/>
      <c r="AC182" s="207"/>
      <c r="AD182" s="207"/>
      <c r="AK182" s="348"/>
      <c r="AL182" s="300"/>
    </row>
    <row r="183" spans="1:40">
      <c r="K183" s="330"/>
      <c r="L183" s="330"/>
      <c r="M183" s="207"/>
      <c r="N183" s="207"/>
      <c r="O183" s="207"/>
      <c r="P183" s="207"/>
      <c r="Q183" s="207"/>
      <c r="R183" s="207"/>
      <c r="S183" s="268"/>
      <c r="T183" s="268"/>
      <c r="U183" s="207"/>
      <c r="V183" s="207"/>
      <c r="W183" s="207"/>
      <c r="X183" s="207"/>
      <c r="Y183" s="207"/>
      <c r="Z183" s="207"/>
      <c r="AA183" s="207"/>
      <c r="AB183" s="207"/>
      <c r="AC183" s="207"/>
      <c r="AD183" s="207"/>
      <c r="AK183" s="348"/>
      <c r="AL183" s="300"/>
    </row>
    <row r="184" spans="1:40">
      <c r="K184" s="207"/>
      <c r="L184" s="330"/>
      <c r="M184" s="330"/>
      <c r="N184" s="330"/>
      <c r="O184" s="207"/>
      <c r="P184" s="207"/>
      <c r="Q184" s="207"/>
      <c r="R184" s="207"/>
      <c r="S184" s="268"/>
      <c r="T184" s="268"/>
      <c r="U184" s="207"/>
      <c r="V184" s="207"/>
      <c r="W184" s="330"/>
      <c r="X184" s="330"/>
      <c r="Y184" s="330"/>
      <c r="Z184" s="330"/>
      <c r="AA184" s="207"/>
      <c r="AB184" s="207"/>
      <c r="AC184" s="207"/>
      <c r="AD184" s="207"/>
      <c r="AK184" s="348"/>
      <c r="AL184" s="300"/>
    </row>
    <row r="185" spans="1:40">
      <c r="K185" s="207"/>
      <c r="L185" s="207"/>
      <c r="M185" s="207"/>
      <c r="N185" s="207"/>
      <c r="O185" s="330"/>
      <c r="P185" s="330"/>
      <c r="Q185" s="207"/>
      <c r="R185" s="207"/>
      <c r="S185" s="268"/>
      <c r="T185" s="268"/>
      <c r="U185" s="330"/>
      <c r="V185" s="330"/>
      <c r="W185" s="207"/>
      <c r="X185" s="207"/>
      <c r="Y185" s="207"/>
      <c r="Z185" s="207"/>
      <c r="AA185" s="207"/>
      <c r="AB185" s="207"/>
      <c r="AC185" s="330"/>
      <c r="AD185" s="330"/>
      <c r="AK185" s="348"/>
      <c r="AL185" s="300"/>
    </row>
    <row r="186" spans="1:40">
      <c r="K186" s="207"/>
      <c r="L186" s="207"/>
      <c r="M186" s="207"/>
      <c r="N186" s="207"/>
      <c r="O186" s="330"/>
      <c r="P186" s="330"/>
      <c r="Q186" s="207"/>
      <c r="R186" s="207"/>
      <c r="S186" s="281"/>
      <c r="T186" s="281"/>
      <c r="U186" s="330"/>
      <c r="V186" s="330"/>
      <c r="W186" s="207"/>
      <c r="X186" s="207"/>
      <c r="Y186" s="207"/>
      <c r="Z186" s="207"/>
      <c r="AA186" s="330"/>
      <c r="AB186" s="330"/>
      <c r="AC186" s="207"/>
      <c r="AD186" s="207"/>
      <c r="AK186" s="348"/>
      <c r="AL186" s="300"/>
    </row>
    <row r="187" spans="1:40">
      <c r="K187" s="207"/>
      <c r="L187" s="207"/>
      <c r="M187" s="207"/>
      <c r="N187" s="207"/>
      <c r="O187" s="207"/>
      <c r="P187" s="207"/>
      <c r="Q187" s="207"/>
      <c r="R187" s="207"/>
      <c r="S187" s="268"/>
      <c r="T187" s="268"/>
      <c r="U187" s="207"/>
      <c r="V187" s="207"/>
      <c r="W187" s="207"/>
      <c r="X187" s="207"/>
      <c r="Y187" s="207"/>
      <c r="Z187" s="207"/>
      <c r="AA187" s="330"/>
      <c r="AB187" s="330"/>
      <c r="AC187" s="330"/>
      <c r="AD187" s="330"/>
      <c r="AK187" s="348"/>
      <c r="AL187" s="300"/>
    </row>
    <row r="188" spans="1:40">
      <c r="K188" s="207"/>
      <c r="L188" s="207"/>
      <c r="M188" s="330"/>
      <c r="N188" s="330"/>
      <c r="O188" s="207"/>
      <c r="P188" s="207"/>
      <c r="Q188" s="330"/>
      <c r="R188" s="330"/>
      <c r="S188" s="268"/>
      <c r="T188" s="268"/>
      <c r="U188" s="207"/>
      <c r="V188" s="207"/>
      <c r="W188" s="330"/>
      <c r="X188" s="330"/>
      <c r="Y188" s="330"/>
      <c r="Z188" s="330"/>
      <c r="AA188" s="244"/>
      <c r="AB188" s="244"/>
      <c r="AC188" s="330"/>
      <c r="AD188" s="330"/>
      <c r="AK188" s="348"/>
      <c r="AL188" s="300"/>
    </row>
    <row r="189" spans="1:40">
      <c r="K189" s="207"/>
      <c r="L189" s="207"/>
      <c r="M189" s="330"/>
      <c r="N189" s="330"/>
      <c r="O189" s="207"/>
      <c r="P189" s="207"/>
      <c r="Q189" s="207"/>
      <c r="R189" s="207"/>
      <c r="S189" s="268"/>
      <c r="T189" s="268"/>
      <c r="U189" s="207"/>
      <c r="V189" s="207"/>
      <c r="W189" s="330"/>
      <c r="X189" s="330"/>
      <c r="Y189" s="330"/>
      <c r="Z189" s="330"/>
      <c r="AA189" s="244"/>
      <c r="AB189" s="244"/>
      <c r="AC189" s="330"/>
      <c r="AD189" s="330"/>
      <c r="AK189" s="348"/>
      <c r="AL189" s="300"/>
    </row>
    <row r="190" spans="1:40">
      <c r="K190" s="330"/>
      <c r="L190" s="207"/>
      <c r="M190" s="244"/>
      <c r="N190" s="244"/>
      <c r="O190" s="207"/>
      <c r="P190" s="207"/>
      <c r="Q190" s="207"/>
      <c r="R190" s="207"/>
      <c r="S190" s="281"/>
      <c r="T190" s="281"/>
      <c r="U190" s="207"/>
      <c r="V190" s="207"/>
      <c r="W190" s="244"/>
      <c r="X190" s="244"/>
      <c r="Y190" s="244"/>
      <c r="Z190" s="244"/>
      <c r="AA190" s="330"/>
      <c r="AB190" s="330"/>
      <c r="AC190" s="207"/>
      <c r="AD190" s="207"/>
      <c r="AK190" s="348"/>
      <c r="AL190" s="300"/>
    </row>
    <row r="191" spans="1:40">
      <c r="K191" s="207"/>
      <c r="L191" s="330"/>
      <c r="M191" s="244"/>
      <c r="N191" s="244"/>
      <c r="O191" s="207"/>
      <c r="P191" s="207"/>
      <c r="Q191" s="207"/>
      <c r="R191" s="207"/>
      <c r="S191" s="281"/>
      <c r="T191" s="281"/>
      <c r="U191" s="207"/>
      <c r="V191" s="207"/>
      <c r="W191" s="244"/>
      <c r="X191" s="244"/>
      <c r="Y191" s="244"/>
      <c r="Z191" s="244"/>
      <c r="AA191" s="330"/>
      <c r="AB191" s="330"/>
      <c r="AC191" s="207"/>
      <c r="AD191" s="207"/>
      <c r="AK191" s="348"/>
      <c r="AL191" s="300"/>
    </row>
    <row r="192" spans="1:40">
      <c r="K192" s="207"/>
      <c r="L192" s="207"/>
      <c r="M192" s="244"/>
      <c r="N192" s="244"/>
      <c r="O192" s="207"/>
      <c r="P192" s="207"/>
      <c r="Q192" s="330"/>
      <c r="R192" s="330"/>
      <c r="S192" s="281"/>
      <c r="T192" s="281"/>
      <c r="U192" s="207"/>
      <c r="V192" s="207"/>
      <c r="W192" s="330"/>
      <c r="X192" s="330"/>
      <c r="Y192" s="330"/>
      <c r="Z192" s="330"/>
      <c r="AA192" s="330"/>
      <c r="AB192" s="330"/>
      <c r="AC192" s="207"/>
      <c r="AD192" s="207"/>
      <c r="AK192" s="348"/>
      <c r="AL192" s="300"/>
    </row>
    <row r="193" spans="11:38">
      <c r="K193" s="207"/>
      <c r="L193" s="207"/>
      <c r="M193" s="244"/>
      <c r="N193" s="244"/>
      <c r="O193" s="330"/>
      <c r="P193" s="330"/>
      <c r="Q193" s="330"/>
      <c r="R193" s="330"/>
      <c r="S193" s="281"/>
      <c r="T193" s="281"/>
      <c r="U193" s="330"/>
      <c r="V193" s="330"/>
      <c r="W193" s="330"/>
      <c r="X193" s="330"/>
      <c r="Y193" s="330"/>
      <c r="Z193" s="330"/>
      <c r="AA193" s="330"/>
      <c r="AB193" s="330"/>
      <c r="AC193" s="207"/>
      <c r="AD193" s="207"/>
      <c r="AK193" s="348"/>
      <c r="AL193" s="300"/>
    </row>
    <row r="194" spans="11:38">
      <c r="K194" s="330"/>
      <c r="L194" s="207"/>
      <c r="M194" s="330"/>
      <c r="N194" s="330"/>
      <c r="O194" s="207"/>
      <c r="P194" s="207"/>
      <c r="Q194" s="244"/>
      <c r="R194" s="244"/>
      <c r="S194" s="281"/>
      <c r="T194" s="281"/>
      <c r="U194" s="207"/>
      <c r="V194" s="207"/>
      <c r="W194" s="330"/>
      <c r="X194" s="330"/>
      <c r="Y194" s="330"/>
      <c r="Z194" s="330"/>
      <c r="AA194" s="330"/>
      <c r="AB194" s="330"/>
      <c r="AC194" s="207"/>
      <c r="AD194" s="207"/>
      <c r="AK194" s="348"/>
      <c r="AL194" s="300"/>
    </row>
    <row r="195" spans="11:38">
      <c r="K195" s="330"/>
      <c r="L195" s="330"/>
      <c r="M195" s="330"/>
      <c r="N195" s="330"/>
      <c r="O195" s="207"/>
      <c r="P195" s="207"/>
      <c r="Q195" s="244"/>
      <c r="R195" s="244"/>
      <c r="S195" s="281"/>
      <c r="T195" s="281"/>
      <c r="U195" s="207"/>
      <c r="V195" s="207"/>
      <c r="W195" s="330"/>
      <c r="X195" s="330"/>
      <c r="Y195" s="330"/>
      <c r="Z195" s="330"/>
      <c r="AA195" s="330"/>
      <c r="AB195" s="330"/>
      <c r="AC195" s="207"/>
      <c r="AD195" s="207"/>
      <c r="AK195" s="348"/>
      <c r="AL195" s="300"/>
    </row>
    <row r="196" spans="11:38">
      <c r="K196" s="244"/>
      <c r="L196" s="330"/>
      <c r="M196" s="330"/>
      <c r="N196" s="330"/>
      <c r="O196" s="207"/>
      <c r="P196" s="207"/>
      <c r="Q196" s="244"/>
      <c r="R196" s="244"/>
      <c r="S196" s="281"/>
      <c r="T196" s="281"/>
      <c r="U196" s="207"/>
      <c r="V196" s="207"/>
      <c r="W196" s="330"/>
      <c r="X196" s="330"/>
      <c r="Y196" s="330"/>
      <c r="Z196" s="330"/>
      <c r="AA196" s="330"/>
      <c r="AB196" s="330"/>
      <c r="AC196" s="330"/>
      <c r="AD196" s="330"/>
      <c r="AK196" s="348"/>
      <c r="AL196" s="300"/>
    </row>
    <row r="197" spans="11:38">
      <c r="K197" s="244"/>
      <c r="L197" s="244"/>
      <c r="M197" s="330"/>
      <c r="N197" s="330"/>
      <c r="O197" s="330"/>
      <c r="P197" s="330"/>
      <c r="Q197" s="244"/>
      <c r="R197" s="244"/>
      <c r="S197" s="281"/>
      <c r="T197" s="281"/>
      <c r="U197" s="330"/>
      <c r="V197" s="330"/>
      <c r="W197" s="330"/>
      <c r="X197" s="330"/>
      <c r="Y197" s="330"/>
      <c r="Z197" s="330"/>
      <c r="AA197" s="330"/>
      <c r="AB197" s="330"/>
      <c r="AC197" s="207"/>
      <c r="AD197" s="207"/>
      <c r="AK197" s="348"/>
      <c r="AL197" s="300"/>
    </row>
    <row r="198" spans="11:38">
      <c r="K198" s="244"/>
      <c r="L198" s="244"/>
      <c r="M198" s="330"/>
      <c r="N198" s="330"/>
      <c r="O198" s="330"/>
      <c r="P198" s="330"/>
      <c r="Q198" s="330"/>
      <c r="R198" s="330"/>
      <c r="S198" s="281"/>
      <c r="T198" s="281"/>
      <c r="U198" s="330"/>
      <c r="V198" s="330"/>
      <c r="W198" s="330"/>
      <c r="X198" s="330"/>
      <c r="Y198" s="330"/>
      <c r="Z198" s="330"/>
      <c r="AA198" s="330"/>
      <c r="AB198" s="330"/>
      <c r="AC198" s="207"/>
      <c r="AD198" s="207"/>
      <c r="AK198" s="348"/>
      <c r="AL198" s="300"/>
    </row>
    <row r="199" spans="11:38">
      <c r="K199" s="244"/>
      <c r="L199" s="244"/>
      <c r="M199" s="330"/>
      <c r="N199" s="330"/>
      <c r="O199" s="244"/>
      <c r="P199" s="244"/>
      <c r="Q199" s="330"/>
      <c r="R199" s="330"/>
      <c r="S199" s="281"/>
      <c r="T199" s="281"/>
      <c r="U199" s="244"/>
      <c r="V199" s="244"/>
      <c r="W199" s="330"/>
      <c r="X199" s="330"/>
      <c r="Y199" s="330"/>
      <c r="Z199" s="330"/>
      <c r="AA199" s="330"/>
      <c r="AB199" s="330"/>
      <c r="AC199" s="207"/>
      <c r="AD199" s="207"/>
      <c r="AK199" s="348"/>
      <c r="AL199" s="300"/>
    </row>
    <row r="200" spans="11:38">
      <c r="K200" s="330"/>
      <c r="L200" s="244"/>
      <c r="M200" s="330"/>
      <c r="N200" s="330"/>
      <c r="O200" s="244"/>
      <c r="P200" s="244"/>
      <c r="Q200" s="330"/>
      <c r="R200" s="330"/>
      <c r="S200" s="281"/>
      <c r="T200" s="281"/>
      <c r="U200" s="244"/>
      <c r="V200" s="244"/>
      <c r="W200" s="330"/>
      <c r="X200" s="330"/>
      <c r="Y200" s="330"/>
      <c r="Z200" s="330"/>
      <c r="AA200" s="330"/>
      <c r="AB200" s="330"/>
      <c r="AC200" s="330"/>
      <c r="AD200" s="330"/>
      <c r="AK200" s="348"/>
      <c r="AL200" s="300"/>
    </row>
    <row r="201" spans="11:38">
      <c r="K201" s="330"/>
      <c r="L201" s="330"/>
      <c r="M201" s="330"/>
      <c r="N201" s="330"/>
      <c r="O201" s="244"/>
      <c r="P201" s="244"/>
      <c r="Q201" s="330"/>
      <c r="R201" s="330"/>
      <c r="S201" s="281"/>
      <c r="T201" s="281"/>
      <c r="U201" s="330"/>
      <c r="V201" s="330"/>
      <c r="W201" s="330"/>
      <c r="X201" s="330"/>
      <c r="Y201" s="330"/>
      <c r="Z201" s="330"/>
      <c r="AA201" s="330"/>
      <c r="AB201" s="330"/>
      <c r="AC201" s="330"/>
      <c r="AD201" s="330"/>
      <c r="AK201" s="348"/>
    </row>
    <row r="202" spans="11:38">
      <c r="K202" s="330"/>
      <c r="L202" s="330"/>
      <c r="M202" s="330"/>
      <c r="N202" s="330"/>
      <c r="O202" s="244"/>
      <c r="P202" s="244"/>
      <c r="Q202" s="330"/>
      <c r="R202" s="330"/>
      <c r="S202" s="281"/>
      <c r="T202" s="281"/>
      <c r="U202" s="330"/>
      <c r="V202" s="330"/>
      <c r="W202" s="330"/>
      <c r="X202" s="330"/>
      <c r="Y202" s="330"/>
      <c r="Z202" s="330"/>
      <c r="AA202" s="330"/>
      <c r="AB202" s="330"/>
      <c r="AC202" s="244"/>
      <c r="AD202" s="244"/>
      <c r="AK202" s="348"/>
    </row>
    <row r="203" spans="11:38">
      <c r="K203" s="330"/>
      <c r="L203" s="330"/>
      <c r="M203" s="330"/>
      <c r="N203" s="330"/>
      <c r="O203" s="330"/>
      <c r="P203" s="330"/>
      <c r="Q203" s="330"/>
      <c r="R203" s="330"/>
      <c r="S203" s="281"/>
      <c r="T203" s="281"/>
      <c r="U203" s="330"/>
      <c r="V203" s="330"/>
      <c r="W203" s="330"/>
      <c r="X203" s="330"/>
      <c r="Y203" s="330"/>
      <c r="Z203" s="330"/>
      <c r="AA203" s="330"/>
      <c r="AB203" s="330"/>
      <c r="AC203" s="244"/>
      <c r="AD203" s="244"/>
      <c r="AK203" s="348"/>
    </row>
    <row r="204" spans="11:38">
      <c r="K204" s="330"/>
      <c r="L204" s="330"/>
      <c r="M204" s="330"/>
      <c r="N204" s="330"/>
      <c r="O204" s="330"/>
      <c r="P204" s="330"/>
      <c r="Q204" s="330"/>
      <c r="R204" s="330"/>
      <c r="S204" s="281"/>
      <c r="T204" s="281"/>
      <c r="U204" s="330"/>
      <c r="V204" s="330"/>
      <c r="W204" s="330"/>
      <c r="X204" s="330"/>
      <c r="Y204" s="330"/>
      <c r="Z204" s="330"/>
      <c r="AA204" s="330"/>
      <c r="AB204" s="330"/>
      <c r="AC204" s="330"/>
      <c r="AD204" s="330"/>
      <c r="AK204" s="348"/>
    </row>
    <row r="205" spans="11:38">
      <c r="K205" s="330"/>
      <c r="L205" s="330"/>
      <c r="M205" s="330"/>
      <c r="N205" s="330"/>
      <c r="O205" s="330"/>
      <c r="P205" s="330"/>
      <c r="Q205" s="330"/>
      <c r="R205" s="330"/>
      <c r="S205" s="281"/>
      <c r="T205" s="281"/>
      <c r="U205" s="330"/>
      <c r="V205" s="330"/>
      <c r="W205" s="330"/>
      <c r="X205" s="330"/>
      <c r="Y205" s="330"/>
      <c r="Z205" s="330"/>
      <c r="AA205" s="330"/>
      <c r="AB205" s="330"/>
      <c r="AC205" s="330"/>
      <c r="AD205" s="330"/>
    </row>
    <row r="206" spans="11:38">
      <c r="K206" s="330"/>
      <c r="L206" s="330"/>
      <c r="M206" s="330"/>
      <c r="N206" s="330"/>
      <c r="O206" s="330"/>
      <c r="P206" s="330"/>
      <c r="Q206" s="330"/>
      <c r="R206" s="330"/>
      <c r="S206" s="281"/>
      <c r="T206" s="281"/>
      <c r="U206" s="330"/>
      <c r="V206" s="330"/>
      <c r="W206" s="330"/>
      <c r="X206" s="330"/>
      <c r="Y206" s="330"/>
      <c r="Z206" s="330"/>
      <c r="AA206" s="330"/>
      <c r="AB206" s="330"/>
      <c r="AC206" s="330"/>
      <c r="AD206" s="330"/>
    </row>
    <row r="207" spans="11:38">
      <c r="K207" s="330"/>
      <c r="L207" s="330"/>
      <c r="M207" s="330"/>
      <c r="N207" s="330"/>
      <c r="O207" s="330"/>
      <c r="P207" s="330"/>
      <c r="Q207" s="330"/>
      <c r="R207" s="330"/>
      <c r="S207" s="281"/>
      <c r="T207" s="281"/>
      <c r="U207" s="330"/>
      <c r="V207" s="330"/>
      <c r="W207" s="330"/>
      <c r="X207" s="330"/>
      <c r="Y207" s="330"/>
      <c r="AA207" s="330"/>
      <c r="AB207" s="330"/>
      <c r="AC207" s="330"/>
      <c r="AD207" s="330"/>
    </row>
    <row r="208" spans="11:38">
      <c r="K208" s="330"/>
      <c r="L208" s="330"/>
      <c r="M208" s="330"/>
      <c r="N208" s="330"/>
      <c r="O208" s="330"/>
      <c r="P208" s="330"/>
      <c r="Q208" s="330"/>
      <c r="R208" s="330"/>
      <c r="S208" s="281"/>
      <c r="T208" s="281"/>
      <c r="U208" s="330"/>
      <c r="V208" s="330"/>
      <c r="W208" s="330"/>
      <c r="X208" s="330"/>
      <c r="Y208" s="330"/>
      <c r="AA208" s="330"/>
      <c r="AB208" s="330"/>
      <c r="AC208" s="330"/>
      <c r="AD208" s="330"/>
    </row>
    <row r="209" spans="11:40">
      <c r="K209" s="330"/>
      <c r="L209" s="330"/>
      <c r="M209" s="330"/>
      <c r="N209" s="330"/>
      <c r="O209" s="330"/>
      <c r="P209" s="330"/>
      <c r="Q209" s="330"/>
      <c r="R209" s="330"/>
      <c r="S209" s="281"/>
      <c r="T209" s="281"/>
      <c r="U209" s="330"/>
      <c r="V209" s="330"/>
      <c r="W209" s="330"/>
      <c r="X209" s="330"/>
      <c r="Y209" s="330"/>
      <c r="AA209" s="330"/>
      <c r="AB209" s="330"/>
      <c r="AC209" s="330"/>
      <c r="AD209" s="330"/>
    </row>
    <row r="210" spans="11:40">
      <c r="K210" s="330"/>
      <c r="L210" s="330"/>
      <c r="M210" s="330"/>
      <c r="N210" s="330"/>
      <c r="O210" s="330"/>
      <c r="P210" s="330"/>
      <c r="Q210" s="330"/>
      <c r="R210" s="330"/>
      <c r="S210" s="281"/>
      <c r="T210" s="281"/>
      <c r="U210" s="330"/>
      <c r="V210" s="330"/>
      <c r="W210" s="330"/>
      <c r="X210" s="330"/>
      <c r="Y210" s="330"/>
      <c r="AA210" s="330"/>
      <c r="AB210" s="330"/>
      <c r="AC210" s="330"/>
      <c r="AD210" s="330"/>
    </row>
    <row r="211" spans="11:40">
      <c r="K211" s="330"/>
      <c r="L211" s="330"/>
      <c r="M211" s="330"/>
      <c r="N211" s="330"/>
      <c r="O211" s="330"/>
      <c r="P211" s="330"/>
      <c r="Q211" s="330"/>
      <c r="R211" s="330"/>
      <c r="S211" s="281"/>
      <c r="T211" s="281"/>
      <c r="U211" s="330"/>
      <c r="V211" s="330"/>
      <c r="W211" s="330"/>
      <c r="X211" s="330"/>
      <c r="Y211" s="330"/>
      <c r="AA211" s="330"/>
      <c r="AB211" s="330"/>
      <c r="AC211" s="330"/>
      <c r="AD211" s="330"/>
    </row>
    <row r="212" spans="11:40">
      <c r="K212" s="330"/>
      <c r="L212" s="330"/>
      <c r="M212" s="330"/>
      <c r="N212" s="330"/>
      <c r="O212" s="330"/>
      <c r="P212" s="330"/>
      <c r="Q212" s="330"/>
      <c r="R212" s="330"/>
      <c r="S212" s="281"/>
      <c r="T212" s="281"/>
      <c r="U212" s="330"/>
      <c r="V212" s="330"/>
      <c r="W212" s="330"/>
      <c r="X212" s="330"/>
      <c r="Y212" s="330"/>
      <c r="AA212" s="330"/>
      <c r="AB212" s="330"/>
      <c r="AC212" s="330"/>
      <c r="AD212" s="330"/>
    </row>
    <row r="213" spans="11:40">
      <c r="K213" s="330"/>
      <c r="L213" s="330"/>
      <c r="M213" s="330"/>
      <c r="N213" s="330"/>
      <c r="O213" s="330"/>
      <c r="P213" s="330"/>
      <c r="Q213" s="330"/>
      <c r="R213" s="330"/>
      <c r="S213" s="281"/>
      <c r="T213" s="281"/>
      <c r="U213" s="330"/>
      <c r="V213" s="330"/>
      <c r="W213" s="330"/>
      <c r="X213" s="330"/>
      <c r="Y213" s="330"/>
      <c r="AA213" s="330"/>
      <c r="AB213" s="330"/>
      <c r="AC213" s="330"/>
      <c r="AD213" s="330"/>
      <c r="AM213" s="131"/>
      <c r="AN213" s="131"/>
    </row>
    <row r="214" spans="11:40">
      <c r="K214" s="330"/>
      <c r="L214" s="330"/>
      <c r="M214" s="330"/>
      <c r="N214" s="330"/>
      <c r="O214" s="330"/>
      <c r="P214" s="330"/>
      <c r="Q214" s="330"/>
      <c r="R214" s="330"/>
      <c r="S214" s="281"/>
      <c r="T214" s="281"/>
      <c r="U214" s="330"/>
      <c r="V214" s="330"/>
      <c r="W214" s="330"/>
      <c r="X214" s="330"/>
      <c r="Y214" s="330"/>
      <c r="AA214" s="330"/>
      <c r="AB214" s="330"/>
      <c r="AC214" s="330"/>
      <c r="AD214" s="330"/>
      <c r="AM214" s="131"/>
      <c r="AN214" s="131"/>
    </row>
    <row r="215" spans="11:40">
      <c r="K215" s="330"/>
      <c r="L215" s="330"/>
      <c r="M215" s="330"/>
      <c r="N215" s="330"/>
      <c r="O215" s="330"/>
      <c r="P215" s="330"/>
      <c r="Q215" s="330"/>
      <c r="R215" s="330"/>
      <c r="S215" s="281"/>
      <c r="T215" s="281"/>
      <c r="U215" s="330"/>
      <c r="V215" s="330"/>
      <c r="W215" s="330"/>
      <c r="X215" s="330"/>
      <c r="Y215" s="330"/>
      <c r="AA215" s="330"/>
      <c r="AB215" s="330"/>
      <c r="AC215" s="330"/>
      <c r="AD215" s="330"/>
    </row>
    <row r="216" spans="11:40">
      <c r="K216" s="330"/>
      <c r="L216" s="330"/>
      <c r="M216" s="330"/>
      <c r="N216" s="330"/>
      <c r="O216" s="330"/>
      <c r="P216" s="330"/>
      <c r="Q216" s="330"/>
      <c r="R216" s="330"/>
      <c r="S216" s="281"/>
      <c r="T216" s="281"/>
      <c r="U216" s="330"/>
      <c r="V216" s="330"/>
      <c r="W216" s="330"/>
      <c r="X216" s="330"/>
      <c r="Y216" s="330"/>
      <c r="AA216" s="330"/>
      <c r="AB216" s="330"/>
      <c r="AC216" s="330"/>
      <c r="AD216" s="330"/>
    </row>
    <row r="217" spans="11:40">
      <c r="K217" s="330"/>
      <c r="L217" s="330"/>
      <c r="M217" s="330"/>
      <c r="N217" s="330"/>
      <c r="O217" s="330"/>
      <c r="P217" s="330"/>
      <c r="Q217" s="330"/>
      <c r="R217" s="330"/>
      <c r="S217" s="281"/>
      <c r="T217" s="281"/>
      <c r="U217" s="330"/>
      <c r="V217" s="330"/>
      <c r="W217" s="330"/>
      <c r="X217" s="330"/>
      <c r="Y217" s="330"/>
      <c r="AC217" s="330"/>
      <c r="AD217" s="330"/>
    </row>
    <row r="218" spans="11:40">
      <c r="K218" s="330"/>
      <c r="L218" s="330"/>
      <c r="M218" s="330"/>
      <c r="N218" s="330"/>
      <c r="O218" s="330"/>
      <c r="P218" s="330"/>
      <c r="Q218" s="330"/>
      <c r="R218" s="330"/>
      <c r="S218" s="281"/>
      <c r="T218" s="281"/>
      <c r="U218" s="330"/>
      <c r="V218" s="330"/>
      <c r="W218" s="330"/>
      <c r="X218" s="330"/>
      <c r="Y218" s="330"/>
      <c r="AC218" s="330"/>
      <c r="AD218" s="330"/>
    </row>
    <row r="219" spans="11:40">
      <c r="K219" s="330"/>
      <c r="L219" s="330"/>
      <c r="M219" s="330"/>
      <c r="N219" s="330"/>
      <c r="O219" s="330"/>
      <c r="P219" s="330"/>
      <c r="Q219" s="330"/>
      <c r="R219" s="330"/>
      <c r="S219" s="281"/>
      <c r="T219" s="281"/>
      <c r="U219" s="330"/>
      <c r="V219" s="330"/>
      <c r="W219" s="330"/>
      <c r="X219" s="330"/>
      <c r="Y219" s="330"/>
      <c r="AC219" s="330"/>
      <c r="AD219" s="330"/>
    </row>
    <row r="220" spans="11:40">
      <c r="K220" s="330"/>
      <c r="L220" s="330"/>
      <c r="M220" s="330"/>
      <c r="N220" s="330"/>
      <c r="O220" s="330"/>
      <c r="P220" s="330"/>
      <c r="Q220" s="330"/>
      <c r="R220" s="330"/>
      <c r="S220" s="281"/>
      <c r="T220" s="281"/>
      <c r="U220" s="330"/>
      <c r="V220" s="330"/>
      <c r="W220" s="330"/>
      <c r="X220" s="330"/>
      <c r="Y220" s="330"/>
      <c r="AC220" s="330"/>
      <c r="AD220" s="330"/>
    </row>
    <row r="221" spans="11:40">
      <c r="K221" s="330"/>
      <c r="L221" s="330"/>
      <c r="M221" s="330"/>
      <c r="N221" s="330"/>
      <c r="O221" s="330"/>
      <c r="P221" s="330"/>
      <c r="Q221" s="330"/>
      <c r="R221" s="330"/>
      <c r="S221" s="281"/>
      <c r="T221" s="281"/>
      <c r="U221" s="330"/>
      <c r="V221" s="330"/>
      <c r="W221" s="330"/>
      <c r="X221" s="330"/>
      <c r="Y221" s="330"/>
      <c r="AC221" s="330"/>
      <c r="AD221" s="330"/>
    </row>
    <row r="222" spans="11:40">
      <c r="K222" s="330"/>
      <c r="L222" s="330"/>
      <c r="M222" s="330"/>
      <c r="N222" s="330"/>
      <c r="O222" s="330"/>
      <c r="P222" s="330"/>
      <c r="Q222" s="330"/>
      <c r="R222" s="330"/>
      <c r="S222" s="281"/>
      <c r="T222" s="281"/>
      <c r="U222" s="330"/>
      <c r="V222" s="330"/>
      <c r="W222" s="330"/>
      <c r="X222" s="330"/>
      <c r="Y222" s="330"/>
    </row>
    <row r="223" spans="11:40">
      <c r="W223" s="330"/>
      <c r="X223" s="330"/>
    </row>
    <row r="224" spans="11:40">
      <c r="W224" s="330"/>
      <c r="X224" s="330"/>
    </row>
    <row r="225" spans="23:24">
      <c r="W225" s="330"/>
      <c r="X225" s="330"/>
    </row>
    <row r="226" spans="23:24">
      <c r="W226" s="330"/>
      <c r="X226" s="330"/>
    </row>
    <row r="227" spans="23:24">
      <c r="W227" s="330"/>
      <c r="X227" s="330"/>
    </row>
  </sheetData>
  <mergeCells count="19">
    <mergeCell ref="Y7:Z7"/>
    <mergeCell ref="C7:D7"/>
    <mergeCell ref="E7:F7"/>
    <mergeCell ref="G7:H7"/>
    <mergeCell ref="I7:J7"/>
    <mergeCell ref="K7:L7"/>
    <mergeCell ref="M7:N7"/>
    <mergeCell ref="O7:P7"/>
    <mergeCell ref="Q7:R7"/>
    <mergeCell ref="S7:T7"/>
    <mergeCell ref="U7:V7"/>
    <mergeCell ref="W7:X7"/>
    <mergeCell ref="AA7:AB7"/>
    <mergeCell ref="AC7:AD7"/>
    <mergeCell ref="AM7:AN7"/>
    <mergeCell ref="AE7:AF7"/>
    <mergeCell ref="AG7:AH7"/>
    <mergeCell ref="AI7:AJ7"/>
    <mergeCell ref="AK7:AL7"/>
  </mergeCell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T114"/>
  <sheetViews>
    <sheetView showGridLines="0" zoomScaleNormal="100" workbookViewId="0">
      <pane xSplit="2" ySplit="9" topLeftCell="AG10" activePane="bottomRight" state="frozen"/>
      <selection activeCell="AM77" activeCellId="18" sqref="C77 E77 G77 I77 K77 M77 O77 Q77 S77 U77 W77 Y77 AA77 AC77 AE77 AG77 AI77 AK77 AM77"/>
      <selection pane="topRight" activeCell="AM77" activeCellId="18" sqref="C77 E77 G77 I77 K77 M77 O77 Q77 S77 U77 W77 Y77 AA77 AC77 AE77 AG77 AI77 AK77 AM77"/>
      <selection pane="bottomLeft" activeCell="AM77" activeCellId="18" sqref="C77 E77 G77 I77 K77 M77 O77 Q77 S77 U77 W77 Y77 AA77 AC77 AE77 AG77 AI77 AK77 AM77"/>
      <selection pane="bottomRight" activeCell="AJ64" sqref="AJ64"/>
    </sheetView>
  </sheetViews>
  <sheetFormatPr defaultRowHeight="15"/>
  <cols>
    <col min="1" max="1" width="68.85546875" style="237" customWidth="1"/>
    <col min="2" max="2" width="35.42578125" style="344" customWidth="1"/>
    <col min="3" max="3" width="16" bestFit="1" customWidth="1"/>
    <col min="4" max="4" width="14.85546875" bestFit="1" customWidth="1"/>
    <col min="5" max="5" width="16" bestFit="1" customWidth="1"/>
    <col min="6" max="6" width="14.85546875" bestFit="1" customWidth="1"/>
    <col min="7" max="7" width="16" bestFit="1" customWidth="1"/>
    <col min="8" max="8" width="14.85546875" bestFit="1" customWidth="1"/>
    <col min="9" max="9" width="16" bestFit="1" customWidth="1"/>
    <col min="10" max="10" width="14.85546875" bestFit="1" customWidth="1"/>
    <col min="11" max="11" width="16" bestFit="1" customWidth="1"/>
    <col min="12" max="12" width="14.85546875" bestFit="1" customWidth="1"/>
    <col min="13" max="13" width="16" bestFit="1" customWidth="1"/>
    <col min="14" max="14" width="14.85546875" bestFit="1" customWidth="1"/>
    <col min="15" max="15" width="16" bestFit="1" customWidth="1"/>
    <col min="16" max="16" width="14.85546875" bestFit="1" customWidth="1"/>
    <col min="17" max="17" width="16" bestFit="1" customWidth="1"/>
    <col min="18" max="18" width="15.85546875" bestFit="1" customWidth="1"/>
    <col min="19" max="19" width="16" bestFit="1" customWidth="1"/>
    <col min="20" max="20" width="15.85546875" bestFit="1" customWidth="1"/>
    <col min="21" max="21" width="16" bestFit="1" customWidth="1"/>
    <col min="22" max="22" width="22" bestFit="1" customWidth="1"/>
    <col min="23" max="23" width="19.28515625" bestFit="1" customWidth="1"/>
    <col min="24" max="26" width="19.28515625" customWidth="1"/>
    <col min="27" max="28" width="19.28515625" style="333" customWidth="1"/>
    <col min="29" max="30" width="19.28515625" style="459" customWidth="1"/>
    <col min="31" max="32" width="19.28515625" style="492" customWidth="1"/>
    <col min="33" max="34" width="19.28515625" style="237" customWidth="1"/>
    <col min="35" max="36" width="19.28515625" style="535" customWidth="1"/>
    <col min="37" max="38" width="19.28515625" style="1700" customWidth="1"/>
    <col min="39" max="39" width="19.28515625" style="356" customWidth="1"/>
    <col min="40" max="40" width="19.28515625" style="237" customWidth="1"/>
    <col min="42" max="42" width="25" customWidth="1"/>
    <col min="43" max="43" width="17.140625" customWidth="1"/>
    <col min="46" max="46" width="10.5703125" bestFit="1" customWidth="1"/>
  </cols>
  <sheetData>
    <row r="1" spans="1:42">
      <c r="AN1" s="356"/>
    </row>
    <row r="2" spans="1:42" ht="26.25">
      <c r="Z2" s="525"/>
      <c r="AI2" s="451"/>
      <c r="AJ2" s="1151"/>
      <c r="AK2" s="1152"/>
      <c r="AL2" s="1152"/>
      <c r="AM2" s="330"/>
      <c r="AN2" s="356"/>
    </row>
    <row r="3" spans="1:42">
      <c r="AK3" s="137"/>
      <c r="AL3" s="237"/>
      <c r="AM3" s="330"/>
      <c r="AN3" s="356"/>
    </row>
    <row r="4" spans="1:42">
      <c r="X4" s="492"/>
      <c r="AJ4" s="573"/>
      <c r="AK4" s="172"/>
      <c r="AL4" s="172"/>
      <c r="AM4" s="330"/>
      <c r="AN4" s="356"/>
    </row>
    <row r="5" spans="1:42">
      <c r="A5" s="190" t="s">
        <v>742</v>
      </c>
      <c r="B5" s="191"/>
      <c r="AE5" s="573"/>
      <c r="AF5" s="573"/>
      <c r="AG5" s="172"/>
      <c r="AH5" s="172"/>
      <c r="AK5" s="237"/>
      <c r="AL5" s="237"/>
      <c r="AM5" s="330"/>
      <c r="AN5" s="356"/>
    </row>
    <row r="6" spans="1:42">
      <c r="A6" s="172"/>
      <c r="B6" s="191"/>
      <c r="F6" s="333"/>
      <c r="G6" s="333"/>
      <c r="H6" s="333"/>
      <c r="I6" s="333"/>
      <c r="J6" s="333"/>
      <c r="K6" s="333"/>
      <c r="L6" s="333"/>
      <c r="M6" s="333"/>
      <c r="N6" s="333"/>
      <c r="O6" s="333"/>
      <c r="P6" s="333"/>
      <c r="Q6" s="333"/>
      <c r="R6" s="333"/>
      <c r="S6" s="333"/>
      <c r="T6" s="333"/>
      <c r="U6" s="333"/>
      <c r="V6" s="333"/>
      <c r="W6" s="333"/>
      <c r="X6" s="333"/>
      <c r="Y6" s="333"/>
      <c r="Z6" s="333"/>
      <c r="AK6" s="237"/>
      <c r="AL6" s="237"/>
      <c r="AN6" s="356"/>
    </row>
    <row r="7" spans="1:42">
      <c r="A7" s="360"/>
      <c r="B7" s="354"/>
      <c r="C7" s="1969" t="s">
        <v>494</v>
      </c>
      <c r="D7" s="1969"/>
      <c r="E7" s="1969" t="s">
        <v>471</v>
      </c>
      <c r="F7" s="1969"/>
      <c r="G7" s="1969" t="s">
        <v>495</v>
      </c>
      <c r="H7" s="1969"/>
      <c r="I7" s="1969" t="s">
        <v>496</v>
      </c>
      <c r="J7" s="1969"/>
      <c r="K7" s="1969" t="s">
        <v>497</v>
      </c>
      <c r="L7" s="1969"/>
      <c r="M7" s="1969" t="s">
        <v>498</v>
      </c>
      <c r="N7" s="1969"/>
      <c r="O7" s="1969" t="s">
        <v>499</v>
      </c>
      <c r="P7" s="1969"/>
      <c r="Q7" s="1969" t="s">
        <v>500</v>
      </c>
      <c r="R7" s="1969"/>
      <c r="S7" s="1969" t="s">
        <v>501</v>
      </c>
      <c r="T7" s="1969"/>
      <c r="U7" s="1969" t="s">
        <v>502</v>
      </c>
      <c r="V7" s="1969"/>
      <c r="W7" s="1969" t="s">
        <v>503</v>
      </c>
      <c r="X7" s="1969"/>
      <c r="Y7" s="1969" t="s">
        <v>504</v>
      </c>
      <c r="Z7" s="1969"/>
      <c r="AA7" s="1969" t="s">
        <v>505</v>
      </c>
      <c r="AB7" s="1969"/>
      <c r="AC7" s="1969" t="s">
        <v>535</v>
      </c>
      <c r="AD7" s="1969"/>
      <c r="AE7" s="1969" t="s">
        <v>558</v>
      </c>
      <c r="AF7" s="1969"/>
      <c r="AG7" s="1969" t="s">
        <v>572</v>
      </c>
      <c r="AH7" s="1969"/>
      <c r="AI7" s="1970" t="s">
        <v>666</v>
      </c>
      <c r="AJ7" s="1970"/>
      <c r="AK7" s="1969" t="s">
        <v>808</v>
      </c>
      <c r="AL7" s="1969"/>
      <c r="AM7" s="1969" t="s">
        <v>92</v>
      </c>
      <c r="AN7" s="1969"/>
    </row>
    <row r="8" spans="1:42">
      <c r="A8" s="360" t="s">
        <v>154</v>
      </c>
      <c r="B8" s="354" t="s">
        <v>155</v>
      </c>
      <c r="C8" s="1156" t="str">
        <f>CONCATENATE(C7, " Quantity")</f>
        <v>2003-04 Quantity</v>
      </c>
      <c r="D8" s="1156" t="str">
        <f>CONCATENATE(C7, " Value $")</f>
        <v>2003-04 Value $</v>
      </c>
      <c r="E8" s="1156" t="str">
        <f t="shared" ref="E8" si="0">CONCATENATE(E7, " Quantity")</f>
        <v>2004-05 Quantity</v>
      </c>
      <c r="F8" s="1156" t="str">
        <f t="shared" ref="F8" si="1">CONCATENATE(E7, " Value $")</f>
        <v>2004-05 Value $</v>
      </c>
      <c r="G8" s="1156" t="str">
        <f t="shared" ref="G8" si="2">CONCATENATE(G7, " Quantity")</f>
        <v>2005-06 Quantity</v>
      </c>
      <c r="H8" s="1156" t="str">
        <f t="shared" ref="H8" si="3">CONCATENATE(G7, " Value $")</f>
        <v>2005-06 Value $</v>
      </c>
      <c r="I8" s="1156" t="str">
        <f t="shared" ref="I8" si="4">CONCATENATE(I7, " Quantity")</f>
        <v>2006-07 Quantity</v>
      </c>
      <c r="J8" s="1156" t="str">
        <f t="shared" ref="J8" si="5">CONCATENATE(I7, " Value $")</f>
        <v>2006-07 Value $</v>
      </c>
      <c r="K8" s="1156" t="str">
        <f t="shared" ref="K8" si="6">CONCATENATE(K7, " Quantity")</f>
        <v>2007-08 Quantity</v>
      </c>
      <c r="L8" s="1156" t="str">
        <f t="shared" ref="L8" si="7">CONCATENATE(K7, " Value $")</f>
        <v>2007-08 Value $</v>
      </c>
      <c r="M8" s="1156" t="str">
        <f t="shared" ref="M8" si="8">CONCATENATE(M7, " Quantity")</f>
        <v>2008-09 Quantity</v>
      </c>
      <c r="N8" s="1156" t="str">
        <f t="shared" ref="N8" si="9">CONCATENATE(M7, " Value $")</f>
        <v>2008-09 Value $</v>
      </c>
      <c r="O8" s="1156" t="str">
        <f t="shared" ref="O8" si="10">CONCATENATE(O7, " Quantity")</f>
        <v>2009-10 Quantity</v>
      </c>
      <c r="P8" s="1156" t="str">
        <f t="shared" ref="P8" si="11">CONCATENATE(O7, " Value $")</f>
        <v>2009-10 Value $</v>
      </c>
      <c r="Q8" s="1156" t="str">
        <f t="shared" ref="Q8" si="12">CONCATENATE(Q7, " Quantity")</f>
        <v>2010-11 Quantity</v>
      </c>
      <c r="R8" s="1156" t="str">
        <f t="shared" ref="R8" si="13">CONCATENATE(Q7, " Value $")</f>
        <v>2010-11 Value $</v>
      </c>
      <c r="S8" s="1156" t="str">
        <f t="shared" ref="S8" si="14">CONCATENATE(S7, " Quantity")</f>
        <v>2011-12 Quantity</v>
      </c>
      <c r="T8" s="1156" t="str">
        <f t="shared" ref="T8" si="15">CONCATENATE(S7, " Value $")</f>
        <v>2011-12 Value $</v>
      </c>
      <c r="U8" s="1156" t="str">
        <f t="shared" ref="U8" si="16">CONCATENATE(U7, " Quantity")</f>
        <v>2012-13 Quantity</v>
      </c>
      <c r="V8" s="1156" t="str">
        <f t="shared" ref="V8" si="17">CONCATENATE(U7, " Value $")</f>
        <v>2012-13 Value $</v>
      </c>
      <c r="W8" s="1156" t="str">
        <f t="shared" ref="W8" si="18">CONCATENATE(W7, " Quantity")</f>
        <v>2013-14 Quantity</v>
      </c>
      <c r="X8" s="1156" t="str">
        <f t="shared" ref="X8" si="19">CONCATENATE(W7, " Value $")</f>
        <v>2013-14 Value $</v>
      </c>
      <c r="Y8" s="1156" t="str">
        <f t="shared" ref="Y8" si="20">CONCATENATE(Y7, " Quantity")</f>
        <v>2014-15 Quantity</v>
      </c>
      <c r="Z8" s="1156" t="str">
        <f t="shared" ref="Z8" si="21">CONCATENATE(Y7, " Value $")</f>
        <v>2014-15 Value $</v>
      </c>
      <c r="AA8" s="1156" t="str">
        <f t="shared" ref="AA8" si="22">CONCATENATE(AA7, " Quantity")</f>
        <v>2015-16 Quantity</v>
      </c>
      <c r="AB8" s="1156" t="str">
        <f t="shared" ref="AB8" si="23">CONCATENATE(AA7, " Value $")</f>
        <v>2015-16 Value $</v>
      </c>
      <c r="AC8" s="1156" t="str">
        <f t="shared" ref="AC8" si="24">CONCATENATE(AC7, " Quantity")</f>
        <v>2016-17 Quantity</v>
      </c>
      <c r="AD8" s="1156" t="str">
        <f t="shared" ref="AD8" si="25">CONCATENATE(AC7, " Value $")</f>
        <v>2016-17 Value $</v>
      </c>
      <c r="AE8" s="1156" t="str">
        <f t="shared" ref="AE8" si="26">CONCATENATE(AE7, " Quantity")</f>
        <v>2017-18 Quantity</v>
      </c>
      <c r="AF8" s="1156" t="str">
        <f t="shared" ref="AF8" si="27">CONCATENATE(AE7, " Value $")</f>
        <v>2017-18 Value $</v>
      </c>
      <c r="AG8" s="1699" t="str">
        <f t="shared" ref="AG8" si="28">CONCATENATE(AG7, " Quantity")</f>
        <v>2018-19 Quantity</v>
      </c>
      <c r="AH8" s="1699" t="str">
        <f t="shared" ref="AH8" si="29">CONCATENATE(AG7, " Value $")</f>
        <v>2018-19 Value $</v>
      </c>
      <c r="AI8" s="1663" t="str">
        <f t="shared" ref="AI8:AK8" si="30">CONCATENATE(AI7, " Quantity")</f>
        <v>2019-20 Quantity</v>
      </c>
      <c r="AJ8" s="1663" t="str">
        <f t="shared" ref="AJ8" si="31">CONCATENATE(AI7, " Value $")</f>
        <v>2019-20 Value $</v>
      </c>
      <c r="AK8" s="1723" t="str">
        <f t="shared" si="30"/>
        <v>2020-21 Quantity</v>
      </c>
      <c r="AL8" s="1723" t="str">
        <f t="shared" ref="AL8" si="32">CONCATENATE(AK7, " Value $")</f>
        <v>2020-21 Value $</v>
      </c>
      <c r="AM8" s="1713" t="s">
        <v>735</v>
      </c>
      <c r="AN8" s="1713" t="s">
        <v>734</v>
      </c>
    </row>
    <row r="9" spans="1:42" hidden="1">
      <c r="A9" s="360"/>
      <c r="B9" s="354"/>
      <c r="C9" s="1935">
        <f>IF(RIGHT(C8,8)="Quantity",1,0)</f>
        <v>1</v>
      </c>
      <c r="D9" s="1935">
        <f t="shared" ref="D9:AH9" si="33">IF(RIGHT(D8,8)="Quantity",1,0)</f>
        <v>0</v>
      </c>
      <c r="E9" s="1935">
        <f t="shared" si="33"/>
        <v>1</v>
      </c>
      <c r="F9" s="1935">
        <f t="shared" si="33"/>
        <v>0</v>
      </c>
      <c r="G9" s="1935">
        <f t="shared" si="33"/>
        <v>1</v>
      </c>
      <c r="H9" s="1935">
        <f t="shared" si="33"/>
        <v>0</v>
      </c>
      <c r="I9" s="1935">
        <f t="shared" si="33"/>
        <v>1</v>
      </c>
      <c r="J9" s="1935">
        <f t="shared" si="33"/>
        <v>0</v>
      </c>
      <c r="K9" s="1935">
        <f t="shared" si="33"/>
        <v>1</v>
      </c>
      <c r="L9" s="1935">
        <f t="shared" si="33"/>
        <v>0</v>
      </c>
      <c r="M9" s="1935">
        <f t="shared" si="33"/>
        <v>1</v>
      </c>
      <c r="N9" s="1935">
        <f t="shared" si="33"/>
        <v>0</v>
      </c>
      <c r="O9" s="1935">
        <f t="shared" si="33"/>
        <v>1</v>
      </c>
      <c r="P9" s="1935">
        <f t="shared" si="33"/>
        <v>0</v>
      </c>
      <c r="Q9" s="1935">
        <f t="shared" si="33"/>
        <v>1</v>
      </c>
      <c r="R9" s="1935">
        <f t="shared" si="33"/>
        <v>0</v>
      </c>
      <c r="S9" s="1935">
        <f t="shared" si="33"/>
        <v>1</v>
      </c>
      <c r="T9" s="1935">
        <f t="shared" si="33"/>
        <v>0</v>
      </c>
      <c r="U9" s="1935">
        <f t="shared" si="33"/>
        <v>1</v>
      </c>
      <c r="V9" s="1935">
        <f t="shared" si="33"/>
        <v>0</v>
      </c>
      <c r="W9" s="1935">
        <f t="shared" si="33"/>
        <v>1</v>
      </c>
      <c r="X9" s="1935">
        <f t="shared" si="33"/>
        <v>0</v>
      </c>
      <c r="Y9" s="1935">
        <f t="shared" si="33"/>
        <v>1</v>
      </c>
      <c r="Z9" s="1935">
        <f t="shared" si="33"/>
        <v>0</v>
      </c>
      <c r="AA9" s="1935">
        <f t="shared" si="33"/>
        <v>1</v>
      </c>
      <c r="AB9" s="1935">
        <f t="shared" si="33"/>
        <v>0</v>
      </c>
      <c r="AC9" s="1935">
        <f t="shared" si="33"/>
        <v>1</v>
      </c>
      <c r="AD9" s="1935">
        <f t="shared" si="33"/>
        <v>0</v>
      </c>
      <c r="AE9" s="1935">
        <f t="shared" si="33"/>
        <v>1</v>
      </c>
      <c r="AF9" s="1935">
        <f t="shared" si="33"/>
        <v>0</v>
      </c>
      <c r="AG9" s="1935">
        <f t="shared" si="33"/>
        <v>1</v>
      </c>
      <c r="AH9" s="1935">
        <f t="shared" si="33"/>
        <v>0</v>
      </c>
      <c r="AI9" s="1935">
        <f t="shared" ref="AI9:AL9" si="34">IF(RIGHT(AI8,8)="Quantity",1,0)</f>
        <v>1</v>
      </c>
      <c r="AJ9" s="1935">
        <f t="shared" si="34"/>
        <v>0</v>
      </c>
      <c r="AK9" s="1932">
        <f t="shared" si="34"/>
        <v>1</v>
      </c>
      <c r="AL9" s="1932">
        <f t="shared" si="34"/>
        <v>0</v>
      </c>
      <c r="AM9" s="1713"/>
      <c r="AN9" s="1713"/>
    </row>
    <row r="10" spans="1:42" s="492" customFormat="1">
      <c r="A10" s="360"/>
      <c r="B10" s="518"/>
      <c r="C10" s="1288"/>
      <c r="D10" s="1288"/>
      <c r="E10" s="1288"/>
      <c r="F10" s="1288"/>
      <c r="G10" s="1288"/>
      <c r="H10" s="1288"/>
      <c r="I10" s="1288"/>
      <c r="J10" s="1288"/>
      <c r="K10" s="1288"/>
      <c r="L10" s="1288"/>
      <c r="M10" s="1288"/>
      <c r="N10" s="1288"/>
      <c r="O10" s="1288"/>
      <c r="P10" s="1288"/>
      <c r="Q10" s="1288"/>
      <c r="R10" s="1288"/>
      <c r="S10" s="1288"/>
      <c r="T10" s="1288"/>
      <c r="U10" s="1288"/>
      <c r="V10" s="1288"/>
      <c r="W10" s="1288"/>
      <c r="X10" s="1288"/>
      <c r="Y10" s="1288"/>
      <c r="Z10" s="1288"/>
      <c r="AA10" s="1288"/>
      <c r="AB10" s="1288"/>
      <c r="AC10" s="1288"/>
      <c r="AD10" s="1288"/>
      <c r="AE10" s="1288"/>
      <c r="AF10" s="1288"/>
      <c r="AG10" s="1178"/>
      <c r="AH10" s="1178"/>
      <c r="AI10" s="1664"/>
      <c r="AJ10" s="1664"/>
      <c r="AK10" s="1178"/>
      <c r="AL10" s="1178"/>
      <c r="AM10" s="1178"/>
      <c r="AN10" s="1178"/>
    </row>
    <row r="11" spans="1:42">
      <c r="A11" s="365" t="s">
        <v>468</v>
      </c>
      <c r="B11" s="353"/>
      <c r="C11" s="1289"/>
      <c r="D11" s="1289"/>
      <c r="E11" s="1289"/>
      <c r="F11" s="1289"/>
      <c r="G11" s="1289"/>
      <c r="H11" s="1289"/>
      <c r="I11" s="1289"/>
      <c r="J11" s="1289"/>
      <c r="K11" s="1289"/>
      <c r="L11" s="1289"/>
      <c r="M11" s="1289"/>
      <c r="N11" s="1289"/>
      <c r="O11" s="1289"/>
      <c r="P11" s="1289"/>
      <c r="Q11" s="1289"/>
      <c r="R11" s="1289"/>
      <c r="S11" s="1289"/>
      <c r="T11" s="1289"/>
      <c r="U11" s="1289"/>
      <c r="V11" s="1289"/>
      <c r="W11" s="1289"/>
      <c r="X11" s="1289"/>
      <c r="Y11" s="1289"/>
      <c r="Z11" s="1289"/>
      <c r="AA11" s="1289"/>
      <c r="AB11" s="1289"/>
      <c r="AC11" s="1289"/>
      <c r="AD11" s="1289"/>
      <c r="AE11" s="1290"/>
      <c r="AF11" s="1289"/>
      <c r="AG11" s="1302"/>
      <c r="AH11" s="1302"/>
      <c r="AI11" s="1302"/>
      <c r="AJ11" s="1302"/>
      <c r="AK11" s="1302"/>
      <c r="AL11" s="1302"/>
      <c r="AM11" s="1280"/>
      <c r="AN11" s="1302"/>
    </row>
    <row r="12" spans="1:42" s="492" customFormat="1">
      <c r="A12" s="368" t="s">
        <v>0</v>
      </c>
      <c r="B12" s="353" t="s">
        <v>87</v>
      </c>
      <c r="C12" s="1279">
        <f>(SUMIFS('Alumina - Q&amp;V'!$B$8:$B$250,'Alumina - Q&amp;V'!$H$8:$H$250,LEFT('FY Q&amp;V 2003-04 to Now'!C$7:D$7,4),'Alumina - Q&amp;V'!$I$8:$I$250,3)+
SUMIFS('Alumina - Q&amp;V'!$B$8:$B$250,'Alumina - Q&amp;V'!$H$8:$H$250,LEFT('FY Q&amp;V 2003-04 to Now'!C$7:D$7,4),'Alumina - Q&amp;V'!$I$8:$I$250,4)+
SUMIFS('Alumina - Q&amp;V'!$B$8:$B$250,'Alumina - Q&amp;V'!$H$8:$H$250,CONCATENATE("20",RIGHT('FY Q&amp;V 2003-04 to Now'!C$7:D$7,2)),'Alumina - Q&amp;V'!$I$8:$I$250,1)+
SUMIFS('Alumina - Q&amp;V'!$B$8:$B$250,'Alumina - Q&amp;V'!$H$8:$H$250,CONCATENATE("20",RIGHT('FY Q&amp;V 2003-04 to Now'!C$7:D$7,2)),'Alumina - Q&amp;V'!$I$8:$I$250,2))*1000000</f>
        <v>11165835</v>
      </c>
      <c r="D12" s="1279">
        <f>(SUMIFS('Alumina - Q&amp;V'!$C$8:$C$250,'Alumina - Q&amp;V'!$H$8:$H$250,LEFT('FY Q&amp;V 2003-04 to Now'!C$7,4),'Alumina - Q&amp;V'!$I$8:$I$250,3)+
SUMIFS('Alumina - Q&amp;V'!$C$8:$C$250,'Alumina - Q&amp;V'!$H$8:$H$250,LEFT('FY Q&amp;V 2003-04 to Now'!C$7,4),'Alumina - Q&amp;V'!$I$8:$I$250,4)+
SUMIFS('Alumina - Q&amp;V'!$C$8:$C$250,'Alumina - Q&amp;V'!$H$8:$H$250,CONCATENATE("20",RIGHT('FY Q&amp;V 2003-04 to Now'!C$7,2)),'Alumina - Q&amp;V'!$I$8:$I$250,1)+
SUMIFS('Alumina - Q&amp;V'!$C$8:$C$250,'Alumina - Q&amp;V'!$H$8:$H$250,CONCATENATE("20",RIGHT('FY Q&amp;V 2003-04 to Now'!C$7,2)),'Alumina - Q&amp;V'!$I$8:$I$250,2))*1000000</f>
        <v>3085110024.75</v>
      </c>
      <c r="E12" s="1279">
        <f>(SUMIFS('Alumina - Q&amp;V'!$B$8:$B$250,'Alumina - Q&amp;V'!$H$8:$H$250,LEFT('FY Q&amp;V 2003-04 to Now'!E$7:F$7,4),'Alumina - Q&amp;V'!$I$8:$I$250,3)+
SUMIFS('Alumina - Q&amp;V'!$B$8:$B$250,'Alumina - Q&amp;V'!$H$8:$H$250,LEFT('FY Q&amp;V 2003-04 to Now'!E$7:F$7,4),'Alumina - Q&amp;V'!$I$8:$I$250,4)+
SUMIFS('Alumina - Q&amp;V'!$B$8:$B$250,'Alumina - Q&amp;V'!$H$8:$H$250,CONCATENATE("20",RIGHT('FY Q&amp;V 2003-04 to Now'!E$7:F$7,2)),'Alumina - Q&amp;V'!$I$8:$I$250,1)+
SUMIFS('Alumina - Q&amp;V'!$B$8:$B$250,'Alumina - Q&amp;V'!$H$8:$H$250,CONCATENATE("20",RIGHT('FY Q&amp;V 2003-04 to Now'!E$7:F$7,2)),'Alumina - Q&amp;V'!$I$8:$I$250,2))*1000000</f>
        <v>11140179</v>
      </c>
      <c r="F12" s="1279">
        <f>(SUMIFS('Alumina - Q&amp;V'!$C$8:$C$250,'Alumina - Q&amp;V'!$H$8:$H$250,LEFT('FY Q&amp;V 2003-04 to Now'!E$7,4),'Alumina - Q&amp;V'!$I$8:$I$250,3)+
SUMIFS('Alumina - Q&amp;V'!$C$8:$C$250,'Alumina - Q&amp;V'!$H$8:$H$250,LEFT('FY Q&amp;V 2003-04 to Now'!E$7,4),'Alumina - Q&amp;V'!$I$8:$I$250,4)+
SUMIFS('Alumina - Q&amp;V'!$C$8:$C$250,'Alumina - Q&amp;V'!$H$8:$H$250,CONCATENATE("20",RIGHT('FY Q&amp;V 2003-04 to Now'!E$7,2)),'Alumina - Q&amp;V'!$I$8:$I$250,1)+
SUMIFS('Alumina - Q&amp;V'!$C$8:$C$250,'Alumina - Q&amp;V'!$H$8:$H$250,CONCATENATE("20",RIGHT('FY Q&amp;V 2003-04 to Now'!E$7,2)),'Alumina - Q&amp;V'!$I$8:$I$250,2))*1000000</f>
        <v>3430690094.5099998</v>
      </c>
      <c r="G12" s="1279">
        <f>(SUMIFS('Alumina - Q&amp;V'!$B$8:$B$250,'Alumina - Q&amp;V'!$H$8:$H$250,LEFT('FY Q&amp;V 2003-04 to Now'!G$7:H$7,4),'Alumina - Q&amp;V'!$I$8:$I$250,3)+
SUMIFS('Alumina - Q&amp;V'!$B$8:$B$250,'Alumina - Q&amp;V'!$H$8:$H$250,LEFT('FY Q&amp;V 2003-04 to Now'!G$7:H$7,4),'Alumina - Q&amp;V'!$I$8:$I$250,4)+
SUMIFS('Alumina - Q&amp;V'!$B$8:$B$250,'Alumina - Q&amp;V'!$H$8:$H$250,CONCATENATE("20",RIGHT('FY Q&amp;V 2003-04 to Now'!G$7:H$7,2)),'Alumina - Q&amp;V'!$I$8:$I$250,1)+
SUMIFS('Alumina - Q&amp;V'!$B$8:$B$250,'Alumina - Q&amp;V'!$H$8:$H$250,CONCATENATE("20",RIGHT('FY Q&amp;V 2003-04 to Now'!G$7:H$7,2)),'Alumina - Q&amp;V'!$I$8:$I$250,2))*1000000</f>
        <v>11453193.75</v>
      </c>
      <c r="H12" s="1279">
        <f>(SUMIFS('Alumina - Q&amp;V'!$C$8:$C$250,'Alumina - Q&amp;V'!$H$8:$H$250,LEFT('FY Q&amp;V 2003-04 to Now'!G$7,4),'Alumina - Q&amp;V'!$I$8:$I$250,3)+
SUMIFS('Alumina - Q&amp;V'!$C$8:$C$250,'Alumina - Q&amp;V'!$H$8:$H$250,LEFT('FY Q&amp;V 2003-04 to Now'!G$7,4),'Alumina - Q&amp;V'!$I$8:$I$250,4)+
SUMIFS('Alumina - Q&amp;V'!$C$8:$C$250,'Alumina - Q&amp;V'!$H$8:$H$250,CONCATENATE("20",RIGHT('FY Q&amp;V 2003-04 to Now'!G$7,2)),'Alumina - Q&amp;V'!$I$8:$I$250,1)+
SUMIFS('Alumina - Q&amp;V'!$C$8:$C$250,'Alumina - Q&amp;V'!$H$8:$H$250,CONCATENATE("20",RIGHT('FY Q&amp;V 2003-04 to Now'!G$7,2)),'Alumina - Q&amp;V'!$I$8:$I$250,2))*1000000</f>
        <v>4152943630.5500002</v>
      </c>
      <c r="I12" s="1279">
        <f>(SUMIFS('Alumina - Q&amp;V'!$B$8:$B$250,'Alumina - Q&amp;V'!$H$8:$H$250,LEFT('FY Q&amp;V 2003-04 to Now'!I$7:J$7,4),'Alumina - Q&amp;V'!$I$8:$I$250,3)+
SUMIFS('Alumina - Q&amp;V'!$B$8:$B$250,'Alumina - Q&amp;V'!$H$8:$H$250,LEFT('FY Q&amp;V 2003-04 to Now'!I$7:J$7,4),'Alumina - Q&amp;V'!$I$8:$I$250,4)+
SUMIFS('Alumina - Q&amp;V'!$B$8:$B$250,'Alumina - Q&amp;V'!$H$8:$H$250,CONCATENATE("20",RIGHT('FY Q&amp;V 2003-04 to Now'!I$7:J$7,2)),'Alumina - Q&amp;V'!$I$8:$I$250,1)+
SUMIFS('Alumina - Q&amp;V'!$B$8:$B$250,'Alumina - Q&amp;V'!$H$8:$H$250,CONCATENATE("20",RIGHT('FY Q&amp;V 2003-04 to Now'!I$7:J$7,2)),'Alumina - Q&amp;V'!$I$8:$I$250,2))*1000000</f>
        <v>11991247.063000001</v>
      </c>
      <c r="J12" s="1279">
        <f>(SUMIFS('Alumina - Q&amp;V'!$C$8:$C$250,'Alumina - Q&amp;V'!$H$8:$H$250,LEFT('FY Q&amp;V 2003-04 to Now'!I$7,4),'Alumina - Q&amp;V'!$I$8:$I$250,3)+
SUMIFS('Alumina - Q&amp;V'!$C$8:$C$250,'Alumina - Q&amp;V'!$H$8:$H$250,LEFT('FY Q&amp;V 2003-04 to Now'!I$7,4),'Alumina - Q&amp;V'!$I$8:$I$250,4)+
SUMIFS('Alumina - Q&amp;V'!$C$8:$C$250,'Alumina - Q&amp;V'!$H$8:$H$250,CONCATENATE("20",RIGHT('FY Q&amp;V 2003-04 to Now'!I$7,2)),'Alumina - Q&amp;V'!$I$8:$I$250,1)+
SUMIFS('Alumina - Q&amp;V'!$C$8:$C$250,'Alumina - Q&amp;V'!$H$8:$H$250,CONCATENATE("20",RIGHT('FY Q&amp;V 2003-04 to Now'!I$7,2)),'Alumina - Q&amp;V'!$I$8:$I$250,2))*1000000</f>
        <v>5151288982.46</v>
      </c>
      <c r="K12" s="1279">
        <f>(SUMIFS('Alumina - Q&amp;V'!$B$8:$B$250,'Alumina - Q&amp;V'!$H$8:$H$250,LEFT('FY Q&amp;V 2003-04 to Now'!K$7:L$7,4),'Alumina - Q&amp;V'!$I$8:$I$250,3)+
SUMIFS('Alumina - Q&amp;V'!$B$8:$B$250,'Alumina - Q&amp;V'!$H$8:$H$250,LEFT('FY Q&amp;V 2003-04 to Now'!K$7:L$7,4),'Alumina - Q&amp;V'!$I$8:$I$250,4)+
SUMIFS('Alumina - Q&amp;V'!$B$8:$B$250,'Alumina - Q&amp;V'!$H$8:$H$250,CONCATENATE("20",RIGHT('FY Q&amp;V 2003-04 to Now'!K$7:L$7,2)),'Alumina - Q&amp;V'!$I$8:$I$250,1)+
SUMIFS('Alumina - Q&amp;V'!$B$8:$B$250,'Alumina - Q&amp;V'!$H$8:$H$250,CONCATENATE("20",RIGHT('FY Q&amp;V 2003-04 to Now'!K$7:L$7,2)),'Alumina - Q&amp;V'!$I$8:$I$250,2))*1000000</f>
        <v>12321277.791999999</v>
      </c>
      <c r="L12" s="1279">
        <f>(SUMIFS('Alumina - Q&amp;V'!$C$8:$C$250,'Alumina - Q&amp;V'!$H$8:$H$250,LEFT('FY Q&amp;V 2003-04 to Now'!K$7,4),'Alumina - Q&amp;V'!$I$8:$I$250,3)+
SUMIFS('Alumina - Q&amp;V'!$C$8:$C$250,'Alumina - Q&amp;V'!$H$8:$H$250,LEFT('FY Q&amp;V 2003-04 to Now'!K$7,4),'Alumina - Q&amp;V'!$I$8:$I$250,4)+
SUMIFS('Alumina - Q&amp;V'!$C$8:$C$250,'Alumina - Q&amp;V'!$H$8:$H$250,CONCATENATE("20",RIGHT('FY Q&amp;V 2003-04 to Now'!K$7,2)),'Alumina - Q&amp;V'!$I$8:$I$250,1)+
SUMIFS('Alumina - Q&amp;V'!$C$8:$C$250,'Alumina - Q&amp;V'!$H$8:$H$250,CONCATENATE("20",RIGHT('FY Q&amp;V 2003-04 to Now'!K$7,2)),'Alumina - Q&amp;V'!$I$8:$I$250,2))*1000000</f>
        <v>4838417453.5100002</v>
      </c>
      <c r="M12" s="1279">
        <f>(SUMIFS('Alumina - Q&amp;V'!$B$8:$B$250,'Alumina - Q&amp;V'!$H$8:$H$250,LEFT('FY Q&amp;V 2003-04 to Now'!M$7:N$7,4),'Alumina - Q&amp;V'!$I$8:$I$250,3)+
SUMIFS('Alumina - Q&amp;V'!$B$8:$B$250,'Alumina - Q&amp;V'!$H$8:$H$250,LEFT('FY Q&amp;V 2003-04 to Now'!M$7:N$7,4),'Alumina - Q&amp;V'!$I$8:$I$250,4)+
SUMIFS('Alumina - Q&amp;V'!$B$8:$B$250,'Alumina - Q&amp;V'!$H$8:$H$250,CONCATENATE("20",RIGHT('FY Q&amp;V 2003-04 to Now'!M$7:N$7,2)),'Alumina - Q&amp;V'!$I$8:$I$250,1)+
SUMIFS('Alumina - Q&amp;V'!$B$8:$B$250,'Alumina - Q&amp;V'!$H$8:$H$250,CONCATENATE("20",RIGHT('FY Q&amp;V 2003-04 to Now'!M$7:N$7,2)),'Alumina - Q&amp;V'!$I$8:$I$250,2))*1000000</f>
        <v>12271552.999999998</v>
      </c>
      <c r="N12" s="1279">
        <f>(SUMIFS('Alumina - Q&amp;V'!$C$8:$C$250,'Alumina - Q&amp;V'!$H$8:$H$250,LEFT('FY Q&amp;V 2003-04 to Now'!M$7,4),'Alumina - Q&amp;V'!$I$8:$I$250,3)+
SUMIFS('Alumina - Q&amp;V'!$C$8:$C$250,'Alumina - Q&amp;V'!$H$8:$H$250,LEFT('FY Q&amp;V 2003-04 to Now'!M$7,4),'Alumina - Q&amp;V'!$I$8:$I$250,4)+
SUMIFS('Alumina - Q&amp;V'!$C$8:$C$250,'Alumina - Q&amp;V'!$H$8:$H$250,CONCATENATE("20",RIGHT('FY Q&amp;V 2003-04 to Now'!M$7,2)),'Alumina - Q&amp;V'!$I$8:$I$250,1)+
SUMIFS('Alumina - Q&amp;V'!$C$8:$C$250,'Alumina - Q&amp;V'!$H$8:$H$250,CONCATENATE("20",RIGHT('FY Q&amp;V 2003-04 to Now'!M$7,2)),'Alumina - Q&amp;V'!$I$8:$I$250,2))*1000000</f>
        <v>4352643950.3800001</v>
      </c>
      <c r="O12" s="1279">
        <f>(SUMIFS('Alumina - Q&amp;V'!$B$8:$B$250,'Alumina - Q&amp;V'!$H$8:$H$250,LEFT('FY Q&amp;V 2003-04 to Now'!O$7:P$7,4),'Alumina - Q&amp;V'!$I$8:$I$250,3)+
SUMIFS('Alumina - Q&amp;V'!$B$8:$B$250,'Alumina - Q&amp;V'!$H$8:$H$250,LEFT('FY Q&amp;V 2003-04 to Now'!O$7:P$7,4),'Alumina - Q&amp;V'!$I$8:$I$250,4)+
SUMIFS('Alumina - Q&amp;V'!$B$8:$B$250,'Alumina - Q&amp;V'!$H$8:$H$250,CONCATENATE("20",RIGHT('FY Q&amp;V 2003-04 to Now'!O$7:P$7,2)),'Alumina - Q&amp;V'!$I$8:$I$250,1)+
SUMIFS('Alumina - Q&amp;V'!$B$8:$B$250,'Alumina - Q&amp;V'!$H$8:$H$250,CONCATENATE("20",RIGHT('FY Q&amp;V 2003-04 to Now'!O$7:P$7,2)),'Alumina - Q&amp;V'!$I$8:$I$250,2))*1000000</f>
        <v>12643178</v>
      </c>
      <c r="P12" s="1279">
        <f>(SUMIFS('Alumina - Q&amp;V'!$C$8:$C$250,'Alumina - Q&amp;V'!$H$8:$H$250,LEFT('FY Q&amp;V 2003-04 to Now'!O$7,4),'Alumina - Q&amp;V'!$I$8:$I$250,3)+
SUMIFS('Alumina - Q&amp;V'!$C$8:$C$250,'Alumina - Q&amp;V'!$H$8:$H$250,LEFT('FY Q&amp;V 2003-04 to Now'!O$7,4),'Alumina - Q&amp;V'!$I$8:$I$250,4)+
SUMIFS('Alumina - Q&amp;V'!$C$8:$C$250,'Alumina - Q&amp;V'!$H$8:$H$250,CONCATENATE("20",RIGHT('FY Q&amp;V 2003-04 to Now'!O$7,2)),'Alumina - Q&amp;V'!$I$8:$I$250,1)+
SUMIFS('Alumina - Q&amp;V'!$C$8:$C$250,'Alumina - Q&amp;V'!$H$8:$H$250,CONCATENATE("20",RIGHT('FY Q&amp;V 2003-04 to Now'!O$7,2)),'Alumina - Q&amp;V'!$I$8:$I$250,2))*1000000</f>
        <v>3871191801.6600003</v>
      </c>
      <c r="Q12" s="1279">
        <f>(SUMIFS('Alumina - Q&amp;V'!$B$8:$B$250,'Alumina - Q&amp;V'!$H$8:$H$250,LEFT('FY Q&amp;V 2003-04 to Now'!Q$7:R$7,4),'Alumina - Q&amp;V'!$I$8:$I$250,3)+
SUMIFS('Alumina - Q&amp;V'!$B$8:$B$250,'Alumina - Q&amp;V'!$H$8:$H$250,LEFT('FY Q&amp;V 2003-04 to Now'!Q$7:R$7,4),'Alumina - Q&amp;V'!$I$8:$I$250,4)+
SUMIFS('Alumina - Q&amp;V'!$B$8:$B$250,'Alumina - Q&amp;V'!$H$8:$H$250,CONCATENATE("20",RIGHT('FY Q&amp;V 2003-04 to Now'!Q$7:R$7,2)),'Alumina - Q&amp;V'!$I$8:$I$250,1)+
SUMIFS('Alumina - Q&amp;V'!$B$8:$B$250,'Alumina - Q&amp;V'!$H$8:$H$250,CONCATENATE("20",RIGHT('FY Q&amp;V 2003-04 to Now'!Q$7:R$7,2)),'Alumina - Q&amp;V'!$I$8:$I$250,2))*1000000</f>
        <v>12280629.000000002</v>
      </c>
      <c r="R12" s="1279">
        <f>(SUMIFS('Alumina - Q&amp;V'!$C$8:$C$250,'Alumina - Q&amp;V'!$H$8:$H$250,LEFT('FY Q&amp;V 2003-04 to Now'!Q$7,4),'Alumina - Q&amp;V'!$I$8:$I$250,3)+
SUMIFS('Alumina - Q&amp;V'!$C$8:$C$250,'Alumina - Q&amp;V'!$H$8:$H$250,LEFT('FY Q&amp;V 2003-04 to Now'!Q$7,4),'Alumina - Q&amp;V'!$I$8:$I$250,4)+
SUMIFS('Alumina - Q&amp;V'!$C$8:$C$250,'Alumina - Q&amp;V'!$H$8:$H$250,CONCATENATE("20",RIGHT('FY Q&amp;V 2003-04 to Now'!Q$7,2)),'Alumina - Q&amp;V'!$I$8:$I$250,1)+
SUMIFS('Alumina - Q&amp;V'!$C$8:$C$250,'Alumina - Q&amp;V'!$H$8:$H$250,CONCATENATE("20",RIGHT('FY Q&amp;V 2003-04 to Now'!Q$7,2)),'Alumina - Q&amp;V'!$I$8:$I$250,2))*1000000</f>
        <v>3990376375.1500001</v>
      </c>
      <c r="S12" s="1279">
        <f>(SUMIFS('Alumina - Q&amp;V'!$B$8:$B$250,'Alumina - Q&amp;V'!$H$8:$H$250,LEFT('FY Q&amp;V 2003-04 to Now'!S$7:T$7,4),'Alumina - Q&amp;V'!$I$8:$I$250,3)+
SUMIFS('Alumina - Q&amp;V'!$B$8:$B$250,'Alumina - Q&amp;V'!$H$8:$H$250,LEFT('FY Q&amp;V 2003-04 to Now'!S$7:T$7,4),'Alumina - Q&amp;V'!$I$8:$I$250,4)+
SUMIFS('Alumina - Q&amp;V'!$B$8:$B$250,'Alumina - Q&amp;V'!$H$8:$H$250,CONCATENATE("20",RIGHT('FY Q&amp;V 2003-04 to Now'!S$7:T$7,2)),'Alumina - Q&amp;V'!$I$8:$I$250,1)+
SUMIFS('Alumina - Q&amp;V'!$B$8:$B$250,'Alumina - Q&amp;V'!$H$8:$H$250,CONCATENATE("20",RIGHT('FY Q&amp;V 2003-04 to Now'!S$7:T$7,2)),'Alumina - Q&amp;V'!$I$8:$I$250,2))*1000000</f>
        <v>12424860.330000002</v>
      </c>
      <c r="T12" s="1279">
        <f>(SUMIFS('Alumina - Q&amp;V'!$C$8:$C$250,'Alumina - Q&amp;V'!$H$8:$H$250,LEFT('FY Q&amp;V 2003-04 to Now'!S$7,4),'Alumina - Q&amp;V'!$I$8:$I$250,3)+
SUMIFS('Alumina - Q&amp;V'!$C$8:$C$250,'Alumina - Q&amp;V'!$H$8:$H$250,LEFT('FY Q&amp;V 2003-04 to Now'!S$7,4),'Alumina - Q&amp;V'!$I$8:$I$250,4)+
SUMIFS('Alumina - Q&amp;V'!$C$8:$C$250,'Alumina - Q&amp;V'!$H$8:$H$250,CONCATENATE("20",RIGHT('FY Q&amp;V 2003-04 to Now'!S$7,2)),'Alumina - Q&amp;V'!$I$8:$I$250,1)+
SUMIFS('Alumina - Q&amp;V'!$C$8:$C$250,'Alumina - Q&amp;V'!$H$8:$H$250,CONCATENATE("20",RIGHT('FY Q&amp;V 2003-04 to Now'!S$7,2)),'Alumina - Q&amp;V'!$I$8:$I$250,2))*1000000</f>
        <v>4010219381.579999</v>
      </c>
      <c r="U12" s="1279">
        <f>(SUMIFS('Alumina - Q&amp;V'!$B$8:$B$250,'Alumina - Q&amp;V'!$H$8:$H$250,LEFT('FY Q&amp;V 2003-04 to Now'!U$7:V$7,4),'Alumina - Q&amp;V'!$I$8:$I$250,3)+
SUMIFS('Alumina - Q&amp;V'!$B$8:$B$250,'Alumina - Q&amp;V'!$H$8:$H$250,LEFT('FY Q&amp;V 2003-04 to Now'!U$7:V$7,4),'Alumina - Q&amp;V'!$I$8:$I$250,4)+
SUMIFS('Alumina - Q&amp;V'!$B$8:$B$250,'Alumina - Q&amp;V'!$H$8:$H$250,CONCATENATE("20",RIGHT('FY Q&amp;V 2003-04 to Now'!U$7:V$7,2)),'Alumina - Q&amp;V'!$I$8:$I$250,1)+
SUMIFS('Alumina - Q&amp;V'!$B$8:$B$250,'Alumina - Q&amp;V'!$H$8:$H$250,CONCATENATE("20",RIGHT('FY Q&amp;V 2003-04 to Now'!U$7:V$7,2)),'Alumina - Q&amp;V'!$I$8:$I$250,2))*1000000</f>
        <v>13530752.17</v>
      </c>
      <c r="V12" s="1279">
        <f>(SUMIFS('Alumina - Q&amp;V'!$C$8:$C$250,'Alumina - Q&amp;V'!$H$8:$H$250,LEFT('FY Q&amp;V 2003-04 to Now'!U$7,4),'Alumina - Q&amp;V'!$I$8:$I$250,3)+
SUMIFS('Alumina - Q&amp;V'!$C$8:$C$250,'Alumina - Q&amp;V'!$H$8:$H$250,LEFT('FY Q&amp;V 2003-04 to Now'!U$7,4),'Alumina - Q&amp;V'!$I$8:$I$250,4)+
SUMIFS('Alumina - Q&amp;V'!$C$8:$C$250,'Alumina - Q&amp;V'!$H$8:$H$250,CONCATENATE("20",RIGHT('FY Q&amp;V 2003-04 to Now'!U$7,2)),'Alumina - Q&amp;V'!$I$8:$I$250,1)+
SUMIFS('Alumina - Q&amp;V'!$C$8:$C$250,'Alumina - Q&amp;V'!$H$8:$H$250,CONCATENATE("20",RIGHT('FY Q&amp;V 2003-04 to Now'!U$7,2)),'Alumina - Q&amp;V'!$I$8:$I$250,2))*1000000</f>
        <v>4027810217.2099996</v>
      </c>
      <c r="W12" s="1279">
        <f>(SUMIFS('Alumina - Q&amp;V'!$B$8:$B$250,'Alumina - Q&amp;V'!$H$8:$H$250,LEFT('FY Q&amp;V 2003-04 to Now'!W$7:X$7,4),'Alumina - Q&amp;V'!$I$8:$I$250,3)+
SUMIFS('Alumina - Q&amp;V'!$B$8:$B$250,'Alumina - Q&amp;V'!$H$8:$H$250,LEFT('FY Q&amp;V 2003-04 to Now'!W$7:X$7,4),'Alumina - Q&amp;V'!$I$8:$I$250,4)+
SUMIFS('Alumina - Q&amp;V'!$B$8:$B$250,'Alumina - Q&amp;V'!$H$8:$H$250,CONCATENATE("20",RIGHT('FY Q&amp;V 2003-04 to Now'!W$7:X$7,2)),'Alumina - Q&amp;V'!$I$8:$I$250,1)+
SUMIFS('Alumina - Q&amp;V'!$B$8:$B$250,'Alumina - Q&amp;V'!$H$8:$H$250,CONCATENATE("20",RIGHT('FY Q&amp;V 2003-04 to Now'!W$7:X$7,2)),'Alumina - Q&amp;V'!$I$8:$I$250,2))*1000000</f>
        <v>13717951.679999998</v>
      </c>
      <c r="X12" s="1279">
        <f>(SUMIFS('Alumina - Q&amp;V'!$C$8:$C$250,'Alumina - Q&amp;V'!$H$8:$H$250,LEFT('FY Q&amp;V 2003-04 to Now'!W$7,4),'Alumina - Q&amp;V'!$I$8:$I$250,3)+
SUMIFS('Alumina - Q&amp;V'!$C$8:$C$250,'Alumina - Q&amp;V'!$H$8:$H$250,LEFT('FY Q&amp;V 2003-04 to Now'!W$7,4),'Alumina - Q&amp;V'!$I$8:$I$250,4)+
SUMIFS('Alumina - Q&amp;V'!$C$8:$C$250,'Alumina - Q&amp;V'!$H$8:$H$250,CONCATENATE("20",RIGHT('FY Q&amp;V 2003-04 to Now'!W$7,2)),'Alumina - Q&amp;V'!$I$8:$I$250,1)+
SUMIFS('Alumina - Q&amp;V'!$C$8:$C$250,'Alumina - Q&amp;V'!$H$8:$H$250,CONCATENATE("20",RIGHT('FY Q&amp;V 2003-04 to Now'!W$7,2)),'Alumina - Q&amp;V'!$I$8:$I$250,2))*1000000</f>
        <v>4295348699.0100002</v>
      </c>
      <c r="Y12" s="1279">
        <f>(SUMIFS('Alumina - Q&amp;V'!$B$8:$B$250,'Alumina - Q&amp;V'!$H$8:$H$250,LEFT('FY Q&amp;V 2003-04 to Now'!Y$7:Z$7,4),'Alumina - Q&amp;V'!$I$8:$I$250,3)+
SUMIFS('Alumina - Q&amp;V'!$B$8:$B$250,'Alumina - Q&amp;V'!$H$8:$H$250,LEFT('FY Q&amp;V 2003-04 to Now'!Y$7:Z$7,4),'Alumina - Q&amp;V'!$I$8:$I$250,4)+
SUMIFS('Alumina - Q&amp;V'!$B$8:$B$250,'Alumina - Q&amp;V'!$H$8:$H$250,CONCATENATE("20",RIGHT('FY Q&amp;V 2003-04 to Now'!Y$7:Z$7,2)),'Alumina - Q&amp;V'!$I$8:$I$250,1)+
SUMIFS('Alumina - Q&amp;V'!$B$8:$B$250,'Alumina - Q&amp;V'!$H$8:$H$250,CONCATENATE("20",RIGHT('FY Q&amp;V 2003-04 to Now'!Y$7:Z$7,2)),'Alumina - Q&amp;V'!$I$8:$I$250,2))*1000000</f>
        <v>13771412.275999999</v>
      </c>
      <c r="Z12" s="1279">
        <f>(SUMIFS('Alumina - Q&amp;V'!$C$8:$C$250,'Alumina - Q&amp;V'!$H$8:$H$250,LEFT('FY Q&amp;V 2003-04 to Now'!Y$7,4),'Alumina - Q&amp;V'!$I$8:$I$250,3)+
SUMIFS('Alumina - Q&amp;V'!$C$8:$C$250,'Alumina - Q&amp;V'!$H$8:$H$250,LEFT('FY Q&amp;V 2003-04 to Now'!Y$7,4),'Alumina - Q&amp;V'!$I$8:$I$250,4)+
SUMIFS('Alumina - Q&amp;V'!$C$8:$C$250,'Alumina - Q&amp;V'!$H$8:$H$250,CONCATENATE("20",RIGHT('FY Q&amp;V 2003-04 to Now'!Y$7,2)),'Alumina - Q&amp;V'!$I$8:$I$250,1)+
SUMIFS('Alumina - Q&amp;V'!$C$8:$C$250,'Alumina - Q&amp;V'!$H$8:$H$250,CONCATENATE("20",RIGHT('FY Q&amp;V 2003-04 to Now'!Y$7,2)),'Alumina - Q&amp;V'!$I$8:$I$250,2))*1000000</f>
        <v>5022721218</v>
      </c>
      <c r="AA12" s="1279">
        <f>(SUMIFS('Alumina - Q&amp;V'!$B$8:$B$250,'Alumina - Q&amp;V'!$H$8:$H$250,LEFT('FY Q&amp;V 2003-04 to Now'!AA$7:AB$7,4),'Alumina - Q&amp;V'!$I$8:$I$250,3)+
SUMIFS('Alumina - Q&amp;V'!$B$8:$B$250,'Alumina - Q&amp;V'!$H$8:$H$250,LEFT('FY Q&amp;V 2003-04 to Now'!AA$7:AB$7,4),'Alumina - Q&amp;V'!$I$8:$I$250,4)+
SUMIFS('Alumina - Q&amp;V'!$B$8:$B$250,'Alumina - Q&amp;V'!$H$8:$H$250,CONCATENATE("20",RIGHT('FY Q&amp;V 2003-04 to Now'!AA$7:AB$7,2)),'Alumina - Q&amp;V'!$I$8:$I$250,1)+
SUMIFS('Alumina - Q&amp;V'!$B$8:$B$250,'Alumina - Q&amp;V'!$H$8:$H$250,CONCATENATE("20",RIGHT('FY Q&amp;V 2003-04 to Now'!AA$7:AB$7,2)),'Alumina - Q&amp;V'!$I$8:$I$250,2))*1000000</f>
        <v>13893539.520000001</v>
      </c>
      <c r="AB12" s="1279">
        <f>(SUMIFS('Alumina - Q&amp;V'!$C$8:$C$250,'Alumina - Q&amp;V'!$H$8:$H$250,LEFT('FY Q&amp;V 2003-04 to Now'!AA$7,4),'Alumina - Q&amp;V'!$I$8:$I$250,3)+
SUMIFS('Alumina - Q&amp;V'!$C$8:$C$250,'Alumina - Q&amp;V'!$H$8:$H$250,LEFT('FY Q&amp;V 2003-04 to Now'!AA$7,4),'Alumina - Q&amp;V'!$I$8:$I$250,4)+
SUMIFS('Alumina - Q&amp;V'!$C$8:$C$250,'Alumina - Q&amp;V'!$H$8:$H$250,CONCATENATE("20",RIGHT('FY Q&amp;V 2003-04 to Now'!AA$7,2)),'Alumina - Q&amp;V'!$I$8:$I$250,1)+
SUMIFS('Alumina - Q&amp;V'!$C$8:$C$250,'Alumina - Q&amp;V'!$H$8:$H$250,CONCATENATE("20",RIGHT('FY Q&amp;V 2003-04 to Now'!AA$7,2)),'Alumina - Q&amp;V'!$I$8:$I$250,2))*1000000</f>
        <v>4937279870</v>
      </c>
      <c r="AC12" s="1279">
        <f>(SUMIFS('Alumina - Q&amp;V'!$B$8:$B$250,'Alumina - Q&amp;V'!$H$8:$H$250,LEFT('FY Q&amp;V 2003-04 to Now'!AC$7:AD$7,4),'Alumina - Q&amp;V'!$I$8:$I$250,3)+
SUMIFS('Alumina - Q&amp;V'!$B$8:$B$250,'Alumina - Q&amp;V'!$H$8:$H$250,LEFT('FY Q&amp;V 2003-04 to Now'!AC$7:AD$7,4),'Alumina - Q&amp;V'!$I$8:$I$250,4)+
SUMIFS('Alumina - Q&amp;V'!$B$8:$B$250,'Alumina - Q&amp;V'!$H$8:$H$250,CONCATENATE("20",RIGHT('FY Q&amp;V 2003-04 to Now'!AC$7:AD$7,2)),'Alumina - Q&amp;V'!$I$8:$I$250,1)+
SUMIFS('Alumina - Q&amp;V'!$B$8:$B$250,'Alumina - Q&amp;V'!$H$8:$H$250,CONCATENATE("20",RIGHT('FY Q&amp;V 2003-04 to Now'!AC$7:AD$7,2)),'Alumina - Q&amp;V'!$I$8:$I$250,2))*1000000</f>
        <v>13855381.770000001</v>
      </c>
      <c r="AD12" s="1279">
        <f>(SUMIFS('Alumina - Q&amp;V'!$C$8:$C$250,'Alumina - Q&amp;V'!$H$8:$H$250,LEFT('FY Q&amp;V 2003-04 to Now'!AC$7,4),'Alumina - Q&amp;V'!$I$8:$I$250,3)+
SUMIFS('Alumina - Q&amp;V'!$C$8:$C$250,'Alumina - Q&amp;V'!$H$8:$H$250,LEFT('FY Q&amp;V 2003-04 to Now'!AC$7,4),'Alumina - Q&amp;V'!$I$8:$I$250,4)+
SUMIFS('Alumina - Q&amp;V'!$C$8:$C$250,'Alumina - Q&amp;V'!$H$8:$H$250,CONCATENATE("20",RIGHT('FY Q&amp;V 2003-04 to Now'!AC$7,2)),'Alumina - Q&amp;V'!$I$8:$I$250,1)+
SUMIFS('Alumina - Q&amp;V'!$C$8:$C$250,'Alumina - Q&amp;V'!$H$8:$H$250,CONCATENATE("20",RIGHT('FY Q&amp;V 2003-04 to Now'!AC$7,2)),'Alumina - Q&amp;V'!$I$8:$I$250,2))*1000000</f>
        <v>5073995897</v>
      </c>
      <c r="AE12" s="1291">
        <f>(SUMIFS('Alumina - Q&amp;V'!$B$8:$B$250,'Alumina - Q&amp;V'!$H$8:$H$250,LEFT('FY Q&amp;V 2003-04 to Now'!AE$7:AF$7,4),'Alumina - Q&amp;V'!$I$8:$I$250,3)+
SUMIFS('Alumina - Q&amp;V'!$B$8:$B$250,'Alumina - Q&amp;V'!$H$8:$H$250,LEFT('FY Q&amp;V 2003-04 to Now'!AE$7:AF$7,4),'Alumina - Q&amp;V'!$I$8:$I$250,4)+
SUMIFS('Alumina - Q&amp;V'!$B$8:$B$250,'Alumina - Q&amp;V'!$H$8:$H$250,CONCATENATE("20",RIGHT('FY Q&amp;V 2003-04 to Now'!AE$7:AF$7,2)),'Alumina - Q&amp;V'!$I$8:$I$250,1)+
SUMIFS('Alumina - Q&amp;V'!$B$8:$B$250,'Alumina - Q&amp;V'!$H$8:$H$250,CONCATENATE("20",RIGHT('FY Q&amp;V 2003-04 to Now'!AE$7:AF$7,2)),'Alumina - Q&amp;V'!$I$8:$I$250,2))*1000000</f>
        <v>13669466.950000001</v>
      </c>
      <c r="AF12" s="1279">
        <f>(SUMIFS('Alumina - Q&amp;V'!$C$8:$C$250,'Alumina - Q&amp;V'!$H$8:$H$250,LEFT('FY Q&amp;V 2003-04 to Now'!AE$7,4),'Alumina - Q&amp;V'!$I$8:$I$250,3)+
SUMIFS('Alumina - Q&amp;V'!$C$8:$C$250,'Alumina - Q&amp;V'!$H$8:$H$250,LEFT('FY Q&amp;V 2003-04 to Now'!AE$7,4),'Alumina - Q&amp;V'!$I$8:$I$250,4)+
SUMIFS('Alumina - Q&amp;V'!$C$8:$C$250,'Alumina - Q&amp;V'!$H$8:$H$250,CONCATENATE("20",RIGHT('FY Q&amp;V 2003-04 to Now'!AE$7,2)),'Alumina - Q&amp;V'!$I$8:$I$250,1)+
SUMIFS('Alumina - Q&amp;V'!$C$8:$C$250,'Alumina - Q&amp;V'!$H$8:$H$250,CONCATENATE("20",RIGHT('FY Q&amp;V 2003-04 to Now'!AE$7,2)),'Alumina - Q&amp;V'!$I$8:$I$250,2))*1000000</f>
        <v>6596818325</v>
      </c>
      <c r="AG12" s="1302">
        <f>(SUMIFS('Alumina - Q&amp;V'!$B$8:$B$250,'Alumina - Q&amp;V'!$H$8:$H$250,LEFT('FY Q&amp;V 2003-04 to Now'!AG$7:AH$7,4),'Alumina - Q&amp;V'!$I$8:$I$250,3)+
SUMIFS('Alumina - Q&amp;V'!$B$8:$B$250,'Alumina - Q&amp;V'!$H$8:$H$250,LEFT('FY Q&amp;V 2003-04 to Now'!AG$7:AH$7,4),'Alumina - Q&amp;V'!$I$8:$I$250,4)+
SUMIFS('Alumina - Q&amp;V'!$B$8:$B$250,'Alumina - Q&amp;V'!$H$8:$H$250,CONCATENATE("20",RIGHT('FY Q&amp;V 2003-04 to Now'!AG$7:AH$7,2)),'Alumina - Q&amp;V'!$I$8:$I$250,1)+
SUMIFS('Alumina - Q&amp;V'!$B$8:$B$250,'Alumina - Q&amp;V'!$H$8:$H$250,CONCATENATE("20",RIGHT('FY Q&amp;V 2003-04 to Now'!AG$7:AH$7,2)),'Alumina - Q&amp;V'!$I$8:$I$250,2))*1000000</f>
        <v>13643444.6</v>
      </c>
      <c r="AH12" s="1302">
        <f>(SUMIFS('Alumina - Q&amp;V'!$C$8:$C$250,'Alumina - Q&amp;V'!$H$8:$H$250,LEFT('FY Q&amp;V 2003-04 to Now'!AG$7,4),'Alumina - Q&amp;V'!$I$8:$I$250,3)+
SUMIFS('Alumina - Q&amp;V'!$C$8:$C$250,'Alumina - Q&amp;V'!$H$8:$H$250,LEFT('FY Q&amp;V 2003-04 to Now'!AG$7,4),'Alumina - Q&amp;V'!$I$8:$I$250,4)+
SUMIFS('Alumina - Q&amp;V'!$C$8:$C$250,'Alumina - Q&amp;V'!$H$8:$H$250,CONCATENATE("20",RIGHT('FY Q&amp;V 2003-04 to Now'!AG$7,2)),'Alumina - Q&amp;V'!$I$8:$I$250,1)+
SUMIFS('Alumina - Q&amp;V'!$C$8:$C$250,'Alumina - Q&amp;V'!$H$8:$H$250,CONCATENATE("20",RIGHT('FY Q&amp;V 2003-04 to Now'!AG$7,2)),'Alumina - Q&amp;V'!$I$8:$I$250,2))*1000000</f>
        <v>8211863757.999999</v>
      </c>
      <c r="AI12" s="1302">
        <f>(SUMIFS('Alumina - Q&amp;V'!$B$8:$B$250,'Alumina - Q&amp;V'!$H$8:$H$250,LEFT('FY Q&amp;V 2003-04 to Now'!AI$7:AJ$7,4),'Alumina - Q&amp;V'!$I$8:$I$250,3)+
SUMIFS('Alumina - Q&amp;V'!$B$8:$B$250,'Alumina - Q&amp;V'!$H$8:$H$250,LEFT('FY Q&amp;V 2003-04 to Now'!AI$7:AJ$7,4),'Alumina - Q&amp;V'!$I$8:$I$250,4)+
SUMIFS('Alumina - Q&amp;V'!$B$8:$B$250,'Alumina - Q&amp;V'!$H$8:$H$250,CONCATENATE("20",RIGHT('FY Q&amp;V 2003-04 to Now'!AI$7:AJ$7,2)),'Alumina - Q&amp;V'!$I$8:$I$250,1)+
SUMIFS('Alumina - Q&amp;V'!$B$8:$B$250,'Alumina - Q&amp;V'!$H$8:$H$250,CONCATENATE("20",RIGHT('FY Q&amp;V 2003-04 to Now'!AI$7:AJ$7,2)),'Alumina - Q&amp;V'!$I$8:$I$250,2))*1000000</f>
        <v>14015165.233000001</v>
      </c>
      <c r="AJ12" s="1302">
        <f>(SUMIFS('Alumina - Q&amp;V'!$C$8:$C$250,'Alumina - Q&amp;V'!$H$8:$H$250,LEFT('FY Q&amp;V 2003-04 to Now'!AI$7,4),'Alumina - Q&amp;V'!$I$8:$I$250,3)+
SUMIFS('Alumina - Q&amp;V'!$C$8:$C$250,'Alumina - Q&amp;V'!$H$8:$H$250,LEFT('FY Q&amp;V 2003-04 to Now'!AI$7,4),'Alumina - Q&amp;V'!$I$8:$I$250,4)+
SUMIFS('Alumina - Q&amp;V'!$C$8:$C$250,'Alumina - Q&amp;V'!$H$8:$H$250,CONCATENATE("20",RIGHT('FY Q&amp;V 2003-04 to Now'!AI$7,2)),'Alumina - Q&amp;V'!$I$8:$I$250,1)+
SUMIFS('Alumina - Q&amp;V'!$C$8:$C$250,'Alumina - Q&amp;V'!$H$8:$H$250,CONCATENATE("20",RIGHT('FY Q&amp;V 2003-04 to Now'!AI$7,2)),'Alumina - Q&amp;V'!$I$8:$I$250,2))*1000000</f>
        <v>6349569377</v>
      </c>
      <c r="AK12" s="1302">
        <f>(SUMIFS('Alumina - Q&amp;V'!$B$8:$B$250,'Alumina - Q&amp;V'!$H$8:$H$250,LEFT('FY Q&amp;V 2003-04 to Now'!AK$7:AL$7,4),'Alumina - Q&amp;V'!$I$8:$I$250,3)+
SUMIFS('Alumina - Q&amp;V'!$B$8:$B$250,'Alumina - Q&amp;V'!$H$8:$H$250,LEFT('FY Q&amp;V 2003-04 to Now'!AK$7:AL$7,4),'Alumina - Q&amp;V'!$I$8:$I$250,4)+
SUMIFS('Alumina - Q&amp;V'!$B$8:$B$250,'Alumina - Q&amp;V'!$H$8:$H$250,CONCATENATE("20",RIGHT('FY Q&amp;V 2003-04 to Now'!AK$7:AL$7,2)),'Alumina - Q&amp;V'!$I$8:$I$250,1)+
SUMIFS('Alumina - Q&amp;V'!$B$8:$B$250,'Alumina - Q&amp;V'!$H$8:$H$250,CONCATENATE("20",RIGHT('FY Q&amp;V 2003-04 to Now'!AK$7:AL$7,2)),'Alumina - Q&amp;V'!$I$8:$I$250,2))*1000000</f>
        <v>14361022.479999999</v>
      </c>
      <c r="AL12" s="1302">
        <f>(SUMIFS('Alumina - Q&amp;V'!$C$8:$C$250,'Alumina - Q&amp;V'!$H$8:$H$250,LEFT('FY Q&amp;V 2003-04 to Now'!AK$7,4),'Alumina - Q&amp;V'!$I$8:$I$250,3)+
SUMIFS('Alumina - Q&amp;V'!$C$8:$C$250,'Alumina - Q&amp;V'!$H$8:$H$250,LEFT('FY Q&amp;V 2003-04 to Now'!AK$7,4),'Alumina - Q&amp;V'!$I$8:$I$250,4)+
SUMIFS('Alumina - Q&amp;V'!$C$8:$C$250,'Alumina - Q&amp;V'!$H$8:$H$250,CONCATENATE("20",RIGHT('FY Q&amp;V 2003-04 to Now'!AK$7,2)),'Alumina - Q&amp;V'!$I$8:$I$250,1)+
SUMIFS('Alumina - Q&amp;V'!$C$8:$C$250,'Alumina - Q&amp;V'!$H$8:$H$250,CONCATENATE("20",RIGHT('FY Q&amp;V 2003-04 to Now'!AK$7,2)),'Alumina - Q&amp;V'!$I$8:$I$250,2))*1000000</f>
        <v>5506217460</v>
      </c>
      <c r="AM12" s="1291">
        <f>SUMIF($C$9:AL$9,1,$C12:AL12)</f>
        <v>232150089.61399999</v>
      </c>
      <c r="AN12" s="1279">
        <f>SUMIF($C$9:AL$9,0,$C12:AL12)</f>
        <v>86904506515.770004</v>
      </c>
      <c r="AO12" s="573"/>
    </row>
    <row r="13" spans="1:42" s="492" customFormat="1">
      <c r="A13" s="368" t="s">
        <v>551</v>
      </c>
      <c r="B13" s="353" t="s">
        <v>87</v>
      </c>
      <c r="C13" s="1279">
        <f>(SUMIFS('Alumina - Q&amp;V'!$D$8:$D$250,'Alumina - Q&amp;V'!$H$8:$H$250,LEFT('FY Q&amp;V 2003-04 to Now'!C$7:D$7,4),'Alumina - Q&amp;V'!$I$8:$I$250,3)+
SUMIFS('Alumina - Q&amp;V'!$D$8:$D$250,'Alumina - Q&amp;V'!$H$8:$H$250,LEFT('FY Q&amp;V 2003-04 to Now'!C$7:D$7,4),'Alumina - Q&amp;V'!$I$8:$I$250,4)+
SUMIFS('Alumina - Q&amp;V'!$D$8:$D$250,'Alumina - Q&amp;V'!$H$8:$H$250,CONCATENATE("20",RIGHT('FY Q&amp;V 2003-04 to Now'!C$7:D$7,2)),'Alumina - Q&amp;V'!$I$8:$I$250,1)+
SUMIFS('Alumina - Q&amp;V'!$D$8:$D$250,'Alumina - Q&amp;V'!$H$8:$H$250,CONCATENATE("20",RIGHT('FY Q&amp;V 2003-04 to Now'!C$7:D$7,2)),'Alumina - Q&amp;V'!$I$8:$I$250,2))*1000000</f>
        <v>0</v>
      </c>
      <c r="D13" s="1279">
        <f>(SUMIFS('Alumina - Q&amp;V'!$E$8:$E$250,'Alumina - Q&amp;V'!$H$8:$H$250,LEFT('FY Q&amp;V 2003-04 to Now'!C$7,4),'Alumina - Q&amp;V'!$I$8:$I$250,3)+
SUMIFS('Alumina - Q&amp;V'!$E$8:$E$250,'Alumina - Q&amp;V'!$H$8:$H$250,LEFT('FY Q&amp;V 2003-04 to Now'!C$7,4),'Alumina - Q&amp;V'!$I$8:$I$250,4)+
SUMIFS('Alumina - Q&amp;V'!$E$8:$E$250,'Alumina - Q&amp;V'!$H$8:$H$250,CONCATENATE("20",RIGHT('FY Q&amp;V 2003-04 to Now'!C$7,2)),'Alumina - Q&amp;V'!$I$8:$I$250,1)+
SUMIFS('Alumina - Q&amp;V'!$E$8:$E$250,'Alumina - Q&amp;V'!$H$8:$H$250,CONCATENATE("20",RIGHT('FY Q&amp;V 2003-04 to Now'!C$7,2)),'Alumina - Q&amp;V'!$I$8:$I$250,2))*1000000</f>
        <v>0</v>
      </c>
      <c r="E13" s="1279">
        <f>(SUMIFS('Alumina - Q&amp;V'!$D$8:$D$250,'Alumina - Q&amp;V'!$H$8:$H$250,LEFT('FY Q&amp;V 2003-04 to Now'!E$7:F$7,4),'Alumina - Q&amp;V'!$I$8:$I$250,3)+
SUMIFS('Alumina - Q&amp;V'!$D$8:$D$250,'Alumina - Q&amp;V'!$H$8:$H$250,LEFT('FY Q&amp;V 2003-04 to Now'!E$7:F$7,4),'Alumina - Q&amp;V'!$I$8:$I$250,4)+
SUMIFS('Alumina - Q&amp;V'!$D$8:$D$250,'Alumina - Q&amp;V'!$H$8:$H$250,CONCATENATE("20",RIGHT('FY Q&amp;V 2003-04 to Now'!E$7:F$7,2)),'Alumina - Q&amp;V'!$I$8:$I$250,1)+
SUMIFS('Alumina - Q&amp;V'!$D$8:$D$250,'Alumina - Q&amp;V'!$H$8:$H$250,CONCATENATE("20",RIGHT('FY Q&amp;V 2003-04 to Now'!E$7:F$7,2)),'Alumina - Q&amp;V'!$I$8:$I$250,2))*1000000</f>
        <v>0</v>
      </c>
      <c r="F13" s="1279">
        <f>(SUMIFS('Alumina - Q&amp;V'!$E$8:$E$250,'Alumina - Q&amp;V'!$H$8:$H$250,LEFT('FY Q&amp;V 2003-04 to Now'!E$7,4),'Alumina - Q&amp;V'!$I$8:$I$250,3)+
SUMIFS('Alumina - Q&amp;V'!$E$8:$E$250,'Alumina - Q&amp;V'!$H$8:$H$250,LEFT('FY Q&amp;V 2003-04 to Now'!E$7,4),'Alumina - Q&amp;V'!$I$8:$I$250,4)+
SUMIFS('Alumina - Q&amp;V'!$E$8:$E$250,'Alumina - Q&amp;V'!$H$8:$H$250,CONCATENATE("20",RIGHT('FY Q&amp;V 2003-04 to Now'!E$7,2)),'Alumina - Q&amp;V'!$I$8:$I$250,1)+
SUMIFS('Alumina - Q&amp;V'!$E$8:$E$250,'Alumina - Q&amp;V'!$H$8:$H$250,CONCATENATE("20",RIGHT('FY Q&amp;V 2003-04 to Now'!E$7,2)),'Alumina - Q&amp;V'!$I$8:$I$250,2))*1000000</f>
        <v>0</v>
      </c>
      <c r="G13" s="1279">
        <f>(SUMIFS('Alumina - Q&amp;V'!$D$8:$D$250,'Alumina - Q&amp;V'!$H$8:$H$250,LEFT('FY Q&amp;V 2003-04 to Now'!G$7:H$7,4),'Alumina - Q&amp;V'!$I$8:$I$250,3)+
SUMIFS('Alumina - Q&amp;V'!$D$8:$D$250,'Alumina - Q&amp;V'!$H$8:$H$250,LEFT('FY Q&amp;V 2003-04 to Now'!G$7:H$7,4),'Alumina - Q&amp;V'!$I$8:$I$250,4)+
SUMIFS('Alumina - Q&amp;V'!$D$8:$D$250,'Alumina - Q&amp;V'!$H$8:$H$250,CONCATENATE("20",RIGHT('FY Q&amp;V 2003-04 to Now'!G$7:H$7,2)),'Alumina - Q&amp;V'!$I$8:$I$250,1)+
SUMIFS('Alumina - Q&amp;V'!$D$8:$D$250,'Alumina - Q&amp;V'!$H$8:$H$250,CONCATENATE("20",RIGHT('FY Q&amp;V 2003-04 to Now'!G$7:H$7,2)),'Alumina - Q&amp;V'!$I$8:$I$250,2))*1000000</f>
        <v>0</v>
      </c>
      <c r="H13" s="1279">
        <f>(SUMIFS('Alumina - Q&amp;V'!$E$8:$E$250,'Alumina - Q&amp;V'!$H$8:$H$250,LEFT('FY Q&amp;V 2003-04 to Now'!G$7,4),'Alumina - Q&amp;V'!$I$8:$I$250,3)+
SUMIFS('Alumina - Q&amp;V'!$E$8:$E$250,'Alumina - Q&amp;V'!$H$8:$H$250,LEFT('FY Q&amp;V 2003-04 to Now'!G$7,4),'Alumina - Q&amp;V'!$I$8:$I$250,4)+
SUMIFS('Alumina - Q&amp;V'!$E$8:$E$250,'Alumina - Q&amp;V'!$H$8:$H$250,CONCATENATE("20",RIGHT('FY Q&amp;V 2003-04 to Now'!G$7,2)),'Alumina - Q&amp;V'!$I$8:$I$250,1)+
SUMIFS('Alumina - Q&amp;V'!$E$8:$E$250,'Alumina - Q&amp;V'!$H$8:$H$250,CONCATENATE("20",RIGHT('FY Q&amp;V 2003-04 to Now'!G$7,2)),'Alumina - Q&amp;V'!$I$8:$I$250,2))*1000000</f>
        <v>0</v>
      </c>
      <c r="I13" s="1279">
        <f>(SUMIFS('Alumina - Q&amp;V'!$D$8:$D$250,'Alumina - Q&amp;V'!$H$8:$H$250,LEFT('FY Q&amp;V 2003-04 to Now'!I$7:J$7,4),'Alumina - Q&amp;V'!$I$8:$I$250,3)+
SUMIFS('Alumina - Q&amp;V'!$D$8:$D$250,'Alumina - Q&amp;V'!$H$8:$H$250,LEFT('FY Q&amp;V 2003-04 to Now'!I$7:J$7,4),'Alumina - Q&amp;V'!$I$8:$I$250,4)+
SUMIFS('Alumina - Q&amp;V'!$D$8:$D$250,'Alumina - Q&amp;V'!$H$8:$H$250,CONCATENATE("20",RIGHT('FY Q&amp;V 2003-04 to Now'!I$7:J$7,2)),'Alumina - Q&amp;V'!$I$8:$I$250,1)+
SUMIFS('Alumina - Q&amp;V'!$D$8:$D$250,'Alumina - Q&amp;V'!$H$8:$H$250,CONCATENATE("20",RIGHT('FY Q&amp;V 2003-04 to Now'!I$7:J$7,2)),'Alumina - Q&amp;V'!$I$8:$I$250,2))*1000000</f>
        <v>0</v>
      </c>
      <c r="J13" s="1279">
        <f>(SUMIFS('Alumina - Q&amp;V'!$E$8:$E$250,'Alumina - Q&amp;V'!$H$8:$H$250,LEFT('FY Q&amp;V 2003-04 to Now'!I$7,4),'Alumina - Q&amp;V'!$I$8:$I$250,3)+
SUMIFS('Alumina - Q&amp;V'!$E$8:$E$250,'Alumina - Q&amp;V'!$H$8:$H$250,LEFT('FY Q&amp;V 2003-04 to Now'!I$7,4),'Alumina - Q&amp;V'!$I$8:$I$250,4)+
SUMIFS('Alumina - Q&amp;V'!$E$8:$E$250,'Alumina - Q&amp;V'!$H$8:$H$250,CONCATENATE("20",RIGHT('FY Q&amp;V 2003-04 to Now'!I$7,2)),'Alumina - Q&amp;V'!$I$8:$I$250,1)+
SUMIFS('Alumina - Q&amp;V'!$E$8:$E$250,'Alumina - Q&amp;V'!$H$8:$H$250,CONCATENATE("20",RIGHT('FY Q&amp;V 2003-04 to Now'!I$7,2)),'Alumina - Q&amp;V'!$I$8:$I$250,2))*1000000</f>
        <v>0</v>
      </c>
      <c r="K13" s="1279">
        <f>(SUMIFS('Alumina - Q&amp;V'!$D$8:$D$250,'Alumina - Q&amp;V'!$H$8:$H$250,LEFT('FY Q&amp;V 2003-04 to Now'!K$7:L$7,4),'Alumina - Q&amp;V'!$I$8:$I$250,3)+
SUMIFS('Alumina - Q&amp;V'!$D$8:$D$250,'Alumina - Q&amp;V'!$H$8:$H$250,LEFT('FY Q&amp;V 2003-04 to Now'!K$7:L$7,4),'Alumina - Q&amp;V'!$I$8:$I$250,4)+
SUMIFS('Alumina - Q&amp;V'!$D$8:$D$250,'Alumina - Q&amp;V'!$H$8:$H$250,CONCATENATE("20",RIGHT('FY Q&amp;V 2003-04 to Now'!K$7:L$7,2)),'Alumina - Q&amp;V'!$I$8:$I$250,1)+
SUMIFS('Alumina - Q&amp;V'!$D$8:$D$250,'Alumina - Q&amp;V'!$H$8:$H$250,CONCATENATE("20",RIGHT('FY Q&amp;V 2003-04 to Now'!K$7:L$7,2)),'Alumina - Q&amp;V'!$I$8:$I$250,2))*1000000</f>
        <v>0</v>
      </c>
      <c r="L13" s="1279">
        <f>(SUMIFS('Alumina - Q&amp;V'!$E$8:$E$250,'Alumina - Q&amp;V'!$H$8:$H$250,LEFT('FY Q&amp;V 2003-04 to Now'!K$7,4),'Alumina - Q&amp;V'!$I$8:$I$250,3)+
SUMIFS('Alumina - Q&amp;V'!$E$8:$E$250,'Alumina - Q&amp;V'!$H$8:$H$250,LEFT('FY Q&amp;V 2003-04 to Now'!K$7,4),'Alumina - Q&amp;V'!$I$8:$I$250,4)+
SUMIFS('Alumina - Q&amp;V'!$E$8:$E$250,'Alumina - Q&amp;V'!$H$8:$H$250,CONCATENATE("20",RIGHT('FY Q&amp;V 2003-04 to Now'!K$7,2)),'Alumina - Q&amp;V'!$I$8:$I$250,1)+
SUMIFS('Alumina - Q&amp;V'!$E$8:$E$250,'Alumina - Q&amp;V'!$H$8:$H$250,CONCATENATE("20",RIGHT('FY Q&amp;V 2003-04 to Now'!K$7,2)),'Alumina - Q&amp;V'!$I$8:$I$250,2))*1000000</f>
        <v>0</v>
      </c>
      <c r="M13" s="1279">
        <f>(SUMIFS('Alumina - Q&amp;V'!$D$8:$D$250,'Alumina - Q&amp;V'!$H$8:$H$250,LEFT('FY Q&amp;V 2003-04 to Now'!M$7:N$7,4),'Alumina - Q&amp;V'!$I$8:$I$250,3)+
SUMIFS('Alumina - Q&amp;V'!$D$8:$D$250,'Alumina - Q&amp;V'!$H$8:$H$250,LEFT('FY Q&amp;V 2003-04 to Now'!M$7:N$7,4),'Alumina - Q&amp;V'!$I$8:$I$250,4)+
SUMIFS('Alumina - Q&amp;V'!$D$8:$D$250,'Alumina - Q&amp;V'!$H$8:$H$250,CONCATENATE("20",RIGHT('FY Q&amp;V 2003-04 to Now'!M$7:N$7,2)),'Alumina - Q&amp;V'!$I$8:$I$250,1)+
SUMIFS('Alumina - Q&amp;V'!$D$8:$D$250,'Alumina - Q&amp;V'!$H$8:$H$250,CONCATENATE("20",RIGHT('FY Q&amp;V 2003-04 to Now'!M$7:N$7,2)),'Alumina - Q&amp;V'!$I$8:$I$250,2))*1000000</f>
        <v>0</v>
      </c>
      <c r="N13" s="1279">
        <f>(SUMIFS('Alumina - Q&amp;V'!$E$8:$E$250,'Alumina - Q&amp;V'!$H$8:$H$250,LEFT('FY Q&amp;V 2003-04 to Now'!M$7,4),'Alumina - Q&amp;V'!$I$8:$I$250,3)+
SUMIFS('Alumina - Q&amp;V'!$E$8:$E$250,'Alumina - Q&amp;V'!$H$8:$H$250,LEFT('FY Q&amp;V 2003-04 to Now'!M$7,4),'Alumina - Q&amp;V'!$I$8:$I$250,4)+
SUMIFS('Alumina - Q&amp;V'!$E$8:$E$250,'Alumina - Q&amp;V'!$H$8:$H$250,CONCATENATE("20",RIGHT('FY Q&amp;V 2003-04 to Now'!M$7,2)),'Alumina - Q&amp;V'!$I$8:$I$250,1)+
SUMIFS('Alumina - Q&amp;V'!$E$8:$E$250,'Alumina - Q&amp;V'!$H$8:$H$250,CONCATENATE("20",RIGHT('FY Q&amp;V 2003-04 to Now'!M$7,2)),'Alumina - Q&amp;V'!$I$8:$I$250,2))*1000000</f>
        <v>0</v>
      </c>
      <c r="O13" s="1279">
        <f>(SUMIFS('Alumina - Q&amp;V'!$D$8:$D$250,'Alumina - Q&amp;V'!$H$8:$H$250,LEFT('FY Q&amp;V 2003-04 to Now'!O$7:P$7,4),'Alumina - Q&amp;V'!$I$8:$I$250,3)+
SUMIFS('Alumina - Q&amp;V'!$D$8:$D$250,'Alumina - Q&amp;V'!$H$8:$H$250,LEFT('FY Q&amp;V 2003-04 to Now'!O$7:P$7,4),'Alumina - Q&amp;V'!$I$8:$I$250,4)+
SUMIFS('Alumina - Q&amp;V'!$D$8:$D$250,'Alumina - Q&amp;V'!$H$8:$H$250,CONCATENATE("20",RIGHT('FY Q&amp;V 2003-04 to Now'!O$7:P$7,2)),'Alumina - Q&amp;V'!$I$8:$I$250,1)+
SUMIFS('Alumina - Q&amp;V'!$D$8:$D$250,'Alumina - Q&amp;V'!$H$8:$H$250,CONCATENATE("20",RIGHT('FY Q&amp;V 2003-04 to Now'!O$7:P$7,2)),'Alumina - Q&amp;V'!$I$8:$I$250,2))*1000000</f>
        <v>0</v>
      </c>
      <c r="P13" s="1279">
        <f>(SUMIFS('Alumina - Q&amp;V'!$E$8:$E$250,'Alumina - Q&amp;V'!$H$8:$H$250,LEFT('FY Q&amp;V 2003-04 to Now'!O$7,4),'Alumina - Q&amp;V'!$I$8:$I$250,3)+
SUMIFS('Alumina - Q&amp;V'!$E$8:$E$250,'Alumina - Q&amp;V'!$H$8:$H$250,LEFT('FY Q&amp;V 2003-04 to Now'!O$7,4),'Alumina - Q&amp;V'!$I$8:$I$250,4)+
SUMIFS('Alumina - Q&amp;V'!$E$8:$E$250,'Alumina - Q&amp;V'!$H$8:$H$250,CONCATENATE("20",RIGHT('FY Q&amp;V 2003-04 to Now'!O$7,2)),'Alumina - Q&amp;V'!$I$8:$I$250,1)+
SUMIFS('Alumina - Q&amp;V'!$E$8:$E$250,'Alumina - Q&amp;V'!$H$8:$H$250,CONCATENATE("20",RIGHT('FY Q&amp;V 2003-04 to Now'!O$7,2)),'Alumina - Q&amp;V'!$I$8:$I$250,2))*1000000</f>
        <v>0</v>
      </c>
      <c r="Q13" s="1279">
        <f>(SUMIFS('Alumina - Q&amp;V'!$D$8:$D$250,'Alumina - Q&amp;V'!$H$8:$H$250,LEFT('FY Q&amp;V 2003-04 to Now'!Q$7:R$7,4),'Alumina - Q&amp;V'!$I$8:$I$250,3)+
SUMIFS('Alumina - Q&amp;V'!$D$8:$D$250,'Alumina - Q&amp;V'!$H$8:$H$250,LEFT('FY Q&amp;V 2003-04 to Now'!Q$7:R$7,4),'Alumina - Q&amp;V'!$I$8:$I$250,4)+
SUMIFS('Alumina - Q&amp;V'!$D$8:$D$250,'Alumina - Q&amp;V'!$H$8:$H$250,CONCATENATE("20",RIGHT('FY Q&amp;V 2003-04 to Now'!Q$7:R$7,2)),'Alumina - Q&amp;V'!$I$8:$I$250,1)+
SUMIFS('Alumina - Q&amp;V'!$D$8:$D$250,'Alumina - Q&amp;V'!$H$8:$H$250,CONCATENATE("20",RIGHT('FY Q&amp;V 2003-04 to Now'!Q$7:R$7,2)),'Alumina - Q&amp;V'!$I$8:$I$250,2))*1000000</f>
        <v>0</v>
      </c>
      <c r="R13" s="1279">
        <f>(SUMIFS('Alumina - Q&amp;V'!$E$8:$E$250,'Alumina - Q&amp;V'!$H$8:$H$250,LEFT('FY Q&amp;V 2003-04 to Now'!Q$7,4),'Alumina - Q&amp;V'!$I$8:$I$250,3)+
SUMIFS('Alumina - Q&amp;V'!$E$8:$E$250,'Alumina - Q&amp;V'!$H$8:$H$250,LEFT('FY Q&amp;V 2003-04 to Now'!Q$7,4),'Alumina - Q&amp;V'!$I$8:$I$250,4)+
SUMIFS('Alumina - Q&amp;V'!$E$8:$E$250,'Alumina - Q&amp;V'!$H$8:$H$250,CONCATENATE("20",RIGHT('FY Q&amp;V 2003-04 to Now'!Q$7,2)),'Alumina - Q&amp;V'!$I$8:$I$250,1)+
SUMIFS('Alumina - Q&amp;V'!$E$8:$E$250,'Alumina - Q&amp;V'!$H$8:$H$250,CONCATENATE("20",RIGHT('FY Q&amp;V 2003-04 to Now'!Q$7,2)),'Alumina - Q&amp;V'!$I$8:$I$250,2))*1000000</f>
        <v>0</v>
      </c>
      <c r="S13" s="1279">
        <f>(SUMIFS('Alumina - Q&amp;V'!$D$8:$D$250,'Alumina - Q&amp;V'!$H$8:$H$250,LEFT('FY Q&amp;V 2003-04 to Now'!S$7:T$7,4),'Alumina - Q&amp;V'!$I$8:$I$250,3)+
SUMIFS('Alumina - Q&amp;V'!$D$8:$D$250,'Alumina - Q&amp;V'!$H$8:$H$250,LEFT('FY Q&amp;V 2003-04 to Now'!S$7:T$7,4),'Alumina - Q&amp;V'!$I$8:$I$250,4)+
SUMIFS('Alumina - Q&amp;V'!$D$8:$D$250,'Alumina - Q&amp;V'!$H$8:$H$250,CONCATENATE("20",RIGHT('FY Q&amp;V 2003-04 to Now'!S$7:T$7,2)),'Alumina - Q&amp;V'!$I$8:$I$250,1)+
SUMIFS('Alumina - Q&amp;V'!$D$8:$D$250,'Alumina - Q&amp;V'!$H$8:$H$250,CONCATENATE("20",RIGHT('FY Q&amp;V 2003-04 to Now'!S$7:T$7,2)),'Alumina - Q&amp;V'!$I$8:$I$250,2))*1000000</f>
        <v>0</v>
      </c>
      <c r="T13" s="1279">
        <f>(SUMIFS('Alumina - Q&amp;V'!$E$8:$E$250,'Alumina - Q&amp;V'!$H$8:$H$250,LEFT('FY Q&amp;V 2003-04 to Now'!S$7,4),'Alumina - Q&amp;V'!$I$8:$I$250,3)+
SUMIFS('Alumina - Q&amp;V'!$E$8:$E$250,'Alumina - Q&amp;V'!$H$8:$H$250,LEFT('FY Q&amp;V 2003-04 to Now'!S$7,4),'Alumina - Q&amp;V'!$I$8:$I$250,4)+
SUMIFS('Alumina - Q&amp;V'!$E$8:$E$250,'Alumina - Q&amp;V'!$H$8:$H$250,CONCATENATE("20",RIGHT('FY Q&amp;V 2003-04 to Now'!S$7,2)),'Alumina - Q&amp;V'!$I$8:$I$250,1)+
SUMIFS('Alumina - Q&amp;V'!$E$8:$E$250,'Alumina - Q&amp;V'!$H$8:$H$250,CONCATENATE("20",RIGHT('FY Q&amp;V 2003-04 to Now'!S$7,2)),'Alumina - Q&amp;V'!$I$8:$I$250,2))*1000000</f>
        <v>0</v>
      </c>
      <c r="U13" s="1279">
        <f>(SUMIFS('Alumina - Q&amp;V'!$D$8:$D$250,'Alumina - Q&amp;V'!$H$8:$H$250,LEFT('FY Q&amp;V 2003-04 to Now'!U$7:V$7,4),'Alumina - Q&amp;V'!$I$8:$I$250,3)+
SUMIFS('Alumina - Q&amp;V'!$D$8:$D$250,'Alumina - Q&amp;V'!$H$8:$H$250,LEFT('FY Q&amp;V 2003-04 to Now'!U$7:V$7,4),'Alumina - Q&amp;V'!$I$8:$I$250,4)+
SUMIFS('Alumina - Q&amp;V'!$D$8:$D$250,'Alumina - Q&amp;V'!$H$8:$H$250,CONCATENATE("20",RIGHT('FY Q&amp;V 2003-04 to Now'!U$7:V$7,2)),'Alumina - Q&amp;V'!$I$8:$I$250,1)+
SUMIFS('Alumina - Q&amp;V'!$D$8:$D$250,'Alumina - Q&amp;V'!$H$8:$H$250,CONCATENATE("20",RIGHT('FY Q&amp;V 2003-04 to Now'!U$7:V$7,2)),'Alumina - Q&amp;V'!$I$8:$I$250,2))*1000000</f>
        <v>0</v>
      </c>
      <c r="V13" s="1279">
        <f>(SUMIFS('Alumina - Q&amp;V'!$E$8:$E$250,'Alumina - Q&amp;V'!$H$8:$H$250,LEFT('FY Q&amp;V 2003-04 to Now'!U$7,4),'Alumina - Q&amp;V'!$I$8:$I$250,3)+
SUMIFS('Alumina - Q&amp;V'!$E$8:$E$250,'Alumina - Q&amp;V'!$H$8:$H$250,LEFT('FY Q&amp;V 2003-04 to Now'!U$7,4),'Alumina - Q&amp;V'!$I$8:$I$250,4)+
SUMIFS('Alumina - Q&amp;V'!$E$8:$E$250,'Alumina - Q&amp;V'!$H$8:$H$250,CONCATENATE("20",RIGHT('FY Q&amp;V 2003-04 to Now'!U$7,2)),'Alumina - Q&amp;V'!$I$8:$I$250,1)+
SUMIFS('Alumina - Q&amp;V'!$E$8:$E$250,'Alumina - Q&amp;V'!$H$8:$H$250,CONCATENATE("20",RIGHT('FY Q&amp;V 2003-04 to Now'!U$7,2)),'Alumina - Q&amp;V'!$I$8:$I$250,2))*1000000</f>
        <v>0</v>
      </c>
      <c r="W13" s="1279">
        <f>(SUMIFS('Alumina - Q&amp;V'!$D$8:$D$250,'Alumina - Q&amp;V'!$H$8:$H$250,LEFT('FY Q&amp;V 2003-04 to Now'!W$7:X$7,4),'Alumina - Q&amp;V'!$I$8:$I$250,3)+
SUMIFS('Alumina - Q&amp;V'!$D$8:$D$250,'Alumina - Q&amp;V'!$H$8:$H$250,LEFT('FY Q&amp;V 2003-04 to Now'!W$7:X$7,4),'Alumina - Q&amp;V'!$I$8:$I$250,4)+
SUMIFS('Alumina - Q&amp;V'!$D$8:$D$250,'Alumina - Q&amp;V'!$H$8:$H$250,CONCATENATE("20",RIGHT('FY Q&amp;V 2003-04 to Now'!W$7:X$7,2)),'Alumina - Q&amp;V'!$I$8:$I$250,1)+
SUMIFS('Alumina - Q&amp;V'!$D$8:$D$250,'Alumina - Q&amp;V'!$H$8:$H$250,CONCATENATE("20",RIGHT('FY Q&amp;V 2003-04 to Now'!W$7:X$7,2)),'Alumina - Q&amp;V'!$I$8:$I$250,2))*1000000</f>
        <v>0</v>
      </c>
      <c r="X13" s="1279">
        <f>(SUMIFS('Alumina - Q&amp;V'!$E$8:$E$250,'Alumina - Q&amp;V'!$H$8:$H$250,LEFT('FY Q&amp;V 2003-04 to Now'!W$7,4),'Alumina - Q&amp;V'!$I$8:$I$250,3)+
SUMIFS('Alumina - Q&amp;V'!$E$8:$E$250,'Alumina - Q&amp;V'!$H$8:$H$250,LEFT('FY Q&amp;V 2003-04 to Now'!W$7,4),'Alumina - Q&amp;V'!$I$8:$I$250,4)+
SUMIFS('Alumina - Q&amp;V'!$E$8:$E$250,'Alumina - Q&amp;V'!$H$8:$H$250,CONCATENATE("20",RIGHT('FY Q&amp;V 2003-04 to Now'!W$7,2)),'Alumina - Q&amp;V'!$I$8:$I$250,1)+
SUMIFS('Alumina - Q&amp;V'!$E$8:$E$250,'Alumina - Q&amp;V'!$H$8:$H$250,CONCATENATE("20",RIGHT('FY Q&amp;V 2003-04 to Now'!W$7,2)),'Alumina - Q&amp;V'!$I$8:$I$250,2))*1000000</f>
        <v>0</v>
      </c>
      <c r="Y13" s="1279">
        <f>(SUMIFS('Alumina - Q&amp;V'!$D$8:$D$250,'Alumina - Q&amp;V'!$H$8:$H$250,LEFT('FY Q&amp;V 2003-04 to Now'!Y$7:Z$7,4),'Alumina - Q&amp;V'!$I$8:$I$250,3)+
SUMIFS('Alumina - Q&amp;V'!$D$8:$D$250,'Alumina - Q&amp;V'!$H$8:$H$250,LEFT('FY Q&amp;V 2003-04 to Now'!Y$7:Z$7,4),'Alumina - Q&amp;V'!$I$8:$I$250,4)+
SUMIFS('Alumina - Q&amp;V'!$D$8:$D$250,'Alumina - Q&amp;V'!$H$8:$H$250,CONCATENATE("20",RIGHT('FY Q&amp;V 2003-04 to Now'!Y$7:Z$7,2)),'Alumina - Q&amp;V'!$I$8:$I$250,1)+
SUMIFS('Alumina - Q&amp;V'!$D$8:$D$250,'Alumina - Q&amp;V'!$H$8:$H$250,CONCATENATE("20",RIGHT('FY Q&amp;V 2003-04 to Now'!Y$7:Z$7,2)),'Alumina - Q&amp;V'!$I$8:$I$250,2))*1000000</f>
        <v>0</v>
      </c>
      <c r="Z13" s="1279">
        <f>(SUMIFS('Alumina - Q&amp;V'!$E$8:$E$250,'Alumina - Q&amp;V'!$H$8:$H$250,LEFT('FY Q&amp;V 2003-04 to Now'!Y$7,4),'Alumina - Q&amp;V'!$I$8:$I$250,3)+
SUMIFS('Alumina - Q&amp;V'!$E$8:$E$250,'Alumina - Q&amp;V'!$H$8:$H$250,LEFT('FY Q&amp;V 2003-04 to Now'!Y$7,4),'Alumina - Q&amp;V'!$I$8:$I$250,4)+
SUMIFS('Alumina - Q&amp;V'!$E$8:$E$250,'Alumina - Q&amp;V'!$H$8:$H$250,CONCATENATE("20",RIGHT('FY Q&amp;V 2003-04 to Now'!Y$7,2)),'Alumina - Q&amp;V'!$I$8:$I$250,1)+
SUMIFS('Alumina - Q&amp;V'!$E$8:$E$250,'Alumina - Q&amp;V'!$H$8:$H$250,CONCATENATE("20",RIGHT('FY Q&amp;V 2003-04 to Now'!Y$7,2)),'Alumina - Q&amp;V'!$I$8:$I$250,2))*1000000</f>
        <v>0</v>
      </c>
      <c r="AA13" s="1279">
        <f>(SUMIFS('Alumina - Q&amp;V'!$D$8:$D$250,'Alumina - Q&amp;V'!$H$8:$H$250,LEFT('FY Q&amp;V 2003-04 to Now'!AA$7:AB$7,4),'Alumina - Q&amp;V'!$I$8:$I$250,3)+
SUMIFS('Alumina - Q&amp;V'!$D$8:$D$250,'Alumina - Q&amp;V'!$H$8:$H$250,LEFT('FY Q&amp;V 2003-04 to Now'!AA$7:AB$7,4),'Alumina - Q&amp;V'!$I$8:$I$250,4)+
SUMIFS('Alumina - Q&amp;V'!$D$8:$D$250,'Alumina - Q&amp;V'!$H$8:$H$250,CONCATENATE("20",RIGHT('FY Q&amp;V 2003-04 to Now'!AA$7:AB$7,2)),'Alumina - Q&amp;V'!$I$8:$I$250,1)+
SUMIFS('Alumina - Q&amp;V'!$D$8:$D$250,'Alumina - Q&amp;V'!$H$8:$H$250,CONCATENATE("20",RIGHT('FY Q&amp;V 2003-04 to Now'!AA$7:AB$7,2)),'Alumina - Q&amp;V'!$I$8:$I$250,2))*1000000</f>
        <v>47703</v>
      </c>
      <c r="AB13" s="1279">
        <f>(SUMIFS('Alumina - Q&amp;V'!$E$8:$E$250,'Alumina - Q&amp;V'!$H$8:$H$250,LEFT('FY Q&amp;V 2003-04 to Now'!AA$7,4),'Alumina - Q&amp;V'!$I$8:$I$250,3)+
SUMIFS('Alumina - Q&amp;V'!$E$8:$E$250,'Alumina - Q&amp;V'!$H$8:$H$250,LEFT('FY Q&amp;V 2003-04 to Now'!AA$7,4),'Alumina - Q&amp;V'!$I$8:$I$250,4)+
SUMIFS('Alumina - Q&amp;V'!$E$8:$E$250,'Alumina - Q&amp;V'!$H$8:$H$250,CONCATENATE("20",RIGHT('FY Q&amp;V 2003-04 to Now'!AA$7,2)),'Alumina - Q&amp;V'!$I$8:$I$250,1)+
SUMIFS('Alumina - Q&amp;V'!$E$8:$E$250,'Alumina - Q&amp;V'!$H$8:$H$250,CONCATENATE("20",RIGHT('FY Q&amp;V 2003-04 to Now'!AA$7,2)),'Alumina - Q&amp;V'!$I$8:$I$250,2))*1000000</f>
        <v>1952600</v>
      </c>
      <c r="AC13" s="1279">
        <f>(SUMIFS('Alumina - Q&amp;V'!$D$8:$D$250,'Alumina - Q&amp;V'!$H$8:$H$250,LEFT('FY Q&amp;V 2003-04 to Now'!AC$7:AD$7,4),'Alumina - Q&amp;V'!$I$8:$I$250,3)+
SUMIFS('Alumina - Q&amp;V'!$D$8:$D$250,'Alumina - Q&amp;V'!$H$8:$H$250,LEFT('FY Q&amp;V 2003-04 to Now'!AC$7:AD$7,4),'Alumina - Q&amp;V'!$I$8:$I$250,4)+
SUMIFS('Alumina - Q&amp;V'!$D$8:$D$250,'Alumina - Q&amp;V'!$H$8:$H$250,CONCATENATE("20",RIGHT('FY Q&amp;V 2003-04 to Now'!AC$7:AD$7,2)),'Alumina - Q&amp;V'!$I$8:$I$250,1)+
SUMIFS('Alumina - Q&amp;V'!$D$8:$D$250,'Alumina - Q&amp;V'!$H$8:$H$250,CONCATENATE("20",RIGHT('FY Q&amp;V 2003-04 to Now'!AC$7:AD$7,2)),'Alumina - Q&amp;V'!$I$8:$I$250,2))*1000000</f>
        <v>310340.53000000003</v>
      </c>
      <c r="AD13" s="1279">
        <f>(SUMIFS('Alumina - Q&amp;V'!$E$8:$E$250,'Alumina - Q&amp;V'!$H$8:$H$250,LEFT('FY Q&amp;V 2003-04 to Now'!AC$7,4),'Alumina - Q&amp;V'!$I$8:$I$250,3)+
SUMIFS('Alumina - Q&amp;V'!$E$8:$E$250,'Alumina - Q&amp;V'!$H$8:$H$250,LEFT('FY Q&amp;V 2003-04 to Now'!AC$7,4),'Alumina - Q&amp;V'!$I$8:$I$250,4)+
SUMIFS('Alumina - Q&amp;V'!$E$8:$E$250,'Alumina - Q&amp;V'!$H$8:$H$250,CONCATENATE("20",RIGHT('FY Q&amp;V 2003-04 to Now'!AC$7,2)),'Alumina - Q&amp;V'!$I$8:$I$250,1)+
SUMIFS('Alumina - Q&amp;V'!$E$8:$E$250,'Alumina - Q&amp;V'!$H$8:$H$250,CONCATENATE("20",RIGHT('FY Q&amp;V 2003-04 to Now'!AC$7,2)),'Alumina - Q&amp;V'!$I$8:$I$250,2))*1000000</f>
        <v>14563469</v>
      </c>
      <c r="AE13" s="1291">
        <f>(SUMIFS('Alumina - Q&amp;V'!$D$8:$D$250,'Alumina - Q&amp;V'!$H$8:$H$250,LEFT('FY Q&amp;V 2003-04 to Now'!AE$7:AF$7,4),'Alumina - Q&amp;V'!$I$8:$I$250,3)+
SUMIFS('Alumina - Q&amp;V'!$D$8:$D$250,'Alumina - Q&amp;V'!$H$8:$H$250,LEFT('FY Q&amp;V 2003-04 to Now'!AE$7:AF$7,4),'Alumina - Q&amp;V'!$I$8:$I$250,4)+
SUMIFS('Alumina - Q&amp;V'!$D$8:$D$250,'Alumina - Q&amp;V'!$H$8:$H$250,CONCATENATE("20",RIGHT('FY Q&amp;V 2003-04 to Now'!AE$7:AF$7,2)),'Alumina - Q&amp;V'!$I$8:$I$250,1)+
SUMIFS('Alumina - Q&amp;V'!$D$8:$D$250,'Alumina - Q&amp;V'!$H$8:$H$250,CONCATENATE("20",RIGHT('FY Q&amp;V 2003-04 to Now'!AE$7:AF$7,2)),'Alumina - Q&amp;V'!$I$8:$I$250,2))*1000000</f>
        <v>1117322.69</v>
      </c>
      <c r="AF13" s="1279">
        <f>(SUMIFS('Alumina - Q&amp;V'!$E$8:$E$250,'Alumina - Q&amp;V'!$H$8:$H$250,LEFT('FY Q&amp;V 2003-04 to Now'!AE$7,4),'Alumina - Q&amp;V'!$I$8:$I$250,3)+
SUMIFS('Alumina - Q&amp;V'!$E$8:$E$250,'Alumina - Q&amp;V'!$H$8:$H$250,LEFT('FY Q&amp;V 2003-04 to Now'!AE$7,4),'Alumina - Q&amp;V'!$I$8:$I$250,4)+
SUMIFS('Alumina - Q&amp;V'!$E$8:$E$250,'Alumina - Q&amp;V'!$H$8:$H$250,CONCATENATE("20",RIGHT('FY Q&amp;V 2003-04 to Now'!AE$7,2)),'Alumina - Q&amp;V'!$I$8:$I$250,1)+
SUMIFS('Alumina - Q&amp;V'!$E$8:$E$250,'Alumina - Q&amp;V'!$H$8:$H$250,CONCATENATE("20",RIGHT('FY Q&amp;V 2003-04 to Now'!AE$7,2)),'Alumina - Q&amp;V'!$I$8:$I$250,2))*1000000</f>
        <v>46704951</v>
      </c>
      <c r="AG13" s="1302">
        <f>(SUMIFS('Alumina - Q&amp;V'!$D$8:$D$250,'Alumina - Q&amp;V'!$H$8:$H$250,LEFT('FY Q&amp;V 2003-04 to Now'!AG$7:AH$7,4),'Alumina - Q&amp;V'!$I$8:$I$250,3)+
SUMIFS('Alumina - Q&amp;V'!$D$8:$D$250,'Alumina - Q&amp;V'!$H$8:$H$250,LEFT('FY Q&amp;V 2003-04 to Now'!AG$7:AH$7,4),'Alumina - Q&amp;V'!$I$8:$I$250,4)+
SUMIFS('Alumina - Q&amp;V'!$D$8:$D$250,'Alumina - Q&amp;V'!$H$8:$H$250,CONCATENATE("20",RIGHT('FY Q&amp;V 2003-04 to Now'!AG$7:AH$7,2)),'Alumina - Q&amp;V'!$I$8:$I$250,1)+
SUMIFS('Alumina - Q&amp;V'!$D$8:$D$250,'Alumina - Q&amp;V'!$H$8:$H$250,CONCATENATE("20",RIGHT('FY Q&amp;V 2003-04 to Now'!AG$7:AH$7,2)),'Alumina - Q&amp;V'!$I$8:$I$250,2))*1000000</f>
        <v>1784088.45</v>
      </c>
      <c r="AH13" s="1302">
        <f>(SUMIFS('Alumina - Q&amp;V'!$E$8:$E$250,'Alumina - Q&amp;V'!$H$8:$H$250,LEFT('FY Q&amp;V 2003-04 to Now'!AG$7,4),'Alumina - Q&amp;V'!$I$8:$I$250,3)+
SUMIFS('Alumina - Q&amp;V'!$E$8:$E$250,'Alumina - Q&amp;V'!$H$8:$H$250,LEFT('FY Q&amp;V 2003-04 to Now'!AG$7,4),'Alumina - Q&amp;V'!$I$8:$I$250,4)+
SUMIFS('Alumina - Q&amp;V'!$E$8:$E$250,'Alumina - Q&amp;V'!$H$8:$H$250,CONCATENATE("20",RIGHT('FY Q&amp;V 2003-04 to Now'!AG$7,2)),'Alumina - Q&amp;V'!$I$8:$I$250,1)+
SUMIFS('Alumina - Q&amp;V'!$E$8:$E$250,'Alumina - Q&amp;V'!$H$8:$H$250,CONCATENATE("20",RIGHT('FY Q&amp;V 2003-04 to Now'!AG$7,2)),'Alumina - Q&amp;V'!$I$8:$I$250,2))*1000000</f>
        <v>67576671</v>
      </c>
      <c r="AI13" s="1302">
        <f>(SUMIFS('Alumina - Q&amp;V'!$D$8:$D$250,'Alumina - Q&amp;V'!$H$8:$H$250,LEFT('FY Q&amp;V 2003-04 to Now'!AI$7:AJ$7,4),'Alumina - Q&amp;V'!$I$8:$I$250,3)+
SUMIFS('Alumina - Q&amp;V'!$D$8:$D$250,'Alumina - Q&amp;V'!$H$8:$H$250,LEFT('FY Q&amp;V 2003-04 to Now'!AI$7:AJ$7,4),'Alumina - Q&amp;V'!$I$8:$I$250,4)+
SUMIFS('Alumina - Q&amp;V'!$D$8:$D$250,'Alumina - Q&amp;V'!$H$8:$H$250,CONCATENATE("20",RIGHT('FY Q&amp;V 2003-04 to Now'!AI$7:AJ$7,2)),'Alumina - Q&amp;V'!$I$8:$I$250,1)+
SUMIFS('Alumina - Q&amp;V'!$D$8:$D$250,'Alumina - Q&amp;V'!$H$8:$H$250,CONCATENATE("20",RIGHT('FY Q&amp;V 2003-04 to Now'!AI$7:AJ$7,2)),'Alumina - Q&amp;V'!$I$8:$I$250,2))*1000000</f>
        <v>1788843.2100000002</v>
      </c>
      <c r="AJ13" s="1302">
        <f>(SUMIFS('Alumina - Q&amp;V'!$E$8:$E$250,'Alumina - Q&amp;V'!$H$8:$H$250,LEFT('FY Q&amp;V 2003-04 to Now'!AI$7,4),'Alumina - Q&amp;V'!$I$8:$I$250,3)+
SUMIFS('Alumina - Q&amp;V'!$E$8:$E$250,'Alumina - Q&amp;V'!$H$8:$H$250,LEFT('FY Q&amp;V 2003-04 to Now'!AI$7,4),'Alumina - Q&amp;V'!$I$8:$I$250,4)+
SUMIFS('Alumina - Q&amp;V'!$E$8:$E$250,'Alumina - Q&amp;V'!$H$8:$H$250,CONCATENATE("20",RIGHT('FY Q&amp;V 2003-04 to Now'!AI$7,2)),'Alumina - Q&amp;V'!$I$8:$I$250,1)+
SUMIFS('Alumina - Q&amp;V'!$E$8:$E$250,'Alumina - Q&amp;V'!$H$8:$H$250,CONCATENATE("20",RIGHT('FY Q&amp;V 2003-04 to Now'!AI$7,2)),'Alumina - Q&amp;V'!$I$8:$I$250,2))*1000000</f>
        <v>66830259.999999993</v>
      </c>
      <c r="AK13" s="1302">
        <f>(SUMIFS('Alumina - Q&amp;V'!$D$8:$D$250,'Alumina - Q&amp;V'!$H$8:$H$250,LEFT('FY Q&amp;V 2003-04 to Now'!AK$7:AL$7,4),'Alumina - Q&amp;V'!$I$8:$I$250,3)+
SUMIFS('Alumina - Q&amp;V'!$D$8:$D$250,'Alumina - Q&amp;V'!$H$8:$H$250,LEFT('FY Q&amp;V 2003-04 to Now'!AK$7:AL$7,4),'Alumina - Q&amp;V'!$I$8:$I$250,4)+
SUMIFS('Alumina - Q&amp;V'!$D$8:$D$250,'Alumina - Q&amp;V'!$H$8:$H$250,CONCATENATE("20",RIGHT('FY Q&amp;V 2003-04 to Now'!AK$7:AL$7,2)),'Alumina - Q&amp;V'!$I$8:$I$250,1)+
SUMIFS('Alumina - Q&amp;V'!$D$8:$D$250,'Alumina - Q&amp;V'!$H$8:$H$250,CONCATENATE("20",RIGHT('FY Q&amp;V 2003-04 to Now'!AK$7:AL$7,2)),'Alumina - Q&amp;V'!$I$8:$I$250,2))*1000000</f>
        <v>1844089.7900000003</v>
      </c>
      <c r="AL13" s="1302">
        <f>(SUMIFS('Alumina - Q&amp;V'!$E$8:$E$250,'Alumina - Q&amp;V'!$H$8:$H$250,LEFT('FY Q&amp;V 2003-04 to Now'!AK$7,4),'Alumina - Q&amp;V'!$I$8:$I$250,3)+
SUMIFS('Alumina - Q&amp;V'!$E$8:$E$250,'Alumina - Q&amp;V'!$H$8:$H$250,LEFT('FY Q&amp;V 2003-04 to Now'!AK$7,4),'Alumina - Q&amp;V'!$I$8:$I$250,4)+
SUMIFS('Alumina - Q&amp;V'!$E$8:$E$250,'Alumina - Q&amp;V'!$H$8:$H$250,CONCATENATE("20",RIGHT('FY Q&amp;V 2003-04 to Now'!AK$7,2)),'Alumina - Q&amp;V'!$I$8:$I$250,1)+
SUMIFS('Alumina - Q&amp;V'!$E$8:$E$250,'Alumina - Q&amp;V'!$H$8:$H$250,CONCATENATE("20",RIGHT('FY Q&amp;V 2003-04 to Now'!AK$7,2)),'Alumina - Q&amp;V'!$I$8:$I$250,2))*1000000</f>
        <v>58803084.999999993</v>
      </c>
      <c r="AM13" s="1291">
        <f>SUMIF($C$9:AL$9,1,$C13:AL13)</f>
        <v>6892387.6699999999</v>
      </c>
      <c r="AN13" s="1279">
        <f>SUMIF($C$9:AL$9,0,$C13:AL13)</f>
        <v>256431036</v>
      </c>
      <c r="AO13" s="573"/>
    </row>
    <row r="14" spans="1:42" s="492" customFormat="1">
      <c r="A14" s="369" t="s">
        <v>559</v>
      </c>
      <c r="B14" s="353"/>
      <c r="C14" s="1292">
        <f t="shared" ref="C14:AH14" si="35">SUM(C12:C13)</f>
        <v>11165835</v>
      </c>
      <c r="D14" s="1292">
        <f t="shared" si="35"/>
        <v>3085110024.75</v>
      </c>
      <c r="E14" s="1292">
        <f t="shared" si="35"/>
        <v>11140179</v>
      </c>
      <c r="F14" s="1292">
        <f t="shared" si="35"/>
        <v>3430690094.5099998</v>
      </c>
      <c r="G14" s="1292">
        <f t="shared" si="35"/>
        <v>11453193.75</v>
      </c>
      <c r="H14" s="1292">
        <f t="shared" si="35"/>
        <v>4152943630.5500002</v>
      </c>
      <c r="I14" s="1292">
        <f t="shared" si="35"/>
        <v>11991247.063000001</v>
      </c>
      <c r="J14" s="1292">
        <f t="shared" si="35"/>
        <v>5151288982.46</v>
      </c>
      <c r="K14" s="1292">
        <f t="shared" si="35"/>
        <v>12321277.791999999</v>
      </c>
      <c r="L14" s="1292">
        <f t="shared" si="35"/>
        <v>4838417453.5100002</v>
      </c>
      <c r="M14" s="1292">
        <f t="shared" si="35"/>
        <v>12271552.999999998</v>
      </c>
      <c r="N14" s="1292">
        <f t="shared" si="35"/>
        <v>4352643950.3800001</v>
      </c>
      <c r="O14" s="1292">
        <f t="shared" si="35"/>
        <v>12643178</v>
      </c>
      <c r="P14" s="1292">
        <f t="shared" si="35"/>
        <v>3871191801.6600003</v>
      </c>
      <c r="Q14" s="1292">
        <f t="shared" si="35"/>
        <v>12280629.000000002</v>
      </c>
      <c r="R14" s="1292">
        <f t="shared" si="35"/>
        <v>3990376375.1500001</v>
      </c>
      <c r="S14" s="1292">
        <f t="shared" si="35"/>
        <v>12424860.330000002</v>
      </c>
      <c r="T14" s="1292">
        <f t="shared" si="35"/>
        <v>4010219381.579999</v>
      </c>
      <c r="U14" s="1292">
        <f t="shared" si="35"/>
        <v>13530752.17</v>
      </c>
      <c r="V14" s="1292">
        <f t="shared" si="35"/>
        <v>4027810217.2099996</v>
      </c>
      <c r="W14" s="1292">
        <f t="shared" si="35"/>
        <v>13717951.679999998</v>
      </c>
      <c r="X14" s="1292">
        <f t="shared" si="35"/>
        <v>4295348699.0100002</v>
      </c>
      <c r="Y14" s="1292">
        <f t="shared" si="35"/>
        <v>13771412.275999999</v>
      </c>
      <c r="Z14" s="1292">
        <f t="shared" si="35"/>
        <v>5022721218</v>
      </c>
      <c r="AA14" s="1292">
        <f t="shared" si="35"/>
        <v>13941242.520000001</v>
      </c>
      <c r="AB14" s="1292">
        <f t="shared" si="35"/>
        <v>4939232470</v>
      </c>
      <c r="AC14" s="1292">
        <f t="shared" si="35"/>
        <v>14165722.300000001</v>
      </c>
      <c r="AD14" s="1292">
        <f t="shared" si="35"/>
        <v>5088559366</v>
      </c>
      <c r="AE14" s="1292">
        <f t="shared" si="35"/>
        <v>14786789.640000001</v>
      </c>
      <c r="AF14" s="1292">
        <f t="shared" si="35"/>
        <v>6643523276</v>
      </c>
      <c r="AG14" s="1302">
        <f t="shared" si="35"/>
        <v>15427533.049999999</v>
      </c>
      <c r="AH14" s="1302">
        <f t="shared" si="35"/>
        <v>8279440428.999999</v>
      </c>
      <c r="AI14" s="1302">
        <f t="shared" ref="AI14" si="36">SUM(AI12:AI13)</f>
        <v>15804008.443000002</v>
      </c>
      <c r="AJ14" s="1302">
        <v>6416399637</v>
      </c>
      <c r="AK14" s="1302">
        <f t="shared" ref="AK14:AL14" si="37">SUM(AK12:AK13)</f>
        <v>16205112.27</v>
      </c>
      <c r="AL14" s="1302">
        <f t="shared" si="37"/>
        <v>5565020545</v>
      </c>
      <c r="AM14" s="1291">
        <f>SUMIF($C$9:AL$9,1,$C14:AL14)</f>
        <v>239042477.28400004</v>
      </c>
      <c r="AN14" s="1279">
        <f>SUMIF($C$9:AL$9,0,$C14:AL14)</f>
        <v>87160937551.770004</v>
      </c>
      <c r="AO14" s="573"/>
      <c r="AP14" s="1730"/>
    </row>
    <row r="15" spans="1:42">
      <c r="A15" s="354"/>
      <c r="B15" s="354"/>
      <c r="C15" s="1178"/>
      <c r="D15" s="1178"/>
      <c r="E15" s="1178"/>
      <c r="F15" s="1178"/>
      <c r="G15" s="1178"/>
      <c r="H15" s="1178"/>
      <c r="I15" s="1178"/>
      <c r="J15" s="1178"/>
      <c r="K15" s="1178"/>
      <c r="L15" s="1178"/>
      <c r="M15" s="1178"/>
      <c r="N15" s="1178"/>
      <c r="O15" s="1178"/>
      <c r="P15" s="1178"/>
      <c r="Q15" s="1178"/>
      <c r="R15" s="1178"/>
      <c r="S15" s="1178"/>
      <c r="T15" s="1178"/>
      <c r="U15" s="1178"/>
      <c r="V15" s="1178"/>
      <c r="W15" s="1178"/>
      <c r="X15" s="1178"/>
      <c r="Y15" s="1178"/>
      <c r="Z15" s="1178"/>
      <c r="AA15" s="1178"/>
      <c r="AB15" s="1178"/>
      <c r="AC15" s="1178"/>
      <c r="AD15" s="1178"/>
      <c r="AE15" s="1293"/>
      <c r="AF15" s="1178"/>
      <c r="AG15" s="1293"/>
      <c r="AH15" s="1178"/>
      <c r="AI15" s="1293"/>
      <c r="AJ15" s="1178"/>
      <c r="AK15" s="1178"/>
      <c r="AL15" s="1178"/>
      <c r="AM15" s="1291"/>
      <c r="AN15" s="1279"/>
    </row>
    <row r="16" spans="1:42">
      <c r="A16" s="366" t="s">
        <v>172</v>
      </c>
      <c r="B16" s="244"/>
      <c r="C16" s="1294"/>
      <c r="D16" s="1295"/>
      <c r="E16" s="1294"/>
      <c r="F16" s="1295"/>
      <c r="G16" s="1294"/>
      <c r="H16" s="1295"/>
      <c r="I16" s="1294"/>
      <c r="J16" s="1295"/>
      <c r="K16" s="1294"/>
      <c r="L16" s="1295"/>
      <c r="M16" s="1294"/>
      <c r="N16" s="1295"/>
      <c r="O16" s="1294"/>
      <c r="P16" s="1295"/>
      <c r="Q16" s="1294"/>
      <c r="R16" s="1295"/>
      <c r="S16" s="1294"/>
      <c r="T16" s="1295"/>
      <c r="U16" s="1294"/>
      <c r="V16" s="1295"/>
      <c r="W16" s="1294"/>
      <c r="X16" s="1295"/>
      <c r="Y16" s="1294"/>
      <c r="Z16" s="1295"/>
      <c r="AA16" s="1294"/>
      <c r="AB16" s="1295"/>
      <c r="AC16" s="1295"/>
      <c r="AD16" s="1295"/>
      <c r="AE16" s="1296"/>
      <c r="AF16" s="1295"/>
      <c r="AG16" s="1705"/>
      <c r="AH16" s="235"/>
      <c r="AI16" s="1705"/>
      <c r="AJ16" s="235"/>
      <c r="AK16" s="235"/>
      <c r="AL16" s="235"/>
      <c r="AM16" s="1711"/>
      <c r="AN16" s="307"/>
    </row>
    <row r="17" spans="1:42">
      <c r="A17" s="367" t="s">
        <v>290</v>
      </c>
      <c r="B17" s="207" t="s">
        <v>87</v>
      </c>
      <c r="C17" s="268">
        <f>(SUMIFS('Base Metals - Q&amp;V'!$B$8:$B$250,'Base Metals - Q&amp;V'!$H$8:$H$250,LEFT('FY Q&amp;V 2003-04 to Now'!C$7,4),'Base Metals - Q&amp;V'!$I$8:$I$250,3)+
SUMIFS('Base Metals - Q&amp;V'!$B$8:$B$250,'Base Metals - Q&amp;V'!$H$8:$H$250,LEFT('FY Q&amp;V 2003-04 to Now'!C$7:D$7,4),'Base Metals - Q&amp;V'!$I$8:$I$250,4)+
SUMIFS('Base Metals - Q&amp;V'!$B$8:$B$250,'Base Metals - Q&amp;V'!$H$8:$H$250,CONCATENATE("20",RIGHT('FY Q&amp;V 2003-04 to Now'!C$7,2)),'Base Metals - Q&amp;V'!$I$8:$I$250,1)+
SUMIFS('Base Metals - Q&amp;V'!$B$8:$B$250,'Base Metals - Q&amp;V'!$H$8:$H$250,CONCATENATE("20",RIGHT('FY Q&amp;V 2003-04 to Now'!C$7,2)),'Base Metals - Q&amp;V'!$I$8:$I$250,2))*1000</f>
        <v>54944.894000000008</v>
      </c>
      <c r="D17" s="268">
        <f>(SUMIFS('Base Metals - Q&amp;V'!$C$8:$C$250,'Base Metals - Q&amp;V'!$H$8:$H$250,LEFT('FY Q&amp;V 2003-04 to Now'!C$7,4),'Base Metals - Q&amp;V'!$I$8:$I$250,3)+
SUMIFS('Base Metals - Q&amp;V'!$C$8:$C$250,'Base Metals - Q&amp;V'!$H$8:$H$250,LEFT('FY Q&amp;V 2003-04 to Now'!C$7,4),'Base Metals - Q&amp;V'!$I$8:$I$250,4)+
SUMIFS('Base Metals - Q&amp;V'!$C$8:$C$250,'Base Metals - Q&amp;V'!$H$8:$H$250,CONCATENATE("20",RIGHT('FY Q&amp;V 2003-04 to Now'!C$7,2)),'Base Metals - Q&amp;V'!$I$8:$I$250,1)+
SUMIFS('Base Metals - Q&amp;V'!$C$8:$C$250,'Base Metals - Q&amp;V'!$H$8:$H$250,CONCATENATE("20",RIGHT('FY Q&amp;V 2003-04 to Now'!C$7,2)),'Base Metals - Q&amp;V'!$I$8:$I$250,2))*1000000</f>
        <v>166922499.05000001</v>
      </c>
      <c r="E17" s="268">
        <f>(SUMIFS('Base Metals - Q&amp;V'!$B$8:$B$250,'Base Metals - Q&amp;V'!$H$8:$H$250,LEFT('FY Q&amp;V 2003-04 to Now'!E$7,4),'Base Metals - Q&amp;V'!$I$8:$I$250,3)+
SUMIFS('Base Metals - Q&amp;V'!$B$8:$B$250,'Base Metals - Q&amp;V'!$H$8:$H$250,LEFT('FY Q&amp;V 2003-04 to Now'!E$7:F$7,4),'Base Metals - Q&amp;V'!$I$8:$I$250,4)+
SUMIFS('Base Metals - Q&amp;V'!$B$8:$B$250,'Base Metals - Q&amp;V'!$H$8:$H$250,CONCATENATE("20",RIGHT('FY Q&amp;V 2003-04 to Now'!E$7,2)),'Base Metals - Q&amp;V'!$I$8:$I$250,1)+
SUMIFS('Base Metals - Q&amp;V'!$B$8:$B$250,'Base Metals - Q&amp;V'!$H$8:$H$250,CONCATENATE("20",RIGHT('FY Q&amp;V 2003-04 to Now'!E$7,2)),'Base Metals - Q&amp;V'!$I$8:$I$250,2))*1000</f>
        <v>60710.827000000005</v>
      </c>
      <c r="F17" s="268">
        <f>(SUMIFS('Base Metals - Q&amp;V'!$C$8:$C$250,'Base Metals - Q&amp;V'!$H$8:$H$250,LEFT('FY Q&amp;V 2003-04 to Now'!E$7,4),'Base Metals - Q&amp;V'!$I$8:$I$250,3)+
SUMIFS('Base Metals - Q&amp;V'!$C$8:$C$250,'Base Metals - Q&amp;V'!$H$8:$H$250,LEFT('FY Q&amp;V 2003-04 to Now'!E$7,4),'Base Metals - Q&amp;V'!$I$8:$I$250,4)+
SUMIFS('Base Metals - Q&amp;V'!$C$8:$C$250,'Base Metals - Q&amp;V'!$H$8:$H$250,CONCATENATE("20",RIGHT('FY Q&amp;V 2003-04 to Now'!E$7,2)),'Base Metals - Q&amp;V'!$I$8:$I$250,1)+
SUMIFS('Base Metals - Q&amp;V'!$C$8:$C$250,'Base Metals - Q&amp;V'!$H$8:$H$250,CONCATENATE("20",RIGHT('FY Q&amp;V 2003-04 to Now'!E$7,2)),'Base Metals - Q&amp;V'!$I$8:$I$250,2))*1000000</f>
        <v>267678966.38999999</v>
      </c>
      <c r="G17" s="268">
        <f>(SUMIFS('Base Metals - Q&amp;V'!$B$8:$B$250,'Base Metals - Q&amp;V'!$H$8:$H$250,LEFT('FY Q&amp;V 2003-04 to Now'!G$7,4),'Base Metals - Q&amp;V'!$I$8:$I$250,3)+
SUMIFS('Base Metals - Q&amp;V'!$B$8:$B$250,'Base Metals - Q&amp;V'!$H$8:$H$250,LEFT('FY Q&amp;V 2003-04 to Now'!G$7:H$7,4),'Base Metals - Q&amp;V'!$I$8:$I$250,4)+
SUMIFS('Base Metals - Q&amp;V'!$B$8:$B$250,'Base Metals - Q&amp;V'!$H$8:$H$250,CONCATENATE("20",RIGHT('FY Q&amp;V 2003-04 to Now'!G$7,2)),'Base Metals - Q&amp;V'!$I$8:$I$250,1)+
SUMIFS('Base Metals - Q&amp;V'!$B$8:$B$250,'Base Metals - Q&amp;V'!$H$8:$H$250,CONCATENATE("20",RIGHT('FY Q&amp;V 2003-04 to Now'!G$7,2)),'Base Metals - Q&amp;V'!$I$8:$I$250,2))*1000</f>
        <v>84673.21699999999</v>
      </c>
      <c r="H17" s="268">
        <f>(SUMIFS('Base Metals - Q&amp;V'!$C$8:$C$250,'Base Metals - Q&amp;V'!$H$8:$H$250,LEFT('FY Q&amp;V 2003-04 to Now'!G$7,4),'Base Metals - Q&amp;V'!$I$8:$I$250,3)+
SUMIFS('Base Metals - Q&amp;V'!$C$8:$C$250,'Base Metals - Q&amp;V'!$H$8:$H$250,LEFT('FY Q&amp;V 2003-04 to Now'!G$7,4),'Base Metals - Q&amp;V'!$I$8:$I$250,4)+
SUMIFS('Base Metals - Q&amp;V'!$C$8:$C$250,'Base Metals - Q&amp;V'!$H$8:$H$250,CONCATENATE("20",RIGHT('FY Q&amp;V 2003-04 to Now'!G$7,2)),'Base Metals - Q&amp;V'!$I$8:$I$250,1)+
SUMIFS('Base Metals - Q&amp;V'!$C$8:$C$250,'Base Metals - Q&amp;V'!$H$8:$H$250,CONCATENATE("20",RIGHT('FY Q&amp;V 2003-04 to Now'!G$7,2)),'Base Metals - Q&amp;V'!$I$8:$I$250,2))*1000000</f>
        <v>611113709.88999999</v>
      </c>
      <c r="I17" s="268">
        <f>(SUMIFS('Base Metals - Q&amp;V'!$B$8:$B$250,'Base Metals - Q&amp;V'!$H$8:$H$250,LEFT('FY Q&amp;V 2003-04 to Now'!I$7,4),'Base Metals - Q&amp;V'!$I$8:$I$250,3)+
SUMIFS('Base Metals - Q&amp;V'!$B$8:$B$250,'Base Metals - Q&amp;V'!$H$8:$H$250,LEFT('FY Q&amp;V 2003-04 to Now'!I$7:J$7,4),'Base Metals - Q&amp;V'!$I$8:$I$250,4)+
SUMIFS('Base Metals - Q&amp;V'!$B$8:$B$250,'Base Metals - Q&amp;V'!$H$8:$H$250,CONCATENATE("20",RIGHT('FY Q&amp;V 2003-04 to Now'!I$7,2)),'Base Metals - Q&amp;V'!$I$8:$I$250,1)+
SUMIFS('Base Metals - Q&amp;V'!$B$8:$B$250,'Base Metals - Q&amp;V'!$H$8:$H$250,CONCATENATE("20",RIGHT('FY Q&amp;V 2003-04 to Now'!I$7,2)),'Base Metals - Q&amp;V'!$I$8:$I$250,2))*1000</f>
        <v>108677.836</v>
      </c>
      <c r="J17" s="268">
        <f>(SUMIFS('Base Metals - Q&amp;V'!$C$8:$C$250,'Base Metals - Q&amp;V'!$H$8:$H$250,LEFT('FY Q&amp;V 2003-04 to Now'!I$7,4),'Base Metals - Q&amp;V'!$I$8:$I$250,3)+
SUMIFS('Base Metals - Q&amp;V'!$C$8:$C$250,'Base Metals - Q&amp;V'!$H$8:$H$250,LEFT('FY Q&amp;V 2003-04 to Now'!I$7,4),'Base Metals - Q&amp;V'!$I$8:$I$250,4)+
SUMIFS('Base Metals - Q&amp;V'!$C$8:$C$250,'Base Metals - Q&amp;V'!$H$8:$H$250,CONCATENATE("20",RIGHT('FY Q&amp;V 2003-04 to Now'!I$7,2)),'Base Metals - Q&amp;V'!$I$8:$I$250,1)+
SUMIFS('Base Metals - Q&amp;V'!$C$8:$C$250,'Base Metals - Q&amp;V'!$H$8:$H$250,CONCATENATE("20",RIGHT('FY Q&amp;V 2003-04 to Now'!I$7,2)),'Base Metals - Q&amp;V'!$I$8:$I$250,2))*1000000</f>
        <v>951656715.81999993</v>
      </c>
      <c r="K17" s="268">
        <f>(SUMIFS('Base Metals - Q&amp;V'!$B$8:$B$250,'Base Metals - Q&amp;V'!$H$8:$H$250,LEFT('FY Q&amp;V 2003-04 to Now'!K$7,4),'Base Metals - Q&amp;V'!$I$8:$I$250,3)+
SUMIFS('Base Metals - Q&amp;V'!$B$8:$B$250,'Base Metals - Q&amp;V'!$H$8:$H$250,LEFT('FY Q&amp;V 2003-04 to Now'!K$7:L$7,4),'Base Metals - Q&amp;V'!$I$8:$I$250,4)+
SUMIFS('Base Metals - Q&amp;V'!$B$8:$B$250,'Base Metals - Q&amp;V'!$H$8:$H$250,CONCATENATE("20",RIGHT('FY Q&amp;V 2003-04 to Now'!K$7,2)),'Base Metals - Q&amp;V'!$I$8:$I$250,1)+
SUMIFS('Base Metals - Q&amp;V'!$B$8:$B$250,'Base Metals - Q&amp;V'!$H$8:$H$250,CONCATENATE("20",RIGHT('FY Q&amp;V 2003-04 to Now'!K$7,2)),'Base Metals - Q&amp;V'!$I$8:$I$250,2))*1000</f>
        <v>123361.59</v>
      </c>
      <c r="L17" s="268">
        <f>(SUMIFS('Base Metals - Q&amp;V'!$C$8:$C$250,'Base Metals - Q&amp;V'!$H$8:$H$250,LEFT('FY Q&amp;V 2003-04 to Now'!K$7,4),'Base Metals - Q&amp;V'!$I$8:$I$250,3)+
SUMIFS('Base Metals - Q&amp;V'!$C$8:$C$250,'Base Metals - Q&amp;V'!$H$8:$H$250,LEFT('FY Q&amp;V 2003-04 to Now'!K$7,4),'Base Metals - Q&amp;V'!$I$8:$I$250,4)+
SUMIFS('Base Metals - Q&amp;V'!$C$8:$C$250,'Base Metals - Q&amp;V'!$H$8:$H$250,CONCATENATE("20",RIGHT('FY Q&amp;V 2003-04 to Now'!K$7,2)),'Base Metals - Q&amp;V'!$I$8:$I$250,1)+
SUMIFS('Base Metals - Q&amp;V'!$C$8:$C$250,'Base Metals - Q&amp;V'!$H$8:$H$250,CONCATENATE("20",RIGHT('FY Q&amp;V 2003-04 to Now'!K$7,2)),'Base Metals - Q&amp;V'!$I$8:$I$250,2))*1000000</f>
        <v>1031135089.14</v>
      </c>
      <c r="M17" s="268">
        <f>(SUMIFS('Base Metals - Q&amp;V'!$B$8:$B$250,'Base Metals - Q&amp;V'!$H$8:$H$250,LEFT('FY Q&amp;V 2003-04 to Now'!M$7,4),'Base Metals - Q&amp;V'!$I$8:$I$250,3)+
SUMIFS('Base Metals - Q&amp;V'!$B$8:$B$250,'Base Metals - Q&amp;V'!$H$8:$H$250,LEFT('FY Q&amp;V 2003-04 to Now'!M$7:N$7,4),'Base Metals - Q&amp;V'!$I$8:$I$250,4)+
SUMIFS('Base Metals - Q&amp;V'!$B$8:$B$250,'Base Metals - Q&amp;V'!$H$8:$H$250,CONCATENATE("20",RIGHT('FY Q&amp;V 2003-04 to Now'!M$7,2)),'Base Metals - Q&amp;V'!$I$8:$I$250,1)+
SUMIFS('Base Metals - Q&amp;V'!$B$8:$B$250,'Base Metals - Q&amp;V'!$H$8:$H$250,CONCATENATE("20",RIGHT('FY Q&amp;V 2003-04 to Now'!M$7,2)),'Base Metals - Q&amp;V'!$I$8:$I$250,2))*1000</f>
        <v>128232.43400000001</v>
      </c>
      <c r="N17" s="268">
        <f>(SUMIFS('Base Metals - Q&amp;V'!$C$8:$C$250,'Base Metals - Q&amp;V'!$H$8:$H$250,LEFT('FY Q&amp;V 2003-04 to Now'!M$7,4),'Base Metals - Q&amp;V'!$I$8:$I$250,3)+
SUMIFS('Base Metals - Q&amp;V'!$C$8:$C$250,'Base Metals - Q&amp;V'!$H$8:$H$250,LEFT('FY Q&amp;V 2003-04 to Now'!M$7,4),'Base Metals - Q&amp;V'!$I$8:$I$250,4)+
SUMIFS('Base Metals - Q&amp;V'!$C$8:$C$250,'Base Metals - Q&amp;V'!$H$8:$H$250,CONCATENATE("20",RIGHT('FY Q&amp;V 2003-04 to Now'!M$7,2)),'Base Metals - Q&amp;V'!$I$8:$I$250,1)+
SUMIFS('Base Metals - Q&amp;V'!$C$8:$C$250,'Base Metals - Q&amp;V'!$H$8:$H$250,CONCATENATE("20",RIGHT('FY Q&amp;V 2003-04 to Now'!M$7,2)),'Base Metals - Q&amp;V'!$I$8:$I$250,2))*1000000</f>
        <v>656718318.56000006</v>
      </c>
      <c r="O17" s="268">
        <f>(SUMIFS('Base Metals - Q&amp;V'!$B$8:$B$250,'Base Metals - Q&amp;V'!$H$8:$H$250,LEFT('FY Q&amp;V 2003-04 to Now'!O$7,4),'Base Metals - Q&amp;V'!$I$8:$I$250,3)+
SUMIFS('Base Metals - Q&amp;V'!$B$8:$B$250,'Base Metals - Q&amp;V'!$H$8:$H$250,LEFT('FY Q&amp;V 2003-04 to Now'!O$7:P$7,4),'Base Metals - Q&amp;V'!$I$8:$I$250,4)+
SUMIFS('Base Metals - Q&amp;V'!$B$8:$B$250,'Base Metals - Q&amp;V'!$H$8:$H$250,CONCATENATE("20",RIGHT('FY Q&amp;V 2003-04 to Now'!O$7,2)),'Base Metals - Q&amp;V'!$I$8:$I$250,1)+
SUMIFS('Base Metals - Q&amp;V'!$B$8:$B$250,'Base Metals - Q&amp;V'!$H$8:$H$250,CONCATENATE("20",RIGHT('FY Q&amp;V 2003-04 to Now'!O$7,2)),'Base Metals - Q&amp;V'!$I$8:$I$250,2))*1000</f>
        <v>151963.34899999999</v>
      </c>
      <c r="P17" s="268">
        <f>(SUMIFS('Base Metals - Q&amp;V'!$C$8:$C$250,'Base Metals - Q&amp;V'!$H$8:$H$250,LEFT('FY Q&amp;V 2003-04 to Now'!O$7,4),'Base Metals - Q&amp;V'!$I$8:$I$250,3)+
SUMIFS('Base Metals - Q&amp;V'!$C$8:$C$250,'Base Metals - Q&amp;V'!$H$8:$H$250,LEFT('FY Q&amp;V 2003-04 to Now'!O$7,4),'Base Metals - Q&amp;V'!$I$8:$I$250,4)+
SUMIFS('Base Metals - Q&amp;V'!$C$8:$C$250,'Base Metals - Q&amp;V'!$H$8:$H$250,CONCATENATE("20",RIGHT('FY Q&amp;V 2003-04 to Now'!O$7,2)),'Base Metals - Q&amp;V'!$I$8:$I$250,1)+
SUMIFS('Base Metals - Q&amp;V'!$C$8:$C$250,'Base Metals - Q&amp;V'!$H$8:$H$250,CONCATENATE("20",RIGHT('FY Q&amp;V 2003-04 to Now'!O$7,2)),'Base Metals - Q&amp;V'!$I$8:$I$250,2))*1000000</f>
        <v>1172476450.76</v>
      </c>
      <c r="Q17" s="268">
        <f>(SUMIFS('Base Metals - Q&amp;V'!$B$8:$B$250,'Base Metals - Q&amp;V'!$H$8:$H$250,LEFT('FY Q&amp;V 2003-04 to Now'!Q$7,4),'Base Metals - Q&amp;V'!$I$8:$I$250,3)+
SUMIFS('Base Metals - Q&amp;V'!$B$8:$B$250,'Base Metals - Q&amp;V'!$H$8:$H$250,LEFT('FY Q&amp;V 2003-04 to Now'!Q$7:R$7,4),'Base Metals - Q&amp;V'!$I$8:$I$250,4)+
SUMIFS('Base Metals - Q&amp;V'!$B$8:$B$250,'Base Metals - Q&amp;V'!$H$8:$H$250,CONCATENATE("20",RIGHT('FY Q&amp;V 2003-04 to Now'!Q$7,2)),'Base Metals - Q&amp;V'!$I$8:$I$250,1)+
SUMIFS('Base Metals - Q&amp;V'!$B$8:$B$250,'Base Metals - Q&amp;V'!$H$8:$H$250,CONCATENATE("20",RIGHT('FY Q&amp;V 2003-04 to Now'!Q$7,2)),'Base Metals - Q&amp;V'!$I$8:$I$250,2))*1000</f>
        <v>150030.321</v>
      </c>
      <c r="R17" s="268">
        <f>(SUMIFS('Base Metals - Q&amp;V'!$C$8:$C$250,'Base Metals - Q&amp;V'!$H$8:$H$250,LEFT('FY Q&amp;V 2003-04 to Now'!Q$7,4),'Base Metals - Q&amp;V'!$I$8:$I$250,3)+
SUMIFS('Base Metals - Q&amp;V'!$C$8:$C$250,'Base Metals - Q&amp;V'!$H$8:$H$250,LEFT('FY Q&amp;V 2003-04 to Now'!Q$7,4),'Base Metals - Q&amp;V'!$I$8:$I$250,4)+
SUMIFS('Base Metals - Q&amp;V'!$C$8:$C$250,'Base Metals - Q&amp;V'!$H$8:$H$250,CONCATENATE("20",RIGHT('FY Q&amp;V 2003-04 to Now'!Q$7,2)),'Base Metals - Q&amp;V'!$I$8:$I$250,1)+
SUMIFS('Base Metals - Q&amp;V'!$C$8:$C$250,'Base Metals - Q&amp;V'!$H$8:$H$250,CONCATENATE("20",RIGHT('FY Q&amp;V 2003-04 to Now'!Q$7,2)),'Base Metals - Q&amp;V'!$I$8:$I$250,2))*1000000</f>
        <v>1332356150.23</v>
      </c>
      <c r="S17" s="268">
        <f>(SUMIFS('Base Metals - Q&amp;V'!$B$8:$B$250,'Base Metals - Q&amp;V'!$H$8:$H$250,LEFT('FY Q&amp;V 2003-04 to Now'!S$7,4),'Base Metals - Q&amp;V'!$I$8:$I$250,3)+
SUMIFS('Base Metals - Q&amp;V'!$B$8:$B$250,'Base Metals - Q&amp;V'!$H$8:$H$250,LEFT('FY Q&amp;V 2003-04 to Now'!S$7:T$7,4),'Base Metals - Q&amp;V'!$I$8:$I$250,4)+
SUMIFS('Base Metals - Q&amp;V'!$B$8:$B$250,'Base Metals - Q&amp;V'!$H$8:$H$250,CONCATENATE("20",RIGHT('FY Q&amp;V 2003-04 to Now'!S$7,2)),'Base Metals - Q&amp;V'!$I$8:$I$250,1)+
SUMIFS('Base Metals - Q&amp;V'!$B$8:$B$250,'Base Metals - Q&amp;V'!$H$8:$H$250,CONCATENATE("20",RIGHT('FY Q&amp;V 2003-04 to Now'!S$7,2)),'Base Metals - Q&amp;V'!$I$8:$I$250,2))*1000</f>
        <v>159171.31195199999</v>
      </c>
      <c r="T17" s="268">
        <f>(SUMIFS('Base Metals - Q&amp;V'!$C$8:$C$250,'Base Metals - Q&amp;V'!$H$8:$H$250,LEFT('FY Q&amp;V 2003-04 to Now'!S$7,4),'Base Metals - Q&amp;V'!$I$8:$I$250,3)+
SUMIFS('Base Metals - Q&amp;V'!$C$8:$C$250,'Base Metals - Q&amp;V'!$H$8:$H$250,LEFT('FY Q&amp;V 2003-04 to Now'!S$7,4),'Base Metals - Q&amp;V'!$I$8:$I$250,4)+
SUMIFS('Base Metals - Q&amp;V'!$C$8:$C$250,'Base Metals - Q&amp;V'!$H$8:$H$250,CONCATENATE("20",RIGHT('FY Q&amp;V 2003-04 to Now'!S$7,2)),'Base Metals - Q&amp;V'!$I$8:$I$250,1)+
SUMIFS('Base Metals - Q&amp;V'!$C$8:$C$250,'Base Metals - Q&amp;V'!$H$8:$H$250,CONCATENATE("20",RIGHT('FY Q&amp;V 2003-04 to Now'!S$7,2)),'Base Metals - Q&amp;V'!$I$8:$I$250,2))*1000000</f>
        <v>1180779699.3599999</v>
      </c>
      <c r="U17" s="268">
        <f>(SUMIFS('Base Metals - Q&amp;V'!$B$8:$B$250,'Base Metals - Q&amp;V'!$H$8:$H$250,LEFT('FY Q&amp;V 2003-04 to Now'!U$7,4),'Base Metals - Q&amp;V'!$I$8:$I$250,3)+
SUMIFS('Base Metals - Q&amp;V'!$B$8:$B$250,'Base Metals - Q&amp;V'!$H$8:$H$250,LEFT('FY Q&amp;V 2003-04 to Now'!U$7:V$7,4),'Base Metals - Q&amp;V'!$I$8:$I$250,4)+
SUMIFS('Base Metals - Q&amp;V'!$B$8:$B$250,'Base Metals - Q&amp;V'!$H$8:$H$250,CONCATENATE("20",RIGHT('FY Q&amp;V 2003-04 to Now'!U$7,2)),'Base Metals - Q&amp;V'!$I$8:$I$250,1)+
SUMIFS('Base Metals - Q&amp;V'!$B$8:$B$250,'Base Metals - Q&amp;V'!$H$8:$H$250,CONCATENATE("20",RIGHT('FY Q&amp;V 2003-04 to Now'!U$7,2)),'Base Metals - Q&amp;V'!$I$8:$I$250,2))*1000</f>
        <v>209266.334817</v>
      </c>
      <c r="V17" s="268">
        <f>(SUMIFS('Base Metals - Q&amp;V'!$C$8:$C$250,'Base Metals - Q&amp;V'!$H$8:$H$250,LEFT('FY Q&amp;V 2003-04 to Now'!U$7,4),'Base Metals - Q&amp;V'!$I$8:$I$250,3)+
SUMIFS('Base Metals - Q&amp;V'!$C$8:$C$250,'Base Metals - Q&amp;V'!$H$8:$H$250,LEFT('FY Q&amp;V 2003-04 to Now'!U$7,4),'Base Metals - Q&amp;V'!$I$8:$I$250,4)+
SUMIFS('Base Metals - Q&amp;V'!$C$8:$C$250,'Base Metals - Q&amp;V'!$H$8:$H$250,CONCATENATE("20",RIGHT('FY Q&amp;V 2003-04 to Now'!U$7,2)),'Base Metals - Q&amp;V'!$I$8:$I$250,1)+
SUMIFS('Base Metals - Q&amp;V'!$C$8:$C$250,'Base Metals - Q&amp;V'!$H$8:$H$250,CONCATENATE("20",RIGHT('FY Q&amp;V 2003-04 to Now'!U$7,2)),'Base Metals - Q&amp;V'!$I$8:$I$250,2))*1000000</f>
        <v>1423043554.4100001</v>
      </c>
      <c r="W17" s="268">
        <f>(SUMIFS('Base Metals - Q&amp;V'!$B$8:$B$250,'Base Metals - Q&amp;V'!$H$8:$H$250,LEFT('FY Q&amp;V 2003-04 to Now'!W$7,4),'Base Metals - Q&amp;V'!$I$8:$I$250,3)+
SUMIFS('Base Metals - Q&amp;V'!$B$8:$B$250,'Base Metals - Q&amp;V'!$H$8:$H$250,LEFT('FY Q&amp;V 2003-04 to Now'!W$7:X$7,4),'Base Metals - Q&amp;V'!$I$8:$I$250,4)+
SUMIFS('Base Metals - Q&amp;V'!$B$8:$B$250,'Base Metals - Q&amp;V'!$H$8:$H$250,CONCATENATE("20",RIGHT('FY Q&amp;V 2003-04 to Now'!W$7,2)),'Base Metals - Q&amp;V'!$I$8:$I$250,1)+
SUMIFS('Base Metals - Q&amp;V'!$B$8:$B$250,'Base Metals - Q&amp;V'!$H$8:$H$250,CONCATENATE("20",RIGHT('FY Q&amp;V 2003-04 to Now'!W$7,2)),'Base Metals - Q&amp;V'!$I$8:$I$250,2))*1000</f>
        <v>211186.32200000001</v>
      </c>
      <c r="X17" s="268">
        <f>(SUMIFS('Base Metals - Q&amp;V'!$C$8:$C$250,'Base Metals - Q&amp;V'!$H$8:$H$250,LEFT('FY Q&amp;V 2003-04 to Now'!W$7,4),'Base Metals - Q&amp;V'!$I$8:$I$250,3)+
SUMIFS('Base Metals - Q&amp;V'!$C$8:$C$250,'Base Metals - Q&amp;V'!$H$8:$H$250,LEFT('FY Q&amp;V 2003-04 to Now'!W$7,4),'Base Metals - Q&amp;V'!$I$8:$I$250,4)+
SUMIFS('Base Metals - Q&amp;V'!$C$8:$C$250,'Base Metals - Q&amp;V'!$H$8:$H$250,CONCATENATE("20",RIGHT('FY Q&amp;V 2003-04 to Now'!W$7,2)),'Base Metals - Q&amp;V'!$I$8:$I$250,1)+
SUMIFS('Base Metals - Q&amp;V'!$C$8:$C$250,'Base Metals - Q&amp;V'!$H$8:$H$250,CONCATENATE("20",RIGHT('FY Q&amp;V 2003-04 to Now'!W$7,2)),'Base Metals - Q&amp;V'!$I$8:$I$250,2))*1000000</f>
        <v>1559565609.8399999</v>
      </c>
      <c r="Y17" s="268">
        <f>(SUMIFS('Base Metals - Q&amp;V'!$B$8:$B$250,'Base Metals - Q&amp;V'!$H$8:$H$250,LEFT('FY Q&amp;V 2003-04 to Now'!Y$7,4),'Base Metals - Q&amp;V'!$I$8:$I$250,3)+
SUMIFS('Base Metals - Q&amp;V'!$B$8:$B$250,'Base Metals - Q&amp;V'!$H$8:$H$250,LEFT('FY Q&amp;V 2003-04 to Now'!Y$7:Z$7,4),'Base Metals - Q&amp;V'!$I$8:$I$250,4)+
SUMIFS('Base Metals - Q&amp;V'!$B$8:$B$250,'Base Metals - Q&amp;V'!$H$8:$H$250,CONCATENATE("20",RIGHT('FY Q&amp;V 2003-04 to Now'!Y$7,2)),'Base Metals - Q&amp;V'!$I$8:$I$250,1)+
SUMIFS('Base Metals - Q&amp;V'!$B$8:$B$250,'Base Metals - Q&amp;V'!$H$8:$H$250,CONCATENATE("20",RIGHT('FY Q&amp;V 2003-04 to Now'!Y$7,2)),'Base Metals - Q&amp;V'!$I$8:$I$250,2))*1000</f>
        <v>184494.89700000003</v>
      </c>
      <c r="Z17" s="268">
        <f>(SUMIFS('Base Metals - Q&amp;V'!$C$8:$C$250,'Base Metals - Q&amp;V'!$H$8:$H$250,LEFT('FY Q&amp;V 2003-04 to Now'!Y$7,4),'Base Metals - Q&amp;V'!$I$8:$I$250,3)+
SUMIFS('Base Metals - Q&amp;V'!$C$8:$C$250,'Base Metals - Q&amp;V'!$H$8:$H$250,LEFT('FY Q&amp;V 2003-04 to Now'!Y$7,4),'Base Metals - Q&amp;V'!$I$8:$I$250,4)+
SUMIFS('Base Metals - Q&amp;V'!$C$8:$C$250,'Base Metals - Q&amp;V'!$H$8:$H$250,CONCATENATE("20",RIGHT('FY Q&amp;V 2003-04 to Now'!Y$7,2)),'Base Metals - Q&amp;V'!$I$8:$I$250,1)+
SUMIFS('Base Metals - Q&amp;V'!$C$8:$C$250,'Base Metals - Q&amp;V'!$H$8:$H$250,CONCATENATE("20",RIGHT('FY Q&amp;V 2003-04 to Now'!Y$7,2)),'Base Metals - Q&amp;V'!$I$8:$I$250,2))*1000000</f>
        <v>1283046797</v>
      </c>
      <c r="AA17" s="268">
        <f>(SUMIFS('Base Metals - Q&amp;V'!$B$8:$B$250,'Base Metals - Q&amp;V'!$H$8:$H$250,LEFT('FY Q&amp;V 2003-04 to Now'!AA$7,4),'Base Metals - Q&amp;V'!$I$8:$I$250,3)+
SUMIFS('Base Metals - Q&amp;V'!$B$8:$B$250,'Base Metals - Q&amp;V'!$H$8:$H$250,LEFT('FY Q&amp;V 2003-04 to Now'!AA$7:AB$7,4),'Base Metals - Q&amp;V'!$I$8:$I$250,4)+
SUMIFS('Base Metals - Q&amp;V'!$B$8:$B$250,'Base Metals - Q&amp;V'!$H$8:$H$250,CONCATENATE("20",RIGHT('FY Q&amp;V 2003-04 to Now'!AA$7,2)),'Base Metals - Q&amp;V'!$I$8:$I$250,1)+
SUMIFS('Base Metals - Q&amp;V'!$B$8:$B$250,'Base Metals - Q&amp;V'!$H$8:$H$250,CONCATENATE("20",RIGHT('FY Q&amp;V 2003-04 to Now'!AA$7,2)),'Base Metals - Q&amp;V'!$I$8:$I$250,2))*1000</f>
        <v>190274.75599999999</v>
      </c>
      <c r="AB17" s="268">
        <f>(SUMIFS('Base Metals - Q&amp;V'!$C$8:$C$250,'Base Metals - Q&amp;V'!$H$8:$H$250,LEFT('FY Q&amp;V 2003-04 to Now'!AA$7,4),'Base Metals - Q&amp;V'!$I$8:$I$250,3)+
SUMIFS('Base Metals - Q&amp;V'!$C$8:$C$250,'Base Metals - Q&amp;V'!$H$8:$H$250,LEFT('FY Q&amp;V 2003-04 to Now'!AA$7,4),'Base Metals - Q&amp;V'!$I$8:$I$250,4)+
SUMIFS('Base Metals - Q&amp;V'!$C$8:$C$250,'Base Metals - Q&amp;V'!$H$8:$H$250,CONCATENATE("20",RIGHT('FY Q&amp;V 2003-04 to Now'!AA$7,2)),'Base Metals - Q&amp;V'!$I$8:$I$250,1)+
SUMIFS('Base Metals - Q&amp;V'!$C$8:$C$250,'Base Metals - Q&amp;V'!$H$8:$H$250,CONCATENATE("20",RIGHT('FY Q&amp;V 2003-04 to Now'!AA$7,2)),'Base Metals - Q&amp;V'!$I$8:$I$250,2))*1000000</f>
        <v>1181262087</v>
      </c>
      <c r="AC17" s="268">
        <f>(SUMIFS('Base Metals - Q&amp;V'!$B$8:$B$250,'Base Metals - Q&amp;V'!$H$8:$H$250,LEFT('FY Q&amp;V 2003-04 to Now'!AC$7,4),'Base Metals - Q&amp;V'!$I$8:$I$250,3)+
SUMIFS('Base Metals - Q&amp;V'!$B$8:$B$250,'Base Metals - Q&amp;V'!$H$8:$H$250,LEFT('FY Q&amp;V 2003-04 to Now'!AC$7:AD$7,4),'Base Metals - Q&amp;V'!$I$8:$I$250,4)+
SUMIFS('Base Metals - Q&amp;V'!$B$8:$B$250,'Base Metals - Q&amp;V'!$H$8:$H$250,CONCATENATE("20",RIGHT('FY Q&amp;V 2003-04 to Now'!AC$7,2)),'Base Metals - Q&amp;V'!$I$8:$I$250,1)+
SUMIFS('Base Metals - Q&amp;V'!$B$8:$B$250,'Base Metals - Q&amp;V'!$H$8:$H$250,CONCATENATE("20",RIGHT('FY Q&amp;V 2003-04 to Now'!AC$7,2)),'Base Metals - Q&amp;V'!$I$8:$I$250,2))*1000</f>
        <v>170730.21500000003</v>
      </c>
      <c r="AD17" s="268">
        <f>(SUMIFS('Base Metals - Q&amp;V'!$C$8:$C$250,'Base Metals - Q&amp;V'!$H$8:$H$250,LEFT('FY Q&amp;V 2003-04 to Now'!AC$7,4),'Base Metals - Q&amp;V'!$I$8:$I$250,3)+
SUMIFS('Base Metals - Q&amp;V'!$C$8:$C$250,'Base Metals - Q&amp;V'!$H$8:$H$250,LEFT('FY Q&amp;V 2003-04 to Now'!AC$7,4),'Base Metals - Q&amp;V'!$I$8:$I$250,4)+
SUMIFS('Base Metals - Q&amp;V'!$C$8:$C$250,'Base Metals - Q&amp;V'!$H$8:$H$250,CONCATENATE("20",RIGHT('FY Q&amp;V 2003-04 to Now'!AC$7,2)),'Base Metals - Q&amp;V'!$I$8:$I$250,1)+
SUMIFS('Base Metals - Q&amp;V'!$C$8:$C$250,'Base Metals - Q&amp;V'!$H$8:$H$250,CONCATENATE("20",RIGHT('FY Q&amp;V 2003-04 to Now'!AC$7,2)),'Base Metals - Q&amp;V'!$I$8:$I$250,2))*1000000</f>
        <v>1240528049</v>
      </c>
      <c r="AE17" s="1259">
        <f>(SUMIFS('Base Metals - Q&amp;V'!$B$8:$B$250,'Base Metals - Q&amp;V'!$H$8:$H$250,LEFT('FY Q&amp;V 2003-04 to Now'!AE$7,4),'Base Metals - Q&amp;V'!$I$8:$I$250,3)+
SUMIFS('Base Metals - Q&amp;V'!$B$8:$B$250,'Base Metals - Q&amp;V'!$H$8:$H$250,LEFT('FY Q&amp;V 2003-04 to Now'!AE$7:AF$7,4),'Base Metals - Q&amp;V'!$I$8:$I$250,4)+
SUMIFS('Base Metals - Q&amp;V'!$B$8:$B$250,'Base Metals - Q&amp;V'!$H$8:$H$250,CONCATENATE("20",RIGHT('FY Q&amp;V 2003-04 to Now'!AE$7,2)),'Base Metals - Q&amp;V'!$I$8:$I$250,1)+
SUMIFS('Base Metals - Q&amp;V'!$B$8:$B$250,'Base Metals - Q&amp;V'!$H$8:$H$250,CONCATENATE("20",RIGHT('FY Q&amp;V 2003-04 to Now'!AE$7,2)),'Base Metals - Q&amp;V'!$I$8:$I$250,2))*1000</f>
        <v>174073.62299999999</v>
      </c>
      <c r="AF17" s="268">
        <f>(SUMIFS('Base Metals - Q&amp;V'!$C$8:$C$250,'Base Metals - Q&amp;V'!$H$8:$H$250,LEFT('FY Q&amp;V 2003-04 to Now'!AE$7,4),'Base Metals - Q&amp;V'!$I$8:$I$250,3)+
SUMIFS('Base Metals - Q&amp;V'!$C$8:$C$250,'Base Metals - Q&amp;V'!$H$8:$H$250,LEFT('FY Q&amp;V 2003-04 to Now'!AE$7,4),'Base Metals - Q&amp;V'!$I$8:$I$250,4)+
SUMIFS('Base Metals - Q&amp;V'!$C$8:$C$250,'Base Metals - Q&amp;V'!$H$8:$H$250,CONCATENATE("20",RIGHT('FY Q&amp;V 2003-04 to Now'!AE$7,2)),'Base Metals - Q&amp;V'!$I$8:$I$250,1)+
SUMIFS('Base Metals - Q&amp;V'!$C$8:$C$250,'Base Metals - Q&amp;V'!$H$8:$H$250,CONCATENATE("20",RIGHT('FY Q&amp;V 2003-04 to Now'!AE$7,2)),'Base Metals - Q&amp;V'!$I$8:$I$250,2))*1000000</f>
        <v>1347798370.9999998</v>
      </c>
      <c r="AG17" s="1259">
        <f>(SUMIFS('Base Metals - Q&amp;V'!$B$8:$B$250,'Base Metals - Q&amp;V'!$H$8:$H$250,LEFT('FY Q&amp;V 2003-04 to Now'!AG$7,4),'Base Metals - Q&amp;V'!$I$8:$I$250,3)+
SUMIFS('Base Metals - Q&amp;V'!$B$8:$B$250,'Base Metals - Q&amp;V'!$H$8:$H$250,LEFT('FY Q&amp;V 2003-04 to Now'!AG$7:AH$7,4),'Base Metals - Q&amp;V'!$I$8:$I$250,4)+
SUMIFS('Base Metals - Q&amp;V'!$B$8:$B$250,'Base Metals - Q&amp;V'!$H$8:$H$250,CONCATENATE("20",RIGHT('FY Q&amp;V 2003-04 to Now'!AG$7,2)),'Base Metals - Q&amp;V'!$I$8:$I$250,1)+
SUMIFS('Base Metals - Q&amp;V'!$B$8:$B$250,'Base Metals - Q&amp;V'!$H$8:$H$250,CONCATENATE("20",RIGHT('FY Q&amp;V 2003-04 to Now'!AG$7,2)),'Base Metals - Q&amp;V'!$I$8:$I$250,2))*1000</f>
        <v>162483.29499999998</v>
      </c>
      <c r="AH17" s="268">
        <f>(SUMIFS('Base Metals - Q&amp;V'!$C$8:$C$250,'Base Metals - Q&amp;V'!$H$8:$H$250,LEFT('FY Q&amp;V 2003-04 to Now'!AG$7,4),'Base Metals - Q&amp;V'!$I$8:$I$250,3)+
SUMIFS('Base Metals - Q&amp;V'!$C$8:$C$250,'Base Metals - Q&amp;V'!$H$8:$H$250,LEFT('FY Q&amp;V 2003-04 to Now'!AG$7,4),'Base Metals - Q&amp;V'!$I$8:$I$250,4)+
SUMIFS('Base Metals - Q&amp;V'!$C$8:$C$250,'Base Metals - Q&amp;V'!$H$8:$H$250,CONCATENATE("20",RIGHT('FY Q&amp;V 2003-04 to Now'!AG$7,2)),'Base Metals - Q&amp;V'!$I$8:$I$250,1)+
SUMIFS('Base Metals - Q&amp;V'!$C$8:$C$250,'Base Metals - Q&amp;V'!$H$8:$H$250,CONCATENATE("20",RIGHT('FY Q&amp;V 2003-04 to Now'!AG$7,2)),'Base Metals - Q&amp;V'!$I$8:$I$250,2))*1000000</f>
        <v>1321630656</v>
      </c>
      <c r="AI17" s="1259">
        <f>(SUMIFS('Base Metals - Q&amp;V'!$B$8:$B$250,'Base Metals - Q&amp;V'!$H$8:$H$250,LEFT('FY Q&amp;V 2003-04 to Now'!AI$7,4),'Base Metals - Q&amp;V'!$I$8:$I$250,3)+
SUMIFS('Base Metals - Q&amp;V'!$B$8:$B$250,'Base Metals - Q&amp;V'!$H$8:$H$250,LEFT('FY Q&amp;V 2003-04 to Now'!AI$7:AJ$7,4),'Base Metals - Q&amp;V'!$I$8:$I$250,4)+
SUMIFS('Base Metals - Q&amp;V'!$B$8:$B$250,'Base Metals - Q&amp;V'!$H$8:$H$250,CONCATENATE("20",RIGHT('FY Q&amp;V 2003-04 to Now'!AI$7,2)),'Base Metals - Q&amp;V'!$I$8:$I$250,1)+
SUMIFS('Base Metals - Q&amp;V'!$B$8:$B$250,'Base Metals - Q&amp;V'!$H$8:$H$250,CONCATENATE("20",RIGHT('FY Q&amp;V 2003-04 to Now'!AI$7,2)),'Base Metals - Q&amp;V'!$I$8:$I$250,2))*1000</f>
        <v>171383.19</v>
      </c>
      <c r="AJ17" s="268">
        <f>(SUMIFS('Base Metals - Q&amp;V'!$C$8:$C$250,'Base Metals - Q&amp;V'!$H$8:$H$250,LEFT('FY Q&amp;V 2003-04 to Now'!AI$7,4),'Base Metals - Q&amp;V'!$I$8:$I$250,3)+
SUMIFS('Base Metals - Q&amp;V'!$C$8:$C$250,'Base Metals - Q&amp;V'!$H$8:$H$250,LEFT('FY Q&amp;V 2003-04 to Now'!AI$7,4),'Base Metals - Q&amp;V'!$I$8:$I$250,4)+
SUMIFS('Base Metals - Q&amp;V'!$C$8:$C$250,'Base Metals - Q&amp;V'!$H$8:$H$250,CONCATENATE("20",RIGHT('FY Q&amp;V 2003-04 to Now'!AI$7,2)),'Base Metals - Q&amp;V'!$I$8:$I$250,1)+
SUMIFS('Base Metals - Q&amp;V'!$C$8:$C$250,'Base Metals - Q&amp;V'!$H$8:$H$250,CONCATENATE("20",RIGHT('FY Q&amp;V 2003-04 to Now'!AI$7,2)),'Base Metals - Q&amp;V'!$I$8:$I$250,2))*1000000</f>
        <v>1386762286</v>
      </c>
      <c r="AK17" s="268">
        <f>(SUMIFS('Base Metals - Q&amp;V'!$B$8:$B$250,'Base Metals - Q&amp;V'!$H$8:$H$250,LEFT('FY Q&amp;V 2003-04 to Now'!AK$7,4),'Base Metals - Q&amp;V'!$I$8:$I$250,3)+
SUMIFS('Base Metals - Q&amp;V'!$B$8:$B$250,'Base Metals - Q&amp;V'!$H$8:$H$250,LEFT('FY Q&amp;V 2003-04 to Now'!AK$7:AL$7,4),'Base Metals - Q&amp;V'!$I$8:$I$250,4)+
SUMIFS('Base Metals - Q&amp;V'!$B$8:$B$250,'Base Metals - Q&amp;V'!$H$8:$H$250,CONCATENATE("20",RIGHT('FY Q&amp;V 2003-04 to Now'!AK$7,2)),'Base Metals - Q&amp;V'!$I$8:$I$250,1)+
SUMIFS('Base Metals - Q&amp;V'!$B$8:$B$250,'Base Metals - Q&amp;V'!$H$8:$H$250,CONCATENATE("20",RIGHT('FY Q&amp;V 2003-04 to Now'!AK$7,2)),'Base Metals - Q&amp;V'!$I$8:$I$250,2))*1000</f>
        <v>145852.734</v>
      </c>
      <c r="AL17" s="268">
        <f>(SUMIFS('Base Metals - Q&amp;V'!$C$8:$C$250,'Base Metals - Q&amp;V'!$H$8:$H$250,LEFT('FY Q&amp;V 2003-04 to Now'!AK$7,4),'Base Metals - Q&amp;V'!$I$8:$I$250,3)+
SUMIFS('Base Metals - Q&amp;V'!$C$8:$C$250,'Base Metals - Q&amp;V'!$H$8:$H$250,LEFT('FY Q&amp;V 2003-04 to Now'!AK$7,4),'Base Metals - Q&amp;V'!$I$8:$I$250,4)+
SUMIFS('Base Metals - Q&amp;V'!$C$8:$C$250,'Base Metals - Q&amp;V'!$H$8:$H$250,CONCATENATE("20",RIGHT('FY Q&amp;V 2003-04 to Now'!AK$7,2)),'Base Metals - Q&amp;V'!$I$8:$I$250,1)+
SUMIFS('Base Metals - Q&amp;V'!$C$8:$C$250,'Base Metals - Q&amp;V'!$H$8:$H$250,CONCATENATE("20",RIGHT('FY Q&amp;V 2003-04 to Now'!AK$7,2)),'Base Metals - Q&amp;V'!$I$8:$I$250,2))*1000000</f>
        <v>1485144139.9999998</v>
      </c>
      <c r="AM17" s="1711">
        <f>SUMIF($C$9:AL$9,1,$C17:AL17)</f>
        <v>2641511.1467690002</v>
      </c>
      <c r="AN17" s="307">
        <f>SUMIF($C$9:AL$9,0,$C17:AL17)</f>
        <v>19599619149.450001</v>
      </c>
    </row>
    <row r="18" spans="1:42">
      <c r="A18" s="367" t="s">
        <v>291</v>
      </c>
      <c r="B18" s="207" t="s">
        <v>87</v>
      </c>
      <c r="C18" s="268">
        <f>(SUMIFS('Base Metals - Q&amp;V'!$D$8:$D$250,'Base Metals - Q&amp;V'!$H$8:$H$250,LEFT('FY Q&amp;V 2003-04 to Now'!C$7,4),'Base Metals - Q&amp;V'!$I$8:$I$250,3)+
SUMIFS('Base Metals - Q&amp;V'!$D$8:$D$250,'Base Metals - Q&amp;V'!$H$8:$H$250,LEFT('FY Q&amp;V 2003-04 to Now'!C$7:D$7,4),'Base Metals - Q&amp;V'!$I$8:$I$250,4)+
SUMIFS('Base Metals - Q&amp;V'!$D$8:$D$250,'Base Metals - Q&amp;V'!$H$8:$H$250,CONCATENATE("20",RIGHT('FY Q&amp;V 2003-04 to Now'!C$7,2)),'Base Metals - Q&amp;V'!$I$8:$I$250,1)+
SUMIFS('Base Metals - Q&amp;V'!$D$8:$D$250,'Base Metals - Q&amp;V'!$H$8:$H$250,CONCATENATE("20",RIGHT('FY Q&amp;V 2003-04 to Now'!C$7,2)),'Base Metals - Q&amp;V'!$I$8:$I$250,2))*1000</f>
        <v>23393</v>
      </c>
      <c r="D18" s="268">
        <f>(SUMIFS('Base Metals - Q&amp;V'!$E$8:$E$250,'Base Metals - Q&amp;V'!$H$8:$H$250,LEFT('FY Q&amp;V 2003-04 to Now'!C$7,4),'Base Metals - Q&amp;V'!$I$8:$I$250,3)+
SUMIFS('Base Metals - Q&amp;V'!$E$8:$E$250,'Base Metals - Q&amp;V'!$H$8:$H$250,LEFT('FY Q&amp;V 2003-04 to Now'!C$7,4),'Base Metals - Q&amp;V'!$I$8:$I$250,4)+
SUMIFS('Base Metals - Q&amp;V'!$E$8:$E$250,'Base Metals - Q&amp;V'!$H$8:$H$250,CONCATENATE("20",RIGHT('FY Q&amp;V 2003-04 to Now'!C$7,2)),'Base Metals - Q&amp;V'!$I$8:$I$250,1)+
SUMIFS('Base Metals - Q&amp;V'!$E$8:$E$250,'Base Metals - Q&amp;V'!$H$8:$H$250,CONCATENATE("20",RIGHT('FY Q&amp;V 2003-04 to Now'!C$7,2)),'Base Metals - Q&amp;V'!$I$8:$I$250,2))*1000000</f>
        <v>11971687.92</v>
      </c>
      <c r="E18" s="268">
        <f>(SUMIFS('Base Metals - Q&amp;V'!$D$8:$D$250,'Base Metals - Q&amp;V'!$H$8:$H$250,LEFT('FY Q&amp;V 2003-04 to Now'!E$7,4),'Base Metals - Q&amp;V'!$I$8:$I$250,3)+
SUMIFS('Base Metals - Q&amp;V'!$D$8:$D$250,'Base Metals - Q&amp;V'!$H$8:$H$250,LEFT('FY Q&amp;V 2003-04 to Now'!E$7:F$7,4),'Base Metals - Q&amp;V'!$I$8:$I$250,4)+
SUMIFS('Base Metals - Q&amp;V'!$D$8:$D$250,'Base Metals - Q&amp;V'!$H$8:$H$250,CONCATENATE("20",RIGHT('FY Q&amp;V 2003-04 to Now'!E$7,2)),'Base Metals - Q&amp;V'!$I$8:$I$250,1)+
SUMIFS('Base Metals - Q&amp;V'!$D$8:$D$250,'Base Metals - Q&amp;V'!$H$8:$H$250,CONCATENATE("20",RIGHT('FY Q&amp;V 2003-04 to Now'!E$7,2)),'Base Metals - Q&amp;V'!$I$8:$I$250,2))*1000</f>
        <v>2324.3399999999997</v>
      </c>
      <c r="F18" s="268">
        <f>(SUMIFS('Base Metals - Q&amp;V'!$E$8:$E$250,'Base Metals - Q&amp;V'!$H$8:$H$250,LEFT('FY Q&amp;V 2003-04 to Now'!E$7,4),'Base Metals - Q&amp;V'!$I$8:$I$250,3)+
SUMIFS('Base Metals - Q&amp;V'!$E$8:$E$250,'Base Metals - Q&amp;V'!$H$8:$H$250,LEFT('FY Q&amp;V 2003-04 to Now'!E$7,4),'Base Metals - Q&amp;V'!$I$8:$I$250,4)+
SUMIFS('Base Metals - Q&amp;V'!$E$8:$E$250,'Base Metals - Q&amp;V'!$H$8:$H$250,CONCATENATE("20",RIGHT('FY Q&amp;V 2003-04 to Now'!E$7,2)),'Base Metals - Q&amp;V'!$I$8:$I$250,1)+
SUMIFS('Base Metals - Q&amp;V'!$E$8:$E$250,'Base Metals - Q&amp;V'!$H$8:$H$250,CONCATENATE("20",RIGHT('FY Q&amp;V 2003-04 to Now'!E$7,2)),'Base Metals - Q&amp;V'!$I$8:$I$250,2))*1000000</f>
        <v>3006367.22</v>
      </c>
      <c r="G18" s="268">
        <f>(SUMIFS('Base Metals - Q&amp;V'!$D$8:$D$250,'Base Metals - Q&amp;V'!$H$8:$H$250,LEFT('FY Q&amp;V 2003-04 to Now'!G$7,4),'Base Metals - Q&amp;V'!$I$8:$I$250,3)+
SUMIFS('Base Metals - Q&amp;V'!$D$8:$D$250,'Base Metals - Q&amp;V'!$H$8:$H$250,LEFT('FY Q&amp;V 2003-04 to Now'!G$7:H$7,4),'Base Metals - Q&amp;V'!$I$8:$I$250,4)+
SUMIFS('Base Metals - Q&amp;V'!$D$8:$D$250,'Base Metals - Q&amp;V'!$H$8:$H$250,CONCATENATE("20",RIGHT('FY Q&amp;V 2003-04 to Now'!G$7,2)),'Base Metals - Q&amp;V'!$I$8:$I$250,1)+
SUMIFS('Base Metals - Q&amp;V'!$D$8:$D$250,'Base Metals - Q&amp;V'!$H$8:$H$250,CONCATENATE("20",RIGHT('FY Q&amp;V 2003-04 to Now'!G$7,2)),'Base Metals - Q&amp;V'!$I$8:$I$250,2))*1000</f>
        <v>57265.385999999999</v>
      </c>
      <c r="H18" s="268">
        <f>(SUMIFS('Base Metals - Q&amp;V'!$E$8:$E$250,'Base Metals - Q&amp;V'!$H$8:$H$250,LEFT('FY Q&amp;V 2003-04 to Now'!G$7,4),'Base Metals - Q&amp;V'!$I$8:$I$250,3)+
SUMIFS('Base Metals - Q&amp;V'!$E$8:$E$250,'Base Metals - Q&amp;V'!$H$8:$H$250,LEFT('FY Q&amp;V 2003-04 to Now'!G$7,4),'Base Metals - Q&amp;V'!$I$8:$I$250,4)+
SUMIFS('Base Metals - Q&amp;V'!$E$8:$E$250,'Base Metals - Q&amp;V'!$H$8:$H$250,CONCATENATE("20",RIGHT('FY Q&amp;V 2003-04 to Now'!G$7,2)),'Base Metals - Q&amp;V'!$I$8:$I$250,1)+
SUMIFS('Base Metals - Q&amp;V'!$E$8:$E$250,'Base Metals - Q&amp;V'!$H$8:$H$250,CONCATENATE("20",RIGHT('FY Q&amp;V 2003-04 to Now'!G$7,2)),'Base Metals - Q&amp;V'!$I$8:$I$250,2))*1000000</f>
        <v>84970520.390000001</v>
      </c>
      <c r="I18" s="268">
        <f>(SUMIFS('Base Metals - Q&amp;V'!$D$8:$D$250,'Base Metals - Q&amp;V'!$H$8:$H$250,LEFT('FY Q&amp;V 2003-04 to Now'!I$7,4),'Base Metals - Q&amp;V'!$I$8:$I$250,3)+
SUMIFS('Base Metals - Q&amp;V'!$D$8:$D$250,'Base Metals - Q&amp;V'!$H$8:$H$250,LEFT('FY Q&amp;V 2003-04 to Now'!I$7:J$7,4),'Base Metals - Q&amp;V'!$I$8:$I$250,4)+
SUMIFS('Base Metals - Q&amp;V'!$D$8:$D$250,'Base Metals - Q&amp;V'!$H$8:$H$250,CONCATENATE("20",RIGHT('FY Q&amp;V 2003-04 to Now'!I$7,2)),'Base Metals - Q&amp;V'!$I$8:$I$250,1)+
SUMIFS('Base Metals - Q&amp;V'!$D$8:$D$250,'Base Metals - Q&amp;V'!$H$8:$H$250,CONCATENATE("20",RIGHT('FY Q&amp;V 2003-04 to Now'!I$7,2)),'Base Metals - Q&amp;V'!$I$8:$I$250,2))*1000</f>
        <v>59563.004000000001</v>
      </c>
      <c r="J18" s="268">
        <f>(SUMIFS('Base Metals - Q&amp;V'!$E$8:$E$250,'Base Metals - Q&amp;V'!$H$8:$H$250,LEFT('FY Q&amp;V 2003-04 to Now'!I$7,4),'Base Metals - Q&amp;V'!$I$8:$I$250,3)+
SUMIFS('Base Metals - Q&amp;V'!$E$8:$E$250,'Base Metals - Q&amp;V'!$H$8:$H$250,LEFT('FY Q&amp;V 2003-04 to Now'!I$7,4),'Base Metals - Q&amp;V'!$I$8:$I$250,4)+
SUMIFS('Base Metals - Q&amp;V'!$E$8:$E$250,'Base Metals - Q&amp;V'!$H$8:$H$250,CONCATENATE("20",RIGHT('FY Q&amp;V 2003-04 to Now'!I$7,2)),'Base Metals - Q&amp;V'!$I$8:$I$250,1)+
SUMIFS('Base Metals - Q&amp;V'!$E$8:$E$250,'Base Metals - Q&amp;V'!$H$8:$H$250,CONCATENATE("20",RIGHT('FY Q&amp;V 2003-04 to Now'!I$7,2)),'Base Metals - Q&amp;V'!$I$8:$I$250,2))*1000000</f>
        <v>127759765.98</v>
      </c>
      <c r="K18" s="268">
        <f>(SUMIFS('Base Metals - Q&amp;V'!$D$8:$D$250,'Base Metals - Q&amp;V'!$H$8:$H$250,LEFT('FY Q&amp;V 2003-04 to Now'!K$7,4),'Base Metals - Q&amp;V'!$I$8:$I$250,3)+
SUMIFS('Base Metals - Q&amp;V'!$D$8:$D$250,'Base Metals - Q&amp;V'!$H$8:$H$250,LEFT('FY Q&amp;V 2003-04 to Now'!K$7:L$7,4),'Base Metals - Q&amp;V'!$I$8:$I$250,4)+
SUMIFS('Base Metals - Q&amp;V'!$D$8:$D$250,'Base Metals - Q&amp;V'!$H$8:$H$250,CONCATENATE("20",RIGHT('FY Q&amp;V 2003-04 to Now'!K$7,2)),'Base Metals - Q&amp;V'!$I$8:$I$250,1)+
SUMIFS('Base Metals - Q&amp;V'!$D$8:$D$250,'Base Metals - Q&amp;V'!$H$8:$H$250,CONCATENATE("20",RIGHT('FY Q&amp;V 2003-04 to Now'!K$7,2)),'Base Metals - Q&amp;V'!$I$8:$I$250,2))*1000</f>
        <v>25851.064999999999</v>
      </c>
      <c r="L18" s="268">
        <f>(SUMIFS('Base Metals - Q&amp;V'!$E$8:$E$250,'Base Metals - Q&amp;V'!$H$8:$H$250,LEFT('FY Q&amp;V 2003-04 to Now'!K$7,4),'Base Metals - Q&amp;V'!$I$8:$I$250,3)+
SUMIFS('Base Metals - Q&amp;V'!$E$8:$E$250,'Base Metals - Q&amp;V'!$H$8:$H$250,LEFT('FY Q&amp;V 2003-04 to Now'!K$7,4),'Base Metals - Q&amp;V'!$I$8:$I$250,4)+
SUMIFS('Base Metals - Q&amp;V'!$E$8:$E$250,'Base Metals - Q&amp;V'!$H$8:$H$250,CONCATENATE("20",RIGHT('FY Q&amp;V 2003-04 to Now'!K$7,2)),'Base Metals - Q&amp;V'!$I$8:$I$250,1)+
SUMIFS('Base Metals - Q&amp;V'!$E$8:$E$250,'Base Metals - Q&amp;V'!$H$8:$H$250,CONCATENATE("20",RIGHT('FY Q&amp;V 2003-04 to Now'!K$7,2)),'Base Metals - Q&amp;V'!$I$8:$I$250,2))*1000000</f>
        <v>63313165.580000006</v>
      </c>
      <c r="M18" s="268">
        <f>(SUMIFS('Base Metals - Q&amp;V'!$D$8:$D$250,'Base Metals - Q&amp;V'!$H$8:$H$250,LEFT('FY Q&amp;V 2003-04 to Now'!M$7,4),'Base Metals - Q&amp;V'!$I$8:$I$250,3)+
SUMIFS('Base Metals - Q&amp;V'!$D$8:$D$250,'Base Metals - Q&amp;V'!$H$8:$H$250,LEFT('FY Q&amp;V 2003-04 to Now'!M$7:N$7,4),'Base Metals - Q&amp;V'!$I$8:$I$250,4)+
SUMIFS('Base Metals - Q&amp;V'!$D$8:$D$250,'Base Metals - Q&amp;V'!$H$8:$H$250,CONCATENATE("20",RIGHT('FY Q&amp;V 2003-04 to Now'!M$7,2)),'Base Metals - Q&amp;V'!$I$8:$I$250,1)+
SUMIFS('Base Metals - Q&amp;V'!$D$8:$D$250,'Base Metals - Q&amp;V'!$H$8:$H$250,CONCATENATE("20",RIGHT('FY Q&amp;V 2003-04 to Now'!M$7,2)),'Base Metals - Q&amp;V'!$I$8:$I$250,2))*1000</f>
        <v>25203.105</v>
      </c>
      <c r="N18" s="268">
        <f>(SUMIFS('Base Metals - Q&amp;V'!$E$8:$E$250,'Base Metals - Q&amp;V'!$H$8:$H$250,LEFT('FY Q&amp;V 2003-04 to Now'!M$7,4),'Base Metals - Q&amp;V'!$I$8:$I$250,3)+
SUMIFS('Base Metals - Q&amp;V'!$E$8:$E$250,'Base Metals - Q&amp;V'!$H$8:$H$250,LEFT('FY Q&amp;V 2003-04 to Now'!M$7,4),'Base Metals - Q&amp;V'!$I$8:$I$250,4)+
SUMIFS('Base Metals - Q&amp;V'!$E$8:$E$250,'Base Metals - Q&amp;V'!$H$8:$H$250,CONCATENATE("20",RIGHT('FY Q&amp;V 2003-04 to Now'!M$7,2)),'Base Metals - Q&amp;V'!$I$8:$I$250,1)+
SUMIFS('Base Metals - Q&amp;V'!$E$8:$E$250,'Base Metals - Q&amp;V'!$H$8:$H$250,CONCATENATE("20",RIGHT('FY Q&amp;V 2003-04 to Now'!M$7,2)),'Base Metals - Q&amp;V'!$I$8:$I$250,2))*1000000</f>
        <v>42115327.649999999</v>
      </c>
      <c r="O18" s="268">
        <f>(SUMIFS('Base Metals - Q&amp;V'!$D$8:$D$250,'Base Metals - Q&amp;V'!$H$8:$H$250,LEFT('FY Q&amp;V 2003-04 to Now'!O$7,4),'Base Metals - Q&amp;V'!$I$8:$I$250,3)+
SUMIFS('Base Metals - Q&amp;V'!$D$8:$D$250,'Base Metals - Q&amp;V'!$H$8:$H$250,LEFT('FY Q&amp;V 2003-04 to Now'!O$7:P$7,4),'Base Metals - Q&amp;V'!$I$8:$I$250,4)+
SUMIFS('Base Metals - Q&amp;V'!$D$8:$D$250,'Base Metals - Q&amp;V'!$H$8:$H$250,CONCATENATE("20",RIGHT('FY Q&amp;V 2003-04 to Now'!O$7,2)),'Base Metals - Q&amp;V'!$I$8:$I$250,1)+
SUMIFS('Base Metals - Q&amp;V'!$D$8:$D$250,'Base Metals - Q&amp;V'!$H$8:$H$250,CONCATENATE("20",RIGHT('FY Q&amp;V 2003-04 to Now'!O$7,2)),'Base Metals - Q&amp;V'!$I$8:$I$250,2))*1000</f>
        <v>26011.457999999999</v>
      </c>
      <c r="P18" s="268">
        <f>(SUMIFS('Base Metals - Q&amp;V'!$E$8:$E$250,'Base Metals - Q&amp;V'!$H$8:$H$250,LEFT('FY Q&amp;V 2003-04 to Now'!O$7,4),'Base Metals - Q&amp;V'!$I$8:$I$250,3)+
SUMIFS('Base Metals - Q&amp;V'!$E$8:$E$250,'Base Metals - Q&amp;V'!$H$8:$H$250,LEFT('FY Q&amp;V 2003-04 to Now'!O$7,4),'Base Metals - Q&amp;V'!$I$8:$I$250,4)+
SUMIFS('Base Metals - Q&amp;V'!$E$8:$E$250,'Base Metals - Q&amp;V'!$H$8:$H$250,CONCATENATE("20",RIGHT('FY Q&amp;V 2003-04 to Now'!O$7,2)),'Base Metals - Q&amp;V'!$I$8:$I$250,1)+
SUMIFS('Base Metals - Q&amp;V'!$E$8:$E$250,'Base Metals - Q&amp;V'!$H$8:$H$250,CONCATENATE("20",RIGHT('FY Q&amp;V 2003-04 to Now'!O$7,2)),'Base Metals - Q&amp;V'!$I$8:$I$250,2))*1000000</f>
        <v>61554965.920000002</v>
      </c>
      <c r="Q18" s="268">
        <f>(SUMIFS('Base Metals - Q&amp;V'!$D$8:$D$250,'Base Metals - Q&amp;V'!$H$8:$H$250,LEFT('FY Q&amp;V 2003-04 to Now'!Q$7,4),'Base Metals - Q&amp;V'!$I$8:$I$250,3)+
SUMIFS('Base Metals - Q&amp;V'!$D$8:$D$250,'Base Metals - Q&amp;V'!$H$8:$H$250,LEFT('FY Q&amp;V 2003-04 to Now'!Q$7:R$7,4),'Base Metals - Q&amp;V'!$I$8:$I$250,4)+
SUMIFS('Base Metals - Q&amp;V'!$D$8:$D$250,'Base Metals - Q&amp;V'!$H$8:$H$250,CONCATENATE("20",RIGHT('FY Q&amp;V 2003-04 to Now'!Q$7,2)),'Base Metals - Q&amp;V'!$I$8:$I$250,1)+
SUMIFS('Base Metals - Q&amp;V'!$D$8:$D$250,'Base Metals - Q&amp;V'!$H$8:$H$250,CONCATENATE("20",RIGHT('FY Q&amp;V 2003-04 to Now'!Q$7,2)),'Base Metals - Q&amp;V'!$I$8:$I$250,2))*1000</f>
        <v>40763.701000000008</v>
      </c>
      <c r="R18" s="268">
        <f>(SUMIFS('Base Metals - Q&amp;V'!$E$8:$E$250,'Base Metals - Q&amp;V'!$H$8:$H$250,LEFT('FY Q&amp;V 2003-04 to Now'!Q$7,4),'Base Metals - Q&amp;V'!$I$8:$I$250,3)+
SUMIFS('Base Metals - Q&amp;V'!$E$8:$E$250,'Base Metals - Q&amp;V'!$H$8:$H$250,LEFT('FY Q&amp;V 2003-04 to Now'!Q$7,4),'Base Metals - Q&amp;V'!$I$8:$I$250,4)+
SUMIFS('Base Metals - Q&amp;V'!$E$8:$E$250,'Base Metals - Q&amp;V'!$H$8:$H$250,CONCATENATE("20",RIGHT('FY Q&amp;V 2003-04 to Now'!Q$7,2)),'Base Metals - Q&amp;V'!$I$8:$I$250,1)+
SUMIFS('Base Metals - Q&amp;V'!$E$8:$E$250,'Base Metals - Q&amp;V'!$H$8:$H$250,CONCATENATE("20",RIGHT('FY Q&amp;V 2003-04 to Now'!Q$7,2)),'Base Metals - Q&amp;V'!$I$8:$I$250,2))*1000000</f>
        <v>100068469.13</v>
      </c>
      <c r="S18" s="268">
        <f>(SUMIFS('Base Metals - Q&amp;V'!$D$8:$D$250,'Base Metals - Q&amp;V'!$H$8:$H$250,LEFT('FY Q&amp;V 2003-04 to Now'!S$7,4),'Base Metals - Q&amp;V'!$I$8:$I$250,3)+
SUMIFS('Base Metals - Q&amp;V'!$D$8:$D$250,'Base Metals - Q&amp;V'!$H$8:$H$250,LEFT('FY Q&amp;V 2003-04 to Now'!S$7:T$7,4),'Base Metals - Q&amp;V'!$I$8:$I$250,4)+
SUMIFS('Base Metals - Q&amp;V'!$D$8:$D$250,'Base Metals - Q&amp;V'!$H$8:$H$250,CONCATENATE("20",RIGHT('FY Q&amp;V 2003-04 to Now'!S$7,2)),'Base Metals - Q&amp;V'!$I$8:$I$250,1)+
SUMIFS('Base Metals - Q&amp;V'!$D$8:$D$250,'Base Metals - Q&amp;V'!$H$8:$H$250,CONCATENATE("20",RIGHT('FY Q&amp;V 2003-04 to Now'!S$7,2)),'Base Metals - Q&amp;V'!$I$8:$I$250,2))*1000</f>
        <v>6921.7059999999992</v>
      </c>
      <c r="T18" s="268">
        <f>(SUMIFS('Base Metals - Q&amp;V'!$E$8:$E$250,'Base Metals - Q&amp;V'!$H$8:$H$250,LEFT('FY Q&amp;V 2003-04 to Now'!S$7,4),'Base Metals - Q&amp;V'!$I$8:$I$250,3)+
SUMIFS('Base Metals - Q&amp;V'!$E$8:$E$250,'Base Metals - Q&amp;V'!$H$8:$H$250,LEFT('FY Q&amp;V 2003-04 to Now'!S$7,4),'Base Metals - Q&amp;V'!$I$8:$I$250,4)+
SUMIFS('Base Metals - Q&amp;V'!$E$8:$E$250,'Base Metals - Q&amp;V'!$H$8:$H$250,CONCATENATE("20",RIGHT('FY Q&amp;V 2003-04 to Now'!S$7,2)),'Base Metals - Q&amp;V'!$I$8:$I$250,1)+
SUMIFS('Base Metals - Q&amp;V'!$E$8:$E$250,'Base Metals - Q&amp;V'!$H$8:$H$250,CONCATENATE("20",RIGHT('FY Q&amp;V 2003-04 to Now'!S$7,2)),'Base Metals - Q&amp;V'!$I$8:$I$250,2))*1000000</f>
        <v>13839830.629999999</v>
      </c>
      <c r="U18" s="268">
        <f>(SUMIFS('Base Metals - Q&amp;V'!$D$8:$D$250,'Base Metals - Q&amp;V'!$H$8:$H$250,LEFT('FY Q&amp;V 2003-04 to Now'!U$7,4),'Base Metals - Q&amp;V'!$I$8:$I$250,3)+
SUMIFS('Base Metals - Q&amp;V'!$D$8:$D$250,'Base Metals - Q&amp;V'!$H$8:$H$250,LEFT('FY Q&amp;V 2003-04 to Now'!U$7:V$7,4),'Base Metals - Q&amp;V'!$I$8:$I$250,4)+
SUMIFS('Base Metals - Q&amp;V'!$D$8:$D$250,'Base Metals - Q&amp;V'!$H$8:$H$250,CONCATENATE("20",RIGHT('FY Q&amp;V 2003-04 to Now'!U$7,2)),'Base Metals - Q&amp;V'!$I$8:$I$250,1)+
SUMIFS('Base Metals - Q&amp;V'!$D$8:$D$250,'Base Metals - Q&amp;V'!$H$8:$H$250,CONCATENATE("20",RIGHT('FY Q&amp;V 2003-04 to Now'!U$7,2)),'Base Metals - Q&amp;V'!$I$8:$I$250,2))*1000</f>
        <v>16640.839999999997</v>
      </c>
      <c r="V18" s="268">
        <f>(SUMIFS('Base Metals - Q&amp;V'!$E$8:$E$250,'Base Metals - Q&amp;V'!$H$8:$H$250,LEFT('FY Q&amp;V 2003-04 to Now'!U$7,4),'Base Metals - Q&amp;V'!$I$8:$I$250,3)+
SUMIFS('Base Metals - Q&amp;V'!$E$8:$E$250,'Base Metals - Q&amp;V'!$H$8:$H$250,LEFT('FY Q&amp;V 2003-04 to Now'!U$7,4),'Base Metals - Q&amp;V'!$I$8:$I$250,4)+
SUMIFS('Base Metals - Q&amp;V'!$E$8:$E$250,'Base Metals - Q&amp;V'!$H$8:$H$250,CONCATENATE("20",RIGHT('FY Q&amp;V 2003-04 to Now'!U$7,2)),'Base Metals - Q&amp;V'!$I$8:$I$250,1)+
SUMIFS('Base Metals - Q&amp;V'!$E$8:$E$250,'Base Metals - Q&amp;V'!$H$8:$H$250,CONCATENATE("20",RIGHT('FY Q&amp;V 2003-04 to Now'!U$7,2)),'Base Metals - Q&amp;V'!$I$8:$I$250,2))*1000000</f>
        <v>35049524.680000007</v>
      </c>
      <c r="W18" s="268">
        <f>(SUMIFS('Base Metals - Q&amp;V'!$D$8:$D$250,'Base Metals - Q&amp;V'!$H$8:$H$250,LEFT('FY Q&amp;V 2003-04 to Now'!W$7,4),'Base Metals - Q&amp;V'!$I$8:$I$250,3)+
SUMIFS('Base Metals - Q&amp;V'!$D$8:$D$250,'Base Metals - Q&amp;V'!$H$8:$H$250,LEFT('FY Q&amp;V 2003-04 to Now'!W$7:X$7,4),'Base Metals - Q&amp;V'!$I$8:$I$250,4)+
SUMIFS('Base Metals - Q&amp;V'!$D$8:$D$250,'Base Metals - Q&amp;V'!$H$8:$H$250,CONCATENATE("20",RIGHT('FY Q&amp;V 2003-04 to Now'!W$7,2)),'Base Metals - Q&amp;V'!$I$8:$I$250,1)+
SUMIFS('Base Metals - Q&amp;V'!$D$8:$D$250,'Base Metals - Q&amp;V'!$H$8:$H$250,CONCATENATE("20",RIGHT('FY Q&amp;V 2003-04 to Now'!W$7,2)),'Base Metals - Q&amp;V'!$I$8:$I$250,2))*1000</f>
        <v>78650.710000000006</v>
      </c>
      <c r="X18" s="268">
        <f>(SUMIFS('Base Metals - Q&amp;V'!$E$8:$E$250,'Base Metals - Q&amp;V'!$H$8:$H$250,LEFT('FY Q&amp;V 2003-04 to Now'!W$7,4),'Base Metals - Q&amp;V'!$I$8:$I$250,3)+
SUMIFS('Base Metals - Q&amp;V'!$E$8:$E$250,'Base Metals - Q&amp;V'!$H$8:$H$250,LEFT('FY Q&amp;V 2003-04 to Now'!W$7,4),'Base Metals - Q&amp;V'!$I$8:$I$250,4)+
SUMIFS('Base Metals - Q&amp;V'!$E$8:$E$250,'Base Metals - Q&amp;V'!$H$8:$H$250,CONCATENATE("20",RIGHT('FY Q&amp;V 2003-04 to Now'!W$7,2)),'Base Metals - Q&amp;V'!$I$8:$I$250,1)+
SUMIFS('Base Metals - Q&amp;V'!$E$8:$E$250,'Base Metals - Q&amp;V'!$H$8:$H$250,CONCATENATE("20",RIGHT('FY Q&amp;V 2003-04 to Now'!W$7,2)),'Base Metals - Q&amp;V'!$I$8:$I$250,2))*1000000</f>
        <v>178764058.46000001</v>
      </c>
      <c r="Y18" s="268">
        <f>(SUMIFS('Base Metals - Q&amp;V'!$D$8:$D$250,'Base Metals - Q&amp;V'!$H$8:$H$250,LEFT('FY Q&amp;V 2003-04 to Now'!Y$7,4),'Base Metals - Q&amp;V'!$I$8:$I$250,3)+
SUMIFS('Base Metals - Q&amp;V'!$D$8:$D$250,'Base Metals - Q&amp;V'!$H$8:$H$250,LEFT('FY Q&amp;V 2003-04 to Now'!Y$7:Z$7,4),'Base Metals - Q&amp;V'!$I$8:$I$250,4)+
SUMIFS('Base Metals - Q&amp;V'!$D$8:$D$250,'Base Metals - Q&amp;V'!$H$8:$H$250,CONCATENATE("20",RIGHT('FY Q&amp;V 2003-04 to Now'!Y$7,2)),'Base Metals - Q&amp;V'!$I$8:$I$250,1)+
SUMIFS('Base Metals - Q&amp;V'!$D$8:$D$250,'Base Metals - Q&amp;V'!$H$8:$H$250,CONCATENATE("20",RIGHT('FY Q&amp;V 2003-04 to Now'!Y$7,2)),'Base Metals - Q&amp;V'!$I$8:$I$250,2))*1000</f>
        <v>59248.420000000006</v>
      </c>
      <c r="Z18" s="268">
        <f>(SUMIFS('Base Metals - Q&amp;V'!$E$8:$E$250,'Base Metals - Q&amp;V'!$H$8:$H$250,LEFT('FY Q&amp;V 2003-04 to Now'!Y$7,4),'Base Metals - Q&amp;V'!$I$8:$I$250,3)+
SUMIFS('Base Metals - Q&amp;V'!$E$8:$E$250,'Base Metals - Q&amp;V'!$H$8:$H$250,LEFT('FY Q&amp;V 2003-04 to Now'!Y$7,4),'Base Metals - Q&amp;V'!$I$8:$I$250,4)+
SUMIFS('Base Metals - Q&amp;V'!$E$8:$E$250,'Base Metals - Q&amp;V'!$H$8:$H$250,CONCATENATE("20",RIGHT('FY Q&amp;V 2003-04 to Now'!Y$7,2)),'Base Metals - Q&amp;V'!$I$8:$I$250,1)+
SUMIFS('Base Metals - Q&amp;V'!$E$8:$E$250,'Base Metals - Q&amp;V'!$H$8:$H$250,CONCATENATE("20",RIGHT('FY Q&amp;V 2003-04 to Now'!Y$7,2)),'Base Metals - Q&amp;V'!$I$8:$I$250,2))*1000000</f>
        <v>136949662.00000003</v>
      </c>
      <c r="AA18" s="268">
        <f>(SUMIFS('Base Metals - Q&amp;V'!$D$8:$D$250,'Base Metals - Q&amp;V'!$H$8:$H$250,LEFT('FY Q&amp;V 2003-04 to Now'!AA$7,4),'Base Metals - Q&amp;V'!$I$8:$I$250,3)+
SUMIFS('Base Metals - Q&amp;V'!$D$8:$D$250,'Base Metals - Q&amp;V'!$H$8:$H$250,LEFT('FY Q&amp;V 2003-04 to Now'!AA$7:AB$7,4),'Base Metals - Q&amp;V'!$I$8:$I$250,4)+
SUMIFS('Base Metals - Q&amp;V'!$D$8:$D$250,'Base Metals - Q&amp;V'!$H$8:$H$250,CONCATENATE("20",RIGHT('FY Q&amp;V 2003-04 to Now'!AA$7,2)),'Base Metals - Q&amp;V'!$I$8:$I$250,1)+
SUMIFS('Base Metals - Q&amp;V'!$D$8:$D$250,'Base Metals - Q&amp;V'!$H$8:$H$250,CONCATENATE("20",RIGHT('FY Q&amp;V 2003-04 to Now'!AA$7,2)),'Base Metals - Q&amp;V'!$I$8:$I$250,2))*1000</f>
        <v>5988</v>
      </c>
      <c r="AB18" s="268">
        <f>(SUMIFS('Base Metals - Q&amp;V'!$E$8:$E$250,'Base Metals - Q&amp;V'!$H$8:$H$250,LEFT('FY Q&amp;V 2003-04 to Now'!AA$7,4),'Base Metals - Q&amp;V'!$I$8:$I$250,3)+
SUMIFS('Base Metals - Q&amp;V'!$E$8:$E$250,'Base Metals - Q&amp;V'!$H$8:$H$250,LEFT('FY Q&amp;V 2003-04 to Now'!AA$7,4),'Base Metals - Q&amp;V'!$I$8:$I$250,4)+
SUMIFS('Base Metals - Q&amp;V'!$E$8:$E$250,'Base Metals - Q&amp;V'!$H$8:$H$250,CONCATENATE("20",RIGHT('FY Q&amp;V 2003-04 to Now'!AA$7,2)),'Base Metals - Q&amp;V'!$I$8:$I$250,1)+
SUMIFS('Base Metals - Q&amp;V'!$E$8:$E$250,'Base Metals - Q&amp;V'!$H$8:$H$250,CONCATENATE("20",RIGHT('FY Q&amp;V 2003-04 to Now'!AA$7,2)),'Base Metals - Q&amp;V'!$I$8:$I$250,2))*1000000</f>
        <v>14810595</v>
      </c>
      <c r="AC18" s="268">
        <f>(SUMIFS('Base Metals - Q&amp;V'!$D$8:$D$250,'Base Metals - Q&amp;V'!$H$8:$H$250,LEFT('FY Q&amp;V 2003-04 to Now'!AC$7,4),'Base Metals - Q&amp;V'!$I$8:$I$250,3)+
SUMIFS('Base Metals - Q&amp;V'!$D$8:$D$250,'Base Metals - Q&amp;V'!$H$8:$H$250,LEFT('FY Q&amp;V 2003-04 to Now'!AC$7:AD$7,4),'Base Metals - Q&amp;V'!$I$8:$I$250,4)+
SUMIFS('Base Metals - Q&amp;V'!$D$8:$D$250,'Base Metals - Q&amp;V'!$H$8:$H$250,CONCATENATE("20",RIGHT('FY Q&amp;V 2003-04 to Now'!AC$7,2)),'Base Metals - Q&amp;V'!$I$8:$I$250,1)+
SUMIFS('Base Metals - Q&amp;V'!$D$8:$D$250,'Base Metals - Q&amp;V'!$H$8:$H$250,CONCATENATE("20",RIGHT('FY Q&amp;V 2003-04 to Now'!AC$7,2)),'Base Metals - Q&amp;V'!$I$8:$I$250,2))*1000</f>
        <v>3507.4799999999996</v>
      </c>
      <c r="AD18" s="268">
        <f>(SUMIFS('Base Metals - Q&amp;V'!$E$8:$E$250,'Base Metals - Q&amp;V'!$H$8:$H$250,LEFT('FY Q&amp;V 2003-04 to Now'!AC$7,4),'Base Metals - Q&amp;V'!$I$8:$I$250,3)+
SUMIFS('Base Metals - Q&amp;V'!$E$8:$E$250,'Base Metals - Q&amp;V'!$H$8:$H$250,LEFT('FY Q&amp;V 2003-04 to Now'!AC$7,4),'Base Metals - Q&amp;V'!$I$8:$I$250,4)+
SUMIFS('Base Metals - Q&amp;V'!$E$8:$E$250,'Base Metals - Q&amp;V'!$H$8:$H$250,CONCATENATE("20",RIGHT('FY Q&amp;V 2003-04 to Now'!AC$7,2)),'Base Metals - Q&amp;V'!$I$8:$I$250,1)+
SUMIFS('Base Metals - Q&amp;V'!$E$8:$E$250,'Base Metals - Q&amp;V'!$H$8:$H$250,CONCATENATE("20",RIGHT('FY Q&amp;V 2003-04 to Now'!AC$7,2)),'Base Metals - Q&amp;V'!$I$8:$I$250,2))*1000000</f>
        <v>10146717</v>
      </c>
      <c r="AE18" s="1259">
        <f>(SUMIFS('Base Metals - Q&amp;V'!$D$8:$D$250,'Base Metals - Q&amp;V'!$H$8:$H$250,LEFT('FY Q&amp;V 2003-04 to Now'!AE$7,4),'Base Metals - Q&amp;V'!$I$8:$I$250,3)+
SUMIFS('Base Metals - Q&amp;V'!$D$8:$D$250,'Base Metals - Q&amp;V'!$H$8:$H$250,LEFT('FY Q&amp;V 2003-04 to Now'!AE$7:AF$7,4),'Base Metals - Q&amp;V'!$I$8:$I$250,4)+
SUMIFS('Base Metals - Q&amp;V'!$D$8:$D$250,'Base Metals - Q&amp;V'!$H$8:$H$250,CONCATENATE("20",RIGHT('FY Q&amp;V 2003-04 to Now'!AE$7,2)),'Base Metals - Q&amp;V'!$I$8:$I$250,1)+
SUMIFS('Base Metals - Q&amp;V'!$D$8:$D$250,'Base Metals - Q&amp;V'!$H$8:$H$250,CONCATENATE("20",RIGHT('FY Q&amp;V 2003-04 to Now'!AE$7,2)),'Base Metals - Q&amp;V'!$I$8:$I$250,2))*1000</f>
        <v>7397.2800000000007</v>
      </c>
      <c r="AF18" s="268">
        <f>(SUMIFS('Base Metals - Q&amp;V'!$E$8:$E$250,'Base Metals - Q&amp;V'!$H$8:$H$250,LEFT('FY Q&amp;V 2003-04 to Now'!AE$7,4),'Base Metals - Q&amp;V'!$I$8:$I$250,3)+
SUMIFS('Base Metals - Q&amp;V'!$E$8:$E$250,'Base Metals - Q&amp;V'!$H$8:$H$250,LEFT('FY Q&amp;V 2003-04 to Now'!AE$7,4),'Base Metals - Q&amp;V'!$I$8:$I$250,4)+
SUMIFS('Base Metals - Q&amp;V'!$E$8:$E$250,'Base Metals - Q&amp;V'!$H$8:$H$250,CONCATENATE("20",RIGHT('FY Q&amp;V 2003-04 to Now'!AE$7,2)),'Base Metals - Q&amp;V'!$I$8:$I$250,1)+
SUMIFS('Base Metals - Q&amp;V'!$E$8:$E$250,'Base Metals - Q&amp;V'!$H$8:$H$250,CONCATENATE("20",RIGHT('FY Q&amp;V 2003-04 to Now'!AE$7,2)),'Base Metals - Q&amp;V'!$I$8:$I$250,2))*1000000</f>
        <v>22799222.999999996</v>
      </c>
      <c r="AG18" s="1259">
        <f>(SUMIFS('Base Metals - Q&amp;V'!$D$8:$D$250,'Base Metals - Q&amp;V'!$H$8:$H$250,LEFT('FY Q&amp;V 2003-04 to Now'!AG$7,4),'Base Metals - Q&amp;V'!$I$8:$I$250,3)+
SUMIFS('Base Metals - Q&amp;V'!$D$8:$D$250,'Base Metals - Q&amp;V'!$H$8:$H$250,LEFT('FY Q&amp;V 2003-04 to Now'!AG$7:AH$7,4),'Base Metals - Q&amp;V'!$I$8:$I$250,4)+
SUMIFS('Base Metals - Q&amp;V'!$D$8:$D$250,'Base Metals - Q&amp;V'!$H$8:$H$250,CONCATENATE("20",RIGHT('FY Q&amp;V 2003-04 to Now'!AG$7,2)),'Base Metals - Q&amp;V'!$I$8:$I$250,1)+
SUMIFS('Base Metals - Q&amp;V'!$D$8:$D$250,'Base Metals - Q&amp;V'!$H$8:$H$250,CONCATENATE("20",RIGHT('FY Q&amp;V 2003-04 to Now'!AG$7,2)),'Base Metals - Q&amp;V'!$I$8:$I$250,2))*1000</f>
        <v>4852.01</v>
      </c>
      <c r="AH18" s="268">
        <f>(SUMIFS('Base Metals - Q&amp;V'!$E$8:$E$250,'Base Metals - Q&amp;V'!$H$8:$H$250,LEFT('FY Q&amp;V 2003-04 to Now'!AG$7,4),'Base Metals - Q&amp;V'!$I$8:$I$250,3)+
SUMIFS('Base Metals - Q&amp;V'!$E$8:$E$250,'Base Metals - Q&amp;V'!$H$8:$H$250,LEFT('FY Q&amp;V 2003-04 to Now'!AG$7,4),'Base Metals - Q&amp;V'!$I$8:$I$250,4)+
SUMIFS('Base Metals - Q&amp;V'!$E$8:$E$250,'Base Metals - Q&amp;V'!$H$8:$H$250,CONCATENATE("20",RIGHT('FY Q&amp;V 2003-04 to Now'!AG$7,2)),'Base Metals - Q&amp;V'!$I$8:$I$250,1)+
SUMIFS('Base Metals - Q&amp;V'!$E$8:$E$250,'Base Metals - Q&amp;V'!$H$8:$H$250,CONCATENATE("20",RIGHT('FY Q&amp;V 2003-04 to Now'!AG$7,2)),'Base Metals - Q&amp;V'!$I$8:$I$250,2))*1000000</f>
        <v>13344177.000000002</v>
      </c>
      <c r="AI18" s="1259">
        <f>(SUMIFS('Base Metals - Q&amp;V'!$D$8:$D$250,'Base Metals - Q&amp;V'!$H$8:$H$250,LEFT('FY Q&amp;V 2003-04 to Now'!AI$7,4),'Base Metals - Q&amp;V'!$I$8:$I$250,3)+
SUMIFS('Base Metals - Q&amp;V'!$D$8:$D$250,'Base Metals - Q&amp;V'!$H$8:$H$250,LEFT('FY Q&amp;V 2003-04 to Now'!AI$7:AJ$7,4),'Base Metals - Q&amp;V'!$I$8:$I$250,4)+
SUMIFS('Base Metals - Q&amp;V'!$D$8:$D$250,'Base Metals - Q&amp;V'!$H$8:$H$250,CONCATENATE("20",RIGHT('FY Q&amp;V 2003-04 to Now'!AI$7,2)),'Base Metals - Q&amp;V'!$I$8:$I$250,1)+
SUMIFS('Base Metals - Q&amp;V'!$D$8:$D$250,'Base Metals - Q&amp;V'!$H$8:$H$250,CONCATENATE("20",RIGHT('FY Q&amp;V 2003-04 to Now'!AI$7,2)),'Base Metals - Q&amp;V'!$I$8:$I$250,2))*1000</f>
        <v>2775.3150000000001</v>
      </c>
      <c r="AJ18" s="268">
        <f>(SUMIFS('Base Metals - Q&amp;V'!$E$8:$E$250,'Base Metals - Q&amp;V'!$H$8:$H$250,LEFT('FY Q&amp;V 2003-04 to Now'!AI$7,4),'Base Metals - Q&amp;V'!$I$8:$I$250,3)+
SUMIFS('Base Metals - Q&amp;V'!$E$8:$E$250,'Base Metals - Q&amp;V'!$H$8:$H$250,LEFT('FY Q&amp;V 2003-04 to Now'!AI$7,4),'Base Metals - Q&amp;V'!$I$8:$I$250,4)+
SUMIFS('Base Metals - Q&amp;V'!$E$8:$E$250,'Base Metals - Q&amp;V'!$H$8:$H$250,CONCATENATE("20",RIGHT('FY Q&amp;V 2003-04 to Now'!AI$7,2)),'Base Metals - Q&amp;V'!$I$8:$I$250,1)+
SUMIFS('Base Metals - Q&amp;V'!$E$8:$E$250,'Base Metals - Q&amp;V'!$H$8:$H$250,CONCATENATE("20",RIGHT('FY Q&amp;V 2003-04 to Now'!AI$7,2)),'Base Metals - Q&amp;V'!$I$8:$I$250,2))*1000000</f>
        <v>7470739.9999999991</v>
      </c>
      <c r="AK18" s="268">
        <f>(SUMIFS('Base Metals - Q&amp;V'!$D$8:$D$250,'Base Metals - Q&amp;V'!$H$8:$H$250,LEFT('FY Q&amp;V 2003-04 to Now'!AK$7,4),'Base Metals - Q&amp;V'!$I$8:$I$250,3)+
SUMIFS('Base Metals - Q&amp;V'!$D$8:$D$250,'Base Metals - Q&amp;V'!$H$8:$H$250,LEFT('FY Q&amp;V 2003-04 to Now'!AK$7:AL$7,4),'Base Metals - Q&amp;V'!$I$8:$I$250,4)+
SUMIFS('Base Metals - Q&amp;V'!$D$8:$D$250,'Base Metals - Q&amp;V'!$H$8:$H$250,CONCATENATE("20",RIGHT('FY Q&amp;V 2003-04 to Now'!AK$7,2)),'Base Metals - Q&amp;V'!$I$8:$I$250,1)+
SUMIFS('Base Metals - Q&amp;V'!$D$8:$D$250,'Base Metals - Q&amp;V'!$H$8:$H$250,CONCATENATE("20",RIGHT('FY Q&amp;V 2003-04 to Now'!AK$7,2)),'Base Metals - Q&amp;V'!$I$8:$I$250,2))*1000</f>
        <v>851.25099999999998</v>
      </c>
      <c r="AL18" s="268">
        <f>(SUMIFS('Base Metals - Q&amp;V'!$E$8:$E$250,'Base Metals - Q&amp;V'!$H$8:$H$250,LEFT('FY Q&amp;V 2003-04 to Now'!AK$7,4),'Base Metals - Q&amp;V'!$I$8:$I$250,3)+
SUMIFS('Base Metals - Q&amp;V'!$E$8:$E$250,'Base Metals - Q&amp;V'!$H$8:$H$250,LEFT('FY Q&amp;V 2003-04 to Now'!AK$7,4),'Base Metals - Q&amp;V'!$I$8:$I$250,4)+
SUMIFS('Base Metals - Q&amp;V'!$E$8:$E$250,'Base Metals - Q&amp;V'!$H$8:$H$250,CONCATENATE("20",RIGHT('FY Q&amp;V 2003-04 to Now'!AK$7,2)),'Base Metals - Q&amp;V'!$I$8:$I$250,1)+
SUMIFS('Base Metals - Q&amp;V'!$E$8:$E$250,'Base Metals - Q&amp;V'!$H$8:$H$250,CONCATENATE("20",RIGHT('FY Q&amp;V 2003-04 to Now'!AK$7,2)),'Base Metals - Q&amp;V'!$I$8:$I$250,2))*1000000</f>
        <v>2186696.66</v>
      </c>
      <c r="AM18" s="1711">
        <f>SUMIF($C$9:AL$9,1,$C18:AL18)</f>
        <v>447208.071</v>
      </c>
      <c r="AN18" s="307">
        <f>SUMIF($C$9:AL$9,0,$C18:AL18)</f>
        <v>930121494.21999991</v>
      </c>
    </row>
    <row r="19" spans="1:42">
      <c r="A19" s="367" t="s">
        <v>292</v>
      </c>
      <c r="B19" s="207" t="s">
        <v>87</v>
      </c>
      <c r="C19" s="268">
        <f>(SUMIFS('Base Metals - Q&amp;V'!$F$8:$F$250,'Base Metals - Q&amp;V'!$H$8:$H$250,LEFT('FY Q&amp;V 2003-04 to Now'!C$7,4),'Base Metals - Q&amp;V'!$I$8:$I$250,3)+
SUMIFS('Base Metals - Q&amp;V'!$F$8:$F$250,'Base Metals - Q&amp;V'!$H$8:$H$250,LEFT('FY Q&amp;V 2003-04 to Now'!C$7:D$7,4),'Base Metals - Q&amp;V'!$I$8:$I$250,4)+
SUMIFS('Base Metals - Q&amp;V'!$F$8:$F$250,'Base Metals - Q&amp;V'!$H$8:$H$250,CONCATENATE("20",RIGHT('FY Q&amp;V 2003-04 to Now'!C$7,2)),'Base Metals - Q&amp;V'!$I$8:$I$250,1)+
SUMIFS('Base Metals - Q&amp;V'!$F$8:$F$250,'Base Metals - Q&amp;V'!$H$8:$H$250,CONCATENATE("20",RIGHT('FY Q&amp;V 2003-04 to Now'!C$7,2)),'Base Metals - Q&amp;V'!$I$8:$I$250,2))*1000</f>
        <v>106476.63</v>
      </c>
      <c r="D19" s="268">
        <f>(SUMIFS('Base Metals - Q&amp;V'!$G$8:$G$250,'Base Metals - Q&amp;V'!$H$8:$H$250,LEFT('FY Q&amp;V 2003-04 to Now'!C$7,4),'Base Metals - Q&amp;V'!$I$8:$I$250,3)+
SUMIFS('Base Metals - Q&amp;V'!$G$8:$G$250,'Base Metals - Q&amp;V'!$H$8:$H$250,LEFT('FY Q&amp;V 2003-04 to Now'!C$7,4),'Base Metals - Q&amp;V'!$I$8:$I$250,4)+
SUMIFS('Base Metals - Q&amp;V'!$G$8:$G$250,'Base Metals - Q&amp;V'!$H$8:$H$250,CONCATENATE("20",RIGHT('FY Q&amp;V 2003-04 to Now'!C$7,2)),'Base Metals - Q&amp;V'!$I$8:$I$250,1)+
SUMIFS('Base Metals - Q&amp;V'!$G$8:$G$250,'Base Metals - Q&amp;V'!$H$8:$H$250,CONCATENATE("20",RIGHT('FY Q&amp;V 2003-04 to Now'!C$7,2)),'Base Metals - Q&amp;V'!$I$8:$I$250,2))*1000000</f>
        <v>102822632.67</v>
      </c>
      <c r="E19" s="268">
        <f>(SUMIFS('Base Metals - Q&amp;V'!$F$8:$F$250,'Base Metals - Q&amp;V'!$H$8:$H$250,LEFT('FY Q&amp;V 2003-04 to Now'!E$7,4),'Base Metals - Q&amp;V'!$I$8:$I$250,3)+
SUMIFS('Base Metals - Q&amp;V'!$F$8:$F$250,'Base Metals - Q&amp;V'!$H$8:$H$250,LEFT('FY Q&amp;V 2003-04 to Now'!E$7:F$7,4),'Base Metals - Q&amp;V'!$I$8:$I$250,4)+
SUMIFS('Base Metals - Q&amp;V'!$F$8:$F$250,'Base Metals - Q&amp;V'!$H$8:$H$250,CONCATENATE("20",RIGHT('FY Q&amp;V 2003-04 to Now'!E$7,2)),'Base Metals - Q&amp;V'!$I$8:$I$250,1)+
SUMIFS('Base Metals - Q&amp;V'!$F$8:$F$250,'Base Metals - Q&amp;V'!$H$8:$H$250,CONCATENATE("20",RIGHT('FY Q&amp;V 2003-04 to Now'!E$7,2)),'Base Metals - Q&amp;V'!$I$8:$I$250,2))*1000</f>
        <v>48400.89</v>
      </c>
      <c r="F19" s="268">
        <f>(SUMIFS('Base Metals - Q&amp;V'!$G$8:$G$250,'Base Metals - Q&amp;V'!$H$8:$H$250,LEFT('FY Q&amp;V 2003-04 to Now'!E$7,4),'Base Metals - Q&amp;V'!$I$8:$I$250,3)+
SUMIFS('Base Metals - Q&amp;V'!$G$8:$G$250,'Base Metals - Q&amp;V'!$H$8:$H$250,LEFT('FY Q&amp;V 2003-04 to Now'!E$7,4),'Base Metals - Q&amp;V'!$I$8:$I$250,4)+
SUMIFS('Base Metals - Q&amp;V'!$G$8:$G$250,'Base Metals - Q&amp;V'!$H$8:$H$250,CONCATENATE("20",RIGHT('FY Q&amp;V 2003-04 to Now'!E$7,2)),'Base Metals - Q&amp;V'!$I$8:$I$250,1)+
SUMIFS('Base Metals - Q&amp;V'!$G$8:$G$250,'Base Metals - Q&amp;V'!$H$8:$H$250,CONCATENATE("20",RIGHT('FY Q&amp;V 2003-04 to Now'!E$7,2)),'Base Metals - Q&amp;V'!$I$8:$I$250,2))*1000000</f>
        <v>72516304.789999992</v>
      </c>
      <c r="G19" s="268">
        <f>(SUMIFS('Base Metals - Q&amp;V'!$F$8:$F$250,'Base Metals - Q&amp;V'!$H$8:$H$250,LEFT('FY Q&amp;V 2003-04 to Now'!G$7,4),'Base Metals - Q&amp;V'!$I$8:$I$250,3)+
SUMIFS('Base Metals - Q&amp;V'!$F$8:$F$250,'Base Metals - Q&amp;V'!$H$8:$H$250,LEFT('FY Q&amp;V 2003-04 to Now'!G$7:H$7,4),'Base Metals - Q&amp;V'!$I$8:$I$250,4)+
SUMIFS('Base Metals - Q&amp;V'!$F$8:$F$250,'Base Metals - Q&amp;V'!$H$8:$H$250,CONCATENATE("20",RIGHT('FY Q&amp;V 2003-04 to Now'!G$7,2)),'Base Metals - Q&amp;V'!$I$8:$I$250,1)+
SUMIFS('Base Metals - Q&amp;V'!$F$8:$F$250,'Base Metals - Q&amp;V'!$H$8:$H$250,CONCATENATE("20",RIGHT('FY Q&amp;V 2003-04 to Now'!G$7,2)),'Base Metals - Q&amp;V'!$I$8:$I$250,2))*1000</f>
        <v>80007.273000000001</v>
      </c>
      <c r="H19" s="268">
        <f>(SUMIFS('Base Metals - Q&amp;V'!$G$8:$G$250,'Base Metals - Q&amp;V'!$H$8:$H$250,LEFT('FY Q&amp;V 2003-04 to Now'!G$7,4),'Base Metals - Q&amp;V'!$I$8:$I$250,3)+
SUMIFS('Base Metals - Q&amp;V'!$G$8:$G$250,'Base Metals - Q&amp;V'!$H$8:$H$250,LEFT('FY Q&amp;V 2003-04 to Now'!G$7,4),'Base Metals - Q&amp;V'!$I$8:$I$250,4)+
SUMIFS('Base Metals - Q&amp;V'!$G$8:$G$250,'Base Metals - Q&amp;V'!$H$8:$H$250,CONCATENATE("20",RIGHT('FY Q&amp;V 2003-04 to Now'!G$7,2)),'Base Metals - Q&amp;V'!$I$8:$I$250,1)+
SUMIFS('Base Metals - Q&amp;V'!$G$8:$G$250,'Base Metals - Q&amp;V'!$H$8:$H$250,CONCATENATE("20",RIGHT('FY Q&amp;V 2003-04 to Now'!G$7,2)),'Base Metals - Q&amp;V'!$I$8:$I$250,2))*1000000</f>
        <v>274244835.53000003</v>
      </c>
      <c r="I19" s="268">
        <f>(SUMIFS('Base Metals - Q&amp;V'!$F$8:$F$250,'Base Metals - Q&amp;V'!$H$8:$H$250,LEFT('FY Q&amp;V 2003-04 to Now'!I$7,4),'Base Metals - Q&amp;V'!$I$8:$I$250,3)+
SUMIFS('Base Metals - Q&amp;V'!$F$8:$F$250,'Base Metals - Q&amp;V'!$H$8:$H$250,LEFT('FY Q&amp;V 2003-04 to Now'!I$7:J$7,4),'Base Metals - Q&amp;V'!$I$8:$I$250,4)+
SUMIFS('Base Metals - Q&amp;V'!$F$8:$F$250,'Base Metals - Q&amp;V'!$H$8:$H$250,CONCATENATE("20",RIGHT('FY Q&amp;V 2003-04 to Now'!I$7,2)),'Base Metals - Q&amp;V'!$I$8:$I$250,1)+
SUMIFS('Base Metals - Q&amp;V'!$F$8:$F$250,'Base Metals - Q&amp;V'!$H$8:$H$250,CONCATENATE("20",RIGHT('FY Q&amp;V 2003-04 to Now'!I$7,2)),'Base Metals - Q&amp;V'!$I$8:$I$250,2))*1000</f>
        <v>122964.92499999999</v>
      </c>
      <c r="J19" s="268">
        <f>(SUMIFS('Base Metals - Q&amp;V'!$G$8:$G$250,'Base Metals - Q&amp;V'!$H$8:$H$250,LEFT('FY Q&amp;V 2003-04 to Now'!I$7,4),'Base Metals - Q&amp;V'!$I$8:$I$250,3)+
SUMIFS('Base Metals - Q&amp;V'!$G$8:$G$250,'Base Metals - Q&amp;V'!$H$8:$H$250,LEFT('FY Q&amp;V 2003-04 to Now'!I$7,4),'Base Metals - Q&amp;V'!$I$8:$I$250,4)+
SUMIFS('Base Metals - Q&amp;V'!$G$8:$G$250,'Base Metals - Q&amp;V'!$H$8:$H$250,CONCATENATE("20",RIGHT('FY Q&amp;V 2003-04 to Now'!I$7,2)),'Base Metals - Q&amp;V'!$I$8:$I$250,1)+
SUMIFS('Base Metals - Q&amp;V'!$G$8:$G$250,'Base Metals - Q&amp;V'!$H$8:$H$250,CONCATENATE("20",RIGHT('FY Q&amp;V 2003-04 to Now'!I$7,2)),'Base Metals - Q&amp;V'!$I$8:$I$250,2))*1000000</f>
        <v>539954783.70000005</v>
      </c>
      <c r="K19" s="268">
        <f>(SUMIFS('Base Metals - Q&amp;V'!$F$8:$F$250,'Base Metals - Q&amp;V'!$H$8:$H$250,LEFT('FY Q&amp;V 2003-04 to Now'!K$7,4),'Base Metals - Q&amp;V'!$I$8:$I$250,3)+
SUMIFS('Base Metals - Q&amp;V'!$F$8:$F$250,'Base Metals - Q&amp;V'!$H$8:$H$250,LEFT('FY Q&amp;V 2003-04 to Now'!K$7:L$7,4),'Base Metals - Q&amp;V'!$I$8:$I$250,4)+
SUMIFS('Base Metals - Q&amp;V'!$F$8:$F$250,'Base Metals - Q&amp;V'!$H$8:$H$250,CONCATENATE("20",RIGHT('FY Q&amp;V 2003-04 to Now'!K$7,2)),'Base Metals - Q&amp;V'!$I$8:$I$250,1)+
SUMIFS('Base Metals - Q&amp;V'!$F$8:$F$250,'Base Metals - Q&amp;V'!$H$8:$H$250,CONCATENATE("20",RIGHT('FY Q&amp;V 2003-04 to Now'!K$7,2)),'Base Metals - Q&amp;V'!$I$8:$I$250,2))*1000</f>
        <v>216018.26</v>
      </c>
      <c r="L19" s="268">
        <f>(SUMIFS('Base Metals - Q&amp;V'!$G$8:$G$250,'Base Metals - Q&amp;V'!$H$8:$H$250,LEFT('FY Q&amp;V 2003-04 to Now'!K$7,4),'Base Metals - Q&amp;V'!$I$8:$I$250,3)+
SUMIFS('Base Metals - Q&amp;V'!$G$8:$G$250,'Base Metals - Q&amp;V'!$H$8:$H$250,LEFT('FY Q&amp;V 2003-04 to Now'!K$7,4),'Base Metals - Q&amp;V'!$I$8:$I$250,4)+
SUMIFS('Base Metals - Q&amp;V'!$G$8:$G$250,'Base Metals - Q&amp;V'!$H$8:$H$250,CONCATENATE("20",RIGHT('FY Q&amp;V 2003-04 to Now'!K$7,2)),'Base Metals - Q&amp;V'!$I$8:$I$250,1)+
SUMIFS('Base Metals - Q&amp;V'!$G$8:$G$250,'Base Metals - Q&amp;V'!$H$8:$H$250,CONCATENATE("20",RIGHT('FY Q&amp;V 2003-04 to Now'!K$7,2)),'Base Metals - Q&amp;V'!$I$8:$I$250,2))*1000000</f>
        <v>415932401.48999995</v>
      </c>
      <c r="M19" s="268">
        <f>(SUMIFS('Base Metals - Q&amp;V'!$F$8:$F$250,'Base Metals - Q&amp;V'!$H$8:$H$250,LEFT('FY Q&amp;V 2003-04 to Now'!M$7,4),'Base Metals - Q&amp;V'!$I$8:$I$250,3)+
SUMIFS('Base Metals - Q&amp;V'!$F$8:$F$250,'Base Metals - Q&amp;V'!$H$8:$H$250,LEFT('FY Q&amp;V 2003-04 to Now'!M$7:N$7,4),'Base Metals - Q&amp;V'!$I$8:$I$250,4)+
SUMIFS('Base Metals - Q&amp;V'!$F$8:$F$250,'Base Metals - Q&amp;V'!$H$8:$H$250,CONCATENATE("20",RIGHT('FY Q&amp;V 2003-04 to Now'!M$7,2)),'Base Metals - Q&amp;V'!$I$8:$I$250,1)+
SUMIFS('Base Metals - Q&amp;V'!$F$8:$F$250,'Base Metals - Q&amp;V'!$H$8:$H$250,CONCATENATE("20",RIGHT('FY Q&amp;V 2003-04 to Now'!M$7,2)),'Base Metals - Q&amp;V'!$I$8:$I$250,2))*1000</f>
        <v>142610.24599999998</v>
      </c>
      <c r="N19" s="268">
        <f>(SUMIFS('Base Metals - Q&amp;V'!$G$8:$G$250,'Base Metals - Q&amp;V'!$H$8:$H$250,LEFT('FY Q&amp;V 2003-04 to Now'!M$7,4),'Base Metals - Q&amp;V'!$I$8:$I$250,3)+
SUMIFS('Base Metals - Q&amp;V'!$G$8:$G$250,'Base Metals - Q&amp;V'!$H$8:$H$250,LEFT('FY Q&amp;V 2003-04 to Now'!M$7,4),'Base Metals - Q&amp;V'!$I$8:$I$250,4)+
SUMIFS('Base Metals - Q&amp;V'!$G$8:$G$250,'Base Metals - Q&amp;V'!$H$8:$H$250,CONCATENATE("20",RIGHT('FY Q&amp;V 2003-04 to Now'!M$7,2)),'Base Metals - Q&amp;V'!$I$8:$I$250,1)+
SUMIFS('Base Metals - Q&amp;V'!$G$8:$G$250,'Base Metals - Q&amp;V'!$H$8:$H$250,CONCATENATE("20",RIGHT('FY Q&amp;V 2003-04 to Now'!M$7,2)),'Base Metals - Q&amp;V'!$I$8:$I$250,2))*1000000</f>
        <v>232603528.29000002</v>
      </c>
      <c r="O19" s="268">
        <f>(SUMIFS('Base Metals - Q&amp;V'!$F$8:$F$250,'Base Metals - Q&amp;V'!$H$8:$H$250,LEFT('FY Q&amp;V 2003-04 to Now'!O$7,4),'Base Metals - Q&amp;V'!$I$8:$I$250,3)+
SUMIFS('Base Metals - Q&amp;V'!$F$8:$F$250,'Base Metals - Q&amp;V'!$H$8:$H$250,LEFT('FY Q&amp;V 2003-04 to Now'!O$7:P$7,4),'Base Metals - Q&amp;V'!$I$8:$I$250,4)+
SUMIFS('Base Metals - Q&amp;V'!$F$8:$F$250,'Base Metals - Q&amp;V'!$H$8:$H$250,CONCATENATE("20",RIGHT('FY Q&amp;V 2003-04 to Now'!O$7,2)),'Base Metals - Q&amp;V'!$I$8:$I$250,1)+
SUMIFS('Base Metals - Q&amp;V'!$F$8:$F$250,'Base Metals - Q&amp;V'!$H$8:$H$250,CONCATENATE("20",RIGHT('FY Q&amp;V 2003-04 to Now'!O$7,2)),'Base Metals - Q&amp;V'!$I$8:$I$250,2))*1000</f>
        <v>87558.923999999999</v>
      </c>
      <c r="P19" s="268">
        <f>(SUMIFS('Base Metals - Q&amp;V'!$G$8:$G$250,'Base Metals - Q&amp;V'!$H$8:$H$250,LEFT('FY Q&amp;V 2003-04 to Now'!O$7,4),'Base Metals - Q&amp;V'!$I$8:$I$250,3)+
SUMIFS('Base Metals - Q&amp;V'!$G$8:$G$250,'Base Metals - Q&amp;V'!$H$8:$H$250,LEFT('FY Q&amp;V 2003-04 to Now'!O$7,4),'Base Metals - Q&amp;V'!$I$8:$I$250,4)+
SUMIFS('Base Metals - Q&amp;V'!$G$8:$G$250,'Base Metals - Q&amp;V'!$H$8:$H$250,CONCATENATE("20",RIGHT('FY Q&amp;V 2003-04 to Now'!O$7,2)),'Base Metals - Q&amp;V'!$I$8:$I$250,1)+
SUMIFS('Base Metals - Q&amp;V'!$G$8:$G$250,'Base Metals - Q&amp;V'!$H$8:$H$250,CONCATENATE("20",RIGHT('FY Q&amp;V 2003-04 to Now'!O$7,2)),'Base Metals - Q&amp;V'!$I$8:$I$250,2))*1000000</f>
        <v>210118736.43000001</v>
      </c>
      <c r="Q19" s="268">
        <f>(SUMIFS('Base Metals - Q&amp;V'!$F$8:$F$250,'Base Metals - Q&amp;V'!$H$8:$H$250,LEFT('FY Q&amp;V 2003-04 to Now'!Q$7,4),'Base Metals - Q&amp;V'!$I$8:$I$250,3)+
SUMIFS('Base Metals - Q&amp;V'!$F$8:$F$250,'Base Metals - Q&amp;V'!$H$8:$H$250,LEFT('FY Q&amp;V 2003-04 to Now'!Q$7:R$7,4),'Base Metals - Q&amp;V'!$I$8:$I$250,4)+
SUMIFS('Base Metals - Q&amp;V'!$F$8:$F$250,'Base Metals - Q&amp;V'!$H$8:$H$250,CONCATENATE("20",RIGHT('FY Q&amp;V 2003-04 to Now'!Q$7,2)),'Base Metals - Q&amp;V'!$I$8:$I$250,1)+
SUMIFS('Base Metals - Q&amp;V'!$F$8:$F$250,'Base Metals - Q&amp;V'!$H$8:$H$250,CONCATENATE("20",RIGHT('FY Q&amp;V 2003-04 to Now'!Q$7,2)),'Base Metals - Q&amp;V'!$I$8:$I$250,2))*1000</f>
        <v>70536.544999999984</v>
      </c>
      <c r="R19" s="268">
        <f>(SUMIFS('Base Metals - Q&amp;V'!$G$8:$G$250,'Base Metals - Q&amp;V'!$H$8:$H$250,LEFT('FY Q&amp;V 2003-04 to Now'!Q$7,4),'Base Metals - Q&amp;V'!$I$8:$I$250,3)+
SUMIFS('Base Metals - Q&amp;V'!$G$8:$G$250,'Base Metals - Q&amp;V'!$H$8:$H$250,LEFT('FY Q&amp;V 2003-04 to Now'!Q$7,4),'Base Metals - Q&amp;V'!$I$8:$I$250,4)+
SUMIFS('Base Metals - Q&amp;V'!$G$8:$G$250,'Base Metals - Q&amp;V'!$H$8:$H$250,CONCATENATE("20",RIGHT('FY Q&amp;V 2003-04 to Now'!Q$7,2)),'Base Metals - Q&amp;V'!$I$8:$I$250,1)+
SUMIFS('Base Metals - Q&amp;V'!$G$8:$G$250,'Base Metals - Q&amp;V'!$H$8:$H$250,CONCATENATE("20",RIGHT('FY Q&amp;V 2003-04 to Now'!Q$7,2)),'Base Metals - Q&amp;V'!$I$8:$I$250,2))*1000000</f>
        <v>162108264.53999999</v>
      </c>
      <c r="S19" s="268">
        <f>(SUMIFS('Base Metals - Q&amp;V'!$F$8:$F$250,'Base Metals - Q&amp;V'!$H$8:$H$250,LEFT('FY Q&amp;V 2003-04 to Now'!S$7,4),'Base Metals - Q&amp;V'!$I$8:$I$250,3)+
SUMIFS('Base Metals - Q&amp;V'!$F$8:$F$250,'Base Metals - Q&amp;V'!$H$8:$H$250,LEFT('FY Q&amp;V 2003-04 to Now'!S$7:T$7,4),'Base Metals - Q&amp;V'!$I$8:$I$250,4)+
SUMIFS('Base Metals - Q&amp;V'!$F$8:$F$250,'Base Metals - Q&amp;V'!$H$8:$H$250,CONCATENATE("20",RIGHT('FY Q&amp;V 2003-04 to Now'!S$7,2)),'Base Metals - Q&amp;V'!$I$8:$I$250,1)+
SUMIFS('Base Metals - Q&amp;V'!$F$8:$F$250,'Base Metals - Q&amp;V'!$H$8:$H$250,CONCATENATE("20",RIGHT('FY Q&amp;V 2003-04 to Now'!S$7,2)),'Base Metals - Q&amp;V'!$I$8:$I$250,2))*1000</f>
        <v>63503.200999999994</v>
      </c>
      <c r="T19" s="268">
        <f>(SUMIFS('Base Metals - Q&amp;V'!$G$8:$G$250,'Base Metals - Q&amp;V'!$H$8:$H$250,LEFT('FY Q&amp;V 2003-04 to Now'!S$7,4),'Base Metals - Q&amp;V'!$I$8:$I$250,3)+
SUMIFS('Base Metals - Q&amp;V'!$G$8:$G$250,'Base Metals - Q&amp;V'!$H$8:$H$250,LEFT('FY Q&amp;V 2003-04 to Now'!S$7,4),'Base Metals - Q&amp;V'!$I$8:$I$250,4)+
SUMIFS('Base Metals - Q&amp;V'!$G$8:$G$250,'Base Metals - Q&amp;V'!$H$8:$H$250,CONCATENATE("20",RIGHT('FY Q&amp;V 2003-04 to Now'!S$7,2)),'Base Metals - Q&amp;V'!$I$8:$I$250,1)+
SUMIFS('Base Metals - Q&amp;V'!$G$8:$G$250,'Base Metals - Q&amp;V'!$H$8:$H$250,CONCATENATE("20",RIGHT('FY Q&amp;V 2003-04 to Now'!S$7,2)),'Base Metals - Q&amp;V'!$I$8:$I$250,2))*1000000</f>
        <v>121984209.99999999</v>
      </c>
      <c r="U19" s="268">
        <f>(SUMIFS('Base Metals - Q&amp;V'!$F$8:$F$250,'Base Metals - Q&amp;V'!$H$8:$H$250,LEFT('FY Q&amp;V 2003-04 to Now'!U$7,4),'Base Metals - Q&amp;V'!$I$8:$I$250,3)+
SUMIFS('Base Metals - Q&amp;V'!$F$8:$F$250,'Base Metals - Q&amp;V'!$H$8:$H$250,LEFT('FY Q&amp;V 2003-04 to Now'!U$7:V$7,4),'Base Metals - Q&amp;V'!$I$8:$I$250,4)+
SUMIFS('Base Metals - Q&amp;V'!$F$8:$F$250,'Base Metals - Q&amp;V'!$H$8:$H$250,CONCATENATE("20",RIGHT('FY Q&amp;V 2003-04 to Now'!U$7,2)),'Base Metals - Q&amp;V'!$I$8:$I$250,1)+
SUMIFS('Base Metals - Q&amp;V'!$F$8:$F$250,'Base Metals - Q&amp;V'!$H$8:$H$250,CONCATENATE("20",RIGHT('FY Q&amp;V 2003-04 to Now'!U$7,2)),'Base Metals - Q&amp;V'!$I$8:$I$250,2))*1000</f>
        <v>55847.680000000008</v>
      </c>
      <c r="V19" s="268">
        <f>(SUMIFS('Base Metals - Q&amp;V'!$G$8:$G$250,'Base Metals - Q&amp;V'!$H$8:$H$250,LEFT('FY Q&amp;V 2003-04 to Now'!U$7,4),'Base Metals - Q&amp;V'!$I$8:$I$250,3)+
SUMIFS('Base Metals - Q&amp;V'!$G$8:$G$250,'Base Metals - Q&amp;V'!$H$8:$H$250,LEFT('FY Q&amp;V 2003-04 to Now'!U$7,4),'Base Metals - Q&amp;V'!$I$8:$I$250,4)+
SUMIFS('Base Metals - Q&amp;V'!$G$8:$G$250,'Base Metals - Q&amp;V'!$H$8:$H$250,CONCATENATE("20",RIGHT('FY Q&amp;V 2003-04 to Now'!U$7,2)),'Base Metals - Q&amp;V'!$I$8:$I$250,1)+
SUMIFS('Base Metals - Q&amp;V'!$G$8:$G$250,'Base Metals - Q&amp;V'!$H$8:$H$250,CONCATENATE("20",RIGHT('FY Q&amp;V 2003-04 to Now'!U$7,2)),'Base Metals - Q&amp;V'!$I$8:$I$250,2))*1000000</f>
        <v>103867912.80999999</v>
      </c>
      <c r="W19" s="268">
        <f>(SUMIFS('Base Metals - Q&amp;V'!$F$8:$F$250,'Base Metals - Q&amp;V'!$H$8:$H$250,LEFT('FY Q&amp;V 2003-04 to Now'!W$7,4),'Base Metals - Q&amp;V'!$I$8:$I$250,3)+
SUMIFS('Base Metals - Q&amp;V'!$F$8:$F$250,'Base Metals - Q&amp;V'!$H$8:$H$250,LEFT('FY Q&amp;V 2003-04 to Now'!W$7:X$7,4),'Base Metals - Q&amp;V'!$I$8:$I$250,4)+
SUMIFS('Base Metals - Q&amp;V'!$F$8:$F$250,'Base Metals - Q&amp;V'!$H$8:$H$250,CONCATENATE("20",RIGHT('FY Q&amp;V 2003-04 to Now'!W$7,2)),'Base Metals - Q&amp;V'!$I$8:$I$250,1)+
SUMIFS('Base Metals - Q&amp;V'!$F$8:$F$250,'Base Metals - Q&amp;V'!$H$8:$H$250,CONCATENATE("20",RIGHT('FY Q&amp;V 2003-04 to Now'!W$7,2)),'Base Metals - Q&amp;V'!$I$8:$I$250,2))*1000</f>
        <v>54060.29</v>
      </c>
      <c r="X19" s="268">
        <f>(SUMIFS('Base Metals - Q&amp;V'!$G$8:$G$250,'Base Metals - Q&amp;V'!$H$8:$H$250,LEFT('FY Q&amp;V 2003-04 to Now'!W$7,4),'Base Metals - Q&amp;V'!$I$8:$I$250,3)+
SUMIFS('Base Metals - Q&amp;V'!$G$8:$G$250,'Base Metals - Q&amp;V'!$H$8:$H$250,LEFT('FY Q&amp;V 2003-04 to Now'!W$7,4),'Base Metals - Q&amp;V'!$I$8:$I$250,4)+
SUMIFS('Base Metals - Q&amp;V'!$G$8:$G$250,'Base Metals - Q&amp;V'!$H$8:$H$250,CONCATENATE("20",RIGHT('FY Q&amp;V 2003-04 to Now'!W$7,2)),'Base Metals - Q&amp;V'!$I$8:$I$250,1)+
SUMIFS('Base Metals - Q&amp;V'!$G$8:$G$250,'Base Metals - Q&amp;V'!$H$8:$H$250,CONCATENATE("20",RIGHT('FY Q&amp;V 2003-04 to Now'!W$7,2)),'Base Metals - Q&amp;V'!$I$8:$I$250,2))*1000000</f>
        <v>118261576.29999998</v>
      </c>
      <c r="Y19" s="268">
        <f>(SUMIFS('Base Metals - Q&amp;V'!$F$8:$F$250,'Base Metals - Q&amp;V'!$H$8:$H$250,LEFT('FY Q&amp;V 2003-04 to Now'!Y$7,4),'Base Metals - Q&amp;V'!$I$8:$I$250,3)+
SUMIFS('Base Metals - Q&amp;V'!$F$8:$F$250,'Base Metals - Q&amp;V'!$H$8:$H$250,LEFT('FY Q&amp;V 2003-04 to Now'!Y$7:Z$7,4),'Base Metals - Q&amp;V'!$I$8:$I$250,4)+
SUMIFS('Base Metals - Q&amp;V'!$F$8:$F$250,'Base Metals - Q&amp;V'!$H$8:$H$250,CONCATENATE("20",RIGHT('FY Q&amp;V 2003-04 to Now'!Y$7,2)),'Base Metals - Q&amp;V'!$I$8:$I$250,1)+
SUMIFS('Base Metals - Q&amp;V'!$F$8:$F$250,'Base Metals - Q&amp;V'!$H$8:$H$250,CONCATENATE("20",RIGHT('FY Q&amp;V 2003-04 to Now'!Y$7,2)),'Base Metals - Q&amp;V'!$I$8:$I$250,2))*1000</f>
        <v>77830.909999999989</v>
      </c>
      <c r="Z19" s="268">
        <f>(SUMIFS('Base Metals - Q&amp;V'!$G$8:$G$250,'Base Metals - Q&amp;V'!$H$8:$H$250,LEFT('FY Q&amp;V 2003-04 to Now'!Y$7,4),'Base Metals - Q&amp;V'!$I$8:$I$250,3)+
SUMIFS('Base Metals - Q&amp;V'!$G$8:$G$250,'Base Metals - Q&amp;V'!$H$8:$H$250,LEFT('FY Q&amp;V 2003-04 to Now'!Y$7,4),'Base Metals - Q&amp;V'!$I$8:$I$250,4)+
SUMIFS('Base Metals - Q&amp;V'!$G$8:$G$250,'Base Metals - Q&amp;V'!$H$8:$H$250,CONCATENATE("20",RIGHT('FY Q&amp;V 2003-04 to Now'!Y$7,2)),'Base Metals - Q&amp;V'!$I$8:$I$250,1)+
SUMIFS('Base Metals - Q&amp;V'!$G$8:$G$250,'Base Metals - Q&amp;V'!$H$8:$H$250,CONCATENATE("20",RIGHT('FY Q&amp;V 2003-04 to Now'!Y$7,2)),'Base Metals - Q&amp;V'!$I$8:$I$250,2))*1000000</f>
        <v>197040406.00000003</v>
      </c>
      <c r="AA19" s="268">
        <f>(SUMIFS('Base Metals - Q&amp;V'!$F$8:$F$250,'Base Metals - Q&amp;V'!$H$8:$H$250,LEFT('FY Q&amp;V 2003-04 to Now'!AA$7,4),'Base Metals - Q&amp;V'!$I$8:$I$250,3)+
SUMIFS('Base Metals - Q&amp;V'!$F$8:$F$250,'Base Metals - Q&amp;V'!$H$8:$H$250,LEFT('FY Q&amp;V 2003-04 to Now'!AA$7:AB$7,4),'Base Metals - Q&amp;V'!$I$8:$I$250,4)+
SUMIFS('Base Metals - Q&amp;V'!$F$8:$F$250,'Base Metals - Q&amp;V'!$H$8:$H$250,CONCATENATE("20",RIGHT('FY Q&amp;V 2003-04 to Now'!AA$7,2)),'Base Metals - Q&amp;V'!$I$8:$I$250,1)+
SUMIFS('Base Metals - Q&amp;V'!$F$8:$F$250,'Base Metals - Q&amp;V'!$H$8:$H$250,CONCATENATE("20",RIGHT('FY Q&amp;V 2003-04 to Now'!AA$7,2)),'Base Metals - Q&amp;V'!$I$8:$I$250,2))*1000</f>
        <v>82675.94</v>
      </c>
      <c r="AB19" s="268">
        <f>(SUMIFS('Base Metals - Q&amp;V'!$G$8:$G$250,'Base Metals - Q&amp;V'!$H$8:$H$250,LEFT('FY Q&amp;V 2003-04 to Now'!AA$7,4),'Base Metals - Q&amp;V'!$I$8:$I$250,3)+
SUMIFS('Base Metals - Q&amp;V'!$G$8:$G$250,'Base Metals - Q&amp;V'!$H$8:$H$250,LEFT('FY Q&amp;V 2003-04 to Now'!AA$7,4),'Base Metals - Q&amp;V'!$I$8:$I$250,4)+
SUMIFS('Base Metals - Q&amp;V'!$G$8:$G$250,'Base Metals - Q&amp;V'!$H$8:$H$250,CONCATENATE("20",RIGHT('FY Q&amp;V 2003-04 to Now'!AA$7,2)),'Base Metals - Q&amp;V'!$I$8:$I$250,1)+
SUMIFS('Base Metals - Q&amp;V'!$G$8:$G$250,'Base Metals - Q&amp;V'!$H$8:$H$250,CONCATENATE("20",RIGHT('FY Q&amp;V 2003-04 to Now'!AA$7,2)),'Base Metals - Q&amp;V'!$I$8:$I$250,2))*1000000</f>
        <v>195494453.00000003</v>
      </c>
      <c r="AC19" s="268">
        <f>(SUMIFS('Base Metals - Q&amp;V'!$F$8:$F$250,'Base Metals - Q&amp;V'!$H$8:$H$250,LEFT('FY Q&amp;V 2003-04 to Now'!AC$7,4),'Base Metals - Q&amp;V'!$I$8:$I$250,3)+
SUMIFS('Base Metals - Q&amp;V'!$F$8:$F$250,'Base Metals - Q&amp;V'!$H$8:$H$250,LEFT('FY Q&amp;V 2003-04 to Now'!AC$7:AD$7,4),'Base Metals - Q&amp;V'!$I$8:$I$250,4)+
SUMIFS('Base Metals - Q&amp;V'!$F$8:$F$250,'Base Metals - Q&amp;V'!$H$8:$H$250,CONCATENATE("20",RIGHT('FY Q&amp;V 2003-04 to Now'!AC$7,2)),'Base Metals - Q&amp;V'!$I$8:$I$250,1)+
SUMIFS('Base Metals - Q&amp;V'!$F$8:$F$250,'Base Metals - Q&amp;V'!$H$8:$H$250,CONCATENATE("20",RIGHT('FY Q&amp;V 2003-04 to Now'!AC$7,2)),'Base Metals - Q&amp;V'!$I$8:$I$250,2))*1000</f>
        <v>82942.66</v>
      </c>
      <c r="AD19" s="268">
        <f>(SUMIFS('Base Metals - Q&amp;V'!$G$8:$G$250,'Base Metals - Q&amp;V'!$H$8:$H$250,LEFT('FY Q&amp;V 2003-04 to Now'!AC$7,4),'Base Metals - Q&amp;V'!$I$8:$I$250,3)+
SUMIFS('Base Metals - Q&amp;V'!$G$8:$G$250,'Base Metals - Q&amp;V'!$H$8:$H$250,LEFT('FY Q&amp;V 2003-04 to Now'!AC$7,4),'Base Metals - Q&amp;V'!$I$8:$I$250,4)+
SUMIFS('Base Metals - Q&amp;V'!$G$8:$G$250,'Base Metals - Q&amp;V'!$H$8:$H$250,CONCATENATE("20",RIGHT('FY Q&amp;V 2003-04 to Now'!AC$7,2)),'Base Metals - Q&amp;V'!$I$8:$I$250,1)+
SUMIFS('Base Metals - Q&amp;V'!$G$8:$G$250,'Base Metals - Q&amp;V'!$H$8:$H$250,CONCATENATE("20",RIGHT('FY Q&amp;V 2003-04 to Now'!AC$7,2)),'Base Metals - Q&amp;V'!$I$8:$I$250,2))*1000000</f>
        <v>204161259.00000003</v>
      </c>
      <c r="AE19" s="1259">
        <f>(SUMIFS('Base Metals - Q&amp;V'!$F$8:$F$250,'Base Metals - Q&amp;V'!$H$8:$H$250,LEFT('FY Q&amp;V 2003-04 to Now'!AE$7,4),'Base Metals - Q&amp;V'!$I$8:$I$250,3)+
SUMIFS('Base Metals - Q&amp;V'!$F$8:$F$250,'Base Metals - Q&amp;V'!$H$8:$H$250,LEFT('FY Q&amp;V 2003-04 to Now'!AE$7:AF$7,4),'Base Metals - Q&amp;V'!$I$8:$I$250,4)+
SUMIFS('Base Metals - Q&amp;V'!$F$8:$F$250,'Base Metals - Q&amp;V'!$H$8:$H$250,CONCATENATE("20",RIGHT('FY Q&amp;V 2003-04 to Now'!AE$7,2)),'Base Metals - Q&amp;V'!$I$8:$I$250,1)+
SUMIFS('Base Metals - Q&amp;V'!$F$8:$F$250,'Base Metals - Q&amp;V'!$H$8:$H$250,CONCATENATE("20",RIGHT('FY Q&amp;V 2003-04 to Now'!AE$7,2)),'Base Metals - Q&amp;V'!$I$8:$I$250,2))*1000</f>
        <v>93373.287000000011</v>
      </c>
      <c r="AF19" s="268">
        <f>(SUMIFS('Base Metals - Q&amp;V'!$G$8:$G$250,'Base Metals - Q&amp;V'!$H$8:$H$250,LEFT('FY Q&amp;V 2003-04 to Now'!AE$7,4),'Base Metals - Q&amp;V'!$I$8:$I$250,3)+
SUMIFS('Base Metals - Q&amp;V'!$G$8:$G$250,'Base Metals - Q&amp;V'!$H$8:$H$250,LEFT('FY Q&amp;V 2003-04 to Now'!AE$7,4),'Base Metals - Q&amp;V'!$I$8:$I$250,4)+
SUMIFS('Base Metals - Q&amp;V'!$G$8:$G$250,'Base Metals - Q&amp;V'!$H$8:$H$250,CONCATENATE("20",RIGHT('FY Q&amp;V 2003-04 to Now'!AE$7,2)),'Base Metals - Q&amp;V'!$I$8:$I$250,1)+
SUMIFS('Base Metals - Q&amp;V'!$G$8:$G$250,'Base Metals - Q&amp;V'!$H$8:$H$250,CONCATENATE("20",RIGHT('FY Q&amp;V 2003-04 to Now'!AE$7,2)),'Base Metals - Q&amp;V'!$I$8:$I$250,2))*1000000</f>
        <v>323504398.00000006</v>
      </c>
      <c r="AG19" s="1259">
        <f>(SUMIFS('Base Metals - Q&amp;V'!$F$8:$F$250,'Base Metals - Q&amp;V'!$H$8:$H$250,LEFT('FY Q&amp;V 2003-04 to Now'!AG$7,4),'Base Metals - Q&amp;V'!$I$8:$I$250,3)+
SUMIFS('Base Metals - Q&amp;V'!$F$8:$F$250,'Base Metals - Q&amp;V'!$H$8:$H$250,LEFT('FY Q&amp;V 2003-04 to Now'!AG$7:AH$7,4),'Base Metals - Q&amp;V'!$I$8:$I$250,4)+
SUMIFS('Base Metals - Q&amp;V'!$F$8:$F$250,'Base Metals - Q&amp;V'!$H$8:$H$250,CONCATENATE("20",RIGHT('FY Q&amp;V 2003-04 to Now'!AG$7,2)),'Base Metals - Q&amp;V'!$I$8:$I$250,1)+
SUMIFS('Base Metals - Q&amp;V'!$F$8:$F$250,'Base Metals - Q&amp;V'!$H$8:$H$250,CONCATENATE("20",RIGHT('FY Q&amp;V 2003-04 to Now'!AG$7,2)),'Base Metals - Q&amp;V'!$I$8:$I$250,2))*1000</f>
        <v>71404.652999999991</v>
      </c>
      <c r="AH19" s="268">
        <f>(SUMIFS('Base Metals - Q&amp;V'!$G$8:$G$250,'Base Metals - Q&amp;V'!$H$8:$H$250,LEFT('FY Q&amp;V 2003-04 to Now'!AG$7,4),'Base Metals - Q&amp;V'!$I$8:$I$250,3)+
SUMIFS('Base Metals - Q&amp;V'!$G$8:$G$250,'Base Metals - Q&amp;V'!$H$8:$H$250,LEFT('FY Q&amp;V 2003-04 to Now'!AG$7,4),'Base Metals - Q&amp;V'!$I$8:$I$250,4)+
SUMIFS('Base Metals - Q&amp;V'!$G$8:$G$250,'Base Metals - Q&amp;V'!$H$8:$H$250,CONCATENATE("20",RIGHT('FY Q&amp;V 2003-04 to Now'!AG$7,2)),'Base Metals - Q&amp;V'!$I$8:$I$250,1)+
SUMIFS('Base Metals - Q&amp;V'!$G$8:$G$250,'Base Metals - Q&amp;V'!$H$8:$H$250,CONCATENATE("20",RIGHT('FY Q&amp;V 2003-04 to Now'!AG$7,2)),'Base Metals - Q&amp;V'!$I$8:$I$250,2))*1000000</f>
        <v>263162702.99999997</v>
      </c>
      <c r="AI19" s="1259">
        <f>(SUMIFS('Base Metals - Q&amp;V'!$F$8:$F$250,'Base Metals - Q&amp;V'!$H$8:$H$250,LEFT('FY Q&amp;V 2003-04 to Now'!AI$7,4),'Base Metals - Q&amp;V'!$I$8:$I$250,3)+
SUMIFS('Base Metals - Q&amp;V'!$F$8:$F$250,'Base Metals - Q&amp;V'!$H$8:$H$250,LEFT('FY Q&amp;V 2003-04 to Now'!AI$7:AJ$7,4),'Base Metals - Q&amp;V'!$I$8:$I$250,4)+
SUMIFS('Base Metals - Q&amp;V'!$F$8:$F$250,'Base Metals - Q&amp;V'!$H$8:$H$250,CONCATENATE("20",RIGHT('FY Q&amp;V 2003-04 to Now'!AI$7,2)),'Base Metals - Q&amp;V'!$I$8:$I$250,1)+
SUMIFS('Base Metals - Q&amp;V'!$F$8:$F$250,'Base Metals - Q&amp;V'!$H$8:$H$250,CONCATENATE("20",RIGHT('FY Q&amp;V 2003-04 to Now'!AI$7,2)),'Base Metals - Q&amp;V'!$I$8:$I$250,2))*1000</f>
        <v>71770.606</v>
      </c>
      <c r="AJ19" s="268">
        <f>(SUMIFS('Base Metals - Q&amp;V'!$G$8:$G$250,'Base Metals - Q&amp;V'!$H$8:$H$250,LEFT('FY Q&amp;V 2003-04 to Now'!AI$7,4),'Base Metals - Q&amp;V'!$I$8:$I$250,3)+
SUMIFS('Base Metals - Q&amp;V'!$G$8:$G$250,'Base Metals - Q&amp;V'!$H$8:$H$250,LEFT('FY Q&amp;V 2003-04 to Now'!AI$7,4),'Base Metals - Q&amp;V'!$I$8:$I$250,4)+
SUMIFS('Base Metals - Q&amp;V'!$G$8:$G$250,'Base Metals - Q&amp;V'!$H$8:$H$250,CONCATENATE("20",RIGHT('FY Q&amp;V 2003-04 to Now'!AI$7,2)),'Base Metals - Q&amp;V'!$I$8:$I$250,1)+
SUMIFS('Base Metals - Q&amp;V'!$G$8:$G$250,'Base Metals - Q&amp;V'!$H$8:$H$250,CONCATENATE("20",RIGHT('FY Q&amp;V 2003-04 to Now'!AI$7,2)),'Base Metals - Q&amp;V'!$I$8:$I$250,2))*1000000</f>
        <v>223321577</v>
      </c>
      <c r="AK19" s="268">
        <f>(SUMIFS('Base Metals - Q&amp;V'!$F$8:$F$250,'Base Metals - Q&amp;V'!$H$8:$H$250,LEFT('FY Q&amp;V 2003-04 to Now'!AK$7,4),'Base Metals - Q&amp;V'!$I$8:$I$250,3)+
SUMIFS('Base Metals - Q&amp;V'!$F$8:$F$250,'Base Metals - Q&amp;V'!$H$8:$H$250,LEFT('FY Q&amp;V 2003-04 to Now'!AK$7:AL$7,4),'Base Metals - Q&amp;V'!$I$8:$I$250,4)+
SUMIFS('Base Metals - Q&amp;V'!$F$8:$F$250,'Base Metals - Q&amp;V'!$H$8:$H$250,CONCATENATE("20",RIGHT('FY Q&amp;V 2003-04 to Now'!AK$7,2)),'Base Metals - Q&amp;V'!$I$8:$I$250,1)+
SUMIFS('Base Metals - Q&amp;V'!$F$8:$F$250,'Base Metals - Q&amp;V'!$H$8:$H$250,CONCATENATE("20",RIGHT('FY Q&amp;V 2003-04 to Now'!AK$7,2)),'Base Metals - Q&amp;V'!$I$8:$I$250,2))*1000</f>
        <v>64219.087</v>
      </c>
      <c r="AL19" s="268">
        <f>(SUMIFS('Base Metals - Q&amp;V'!$G$8:$G$250,'Base Metals - Q&amp;V'!$H$8:$H$250,LEFT('FY Q&amp;V 2003-04 to Now'!AK$7,4),'Base Metals - Q&amp;V'!$I$8:$I$250,3)+
SUMIFS('Base Metals - Q&amp;V'!$G$8:$G$250,'Base Metals - Q&amp;V'!$H$8:$H$250,LEFT('FY Q&amp;V 2003-04 to Now'!AK$7,4),'Base Metals - Q&amp;V'!$I$8:$I$250,4)+
SUMIFS('Base Metals - Q&amp;V'!$G$8:$G$250,'Base Metals - Q&amp;V'!$H$8:$H$250,CONCATENATE("20",RIGHT('FY Q&amp;V 2003-04 to Now'!AK$7,2)),'Base Metals - Q&amp;V'!$I$8:$I$250,1)+
SUMIFS('Base Metals - Q&amp;V'!$G$8:$G$250,'Base Metals - Q&amp;V'!$H$8:$H$250,CONCATENATE("20",RIGHT('FY Q&amp;V 2003-04 to Now'!AK$7,2)),'Base Metals - Q&amp;V'!$I$8:$I$250,2))*1000000</f>
        <v>229189907.51000002</v>
      </c>
      <c r="AM19" s="1711">
        <f>SUMIF($C$9:AL$9,1,$C19:AL19)</f>
        <v>1592202.0069999998</v>
      </c>
      <c r="AN19" s="307">
        <f>SUMIF($C$9:AL$9,0,$C19:AL19)</f>
        <v>3990289890.0600004</v>
      </c>
    </row>
    <row r="20" spans="1:42">
      <c r="A20" s="370" t="s">
        <v>179</v>
      </c>
      <c r="B20" s="244"/>
      <c r="C20" s="1294"/>
      <c r="D20" s="1295">
        <f>SUM(D17:D19)</f>
        <v>281716819.63999999</v>
      </c>
      <c r="E20" s="1294"/>
      <c r="F20" s="1295">
        <f>SUM(F17:F19)</f>
        <v>343201638.39999998</v>
      </c>
      <c r="G20" s="1294"/>
      <c r="H20" s="1295">
        <f>SUM(H17:H19)</f>
        <v>970329065.80999994</v>
      </c>
      <c r="I20" s="1294"/>
      <c r="J20" s="1295">
        <f>SUM(J17:J19)</f>
        <v>1619371265.5</v>
      </c>
      <c r="K20" s="1294"/>
      <c r="L20" s="1295">
        <f>SUM(L17:L19)</f>
        <v>1510380656.21</v>
      </c>
      <c r="M20" s="1294"/>
      <c r="N20" s="1295">
        <f>SUM(N17:N19)</f>
        <v>931437174.5</v>
      </c>
      <c r="O20" s="1294"/>
      <c r="P20" s="1295">
        <f>SUM(P17:P19)</f>
        <v>1444150153.1100001</v>
      </c>
      <c r="Q20" s="1294"/>
      <c r="R20" s="1295">
        <f>SUM(R17:R19)</f>
        <v>1594532883.9000001</v>
      </c>
      <c r="S20" s="1294"/>
      <c r="T20" s="1295">
        <f>SUM(T17:T19)</f>
        <v>1316603739.99</v>
      </c>
      <c r="U20" s="1294"/>
      <c r="V20" s="1295">
        <f>SUM(V17:V19)</f>
        <v>1561960991.9000001</v>
      </c>
      <c r="W20" s="1294"/>
      <c r="X20" s="1295">
        <f>SUM(X17:X19)</f>
        <v>1856591244.5999999</v>
      </c>
      <c r="Y20" s="1294"/>
      <c r="Z20" s="1295">
        <f>SUM(Z17:Z19)</f>
        <v>1617036865</v>
      </c>
      <c r="AA20" s="1294"/>
      <c r="AB20" s="1295">
        <f>SUM(AB17:AB19)</f>
        <v>1391567135</v>
      </c>
      <c r="AC20" s="1294"/>
      <c r="AD20" s="1295">
        <f>SUM(AD17:AD19)</f>
        <v>1454836025</v>
      </c>
      <c r="AE20" s="1296"/>
      <c r="AF20" s="1295">
        <f>SUM(AF17:AF19)</f>
        <v>1694101991.9999998</v>
      </c>
      <c r="AG20" s="1706"/>
      <c r="AH20" s="242">
        <f>SUM(AH17:AH19)</f>
        <v>1598137536</v>
      </c>
      <c r="AI20" s="1706"/>
      <c r="AJ20" s="242">
        <f>SUM(AJ17:AJ19)</f>
        <v>1617554603</v>
      </c>
      <c r="AK20" s="242"/>
      <c r="AL20" s="242">
        <f>SUM(AL17:AL19)</f>
        <v>1716520744.1699998</v>
      </c>
      <c r="AM20" s="1711"/>
      <c r="AN20" s="307">
        <f>SUMIF($C$9:AL$9,0,$C20:AL20)</f>
        <v>24520030533.729996</v>
      </c>
    </row>
    <row r="21" spans="1:42">
      <c r="A21" s="204"/>
      <c r="B21" s="244"/>
      <c r="C21" s="1294"/>
      <c r="D21" s="1295"/>
      <c r="E21" s="1294"/>
      <c r="F21" s="1295"/>
      <c r="G21" s="1294"/>
      <c r="H21" s="1295"/>
      <c r="I21" s="1294"/>
      <c r="J21" s="1295"/>
      <c r="K21" s="1294"/>
      <c r="L21" s="1295"/>
      <c r="M21" s="1294"/>
      <c r="N21" s="1295"/>
      <c r="O21" s="1294"/>
      <c r="P21" s="1295"/>
      <c r="Q21" s="1294"/>
      <c r="R21" s="1295"/>
      <c r="S21" s="1294"/>
      <c r="T21" s="1295"/>
      <c r="U21" s="1294"/>
      <c r="V21" s="1295"/>
      <c r="W21" s="1294"/>
      <c r="X21" s="1295"/>
      <c r="Y21" s="1294"/>
      <c r="Z21" s="1295"/>
      <c r="AA21" s="1294"/>
      <c r="AB21" s="1295"/>
      <c r="AC21" s="1295"/>
      <c r="AD21" s="1295"/>
      <c r="AE21" s="1296"/>
      <c r="AF21" s="1295"/>
      <c r="AG21" s="1705"/>
      <c r="AH21" s="235"/>
      <c r="AI21" s="1705"/>
      <c r="AJ21" s="235"/>
      <c r="AK21" s="235"/>
      <c r="AL21" s="235"/>
      <c r="AM21" s="1711"/>
      <c r="AN21" s="307"/>
    </row>
    <row r="22" spans="1:42">
      <c r="A22" s="365" t="s">
        <v>181</v>
      </c>
      <c r="B22" s="353" t="s">
        <v>87</v>
      </c>
      <c r="C22" s="1279">
        <v>103207.6</v>
      </c>
      <c r="D22" s="1279">
        <v>29334844.600000005</v>
      </c>
      <c r="E22" s="1279">
        <v>107085.16999999998</v>
      </c>
      <c r="F22" s="1279">
        <v>38249908.710000001</v>
      </c>
      <c r="G22" s="1279">
        <v>107869.82999999999</v>
      </c>
      <c r="H22" s="1279">
        <v>45532614.649999999</v>
      </c>
      <c r="I22" s="1279">
        <v>91284</v>
      </c>
      <c r="J22" s="1279" t="s">
        <v>785</v>
      </c>
      <c r="K22" s="1279">
        <v>87635.331000000006</v>
      </c>
      <c r="L22" s="1279" t="s">
        <v>785</v>
      </c>
      <c r="M22" s="1279">
        <v>74898.459000000003</v>
      </c>
      <c r="N22" s="1279" t="s">
        <v>785</v>
      </c>
      <c r="O22" s="1279">
        <v>59033.538</v>
      </c>
      <c r="P22" s="1279" t="s">
        <v>785</v>
      </c>
      <c r="Q22" s="1279">
        <v>81925.062000000005</v>
      </c>
      <c r="R22" s="1279" t="s">
        <v>785</v>
      </c>
      <c r="S22" s="1279">
        <v>164219.49</v>
      </c>
      <c r="T22" s="1279" t="s">
        <v>785</v>
      </c>
      <c r="U22" s="1279">
        <v>195772.05</v>
      </c>
      <c r="V22" s="1279" t="s">
        <v>785</v>
      </c>
      <c r="W22" s="1279">
        <v>66540.209999999992</v>
      </c>
      <c r="X22" s="1279" t="s">
        <v>785</v>
      </c>
      <c r="Y22" s="1279">
        <v>0</v>
      </c>
      <c r="Z22" s="1279">
        <v>0</v>
      </c>
      <c r="AA22" s="1279">
        <v>0</v>
      </c>
      <c r="AB22" s="1279">
        <v>0</v>
      </c>
      <c r="AC22" s="1279">
        <v>0</v>
      </c>
      <c r="AD22" s="1279">
        <v>0</v>
      </c>
      <c r="AE22" s="1291">
        <v>0</v>
      </c>
      <c r="AF22" s="1279">
        <v>0</v>
      </c>
      <c r="AG22" s="1291">
        <v>0</v>
      </c>
      <c r="AH22" s="1279">
        <v>0</v>
      </c>
      <c r="AI22" s="1291">
        <v>0</v>
      </c>
      <c r="AJ22" s="1279">
        <v>0</v>
      </c>
      <c r="AK22" s="1279">
        <v>0</v>
      </c>
      <c r="AL22" s="1279">
        <v>0</v>
      </c>
      <c r="AM22" s="1291">
        <f>SUMIF($C$9:AL$9,1,$C22:AL22)</f>
        <v>1139470.74</v>
      </c>
      <c r="AN22" s="1279">
        <f>SUMIF($C$9:AL$9,0,$C22:AL22)</f>
        <v>113117367.96000001</v>
      </c>
    </row>
    <row r="23" spans="1:42">
      <c r="A23" s="352"/>
      <c r="B23" s="353"/>
      <c r="C23" s="1178"/>
      <c r="D23" s="1178"/>
      <c r="E23" s="1178"/>
      <c r="F23" s="1178"/>
      <c r="G23" s="1178"/>
      <c r="H23" s="1178"/>
      <c r="I23" s="1178"/>
      <c r="J23" s="1178"/>
      <c r="K23" s="1178"/>
      <c r="L23" s="1178"/>
      <c r="M23" s="1178"/>
      <c r="N23" s="1178"/>
      <c r="O23" s="1178"/>
      <c r="P23" s="1178"/>
      <c r="Q23" s="1178"/>
      <c r="R23" s="1178"/>
      <c r="S23" s="1178"/>
      <c r="T23" s="1178"/>
      <c r="U23" s="1178"/>
      <c r="V23" s="1178"/>
      <c r="W23" s="1178"/>
      <c r="X23" s="1178"/>
      <c r="Y23" s="1178"/>
      <c r="Z23" s="1178"/>
      <c r="AA23" s="1178"/>
      <c r="AB23" s="1178"/>
      <c r="AC23" s="1178"/>
      <c r="AD23" s="1178"/>
      <c r="AE23" s="1293"/>
      <c r="AF23" s="1178"/>
      <c r="AG23" s="1293"/>
      <c r="AH23" s="1178"/>
      <c r="AI23" s="1293"/>
      <c r="AJ23" s="1178"/>
      <c r="AK23" s="1178"/>
      <c r="AL23" s="1178"/>
      <c r="AM23" s="1291"/>
      <c r="AN23" s="1279"/>
    </row>
    <row r="24" spans="1:42">
      <c r="A24" s="366" t="s">
        <v>182</v>
      </c>
      <c r="B24" s="244" t="s">
        <v>87</v>
      </c>
      <c r="C24" s="1295" t="s">
        <v>236</v>
      </c>
      <c r="D24" s="1295" t="s">
        <v>236</v>
      </c>
      <c r="E24" s="1295" t="s">
        <v>236</v>
      </c>
      <c r="F24" s="1295" t="s">
        <v>236</v>
      </c>
      <c r="G24" s="1295" t="s">
        <v>236</v>
      </c>
      <c r="H24" s="1295" t="s">
        <v>236</v>
      </c>
      <c r="I24" s="1295" t="s">
        <v>236</v>
      </c>
      <c r="J24" s="1295" t="s">
        <v>236</v>
      </c>
      <c r="K24" s="1295" t="s">
        <v>236</v>
      </c>
      <c r="L24" s="1295" t="s">
        <v>236</v>
      </c>
      <c r="M24" s="1295" t="s">
        <v>236</v>
      </c>
      <c r="N24" s="1295" t="s">
        <v>236</v>
      </c>
      <c r="O24" s="1295" t="s">
        <v>236</v>
      </c>
      <c r="P24" s="1295" t="s">
        <v>236</v>
      </c>
      <c r="Q24" s="1295" t="s">
        <v>236</v>
      </c>
      <c r="R24" s="1295" t="s">
        <v>236</v>
      </c>
      <c r="S24" s="1294">
        <v>75091</v>
      </c>
      <c r="T24" s="1294">
        <v>1663209</v>
      </c>
      <c r="U24" s="1295" t="s">
        <v>236</v>
      </c>
      <c r="V24" s="1295" t="s">
        <v>236</v>
      </c>
      <c r="W24" s="1294">
        <v>5139</v>
      </c>
      <c r="X24" s="1295">
        <v>345148</v>
      </c>
      <c r="Y24" s="1294">
        <v>17670</v>
      </c>
      <c r="Z24" s="1295">
        <v>1043438</v>
      </c>
      <c r="AA24" s="1294">
        <v>21968.609999999997</v>
      </c>
      <c r="AB24" s="1295">
        <v>1104708</v>
      </c>
      <c r="AC24" s="268">
        <v>20864.89</v>
      </c>
      <c r="AD24" s="1295">
        <v>1390448</v>
      </c>
      <c r="AE24" s="1296">
        <v>18278.240000000002</v>
      </c>
      <c r="AF24" s="1295">
        <v>1274478</v>
      </c>
      <c r="AG24" s="1705">
        <v>19259.239999999998</v>
      </c>
      <c r="AH24" s="235">
        <v>1662231</v>
      </c>
      <c r="AI24" s="1705">
        <v>18920.017</v>
      </c>
      <c r="AJ24" s="235">
        <v>1985156</v>
      </c>
      <c r="AK24" s="242">
        <v>23772.745999999999</v>
      </c>
      <c r="AL24" s="242">
        <v>2866699</v>
      </c>
      <c r="AM24" s="1711">
        <f>SUMIF($C$9:AL$9,1,$C24:AL24)</f>
        <v>220963.74299999996</v>
      </c>
      <c r="AN24" s="307">
        <f>SUMIF($C$9:AL$9,0,$C24:AL24)</f>
        <v>13335515</v>
      </c>
    </row>
    <row r="25" spans="1:42">
      <c r="A25" s="212"/>
      <c r="B25" s="244"/>
      <c r="C25" s="1294"/>
      <c r="D25" s="1295"/>
      <c r="E25" s="1294"/>
      <c r="F25" s="1295"/>
      <c r="G25" s="1294"/>
      <c r="H25" s="1295"/>
      <c r="I25" s="1294"/>
      <c r="J25" s="1295"/>
      <c r="K25" s="1294"/>
      <c r="L25" s="1295"/>
      <c r="M25" s="1294"/>
      <c r="N25" s="1295"/>
      <c r="O25" s="1294"/>
      <c r="P25" s="1295"/>
      <c r="Q25" s="1294"/>
      <c r="R25" s="1295"/>
      <c r="S25" s="1294"/>
      <c r="T25" s="1295"/>
      <c r="U25" s="1294"/>
      <c r="V25" s="1295"/>
      <c r="W25" s="1294"/>
      <c r="X25" s="1295"/>
      <c r="Y25" s="1294"/>
      <c r="Z25" s="1295"/>
      <c r="AA25" s="1294"/>
      <c r="AB25" s="1295"/>
      <c r="AC25" s="1295"/>
      <c r="AD25" s="1295"/>
      <c r="AE25" s="1296"/>
      <c r="AF25" s="1295"/>
      <c r="AG25" s="1705"/>
      <c r="AH25" s="235"/>
      <c r="AI25" s="1705"/>
      <c r="AJ25" s="235"/>
      <c r="AK25" s="235"/>
      <c r="AL25" s="235"/>
      <c r="AM25" s="1711"/>
      <c r="AN25" s="307"/>
    </row>
    <row r="26" spans="1:42">
      <c r="A26" s="365" t="s">
        <v>194</v>
      </c>
      <c r="B26" s="353" t="s">
        <v>87</v>
      </c>
      <c r="C26" s="1279">
        <f>(SUMIFS('Other Commodities - Q&amp;V'!$D$8:$D$250,'Other Commodities - Q&amp;V'!$N$8:$N$250,LEFT('FY Q&amp;V 2003-04 to Now'!C$7,4),'Other Commodities - Q&amp;V'!$O$8:$O$250,3)+
SUMIFS('Other Commodities - Q&amp;V'!$D$8:$D$250,'Other Commodities - Q&amp;V'!$N$8:$N$250,LEFT('FY Q&amp;V 2003-04 to Now'!C$7,4),'Other Commodities - Q&amp;V'!$O$8:$O$250,4)+
SUMIFS('Other Commodities - Q&amp;V'!$D$8:$D$250,'Other Commodities - Q&amp;V'!$N$8:$N$250,CONCATENATE("20",RIGHT('FY Q&amp;V 2003-04 to Now'!C$7,2)),'Other Commodities - Q&amp;V'!$O$8:$O$250,1)+
SUMIFS('Other Commodities - Q&amp;V'!$D$8:$D$250,'Other Commodities - Q&amp;V'!$N$8:$N$250,CONCATENATE("20",RIGHT('FY Q&amp;V 2003-04 to Now'!C$7,2)),'Other Commodities - Q&amp;V'!$O$8:$O$250,2))*1000000</f>
        <v>5973013</v>
      </c>
      <c r="D26" s="1279">
        <f>(SUMIFS('Other Commodities - Q&amp;V'!$E$8:$E$250,'Other Commodities - Q&amp;V'!$N$8:$N$250,LEFT('FY Q&amp;V 2003-04 to Now'!C$7,4),'Other Commodities - Q&amp;V'!$O$8:$O$250,3)+
SUMIFS('Other Commodities - Q&amp;V'!$E$8:$E$250,'Other Commodities - Q&amp;V'!$N$8:$N$250,LEFT('FY Q&amp;V 2003-04 to Now'!C$7,4),'Other Commodities - Q&amp;V'!$O$8:$O$250,4)+
SUMIFS('Other Commodities - Q&amp;V'!$E$8:$E$250,'Other Commodities - Q&amp;V'!$N$8:$N$250,CONCATENATE("20",RIGHT('FY Q&amp;V 2003-04 to Now'!C$7,2)),'Other Commodities - Q&amp;V'!$O$8:$O$250,1)+
SUMIFS('Other Commodities - Q&amp;V'!$E$8:$E$250,'Other Commodities - Q&amp;V'!$N$8:$N$250,CONCATENATE("20",RIGHT('FY Q&amp;V 2003-04 to Now'!C$7,2)),'Other Commodities - Q&amp;V'!$O$8:$O$250,2))*1000000</f>
        <v>268842784.5</v>
      </c>
      <c r="E26" s="1279">
        <f>(SUMIFS('Other Commodities - Q&amp;V'!$D$8:$D$250,'Other Commodities - Q&amp;V'!$N$8:$N$250,LEFT('FY Q&amp;V 2003-04 to Now'!E$7,4),'Other Commodities - Q&amp;V'!$O$8:$O$250,3)+
SUMIFS('Other Commodities - Q&amp;V'!$D$8:$D$250,'Other Commodities - Q&amp;V'!$N$8:$N$250,LEFT('FY Q&amp;V 2003-04 to Now'!E$7,4),'Other Commodities - Q&amp;V'!$O$8:$O$250,4)+
SUMIFS('Other Commodities - Q&amp;V'!$D$8:$D$250,'Other Commodities - Q&amp;V'!$N$8:$N$250,CONCATENATE("20",RIGHT('FY Q&amp;V 2003-04 to Now'!E$7,2)),'Other Commodities - Q&amp;V'!$O$8:$O$250,1)+
SUMIFS('Other Commodities - Q&amp;V'!$D$8:$D$250,'Other Commodities - Q&amp;V'!$N$8:$N$250,CONCATENATE("20",RIGHT('FY Q&amp;V 2003-04 to Now'!E$7,2)),'Other Commodities - Q&amp;V'!$O$8:$O$250,2))*1000000</f>
        <v>6204065.0000000009</v>
      </c>
      <c r="F26" s="1279">
        <f>(SUMIFS('Other Commodities - Q&amp;V'!$E$8:$E$250,'Other Commodities - Q&amp;V'!$N$8:$N$250,LEFT('FY Q&amp;V 2003-04 to Now'!E$7,4),'Other Commodities - Q&amp;V'!$O$8:$O$250,3)+
SUMIFS('Other Commodities - Q&amp;V'!$E$8:$E$250,'Other Commodities - Q&amp;V'!$N$8:$N$250,LEFT('FY Q&amp;V 2003-04 to Now'!E$7,4),'Other Commodities - Q&amp;V'!$O$8:$O$250,4)+
SUMIFS('Other Commodities - Q&amp;V'!$E$8:$E$250,'Other Commodities - Q&amp;V'!$N$8:$N$250,CONCATENATE("20",RIGHT('FY Q&amp;V 2003-04 to Now'!E$7,2)),'Other Commodities - Q&amp;V'!$O$8:$O$250,1)+
SUMIFS('Other Commodities - Q&amp;V'!$E$8:$E$250,'Other Commodities - Q&amp;V'!$N$8:$N$250,CONCATENATE("20",RIGHT('FY Q&amp;V 2003-04 to Now'!E$7,2)),'Other Commodities - Q&amp;V'!$O$8:$O$250,2))*1000000</f>
        <v>268638250.99999994</v>
      </c>
      <c r="G26" s="1279">
        <f>(SUMIFS('Other Commodities - Q&amp;V'!$D$8:$D$250,'Other Commodities - Q&amp;V'!$N$8:$N$250,LEFT('FY Q&amp;V 2003-04 to Now'!G$7,4),'Other Commodities - Q&amp;V'!$O$8:$O$250,3)+
SUMIFS('Other Commodities - Q&amp;V'!$D$8:$D$250,'Other Commodities - Q&amp;V'!$N$8:$N$250,LEFT('FY Q&amp;V 2003-04 to Now'!G$7,4),'Other Commodities - Q&amp;V'!$O$8:$O$250,4)+
SUMIFS('Other Commodities - Q&amp;V'!$D$8:$D$250,'Other Commodities - Q&amp;V'!$N$8:$N$250,CONCATENATE("20",RIGHT('FY Q&amp;V 2003-04 to Now'!G$7,2)),'Other Commodities - Q&amp;V'!$O$8:$O$250,1)+
SUMIFS('Other Commodities - Q&amp;V'!$D$8:$D$250,'Other Commodities - Q&amp;V'!$N$8:$N$250,CONCATENATE("20",RIGHT('FY Q&amp;V 2003-04 to Now'!G$7,2)),'Other Commodities - Q&amp;V'!$O$8:$O$250,2))*1000000</f>
        <v>6700698.0000000009</v>
      </c>
      <c r="H26" s="1279">
        <f>(SUMIFS('Other Commodities - Q&amp;V'!$E$8:$E$250,'Other Commodities - Q&amp;V'!$N$8:$N$250,LEFT('FY Q&amp;V 2003-04 to Now'!G$7,4),'Other Commodities - Q&amp;V'!$O$8:$O$250,3)+
SUMIFS('Other Commodities - Q&amp;V'!$E$8:$E$250,'Other Commodities - Q&amp;V'!$N$8:$N$250,LEFT('FY Q&amp;V 2003-04 to Now'!G$7,4),'Other Commodities - Q&amp;V'!$O$8:$O$250,4)+
SUMIFS('Other Commodities - Q&amp;V'!$E$8:$E$250,'Other Commodities - Q&amp;V'!$N$8:$N$250,CONCATENATE("20",RIGHT('FY Q&amp;V 2003-04 to Now'!G$7,2)),'Other Commodities - Q&amp;V'!$O$8:$O$250,1)+
SUMIFS('Other Commodities - Q&amp;V'!$E$8:$E$250,'Other Commodities - Q&amp;V'!$N$8:$N$250,CONCATENATE("20",RIGHT('FY Q&amp;V 2003-04 to Now'!G$7,2)),'Other Commodities - Q&amp;V'!$O$8:$O$250,2))*1000000</f>
        <v>296917683</v>
      </c>
      <c r="I26" s="1279">
        <f>(SUMIFS('Other Commodities - Q&amp;V'!$D$8:$D$250,'Other Commodities - Q&amp;V'!$N$8:$N$250,LEFT('FY Q&amp;V 2003-04 to Now'!I$7,4),'Other Commodities - Q&amp;V'!$O$8:$O$250,3)+
SUMIFS('Other Commodities - Q&amp;V'!$D$8:$D$250,'Other Commodities - Q&amp;V'!$N$8:$N$250,LEFT('FY Q&amp;V 2003-04 to Now'!I$7,4),'Other Commodities - Q&amp;V'!$O$8:$O$250,4)+
SUMIFS('Other Commodities - Q&amp;V'!$D$8:$D$250,'Other Commodities - Q&amp;V'!$N$8:$N$250,CONCATENATE("20",RIGHT('FY Q&amp;V 2003-04 to Now'!I$7,2)),'Other Commodities - Q&amp;V'!$O$8:$O$250,1)+
SUMIFS('Other Commodities - Q&amp;V'!$D$8:$D$250,'Other Commodities - Q&amp;V'!$N$8:$N$250,CONCATENATE("20",RIGHT('FY Q&amp;V 2003-04 to Now'!I$7,2)),'Other Commodities - Q&amp;V'!$O$8:$O$250,2))*1000000</f>
        <v>6017627</v>
      </c>
      <c r="J26" s="1279">
        <f>(SUMIFS('Other Commodities - Q&amp;V'!$E$8:$E$250,'Other Commodities - Q&amp;V'!$N$8:$N$250,LEFT('FY Q&amp;V 2003-04 to Now'!I$7,4),'Other Commodities - Q&amp;V'!$O$8:$O$250,3)+
SUMIFS('Other Commodities - Q&amp;V'!$E$8:$E$250,'Other Commodities - Q&amp;V'!$N$8:$N$250,LEFT('FY Q&amp;V 2003-04 to Now'!I$7,4),'Other Commodities - Q&amp;V'!$O$8:$O$250,4)+
SUMIFS('Other Commodities - Q&amp;V'!$E$8:$E$250,'Other Commodities - Q&amp;V'!$N$8:$N$250,CONCATENATE("20",RIGHT('FY Q&amp;V 2003-04 to Now'!I$7,2)),'Other Commodities - Q&amp;V'!$O$8:$O$250,1)+
SUMIFS('Other Commodities - Q&amp;V'!$E$8:$E$250,'Other Commodities - Q&amp;V'!$N$8:$N$250,CONCATENATE("20",RIGHT('FY Q&amp;V 2003-04 to Now'!I$7,2)),'Other Commodities - Q&amp;V'!$O$8:$O$250,2))*1000000</f>
        <v>271523196</v>
      </c>
      <c r="K26" s="1279">
        <f>(SUMIFS('Other Commodities - Q&amp;V'!$D$8:$D$250,'Other Commodities - Q&amp;V'!$N$8:$N$250,LEFT('FY Q&amp;V 2003-04 to Now'!K$7,4),'Other Commodities - Q&amp;V'!$O$8:$O$250,3)+
SUMIFS('Other Commodities - Q&amp;V'!$D$8:$D$250,'Other Commodities - Q&amp;V'!$N$8:$N$250,LEFT('FY Q&amp;V 2003-04 to Now'!K$7,4),'Other Commodities - Q&amp;V'!$O$8:$O$250,4)+
SUMIFS('Other Commodities - Q&amp;V'!$D$8:$D$250,'Other Commodities - Q&amp;V'!$N$8:$N$250,CONCATENATE("20",RIGHT('FY Q&amp;V 2003-04 to Now'!K$7,2)),'Other Commodities - Q&amp;V'!$O$8:$O$250,1)+
SUMIFS('Other Commodities - Q&amp;V'!$D$8:$D$250,'Other Commodities - Q&amp;V'!$N$8:$N$250,CONCATENATE("20",RIGHT('FY Q&amp;V 2003-04 to Now'!K$7,2)),'Other Commodities - Q&amp;V'!$O$8:$O$250,2))*1000000</f>
        <v>6231426</v>
      </c>
      <c r="L26" s="1279">
        <f>(SUMIFS('Other Commodities - Q&amp;V'!$E$8:$E$250,'Other Commodities - Q&amp;V'!$N$8:$N$250,LEFT('FY Q&amp;V 2003-04 to Now'!K$7,4),'Other Commodities - Q&amp;V'!$O$8:$O$250,3)+
SUMIFS('Other Commodities - Q&amp;V'!$E$8:$E$250,'Other Commodities - Q&amp;V'!$N$8:$N$250,LEFT('FY Q&amp;V 2003-04 to Now'!K$7,4),'Other Commodities - Q&amp;V'!$O$8:$O$250,4)+
SUMIFS('Other Commodities - Q&amp;V'!$E$8:$E$250,'Other Commodities - Q&amp;V'!$N$8:$N$250,CONCATENATE("20",RIGHT('FY Q&amp;V 2003-04 to Now'!K$7,2)),'Other Commodities - Q&amp;V'!$O$8:$O$250,1)+
SUMIFS('Other Commodities - Q&amp;V'!$E$8:$E$250,'Other Commodities - Q&amp;V'!$N$8:$N$250,CONCATENATE("20",RIGHT('FY Q&amp;V 2003-04 to Now'!K$7,2)),'Other Commodities - Q&amp;V'!$O$8:$O$250,2))*1000000</f>
        <v>270424457.99999994</v>
      </c>
      <c r="M26" s="1279">
        <f>(SUMIFS('Other Commodities - Q&amp;V'!$D$8:$D$250,'Other Commodities - Q&amp;V'!$N$8:$N$250,LEFT('FY Q&amp;V 2003-04 to Now'!M$7,4),'Other Commodities - Q&amp;V'!$O$8:$O$250,3)+
SUMIFS('Other Commodities - Q&amp;V'!$D$8:$D$250,'Other Commodities - Q&amp;V'!$N$8:$N$250,LEFT('FY Q&amp;V 2003-04 to Now'!M$7,4),'Other Commodities - Q&amp;V'!$O$8:$O$250,4)+
SUMIFS('Other Commodities - Q&amp;V'!$D$8:$D$250,'Other Commodities - Q&amp;V'!$N$8:$N$250,CONCATENATE("20",RIGHT('FY Q&amp;V 2003-04 to Now'!M$7,2)),'Other Commodities - Q&amp;V'!$O$8:$O$250,1)+
SUMIFS('Other Commodities - Q&amp;V'!$D$8:$D$250,'Other Commodities - Q&amp;V'!$N$8:$N$250,CONCATENATE("20",RIGHT('FY Q&amp;V 2003-04 to Now'!M$7,2)),'Other Commodities - Q&amp;V'!$O$8:$O$250,2))*1000000</f>
        <v>6979209.0000000009</v>
      </c>
      <c r="N26" s="1279">
        <f>(SUMIFS('Other Commodities - Q&amp;V'!$E$8:$E$250,'Other Commodities - Q&amp;V'!$N$8:$N$250,LEFT('FY Q&amp;V 2003-04 to Now'!M$7,4),'Other Commodities - Q&amp;V'!$O$8:$O$250,3)+
SUMIFS('Other Commodities - Q&amp;V'!$E$8:$E$250,'Other Commodities - Q&amp;V'!$N$8:$N$250,LEFT('FY Q&amp;V 2003-04 to Now'!M$7,4),'Other Commodities - Q&amp;V'!$O$8:$O$250,4)+
SUMIFS('Other Commodities - Q&amp;V'!$E$8:$E$250,'Other Commodities - Q&amp;V'!$N$8:$N$250,CONCATENATE("20",RIGHT('FY Q&amp;V 2003-04 to Now'!M$7,2)),'Other Commodities - Q&amp;V'!$O$8:$O$250,1)+
SUMIFS('Other Commodities - Q&amp;V'!$E$8:$E$250,'Other Commodities - Q&amp;V'!$N$8:$N$250,CONCATENATE("20",RIGHT('FY Q&amp;V 2003-04 to Now'!M$7,2)),'Other Commodities - Q&amp;V'!$O$8:$O$250,2))*1000000</f>
        <v>332572499</v>
      </c>
      <c r="O26" s="1279">
        <f>(SUMIFS('Other Commodities - Q&amp;V'!$D$8:$D$250,'Other Commodities - Q&amp;V'!$N$8:$N$250,LEFT('FY Q&amp;V 2003-04 to Now'!O$7,4),'Other Commodities - Q&amp;V'!$O$8:$O$250,3)+
SUMIFS('Other Commodities - Q&amp;V'!$D$8:$D$250,'Other Commodities - Q&amp;V'!$N$8:$N$250,LEFT('FY Q&amp;V 2003-04 to Now'!O$7,4),'Other Commodities - Q&amp;V'!$O$8:$O$250,4)+
SUMIFS('Other Commodities - Q&amp;V'!$D$8:$D$250,'Other Commodities - Q&amp;V'!$N$8:$N$250,CONCATENATE("20",RIGHT('FY Q&amp;V 2003-04 to Now'!O$7,2)),'Other Commodities - Q&amp;V'!$O$8:$O$250,1)+
SUMIFS('Other Commodities - Q&amp;V'!$D$8:$D$250,'Other Commodities - Q&amp;V'!$N$8:$N$250,CONCATENATE("20",RIGHT('FY Q&amp;V 2003-04 to Now'!O$7,2)),'Other Commodities - Q&amp;V'!$O$8:$O$250,2))*1000000</f>
        <v>6712019</v>
      </c>
      <c r="P26" s="1279">
        <f>(SUMIFS('Other Commodities - Q&amp;V'!$E$8:$E$250,'Other Commodities - Q&amp;V'!$N$8:$N$250,LEFT('FY Q&amp;V 2003-04 to Now'!O$7,4),'Other Commodities - Q&amp;V'!$O$8:$O$250,3)+
SUMIFS('Other Commodities - Q&amp;V'!$E$8:$E$250,'Other Commodities - Q&amp;V'!$N$8:$N$250,LEFT('FY Q&amp;V 2003-04 to Now'!O$7,4),'Other Commodities - Q&amp;V'!$O$8:$O$250,4)+
SUMIFS('Other Commodities - Q&amp;V'!$E$8:$E$250,'Other Commodities - Q&amp;V'!$N$8:$N$250,CONCATENATE("20",RIGHT('FY Q&amp;V 2003-04 to Now'!O$7,2)),'Other Commodities - Q&amp;V'!$O$8:$O$250,1)+
SUMIFS('Other Commodities - Q&amp;V'!$E$8:$E$250,'Other Commodities - Q&amp;V'!$N$8:$N$250,CONCATENATE("20",RIGHT('FY Q&amp;V 2003-04 to Now'!O$7,2)),'Other Commodities - Q&amp;V'!$O$8:$O$250,2))*1000000</f>
        <v>325855375</v>
      </c>
      <c r="Q26" s="1279">
        <f>(SUMIFS('Other Commodities - Q&amp;V'!$D$8:$D$250,'Other Commodities - Q&amp;V'!$N$8:$N$250,LEFT('FY Q&amp;V 2003-04 to Now'!Q$7,4),'Other Commodities - Q&amp;V'!$O$8:$O$250,3)+
SUMIFS('Other Commodities - Q&amp;V'!$D$8:$D$250,'Other Commodities - Q&amp;V'!$N$8:$N$250,LEFT('FY Q&amp;V 2003-04 to Now'!Q$7,4),'Other Commodities - Q&amp;V'!$O$8:$O$250,4)+
SUMIFS('Other Commodities - Q&amp;V'!$D$8:$D$250,'Other Commodities - Q&amp;V'!$N$8:$N$250,CONCATENATE("20",RIGHT('FY Q&amp;V 2003-04 to Now'!Q$7,2)),'Other Commodities - Q&amp;V'!$O$8:$O$250,1)+
SUMIFS('Other Commodities - Q&amp;V'!$D$8:$D$250,'Other Commodities - Q&amp;V'!$N$8:$N$250,CONCATENATE("20",RIGHT('FY Q&amp;V 2003-04 to Now'!Q$7,2)),'Other Commodities - Q&amp;V'!$O$8:$O$250,2))*1000000</f>
        <v>7234455</v>
      </c>
      <c r="R26" s="1279">
        <f>(SUMIFS('Other Commodities - Q&amp;V'!$E$8:$E$250,'Other Commodities - Q&amp;V'!$N$8:$N$250,LEFT('FY Q&amp;V 2003-04 to Now'!Q$7,4),'Other Commodities - Q&amp;V'!$O$8:$O$250,3)+
SUMIFS('Other Commodities - Q&amp;V'!$E$8:$E$250,'Other Commodities - Q&amp;V'!$N$8:$N$250,LEFT('FY Q&amp;V 2003-04 to Now'!Q$7,4),'Other Commodities - Q&amp;V'!$O$8:$O$250,4)+
SUMIFS('Other Commodities - Q&amp;V'!$E$8:$E$250,'Other Commodities - Q&amp;V'!$N$8:$N$250,CONCATENATE("20",RIGHT('FY Q&amp;V 2003-04 to Now'!Q$7,2)),'Other Commodities - Q&amp;V'!$O$8:$O$250,1)+
SUMIFS('Other Commodities - Q&amp;V'!$E$8:$E$250,'Other Commodities - Q&amp;V'!$N$8:$N$250,CONCATENATE("20",RIGHT('FY Q&amp;V 2003-04 to Now'!Q$7,2)),'Other Commodities - Q&amp;V'!$O$8:$O$250,2))*1000000</f>
        <v>296259551.00000006</v>
      </c>
      <c r="S26" s="1279">
        <f>(SUMIFS('Other Commodities - Q&amp;V'!$D$8:$D$250,'Other Commodities - Q&amp;V'!$N$8:$N$250,LEFT('FY Q&amp;V 2003-04 to Now'!S$7,4),'Other Commodities - Q&amp;V'!$O$8:$O$250,3)+
SUMIFS('Other Commodities - Q&amp;V'!$D$8:$D$250,'Other Commodities - Q&amp;V'!$N$8:$N$250,LEFT('FY Q&amp;V 2003-04 to Now'!S$7,4),'Other Commodities - Q&amp;V'!$O$8:$O$250,4)+
SUMIFS('Other Commodities - Q&amp;V'!$D$8:$D$250,'Other Commodities - Q&amp;V'!$N$8:$N$250,CONCATENATE("20",RIGHT('FY Q&amp;V 2003-04 to Now'!S$7,2)),'Other Commodities - Q&amp;V'!$O$8:$O$250,1)+
SUMIFS('Other Commodities - Q&amp;V'!$D$8:$D$250,'Other Commodities - Q&amp;V'!$N$8:$N$250,CONCATENATE("20",RIGHT('FY Q&amp;V 2003-04 to Now'!S$7,2)),'Other Commodities - Q&amp;V'!$O$8:$O$250,2))*1000000</f>
        <v>6986433</v>
      </c>
      <c r="T26" s="1279">
        <f>(SUMIFS('Other Commodities - Q&amp;V'!$E$8:$E$250,'Other Commodities - Q&amp;V'!$N$8:$N$250,LEFT('FY Q&amp;V 2003-04 to Now'!S$7,4),'Other Commodities - Q&amp;V'!$O$8:$O$250,3)+
SUMIFS('Other Commodities - Q&amp;V'!$E$8:$E$250,'Other Commodities - Q&amp;V'!$N$8:$N$250,LEFT('FY Q&amp;V 2003-04 to Now'!S$7,4),'Other Commodities - Q&amp;V'!$O$8:$O$250,4)+
SUMIFS('Other Commodities - Q&amp;V'!$E$8:$E$250,'Other Commodities - Q&amp;V'!$N$8:$N$250,CONCATENATE("20",RIGHT('FY Q&amp;V 2003-04 to Now'!S$7,2)),'Other Commodities - Q&amp;V'!$O$8:$O$250,1)+
SUMIFS('Other Commodities - Q&amp;V'!$E$8:$E$250,'Other Commodities - Q&amp;V'!$N$8:$N$250,CONCATENATE("20",RIGHT('FY Q&amp;V 2003-04 to Now'!S$7,2)),'Other Commodities - Q&amp;V'!$O$8:$O$250,2))*1000000</f>
        <v>289629252</v>
      </c>
      <c r="U26" s="1279">
        <f>(SUMIFS('Other Commodities - Q&amp;V'!$D$8:$D$250,'Other Commodities - Q&amp;V'!$N$8:$N$250,LEFT('FY Q&amp;V 2003-04 to Now'!U$7,4),'Other Commodities - Q&amp;V'!$O$8:$O$250,3)+
SUMIFS('Other Commodities - Q&amp;V'!$D$8:$D$250,'Other Commodities - Q&amp;V'!$N$8:$N$250,LEFT('FY Q&amp;V 2003-04 to Now'!U$7,4),'Other Commodities - Q&amp;V'!$O$8:$O$250,4)+
SUMIFS('Other Commodities - Q&amp;V'!$D$8:$D$250,'Other Commodities - Q&amp;V'!$N$8:$N$250,CONCATENATE("20",RIGHT('FY Q&amp;V 2003-04 to Now'!U$7,2)),'Other Commodities - Q&amp;V'!$O$8:$O$250,1)+
SUMIFS('Other Commodities - Q&amp;V'!$D$8:$D$250,'Other Commodities - Q&amp;V'!$N$8:$N$250,CONCATENATE("20",RIGHT('FY Q&amp;V 2003-04 to Now'!U$7,2)),'Other Commodities - Q&amp;V'!$O$8:$O$250,2))*1000000</f>
        <v>7494280</v>
      </c>
      <c r="V26" s="1279">
        <f>(SUMIFS('Other Commodities - Q&amp;V'!$E$8:$E$250,'Other Commodities - Q&amp;V'!$N$8:$N$250,LEFT('FY Q&amp;V 2003-04 to Now'!U$7,4),'Other Commodities - Q&amp;V'!$O$8:$O$250,3)+
SUMIFS('Other Commodities - Q&amp;V'!$E$8:$E$250,'Other Commodities - Q&amp;V'!$N$8:$N$250,LEFT('FY Q&amp;V 2003-04 to Now'!U$7,4),'Other Commodities - Q&amp;V'!$O$8:$O$250,4)+
SUMIFS('Other Commodities - Q&amp;V'!$E$8:$E$250,'Other Commodities - Q&amp;V'!$N$8:$N$250,CONCATENATE("20",RIGHT('FY Q&amp;V 2003-04 to Now'!U$7,2)),'Other Commodities - Q&amp;V'!$O$8:$O$250,1)+
SUMIFS('Other Commodities - Q&amp;V'!$E$8:$E$250,'Other Commodities - Q&amp;V'!$N$8:$N$250,CONCATENATE("20",RIGHT('FY Q&amp;V 2003-04 to Now'!U$7,2)),'Other Commodities - Q&amp;V'!$O$8:$O$250,2))*1000000</f>
        <v>310812886</v>
      </c>
      <c r="W26" s="1279">
        <f>(SUMIFS('Other Commodities - Q&amp;V'!$D$8:$D$250,'Other Commodities - Q&amp;V'!$N$8:$N$250,LEFT('FY Q&amp;V 2003-04 to Now'!W$7,4),'Other Commodities - Q&amp;V'!$O$8:$O$250,3)+
SUMIFS('Other Commodities - Q&amp;V'!$D$8:$D$250,'Other Commodities - Q&amp;V'!$N$8:$N$250,LEFT('FY Q&amp;V 2003-04 to Now'!W$7,4),'Other Commodities - Q&amp;V'!$O$8:$O$250,4)+
SUMIFS('Other Commodities - Q&amp;V'!$D$8:$D$250,'Other Commodities - Q&amp;V'!$N$8:$N$250,CONCATENATE("20",RIGHT('FY Q&amp;V 2003-04 to Now'!W$7,2)),'Other Commodities - Q&amp;V'!$O$8:$O$250,1)+
SUMIFS('Other Commodities - Q&amp;V'!$D$8:$D$250,'Other Commodities - Q&amp;V'!$N$8:$N$250,CONCATENATE("20",RIGHT('FY Q&amp;V 2003-04 to Now'!W$7,2)),'Other Commodities - Q&amp;V'!$O$8:$O$250,2))*1000000</f>
        <v>6275421.7800000003</v>
      </c>
      <c r="X26" s="1279">
        <f>(SUMIFS('Other Commodities - Q&amp;V'!$E$8:$E$250,'Other Commodities - Q&amp;V'!$N$8:$N$250,LEFT('FY Q&amp;V 2003-04 to Now'!W$7,4),'Other Commodities - Q&amp;V'!$O$8:$O$250,3)+
SUMIFS('Other Commodities - Q&amp;V'!$E$8:$E$250,'Other Commodities - Q&amp;V'!$N$8:$N$250,LEFT('FY Q&amp;V 2003-04 to Now'!W$7,4),'Other Commodities - Q&amp;V'!$O$8:$O$250,4)+
SUMIFS('Other Commodities - Q&amp;V'!$E$8:$E$250,'Other Commodities - Q&amp;V'!$N$8:$N$250,CONCATENATE("20",RIGHT('FY Q&amp;V 2003-04 to Now'!W$7,2)),'Other Commodities - Q&amp;V'!$O$8:$O$250,1)+
SUMIFS('Other Commodities - Q&amp;V'!$E$8:$E$250,'Other Commodities - Q&amp;V'!$N$8:$N$250,CONCATENATE("20",RIGHT('FY Q&amp;V 2003-04 to Now'!W$7,2)),'Other Commodities - Q&amp;V'!$O$8:$O$250,2))*1000000</f>
        <v>263701680</v>
      </c>
      <c r="Y26" s="1279">
        <f>(SUMIFS('Other Commodities - Q&amp;V'!$D$8:$D$250,'Other Commodities - Q&amp;V'!$N$8:$N$250,LEFT('FY Q&amp;V 2003-04 to Now'!Y$7,4),'Other Commodities - Q&amp;V'!$O$8:$O$250,3)+
SUMIFS('Other Commodities - Q&amp;V'!$D$8:$D$250,'Other Commodities - Q&amp;V'!$N$8:$N$250,LEFT('FY Q&amp;V 2003-04 to Now'!Y$7,4),'Other Commodities - Q&amp;V'!$O$8:$O$250,4)+
SUMIFS('Other Commodities - Q&amp;V'!$D$8:$D$250,'Other Commodities - Q&amp;V'!$N$8:$N$250,CONCATENATE("20",RIGHT('FY Q&amp;V 2003-04 to Now'!Y$7,2)),'Other Commodities - Q&amp;V'!$O$8:$O$250,1)+
SUMIFS('Other Commodities - Q&amp;V'!$D$8:$D$250,'Other Commodities - Q&amp;V'!$N$8:$N$250,CONCATENATE("20",RIGHT('FY Q&amp;V 2003-04 to Now'!Y$7,2)),'Other Commodities - Q&amp;V'!$O$8:$O$250,2))*1000000</f>
        <v>6553063.75</v>
      </c>
      <c r="Z26" s="1279">
        <f>(SUMIFS('Other Commodities - Q&amp;V'!$E$8:$E$250,'Other Commodities - Q&amp;V'!$N$8:$N$250,LEFT('FY Q&amp;V 2003-04 to Now'!Y$7,4),'Other Commodities - Q&amp;V'!$O$8:$O$250,3)+
SUMIFS('Other Commodities - Q&amp;V'!$E$8:$E$250,'Other Commodities - Q&amp;V'!$N$8:$N$250,LEFT('FY Q&amp;V 2003-04 to Now'!Y$7,4),'Other Commodities - Q&amp;V'!$O$8:$O$250,4)+
SUMIFS('Other Commodities - Q&amp;V'!$E$8:$E$250,'Other Commodities - Q&amp;V'!$N$8:$N$250,CONCATENATE("20",RIGHT('FY Q&amp;V 2003-04 to Now'!Y$7,2)),'Other Commodities - Q&amp;V'!$O$8:$O$250,1)+
SUMIFS('Other Commodities - Q&amp;V'!$E$8:$E$250,'Other Commodities - Q&amp;V'!$N$8:$N$250,CONCATENATE("20",RIGHT('FY Q&amp;V 2003-04 to Now'!Y$7,2)),'Other Commodities - Q&amp;V'!$O$8:$O$250,2))*1000000</f>
        <v>306733911</v>
      </c>
      <c r="AA26" s="1279">
        <f>(SUMIFS('Other Commodities - Q&amp;V'!$D$8:$D$250,'Other Commodities - Q&amp;V'!$N$8:$N$250,LEFT('FY Q&amp;V 2003-04 to Now'!AA$7,4),'Other Commodities - Q&amp;V'!$O$8:$O$250,3)+
SUMIFS('Other Commodities - Q&amp;V'!$D$8:$D$250,'Other Commodities - Q&amp;V'!$N$8:$N$250,LEFT('FY Q&amp;V 2003-04 to Now'!AA$7,4),'Other Commodities - Q&amp;V'!$O$8:$O$250,4)+
SUMIFS('Other Commodities - Q&amp;V'!$D$8:$D$250,'Other Commodities - Q&amp;V'!$N$8:$N$250,CONCATENATE("20",RIGHT('FY Q&amp;V 2003-04 to Now'!AA$7,2)),'Other Commodities - Q&amp;V'!$O$8:$O$250,1)+
SUMIFS('Other Commodities - Q&amp;V'!$D$8:$D$250,'Other Commodities - Q&amp;V'!$N$8:$N$250,CONCATENATE("20",RIGHT('FY Q&amp;V 2003-04 to Now'!AA$7,2)),'Other Commodities - Q&amp;V'!$O$8:$O$250,2))*1000000</f>
        <v>6890950.7599999998</v>
      </c>
      <c r="AB26" s="1279">
        <f>(SUMIFS('Other Commodities - Q&amp;V'!$E$8:$E$250,'Other Commodities - Q&amp;V'!$N$8:$N$250,LEFT('FY Q&amp;V 2003-04 to Now'!AA$7,4),'Other Commodities - Q&amp;V'!$O$8:$O$250,3)+
SUMIFS('Other Commodities - Q&amp;V'!$E$8:$E$250,'Other Commodities - Q&amp;V'!$N$8:$N$250,LEFT('FY Q&amp;V 2003-04 to Now'!AA$7,4),'Other Commodities - Q&amp;V'!$O$8:$O$250,4)+
SUMIFS('Other Commodities - Q&amp;V'!$E$8:$E$250,'Other Commodities - Q&amp;V'!$N$8:$N$250,CONCATENATE("20",RIGHT('FY Q&amp;V 2003-04 to Now'!AA$7,2)),'Other Commodities - Q&amp;V'!$O$8:$O$250,1)+
SUMIFS('Other Commodities - Q&amp;V'!$E$8:$E$250,'Other Commodities - Q&amp;V'!$N$8:$N$250,CONCATENATE("20",RIGHT('FY Q&amp;V 2003-04 to Now'!AA$7,2)),'Other Commodities - Q&amp;V'!$O$8:$O$250,2))*1000000</f>
        <v>336466825</v>
      </c>
      <c r="AC26" s="1291">
        <f>(SUMIFS('Other Commodities - Q&amp;V'!$D$8:$D$250,'Other Commodities - Q&amp;V'!$N$8:$N$250,LEFT('FY Q&amp;V 2003-04 to Now'!AC$7,4),'Other Commodities - Q&amp;V'!$O$8:$O$250,3)+
SUMIFS('Other Commodities - Q&amp;V'!$D$8:$D$250,'Other Commodities - Q&amp;V'!$N$8:$N$250,LEFT('FY Q&amp;V 2003-04 to Now'!AC$7,4),'Other Commodities - Q&amp;V'!$O$8:$O$250,4)+
SUMIFS('Other Commodities - Q&amp;V'!$D$8:$D$250,'Other Commodities - Q&amp;V'!$N$8:$N$250,CONCATENATE("20",RIGHT('FY Q&amp;V 2003-04 to Now'!AC$7,2)),'Other Commodities - Q&amp;V'!$O$8:$O$250,1)+
SUMIFS('Other Commodities - Q&amp;V'!$D$8:$D$250,'Other Commodities - Q&amp;V'!$N$8:$N$250,CONCATENATE("20",RIGHT('FY Q&amp;V 2003-04 to Now'!AC$7,2)),'Other Commodities - Q&amp;V'!$O$8:$O$250,2))*1000000</f>
        <v>6806389.2209999999</v>
      </c>
      <c r="AD26" s="1279">
        <f>(SUMIFS('Other Commodities - Q&amp;V'!$E$8:$E$250,'Other Commodities - Q&amp;V'!$N$8:$N$250,LEFT('FY Q&amp;V 2003-04 to Now'!AC$7,4),'Other Commodities - Q&amp;V'!$O$8:$O$250,3)+
SUMIFS('Other Commodities - Q&amp;V'!$E$8:$E$250,'Other Commodities - Q&amp;V'!$N$8:$N$250,LEFT('FY Q&amp;V 2003-04 to Now'!AC$7,4),'Other Commodities - Q&amp;V'!$O$8:$O$250,4)+
SUMIFS('Other Commodities - Q&amp;V'!$E$8:$E$250,'Other Commodities - Q&amp;V'!$N$8:$N$250,CONCATENATE("20",RIGHT('FY Q&amp;V 2003-04 to Now'!AC$7,2)),'Other Commodities - Q&amp;V'!$O$8:$O$250,1)+
SUMIFS('Other Commodities - Q&amp;V'!$E$8:$E$250,'Other Commodities - Q&amp;V'!$N$8:$N$250,CONCATENATE("20",RIGHT('FY Q&amp;V 2003-04 to Now'!AC$7,2)),'Other Commodities - Q&amp;V'!$O$8:$O$250,2))*1000000</f>
        <v>338435045</v>
      </c>
      <c r="AE26" s="1291">
        <f>(SUMIFS('Other Commodities - Q&amp;V'!$D$8:$D$250,'Other Commodities - Q&amp;V'!$N$8:$N$250,LEFT('FY Q&amp;V 2003-04 to Now'!AE$7,4),'Other Commodities - Q&amp;V'!$O$8:$O$250,3)+
SUMIFS('Other Commodities - Q&amp;V'!$D$8:$D$250,'Other Commodities - Q&amp;V'!$N$8:$N$250,LEFT('FY Q&amp;V 2003-04 to Now'!AE$7,4),'Other Commodities - Q&amp;V'!$O$8:$O$250,4)+
SUMIFS('Other Commodities - Q&amp;V'!$D$8:$D$250,'Other Commodities - Q&amp;V'!$N$8:$N$250,CONCATENATE("20",RIGHT('FY Q&amp;V 2003-04 to Now'!AE$7,2)),'Other Commodities - Q&amp;V'!$O$8:$O$250,1)+
SUMIFS('Other Commodities - Q&amp;V'!$D$8:$D$250,'Other Commodities - Q&amp;V'!$N$8:$N$250,CONCATENATE("20",RIGHT('FY Q&amp;V 2003-04 to Now'!AE$7,2)),'Other Commodities - Q&amp;V'!$O$8:$O$250,2))*1000000</f>
        <v>6679934.8399999999</v>
      </c>
      <c r="AF26" s="1279">
        <f>(SUMIFS('Other Commodities - Q&amp;V'!$E$8:$E$250,'Other Commodities - Q&amp;V'!$N$8:$N$250,LEFT('FY Q&amp;V 2003-04 to Now'!AE$7,4),'Other Commodities - Q&amp;V'!$O$8:$O$250,3)+
SUMIFS('Other Commodities - Q&amp;V'!$E$8:$E$250,'Other Commodities - Q&amp;V'!$N$8:$N$250,LEFT('FY Q&amp;V 2003-04 to Now'!AE$7,4),'Other Commodities - Q&amp;V'!$O$8:$O$250,4)+
SUMIFS('Other Commodities - Q&amp;V'!$E$8:$E$250,'Other Commodities - Q&amp;V'!$N$8:$N$250,CONCATENATE("20",RIGHT('FY Q&amp;V 2003-04 to Now'!AE$7,2)),'Other Commodities - Q&amp;V'!$O$8:$O$250,1)+
SUMIFS('Other Commodities - Q&amp;V'!$E$8:$E$250,'Other Commodities - Q&amp;V'!$N$8:$N$250,CONCATENATE("20",RIGHT('FY Q&amp;V 2003-04 to Now'!AE$7,2)),'Other Commodities - Q&amp;V'!$O$8:$O$250,2))*1000000</f>
        <v>331959621.63</v>
      </c>
      <c r="AG26" s="1291">
        <f>(SUMIFS('Other Commodities - Q&amp;V'!$D$8:$D$250,'Other Commodities - Q&amp;V'!$N$8:$N$250,LEFT('FY Q&amp;V 2003-04 to Now'!AG$7,4),'Other Commodities - Q&amp;V'!$O$8:$O$250,3)+
SUMIFS('Other Commodities - Q&amp;V'!$D$8:$D$250,'Other Commodities - Q&amp;V'!$N$8:$N$250,LEFT('FY Q&amp;V 2003-04 to Now'!AG$7,4),'Other Commodities - Q&amp;V'!$O$8:$O$250,4)+
SUMIFS('Other Commodities - Q&amp;V'!$D$8:$D$250,'Other Commodities - Q&amp;V'!$N$8:$N$250,CONCATENATE("20",RIGHT('FY Q&amp;V 2003-04 to Now'!AG$7,2)),'Other Commodities - Q&amp;V'!$O$8:$O$250,1)+
SUMIFS('Other Commodities - Q&amp;V'!$D$8:$D$250,'Other Commodities - Q&amp;V'!$N$8:$N$250,CONCATENATE("20",RIGHT('FY Q&amp;V 2003-04 to Now'!AG$7,2)),'Other Commodities - Q&amp;V'!$O$8:$O$250,2))*1000000</f>
        <v>6275190.46</v>
      </c>
      <c r="AH26" s="1291">
        <f>(SUMIFS('Other Commodities - Q&amp;V'!$E$8:$E$250,'Other Commodities - Q&amp;V'!$N$8:$N$250,LEFT('FY Q&amp;V 2003-04 to Now'!AG$7,4),'Other Commodities - Q&amp;V'!$O$8:$O$250,3)+
SUMIFS('Other Commodities - Q&amp;V'!$E$8:$E$250,'Other Commodities - Q&amp;V'!$N$8:$N$250,LEFT('FY Q&amp;V 2003-04 to Now'!AG$7,4),'Other Commodities - Q&amp;V'!$O$8:$O$250,4)+
SUMIFS('Other Commodities - Q&amp;V'!$E$8:$E$250,'Other Commodities - Q&amp;V'!$N$8:$N$250,CONCATENATE("20",RIGHT('FY Q&amp;V 2003-04 to Now'!AG$7,2)),'Other Commodities - Q&amp;V'!$O$8:$O$250,1)+
SUMIFS('Other Commodities - Q&amp;V'!$E$8:$E$250,'Other Commodities - Q&amp;V'!$N$8:$N$250,CONCATENATE("20",RIGHT('FY Q&amp;V 2003-04 to Now'!AG$7,2)),'Other Commodities - Q&amp;V'!$O$8:$O$250,2))*1000000</f>
        <v>319370156</v>
      </c>
      <c r="AI26" s="1291">
        <f>(SUMIFS('Other Commodities - Q&amp;V'!$D$8:$D$250,'Other Commodities - Q&amp;V'!$N$8:$N$250,LEFT('FY Q&amp;V 2003-04 to Now'!AI$7,4),'Other Commodities - Q&amp;V'!$O$8:$O$250,3)+
SUMIFS('Other Commodities - Q&amp;V'!$D$8:$D$250,'Other Commodities - Q&amp;V'!$N$8:$N$250,LEFT('FY Q&amp;V 2003-04 to Now'!AI$7,4),'Other Commodities - Q&amp;V'!$O$8:$O$250,4)+
SUMIFS('Other Commodities - Q&amp;V'!$D$8:$D$250,'Other Commodities - Q&amp;V'!$N$8:$N$250,CONCATENATE("20",RIGHT('FY Q&amp;V 2003-04 to Now'!AI$7,2)),'Other Commodities - Q&amp;V'!$O$8:$O$250,1)+
SUMIFS('Other Commodities - Q&amp;V'!$D$8:$D$250,'Other Commodities - Q&amp;V'!$N$8:$N$250,CONCATENATE("20",RIGHT('FY Q&amp;V 2003-04 to Now'!AI$7,2)),'Other Commodities - Q&amp;V'!$O$8:$O$250,2))*1000000</f>
        <v>6195613.7570000002</v>
      </c>
      <c r="AJ26" s="1291">
        <f>(SUMIFS('Other Commodities - Q&amp;V'!$E$8:$E$250,'Other Commodities - Q&amp;V'!$N$8:$N$250,LEFT('FY Q&amp;V 2003-04 to Now'!AI$7,4),'Other Commodities - Q&amp;V'!$O$8:$O$250,3)+
SUMIFS('Other Commodities - Q&amp;V'!$E$8:$E$250,'Other Commodities - Q&amp;V'!$N$8:$N$250,LEFT('FY Q&amp;V 2003-04 to Now'!AI$7,4),'Other Commodities - Q&amp;V'!$O$8:$O$250,4)+
SUMIFS('Other Commodities - Q&amp;V'!$E$8:$E$250,'Other Commodities - Q&amp;V'!$N$8:$N$250,CONCATENATE("20",RIGHT('FY Q&amp;V 2003-04 to Now'!AI$7,2)),'Other Commodities - Q&amp;V'!$O$8:$O$250,1)+
SUMIFS('Other Commodities - Q&amp;V'!$E$8:$E$250,'Other Commodities - Q&amp;V'!$N$8:$N$250,CONCATENATE("20",RIGHT('FY Q&amp;V 2003-04 to Now'!AI$7,2)),'Other Commodities - Q&amp;V'!$O$8:$O$250,2))*1000000</f>
        <v>326981226</v>
      </c>
      <c r="AK26" s="1291">
        <f>(SUMIFS('Other Commodities - Q&amp;V'!$D$8:$D$250,'Other Commodities - Q&amp;V'!$N$8:$N$250,LEFT('FY Q&amp;V 2003-04 to Now'!AK$7,4),'Other Commodities - Q&amp;V'!$O$8:$O$250,3)+
SUMIFS('Other Commodities - Q&amp;V'!$D$8:$D$250,'Other Commodities - Q&amp;V'!$N$8:$N$250,LEFT('FY Q&amp;V 2003-04 to Now'!AK$7,4),'Other Commodities - Q&amp;V'!$O$8:$O$250,4)+
SUMIFS('Other Commodities - Q&amp;V'!$D$8:$D$250,'Other Commodities - Q&amp;V'!$N$8:$N$250,CONCATENATE("20",RIGHT('FY Q&amp;V 2003-04 to Now'!AK$7,2)),'Other Commodities - Q&amp;V'!$O$8:$O$250,1)+
SUMIFS('Other Commodities - Q&amp;V'!$D$8:$D$250,'Other Commodities - Q&amp;V'!$N$8:$N$250,CONCATENATE("20",RIGHT('FY Q&amp;V 2003-04 to Now'!AK$7,2)),'Other Commodities - Q&amp;V'!$O$8:$O$250,2))*1000000</f>
        <v>5272434.04</v>
      </c>
      <c r="AL26" s="1291">
        <f>(SUMIFS('Other Commodities - Q&amp;V'!$E$8:$E$250,'Other Commodities - Q&amp;V'!$N$8:$N$250,LEFT('FY Q&amp;V 2003-04 to Now'!AK$7,4),'Other Commodities - Q&amp;V'!$O$8:$O$250,3)+
SUMIFS('Other Commodities - Q&amp;V'!$E$8:$E$250,'Other Commodities - Q&amp;V'!$N$8:$N$250,LEFT('FY Q&amp;V 2003-04 to Now'!AK$7,4),'Other Commodities - Q&amp;V'!$O$8:$O$250,4)+
SUMIFS('Other Commodities - Q&amp;V'!$E$8:$E$250,'Other Commodities - Q&amp;V'!$N$8:$N$250,CONCATENATE("20",RIGHT('FY Q&amp;V 2003-04 to Now'!AK$7,2)),'Other Commodities - Q&amp;V'!$O$8:$O$250,1)+
SUMIFS('Other Commodities - Q&amp;V'!$E$8:$E$250,'Other Commodities - Q&amp;V'!$N$8:$N$250,CONCATENATE("20",RIGHT('FY Q&amp;V 2003-04 to Now'!AK$7,2)),'Other Commodities - Q&amp;V'!$O$8:$O$250,2))*1000000</f>
        <v>306063405</v>
      </c>
      <c r="AM26" s="1291">
        <f>SUMIF($C$9:AL$9,1,$C26:AL26)</f>
        <v>117482223.60800001</v>
      </c>
      <c r="AN26" s="1279">
        <f>SUMIF($C$9:AL$9,0,$C26:AL26)</f>
        <v>5461187805.1300001</v>
      </c>
      <c r="AO26" s="573"/>
      <c r="AP26" s="1734"/>
    </row>
    <row r="27" spans="1:42">
      <c r="A27" s="352"/>
      <c r="B27" s="353"/>
      <c r="C27" s="1178"/>
      <c r="D27" s="1178"/>
      <c r="E27" s="1178"/>
      <c r="F27" s="1178"/>
      <c r="G27" s="1178"/>
      <c r="H27" s="1178"/>
      <c r="I27" s="1178"/>
      <c r="J27" s="1178"/>
      <c r="K27" s="1178"/>
      <c r="L27" s="1178"/>
      <c r="M27" s="1178"/>
      <c r="N27" s="1178"/>
      <c r="O27" s="1178"/>
      <c r="P27" s="1178"/>
      <c r="Q27" s="1178"/>
      <c r="R27" s="1178"/>
      <c r="S27" s="1178"/>
      <c r="T27" s="1178"/>
      <c r="U27" s="1178"/>
      <c r="V27" s="1178"/>
      <c r="W27" s="1178"/>
      <c r="X27" s="1178"/>
      <c r="Y27" s="1178"/>
      <c r="Z27" s="1178"/>
      <c r="AA27" s="1178"/>
      <c r="AB27" s="1178"/>
      <c r="AC27" s="1178"/>
      <c r="AD27" s="1178"/>
      <c r="AE27" s="1293"/>
      <c r="AF27" s="1178"/>
      <c r="AG27" s="1293"/>
      <c r="AH27" s="1178"/>
      <c r="AI27" s="1293"/>
      <c r="AJ27" s="1178"/>
      <c r="AK27" s="1178"/>
      <c r="AL27" s="1178"/>
      <c r="AM27" s="1291"/>
      <c r="AN27" s="1279"/>
    </row>
    <row r="28" spans="1:42">
      <c r="A28" s="366" t="s">
        <v>195</v>
      </c>
      <c r="B28" s="244"/>
      <c r="C28" s="1294"/>
      <c r="D28" s="1295"/>
      <c r="E28" s="1294"/>
      <c r="F28" s="1295"/>
      <c r="G28" s="1294"/>
      <c r="H28" s="1295"/>
      <c r="I28" s="1294"/>
      <c r="J28" s="1295"/>
      <c r="K28" s="1294"/>
      <c r="L28" s="1295"/>
      <c r="M28" s="1294"/>
      <c r="N28" s="1295"/>
      <c r="O28" s="1294"/>
      <c r="P28" s="1295"/>
      <c r="Q28" s="1294"/>
      <c r="R28" s="1295"/>
      <c r="S28" s="1294"/>
      <c r="T28" s="1295"/>
      <c r="U28" s="1294"/>
      <c r="V28" s="1295"/>
      <c r="W28" s="1294"/>
      <c r="X28" s="1295"/>
      <c r="Y28" s="1294"/>
      <c r="Z28" s="1295"/>
      <c r="AA28" s="1294"/>
      <c r="AB28" s="1295"/>
      <c r="AC28" s="1295"/>
      <c r="AD28" s="1295"/>
      <c r="AE28" s="1296"/>
      <c r="AF28" s="1295"/>
      <c r="AG28" s="1705"/>
      <c r="AH28" s="235"/>
      <c r="AI28" s="1256"/>
      <c r="AJ28" s="281"/>
      <c r="AK28" s="281"/>
      <c r="AL28" s="281"/>
      <c r="AM28" s="1711"/>
      <c r="AN28" s="307"/>
    </row>
    <row r="29" spans="1:42">
      <c r="A29" s="367" t="s">
        <v>293</v>
      </c>
      <c r="B29" s="207" t="s">
        <v>87</v>
      </c>
      <c r="C29" s="268">
        <v>461384.4</v>
      </c>
      <c r="D29" s="268">
        <v>3576081.85</v>
      </c>
      <c r="E29" s="268">
        <v>430979.08</v>
      </c>
      <c r="F29" s="268">
        <v>4069958.05</v>
      </c>
      <c r="G29" s="268">
        <v>948468</v>
      </c>
      <c r="H29" s="268">
        <v>22553670</v>
      </c>
      <c r="I29" s="268">
        <v>1102664.5</v>
      </c>
      <c r="J29" s="268">
        <v>28307131</v>
      </c>
      <c r="K29" s="268">
        <v>1814234.37</v>
      </c>
      <c r="L29" s="268">
        <v>45320296</v>
      </c>
      <c r="M29" s="268">
        <v>3941262.0600000005</v>
      </c>
      <c r="N29" s="268">
        <v>91104572</v>
      </c>
      <c r="O29" s="268">
        <v>3167933.6899999995</v>
      </c>
      <c r="P29" s="268">
        <v>79231292</v>
      </c>
      <c r="Q29" s="268">
        <v>1934859.53</v>
      </c>
      <c r="R29" s="268">
        <v>43801513.850000001</v>
      </c>
      <c r="S29" s="268">
        <v>3722254.2</v>
      </c>
      <c r="T29" s="268">
        <v>97854120.720189855</v>
      </c>
      <c r="U29" s="268">
        <v>4391375.63</v>
      </c>
      <c r="V29" s="268">
        <v>148775763.64999998</v>
      </c>
      <c r="W29" s="268">
        <v>2154534</v>
      </c>
      <c r="X29" s="268">
        <v>47255402</v>
      </c>
      <c r="Y29" s="268">
        <v>1963871.24</v>
      </c>
      <c r="Z29" s="268">
        <v>69239675.900000006</v>
      </c>
      <c r="AA29" s="268">
        <v>1313696.3399999999</v>
      </c>
      <c r="AB29" s="268">
        <v>42256612.86825148</v>
      </c>
      <c r="AC29" s="268">
        <v>1053310.5589999999</v>
      </c>
      <c r="AD29" s="268">
        <v>29764624.100000001</v>
      </c>
      <c r="AE29" s="1259">
        <v>1236604.611</v>
      </c>
      <c r="AF29" s="268">
        <v>37736094.870499998</v>
      </c>
      <c r="AG29" s="1259">
        <v>1608274.4840000002</v>
      </c>
      <c r="AH29" s="268">
        <v>54031239.614739127</v>
      </c>
      <c r="AI29" s="1260">
        <v>3286048.9730000002</v>
      </c>
      <c r="AJ29" s="1260">
        <v>87003095.569337741</v>
      </c>
      <c r="AK29" s="1260">
        <v>2740476.0510000004</v>
      </c>
      <c r="AL29" s="1260">
        <v>75774220.840000004</v>
      </c>
      <c r="AM29" s="1711">
        <f>SUMIF($C$9:AL$9,1,$C29:AL29)</f>
        <v>37272231.717999995</v>
      </c>
      <c r="AN29" s="268">
        <f>SUMIF($C$9:AL$9,0,$C29:AL29)</f>
        <v>1007655364.8830183</v>
      </c>
    </row>
    <row r="30" spans="1:42">
      <c r="A30" s="367" t="s">
        <v>294</v>
      </c>
      <c r="B30" s="207" t="s">
        <v>87</v>
      </c>
      <c r="C30" s="268">
        <v>136627.37</v>
      </c>
      <c r="D30" s="268">
        <v>933421</v>
      </c>
      <c r="E30" s="268">
        <v>303085.81</v>
      </c>
      <c r="F30" s="268">
        <v>1044043.2</v>
      </c>
      <c r="G30" s="268">
        <v>131119</v>
      </c>
      <c r="H30" s="268">
        <v>848142</v>
      </c>
      <c r="I30" s="268">
        <v>176724.28</v>
      </c>
      <c r="J30" s="268">
        <v>1303316.05</v>
      </c>
      <c r="K30" s="268">
        <v>160704.35</v>
      </c>
      <c r="L30" s="268">
        <v>1159687.5</v>
      </c>
      <c r="M30" s="268">
        <v>165262.66</v>
      </c>
      <c r="N30" s="268">
        <v>1694272.35</v>
      </c>
      <c r="O30" s="268">
        <v>184992.63000000003</v>
      </c>
      <c r="P30" s="268">
        <v>1521930.25</v>
      </c>
      <c r="Q30" s="268">
        <v>230784.54</v>
      </c>
      <c r="R30" s="268">
        <v>1760531.2</v>
      </c>
      <c r="S30" s="268">
        <v>283898.75</v>
      </c>
      <c r="T30" s="268">
        <v>2454937.8499999996</v>
      </c>
      <c r="U30" s="268">
        <v>561134.68500000006</v>
      </c>
      <c r="V30" s="268">
        <v>3947124.8200000008</v>
      </c>
      <c r="W30" s="268">
        <v>51853</v>
      </c>
      <c r="X30" s="268">
        <v>338431</v>
      </c>
      <c r="Y30" s="268">
        <v>172555.71000000002</v>
      </c>
      <c r="Z30" s="268">
        <v>993902.7</v>
      </c>
      <c r="AA30" s="268">
        <v>177243.17</v>
      </c>
      <c r="AB30" s="268">
        <v>1055083.1625000001</v>
      </c>
      <c r="AC30" s="268">
        <v>261219.49000000005</v>
      </c>
      <c r="AD30" s="268">
        <v>1652110.19</v>
      </c>
      <c r="AE30" s="1259">
        <v>155130.21999999997</v>
      </c>
      <c r="AF30" s="268">
        <v>1067113.9668000001</v>
      </c>
      <c r="AG30" s="1259">
        <v>168084.07</v>
      </c>
      <c r="AH30" s="268">
        <v>2247985.8611898543</v>
      </c>
      <c r="AI30" s="1260">
        <v>171850.15</v>
      </c>
      <c r="AJ30" s="1260">
        <v>2246537.7015416245</v>
      </c>
      <c r="AK30" s="1260">
        <v>100341.93000000001</v>
      </c>
      <c r="AL30" s="1260">
        <v>1368124.0846000002</v>
      </c>
      <c r="AM30" s="1711">
        <f>SUMIF($C$9:AL$9,1,$C30:AL30)</f>
        <v>3592611.8149999999</v>
      </c>
      <c r="AN30" s="268">
        <f>SUMIF($C$9:AL$9,0,$C30:AL30)</f>
        <v>27636694.886631481</v>
      </c>
    </row>
    <row r="31" spans="1:42">
      <c r="A31" s="367" t="s">
        <v>295</v>
      </c>
      <c r="B31" s="207" t="s">
        <v>87</v>
      </c>
      <c r="C31" s="268">
        <v>364612.16</v>
      </c>
      <c r="D31" s="268">
        <v>3129657.5</v>
      </c>
      <c r="E31" s="268">
        <v>329688.84000000003</v>
      </c>
      <c r="F31" s="268">
        <v>1917061.3</v>
      </c>
      <c r="G31" s="268">
        <v>531801.06999999995</v>
      </c>
      <c r="H31" s="268">
        <v>6115996</v>
      </c>
      <c r="I31" s="268">
        <v>389747.96</v>
      </c>
      <c r="J31" s="268">
        <v>2084403</v>
      </c>
      <c r="K31" s="268">
        <v>1324957.28</v>
      </c>
      <c r="L31" s="268">
        <v>22108330</v>
      </c>
      <c r="M31" s="268">
        <v>194471.1</v>
      </c>
      <c r="N31" s="268">
        <v>1703510</v>
      </c>
      <c r="O31" s="268">
        <v>531077.84</v>
      </c>
      <c r="P31" s="268">
        <v>9160687</v>
      </c>
      <c r="Q31" s="268">
        <v>298261.63999999996</v>
      </c>
      <c r="R31" s="268">
        <v>3251623.9</v>
      </c>
      <c r="S31" s="268">
        <v>509982.87</v>
      </c>
      <c r="T31" s="268">
        <v>6262935.21</v>
      </c>
      <c r="U31" s="268">
        <v>1109760.8900000001</v>
      </c>
      <c r="V31" s="268">
        <v>27142817.800000001</v>
      </c>
      <c r="W31" s="268">
        <v>402652</v>
      </c>
      <c r="X31" s="268">
        <v>10070061</v>
      </c>
      <c r="Y31" s="268">
        <v>1746693.4500000002</v>
      </c>
      <c r="Z31" s="268">
        <v>46504730.765000001</v>
      </c>
      <c r="AA31" s="268">
        <v>220401.58000000002</v>
      </c>
      <c r="AB31" s="268">
        <v>1828017.75</v>
      </c>
      <c r="AC31" s="268">
        <v>412876.49</v>
      </c>
      <c r="AD31" s="268">
        <v>6376681</v>
      </c>
      <c r="AE31" s="1259">
        <v>267387.93000000005</v>
      </c>
      <c r="AF31" s="268">
        <v>4417887.6520000007</v>
      </c>
      <c r="AG31" s="1259">
        <v>381790.85000000003</v>
      </c>
      <c r="AH31" s="268">
        <v>11071974.849747073</v>
      </c>
      <c r="AI31" s="1260">
        <v>330066.98</v>
      </c>
      <c r="AJ31" s="1260">
        <v>7277601.7417743141</v>
      </c>
      <c r="AK31" s="1260">
        <v>491247.67000000004</v>
      </c>
      <c r="AL31" s="1260">
        <v>10367435.18</v>
      </c>
      <c r="AM31" s="1711">
        <f>SUMIF($C$9:AL$9,1,$C31:AL31)</f>
        <v>9837478.6000000015</v>
      </c>
      <c r="AN31" s="268">
        <f>SUMIF($C$9:AL$9,0,$C31:AL31)</f>
        <v>180791411.64852139</v>
      </c>
    </row>
    <row r="32" spans="1:42">
      <c r="A32" s="367" t="s">
        <v>296</v>
      </c>
      <c r="B32" s="207" t="s">
        <v>87</v>
      </c>
      <c r="C32" s="268">
        <v>2239610.81</v>
      </c>
      <c r="D32" s="268">
        <v>11095273.689999999</v>
      </c>
      <c r="E32" s="268">
        <v>2730454.24</v>
      </c>
      <c r="F32" s="268">
        <v>13547686.399999999</v>
      </c>
      <c r="G32" s="268">
        <v>3659544</v>
      </c>
      <c r="H32" s="268">
        <v>22118522</v>
      </c>
      <c r="I32" s="268">
        <v>4220897.3499999996</v>
      </c>
      <c r="J32" s="268">
        <v>22705249.399999999</v>
      </c>
      <c r="K32" s="268">
        <v>3360103</v>
      </c>
      <c r="L32" s="268">
        <v>20772902.75</v>
      </c>
      <c r="M32" s="268">
        <v>3836059.16</v>
      </c>
      <c r="N32" s="268">
        <v>29591018.649999999</v>
      </c>
      <c r="O32" s="268">
        <v>3226617.9000000008</v>
      </c>
      <c r="P32" s="268">
        <v>27573977.661281966</v>
      </c>
      <c r="Q32" s="268">
        <v>4818062.1500000022</v>
      </c>
      <c r="R32" s="268">
        <v>34712548.649999999</v>
      </c>
      <c r="S32" s="268">
        <v>6286702.410000002</v>
      </c>
      <c r="T32" s="268">
        <v>54502064.729999997</v>
      </c>
      <c r="U32" s="268">
        <v>5415504</v>
      </c>
      <c r="V32" s="268">
        <v>62093159.759999998</v>
      </c>
      <c r="W32" s="268">
        <v>3796749</v>
      </c>
      <c r="X32" s="268">
        <v>28420888</v>
      </c>
      <c r="Y32" s="268">
        <v>5658758.2910000011</v>
      </c>
      <c r="Z32" s="268">
        <v>46314767.219999999</v>
      </c>
      <c r="AA32" s="268">
        <v>3434991.824</v>
      </c>
      <c r="AB32" s="268">
        <v>34591599.397</v>
      </c>
      <c r="AC32" s="268">
        <v>2578803.5789999999</v>
      </c>
      <c r="AD32" s="268">
        <v>25273008.214000002</v>
      </c>
      <c r="AE32" s="1259">
        <v>4120160.9159999993</v>
      </c>
      <c r="AF32" s="268">
        <v>28667595.829000004</v>
      </c>
      <c r="AG32" s="1259">
        <v>2017218.3759999999</v>
      </c>
      <c r="AH32" s="268">
        <v>27732365.307780541</v>
      </c>
      <c r="AI32" s="1260">
        <v>2459329.1320000002</v>
      </c>
      <c r="AJ32" s="1260">
        <v>30404254.760949314</v>
      </c>
      <c r="AK32" s="1260">
        <v>2992342.4780000001</v>
      </c>
      <c r="AL32" s="1260">
        <v>33834424.200999998</v>
      </c>
      <c r="AM32" s="1711">
        <f>SUMIF($C$9:AL$9,1,$C32:AL32)</f>
        <v>66851908.616000019</v>
      </c>
      <c r="AN32" s="268">
        <f>SUMIF($C$9:AL$9,0,$C32:AL32)</f>
        <v>553951306.62101185</v>
      </c>
    </row>
    <row r="33" spans="1:46">
      <c r="A33" s="367" t="s">
        <v>39</v>
      </c>
      <c r="B33" s="207" t="s">
        <v>87</v>
      </c>
      <c r="C33" s="1297">
        <v>0</v>
      </c>
      <c r="D33" s="1276">
        <v>0</v>
      </c>
      <c r="E33" s="1297">
        <v>0</v>
      </c>
      <c r="F33" s="1276">
        <v>0</v>
      </c>
      <c r="G33" s="1297">
        <v>0</v>
      </c>
      <c r="H33" s="1276">
        <v>0</v>
      </c>
      <c r="I33" s="1297">
        <v>0</v>
      </c>
      <c r="J33" s="1276">
        <v>0</v>
      </c>
      <c r="K33" s="1297">
        <v>0</v>
      </c>
      <c r="L33" s="1276">
        <v>0</v>
      </c>
      <c r="M33" s="1297">
        <v>0</v>
      </c>
      <c r="N33" s="1276">
        <v>0</v>
      </c>
      <c r="O33" s="1297">
        <v>0</v>
      </c>
      <c r="P33" s="1276">
        <v>0</v>
      </c>
      <c r="Q33" s="1297">
        <v>0</v>
      </c>
      <c r="R33" s="1276">
        <v>0</v>
      </c>
      <c r="S33" s="1297">
        <v>0</v>
      </c>
      <c r="T33" s="1276">
        <v>0</v>
      </c>
      <c r="U33" s="1297">
        <v>0</v>
      </c>
      <c r="V33" s="1276">
        <v>0</v>
      </c>
      <c r="W33" s="1297">
        <v>0</v>
      </c>
      <c r="X33" s="1276">
        <v>0</v>
      </c>
      <c r="Y33" s="1297">
        <v>0</v>
      </c>
      <c r="Z33" s="1276">
        <v>0</v>
      </c>
      <c r="AA33" s="1297">
        <v>0</v>
      </c>
      <c r="AB33" s="1276">
        <v>0</v>
      </c>
      <c r="AC33" s="1297">
        <v>0</v>
      </c>
      <c r="AD33" s="1276">
        <v>0</v>
      </c>
      <c r="AE33" s="1297">
        <v>0</v>
      </c>
      <c r="AF33" s="1276">
        <v>0</v>
      </c>
      <c r="AG33" s="268">
        <v>0</v>
      </c>
      <c r="AH33" s="281">
        <v>0</v>
      </c>
      <c r="AI33" s="268">
        <v>0</v>
      </c>
      <c r="AJ33" s="281">
        <v>0</v>
      </c>
      <c r="AK33" s="281">
        <v>0</v>
      </c>
      <c r="AL33" s="281">
        <v>0</v>
      </c>
      <c r="AM33" s="1727">
        <f>SUMIF($C$9:AL$9,1,$C33:AL33)</f>
        <v>0</v>
      </c>
      <c r="AN33" s="1724">
        <f>SUMIF($C$9:AL$9,0,$C33:AL33)</f>
        <v>0</v>
      </c>
      <c r="AO33" s="1728"/>
    </row>
    <row r="34" spans="1:46">
      <c r="A34" s="370" t="s">
        <v>197</v>
      </c>
      <c r="B34" s="244"/>
      <c r="C34" s="268"/>
      <c r="D34" s="268">
        <f t="shared" ref="D34:F34" si="38">SUM(D29:D33)</f>
        <v>18734434.039999999</v>
      </c>
      <c r="E34" s="268"/>
      <c r="F34" s="268">
        <f t="shared" si="38"/>
        <v>20578748.949999999</v>
      </c>
      <c r="G34" s="268"/>
      <c r="H34" s="268">
        <f t="shared" ref="H34" si="39">SUM(H29:H33)</f>
        <v>51636330</v>
      </c>
      <c r="I34" s="268"/>
      <c r="J34" s="268">
        <f>SUM(J29:J33)</f>
        <v>54400099.450000003</v>
      </c>
      <c r="K34" s="268"/>
      <c r="L34" s="268">
        <f t="shared" ref="L34" si="40">SUM(L29:L33)</f>
        <v>89361216.25</v>
      </c>
      <c r="M34" s="268"/>
      <c r="N34" s="268">
        <f t="shared" ref="N34" si="41">SUM(N29:N33)</f>
        <v>124093373</v>
      </c>
      <c r="O34" s="268"/>
      <c r="P34" s="268">
        <f t="shared" ref="P34" si="42">SUM(P29:P33)</f>
        <v>117487886.91128197</v>
      </c>
      <c r="Q34" s="268"/>
      <c r="R34" s="268">
        <f t="shared" ref="R34" si="43">SUM(R29:R33)</f>
        <v>83526217.599999994</v>
      </c>
      <c r="S34" s="268"/>
      <c r="T34" s="268">
        <f t="shared" ref="T34" si="44">SUM(T29:T33)</f>
        <v>161074058.51018983</v>
      </c>
      <c r="U34" s="268"/>
      <c r="V34" s="268">
        <f t="shared" ref="V34" si="45">SUM(V29:V33)</f>
        <v>241958866.02999997</v>
      </c>
      <c r="W34" s="268"/>
      <c r="X34" s="268">
        <v>86084782</v>
      </c>
      <c r="Y34" s="268"/>
      <c r="Z34" s="268">
        <v>163053076.58500001</v>
      </c>
      <c r="AA34" s="268"/>
      <c r="AB34" s="268">
        <v>79731313.177751482</v>
      </c>
      <c r="AC34" s="268"/>
      <c r="AD34" s="268">
        <v>63066423.504000008</v>
      </c>
      <c r="AE34" s="1295"/>
      <c r="AF34" s="268">
        <v>71888692.318300009</v>
      </c>
      <c r="AG34" s="1259"/>
      <c r="AH34" s="268">
        <f>SUM(AH29:AH33)</f>
        <v>95083565.633456588</v>
      </c>
      <c r="AI34" s="1259"/>
      <c r="AJ34" s="268">
        <v>126931489.77360299</v>
      </c>
      <c r="AK34" s="268"/>
      <c r="AL34" s="268">
        <f>SUM(AL29:AL33)</f>
        <v>121344204.30560002</v>
      </c>
      <c r="AM34" s="1711"/>
      <c r="AN34" s="268">
        <f>SUMIF($C$9:AL$9,0,$C34:AL34)</f>
        <v>1770034778.0391829</v>
      </c>
      <c r="AP34" s="573"/>
    </row>
    <row r="35" spans="1:46">
      <c r="A35" s="209"/>
      <c r="B35" s="244"/>
      <c r="C35" s="1294"/>
      <c r="D35" s="1295"/>
      <c r="E35" s="1294"/>
      <c r="F35" s="1295"/>
      <c r="G35" s="1294"/>
      <c r="H35" s="1295"/>
      <c r="I35" s="1294"/>
      <c r="J35" s="1295"/>
      <c r="K35" s="1294"/>
      <c r="L35" s="1295"/>
      <c r="M35" s="1294"/>
      <c r="N35" s="1295"/>
      <c r="O35" s="1294"/>
      <c r="P35" s="1295"/>
      <c r="Q35" s="1294"/>
      <c r="R35" s="1294"/>
      <c r="S35" s="1294"/>
      <c r="T35" s="1295"/>
      <c r="U35" s="1294"/>
      <c r="V35" s="1295"/>
      <c r="W35" s="1294"/>
      <c r="X35" s="1295"/>
      <c r="Y35" s="1294"/>
      <c r="Z35" s="1295"/>
      <c r="AA35" s="1294"/>
      <c r="AB35" s="1295"/>
      <c r="AC35" s="1295"/>
      <c r="AD35" s="1295"/>
      <c r="AE35" s="1296"/>
      <c r="AF35" s="1295"/>
      <c r="AG35" s="1705"/>
      <c r="AH35" s="235"/>
      <c r="AI35" s="1705"/>
      <c r="AJ35" s="235"/>
      <c r="AK35" s="235"/>
      <c r="AL35" s="235"/>
      <c r="AM35" s="1711"/>
      <c r="AN35" s="307"/>
      <c r="AP35" s="573"/>
      <c r="AT35" s="456"/>
    </row>
    <row r="36" spans="1:46">
      <c r="A36" s="365" t="s">
        <v>198</v>
      </c>
      <c r="B36" s="361" t="s">
        <v>199</v>
      </c>
      <c r="C36" s="1279">
        <f>(SUMIFS('Other Commodities - Q&amp;V'!$H$8:$H$250,'Other Commodities - Q&amp;V'!$N$8:$N$250,LEFT('FY Q&amp;V 2003-04 to Now'!C$7,4),'Other Commodities - Q&amp;V'!$O$8:$O$250,3)+
SUMIFS('Other Commodities - Q&amp;V'!$H$8:$H$250,'Other Commodities - Q&amp;V'!$N$8:$N$250,LEFT('FY Q&amp;V 2003-04 to Now'!C$7,4),'Other Commodities - Q&amp;V'!$O$8:$O$250,4)+
SUMIFS('Other Commodities - Q&amp;V'!$H$8:$H$250,'Other Commodities - Q&amp;V'!$N$8:$N$250,CONCATENATE("20",RIGHT('FY Q&amp;V 2003-04 to Now'!C$7,2)),'Other Commodities - Q&amp;V'!$O$8:$O$250,1)+
SUMIFS('Other Commodities - Q&amp;V'!$H$8:$H$250,'Other Commodities - Q&amp;V'!$N$8:$N$250,CONCATENATE("20",RIGHT('FY Q&amp;V 2003-04 to Now'!C$7,2)),'Other Commodities - Q&amp;V'!$O$8:$O$250,2))*1000000</f>
        <v>32499111.999999996</v>
      </c>
      <c r="D36" s="1279">
        <f>(SUMIFS('Other Commodities - Q&amp;V'!$I$8:$I$250,'Other Commodities - Q&amp;V'!$N$8:$N$250,LEFT('FY Q&amp;V 2003-04 to Now'!C$7,4),'Other Commodities - Q&amp;V'!$O$8:$O$250,3)+
SUMIFS('Other Commodities - Q&amp;V'!$I$8:$I$250,'Other Commodities - Q&amp;V'!$N$8:$N$250,LEFT('FY Q&amp;V 2003-04 to Now'!C$7,4),'Other Commodities - Q&amp;V'!$O$8:$O$250,4)+
SUMIFS('Other Commodities - Q&amp;V'!$I$8:$I$250,'Other Commodities - Q&amp;V'!$N$8:$N$250,CONCATENATE("20",RIGHT('FY Q&amp;V 2003-04 to Now'!C$7,2)),'Other Commodities - Q&amp;V'!$O$8:$O$250,1)+
SUMIFS('Other Commodities - Q&amp;V'!$I$8:$I$250,'Other Commodities - Q&amp;V'!$N$8:$N$250,CONCATENATE("20",RIGHT('FY Q&amp;V 2003-04 to Now'!C$7,2)),'Other Commodities - Q&amp;V'!$O$8:$O$250,2))*1000000</f>
        <v>519865332.99999994</v>
      </c>
      <c r="E36" s="1279">
        <f>(SUMIFS('Other Commodities - Q&amp;V'!$H$8:$H$250,'Other Commodities - Q&amp;V'!$N$8:$N$250,LEFT('FY Q&amp;V 2003-04 to Now'!E$7,4),'Other Commodities - Q&amp;V'!$O$8:$O$250,3)+
SUMIFS('Other Commodities - Q&amp;V'!$H$8:$H$250,'Other Commodities - Q&amp;V'!$N$8:$N$250,LEFT('FY Q&amp;V 2003-04 to Now'!E$7,4),'Other Commodities - Q&amp;V'!$O$8:$O$250,4)+
SUMIFS('Other Commodities - Q&amp;V'!$H$8:$H$250,'Other Commodities - Q&amp;V'!$N$8:$N$250,CONCATENATE("20",RIGHT('FY Q&amp;V 2003-04 to Now'!E$7,2)),'Other Commodities - Q&amp;V'!$O$8:$O$250,1)+
SUMIFS('Other Commodities - Q&amp;V'!$H$8:$H$250,'Other Commodities - Q&amp;V'!$N$8:$N$250,CONCATENATE("20",RIGHT('FY Q&amp;V 2003-04 to Now'!E$7,2)),'Other Commodities - Q&amp;V'!$O$8:$O$250,2))*1000000</f>
        <v>22799773</v>
      </c>
      <c r="F36" s="1279">
        <f>(SUMIFS('Other Commodities - Q&amp;V'!$I$8:$I$250,'Other Commodities - Q&amp;V'!$N$8:$N$250,LEFT('FY Q&amp;V 2003-04 to Now'!E$7,4),'Other Commodities - Q&amp;V'!$O$8:$O$250,3)+
SUMIFS('Other Commodities - Q&amp;V'!$I$8:$I$250,'Other Commodities - Q&amp;V'!$N$8:$N$250,LEFT('FY Q&amp;V 2003-04 to Now'!E$7,4),'Other Commodities - Q&amp;V'!$O$8:$O$250,4)+
SUMIFS('Other Commodities - Q&amp;V'!$I$8:$I$250,'Other Commodities - Q&amp;V'!$N$8:$N$250,CONCATENATE("20",RIGHT('FY Q&amp;V 2003-04 to Now'!E$7,2)),'Other Commodities - Q&amp;V'!$O$8:$O$250,1)+
SUMIFS('Other Commodities - Q&amp;V'!$I$8:$I$250,'Other Commodities - Q&amp;V'!$N$8:$N$250,CONCATENATE("20",RIGHT('FY Q&amp;V 2003-04 to Now'!E$7,2)),'Other Commodities - Q&amp;V'!$O$8:$O$250,2))*1000000</f>
        <v>479842597</v>
      </c>
      <c r="G36" s="1279">
        <f>(SUMIFS('Other Commodities - Q&amp;V'!$H$8:$H$250,'Other Commodities - Q&amp;V'!$N$8:$N$250,LEFT('FY Q&amp;V 2003-04 to Now'!G$7,4),'Other Commodities - Q&amp;V'!$O$8:$O$250,3)+
SUMIFS('Other Commodities - Q&amp;V'!$H$8:$H$250,'Other Commodities - Q&amp;V'!$N$8:$N$250,LEFT('FY Q&amp;V 2003-04 to Now'!G$7,4),'Other Commodities - Q&amp;V'!$O$8:$O$250,4)+
SUMIFS('Other Commodities - Q&amp;V'!$H$8:$H$250,'Other Commodities - Q&amp;V'!$N$8:$N$250,CONCATENATE("20",RIGHT('FY Q&amp;V 2003-04 to Now'!G$7,2)),'Other Commodities - Q&amp;V'!$O$8:$O$250,1)+
SUMIFS('Other Commodities - Q&amp;V'!$H$8:$H$250,'Other Commodities - Q&amp;V'!$N$8:$N$250,CONCATENATE("20",RIGHT('FY Q&amp;V 2003-04 to Now'!G$7,2)),'Other Commodities - Q&amp;V'!$O$8:$O$250,2))*1000000</f>
        <v>29263869</v>
      </c>
      <c r="H36" s="1279">
        <f>(SUMIFS('Other Commodities - Q&amp;V'!$I$8:$I$250,'Other Commodities - Q&amp;V'!$N$8:$N$250,LEFT('FY Q&amp;V 2003-04 to Now'!G$7,4),'Other Commodities - Q&amp;V'!$O$8:$O$250,3)+
SUMIFS('Other Commodities - Q&amp;V'!$I$8:$I$250,'Other Commodities - Q&amp;V'!$N$8:$N$250,LEFT('FY Q&amp;V 2003-04 to Now'!G$7,4),'Other Commodities - Q&amp;V'!$O$8:$O$250,4)+
SUMIFS('Other Commodities - Q&amp;V'!$I$8:$I$250,'Other Commodities - Q&amp;V'!$N$8:$N$250,CONCATENATE("20",RIGHT('FY Q&amp;V 2003-04 to Now'!G$7,2)),'Other Commodities - Q&amp;V'!$O$8:$O$250,1)+
SUMIFS('Other Commodities - Q&amp;V'!$I$8:$I$250,'Other Commodities - Q&amp;V'!$N$8:$N$250,CONCATENATE("20",RIGHT('FY Q&amp;V 2003-04 to Now'!G$7,2)),'Other Commodities - Q&amp;V'!$O$8:$O$250,2))*1000000</f>
        <v>696209547.99999988</v>
      </c>
      <c r="I36" s="1279">
        <f>(SUMIFS('Other Commodities - Q&amp;V'!$H$8:$H$250,'Other Commodities - Q&amp;V'!$N$8:$N$250,LEFT('FY Q&amp;V 2003-04 to Now'!I$7,4),'Other Commodities - Q&amp;V'!$O$8:$O$250,3)+
SUMIFS('Other Commodities - Q&amp;V'!$H$8:$H$250,'Other Commodities - Q&amp;V'!$N$8:$N$250,LEFT('FY Q&amp;V 2003-04 to Now'!I$7,4),'Other Commodities - Q&amp;V'!$O$8:$O$250,4)+
SUMIFS('Other Commodities - Q&amp;V'!$H$8:$H$250,'Other Commodities - Q&amp;V'!$N$8:$N$250,CONCATENATE("20",RIGHT('FY Q&amp;V 2003-04 to Now'!I$7,2)),'Other Commodities - Q&amp;V'!$O$8:$O$250,1)+
SUMIFS('Other Commodities - Q&amp;V'!$H$8:$H$250,'Other Commodities - Q&amp;V'!$N$8:$N$250,CONCATENATE("20",RIGHT('FY Q&amp;V 2003-04 to Now'!I$7,2)),'Other Commodities - Q&amp;V'!$O$8:$O$250,2))*1000000</f>
        <v>18223318.999999996</v>
      </c>
      <c r="J36" s="1279">
        <f>(SUMIFS('Other Commodities - Q&amp;V'!$I$8:$I$250,'Other Commodities - Q&amp;V'!$N$8:$N$250,LEFT('FY Q&amp;V 2003-04 to Now'!I$7,4),'Other Commodities - Q&amp;V'!$O$8:$O$250,3)+
SUMIFS('Other Commodities - Q&amp;V'!$I$8:$I$250,'Other Commodities - Q&amp;V'!$N$8:$N$250,LEFT('FY Q&amp;V 2003-04 to Now'!I$7,4),'Other Commodities - Q&amp;V'!$O$8:$O$250,4)+
SUMIFS('Other Commodities - Q&amp;V'!$I$8:$I$250,'Other Commodities - Q&amp;V'!$N$8:$N$250,CONCATENATE("20",RIGHT('FY Q&amp;V 2003-04 to Now'!I$7,2)),'Other Commodities - Q&amp;V'!$O$8:$O$250,1)+
SUMIFS('Other Commodities - Q&amp;V'!$I$8:$I$250,'Other Commodities - Q&amp;V'!$N$8:$N$250,CONCATENATE("20",RIGHT('FY Q&amp;V 2003-04 to Now'!I$7,2)),'Other Commodities - Q&amp;V'!$O$8:$O$250,2))*1000000</f>
        <v>461923761</v>
      </c>
      <c r="K36" s="1279">
        <f>(SUMIFS('Other Commodities - Q&amp;V'!$H$8:$H$250,'Other Commodities - Q&amp;V'!$N$8:$N$250,LEFT('FY Q&amp;V 2003-04 to Now'!K$7,4),'Other Commodities - Q&amp;V'!$O$8:$O$250,3)+
SUMIFS('Other Commodities - Q&amp;V'!$H$8:$H$250,'Other Commodities - Q&amp;V'!$N$8:$N$250,LEFT('FY Q&amp;V 2003-04 to Now'!K$7,4),'Other Commodities - Q&amp;V'!$O$8:$O$250,4)+
SUMIFS('Other Commodities - Q&amp;V'!$H$8:$H$250,'Other Commodities - Q&amp;V'!$N$8:$N$250,CONCATENATE("20",RIGHT('FY Q&amp;V 2003-04 to Now'!K$7,2)),'Other Commodities - Q&amp;V'!$O$8:$O$250,1)+
SUMIFS('Other Commodities - Q&amp;V'!$H$8:$H$250,'Other Commodities - Q&amp;V'!$N$8:$N$250,CONCATENATE("20",RIGHT('FY Q&amp;V 2003-04 to Now'!K$7,2)),'Other Commodities - Q&amp;V'!$O$8:$O$250,2))*1000000</f>
        <v>27968098</v>
      </c>
      <c r="L36" s="1279">
        <f>(SUMIFS('Other Commodities - Q&amp;V'!$I$8:$I$250,'Other Commodities - Q&amp;V'!$N$8:$N$250,LEFT('FY Q&amp;V 2003-04 to Now'!K$7,4),'Other Commodities - Q&amp;V'!$O$8:$O$250,3)+
SUMIFS('Other Commodities - Q&amp;V'!$I$8:$I$250,'Other Commodities - Q&amp;V'!$N$8:$N$250,LEFT('FY Q&amp;V 2003-04 to Now'!K$7,4),'Other Commodities - Q&amp;V'!$O$8:$O$250,4)+
SUMIFS('Other Commodities - Q&amp;V'!$I$8:$I$250,'Other Commodities - Q&amp;V'!$N$8:$N$250,CONCATENATE("20",RIGHT('FY Q&amp;V 2003-04 to Now'!K$7,2)),'Other Commodities - Q&amp;V'!$O$8:$O$250,1)+
SUMIFS('Other Commodities - Q&amp;V'!$I$8:$I$250,'Other Commodities - Q&amp;V'!$N$8:$N$250,CONCATENATE("20",RIGHT('FY Q&amp;V 2003-04 to Now'!K$7,2)),'Other Commodities - Q&amp;V'!$O$8:$O$250,2))*1000000</f>
        <v>612985558</v>
      </c>
      <c r="M36" s="1279">
        <f>(SUMIFS('Other Commodities - Q&amp;V'!$H$8:$H$250,'Other Commodities - Q&amp;V'!$N$8:$N$250,LEFT('FY Q&amp;V 2003-04 to Now'!M$7,4),'Other Commodities - Q&amp;V'!$O$8:$O$250,3)+
SUMIFS('Other Commodities - Q&amp;V'!$H$8:$H$250,'Other Commodities - Q&amp;V'!$N$8:$N$250,LEFT('FY Q&amp;V 2003-04 to Now'!M$7,4),'Other Commodities - Q&amp;V'!$O$8:$O$250,4)+
SUMIFS('Other Commodities - Q&amp;V'!$H$8:$H$250,'Other Commodities - Q&amp;V'!$N$8:$N$250,CONCATENATE("20",RIGHT('FY Q&amp;V 2003-04 to Now'!M$7,2)),'Other Commodities - Q&amp;V'!$O$8:$O$250,1)+
SUMIFS('Other Commodities - Q&amp;V'!$H$8:$H$250,'Other Commodities - Q&amp;V'!$N$8:$N$250,CONCATENATE("20",RIGHT('FY Q&amp;V 2003-04 to Now'!M$7,2)),'Other Commodities - Q&amp;V'!$O$8:$O$250,2))*1000000</f>
        <v>23187842</v>
      </c>
      <c r="N36" s="1279">
        <f>(SUMIFS('Other Commodities - Q&amp;V'!$I$8:$I$250,'Other Commodities - Q&amp;V'!$N$8:$N$250,LEFT('FY Q&amp;V 2003-04 to Now'!M$7,4),'Other Commodities - Q&amp;V'!$O$8:$O$250,3)+
SUMIFS('Other Commodities - Q&amp;V'!$I$8:$I$250,'Other Commodities - Q&amp;V'!$N$8:$N$250,LEFT('FY Q&amp;V 2003-04 to Now'!M$7,4),'Other Commodities - Q&amp;V'!$O$8:$O$250,4)+
SUMIFS('Other Commodities - Q&amp;V'!$I$8:$I$250,'Other Commodities - Q&amp;V'!$N$8:$N$250,CONCATENATE("20",RIGHT('FY Q&amp;V 2003-04 to Now'!M$7,2)),'Other Commodities - Q&amp;V'!$O$8:$O$250,1)+
SUMIFS('Other Commodities - Q&amp;V'!$I$8:$I$250,'Other Commodities - Q&amp;V'!$N$8:$N$250,CONCATENATE("20",RIGHT('FY Q&amp;V 2003-04 to Now'!M$7,2)),'Other Commodities - Q&amp;V'!$O$8:$O$250,2))*1000000</f>
        <v>272693003</v>
      </c>
      <c r="O36" s="1279">
        <f>(SUMIFS('Other Commodities - Q&amp;V'!$H$8:$H$250,'Other Commodities - Q&amp;V'!$N$8:$N$250,LEFT('FY Q&amp;V 2003-04 to Now'!O$7,4),'Other Commodities - Q&amp;V'!$O$8:$O$250,3)+
SUMIFS('Other Commodities - Q&amp;V'!$H$8:$H$250,'Other Commodities - Q&amp;V'!$N$8:$N$250,LEFT('FY Q&amp;V 2003-04 to Now'!O$7,4),'Other Commodities - Q&amp;V'!$O$8:$O$250,4)+
SUMIFS('Other Commodities - Q&amp;V'!$H$8:$H$250,'Other Commodities - Q&amp;V'!$N$8:$N$250,CONCATENATE("20",RIGHT('FY Q&amp;V 2003-04 to Now'!O$7,2)),'Other Commodities - Q&amp;V'!$O$8:$O$250,1)+
SUMIFS('Other Commodities - Q&amp;V'!$H$8:$H$250,'Other Commodities - Q&amp;V'!$N$8:$N$250,CONCATENATE("20",RIGHT('FY Q&amp;V 2003-04 to Now'!O$7,2)),'Other Commodities - Q&amp;V'!$O$8:$O$250,2))*1000000</f>
        <v>16280757.000000002</v>
      </c>
      <c r="P36" s="1279">
        <f>(SUMIFS('Other Commodities - Q&amp;V'!$I$8:$I$250,'Other Commodities - Q&amp;V'!$N$8:$N$250,LEFT('FY Q&amp;V 2003-04 to Now'!O$7,4),'Other Commodities - Q&amp;V'!$O$8:$O$250,3)+
SUMIFS('Other Commodities - Q&amp;V'!$I$8:$I$250,'Other Commodities - Q&amp;V'!$N$8:$N$250,LEFT('FY Q&amp;V 2003-04 to Now'!O$7,4),'Other Commodities - Q&amp;V'!$O$8:$O$250,4)+
SUMIFS('Other Commodities - Q&amp;V'!$I$8:$I$250,'Other Commodities - Q&amp;V'!$N$8:$N$250,CONCATENATE("20",RIGHT('FY Q&amp;V 2003-04 to Now'!O$7,2)),'Other Commodities - Q&amp;V'!$O$8:$O$250,1)+
SUMIFS('Other Commodities - Q&amp;V'!$I$8:$I$250,'Other Commodities - Q&amp;V'!$N$8:$N$250,CONCATENATE("20",RIGHT('FY Q&amp;V 2003-04 to Now'!O$7,2)),'Other Commodities - Q&amp;V'!$O$8:$O$250,2))*1000000</f>
        <v>304332534</v>
      </c>
      <c r="Q36" s="1279">
        <f>(SUMIFS('Other Commodities - Q&amp;V'!$H$8:$H$250,'Other Commodities - Q&amp;V'!$N$8:$N$250,LEFT('FY Q&amp;V 2003-04 to Now'!Q$7,4),'Other Commodities - Q&amp;V'!$O$8:$O$250,3)+
SUMIFS('Other Commodities - Q&amp;V'!$H$8:$H$250,'Other Commodities - Q&amp;V'!$N$8:$N$250,LEFT('FY Q&amp;V 2003-04 to Now'!Q$7,4),'Other Commodities - Q&amp;V'!$O$8:$O$250,4)+
SUMIFS('Other Commodities - Q&amp;V'!$H$8:$H$250,'Other Commodities - Q&amp;V'!$N$8:$N$250,CONCATENATE("20",RIGHT('FY Q&amp;V 2003-04 to Now'!Q$7,2)),'Other Commodities - Q&amp;V'!$O$8:$O$250,1)+
SUMIFS('Other Commodities - Q&amp;V'!$H$8:$H$250,'Other Commodities - Q&amp;V'!$N$8:$N$250,CONCATENATE("20",RIGHT('FY Q&amp;V 2003-04 to Now'!Q$7,2)),'Other Commodities - Q&amp;V'!$O$8:$O$250,2))*1000000</f>
        <v>10121587</v>
      </c>
      <c r="R36" s="1279">
        <f>(SUMIFS('Other Commodities - Q&amp;V'!$I$8:$I$250,'Other Commodities - Q&amp;V'!$N$8:$N$250,LEFT('FY Q&amp;V 2003-04 to Now'!Q$7,4),'Other Commodities - Q&amp;V'!$O$8:$O$250,3)+
SUMIFS('Other Commodities - Q&amp;V'!$I$8:$I$250,'Other Commodities - Q&amp;V'!$N$8:$N$250,LEFT('FY Q&amp;V 2003-04 to Now'!Q$7,4),'Other Commodities - Q&amp;V'!$O$8:$O$250,4)+
SUMIFS('Other Commodities - Q&amp;V'!$I$8:$I$250,'Other Commodities - Q&amp;V'!$N$8:$N$250,CONCATENATE("20",RIGHT('FY Q&amp;V 2003-04 to Now'!Q$7,2)),'Other Commodities - Q&amp;V'!$O$8:$O$250,1)+
SUMIFS('Other Commodities - Q&amp;V'!$I$8:$I$250,'Other Commodities - Q&amp;V'!$N$8:$N$250,CONCATENATE("20",RIGHT('FY Q&amp;V 2003-04 to Now'!Q$7,2)),'Other Commodities - Q&amp;V'!$O$8:$O$250,2))*1000000</f>
        <v>303092471.00000006</v>
      </c>
      <c r="S36" s="1279">
        <f>(SUMIFS('Other Commodities - Q&amp;V'!$H$8:$H$250,'Other Commodities - Q&amp;V'!$N$8:$N$250,LEFT('FY Q&amp;V 2003-04 to Now'!S$7,4),'Other Commodities - Q&amp;V'!$O$8:$O$250,3)+
SUMIFS('Other Commodities - Q&amp;V'!$H$8:$H$250,'Other Commodities - Q&amp;V'!$N$8:$N$250,LEFT('FY Q&amp;V 2003-04 to Now'!S$7,4),'Other Commodities - Q&amp;V'!$O$8:$O$250,4)+
SUMIFS('Other Commodities - Q&amp;V'!$H$8:$H$250,'Other Commodities - Q&amp;V'!$N$8:$N$250,CONCATENATE("20",RIGHT('FY Q&amp;V 2003-04 to Now'!S$7,2)),'Other Commodities - Q&amp;V'!$O$8:$O$250,1)+
SUMIFS('Other Commodities - Q&amp;V'!$H$8:$H$250,'Other Commodities - Q&amp;V'!$N$8:$N$250,CONCATENATE("20",RIGHT('FY Q&amp;V 2003-04 to Now'!S$7,2)),'Other Commodities - Q&amp;V'!$O$8:$O$250,2))*1000000</f>
        <v>8689501</v>
      </c>
      <c r="T36" s="1279">
        <f>(SUMIFS('Other Commodities - Q&amp;V'!$I$8:$I$250,'Other Commodities - Q&amp;V'!$N$8:$N$250,LEFT('FY Q&amp;V 2003-04 to Now'!S$7,4),'Other Commodities - Q&amp;V'!$O$8:$O$250,3)+
SUMIFS('Other Commodities - Q&amp;V'!$I$8:$I$250,'Other Commodities - Q&amp;V'!$N$8:$N$250,LEFT('FY Q&amp;V 2003-04 to Now'!S$7,4),'Other Commodities - Q&amp;V'!$O$8:$O$250,4)+
SUMIFS('Other Commodities - Q&amp;V'!$I$8:$I$250,'Other Commodities - Q&amp;V'!$N$8:$N$250,CONCATENATE("20",RIGHT('FY Q&amp;V 2003-04 to Now'!S$7,2)),'Other Commodities - Q&amp;V'!$O$8:$O$250,1)+
SUMIFS('Other Commodities - Q&amp;V'!$I$8:$I$250,'Other Commodities - Q&amp;V'!$N$8:$N$250,CONCATENATE("20",RIGHT('FY Q&amp;V 2003-04 to Now'!S$7,2)),'Other Commodities - Q&amp;V'!$O$8:$O$250,2))*1000000</f>
        <v>343293394.00000006</v>
      </c>
      <c r="U36" s="1279">
        <f>(SUMIFS('Other Commodities - Q&amp;V'!$H$8:$H$250,'Other Commodities - Q&amp;V'!$N$8:$N$250,LEFT('FY Q&amp;V 2003-04 to Now'!U$7,4),'Other Commodities - Q&amp;V'!$O$8:$O$250,3)+
SUMIFS('Other Commodities - Q&amp;V'!$H$8:$H$250,'Other Commodities - Q&amp;V'!$N$8:$N$250,LEFT('FY Q&amp;V 2003-04 to Now'!U$7,4),'Other Commodities - Q&amp;V'!$O$8:$O$250,4)+
SUMIFS('Other Commodities - Q&amp;V'!$H$8:$H$250,'Other Commodities - Q&amp;V'!$N$8:$N$250,CONCATENATE("20",RIGHT('FY Q&amp;V 2003-04 to Now'!U$7,2)),'Other Commodities - Q&amp;V'!$O$8:$O$250,1)+
SUMIFS('Other Commodities - Q&amp;V'!$H$8:$H$250,'Other Commodities - Q&amp;V'!$N$8:$N$250,CONCATENATE("20",RIGHT('FY Q&amp;V 2003-04 to Now'!U$7,2)),'Other Commodities - Q&amp;V'!$O$8:$O$250,2))*1000000</f>
        <v>9608685</v>
      </c>
      <c r="V36" s="1279">
        <f>(SUMIFS('Other Commodities - Q&amp;V'!$I$8:$I$250,'Other Commodities - Q&amp;V'!$N$8:$N$250,LEFT('FY Q&amp;V 2003-04 to Now'!U$7,4),'Other Commodities - Q&amp;V'!$O$8:$O$250,3)+
SUMIFS('Other Commodities - Q&amp;V'!$I$8:$I$250,'Other Commodities - Q&amp;V'!$N$8:$N$250,LEFT('FY Q&amp;V 2003-04 to Now'!U$7,4),'Other Commodities - Q&amp;V'!$O$8:$O$250,4)+
SUMIFS('Other Commodities - Q&amp;V'!$I$8:$I$250,'Other Commodities - Q&amp;V'!$N$8:$N$250,CONCATENATE("20",RIGHT('FY Q&amp;V 2003-04 to Now'!U$7,2)),'Other Commodities - Q&amp;V'!$O$8:$O$250,1)+
SUMIFS('Other Commodities - Q&amp;V'!$I$8:$I$250,'Other Commodities - Q&amp;V'!$N$8:$N$250,CONCATENATE("20",RIGHT('FY Q&amp;V 2003-04 to Now'!U$7,2)),'Other Commodities - Q&amp;V'!$O$8:$O$250,2))*1000000</f>
        <v>355964877</v>
      </c>
      <c r="W36" s="1279">
        <f>(SUMIFS('Other Commodities - Q&amp;V'!$H$8:$H$250,'Other Commodities - Q&amp;V'!$N$8:$N$250,LEFT('FY Q&amp;V 2003-04 to Now'!W$7,4),'Other Commodities - Q&amp;V'!$O$8:$O$250,3)+
SUMIFS('Other Commodities - Q&amp;V'!$H$8:$H$250,'Other Commodities - Q&amp;V'!$N$8:$N$250,LEFT('FY Q&amp;V 2003-04 to Now'!W$7,4),'Other Commodities - Q&amp;V'!$O$8:$O$250,4)+
SUMIFS('Other Commodities - Q&amp;V'!$H$8:$H$250,'Other Commodities - Q&amp;V'!$N$8:$N$250,CONCATENATE("20",RIGHT('FY Q&amp;V 2003-04 to Now'!W$7,2)),'Other Commodities - Q&amp;V'!$O$8:$O$250,1)+
SUMIFS('Other Commodities - Q&amp;V'!$H$8:$H$250,'Other Commodities - Q&amp;V'!$N$8:$N$250,CONCATENATE("20",RIGHT('FY Q&amp;V 2003-04 to Now'!W$7,2)),'Other Commodities - Q&amp;V'!$O$8:$O$250,2))*1000000</f>
        <v>11610630.99</v>
      </c>
      <c r="X36" s="1279">
        <f>(SUMIFS('Other Commodities - Q&amp;V'!$I$8:$I$250,'Other Commodities - Q&amp;V'!$N$8:$N$250,LEFT('FY Q&amp;V 2003-04 to Now'!W$7,4),'Other Commodities - Q&amp;V'!$O$8:$O$250,3)+
SUMIFS('Other Commodities - Q&amp;V'!$I$8:$I$250,'Other Commodities - Q&amp;V'!$N$8:$N$250,LEFT('FY Q&amp;V 2003-04 to Now'!W$7,4),'Other Commodities - Q&amp;V'!$O$8:$O$250,4)+
SUMIFS('Other Commodities - Q&amp;V'!$I$8:$I$250,'Other Commodities - Q&amp;V'!$N$8:$N$250,CONCATENATE("20",RIGHT('FY Q&amp;V 2003-04 to Now'!W$7,2)),'Other Commodities - Q&amp;V'!$O$8:$O$250,1)+
SUMIFS('Other Commodities - Q&amp;V'!$I$8:$I$250,'Other Commodities - Q&amp;V'!$N$8:$N$250,CONCATENATE("20",RIGHT('FY Q&amp;V 2003-04 to Now'!W$7,2)),'Other Commodities - Q&amp;V'!$O$8:$O$250,2))*1000000</f>
        <v>398210926</v>
      </c>
      <c r="Y36" s="1279">
        <f>(SUMIFS('Other Commodities - Q&amp;V'!$H$8:$H$250,'Other Commodities - Q&amp;V'!$N$8:$N$250,LEFT('FY Q&amp;V 2003-04 to Now'!Y$7,4),'Other Commodities - Q&amp;V'!$O$8:$O$250,3)+
SUMIFS('Other Commodities - Q&amp;V'!$H$8:$H$250,'Other Commodities - Q&amp;V'!$N$8:$N$250,LEFT('FY Q&amp;V 2003-04 to Now'!Y$7,4),'Other Commodities - Q&amp;V'!$O$8:$O$250,4)+
SUMIFS('Other Commodities - Q&amp;V'!$H$8:$H$250,'Other Commodities - Q&amp;V'!$N$8:$N$250,CONCATENATE("20",RIGHT('FY Q&amp;V 2003-04 to Now'!Y$7,2)),'Other Commodities - Q&amp;V'!$O$8:$O$250,1)+
SUMIFS('Other Commodities - Q&amp;V'!$H$8:$H$250,'Other Commodities - Q&amp;V'!$N$8:$N$250,CONCATENATE("20",RIGHT('FY Q&amp;V 2003-04 to Now'!Y$7,2)),'Other Commodities - Q&amp;V'!$O$8:$O$250,2))*1000000</f>
        <v>10387926.220000001</v>
      </c>
      <c r="Z36" s="1279">
        <f>(SUMIFS('Other Commodities - Q&amp;V'!$I$8:$I$250,'Other Commodities - Q&amp;V'!$N$8:$N$250,LEFT('FY Q&amp;V 2003-04 to Now'!Y$7,4),'Other Commodities - Q&amp;V'!$O$8:$O$250,3)+
SUMIFS('Other Commodities - Q&amp;V'!$I$8:$I$250,'Other Commodities - Q&amp;V'!$N$8:$N$250,LEFT('FY Q&amp;V 2003-04 to Now'!Y$7,4),'Other Commodities - Q&amp;V'!$O$8:$O$250,4)+
SUMIFS('Other Commodities - Q&amp;V'!$I$8:$I$250,'Other Commodities - Q&amp;V'!$N$8:$N$250,CONCATENATE("20",RIGHT('FY Q&amp;V 2003-04 to Now'!Y$7,2)),'Other Commodities - Q&amp;V'!$O$8:$O$250,1)+
SUMIFS('Other Commodities - Q&amp;V'!$I$8:$I$250,'Other Commodities - Q&amp;V'!$N$8:$N$250,CONCATENATE("20",RIGHT('FY Q&amp;V 2003-04 to Now'!Y$7,2)),'Other Commodities - Q&amp;V'!$O$8:$O$250,2))*1000000</f>
        <v>342313663.99999994</v>
      </c>
      <c r="AA36" s="1279">
        <f>(SUMIFS('Other Commodities - Q&amp;V'!$H$8:$H$250,'Other Commodities - Q&amp;V'!$N$8:$N$250,LEFT('FY Q&amp;V 2003-04 to Now'!AA$7,4),'Other Commodities - Q&amp;V'!$O$8:$O$250,3)+
SUMIFS('Other Commodities - Q&amp;V'!$H$8:$H$250,'Other Commodities - Q&amp;V'!$N$8:$N$250,LEFT('FY Q&amp;V 2003-04 to Now'!AA$7,4),'Other Commodities - Q&amp;V'!$O$8:$O$250,4)+
SUMIFS('Other Commodities - Q&amp;V'!$H$8:$H$250,'Other Commodities - Q&amp;V'!$N$8:$N$250,CONCATENATE("20",RIGHT('FY Q&amp;V 2003-04 to Now'!AA$7,2)),'Other Commodities - Q&amp;V'!$O$8:$O$250,1)+
SUMIFS('Other Commodities - Q&amp;V'!$H$8:$H$250,'Other Commodities - Q&amp;V'!$N$8:$N$250,CONCATENATE("20",RIGHT('FY Q&amp;V 2003-04 to Now'!AA$7,2)),'Other Commodities - Q&amp;V'!$O$8:$O$250,2))*1000000</f>
        <v>13869547.099999998</v>
      </c>
      <c r="AB36" s="1279">
        <f>(SUMIFS('Other Commodities - Q&amp;V'!$I$8:$I$250,'Other Commodities - Q&amp;V'!$N$8:$N$250,LEFT('FY Q&amp;V 2003-04 to Now'!AA$7,4),'Other Commodities - Q&amp;V'!$O$8:$O$250,3)+
SUMIFS('Other Commodities - Q&amp;V'!$I$8:$I$250,'Other Commodities - Q&amp;V'!$N$8:$N$250,LEFT('FY Q&amp;V 2003-04 to Now'!AA$7,4),'Other Commodities - Q&amp;V'!$O$8:$O$250,4)+
SUMIFS('Other Commodities - Q&amp;V'!$I$8:$I$250,'Other Commodities - Q&amp;V'!$N$8:$N$250,CONCATENATE("20",RIGHT('FY Q&amp;V 2003-04 to Now'!AA$7,2)),'Other Commodities - Q&amp;V'!$O$8:$O$250,1)+
SUMIFS('Other Commodities - Q&amp;V'!$I$8:$I$250,'Other Commodities - Q&amp;V'!$N$8:$N$250,CONCATENATE("20",RIGHT('FY Q&amp;V 2003-04 to Now'!AA$7,2)),'Other Commodities - Q&amp;V'!$O$8:$O$250,2))*1000000</f>
        <v>354047664</v>
      </c>
      <c r="AC36" s="1291">
        <f>(SUMIFS('Other Commodities - Q&amp;V'!$H$8:$H$250,'Other Commodities - Q&amp;V'!$N$8:$N$250,LEFT('FY Q&amp;V 2003-04 to Now'!AC$7,4),'Other Commodities - Q&amp;V'!$O$8:$O$250,3)+
SUMIFS('Other Commodities - Q&amp;V'!$H$8:$H$250,'Other Commodities - Q&amp;V'!$N$8:$N$250,LEFT('FY Q&amp;V 2003-04 to Now'!AC$7,4),'Other Commodities - Q&amp;V'!$O$8:$O$250,4)+
SUMIFS('Other Commodities - Q&amp;V'!$H$8:$H$250,'Other Commodities - Q&amp;V'!$N$8:$N$250,CONCATENATE("20",RIGHT('FY Q&amp;V 2003-04 to Now'!AC$7,2)),'Other Commodities - Q&amp;V'!$O$8:$O$250,1)+
SUMIFS('Other Commodities - Q&amp;V'!$H$8:$H$250,'Other Commodities - Q&amp;V'!$N$8:$N$250,CONCATENATE("20",RIGHT('FY Q&amp;V 2003-04 to Now'!AC$7,2)),'Other Commodities - Q&amp;V'!$O$8:$O$250,2))*1000000</f>
        <v>12607032.439999999</v>
      </c>
      <c r="AD36" s="1279">
        <f>(SUMIFS('Other Commodities - Q&amp;V'!$I$8:$I$250,'Other Commodities - Q&amp;V'!$N$8:$N$250,LEFT('FY Q&amp;V 2003-04 to Now'!AC$7,4),'Other Commodities - Q&amp;V'!$O$8:$O$250,3)+
SUMIFS('Other Commodities - Q&amp;V'!$I$8:$I$250,'Other Commodities - Q&amp;V'!$N$8:$N$250,LEFT('FY Q&amp;V 2003-04 to Now'!AC$7,4),'Other Commodities - Q&amp;V'!$O$8:$O$250,4)+
SUMIFS('Other Commodities - Q&amp;V'!$I$8:$I$250,'Other Commodities - Q&amp;V'!$N$8:$N$250,CONCATENATE("20",RIGHT('FY Q&amp;V 2003-04 to Now'!AC$7,2)),'Other Commodities - Q&amp;V'!$O$8:$O$250,1)+
SUMIFS('Other Commodities - Q&amp;V'!$I$8:$I$250,'Other Commodities - Q&amp;V'!$N$8:$N$250,CONCATENATE("20",RIGHT('FY Q&amp;V 2003-04 to Now'!AC$7,2)),'Other Commodities - Q&amp;V'!$O$8:$O$250,2))*1000000</f>
        <v>268383094.00000003</v>
      </c>
      <c r="AE36" s="1291">
        <f>(SUMIFS('Other Commodities - Q&amp;V'!$H$8:$H$250,'Other Commodities - Q&amp;V'!$N$8:$N$250,LEFT('FY Q&amp;V 2003-04 to Now'!AE$7,4),'Other Commodities - Q&amp;V'!$O$8:$O$250,3)+
SUMIFS('Other Commodities - Q&amp;V'!$H$8:$H$250,'Other Commodities - Q&amp;V'!$N$8:$N$250,LEFT('FY Q&amp;V 2003-04 to Now'!AE$7,4),'Other Commodities - Q&amp;V'!$O$8:$O$250,4)+
SUMIFS('Other Commodities - Q&amp;V'!$H$8:$H$250,'Other Commodities - Q&amp;V'!$N$8:$N$250,CONCATENATE("20",RIGHT('FY Q&amp;V 2003-04 to Now'!AE$7,2)),'Other Commodities - Q&amp;V'!$O$8:$O$250,1)+
SUMIFS('Other Commodities - Q&amp;V'!$H$8:$H$250,'Other Commodities - Q&amp;V'!$N$8:$N$250,CONCATENATE("20",RIGHT('FY Q&amp;V 2003-04 to Now'!AE$7,2)),'Other Commodities - Q&amp;V'!$O$8:$O$250,2))*1000000</f>
        <v>15281302.73</v>
      </c>
      <c r="AF36" s="1279">
        <f>(SUMIFS('Other Commodities - Q&amp;V'!$I$8:$I$250,'Other Commodities - Q&amp;V'!$N$8:$N$250,LEFT('FY Q&amp;V 2003-04 to Now'!AE$7,4),'Other Commodities - Q&amp;V'!$O$8:$O$250,3)+
SUMIFS('Other Commodities - Q&amp;V'!$I$8:$I$250,'Other Commodities - Q&amp;V'!$N$8:$N$250,LEFT('FY Q&amp;V 2003-04 to Now'!AE$7,4),'Other Commodities - Q&amp;V'!$O$8:$O$250,4)+
SUMIFS('Other Commodities - Q&amp;V'!$I$8:$I$250,'Other Commodities - Q&amp;V'!$N$8:$N$250,CONCATENATE("20",RIGHT('FY Q&amp;V 2003-04 to Now'!AE$7,2)),'Other Commodities - Q&amp;V'!$O$8:$O$250,1)+
SUMIFS('Other Commodities - Q&amp;V'!$I$8:$I$250,'Other Commodities - Q&amp;V'!$N$8:$N$250,CONCATENATE("20",RIGHT('FY Q&amp;V 2003-04 to Now'!AE$7,2)),'Other Commodities - Q&amp;V'!$O$8:$O$250,2))*1000000</f>
        <v>249759751</v>
      </c>
      <c r="AG36" s="1279">
        <f>(SUMIFS('Other Commodities - Q&amp;V'!$H$8:$H$250,'Other Commodities - Q&amp;V'!$N$8:$N$250,LEFT('FY Q&amp;V 2003-04 to Now'!AG$7,4),'Other Commodities - Q&amp;V'!$O$8:$O$250,3)+
SUMIFS('Other Commodities - Q&amp;V'!$H$8:$H$250,'Other Commodities - Q&amp;V'!$N$8:$N$250,LEFT('FY Q&amp;V 2003-04 to Now'!AG$7,4),'Other Commodities - Q&amp;V'!$O$8:$O$250,4)+
SUMIFS('Other Commodities - Q&amp;V'!$H$8:$H$250,'Other Commodities - Q&amp;V'!$N$8:$N$250,CONCATENATE("20",RIGHT('FY Q&amp;V 2003-04 to Now'!AG$7,2)),'Other Commodities - Q&amp;V'!$O$8:$O$250,1)+
SUMIFS('Other Commodities - Q&amp;V'!$H$8:$H$250,'Other Commodities - Q&amp;V'!$N$8:$N$250,CONCATENATE("20",RIGHT('FY Q&amp;V 2003-04 to Now'!AG$7,2)),'Other Commodities - Q&amp;V'!$O$8:$O$250,2))*1000000</f>
        <v>11149894.85</v>
      </c>
      <c r="AH36" s="1279">
        <f>(SUMIFS('Other Commodities - Q&amp;V'!$I$8:$I$250,'Other Commodities - Q&amp;V'!$N$8:$N$250,LEFT('FY Q&amp;V 2003-04 to Now'!AG$7,4),'Other Commodities - Q&amp;V'!$O$8:$O$250,3)+
SUMIFS('Other Commodities - Q&amp;V'!$I$8:$I$250,'Other Commodities - Q&amp;V'!$N$8:$N$250,LEFT('FY Q&amp;V 2003-04 to Now'!AG$7,4),'Other Commodities - Q&amp;V'!$O$8:$O$250,4)+
SUMIFS('Other Commodities - Q&amp;V'!$I$8:$I$250,'Other Commodities - Q&amp;V'!$N$8:$N$250,CONCATENATE("20",RIGHT('FY Q&amp;V 2003-04 to Now'!AG$7,2)),'Other Commodities - Q&amp;V'!$O$8:$O$250,1)+
SUMIFS('Other Commodities - Q&amp;V'!$I$8:$I$250,'Other Commodities - Q&amp;V'!$N$8:$N$250,CONCATENATE("20",RIGHT('FY Q&amp;V 2003-04 to Now'!AG$7,2)),'Other Commodities - Q&amp;V'!$O$8:$O$250,2))*1000000</f>
        <v>219221184.00000003</v>
      </c>
      <c r="AI36" s="1279">
        <f>(SUMIFS('Other Commodities - Q&amp;V'!$H$8:$H$250,'Other Commodities - Q&amp;V'!$N$8:$N$250,LEFT('FY Q&amp;V 2003-04 to Now'!AI$7,4),'Other Commodities - Q&amp;V'!$O$8:$O$250,3)+
SUMIFS('Other Commodities - Q&amp;V'!$H$8:$H$250,'Other Commodities - Q&amp;V'!$N$8:$N$250,LEFT('FY Q&amp;V 2003-04 to Now'!AI$7,4),'Other Commodities - Q&amp;V'!$O$8:$O$250,4)+
SUMIFS('Other Commodities - Q&amp;V'!$H$8:$H$250,'Other Commodities - Q&amp;V'!$N$8:$N$250,CONCATENATE("20",RIGHT('FY Q&amp;V 2003-04 to Now'!AI$7,2)),'Other Commodities - Q&amp;V'!$O$8:$O$250,1)+
SUMIFS('Other Commodities - Q&amp;V'!$H$8:$H$250,'Other Commodities - Q&amp;V'!$N$8:$N$250,CONCATENATE("20",RIGHT('FY Q&amp;V 2003-04 to Now'!AI$7,2)),'Other Commodities - Q&amp;V'!$O$8:$O$250,2))*1000000</f>
        <v>17489919.959999997</v>
      </c>
      <c r="AJ36" s="1279">
        <f>(SUMIFS('Other Commodities - Q&amp;V'!$I$8:$I$250,'Other Commodities - Q&amp;V'!$N$8:$N$250,LEFT('FY Q&amp;V 2003-04 to Now'!AI$7,4),'Other Commodities - Q&amp;V'!$O$8:$O$250,3)+
SUMIFS('Other Commodities - Q&amp;V'!$I$8:$I$250,'Other Commodities - Q&amp;V'!$N$8:$N$250,LEFT('FY Q&amp;V 2003-04 to Now'!AI$7,4),'Other Commodities - Q&amp;V'!$O$8:$O$250,4)+
SUMIFS('Other Commodities - Q&amp;V'!$I$8:$I$250,'Other Commodities - Q&amp;V'!$N$8:$N$250,CONCATENATE("20",RIGHT('FY Q&amp;V 2003-04 to Now'!AI$7,2)),'Other Commodities - Q&amp;V'!$O$8:$O$250,1)+
SUMIFS('Other Commodities - Q&amp;V'!$I$8:$I$250,'Other Commodities - Q&amp;V'!$N$8:$N$250,CONCATENATE("20",RIGHT('FY Q&amp;V 2003-04 to Now'!AI$7,2)),'Other Commodities - Q&amp;V'!$O$8:$O$250,2))*1000000</f>
        <v>281266033</v>
      </c>
      <c r="AK36" s="1279">
        <f>(SUMIFS('Other Commodities - Q&amp;V'!$H$8:$H$250,'Other Commodities - Q&amp;V'!$N$8:$N$250,LEFT('FY Q&amp;V 2003-04 to Now'!AK$7,4),'Other Commodities - Q&amp;V'!$O$8:$O$250,3)+
SUMIFS('Other Commodities - Q&amp;V'!$H$8:$H$250,'Other Commodities - Q&amp;V'!$N$8:$N$250,LEFT('FY Q&amp;V 2003-04 to Now'!AK$7,4),'Other Commodities - Q&amp;V'!$O$8:$O$250,4)+
SUMIFS('Other Commodities - Q&amp;V'!$H$8:$H$250,'Other Commodities - Q&amp;V'!$N$8:$N$250,CONCATENATE("20",RIGHT('FY Q&amp;V 2003-04 to Now'!AK$7,2)),'Other Commodities - Q&amp;V'!$O$8:$O$250,1)+
SUMIFS('Other Commodities - Q&amp;V'!$H$8:$H$250,'Other Commodities - Q&amp;V'!$N$8:$N$250,CONCATENATE("20",RIGHT('FY Q&amp;V 2003-04 to Now'!AK$7,2)),'Other Commodities - Q&amp;V'!$O$8:$O$250,2))*1000000</f>
        <v>8083055.5300000012</v>
      </c>
      <c r="AL36" s="1279">
        <f>(SUMIFS('Other Commodities - Q&amp;V'!$I$8:$I$250,'Other Commodities - Q&amp;V'!$N$8:$N$250,LEFT('FY Q&amp;V 2003-04 to Now'!AK$7,4),'Other Commodities - Q&amp;V'!$O$8:$O$250,3)+
SUMIFS('Other Commodities - Q&amp;V'!$I$8:$I$250,'Other Commodities - Q&amp;V'!$N$8:$N$250,LEFT('FY Q&amp;V 2003-04 to Now'!AK$7,4),'Other Commodities - Q&amp;V'!$O$8:$O$250,4)+
SUMIFS('Other Commodities - Q&amp;V'!$I$8:$I$250,'Other Commodities - Q&amp;V'!$N$8:$N$250,CONCATENATE("20",RIGHT('FY Q&amp;V 2003-04 to Now'!AK$7,2)),'Other Commodities - Q&amp;V'!$O$8:$O$250,1)+
SUMIFS('Other Commodities - Q&amp;V'!$I$8:$I$250,'Other Commodities - Q&amp;V'!$N$8:$N$250,CONCATENATE("20",RIGHT('FY Q&amp;V 2003-04 to Now'!AK$7,2)),'Other Commodities - Q&amp;V'!$O$8:$O$250,2))*1000000</f>
        <v>112100235.00000001</v>
      </c>
      <c r="AM36" s="1291">
        <f>SUMIF($C$9:AL$9,1,$C36:AL36)</f>
        <v>299121852.81999993</v>
      </c>
      <c r="AN36" s="1279">
        <f>SUMIF($C$9:AL$9,0,$C36:AL36)</f>
        <v>6575505627</v>
      </c>
      <c r="AP36" s="573"/>
    </row>
    <row r="37" spans="1:46">
      <c r="A37" s="362"/>
      <c r="B37" s="361"/>
      <c r="C37" s="1178"/>
      <c r="D37" s="1178"/>
      <c r="E37" s="1178"/>
      <c r="F37" s="1178"/>
      <c r="G37" s="1178"/>
      <c r="H37" s="1178"/>
      <c r="I37" s="1178"/>
      <c r="J37" s="1178"/>
      <c r="K37" s="1178"/>
      <c r="L37" s="1178"/>
      <c r="M37" s="1178"/>
      <c r="N37" s="1178"/>
      <c r="O37" s="1178"/>
      <c r="P37" s="1178"/>
      <c r="Q37" s="1178"/>
      <c r="R37" s="1178"/>
      <c r="S37" s="1178"/>
      <c r="T37" s="1178"/>
      <c r="U37" s="1178"/>
      <c r="V37" s="1178"/>
      <c r="W37" s="1178"/>
      <c r="X37" s="1178"/>
      <c r="Y37" s="1178"/>
      <c r="Z37" s="1178"/>
      <c r="AA37" s="1178"/>
      <c r="AB37" s="1178"/>
      <c r="AC37" s="1178"/>
      <c r="AD37" s="1178"/>
      <c r="AE37" s="1293"/>
      <c r="AF37" s="1178"/>
      <c r="AG37" s="1293"/>
      <c r="AH37" s="1178"/>
      <c r="AI37" s="1293"/>
      <c r="AJ37" s="1178"/>
      <c r="AK37" s="1178"/>
      <c r="AL37" s="1178"/>
      <c r="AM37" s="1291"/>
      <c r="AN37" s="1279"/>
      <c r="AP37" s="573"/>
    </row>
    <row r="38" spans="1:46">
      <c r="A38" s="366" t="s">
        <v>201</v>
      </c>
      <c r="B38" s="244" t="s">
        <v>87</v>
      </c>
      <c r="C38" s="1294">
        <v>3081.04</v>
      </c>
      <c r="D38" s="1295">
        <v>987504</v>
      </c>
      <c r="E38" s="1294">
        <v>4520.8599999999997</v>
      </c>
      <c r="F38" s="1295">
        <v>854816.4</v>
      </c>
      <c r="G38" s="1294">
        <v>1951</v>
      </c>
      <c r="H38" s="1295">
        <v>770591</v>
      </c>
      <c r="I38" s="1294">
        <v>1976.04</v>
      </c>
      <c r="J38" s="1295">
        <v>342863</v>
      </c>
      <c r="K38" s="1294">
        <v>491.74</v>
      </c>
      <c r="L38" s="1295">
        <v>157224</v>
      </c>
      <c r="M38" s="1294">
        <v>3142.63</v>
      </c>
      <c r="N38" s="1295">
        <v>329863</v>
      </c>
      <c r="O38" s="1294">
        <v>5371.19</v>
      </c>
      <c r="P38" s="1295">
        <v>339102</v>
      </c>
      <c r="Q38" s="1294">
        <v>8669.33</v>
      </c>
      <c r="R38" s="1295">
        <v>861017</v>
      </c>
      <c r="S38" s="1294">
        <v>7590</v>
      </c>
      <c r="T38" s="1295">
        <v>1450510</v>
      </c>
      <c r="U38" s="1294">
        <v>4196.3099999999995</v>
      </c>
      <c r="V38" s="1295">
        <v>1221243</v>
      </c>
      <c r="W38" s="1294">
        <v>5020.97</v>
      </c>
      <c r="X38" s="1295">
        <v>1365020</v>
      </c>
      <c r="Y38" s="1294">
        <v>21250</v>
      </c>
      <c r="Z38" s="1295">
        <v>2892731</v>
      </c>
      <c r="AA38" s="1294">
        <v>4113</v>
      </c>
      <c r="AB38" s="1295">
        <v>2205326</v>
      </c>
      <c r="AC38" s="1262">
        <v>4795</v>
      </c>
      <c r="AD38" s="1295">
        <v>1823218</v>
      </c>
      <c r="AE38" s="1296">
        <v>6396.9800000000014</v>
      </c>
      <c r="AF38" s="1295">
        <v>2372892</v>
      </c>
      <c r="AG38" s="1705">
        <v>8909.9699999999993</v>
      </c>
      <c r="AH38" s="235">
        <v>2238062</v>
      </c>
      <c r="AI38" s="1705">
        <v>10849.264999999999</v>
      </c>
      <c r="AJ38" s="235">
        <v>1739353</v>
      </c>
      <c r="AK38" s="235">
        <v>7235.9260000000004</v>
      </c>
      <c r="AL38" s="235">
        <v>867678</v>
      </c>
      <c r="AM38" s="1711">
        <f>SUMIF($C$9:AL$9,1,$C38:AL38)</f>
        <v>109561.25099999999</v>
      </c>
      <c r="AN38" s="307">
        <f>SUMIF($C$9:AL$9,0,$C38:AL38)</f>
        <v>22819013.399999999</v>
      </c>
      <c r="AP38" s="573"/>
    </row>
    <row r="39" spans="1:46">
      <c r="A39" s="209"/>
      <c r="B39" s="244"/>
      <c r="C39" s="1294"/>
      <c r="D39" s="1295"/>
      <c r="E39" s="1294"/>
      <c r="F39" s="1295"/>
      <c r="G39" s="1294"/>
      <c r="H39" s="1295"/>
      <c r="I39" s="1294"/>
      <c r="J39" s="1295"/>
      <c r="K39" s="1294"/>
      <c r="L39" s="1295"/>
      <c r="M39" s="1294"/>
      <c r="N39" s="1295"/>
      <c r="O39" s="1294"/>
      <c r="P39" s="1295"/>
      <c r="Q39" s="1294"/>
      <c r="R39" s="1295"/>
      <c r="S39" s="1294"/>
      <c r="T39" s="1295"/>
      <c r="U39" s="1294"/>
      <c r="V39" s="1295"/>
      <c r="W39" s="1294"/>
      <c r="X39" s="1295"/>
      <c r="Y39" s="1294"/>
      <c r="Z39" s="1295"/>
      <c r="AA39" s="1294"/>
      <c r="AB39" s="1295"/>
      <c r="AC39" s="1295"/>
      <c r="AD39" s="1295"/>
      <c r="AE39" s="1296"/>
      <c r="AF39" s="1295"/>
      <c r="AG39" s="1705"/>
      <c r="AH39" s="235"/>
      <c r="AI39" s="1705"/>
      <c r="AJ39" s="235"/>
      <c r="AK39" s="235"/>
      <c r="AL39" s="235"/>
      <c r="AM39" s="1711"/>
      <c r="AN39" s="307"/>
      <c r="AP39" s="573"/>
    </row>
    <row r="40" spans="1:46">
      <c r="A40" s="365" t="s">
        <v>212</v>
      </c>
      <c r="B40" s="353" t="s">
        <v>160</v>
      </c>
      <c r="C40" s="1279">
        <v>345617.5</v>
      </c>
      <c r="D40" s="1279">
        <v>198691</v>
      </c>
      <c r="E40" s="1279">
        <v>310050.76</v>
      </c>
      <c r="F40" s="1279">
        <v>243114</v>
      </c>
      <c r="G40" s="1279">
        <v>195162.92</v>
      </c>
      <c r="H40" s="1279">
        <v>180938</v>
      </c>
      <c r="I40" s="1279">
        <v>316716.03000000003</v>
      </c>
      <c r="J40" s="1279">
        <v>245279</v>
      </c>
      <c r="K40" s="1279">
        <v>2730675.03</v>
      </c>
      <c r="L40" s="1279">
        <v>401644</v>
      </c>
      <c r="M40" s="1279">
        <v>316420.38</v>
      </c>
      <c r="N40" s="1279">
        <v>210961</v>
      </c>
      <c r="O40" s="1279">
        <v>300509.38</v>
      </c>
      <c r="P40" s="1279">
        <v>308238</v>
      </c>
      <c r="Q40" s="1279">
        <v>292458.05</v>
      </c>
      <c r="R40" s="1279">
        <v>288460</v>
      </c>
      <c r="S40" s="1279">
        <v>227963.18</v>
      </c>
      <c r="T40" s="1279">
        <v>280727</v>
      </c>
      <c r="U40" s="1279">
        <v>197832.13</v>
      </c>
      <c r="V40" s="1279">
        <v>254158</v>
      </c>
      <c r="W40" s="1279">
        <v>309575.27</v>
      </c>
      <c r="X40" s="1279">
        <v>401960</v>
      </c>
      <c r="Y40" s="1279">
        <v>720552</v>
      </c>
      <c r="Z40" s="1279">
        <v>1402333</v>
      </c>
      <c r="AA40" s="1279">
        <v>243375.86499999996</v>
      </c>
      <c r="AB40" s="1279">
        <v>627546</v>
      </c>
      <c r="AC40" s="1291">
        <v>334786.37333333329</v>
      </c>
      <c r="AD40" s="1279">
        <v>725556.5</v>
      </c>
      <c r="AE40" s="1291">
        <v>204227.223</v>
      </c>
      <c r="AF40" s="1279">
        <v>443041</v>
      </c>
      <c r="AG40" s="1291">
        <v>129384.90300000001</v>
      </c>
      <c r="AH40" s="1279">
        <v>343859</v>
      </c>
      <c r="AI40" s="1291">
        <v>268035.96999999997</v>
      </c>
      <c r="AJ40" s="1279">
        <v>423429</v>
      </c>
      <c r="AK40" s="1279">
        <v>295776.06</v>
      </c>
      <c r="AL40" s="1279">
        <v>464759</v>
      </c>
      <c r="AM40" s="1291">
        <f>SUMIF($C$9:AL$9,1,$C40:AL40)</f>
        <v>7739119.0243333317</v>
      </c>
      <c r="AN40" s="1279">
        <f>SUMIF($C$9:AL$9,0,$C40:AL40)</f>
        <v>7444693.5</v>
      </c>
      <c r="AP40" s="573"/>
    </row>
    <row r="41" spans="1:46">
      <c r="A41" s="362"/>
      <c r="B41" s="361"/>
      <c r="C41" s="1178"/>
      <c r="D41" s="1178"/>
      <c r="E41" s="1178"/>
      <c r="F41" s="1178"/>
      <c r="G41" s="1178"/>
      <c r="H41" s="1178"/>
      <c r="I41" s="1178"/>
      <c r="J41" s="1178"/>
      <c r="K41" s="1178"/>
      <c r="L41" s="1178"/>
      <c r="M41" s="1178"/>
      <c r="N41" s="1178"/>
      <c r="O41" s="1178"/>
      <c r="P41" s="1178"/>
      <c r="Q41" s="1178"/>
      <c r="R41" s="1178"/>
      <c r="S41" s="1178"/>
      <c r="T41" s="1178"/>
      <c r="U41" s="1178"/>
      <c r="V41" s="1178"/>
      <c r="W41" s="1178"/>
      <c r="X41" s="1178"/>
      <c r="Y41" s="1178"/>
      <c r="Z41" s="1178"/>
      <c r="AA41" s="1178"/>
      <c r="AB41" s="1178"/>
      <c r="AC41" s="1178"/>
      <c r="AD41" s="1178"/>
      <c r="AE41" s="1293"/>
      <c r="AF41" s="1178"/>
      <c r="AG41" s="1293"/>
      <c r="AH41" s="1178"/>
      <c r="AI41" s="1293"/>
      <c r="AJ41" s="1178"/>
      <c r="AK41" s="1178"/>
      <c r="AL41" s="1178"/>
      <c r="AM41" s="1291"/>
      <c r="AN41" s="1279"/>
      <c r="AP41" s="573"/>
    </row>
    <row r="42" spans="1:46">
      <c r="A42" s="366" t="s">
        <v>232</v>
      </c>
      <c r="B42" s="207" t="s">
        <v>160</v>
      </c>
      <c r="C42" s="1294">
        <f>(SUMIFS('Gold - Q&amp;V'!$B$8:$B$250,'Gold - Q&amp;V'!$D$8:$D$250,LEFT('FY Q&amp;V 2003-04 to Now'!C$7:D$7,4),'Gold - Q&amp;V'!$E$8:$E$250,3)+
SUMIFS('Gold - Q&amp;V'!$B$8:$B$250,'Gold - Q&amp;V'!$D$8:$D$250,LEFT('FY Q&amp;V 2003-04 to Now'!C$7:D$7,4),'Gold - Q&amp;V'!$E$8:$E$250,4)+
SUMIFS('Gold - Q&amp;V'!$B$8:$B$250,'Gold - Q&amp;V'!$D$8:$D$250,CONCATENATE("20",RIGHT('FY Q&amp;V 2003-04 to Now'!C$7,2)),'Gold - Q&amp;V'!$E$8:$E$250,1)+
SUMIFS('Gold - Q&amp;V'!$B$8:$B$250,'Gold - Q&amp;V'!$D$8:$D$250,CONCATENATE("20",RIGHT('FY Q&amp;V 2003-04 to Now'!C$7,2)),'Gold - Q&amp;V'!$E$8:$E$250,2))*1000</f>
        <v>176730</v>
      </c>
      <c r="D42" s="1295">
        <f>(SUMIFS('Gold - Q&amp;V'!$C$8:$C$250,'Gold - Q&amp;V'!$D$8:$D$250,LEFT('FY Q&amp;V 2003-04 to Now'!C$7,4),'Gold - Q&amp;V'!$E$8:$E$250,3)+
SUMIFS('Gold - Q&amp;V'!$C$8:$C$250,'Gold - Q&amp;V'!$D$8:$D$250,LEFT('FY Q&amp;V 2003-04 to Now'!C$7,4),'Gold - Q&amp;V'!$E$8:$E$250,4)+
SUMIFS('Gold - Q&amp;V'!$C$8:$C$250,'Gold - Q&amp;V'!$D$8:$D$250,CONCATENATE("20",RIGHT('FY Q&amp;V 2003-04 to Now'!C$7,2)),'Gold - Q&amp;V'!$E$8:$E$250,1)+
SUMIFS('Gold - Q&amp;V'!$C$8:$C$250,'Gold - Q&amp;V'!$D$8:$D$250,CONCATENATE("20",RIGHT('FY Q&amp;V 2003-04 to Now'!C$7,2)),'Gold - Q&amp;V'!$E$8:$E$250,2))*1000000</f>
        <v>3104170000</v>
      </c>
      <c r="E42" s="1294">
        <f>(SUMIFS('Gold - Q&amp;V'!$B$8:$B$250,'Gold - Q&amp;V'!$D$8:$D$250,LEFT('FY Q&amp;V 2003-04 to Now'!E$7:F$7,4),'Gold - Q&amp;V'!$E$8:$E$250,3)+
SUMIFS('Gold - Q&amp;V'!$B$8:$B$250,'Gold - Q&amp;V'!$D$8:$D$250,LEFT('FY Q&amp;V 2003-04 to Now'!E$7:F$7,4),'Gold - Q&amp;V'!$E$8:$E$250,4)+
SUMIFS('Gold - Q&amp;V'!$B$8:$B$250,'Gold - Q&amp;V'!$D$8:$D$250,CONCATENATE("20",RIGHT('FY Q&amp;V 2003-04 to Now'!E$7,2)),'Gold - Q&amp;V'!$E$8:$E$250,1)+
SUMIFS('Gold - Q&amp;V'!$B$8:$B$250,'Gold - Q&amp;V'!$D$8:$D$250,CONCATENATE("20",RIGHT('FY Q&amp;V 2003-04 to Now'!E$7,2)),'Gold - Q&amp;V'!$E$8:$E$250,2))*1000</f>
        <v>166587.05940999999</v>
      </c>
      <c r="F42" s="1295">
        <f>(SUMIFS('Gold - Q&amp;V'!$C$8:$C$250,'Gold - Q&amp;V'!$D$8:$D$250,LEFT('FY Q&amp;V 2003-04 to Now'!E$7,4),'Gold - Q&amp;V'!$E$8:$E$250,3)+
SUMIFS('Gold - Q&amp;V'!$C$8:$C$250,'Gold - Q&amp;V'!$D$8:$D$250,LEFT('FY Q&amp;V 2003-04 to Now'!E$7,4),'Gold - Q&amp;V'!$E$8:$E$250,4)+
SUMIFS('Gold - Q&amp;V'!$C$8:$C$250,'Gold - Q&amp;V'!$D$8:$D$250,CONCATENATE("20",RIGHT('FY Q&amp;V 2003-04 to Now'!E$7,2)),'Gold - Q&amp;V'!$E$8:$E$250,1)+
SUMIFS('Gold - Q&amp;V'!$C$8:$C$250,'Gold - Q&amp;V'!$D$8:$D$250,CONCATENATE("20",RIGHT('FY Q&amp;V 2003-04 to Now'!E$7,2)),'Gold - Q&amp;V'!$E$8:$E$250,2))*1000000</f>
        <v>3006500215</v>
      </c>
      <c r="G42" s="1294">
        <f>(SUMIFS('Gold - Q&amp;V'!$B$8:$B$250,'Gold - Q&amp;V'!$D$8:$D$250,LEFT('FY Q&amp;V 2003-04 to Now'!G$7:H$7,4),'Gold - Q&amp;V'!$E$8:$E$250,3)+
SUMIFS('Gold - Q&amp;V'!$B$8:$B$250,'Gold - Q&amp;V'!$D$8:$D$250,LEFT('FY Q&amp;V 2003-04 to Now'!G$7:H$7,4),'Gold - Q&amp;V'!$E$8:$E$250,4)+
SUMIFS('Gold - Q&amp;V'!$B$8:$B$250,'Gold - Q&amp;V'!$D$8:$D$250,CONCATENATE("20",RIGHT('FY Q&amp;V 2003-04 to Now'!G$7,2)),'Gold - Q&amp;V'!$E$8:$E$250,1)+
SUMIFS('Gold - Q&amp;V'!$B$8:$B$250,'Gold - Q&amp;V'!$D$8:$D$250,CONCATENATE("20",RIGHT('FY Q&amp;V 2003-04 to Now'!G$7,2)),'Gold - Q&amp;V'!$E$8:$E$250,2))*1000</f>
        <v>163340.26466000002</v>
      </c>
      <c r="H42" s="1295">
        <f>(SUMIFS('Gold - Q&amp;V'!$C$8:$C$250,'Gold - Q&amp;V'!$D$8:$D$250,LEFT('FY Q&amp;V 2003-04 to Now'!G$7,4),'Gold - Q&amp;V'!$E$8:$E$250,3)+
SUMIFS('Gold - Q&amp;V'!$C$8:$C$250,'Gold - Q&amp;V'!$D$8:$D$250,LEFT('FY Q&amp;V 2003-04 to Now'!G$7,4),'Gold - Q&amp;V'!$E$8:$E$250,4)+
SUMIFS('Gold - Q&amp;V'!$C$8:$C$250,'Gold - Q&amp;V'!$D$8:$D$250,CONCATENATE("20",RIGHT('FY Q&amp;V 2003-04 to Now'!G$7,2)),'Gold - Q&amp;V'!$E$8:$E$250,1)+
SUMIFS('Gold - Q&amp;V'!$C$8:$C$250,'Gold - Q&amp;V'!$D$8:$D$250,CONCATENATE("20",RIGHT('FY Q&amp;V 2003-04 to Now'!G$7,2)),'Gold - Q&amp;V'!$E$8:$E$250,2))*1000000</f>
        <v>3696336325</v>
      </c>
      <c r="I42" s="1294">
        <f>(SUMIFS('Gold - Q&amp;V'!$B$8:$B$250,'Gold - Q&amp;V'!$D$8:$D$250,LEFT('FY Q&amp;V 2003-04 to Now'!I$7:J$7,4),'Gold - Q&amp;V'!$E$8:$E$250,3)+
SUMIFS('Gold - Q&amp;V'!$B$8:$B$250,'Gold - Q&amp;V'!$D$8:$D$250,LEFT('FY Q&amp;V 2003-04 to Now'!I$7:J$7,4),'Gold - Q&amp;V'!$E$8:$E$250,4)+
SUMIFS('Gold - Q&amp;V'!$B$8:$B$250,'Gold - Q&amp;V'!$D$8:$D$250,CONCATENATE("20",RIGHT('FY Q&amp;V 2003-04 to Now'!I$7,2)),'Gold - Q&amp;V'!$E$8:$E$250,1)+
SUMIFS('Gold - Q&amp;V'!$B$8:$B$250,'Gold - Q&amp;V'!$D$8:$D$250,CONCATENATE("20",RIGHT('FY Q&amp;V 2003-04 to Now'!I$7,2)),'Gold - Q&amp;V'!$E$8:$E$250,2))*1000</f>
        <v>159574.94859999997</v>
      </c>
      <c r="J42" s="1295">
        <f>(SUMIFS('Gold - Q&amp;V'!$C$8:$C$250,'Gold - Q&amp;V'!$D$8:$D$250,LEFT('FY Q&amp;V 2003-04 to Now'!I$7,4),'Gold - Q&amp;V'!$E$8:$E$250,3)+
SUMIFS('Gold - Q&amp;V'!$C$8:$C$250,'Gold - Q&amp;V'!$D$8:$D$250,LEFT('FY Q&amp;V 2003-04 to Now'!I$7,4),'Gold - Q&amp;V'!$E$8:$E$250,4)+
SUMIFS('Gold - Q&amp;V'!$C$8:$C$250,'Gold - Q&amp;V'!$D$8:$D$250,CONCATENATE("20",RIGHT('FY Q&amp;V 2003-04 to Now'!I$7,2)),'Gold - Q&amp;V'!$E$8:$E$250,1)+
SUMIFS('Gold - Q&amp;V'!$C$8:$C$250,'Gold - Q&amp;V'!$D$8:$D$250,CONCATENATE("20",RIGHT('FY Q&amp;V 2003-04 to Now'!I$7,2)),'Gold - Q&amp;V'!$E$8:$E$250,2))*1000000</f>
        <v>4166106485.9999995</v>
      </c>
      <c r="K42" s="1294">
        <f>(SUMIFS('Gold - Q&amp;V'!$B$8:$B$250,'Gold - Q&amp;V'!$D$8:$D$250,LEFT('FY Q&amp;V 2003-04 to Now'!K$7:L$7,4),'Gold - Q&amp;V'!$E$8:$E$250,3)+
SUMIFS('Gold - Q&amp;V'!$B$8:$B$250,'Gold - Q&amp;V'!$D$8:$D$250,LEFT('FY Q&amp;V 2003-04 to Now'!K$7:L$7,4),'Gold - Q&amp;V'!$E$8:$E$250,4)+
SUMIFS('Gold - Q&amp;V'!$B$8:$B$250,'Gold - Q&amp;V'!$D$8:$D$250,CONCATENATE("20",RIGHT('FY Q&amp;V 2003-04 to Now'!K$7,2)),'Gold - Q&amp;V'!$E$8:$E$250,1)+
SUMIFS('Gold - Q&amp;V'!$B$8:$B$250,'Gold - Q&amp;V'!$D$8:$D$250,CONCATENATE("20",RIGHT('FY Q&amp;V 2003-04 to Now'!K$7,2)),'Gold - Q&amp;V'!$E$8:$E$250,2))*1000</f>
        <v>141113.80408999999</v>
      </c>
      <c r="L42" s="1295">
        <f>(SUMIFS('Gold - Q&amp;V'!$C$8:$C$250,'Gold - Q&amp;V'!$D$8:$D$250,LEFT('FY Q&amp;V 2003-04 to Now'!K$7,4),'Gold - Q&amp;V'!$E$8:$E$250,3)+
SUMIFS('Gold - Q&amp;V'!$C$8:$C$250,'Gold - Q&amp;V'!$D$8:$D$250,LEFT('FY Q&amp;V 2003-04 to Now'!K$7,4),'Gold - Q&amp;V'!$E$8:$E$250,4)+
SUMIFS('Gold - Q&amp;V'!$C$8:$C$250,'Gold - Q&amp;V'!$D$8:$D$250,CONCATENATE("20",RIGHT('FY Q&amp;V 2003-04 to Now'!K$7,2)),'Gold - Q&amp;V'!$E$8:$E$250,1)+
SUMIFS('Gold - Q&amp;V'!$C$8:$C$250,'Gold - Q&amp;V'!$D$8:$D$250,CONCATENATE("20",RIGHT('FY Q&amp;V 2003-04 to Now'!K$7,2)),'Gold - Q&amp;V'!$E$8:$E$250,2))*1000000</f>
        <v>4126598530.9999995</v>
      </c>
      <c r="M42" s="1294">
        <f>(SUMIFS('Gold - Q&amp;V'!$B$8:$B$250,'Gold - Q&amp;V'!$D$8:$D$250,LEFT('FY Q&amp;V 2003-04 to Now'!M$7:N$7,4),'Gold - Q&amp;V'!$E$8:$E$250,3)+
SUMIFS('Gold - Q&amp;V'!$B$8:$B$250,'Gold - Q&amp;V'!$D$8:$D$250,LEFT('FY Q&amp;V 2003-04 to Now'!M$7:N$7,4),'Gold - Q&amp;V'!$E$8:$E$250,4)+
SUMIFS('Gold - Q&amp;V'!$B$8:$B$250,'Gold - Q&amp;V'!$D$8:$D$250,CONCATENATE("20",RIGHT('FY Q&amp;V 2003-04 to Now'!M$7,2)),'Gold - Q&amp;V'!$E$8:$E$250,1)+
SUMIFS('Gold - Q&amp;V'!$B$8:$B$250,'Gold - Q&amp;V'!$D$8:$D$250,CONCATENATE("20",RIGHT('FY Q&amp;V 2003-04 to Now'!M$7,2)),'Gold - Q&amp;V'!$E$8:$E$250,2))*1000</f>
        <v>136996.85978999999</v>
      </c>
      <c r="N42" s="1295">
        <f>(SUMIFS('Gold - Q&amp;V'!$C$8:$C$250,'Gold - Q&amp;V'!$D$8:$D$250,LEFT('FY Q&amp;V 2003-04 to Now'!M$7,4),'Gold - Q&amp;V'!$E$8:$E$250,3)+
SUMIFS('Gold - Q&amp;V'!$C$8:$C$250,'Gold - Q&amp;V'!$D$8:$D$250,LEFT('FY Q&amp;V 2003-04 to Now'!M$7,4),'Gold - Q&amp;V'!$E$8:$E$250,4)+
SUMIFS('Gold - Q&amp;V'!$C$8:$C$250,'Gold - Q&amp;V'!$D$8:$D$250,CONCATENATE("20",RIGHT('FY Q&amp;V 2003-04 to Now'!M$7,2)),'Gold - Q&amp;V'!$E$8:$E$250,1)+
SUMIFS('Gold - Q&amp;V'!$C$8:$C$250,'Gold - Q&amp;V'!$D$8:$D$250,CONCATENATE("20",RIGHT('FY Q&amp;V 2003-04 to Now'!M$7,2)),'Gold - Q&amp;V'!$E$8:$E$250,2))*1000000</f>
        <v>5248104326.000001</v>
      </c>
      <c r="O42" s="1294">
        <f>(SUMIFS('Gold - Q&amp;V'!$B$8:$B$250,'Gold - Q&amp;V'!$D$8:$D$250,LEFT('FY Q&amp;V 2003-04 to Now'!O$7:P$7,4),'Gold - Q&amp;V'!$E$8:$E$250,3)+
SUMIFS('Gold - Q&amp;V'!$B$8:$B$250,'Gold - Q&amp;V'!$D$8:$D$250,LEFT('FY Q&amp;V 2003-04 to Now'!O$7:P$7,4),'Gold - Q&amp;V'!$E$8:$E$250,4)+
SUMIFS('Gold - Q&amp;V'!$B$8:$B$250,'Gold - Q&amp;V'!$D$8:$D$250,CONCATENATE("20",RIGHT('FY Q&amp;V 2003-04 to Now'!O$7,2)),'Gold - Q&amp;V'!$E$8:$E$250,1)+
SUMIFS('Gold - Q&amp;V'!$B$8:$B$250,'Gold - Q&amp;V'!$D$8:$D$250,CONCATENATE("20",RIGHT('FY Q&amp;V 2003-04 to Now'!O$7,2)),'Gold - Q&amp;V'!$E$8:$E$250,2))*1000</f>
        <v>164039.14952000004</v>
      </c>
      <c r="P42" s="1295">
        <f>(SUMIFS('Gold - Q&amp;V'!$C$8:$C$250,'Gold - Q&amp;V'!$D$8:$D$250,LEFT('FY Q&amp;V 2003-04 to Now'!O$7,4),'Gold - Q&amp;V'!$E$8:$E$250,3)+
SUMIFS('Gold - Q&amp;V'!$C$8:$C$250,'Gold - Q&amp;V'!$D$8:$D$250,LEFT('FY Q&amp;V 2003-04 to Now'!O$7,4),'Gold - Q&amp;V'!$E$8:$E$250,4)+
SUMIFS('Gold - Q&amp;V'!$C$8:$C$250,'Gold - Q&amp;V'!$D$8:$D$250,CONCATENATE("20",RIGHT('FY Q&amp;V 2003-04 to Now'!O$7,2)),'Gold - Q&amp;V'!$E$8:$E$250,1)+
SUMIFS('Gold - Q&amp;V'!$C$8:$C$250,'Gold - Q&amp;V'!$D$8:$D$250,CONCATENATE("20",RIGHT('FY Q&amp;V 2003-04 to Now'!O$7,2)),'Gold - Q&amp;V'!$E$8:$E$250,2))*1000000</f>
        <v>6558256060</v>
      </c>
      <c r="Q42" s="1294">
        <f>(SUMIFS('Gold - Q&amp;V'!$B$8:$B$250,'Gold - Q&amp;V'!$D$8:$D$250,LEFT('FY Q&amp;V 2003-04 to Now'!Q$7:R$7,4),'Gold - Q&amp;V'!$E$8:$E$250,3)+
SUMIFS('Gold - Q&amp;V'!$B$8:$B$250,'Gold - Q&amp;V'!$D$8:$D$250,LEFT('FY Q&amp;V 2003-04 to Now'!Q$7:R$7,4),'Gold - Q&amp;V'!$E$8:$E$250,4)+
SUMIFS('Gold - Q&amp;V'!$B$8:$B$250,'Gold - Q&amp;V'!$D$8:$D$250,CONCATENATE("20",RIGHT('FY Q&amp;V 2003-04 to Now'!Q$7,2)),'Gold - Q&amp;V'!$E$8:$E$250,1)+
SUMIFS('Gold - Q&amp;V'!$B$8:$B$250,'Gold - Q&amp;V'!$D$8:$D$250,CONCATENATE("20",RIGHT('FY Q&amp;V 2003-04 to Now'!Q$7,2)),'Gold - Q&amp;V'!$E$8:$E$250,2))*1000</f>
        <v>183750.74137999999</v>
      </c>
      <c r="R42" s="1295">
        <f>(SUMIFS('Gold - Q&amp;V'!$C$8:$C$250,'Gold - Q&amp;V'!$D$8:$D$250,LEFT('FY Q&amp;V 2003-04 to Now'!Q$7,4),'Gold - Q&amp;V'!$E$8:$E$250,3)+
SUMIFS('Gold - Q&amp;V'!$C$8:$C$250,'Gold - Q&amp;V'!$D$8:$D$250,LEFT('FY Q&amp;V 2003-04 to Now'!Q$7,4),'Gold - Q&amp;V'!$E$8:$E$250,4)+
SUMIFS('Gold - Q&amp;V'!$C$8:$C$250,'Gold - Q&amp;V'!$D$8:$D$250,CONCATENATE("20",RIGHT('FY Q&amp;V 2003-04 to Now'!Q$7,2)),'Gold - Q&amp;V'!$E$8:$E$250,1)+
SUMIFS('Gold - Q&amp;V'!$C$8:$C$250,'Gold - Q&amp;V'!$D$8:$D$250,CONCATENATE("20",RIGHT('FY Q&amp;V 2003-04 to Now'!Q$7,2)),'Gold - Q&amp;V'!$E$8:$E$250,2))*1000000</f>
        <v>8184187456</v>
      </c>
      <c r="S42" s="1294">
        <f>(SUMIFS('Gold - Q&amp;V'!$B$8:$B$250,'Gold - Q&amp;V'!$D$8:$D$250,LEFT('FY Q&amp;V 2003-04 to Now'!S$7:T$7,4),'Gold - Q&amp;V'!$E$8:$E$250,3)+
SUMIFS('Gold - Q&amp;V'!$B$8:$B$250,'Gold - Q&amp;V'!$D$8:$D$250,LEFT('FY Q&amp;V 2003-04 to Now'!S$7:T$7,4),'Gold - Q&amp;V'!$E$8:$E$250,4)+
SUMIFS('Gold - Q&amp;V'!$B$8:$B$250,'Gold - Q&amp;V'!$D$8:$D$250,CONCATENATE("20",RIGHT('FY Q&amp;V 2003-04 to Now'!S$7,2)),'Gold - Q&amp;V'!$E$8:$E$250,1)+
SUMIFS('Gold - Q&amp;V'!$B$8:$B$250,'Gold - Q&amp;V'!$D$8:$D$250,CONCATENATE("20",RIGHT('FY Q&amp;V 2003-04 to Now'!S$7,2)),'Gold - Q&amp;V'!$E$8:$E$250,2))*1000</f>
        <v>180771.23628000001</v>
      </c>
      <c r="T42" s="1295">
        <f>(SUMIFS('Gold - Q&amp;V'!$C$8:$C$250,'Gold - Q&amp;V'!$D$8:$D$250,LEFT('FY Q&amp;V 2003-04 to Now'!S$7,4),'Gold - Q&amp;V'!$E$8:$E$250,3)+
SUMIFS('Gold - Q&amp;V'!$C$8:$C$250,'Gold - Q&amp;V'!$D$8:$D$250,LEFT('FY Q&amp;V 2003-04 to Now'!S$7,4),'Gold - Q&amp;V'!$E$8:$E$250,4)+
SUMIFS('Gold - Q&amp;V'!$C$8:$C$250,'Gold - Q&amp;V'!$D$8:$D$250,CONCATENATE("20",RIGHT('FY Q&amp;V 2003-04 to Now'!S$7,2)),'Gold - Q&amp;V'!$E$8:$E$250,1)+
SUMIFS('Gold - Q&amp;V'!$C$8:$C$250,'Gold - Q&amp;V'!$D$8:$D$250,CONCATENATE("20",RIGHT('FY Q&amp;V 2003-04 to Now'!S$7,2)),'Gold - Q&amp;V'!$E$8:$E$250,2))*1000000</f>
        <v>9421483327.0000019</v>
      </c>
      <c r="U42" s="1294">
        <f>(SUMIFS('Gold - Q&amp;V'!$B$8:$B$250,'Gold - Q&amp;V'!$D$8:$D$250,LEFT('FY Q&amp;V 2003-04 to Now'!U$7:V$7,4),'Gold - Q&amp;V'!$E$8:$E$250,3)+
SUMIFS('Gold - Q&amp;V'!$B$8:$B$250,'Gold - Q&amp;V'!$D$8:$D$250,LEFT('FY Q&amp;V 2003-04 to Now'!U$7:V$7,4),'Gold - Q&amp;V'!$E$8:$E$250,4)+
SUMIFS('Gold - Q&amp;V'!$B$8:$B$250,'Gold - Q&amp;V'!$D$8:$D$250,CONCATENATE("20",RIGHT('FY Q&amp;V 2003-04 to Now'!U$7,2)),'Gold - Q&amp;V'!$E$8:$E$250,1)+
SUMIFS('Gold - Q&amp;V'!$B$8:$B$250,'Gold - Q&amp;V'!$D$8:$D$250,CONCATENATE("20",RIGHT('FY Q&amp;V 2003-04 to Now'!U$7,2)),'Gold - Q&amp;V'!$E$8:$E$250,2))*1000</f>
        <v>179849.01528999998</v>
      </c>
      <c r="V42" s="1295">
        <f>(SUMIFS('Gold - Q&amp;V'!$C$8:$C$250,'Gold - Q&amp;V'!$D$8:$D$250,LEFT('FY Q&amp;V 2003-04 to Now'!U$7,4),'Gold - Q&amp;V'!$E$8:$E$250,3)+
SUMIFS('Gold - Q&amp;V'!$C$8:$C$250,'Gold - Q&amp;V'!$D$8:$D$250,LEFT('FY Q&amp;V 2003-04 to Now'!U$7,4),'Gold - Q&amp;V'!$E$8:$E$250,4)+
SUMIFS('Gold - Q&amp;V'!$C$8:$C$250,'Gold - Q&amp;V'!$D$8:$D$250,CONCATENATE("20",RIGHT('FY Q&amp;V 2003-04 to Now'!U$7,2)),'Gold - Q&amp;V'!$E$8:$E$250,1)+
SUMIFS('Gold - Q&amp;V'!$C$8:$C$250,'Gold - Q&amp;V'!$D$8:$D$250,CONCATENATE("20",RIGHT('FY Q&amp;V 2003-04 to Now'!U$7,2)),'Gold - Q&amp;V'!$E$8:$E$250,2))*1000000</f>
        <v>9022522018</v>
      </c>
      <c r="W42" s="1294">
        <f>(SUMIFS('Gold - Q&amp;V'!$B$8:$B$250,'Gold - Q&amp;V'!$D$8:$D$250,LEFT('FY Q&amp;V 2003-04 to Now'!W$7:X$7,4),'Gold - Q&amp;V'!$E$8:$E$250,3)+
SUMIFS('Gold - Q&amp;V'!$B$8:$B$250,'Gold - Q&amp;V'!$D$8:$D$250,LEFT('FY Q&amp;V 2003-04 to Now'!W$7:X$7,4),'Gold - Q&amp;V'!$E$8:$E$250,4)+
SUMIFS('Gold - Q&amp;V'!$B$8:$B$250,'Gold - Q&amp;V'!$D$8:$D$250,CONCATENATE("20",RIGHT('FY Q&amp;V 2003-04 to Now'!W$7,2)),'Gold - Q&amp;V'!$E$8:$E$250,1)+
SUMIFS('Gold - Q&amp;V'!$B$8:$B$250,'Gold - Q&amp;V'!$D$8:$D$250,CONCATENATE("20",RIGHT('FY Q&amp;V 2003-04 to Now'!W$7,2)),'Gold - Q&amp;V'!$E$8:$E$250,2))*1000</f>
        <v>196073.56325673001</v>
      </c>
      <c r="X42" s="1295">
        <f>(SUMIFS('Gold - Q&amp;V'!$C$8:$C$250,'Gold - Q&amp;V'!$D$8:$D$250,LEFT('FY Q&amp;V 2003-04 to Now'!W$7,4),'Gold - Q&amp;V'!$E$8:$E$250,3)+
SUMIFS('Gold - Q&amp;V'!$C$8:$C$250,'Gold - Q&amp;V'!$D$8:$D$250,LEFT('FY Q&amp;V 2003-04 to Now'!W$7,4),'Gold - Q&amp;V'!$E$8:$E$250,4)+
SUMIFS('Gold - Q&amp;V'!$C$8:$C$250,'Gold - Q&amp;V'!$D$8:$D$250,CONCATENATE("20",RIGHT('FY Q&amp;V 2003-04 to Now'!W$7,2)),'Gold - Q&amp;V'!$E$8:$E$250,1)+
SUMIFS('Gold - Q&amp;V'!$C$8:$C$250,'Gold - Q&amp;V'!$D$8:$D$250,CONCATENATE("20",RIGHT('FY Q&amp;V 2003-04 to Now'!W$7,2)),'Gold - Q&amp;V'!$E$8:$E$250,2))*1000000</f>
        <v>8890995046</v>
      </c>
      <c r="Y42" s="1294">
        <f>(SUMIFS('Gold - Q&amp;V'!$B$8:$B$250,'Gold - Q&amp;V'!$D$8:$D$250,LEFT('FY Q&amp;V 2003-04 to Now'!Y$7:Z$7,4),'Gold - Q&amp;V'!$E$8:$E$250,3)+
SUMIFS('Gold - Q&amp;V'!$B$8:$B$250,'Gold - Q&amp;V'!$D$8:$D$250,LEFT('FY Q&amp;V 2003-04 to Now'!Y$7:Z$7,4),'Gold - Q&amp;V'!$E$8:$E$250,4)+
SUMIFS('Gold - Q&amp;V'!$B$8:$B$250,'Gold - Q&amp;V'!$D$8:$D$250,CONCATENATE("20",RIGHT('FY Q&amp;V 2003-04 to Now'!Y$7,2)),'Gold - Q&amp;V'!$E$8:$E$250,1)+
SUMIFS('Gold - Q&amp;V'!$B$8:$B$250,'Gold - Q&amp;V'!$D$8:$D$250,CONCATENATE("20",RIGHT('FY Q&amp;V 2003-04 to Now'!Y$7,2)),'Gold - Q&amp;V'!$E$8:$E$250,2))*1000</f>
        <v>193162.36458304175</v>
      </c>
      <c r="Z42" s="1295">
        <f>(SUMIFS('Gold - Q&amp;V'!$C$8:$C$250,'Gold - Q&amp;V'!$D$8:$D$250,LEFT('FY Q&amp;V 2003-04 to Now'!Y$7,4),'Gold - Q&amp;V'!$E$8:$E$250,3)+
SUMIFS('Gold - Q&amp;V'!$C$8:$C$250,'Gold - Q&amp;V'!$D$8:$D$250,LEFT('FY Q&amp;V 2003-04 to Now'!Y$7,4),'Gold - Q&amp;V'!$E$8:$E$250,4)+
SUMIFS('Gold - Q&amp;V'!$C$8:$C$250,'Gold - Q&amp;V'!$D$8:$D$250,CONCATENATE("20",RIGHT('FY Q&amp;V 2003-04 to Now'!Y$7,2)),'Gold - Q&amp;V'!$E$8:$E$250,1)+
SUMIFS('Gold - Q&amp;V'!$C$8:$C$250,'Gold - Q&amp;V'!$D$8:$D$250,CONCATENATE("20",RIGHT('FY Q&amp;V 2003-04 to Now'!Y$7,2)),'Gold - Q&amp;V'!$E$8:$E$250,2))*1000000</f>
        <v>9107167942</v>
      </c>
      <c r="AA42" s="1294">
        <f>(SUMIFS('Gold - Q&amp;V'!$B$8:$B$250,'Gold - Q&amp;V'!$D$8:$D$250,LEFT('FY Q&amp;V 2003-04 to Now'!AA$7:AB$7,4),'Gold - Q&amp;V'!$E$8:$E$250,3)+
SUMIFS('Gold - Q&amp;V'!$B$8:$B$250,'Gold - Q&amp;V'!$D$8:$D$250,LEFT('FY Q&amp;V 2003-04 to Now'!AA$7:AB$7,4),'Gold - Q&amp;V'!$E$8:$E$250,4)+
SUMIFS('Gold - Q&amp;V'!$B$8:$B$250,'Gold - Q&amp;V'!$D$8:$D$250,CONCATENATE("20",RIGHT('FY Q&amp;V 2003-04 to Now'!AA$7,2)),'Gold - Q&amp;V'!$E$8:$E$250,1)+
SUMIFS('Gold - Q&amp;V'!$B$8:$B$250,'Gold - Q&amp;V'!$D$8:$D$250,CONCATENATE("20",RIGHT('FY Q&amp;V 2003-04 to Now'!AA$7,2)),'Gold - Q&amp;V'!$E$8:$E$250,2))*1000</f>
        <v>195968.32781245821</v>
      </c>
      <c r="AB42" s="1295">
        <f>(SUMIFS('Gold - Q&amp;V'!$C$8:$C$250,'Gold - Q&amp;V'!$D$8:$D$250,LEFT('FY Q&amp;V 2003-04 to Now'!AA$7,4),'Gold - Q&amp;V'!$E$8:$E$250,3)+
SUMIFS('Gold - Q&amp;V'!$C$8:$C$250,'Gold - Q&amp;V'!$D$8:$D$250,LEFT('FY Q&amp;V 2003-04 to Now'!AA$7,4),'Gold - Q&amp;V'!$E$8:$E$250,4)+
SUMIFS('Gold - Q&amp;V'!$C$8:$C$250,'Gold - Q&amp;V'!$D$8:$D$250,CONCATENATE("20",RIGHT('FY Q&amp;V 2003-04 to Now'!AA$7,2)),'Gold - Q&amp;V'!$E$8:$E$250,1)+
SUMIFS('Gold - Q&amp;V'!$C$8:$C$250,'Gold - Q&amp;V'!$D$8:$D$250,CONCATENATE("20",RIGHT('FY Q&amp;V 2003-04 to Now'!AA$7,2)),'Gold - Q&amp;V'!$E$8:$E$250,2))*1000000</f>
        <v>10104514299</v>
      </c>
      <c r="AC42" s="1262">
        <f>(SUMIFS('Gold - Q&amp;V'!$B$8:$B$250,'Gold - Q&amp;V'!$D$8:$D$250,LEFT('FY Q&amp;V 2003-04 to Now'!AC$7:AD$7,4),'Gold - Q&amp;V'!$E$8:$E$250,3)+
SUMIFS('Gold - Q&amp;V'!$B$8:$B$250,'Gold - Q&amp;V'!$D$8:$D$250,LEFT('FY Q&amp;V 2003-04 to Now'!AC$7:AD$7,4),'Gold - Q&amp;V'!$E$8:$E$250,4)+
SUMIFS('Gold - Q&amp;V'!$B$8:$B$250,'Gold - Q&amp;V'!$D$8:$D$250,CONCATENATE("20",RIGHT('FY Q&amp;V 2003-04 to Now'!AC$7,2)),'Gold - Q&amp;V'!$E$8:$E$250,1)+
SUMIFS('Gold - Q&amp;V'!$B$8:$B$250,'Gold - Q&amp;V'!$D$8:$D$250,CONCATENATE("20",RIGHT('FY Q&amp;V 2003-04 to Now'!AC$7,2)),'Gold - Q&amp;V'!$E$8:$E$250,2))*1000</f>
        <v>203002.87275238175</v>
      </c>
      <c r="AD42" s="1295">
        <f>(SUMIFS('Gold - Q&amp;V'!$C$8:$C$250,'Gold - Q&amp;V'!$D$8:$D$250,LEFT('FY Q&amp;V 2003-04 to Now'!AC$7,4),'Gold - Q&amp;V'!$E$8:$E$250,3)+
SUMIFS('Gold - Q&amp;V'!$C$8:$C$250,'Gold - Q&amp;V'!$D$8:$D$250,LEFT('FY Q&amp;V 2003-04 to Now'!AC$7,4),'Gold - Q&amp;V'!$E$8:$E$250,4)+
SUMIFS('Gold - Q&amp;V'!$C$8:$C$250,'Gold - Q&amp;V'!$D$8:$D$250,CONCATENATE("20",RIGHT('FY Q&amp;V 2003-04 to Now'!AC$7,2)),'Gold - Q&amp;V'!$E$8:$E$250,1)+
SUMIFS('Gold - Q&amp;V'!$C$8:$C$250,'Gold - Q&amp;V'!$D$8:$D$250,CONCATENATE("20",RIGHT('FY Q&amp;V 2003-04 to Now'!AC$7,2)),'Gold - Q&amp;V'!$E$8:$E$250,2))*1000000</f>
        <v>10859574220.999998</v>
      </c>
      <c r="AE42" s="1298">
        <f>(SUMIFS('Gold - Q&amp;V'!$B$8:$B$250,'Gold - Q&amp;V'!$D$8:$D$250,LEFT('FY Q&amp;V 2003-04 to Now'!AE$7:AF$7,4),'Gold - Q&amp;V'!$E$8:$E$250,3)+
SUMIFS('Gold - Q&amp;V'!$B$8:$B$250,'Gold - Q&amp;V'!$D$8:$D$250,LEFT('FY Q&amp;V 2003-04 to Now'!AE$7:AF$7,4),'Gold - Q&amp;V'!$E$8:$E$250,4)+
SUMIFS('Gold - Q&amp;V'!$B$8:$B$250,'Gold - Q&amp;V'!$D$8:$D$250,CONCATENATE("20",RIGHT('FY Q&amp;V 2003-04 to Now'!AE$7,2)),'Gold - Q&amp;V'!$E$8:$E$250,1)+
SUMIFS('Gold - Q&amp;V'!$B$8:$B$250,'Gold - Q&amp;V'!$D$8:$D$250,CONCATENATE("20",RIGHT('FY Q&amp;V 2003-04 to Now'!AE$7,2)),'Gold - Q&amp;V'!$E$8:$E$250,2))*1000</f>
        <v>212059.57158009004</v>
      </c>
      <c r="AF42" s="1299">
        <f>(SUMIFS('Gold - Q&amp;V'!$C$8:$C$250,'Gold - Q&amp;V'!$D$8:$D$250,LEFT('FY Q&amp;V 2003-04 to Now'!AE$7,4),'Gold - Q&amp;V'!$E$8:$E$250,3)+
SUMIFS('Gold - Q&amp;V'!$C$8:$C$250,'Gold - Q&amp;V'!$D$8:$D$250,LEFT('FY Q&amp;V 2003-04 to Now'!AE$7,4),'Gold - Q&amp;V'!$E$8:$E$250,4)+
SUMIFS('Gold - Q&amp;V'!$C$8:$C$250,'Gold - Q&amp;V'!$D$8:$D$250,CONCATENATE("20",RIGHT('FY Q&amp;V 2003-04 to Now'!AE$7,2)),'Gold - Q&amp;V'!$E$8:$E$250,1)+
SUMIFS('Gold - Q&amp;V'!$C$8:$C$250,'Gold - Q&amp;V'!$D$8:$D$250,CONCATENATE("20",RIGHT('FY Q&amp;V 2003-04 to Now'!AE$7,2)),'Gold - Q&amp;V'!$E$8:$E$250,2))*1000000</f>
        <v>11420664493</v>
      </c>
      <c r="AG42" s="1706">
        <f>(SUMIFS('Gold - Q&amp;V'!$B$8:$B$250,'Gold - Q&amp;V'!$D$8:$D$250,LEFT('FY Q&amp;V 2003-04 to Now'!AG$7:AH$7,4),'Gold - Q&amp;V'!$E$8:$E$250,3)+
SUMIFS('Gold - Q&amp;V'!$B$8:$B$250,'Gold - Q&amp;V'!$D$8:$D$250,LEFT('FY Q&amp;V 2003-04 to Now'!AG$7:AH$7,4),'Gold - Q&amp;V'!$E$8:$E$250,4)+
SUMIFS('Gold - Q&amp;V'!$B$8:$B$250,'Gold - Q&amp;V'!$D$8:$D$250,CONCATENATE("20",RIGHT('FY Q&amp;V 2003-04 to Now'!AG$7,2)),'Gold - Q&amp;V'!$E$8:$E$250,1)+
SUMIFS('Gold - Q&amp;V'!$B$8:$B$250,'Gold - Q&amp;V'!$D$8:$D$250,CONCATENATE("20",RIGHT('FY Q&amp;V 2003-04 to Now'!AG$7,2)),'Gold - Q&amp;V'!$E$8:$E$250,2))*1000</f>
        <v>211533.52393399211</v>
      </c>
      <c r="AH42" s="242">
        <f>(SUMIFS('Gold - Q&amp;V'!$C$8:$C$250,'Gold - Q&amp;V'!$D$8:$D$250,LEFT('FY Q&amp;V 2003-04 to Now'!AG$7,4),'Gold - Q&amp;V'!$E$8:$E$250,3)+
SUMIFS('Gold - Q&amp;V'!$C$8:$C$250,'Gold - Q&amp;V'!$D$8:$D$250,LEFT('FY Q&amp;V 2003-04 to Now'!AG$7,4),'Gold - Q&amp;V'!$E$8:$E$250,4)+
SUMIFS('Gold - Q&amp;V'!$C$8:$C$250,'Gold - Q&amp;V'!$D$8:$D$250,CONCATENATE("20",RIGHT('FY Q&amp;V 2003-04 to Now'!AG$7,2)),'Gold - Q&amp;V'!$E$8:$E$250,1)+
SUMIFS('Gold - Q&amp;V'!$C$8:$C$250,'Gold - Q&amp;V'!$D$8:$D$250,CONCATENATE("20",RIGHT('FY Q&amp;V 2003-04 to Now'!AG$7,2)),'Gold - Q&amp;V'!$E$8:$E$250,2))*1000000</f>
        <v>11958926074</v>
      </c>
      <c r="AI42" s="1706">
        <f>(SUMIFS('Gold - Q&amp;V'!$B$8:$B$250,'Gold - Q&amp;V'!$D$8:$D$250,LEFT('FY Q&amp;V 2003-04 to Now'!AI$7:AJ$7,4),'Gold - Q&amp;V'!$E$8:$E$250,3)+
SUMIFS('Gold - Q&amp;V'!$B$8:$B$250,'Gold - Q&amp;V'!$D$8:$D$250,LEFT('FY Q&amp;V 2003-04 to Now'!AI$7:AJ$7,4),'Gold - Q&amp;V'!$E$8:$E$250,4)+
SUMIFS('Gold - Q&amp;V'!$B$8:$B$250,'Gold - Q&amp;V'!$D$8:$D$250,CONCATENATE("20",RIGHT('FY Q&amp;V 2003-04 to Now'!AI$7,2)),'Gold - Q&amp;V'!$E$8:$E$250,1)+
SUMIFS('Gold - Q&amp;V'!$B$8:$B$250,'Gold - Q&amp;V'!$D$8:$D$250,CONCATENATE("20",RIGHT('FY Q&amp;V 2003-04 to Now'!AI$7,2)),'Gold - Q&amp;V'!$E$8:$E$250,2))*1000</f>
        <v>212142.25874086726</v>
      </c>
      <c r="AJ42" s="242">
        <f>(SUMIFS('Gold - Q&amp;V'!$C$8:$C$250,'Gold - Q&amp;V'!$D$8:$D$250,LEFT('FY Q&amp;V 2003-04 to Now'!AI$7,4),'Gold - Q&amp;V'!$E$8:$E$250,3)+
SUMIFS('Gold - Q&amp;V'!$C$8:$C$250,'Gold - Q&amp;V'!$D$8:$D$250,LEFT('FY Q&amp;V 2003-04 to Now'!AI$7,4),'Gold - Q&amp;V'!$E$8:$E$250,4)+
SUMIFS('Gold - Q&amp;V'!$C$8:$C$250,'Gold - Q&amp;V'!$D$8:$D$250,CONCATENATE("20",RIGHT('FY Q&amp;V 2003-04 to Now'!AI$7,2)),'Gold - Q&amp;V'!$E$8:$E$250,1)+
SUMIFS('Gold - Q&amp;V'!$C$8:$C$250,'Gold - Q&amp;V'!$D$8:$D$250,CONCATENATE("20",RIGHT('FY Q&amp;V 2003-04 to Now'!AI$7,2)),'Gold - Q&amp;V'!$E$8:$E$250,2))*1000000</f>
        <v>15872150556</v>
      </c>
      <c r="AK42" s="242">
        <f>(SUMIFS('Gold - Q&amp;V'!$B$8:$B$250,'Gold - Q&amp;V'!$D$8:$D$250,LEFT('FY Q&amp;V 2003-04 to Now'!AK$7:AL$7,4),'Gold - Q&amp;V'!$E$8:$E$250,3)+
SUMIFS('Gold - Q&amp;V'!$B$8:$B$250,'Gold - Q&amp;V'!$D$8:$D$250,LEFT('FY Q&amp;V 2003-04 to Now'!AK$7:AL$7,4),'Gold - Q&amp;V'!$E$8:$E$250,4)+
SUMIFS('Gold - Q&amp;V'!$B$8:$B$250,'Gold - Q&amp;V'!$D$8:$D$250,CONCATENATE("20",RIGHT('FY Q&amp;V 2003-04 to Now'!AK$7,2)),'Gold - Q&amp;V'!$E$8:$E$250,1)+
SUMIFS('Gold - Q&amp;V'!$B$8:$B$250,'Gold - Q&amp;V'!$D$8:$D$250,CONCATENATE("20",RIGHT('FY Q&amp;V 2003-04 to Now'!AK$7,2)),'Gold - Q&amp;V'!$E$8:$E$250,2))*1000</f>
        <v>207566.94364352876</v>
      </c>
      <c r="AL42" s="242">
        <f>(SUMIFS('Gold - Q&amp;V'!$C$8:$C$250,'Gold - Q&amp;V'!$D$8:$D$250,LEFT('FY Q&amp;V 2003-04 to Now'!AK$7,4),'Gold - Q&amp;V'!$E$8:$E$250,3)+
SUMIFS('Gold - Q&amp;V'!$C$8:$C$250,'Gold - Q&amp;V'!$D$8:$D$250,LEFT('FY Q&amp;V 2003-04 to Now'!AK$7,4),'Gold - Q&amp;V'!$E$8:$E$250,4)+
SUMIFS('Gold - Q&amp;V'!$C$8:$C$250,'Gold - Q&amp;V'!$D$8:$D$250,CONCATENATE("20",RIGHT('FY Q&amp;V 2003-04 to Now'!AK$7,2)),'Gold - Q&amp;V'!$E$8:$E$250,1)+
SUMIFS('Gold - Q&amp;V'!$C$8:$C$250,'Gold - Q&amp;V'!$D$8:$D$250,CONCATENATE("20",RIGHT('FY Q&amp;V 2003-04 to Now'!AK$7,2)),'Gold - Q&amp;V'!$E$8:$E$250,2))*1000000</f>
        <v>16573760711.891901</v>
      </c>
      <c r="AM42" s="1711">
        <f>SUMIF($C$9:AL$9,1,$C42:AL42)</f>
        <v>3284262.5053230906</v>
      </c>
      <c r="AN42" s="307">
        <f>SUMIF($C$9:AL$9,0,$C42:AL42)</f>
        <v>151322018086.89191</v>
      </c>
      <c r="AP42" s="573"/>
      <c r="AQ42" s="573"/>
      <c r="AR42" s="573"/>
      <c r="AS42" s="573"/>
    </row>
    <row r="43" spans="1:46">
      <c r="A43" s="212"/>
      <c r="B43" s="207"/>
      <c r="C43" s="1294"/>
      <c r="D43" s="1295"/>
      <c r="E43" s="1294"/>
      <c r="F43" s="1295"/>
      <c r="G43" s="1294"/>
      <c r="H43" s="1295"/>
      <c r="I43" s="1294"/>
      <c r="J43" s="1295"/>
      <c r="K43" s="1294"/>
      <c r="L43" s="1295"/>
      <c r="M43" s="1294"/>
      <c r="N43" s="1295"/>
      <c r="O43" s="1294"/>
      <c r="P43" s="1295"/>
      <c r="Q43" s="1294"/>
      <c r="R43" s="1295"/>
      <c r="S43" s="1294"/>
      <c r="T43" s="1295"/>
      <c r="U43" s="1294"/>
      <c r="V43" s="1295"/>
      <c r="W43" s="1294"/>
      <c r="X43" s="1295"/>
      <c r="Y43" s="1294"/>
      <c r="Z43" s="1295"/>
      <c r="AA43" s="1294"/>
      <c r="AB43" s="1295"/>
      <c r="AC43" s="1295"/>
      <c r="AD43" s="1295"/>
      <c r="AE43" s="1296"/>
      <c r="AF43" s="1295"/>
      <c r="AG43" s="1705"/>
      <c r="AH43" s="235"/>
      <c r="AI43" s="1705"/>
      <c r="AJ43" s="235"/>
      <c r="AK43" s="235"/>
      <c r="AL43" s="235"/>
      <c r="AM43" s="1711"/>
      <c r="AN43" s="307"/>
      <c r="AP43" s="573"/>
    </row>
    <row r="44" spans="1:46">
      <c r="A44" s="365" t="s">
        <v>234</v>
      </c>
      <c r="B44" s="353" t="s">
        <v>87</v>
      </c>
      <c r="C44" s="1279">
        <v>1546182.4760000003</v>
      </c>
      <c r="D44" s="1279">
        <v>24138386.410000004</v>
      </c>
      <c r="E44" s="1279">
        <v>1407202.7169999999</v>
      </c>
      <c r="F44" s="1279">
        <v>23725373.02</v>
      </c>
      <c r="G44" s="1279">
        <v>1598511.3479999998</v>
      </c>
      <c r="H44" s="1279">
        <v>27327397.959999997</v>
      </c>
      <c r="I44" s="1279">
        <v>1552490.2009999999</v>
      </c>
      <c r="J44" s="1279">
        <v>26999655.759999998</v>
      </c>
      <c r="K44" s="1279">
        <v>1011975.09</v>
      </c>
      <c r="L44" s="1279">
        <v>16043327.220000003</v>
      </c>
      <c r="M44" s="1279">
        <v>846712.01899999997</v>
      </c>
      <c r="N44" s="1279">
        <v>16915694.149999999</v>
      </c>
      <c r="O44" s="1279">
        <v>877669.47</v>
      </c>
      <c r="P44" s="1279">
        <v>17980732.5</v>
      </c>
      <c r="Q44" s="1279">
        <v>587374.19000000006</v>
      </c>
      <c r="R44" s="1279">
        <v>10931443.359999999</v>
      </c>
      <c r="S44" s="1279">
        <v>334178.43</v>
      </c>
      <c r="T44" s="1279">
        <v>4690979.8900000006</v>
      </c>
      <c r="U44" s="1279">
        <v>1575768.9</v>
      </c>
      <c r="V44" s="1279">
        <v>7027902.5500000007</v>
      </c>
      <c r="W44" s="1279">
        <v>532919.02</v>
      </c>
      <c r="X44" s="1279">
        <v>9496857.4100000001</v>
      </c>
      <c r="Y44" s="1279">
        <v>576879.67999999993</v>
      </c>
      <c r="Z44" s="1279">
        <v>12240631.59</v>
      </c>
      <c r="AA44" s="1279">
        <v>551910</v>
      </c>
      <c r="AB44" s="1279">
        <v>13830966</v>
      </c>
      <c r="AC44" s="1279">
        <v>531399.01099999994</v>
      </c>
      <c r="AD44" s="1279">
        <v>12980852.875</v>
      </c>
      <c r="AE44" s="1291">
        <v>895501.66900000011</v>
      </c>
      <c r="AF44" s="1279">
        <v>20462106.1182</v>
      </c>
      <c r="AG44" s="1291">
        <v>770904.03999999992</v>
      </c>
      <c r="AH44" s="1279">
        <v>14496799.504999999</v>
      </c>
      <c r="AI44" s="1291">
        <v>515194.32999999996</v>
      </c>
      <c r="AJ44" s="1279">
        <v>11798020.6544</v>
      </c>
      <c r="AK44" s="1279">
        <v>781179.35499999998</v>
      </c>
      <c r="AL44" s="1279">
        <v>17748365.838200003</v>
      </c>
      <c r="AM44" s="1279">
        <f>SUMIF($C$9:AL$9,1,$C44:AL44)</f>
        <v>16493951.945999997</v>
      </c>
      <c r="AN44" s="1279">
        <f>SUMIF($C$9:AL$9,0,$C44:AL44)</f>
        <v>288835492.81079996</v>
      </c>
    </row>
    <row r="45" spans="1:46">
      <c r="A45" s="352"/>
      <c r="B45" s="353"/>
      <c r="C45" s="1178"/>
      <c r="D45" s="1178"/>
      <c r="E45" s="1178"/>
      <c r="F45" s="1178"/>
      <c r="G45" s="1178"/>
      <c r="H45" s="1178"/>
      <c r="I45" s="1178"/>
      <c r="J45" s="1178"/>
      <c r="K45" s="1178"/>
      <c r="L45" s="1178"/>
      <c r="M45" s="1178"/>
      <c r="N45" s="1178"/>
      <c r="O45" s="1178"/>
      <c r="P45" s="1178"/>
      <c r="Q45" s="1178"/>
      <c r="R45" s="1178"/>
      <c r="S45" s="1178"/>
      <c r="T45" s="1178"/>
      <c r="U45" s="1178"/>
      <c r="V45" s="1178"/>
      <c r="W45" s="1178"/>
      <c r="X45" s="1178"/>
      <c r="Y45" s="1178"/>
      <c r="Z45" s="1178"/>
      <c r="AA45" s="1178"/>
      <c r="AB45" s="1178"/>
      <c r="AC45" s="1178"/>
      <c r="AD45" s="1178"/>
      <c r="AE45" s="1293"/>
      <c r="AF45" s="1178"/>
      <c r="AG45" s="1293"/>
      <c r="AH45" s="1178"/>
      <c r="AI45" s="1293"/>
      <c r="AJ45" s="1178"/>
      <c r="AK45" s="1178"/>
      <c r="AL45" s="1178"/>
      <c r="AM45" s="1291"/>
      <c r="AN45" s="1279"/>
    </row>
    <row r="46" spans="1:46">
      <c r="A46" s="366" t="s">
        <v>460</v>
      </c>
      <c r="B46" s="244"/>
      <c r="C46" s="1262"/>
      <c r="D46" s="1299"/>
      <c r="E46" s="1262"/>
      <c r="F46" s="1299"/>
      <c r="G46" s="1262"/>
      <c r="H46" s="1299"/>
      <c r="I46" s="1262"/>
      <c r="J46" s="1299"/>
      <c r="K46" s="1262"/>
      <c r="L46" s="1299"/>
      <c r="M46" s="1262"/>
      <c r="N46" s="1299"/>
      <c r="O46" s="1262"/>
      <c r="P46" s="1299"/>
      <c r="Q46" s="1262"/>
      <c r="R46" s="1299"/>
      <c r="S46" s="1262"/>
      <c r="T46" s="1299"/>
      <c r="U46" s="1262"/>
      <c r="V46" s="1299"/>
      <c r="W46" s="1262"/>
      <c r="X46" s="1299"/>
      <c r="Y46" s="1262"/>
      <c r="Z46" s="1299"/>
      <c r="AA46" s="1262"/>
      <c r="AB46" s="1299"/>
      <c r="AC46" s="1262"/>
      <c r="AD46" s="1299"/>
      <c r="AE46" s="1298"/>
      <c r="AF46" s="1299"/>
      <c r="AG46" s="1706"/>
      <c r="AH46" s="242"/>
      <c r="AI46" s="1706"/>
      <c r="AJ46" s="242"/>
      <c r="AK46" s="242"/>
      <c r="AL46" s="242"/>
      <c r="AM46" s="1711"/>
      <c r="AN46" s="307"/>
    </row>
    <row r="47" spans="1:46">
      <c r="A47" s="367" t="s">
        <v>297</v>
      </c>
      <c r="B47" s="207" t="s">
        <v>87</v>
      </c>
      <c r="C47" s="1262">
        <v>128379.38</v>
      </c>
      <c r="D47" s="1299">
        <v>16306801.329999998</v>
      </c>
      <c r="E47" s="1262">
        <v>186667.1</v>
      </c>
      <c r="F47" s="1299">
        <v>19446761.800000001</v>
      </c>
      <c r="G47" s="1262">
        <v>278576.92000000004</v>
      </c>
      <c r="H47" s="1299">
        <v>29805653.34</v>
      </c>
      <c r="I47" s="1262">
        <v>265550.41000000003</v>
      </c>
      <c r="J47" s="1299">
        <v>31845413.109999999</v>
      </c>
      <c r="K47" s="1262">
        <v>327521</v>
      </c>
      <c r="L47" s="1299">
        <v>54414406.459999993</v>
      </c>
      <c r="M47" s="1262">
        <v>290884.25</v>
      </c>
      <c r="N47" s="1299">
        <v>52723152.800000004</v>
      </c>
      <c r="O47" s="1262">
        <v>237977.79</v>
      </c>
      <c r="P47" s="1299">
        <v>45356185</v>
      </c>
      <c r="Q47" s="1262">
        <v>226619.89</v>
      </c>
      <c r="R47" s="1299">
        <v>42689083.030000001</v>
      </c>
      <c r="S47" s="1262">
        <v>301944.67</v>
      </c>
      <c r="T47" s="1299">
        <v>59591878.449999996</v>
      </c>
      <c r="U47" s="1262">
        <v>317335.87</v>
      </c>
      <c r="V47" s="1299">
        <v>64834324.370000005</v>
      </c>
      <c r="W47" s="1262">
        <v>357266.36</v>
      </c>
      <c r="X47" s="1299">
        <v>68896503.510000005</v>
      </c>
      <c r="Y47" s="1262">
        <v>299022</v>
      </c>
      <c r="Z47" s="1299" t="s">
        <v>785</v>
      </c>
      <c r="AA47" s="1262">
        <v>251161.69</v>
      </c>
      <c r="AB47" s="1299" t="s">
        <v>785</v>
      </c>
      <c r="AC47" s="1262">
        <v>565618.23</v>
      </c>
      <c r="AD47" s="1299" t="s">
        <v>785</v>
      </c>
      <c r="AE47" s="1298">
        <v>379724.45999999996</v>
      </c>
      <c r="AF47" s="1299" t="s">
        <v>785</v>
      </c>
      <c r="AG47" s="1706">
        <v>388470.11</v>
      </c>
      <c r="AH47" s="242" t="s">
        <v>785</v>
      </c>
      <c r="AI47" s="1706">
        <v>323841.57999999996</v>
      </c>
      <c r="AJ47" s="1256" t="s">
        <v>785</v>
      </c>
      <c r="AK47" s="1256">
        <v>277047.27</v>
      </c>
      <c r="AL47" s="1256" t="s">
        <v>785</v>
      </c>
      <c r="AM47" s="1256">
        <f>SUMIF($C$9:AL$9,1,$C47:AL47)</f>
        <v>5403608.9800000004</v>
      </c>
      <c r="AN47" s="268">
        <f>SUMIF($C$9:AL$9,0,$C47:AL47)</f>
        <v>485910163.19999999</v>
      </c>
    </row>
    <row r="48" spans="1:46">
      <c r="A48" s="367" t="s">
        <v>298</v>
      </c>
      <c r="B48" s="207" t="s">
        <v>87</v>
      </c>
      <c r="C48" s="1262">
        <v>762649.24</v>
      </c>
      <c r="D48" s="1299">
        <v>100913869.98</v>
      </c>
      <c r="E48" s="1262">
        <v>706243.51</v>
      </c>
      <c r="F48" s="1299">
        <v>80513224.680000007</v>
      </c>
      <c r="G48" s="1262">
        <v>590243.99699999997</v>
      </c>
      <c r="H48" s="1299">
        <v>65897621.859999985</v>
      </c>
      <c r="I48" s="1262">
        <v>922296.30999999994</v>
      </c>
      <c r="J48" s="1299">
        <v>103354486.05000001</v>
      </c>
      <c r="K48" s="1262">
        <v>725120.17299999995</v>
      </c>
      <c r="L48" s="1299">
        <v>83744751.210000008</v>
      </c>
      <c r="M48" s="1262">
        <v>452043.91500000004</v>
      </c>
      <c r="N48" s="1299">
        <v>65165654.31000001</v>
      </c>
      <c r="O48" s="1262">
        <v>508584.15</v>
      </c>
      <c r="P48" s="1299">
        <v>68516762.780000001</v>
      </c>
      <c r="Q48" s="1262">
        <v>394033.44</v>
      </c>
      <c r="R48" s="1299">
        <v>52763228.199999996</v>
      </c>
      <c r="S48" s="1262">
        <v>332012.35000000003</v>
      </c>
      <c r="T48" s="1299">
        <v>58190544.020000003</v>
      </c>
      <c r="U48" s="1262">
        <v>270770.13</v>
      </c>
      <c r="V48" s="1299">
        <v>72680422.280000001</v>
      </c>
      <c r="W48" s="1262">
        <v>78900.359999999986</v>
      </c>
      <c r="X48" s="1299">
        <v>19515065.91</v>
      </c>
      <c r="Y48" s="1262">
        <v>99674</v>
      </c>
      <c r="Z48" s="1299">
        <v>21000789</v>
      </c>
      <c r="AA48" s="1262">
        <v>174687.28</v>
      </c>
      <c r="AB48" s="1299">
        <v>39692103</v>
      </c>
      <c r="AC48" s="1262">
        <v>178527.5</v>
      </c>
      <c r="AD48" s="1299">
        <v>42912243</v>
      </c>
      <c r="AE48" s="1298">
        <v>120227</v>
      </c>
      <c r="AF48" s="1299">
        <v>25279255</v>
      </c>
      <c r="AG48" s="1706">
        <v>234452.34999999998</v>
      </c>
      <c r="AH48" s="242">
        <v>48772986</v>
      </c>
      <c r="AI48" s="1706">
        <v>264846.37</v>
      </c>
      <c r="AJ48" s="242">
        <v>60671202</v>
      </c>
      <c r="AK48" s="242">
        <v>322113.91000000003</v>
      </c>
      <c r="AL48" s="242">
        <v>71880419</v>
      </c>
      <c r="AM48" s="1256">
        <f>SUMIF($C$9:AL$9,1,$C48:AL48)</f>
        <v>7137425.9850000003</v>
      </c>
      <c r="AN48" s="268">
        <f>SUMIF($C$9:AL$9,0,$C48:AL48)</f>
        <v>1081464628.2800002</v>
      </c>
    </row>
    <row r="49" spans="1:42">
      <c r="A49" s="367" t="s">
        <v>299</v>
      </c>
      <c r="B49" s="207" t="s">
        <v>87</v>
      </c>
      <c r="C49" s="1262">
        <v>51733.33</v>
      </c>
      <c r="D49" s="1299">
        <v>21574054.840000004</v>
      </c>
      <c r="E49" s="1262">
        <v>70729.88</v>
      </c>
      <c r="F49" s="1299">
        <v>22706700.339999996</v>
      </c>
      <c r="G49" s="1262">
        <v>77024.28</v>
      </c>
      <c r="H49" s="1299">
        <v>23947658.210000001</v>
      </c>
      <c r="I49" s="1262">
        <v>62752</v>
      </c>
      <c r="J49" s="1299">
        <v>23455267.079999998</v>
      </c>
      <c r="K49" s="1262">
        <v>82456.59</v>
      </c>
      <c r="L49" s="1299">
        <v>22072513.259999998</v>
      </c>
      <c r="M49" s="1262">
        <v>49608.289999999994</v>
      </c>
      <c r="N49" s="1299">
        <v>19224805.540000003</v>
      </c>
      <c r="O49" s="1262">
        <v>76590.94</v>
      </c>
      <c r="P49" s="1299">
        <v>24831504.810000002</v>
      </c>
      <c r="Q49" s="1262">
        <v>26029.95</v>
      </c>
      <c r="R49" s="1299">
        <v>12165130.050000003</v>
      </c>
      <c r="S49" s="1262">
        <v>22230.65</v>
      </c>
      <c r="T49" s="1299">
        <v>16691847.319999997</v>
      </c>
      <c r="U49" s="1262">
        <v>29071.34</v>
      </c>
      <c r="V49" s="1299">
        <v>31231788.140000004</v>
      </c>
      <c r="W49" s="1262">
        <v>29268.089999999997</v>
      </c>
      <c r="X49" s="1299">
        <v>26205649.59</v>
      </c>
      <c r="Y49" s="1262">
        <v>16965</v>
      </c>
      <c r="Z49" s="1299">
        <v>14636208</v>
      </c>
      <c r="AA49" s="1262">
        <v>18137.07</v>
      </c>
      <c r="AB49" s="1299">
        <v>16452584</v>
      </c>
      <c r="AC49" s="1262">
        <v>7144</v>
      </c>
      <c r="AD49" s="1299">
        <v>6492778</v>
      </c>
      <c r="AE49" s="1298">
        <v>14286.82</v>
      </c>
      <c r="AF49" s="1299">
        <v>13031604</v>
      </c>
      <c r="AG49" s="1706">
        <v>15175.675999999999</v>
      </c>
      <c r="AH49" s="242">
        <v>18209118</v>
      </c>
      <c r="AI49" s="1706">
        <v>27128.928</v>
      </c>
      <c r="AJ49" s="242">
        <v>27918452</v>
      </c>
      <c r="AK49" s="242">
        <v>19893.03</v>
      </c>
      <c r="AL49" s="242">
        <v>23729974.789999999</v>
      </c>
      <c r="AM49" s="1256">
        <f>SUMIF($C$9:AL$9,1,$C49:AL49)</f>
        <v>696225.86399999983</v>
      </c>
      <c r="AN49" s="268">
        <f>SUMIF($C$9:AL$9,0,$C49:AL49)</f>
        <v>364577637.97000003</v>
      </c>
    </row>
    <row r="50" spans="1:42">
      <c r="A50" s="367" t="s">
        <v>309</v>
      </c>
      <c r="B50" s="207" t="s">
        <v>87</v>
      </c>
      <c r="C50" s="1262">
        <v>138790.57</v>
      </c>
      <c r="D50" s="1299">
        <v>85623473.780000001</v>
      </c>
      <c r="E50" s="1262">
        <v>101708.83</v>
      </c>
      <c r="F50" s="1299">
        <v>63725523.490000002</v>
      </c>
      <c r="G50" s="1262">
        <v>89954.495999999999</v>
      </c>
      <c r="H50" s="1299">
        <v>58673948.350000001</v>
      </c>
      <c r="I50" s="1262">
        <v>108973.04999999999</v>
      </c>
      <c r="J50" s="1299">
        <v>68497752.609999999</v>
      </c>
      <c r="K50" s="1262">
        <v>95486.512000000002</v>
      </c>
      <c r="L50" s="1299">
        <v>54967974.07</v>
      </c>
      <c r="M50" s="1262">
        <v>74033.680000000008</v>
      </c>
      <c r="N50" s="1299">
        <v>53162366.980000004</v>
      </c>
      <c r="O50" s="1262">
        <v>118234.23000000001</v>
      </c>
      <c r="P50" s="1299">
        <v>77691649.189999998</v>
      </c>
      <c r="Q50" s="1262">
        <v>49744.5</v>
      </c>
      <c r="R50" s="1299">
        <v>35431242.170000002</v>
      </c>
      <c r="S50" s="1299">
        <v>38870.25</v>
      </c>
      <c r="T50" s="1299">
        <v>52250226.769999996</v>
      </c>
      <c r="U50" s="1262">
        <v>46937.54</v>
      </c>
      <c r="V50" s="1299">
        <v>80261378.810000002</v>
      </c>
      <c r="W50" s="1262">
        <v>65083.87</v>
      </c>
      <c r="X50" s="1299">
        <v>65938306.339999996</v>
      </c>
      <c r="Y50" s="1262">
        <v>30206</v>
      </c>
      <c r="Z50" s="1299">
        <v>29582184</v>
      </c>
      <c r="AA50" s="1262">
        <v>45887.87</v>
      </c>
      <c r="AB50" s="1299">
        <v>44260114</v>
      </c>
      <c r="AC50" s="1262">
        <v>21561.97</v>
      </c>
      <c r="AD50" s="1299">
        <v>21953547</v>
      </c>
      <c r="AE50" s="1298">
        <v>20596.260000000002</v>
      </c>
      <c r="AF50" s="1299">
        <v>22170174</v>
      </c>
      <c r="AG50" s="1706">
        <v>23906</v>
      </c>
      <c r="AH50" s="242">
        <v>29470430</v>
      </c>
      <c r="AI50" s="1706">
        <v>32844.61</v>
      </c>
      <c r="AJ50" s="242">
        <v>36694067</v>
      </c>
      <c r="AK50" s="242">
        <v>48548.480000000003</v>
      </c>
      <c r="AL50" s="242">
        <v>43494131.189999998</v>
      </c>
      <c r="AM50" s="1256">
        <f>SUMIF($C$9:AL$9,1,$C50:AL50)</f>
        <v>1151368.7180000001</v>
      </c>
      <c r="AN50" s="268">
        <f>SUMIF($C$9:AL$9,0,$C50:AL50)</f>
        <v>923848489.75</v>
      </c>
    </row>
    <row r="51" spans="1:42">
      <c r="A51" s="367" t="s">
        <v>300</v>
      </c>
      <c r="B51" s="207" t="s">
        <v>87</v>
      </c>
      <c r="C51" s="1262">
        <v>443699.14999999997</v>
      </c>
      <c r="D51" s="1299">
        <v>260418224.21000001</v>
      </c>
      <c r="E51" s="1262">
        <v>451205.51999999996</v>
      </c>
      <c r="F51" s="1299">
        <v>304838808.88</v>
      </c>
      <c r="G51" s="1262">
        <v>407915.73</v>
      </c>
      <c r="H51" s="1299">
        <v>354604945.01999998</v>
      </c>
      <c r="I51" s="1262">
        <v>413664.87900000002</v>
      </c>
      <c r="J51" s="1299">
        <v>336501960.62</v>
      </c>
      <c r="K51" s="1262">
        <v>283042.17300000001</v>
      </c>
      <c r="L51" s="1299">
        <v>204335099.34000003</v>
      </c>
      <c r="M51" s="1262">
        <v>264546.799</v>
      </c>
      <c r="N51" s="1299">
        <v>231446448.66</v>
      </c>
      <c r="O51" s="1262">
        <v>351957.11000000004</v>
      </c>
      <c r="P51" s="1299">
        <v>270549395.88999999</v>
      </c>
      <c r="Q51" s="1262">
        <v>298644.24900000001</v>
      </c>
      <c r="R51" s="1299">
        <v>197514000.79000002</v>
      </c>
      <c r="S51" s="1262">
        <v>180429.25300000003</v>
      </c>
      <c r="T51" s="1299">
        <v>219219648.86999995</v>
      </c>
      <c r="U51" s="1262">
        <v>215831.04599999997</v>
      </c>
      <c r="V51" s="1299">
        <v>189547781.68999997</v>
      </c>
      <c r="W51" s="1262">
        <v>212068.06899999999</v>
      </c>
      <c r="X51" s="1299">
        <v>114307404.53</v>
      </c>
      <c r="Y51" s="1262">
        <v>182859</v>
      </c>
      <c r="Z51" s="1299">
        <v>136321656</v>
      </c>
      <c r="AA51" s="1262">
        <v>191551.26534946065</v>
      </c>
      <c r="AB51" s="1299">
        <v>151297003</v>
      </c>
      <c r="AC51" s="1262">
        <v>184700.02</v>
      </c>
      <c r="AD51" s="1299">
        <v>101083491</v>
      </c>
      <c r="AE51" s="1260">
        <v>72567.17</v>
      </c>
      <c r="AF51" s="1299">
        <v>100649559</v>
      </c>
      <c r="AG51" s="1706">
        <v>140680.508</v>
      </c>
      <c r="AH51" s="242">
        <v>257581580</v>
      </c>
      <c r="AI51" s="1706">
        <v>171592.09</v>
      </c>
      <c r="AJ51" s="242">
        <v>275620889.98595721</v>
      </c>
      <c r="AK51" s="242">
        <v>221078.59</v>
      </c>
      <c r="AL51" s="242">
        <v>323860271.64999998</v>
      </c>
      <c r="AM51" s="1256">
        <f>SUMIF($C$9:AL$9,1,$C51:AL51)</f>
        <v>4688032.6213494604</v>
      </c>
      <c r="AN51" s="268">
        <f>SUMIF($C$9:AL$9,0,$C51:AL51)</f>
        <v>4029698169.1359577</v>
      </c>
    </row>
    <row r="52" spans="1:42" s="535" customFormat="1">
      <c r="A52" s="367" t="s">
        <v>657</v>
      </c>
      <c r="B52" s="207" t="s">
        <v>87</v>
      </c>
      <c r="C52" s="1262" t="s">
        <v>236</v>
      </c>
      <c r="D52" s="1299" t="s">
        <v>236</v>
      </c>
      <c r="E52" s="1262" t="s">
        <v>236</v>
      </c>
      <c r="F52" s="1299" t="s">
        <v>236</v>
      </c>
      <c r="G52" s="1262" t="s">
        <v>236</v>
      </c>
      <c r="H52" s="1299" t="s">
        <v>236</v>
      </c>
      <c r="I52" s="1262" t="s">
        <v>236</v>
      </c>
      <c r="J52" s="1299" t="s">
        <v>236</v>
      </c>
      <c r="K52" s="1262" t="s">
        <v>236</v>
      </c>
      <c r="L52" s="1299" t="s">
        <v>236</v>
      </c>
      <c r="M52" s="1262" t="s">
        <v>236</v>
      </c>
      <c r="N52" s="1299" t="s">
        <v>236</v>
      </c>
      <c r="O52" s="1262" t="s">
        <v>236</v>
      </c>
      <c r="P52" s="1299" t="s">
        <v>236</v>
      </c>
      <c r="Q52" s="1262" t="s">
        <v>236</v>
      </c>
      <c r="R52" s="1299" t="s">
        <v>236</v>
      </c>
      <c r="S52" s="1262" t="s">
        <v>236</v>
      </c>
      <c r="T52" s="1299" t="s">
        <v>236</v>
      </c>
      <c r="U52" s="1262" t="s">
        <v>236</v>
      </c>
      <c r="V52" s="1299" t="s">
        <v>236</v>
      </c>
      <c r="W52" s="1262" t="s">
        <v>236</v>
      </c>
      <c r="X52" s="1299" t="s">
        <v>236</v>
      </c>
      <c r="Y52" s="1262">
        <v>198231.56363636369</v>
      </c>
      <c r="Z52" s="1299">
        <v>215809868.26065212</v>
      </c>
      <c r="AA52" s="1262">
        <v>271220.46060606057</v>
      </c>
      <c r="AB52" s="1299">
        <v>254260587.13582832</v>
      </c>
      <c r="AC52" s="1262">
        <v>298482.04000000004</v>
      </c>
      <c r="AD52" s="1299">
        <v>252213036.04640046</v>
      </c>
      <c r="AE52" s="1260">
        <v>264426.86278787878</v>
      </c>
      <c r="AF52" s="1299">
        <v>279071092.8773964</v>
      </c>
      <c r="AG52" s="1706">
        <v>254477.81670516072</v>
      </c>
      <c r="AH52" s="242">
        <v>244256417.09164661</v>
      </c>
      <c r="AI52" s="1706">
        <v>255890.67871515156</v>
      </c>
      <c r="AJ52" s="242">
        <v>268419815</v>
      </c>
      <c r="AK52" s="242">
        <v>150631.37696969698</v>
      </c>
      <c r="AL52" s="242">
        <v>261436769.25389829</v>
      </c>
      <c r="AM52" s="1256">
        <f>SUMIF($C$9:AL$9,1,$C52:AL52)</f>
        <v>1693360.7994203123</v>
      </c>
      <c r="AN52" s="268">
        <f>SUMIF($C$9:AL$9,0,$C52:AL52)</f>
        <v>1775467585.6658223</v>
      </c>
    </row>
    <row r="53" spans="1:42">
      <c r="A53" s="367" t="s">
        <v>774</v>
      </c>
      <c r="B53" s="207" t="s">
        <v>87</v>
      </c>
      <c r="C53" s="1262"/>
      <c r="D53" s="1299">
        <v>292701469.47151518</v>
      </c>
      <c r="E53" s="1262"/>
      <c r="F53" s="1299">
        <v>317215898.49030304</v>
      </c>
      <c r="G53" s="1262"/>
      <c r="H53" s="1299">
        <v>302701422.50512731</v>
      </c>
      <c r="I53" s="1262"/>
      <c r="J53" s="1299">
        <v>281872129.454</v>
      </c>
      <c r="K53" s="1262"/>
      <c r="L53" s="1299">
        <v>257719561.2910291</v>
      </c>
      <c r="M53" s="1262"/>
      <c r="N53" s="1299">
        <v>282879838.97060996</v>
      </c>
      <c r="O53" s="1262"/>
      <c r="P53" s="1299">
        <v>177539531.95650181</v>
      </c>
      <c r="Q53" s="1262"/>
      <c r="R53" s="1299">
        <v>135619862.7269091</v>
      </c>
      <c r="S53" s="1262"/>
      <c r="T53" s="1299">
        <v>458168417.6431855</v>
      </c>
      <c r="U53" s="1262"/>
      <c r="V53" s="1299">
        <v>372123979.28436369</v>
      </c>
      <c r="W53" s="1262"/>
      <c r="X53" s="1299">
        <v>176168376.74545455</v>
      </c>
      <c r="Y53" s="1262"/>
      <c r="Z53" s="242">
        <f>Z54-SUM(Z47:Z52)</f>
        <v>53279845.671441674</v>
      </c>
      <c r="AA53" s="1298"/>
      <c r="AB53" s="242">
        <f>AB54-SUM(AB47:AB52)</f>
        <v>65585668.99999994</v>
      </c>
      <c r="AC53" s="1262"/>
      <c r="AD53" s="242">
        <f>AD54-SUM(AD47:AD52)</f>
        <v>158791842</v>
      </c>
      <c r="AE53" s="1300"/>
      <c r="AF53" s="242">
        <f>AF54-SUM(AF47:AF52)</f>
        <v>110190572.99999994</v>
      </c>
      <c r="AG53" s="1706"/>
      <c r="AH53" s="242">
        <v>116708350</v>
      </c>
      <c r="AI53" s="1706"/>
      <c r="AJ53" s="242">
        <v>4778738</v>
      </c>
      <c r="AK53" s="242"/>
      <c r="AL53" s="242">
        <v>16877606.820000052</v>
      </c>
      <c r="AM53" s="1711"/>
      <c r="AN53" s="268">
        <f>SUMIF($C$9:AL$9,0,$C53:AL53)</f>
        <v>3580923113.0304413</v>
      </c>
      <c r="AP53" s="1729"/>
    </row>
    <row r="54" spans="1:42">
      <c r="A54" s="370" t="s">
        <v>465</v>
      </c>
      <c r="B54" s="244"/>
      <c r="C54" s="1262"/>
      <c r="D54" s="1299">
        <f>(SUMIFS('Mineral Sands - Q&amp;V'!$C$8:$C$250,'Mineral Sands - Q&amp;V'!$D$8:$D$250,LEFT('FY Q&amp;V 2003-04 to Now'!C$7,4),'Mineral Sands - Q&amp;V'!$E$8:$E$250,3)+
SUMIFS('Mineral Sands - Q&amp;V'!$C$8:$C$250,'Mineral Sands - Q&amp;V'!$D$8:$D$250,LEFT('FY Q&amp;V 2003-04 to Now'!C$7,4),'Mineral Sands - Q&amp;V'!$E$8:$E$250,4)+
SUMIFS('Mineral Sands - Q&amp;V'!$C$8:$C$250,'Mineral Sands - Q&amp;V'!$D$8:$D$250,CONCATENATE("20",RIGHT('FY Q&amp;V 2003-04 to Now'!C$7,2)),'Mineral Sands - Q&amp;V'!$E$8:$E$250,1)+
SUMIFS('Mineral Sands - Q&amp;V'!$C$8:$C$250,'Mineral Sands - Q&amp;V'!$D$8:$D$250,CONCATENATE("20",RIGHT('FY Q&amp;V 2003-04 to Now'!C$7,2)),'Mineral Sands - Q&amp;V'!$E$8:$E$250,2))*1000000</f>
        <v>777537893.61151516</v>
      </c>
      <c r="E54" s="1262"/>
      <c r="F54" s="1299">
        <f>(SUMIFS('Mineral Sands - Q&amp;V'!$C$8:$C$250,'Mineral Sands - Q&amp;V'!$D$8:$D$250,LEFT('FY Q&amp;V 2003-04 to Now'!E$7,4),'Mineral Sands - Q&amp;V'!$E$8:$E$250,3)+
SUMIFS('Mineral Sands - Q&amp;V'!$C$8:$C$250,'Mineral Sands - Q&amp;V'!$D$8:$D$250,LEFT('FY Q&amp;V 2003-04 to Now'!E$7,4),'Mineral Sands - Q&amp;V'!$E$8:$E$250,4)+
SUMIFS('Mineral Sands - Q&amp;V'!$C$8:$C$250,'Mineral Sands - Q&amp;V'!$D$8:$D$250,CONCATENATE("20",RIGHT('FY Q&amp;V 2003-04 to Now'!E$7,2)),'Mineral Sands - Q&amp;V'!$E$8:$E$250,1)+
SUMIFS('Mineral Sands - Q&amp;V'!$C$8:$C$250,'Mineral Sands - Q&amp;V'!$D$8:$D$250,CONCATENATE("20",RIGHT('FY Q&amp;V 2003-04 to Now'!E$7,2)),'Mineral Sands - Q&amp;V'!$E$8:$E$250,2))*1000000</f>
        <v>808446917.6803031</v>
      </c>
      <c r="G54" s="1262"/>
      <c r="H54" s="1299">
        <f>(SUMIFS('Mineral Sands - Q&amp;V'!$C$8:$C$250,'Mineral Sands - Q&amp;V'!$D$8:$D$250,LEFT('FY Q&amp;V 2003-04 to Now'!G$7,4),'Mineral Sands - Q&amp;V'!$E$8:$E$250,3)+
SUMIFS('Mineral Sands - Q&amp;V'!$C$8:$C$250,'Mineral Sands - Q&amp;V'!$D$8:$D$250,LEFT('FY Q&amp;V 2003-04 to Now'!G$7,4),'Mineral Sands - Q&amp;V'!$E$8:$E$250,4)+
SUMIFS('Mineral Sands - Q&amp;V'!$C$8:$C$250,'Mineral Sands - Q&amp;V'!$D$8:$D$250,CONCATENATE("20",RIGHT('FY Q&amp;V 2003-04 to Now'!G$7,2)),'Mineral Sands - Q&amp;V'!$E$8:$E$250,1)+
SUMIFS('Mineral Sands - Q&amp;V'!$C$8:$C$250,'Mineral Sands - Q&amp;V'!$D$8:$D$250,CONCATENATE("20",RIGHT('FY Q&amp;V 2003-04 to Now'!G$7,2)),'Mineral Sands - Q&amp;V'!$E$8:$E$250,2))*1000000</f>
        <v>835631249.28512728</v>
      </c>
      <c r="I54" s="1262"/>
      <c r="J54" s="1299">
        <f>(SUMIFS('Mineral Sands - Q&amp;V'!$C$8:$C$250,'Mineral Sands - Q&amp;V'!$D$8:$D$250,LEFT('FY Q&amp;V 2003-04 to Now'!I$7,4),'Mineral Sands - Q&amp;V'!$E$8:$E$250,3)+
SUMIFS('Mineral Sands - Q&amp;V'!$C$8:$C$250,'Mineral Sands - Q&amp;V'!$D$8:$D$250,LEFT('FY Q&amp;V 2003-04 to Now'!I$7,4),'Mineral Sands - Q&amp;V'!$E$8:$E$250,4)+
SUMIFS('Mineral Sands - Q&amp;V'!$C$8:$C$250,'Mineral Sands - Q&amp;V'!$D$8:$D$250,CONCATENATE("20",RIGHT('FY Q&amp;V 2003-04 to Now'!I$7,2)),'Mineral Sands - Q&amp;V'!$E$8:$E$250,1)+
SUMIFS('Mineral Sands - Q&amp;V'!$C$8:$C$250,'Mineral Sands - Q&amp;V'!$D$8:$D$250,CONCATENATE("20",RIGHT('FY Q&amp;V 2003-04 to Now'!I$7,2)),'Mineral Sands - Q&amp;V'!$E$8:$E$250,2))*1000000</f>
        <v>845527008.92400002</v>
      </c>
      <c r="K54" s="1262"/>
      <c r="L54" s="1299">
        <f>(SUMIFS('Mineral Sands - Q&amp;V'!$C$8:$C$250,'Mineral Sands - Q&amp;V'!$D$8:$D$250,LEFT('FY Q&amp;V 2003-04 to Now'!K$7,4),'Mineral Sands - Q&amp;V'!$E$8:$E$250,3)+
SUMIFS('Mineral Sands - Q&amp;V'!$C$8:$C$250,'Mineral Sands - Q&amp;V'!$D$8:$D$250,LEFT('FY Q&amp;V 2003-04 to Now'!K$7,4),'Mineral Sands - Q&amp;V'!$E$8:$E$250,4)+
SUMIFS('Mineral Sands - Q&amp;V'!$C$8:$C$250,'Mineral Sands - Q&amp;V'!$D$8:$D$250,CONCATENATE("20",RIGHT('FY Q&amp;V 2003-04 to Now'!K$7,2)),'Mineral Sands - Q&amp;V'!$E$8:$E$250,1)+
SUMIFS('Mineral Sands - Q&amp;V'!$C$8:$C$250,'Mineral Sands - Q&amp;V'!$D$8:$D$250,CONCATENATE("20",RIGHT('FY Q&amp;V 2003-04 to Now'!K$7,2)),'Mineral Sands - Q&amp;V'!$E$8:$E$250,2))*1000000</f>
        <v>677254305.63102913</v>
      </c>
      <c r="M54" s="1262"/>
      <c r="N54" s="1299">
        <f>(SUMIFS('Mineral Sands - Q&amp;V'!$C$8:$C$250,'Mineral Sands - Q&amp;V'!$D$8:$D$250,LEFT('FY Q&amp;V 2003-04 to Now'!M$7,4),'Mineral Sands - Q&amp;V'!$E$8:$E$250,3)+
SUMIFS('Mineral Sands - Q&amp;V'!$C$8:$C$250,'Mineral Sands - Q&amp;V'!$D$8:$D$250,LEFT('FY Q&amp;V 2003-04 to Now'!M$7,4),'Mineral Sands - Q&amp;V'!$E$8:$E$250,4)+
SUMIFS('Mineral Sands - Q&amp;V'!$C$8:$C$250,'Mineral Sands - Q&amp;V'!$D$8:$D$250,CONCATENATE("20",RIGHT('FY Q&amp;V 2003-04 to Now'!M$7,2)),'Mineral Sands - Q&amp;V'!$E$8:$E$250,1)+
SUMIFS('Mineral Sands - Q&amp;V'!$C$8:$C$250,'Mineral Sands - Q&amp;V'!$D$8:$D$250,CONCATENATE("20",RIGHT('FY Q&amp;V 2003-04 to Now'!M$7,2)),'Mineral Sands - Q&amp;V'!$E$8:$E$250,2))*1000000</f>
        <v>704602267.2606101</v>
      </c>
      <c r="O54" s="1262"/>
      <c r="P54" s="1299">
        <f>(SUMIFS('Mineral Sands - Q&amp;V'!$C$8:$C$250,'Mineral Sands - Q&amp;V'!$D$8:$D$250,LEFT('FY Q&amp;V 2003-04 to Now'!O$7,4),'Mineral Sands - Q&amp;V'!$E$8:$E$250,3)+
SUMIFS('Mineral Sands - Q&amp;V'!$C$8:$C$250,'Mineral Sands - Q&amp;V'!$D$8:$D$250,LEFT('FY Q&amp;V 2003-04 to Now'!O$7,4),'Mineral Sands - Q&amp;V'!$E$8:$E$250,4)+
SUMIFS('Mineral Sands - Q&amp;V'!$C$8:$C$250,'Mineral Sands - Q&amp;V'!$D$8:$D$250,CONCATENATE("20",RIGHT('FY Q&amp;V 2003-04 to Now'!O$7,2)),'Mineral Sands - Q&amp;V'!$E$8:$E$250,1)+
SUMIFS('Mineral Sands - Q&amp;V'!$C$8:$C$250,'Mineral Sands - Q&amp;V'!$D$8:$D$250,CONCATENATE("20",RIGHT('FY Q&amp;V 2003-04 to Now'!O$7,2)),'Mineral Sands - Q&amp;V'!$E$8:$E$250,2))*1000000</f>
        <v>664485029.62650192</v>
      </c>
      <c r="Q54" s="1262"/>
      <c r="R54" s="1299">
        <f>(SUMIFS('Mineral Sands - Q&amp;V'!$C$8:$C$250,'Mineral Sands - Q&amp;V'!$D$8:$D$250,LEFT('FY Q&amp;V 2003-04 to Now'!Q$7,4),'Mineral Sands - Q&amp;V'!$E$8:$E$250,3)+
SUMIFS('Mineral Sands - Q&amp;V'!$C$8:$C$250,'Mineral Sands - Q&amp;V'!$D$8:$D$250,LEFT('FY Q&amp;V 2003-04 to Now'!Q$7,4),'Mineral Sands - Q&amp;V'!$E$8:$E$250,4)+
SUMIFS('Mineral Sands - Q&amp;V'!$C$8:$C$250,'Mineral Sands - Q&amp;V'!$D$8:$D$250,CONCATENATE("20",RIGHT('FY Q&amp;V 2003-04 to Now'!Q$7,2)),'Mineral Sands - Q&amp;V'!$E$8:$E$250,1)+
SUMIFS('Mineral Sands - Q&amp;V'!$C$8:$C$250,'Mineral Sands - Q&amp;V'!$D$8:$D$250,CONCATENATE("20",RIGHT('FY Q&amp;V 2003-04 to Now'!Q$7,2)),'Mineral Sands - Q&amp;V'!$E$8:$E$250,2))*1000000</f>
        <v>476182546.96690905</v>
      </c>
      <c r="S54" s="1262"/>
      <c r="T54" s="1299">
        <f>(SUMIFS('Mineral Sands - Q&amp;V'!$C$8:$C$250,'Mineral Sands - Q&amp;V'!$D$8:$D$250,LEFT('FY Q&amp;V 2003-04 to Now'!S$7,4),'Mineral Sands - Q&amp;V'!$E$8:$E$250,3)+
SUMIFS('Mineral Sands - Q&amp;V'!$C$8:$C$250,'Mineral Sands - Q&amp;V'!$D$8:$D$250,LEFT('FY Q&amp;V 2003-04 to Now'!S$7,4),'Mineral Sands - Q&amp;V'!$E$8:$E$250,4)+
SUMIFS('Mineral Sands - Q&amp;V'!$C$8:$C$250,'Mineral Sands - Q&amp;V'!$D$8:$D$250,CONCATENATE("20",RIGHT('FY Q&amp;V 2003-04 to Now'!S$7,2)),'Mineral Sands - Q&amp;V'!$E$8:$E$250,1)+
SUMIFS('Mineral Sands - Q&amp;V'!$C$8:$C$250,'Mineral Sands - Q&amp;V'!$D$8:$D$250,CONCATENATE("20",RIGHT('FY Q&amp;V 2003-04 to Now'!S$7,2)),'Mineral Sands - Q&amp;V'!$E$8:$E$250,2))*1000000</f>
        <v>864112563.07318532</v>
      </c>
      <c r="U54" s="1262"/>
      <c r="V54" s="1299">
        <f>(SUMIFS('Mineral Sands - Q&amp;V'!$C$8:$C$250,'Mineral Sands - Q&amp;V'!$D$8:$D$250,LEFT('FY Q&amp;V 2003-04 to Now'!U$7,4),'Mineral Sands - Q&amp;V'!$E$8:$E$250,3)+
SUMIFS('Mineral Sands - Q&amp;V'!$C$8:$C$250,'Mineral Sands - Q&amp;V'!$D$8:$D$250,LEFT('FY Q&amp;V 2003-04 to Now'!U$7,4),'Mineral Sands - Q&amp;V'!$E$8:$E$250,4)+
SUMIFS('Mineral Sands - Q&amp;V'!$C$8:$C$250,'Mineral Sands - Q&amp;V'!$D$8:$D$250,CONCATENATE("20",RIGHT('FY Q&amp;V 2003-04 to Now'!U$7,2)),'Mineral Sands - Q&amp;V'!$E$8:$E$250,1)+
SUMIFS('Mineral Sands - Q&amp;V'!$C$8:$C$250,'Mineral Sands - Q&amp;V'!$D$8:$D$250,CONCATENATE("20",RIGHT('FY Q&amp;V 2003-04 to Now'!U$7,2)),'Mineral Sands - Q&amp;V'!$E$8:$E$250,2))*1000000</f>
        <v>810679674.57436359</v>
      </c>
      <c r="W54" s="1262"/>
      <c r="X54" s="1299">
        <f>(SUMIFS('Mineral Sands - Q&amp;V'!$C$8:$C$250,'Mineral Sands - Q&amp;V'!$D$8:$D$250,LEFT('FY Q&amp;V 2003-04 to Now'!W$7,4),'Mineral Sands - Q&amp;V'!$E$8:$E$250,3)+
SUMIFS('Mineral Sands - Q&amp;V'!$C$8:$C$250,'Mineral Sands - Q&amp;V'!$D$8:$D$250,LEFT('FY Q&amp;V 2003-04 to Now'!W$7,4),'Mineral Sands - Q&amp;V'!$E$8:$E$250,4)+
SUMIFS('Mineral Sands - Q&amp;V'!$C$8:$C$250,'Mineral Sands - Q&amp;V'!$D$8:$D$250,CONCATENATE("20",RIGHT('FY Q&amp;V 2003-04 to Now'!W$7,2)),'Mineral Sands - Q&amp;V'!$E$8:$E$250,1)+
SUMIFS('Mineral Sands - Q&amp;V'!$C$8:$C$250,'Mineral Sands - Q&amp;V'!$D$8:$D$250,CONCATENATE("20",RIGHT('FY Q&amp;V 2003-04 to Now'!W$7,2)),'Mineral Sands - Q&amp;V'!$E$8:$E$250,2))*1000000</f>
        <v>471031306.40545458</v>
      </c>
      <c r="Y54" s="1262"/>
      <c r="Z54" s="1299">
        <f>(SUMIFS('Mineral Sands - Q&amp;V'!$C$8:$C$250,'Mineral Sands - Q&amp;V'!$D$8:$D$250,LEFT('FY Q&amp;V 2003-04 to Now'!Y$7,4),'Mineral Sands - Q&amp;V'!$E$8:$E$250,3)+
SUMIFS('Mineral Sands - Q&amp;V'!$C$8:$C$250,'Mineral Sands - Q&amp;V'!$D$8:$D$250,LEFT('FY Q&amp;V 2003-04 to Now'!Y$7,4),'Mineral Sands - Q&amp;V'!$E$8:$E$250,4)+
SUMIFS('Mineral Sands - Q&amp;V'!$C$8:$C$250,'Mineral Sands - Q&amp;V'!$D$8:$D$250,CONCATENATE("20",RIGHT('FY Q&amp;V 2003-04 to Now'!Y$7,2)),'Mineral Sands - Q&amp;V'!$E$8:$E$250,1)+
SUMIFS('Mineral Sands - Q&amp;V'!$C$8:$C$250,'Mineral Sands - Q&amp;V'!$D$8:$D$250,CONCATENATE("20",RIGHT('FY Q&amp;V 2003-04 to Now'!Y$7,2)),'Mineral Sands - Q&amp;V'!$E$8:$E$250,2))*1000000</f>
        <v>470630550.9320938</v>
      </c>
      <c r="AA54" s="1262"/>
      <c r="AB54" s="1299">
        <f>(SUMIFS('Mineral Sands - Q&amp;V'!$C$8:$C$250,'Mineral Sands - Q&amp;V'!$D$8:$D$250,LEFT('FY Q&amp;V 2003-04 to Now'!AA$7,4),'Mineral Sands - Q&amp;V'!$E$8:$E$250,3)+
SUMIFS('Mineral Sands - Q&amp;V'!$C$8:$C$250,'Mineral Sands - Q&amp;V'!$D$8:$D$250,LEFT('FY Q&amp;V 2003-04 to Now'!AA$7,4),'Mineral Sands - Q&amp;V'!$E$8:$E$250,4)+
SUMIFS('Mineral Sands - Q&amp;V'!$C$8:$C$250,'Mineral Sands - Q&amp;V'!$D$8:$D$250,CONCATENATE("20",RIGHT('FY Q&amp;V 2003-04 to Now'!AA$7,2)),'Mineral Sands - Q&amp;V'!$E$8:$E$250,1)+
SUMIFS('Mineral Sands - Q&amp;V'!$C$8:$C$250,'Mineral Sands - Q&amp;V'!$D$8:$D$250,CONCATENATE("20",RIGHT('FY Q&amp;V 2003-04 to Now'!AA$7,2)),'Mineral Sands - Q&amp;V'!$E$8:$E$250,2))*1000000</f>
        <v>571548060.13582826</v>
      </c>
      <c r="AC54" s="1262"/>
      <c r="AD54" s="1299">
        <f>(SUMIFS('Mineral Sands - Q&amp;V'!$C$8:$C$250,'Mineral Sands - Q&amp;V'!$D$8:$D$250,LEFT('FY Q&amp;V 2003-04 to Now'!AC$7,4),'Mineral Sands - Q&amp;V'!$E$8:$E$250,3)+
SUMIFS('Mineral Sands - Q&amp;V'!$C$8:$C$250,'Mineral Sands - Q&amp;V'!$D$8:$D$250,LEFT('FY Q&amp;V 2003-04 to Now'!AC$7,4),'Mineral Sands - Q&amp;V'!$E$8:$E$250,4)+
SUMIFS('Mineral Sands - Q&amp;V'!$C$8:$C$250,'Mineral Sands - Q&amp;V'!$D$8:$D$250,CONCATENATE("20",RIGHT('FY Q&amp;V 2003-04 to Now'!AC$7,2)),'Mineral Sands - Q&amp;V'!$E$8:$E$250,1)+
SUMIFS('Mineral Sands - Q&amp;V'!$C$8:$C$250,'Mineral Sands - Q&amp;V'!$D$8:$D$250,CONCATENATE("20",RIGHT('FY Q&amp;V 2003-04 to Now'!AC$7,2)),'Mineral Sands - Q&amp;V'!$E$8:$E$250,2))*1000000</f>
        <v>583446937.04640043</v>
      </c>
      <c r="AE54" s="1298"/>
      <c r="AF54" s="1299">
        <f>(SUMIFS('Mineral Sands - Q&amp;V'!$C$8:$C$250,'Mineral Sands - Q&amp;V'!$D$8:$D$250,LEFT('FY Q&amp;V 2003-04 to Now'!AE$7,4),'Mineral Sands - Q&amp;V'!$E$8:$E$250,3)+
SUMIFS('Mineral Sands - Q&amp;V'!$C$8:$C$250,'Mineral Sands - Q&amp;V'!$D$8:$D$250,LEFT('FY Q&amp;V 2003-04 to Now'!AE$7,4),'Mineral Sands - Q&amp;V'!$E$8:$E$250,4)+
SUMIFS('Mineral Sands - Q&amp;V'!$C$8:$C$250,'Mineral Sands - Q&amp;V'!$D$8:$D$250,CONCATENATE("20",RIGHT('FY Q&amp;V 2003-04 to Now'!AE$7,2)),'Mineral Sands - Q&amp;V'!$E$8:$E$250,1)+
SUMIFS('Mineral Sands - Q&amp;V'!$C$8:$C$250,'Mineral Sands - Q&amp;V'!$D$8:$D$250,CONCATENATE("20",RIGHT('FY Q&amp;V 2003-04 to Now'!AE$7,2)),'Mineral Sands - Q&amp;V'!$E$8:$E$250,2))*1000000</f>
        <v>550392257.87739635</v>
      </c>
      <c r="AG54" s="1706"/>
      <c r="AH54" s="242">
        <f>SUM(AH48:AH53)</f>
        <v>714998881.09164667</v>
      </c>
      <c r="AI54" s="1706"/>
      <c r="AJ54" s="242">
        <v>775297707.98595715</v>
      </c>
      <c r="AK54" s="242"/>
      <c r="AL54" s="1711">
        <v>824446639.70389831</v>
      </c>
      <c r="AM54" s="1711"/>
      <c r="AN54" s="268">
        <f>SUMIF($C$9:AL$9,0,$C54:AL54)</f>
        <v>12426251797.812216</v>
      </c>
      <c r="AP54" s="573"/>
    </row>
    <row r="55" spans="1:42">
      <c r="A55" s="209"/>
      <c r="B55" s="244"/>
      <c r="C55" s="1294"/>
      <c r="D55" s="1295"/>
      <c r="E55" s="1294"/>
      <c r="F55" s="1295"/>
      <c r="G55" s="1294"/>
      <c r="H55" s="1295"/>
      <c r="I55" s="1294"/>
      <c r="J55" s="1295"/>
      <c r="K55" s="1294"/>
      <c r="L55" s="1295"/>
      <c r="M55" s="1294"/>
      <c r="N55" s="1295"/>
      <c r="O55" s="1294"/>
      <c r="P55" s="1295"/>
      <c r="Q55" s="1294"/>
      <c r="R55" s="1295"/>
      <c r="S55" s="1294"/>
      <c r="T55" s="1295"/>
      <c r="U55" s="1294"/>
      <c r="V55" s="1295"/>
      <c r="W55" s="1294"/>
      <c r="X55" s="1295"/>
      <c r="Y55" s="1294"/>
      <c r="Z55" s="1295"/>
      <c r="AA55" s="1294"/>
      <c r="AB55" s="1295"/>
      <c r="AC55" s="1295"/>
      <c r="AD55" s="1295"/>
      <c r="AE55" s="1296"/>
      <c r="AF55" s="1295"/>
      <c r="AG55" s="1705"/>
      <c r="AH55" s="235"/>
      <c r="AI55" s="1705"/>
      <c r="AJ55" s="235"/>
      <c r="AK55" s="235"/>
      <c r="AL55" s="235"/>
      <c r="AM55" s="1711"/>
      <c r="AN55" s="307"/>
      <c r="AP55" s="573"/>
    </row>
    <row r="56" spans="1:42">
      <c r="A56" s="365" t="s">
        <v>247</v>
      </c>
      <c r="B56" s="361" t="s">
        <v>87</v>
      </c>
      <c r="C56" s="1279">
        <f>(SUMIFS('Iron Ore - Q&amp;V'!$D$8:$D$250,'Iron Ore - Q&amp;V'!$F$8:$F$250,LEFT('FY Q&amp;V 2003-04 to Now'!C$7:D$7,4),'Iron Ore - Q&amp;V'!$G$8:$G$250,3)+
SUMIFS('Iron Ore - Q&amp;V'!$D$8:$D$250,'Iron Ore - Q&amp;V'!$F$8:$F$250,LEFT('FY Q&amp;V 2003-04 to Now'!C$7:D$7,4),'Iron Ore - Q&amp;V'!$G$8:$G$250,4)+
SUMIFS('Iron Ore - Q&amp;V'!$D$8:$D$250,'Iron Ore - Q&amp;V'!$F$8:$F$250,CONCATENATE("20",RIGHT('FY Q&amp;V 2003-04 to Now'!C$7,2)),'Iron Ore - Q&amp;V'!$G$8:$G$250,1)+
SUMIFS('Iron Ore - Q&amp;V'!$D$8:$D$250,'Iron Ore - Q&amp;V'!$F$8:$F$250,CONCATENATE("20",RIGHT('FY Q&amp;V 2003-04 to Now'!C$7,2)),'Iron Ore - Q&amp;V'!$G$8:$G$250,2))*1000000</f>
        <v>200936683.13</v>
      </c>
      <c r="D56" s="1279">
        <f>(SUMIFS('Iron Ore - Q&amp;V'!$E$8:$E$250,'Iron Ore - Q&amp;V'!$F$8:$F$250,LEFT('FY Q&amp;V 2003-04 to Now'!C$7,4),'Iron Ore - Q&amp;V'!$G$8:$G$250,3)+
SUMIFS('Iron Ore - Q&amp;V'!$E$8:$E$250,'Iron Ore - Q&amp;V'!$F$8:$F$250,LEFT('FY Q&amp;V 2003-04 to Now'!C$7,4),'Iron Ore - Q&amp;V'!$G$8:$G$250,4)+
SUMIFS('Iron Ore - Q&amp;V'!$E$8:$E$250,'Iron Ore - Q&amp;V'!$F$8:$F$250,CONCATENATE("20",RIGHT('FY Q&amp;V 2003-04 to Now'!C$7,2)),'Iron Ore - Q&amp;V'!$G$8:$G$250,1)+
SUMIFS('Iron Ore - Q&amp;V'!$E$8:$E$250,'Iron Ore - Q&amp;V'!$F$8:$F$250,CONCATENATE("20",RIGHT('FY Q&amp;V 2003-04 to Now'!C$7,2)),'Iron Ore - Q&amp;V'!$G$8:$G$250,2))*1000000</f>
        <v>5360459976.1599998</v>
      </c>
      <c r="E56" s="1279">
        <f>(SUMIFS('Iron Ore - Q&amp;V'!$D$8:$D$250,'Iron Ore - Q&amp;V'!$F$8:$F$250,LEFT('FY Q&amp;V 2003-04 to Now'!E$7:F$7,4),'Iron Ore - Q&amp;V'!$G$8:$G$250,3)+
SUMIFS('Iron Ore - Q&amp;V'!$D$8:$D$250,'Iron Ore - Q&amp;V'!$F$8:$F$250,LEFT('FY Q&amp;V 2003-04 to Now'!E$7:F$7,4),'Iron Ore - Q&amp;V'!$G$8:$G$250,4)+
SUMIFS('Iron Ore - Q&amp;V'!$D$8:$D$250,'Iron Ore - Q&amp;V'!$F$8:$F$250,CONCATENATE("20",RIGHT('FY Q&amp;V 2003-04 to Now'!E$7,2)),'Iron Ore - Q&amp;V'!$G$8:$G$250,1)+
SUMIFS('Iron Ore - Q&amp;V'!$D$8:$D$250,'Iron Ore - Q&amp;V'!$F$8:$F$250,CONCATENATE("20",RIGHT('FY Q&amp;V 2003-04 to Now'!E$7,2)),'Iron Ore - Q&amp;V'!$G$8:$G$250,2))*1000000</f>
        <v>230114648.62</v>
      </c>
      <c r="F56" s="1279">
        <f>(SUMIFS('Iron Ore - Q&amp;V'!$E$8:$E$250,'Iron Ore - Q&amp;V'!$F$8:$F$250,LEFT('FY Q&amp;V 2003-04 to Now'!E$7,4),'Iron Ore - Q&amp;V'!$G$8:$G$250,3)+
SUMIFS('Iron Ore - Q&amp;V'!$E$8:$E$250,'Iron Ore - Q&amp;V'!$F$8:$F$250,LEFT('FY Q&amp;V 2003-04 to Now'!E$7,4),'Iron Ore - Q&amp;V'!$G$8:$G$250,4)+
SUMIFS('Iron Ore - Q&amp;V'!$E$8:$E$250,'Iron Ore - Q&amp;V'!$F$8:$F$250,CONCATENATE("20",RIGHT('FY Q&amp;V 2003-04 to Now'!E$7,2)),'Iron Ore - Q&amp;V'!$G$8:$G$250,1)+
SUMIFS('Iron Ore - Q&amp;V'!$E$8:$E$250,'Iron Ore - Q&amp;V'!$F$8:$F$250,CONCATENATE("20",RIGHT('FY Q&amp;V 2003-04 to Now'!E$7,2)),'Iron Ore - Q&amp;V'!$G$8:$G$250,2))*1000000</f>
        <v>8287180143.1499987</v>
      </c>
      <c r="G56" s="1279">
        <f>(SUMIFS('Iron Ore - Q&amp;V'!$D$8:$D$250,'Iron Ore - Q&amp;V'!$F$8:$F$250,LEFT('FY Q&amp;V 2003-04 to Now'!G$7:H$7,4),'Iron Ore - Q&amp;V'!$G$8:$G$250,3)+
SUMIFS('Iron Ore - Q&amp;V'!$D$8:$D$250,'Iron Ore - Q&amp;V'!$F$8:$F$250,LEFT('FY Q&amp;V 2003-04 to Now'!G$7:H$7,4),'Iron Ore - Q&amp;V'!$G$8:$G$250,4)+
SUMIFS('Iron Ore - Q&amp;V'!$D$8:$D$250,'Iron Ore - Q&amp;V'!$F$8:$F$250,CONCATENATE("20",RIGHT('FY Q&amp;V 2003-04 to Now'!G$7,2)),'Iron Ore - Q&amp;V'!$G$8:$G$250,1)+
SUMIFS('Iron Ore - Q&amp;V'!$D$8:$D$250,'Iron Ore - Q&amp;V'!$F$8:$F$250,CONCATENATE("20",RIGHT('FY Q&amp;V 2003-04 to Now'!G$7,2)),'Iron Ore - Q&amp;V'!$G$8:$G$250,2))*1000000</f>
        <v>240568391.38800001</v>
      </c>
      <c r="H56" s="1279">
        <f>(SUMIFS('Iron Ore - Q&amp;V'!$E$8:$E$250,'Iron Ore - Q&amp;V'!$F$8:$F$250,LEFT('FY Q&amp;V 2003-04 to Now'!G$7,4),'Iron Ore - Q&amp;V'!$G$8:$G$250,3)+
SUMIFS('Iron Ore - Q&amp;V'!$E$8:$E$250,'Iron Ore - Q&amp;V'!$F$8:$F$250,LEFT('FY Q&amp;V 2003-04 to Now'!G$7,4),'Iron Ore - Q&amp;V'!$G$8:$G$250,4)+
SUMIFS('Iron Ore - Q&amp;V'!$E$8:$E$250,'Iron Ore - Q&amp;V'!$F$8:$F$250,CONCATENATE("20",RIGHT('FY Q&amp;V 2003-04 to Now'!G$7,2)),'Iron Ore - Q&amp;V'!$G$8:$G$250,1)+
SUMIFS('Iron Ore - Q&amp;V'!$E$8:$E$250,'Iron Ore - Q&amp;V'!$F$8:$F$250,CONCATENATE("20",RIGHT('FY Q&amp;V 2003-04 to Now'!G$7,2)),'Iron Ore - Q&amp;V'!$G$8:$G$250,2))*1000000</f>
        <v>13040826036.820002</v>
      </c>
      <c r="I56" s="1279">
        <f>(SUMIFS('Iron Ore - Q&amp;V'!$D$8:$D$250,'Iron Ore - Q&amp;V'!$F$8:$F$250,LEFT('FY Q&amp;V 2003-04 to Now'!I$7:J$7,4),'Iron Ore - Q&amp;V'!$G$8:$G$250,3)+
SUMIFS('Iron Ore - Q&amp;V'!$D$8:$D$250,'Iron Ore - Q&amp;V'!$F$8:$F$250,LEFT('FY Q&amp;V 2003-04 to Now'!I$7:J$7,4),'Iron Ore - Q&amp;V'!$G$8:$G$250,4)+
SUMIFS('Iron Ore - Q&amp;V'!$D$8:$D$250,'Iron Ore - Q&amp;V'!$F$8:$F$250,CONCATENATE("20",RIGHT('FY Q&amp;V 2003-04 to Now'!I$7,2)),'Iron Ore - Q&amp;V'!$G$8:$G$250,1)+
SUMIFS('Iron Ore - Q&amp;V'!$D$8:$D$250,'Iron Ore - Q&amp;V'!$F$8:$F$250,CONCATENATE("20",RIGHT('FY Q&amp;V 2003-04 to Now'!I$7,2)),'Iron Ore - Q&amp;V'!$G$8:$G$250,2))*1000000</f>
        <v>258996921.59300002</v>
      </c>
      <c r="J56" s="1279">
        <f>(SUMIFS('Iron Ore - Q&amp;V'!$E$8:$E$250,'Iron Ore - Q&amp;V'!$F$8:$F$250,LEFT('FY Q&amp;V 2003-04 to Now'!I$7,4),'Iron Ore - Q&amp;V'!$G$8:$G$250,3)+
SUMIFS('Iron Ore - Q&amp;V'!$E$8:$E$250,'Iron Ore - Q&amp;V'!$F$8:$F$250,LEFT('FY Q&amp;V 2003-04 to Now'!I$7,4),'Iron Ore - Q&amp;V'!$G$8:$G$250,4)+
SUMIFS('Iron Ore - Q&amp;V'!$E$8:$E$250,'Iron Ore - Q&amp;V'!$F$8:$F$250,CONCATENATE("20",RIGHT('FY Q&amp;V 2003-04 to Now'!I$7,2)),'Iron Ore - Q&amp;V'!$G$8:$G$250,1)+
SUMIFS('Iron Ore - Q&amp;V'!$E$8:$E$250,'Iron Ore - Q&amp;V'!$F$8:$F$250,CONCATENATE("20",RIGHT('FY Q&amp;V 2003-04 to Now'!I$7,2)),'Iron Ore - Q&amp;V'!$G$8:$G$250,2))*1000000</f>
        <v>15779191450.360001</v>
      </c>
      <c r="K56" s="1279">
        <f>(SUMIFS('Iron Ore - Q&amp;V'!$D$8:$D$250,'Iron Ore - Q&amp;V'!$F$8:$F$250,LEFT('FY Q&amp;V 2003-04 to Now'!K$7:L$7,4),'Iron Ore - Q&amp;V'!$G$8:$G$250,3)+
SUMIFS('Iron Ore - Q&amp;V'!$D$8:$D$250,'Iron Ore - Q&amp;V'!$F$8:$F$250,LEFT('FY Q&amp;V 2003-04 to Now'!K$7:L$7,4),'Iron Ore - Q&amp;V'!$G$8:$G$250,4)+
SUMIFS('Iron Ore - Q&amp;V'!$D$8:$D$250,'Iron Ore - Q&amp;V'!$F$8:$F$250,CONCATENATE("20",RIGHT('FY Q&amp;V 2003-04 to Now'!K$7,2)),'Iron Ore - Q&amp;V'!$G$8:$G$250,1)+
SUMIFS('Iron Ore - Q&amp;V'!$D$8:$D$250,'Iron Ore - Q&amp;V'!$F$8:$F$250,CONCATENATE("20",RIGHT('FY Q&amp;V 2003-04 to Now'!K$7,2)),'Iron Ore - Q&amp;V'!$G$8:$G$250,2))*1000000</f>
        <v>291166115.31199998</v>
      </c>
      <c r="L56" s="1279">
        <f>(SUMIFS('Iron Ore - Q&amp;V'!$E$8:$E$250,'Iron Ore - Q&amp;V'!$F$8:$F$250,LEFT('FY Q&amp;V 2003-04 to Now'!K$7,4),'Iron Ore - Q&amp;V'!$G$8:$G$250,3)+
SUMIFS('Iron Ore - Q&amp;V'!$E$8:$E$250,'Iron Ore - Q&amp;V'!$F$8:$F$250,LEFT('FY Q&amp;V 2003-04 to Now'!K$7,4),'Iron Ore - Q&amp;V'!$G$8:$G$250,4)+
SUMIFS('Iron Ore - Q&amp;V'!$E$8:$E$250,'Iron Ore - Q&amp;V'!$F$8:$F$250,CONCATENATE("20",RIGHT('FY Q&amp;V 2003-04 to Now'!K$7,2)),'Iron Ore - Q&amp;V'!$G$8:$G$250,1)+
SUMIFS('Iron Ore - Q&amp;V'!$E$8:$E$250,'Iron Ore - Q&amp;V'!$F$8:$F$250,CONCATENATE("20",RIGHT('FY Q&amp;V 2003-04 to Now'!K$7,2)),'Iron Ore - Q&amp;V'!$G$8:$G$250,2))*1000000</f>
        <v>21960406709.939999</v>
      </c>
      <c r="M56" s="1279">
        <f>(SUMIFS('Iron Ore - Q&amp;V'!$D$8:$D$250,'Iron Ore - Q&amp;V'!$F$8:$F$250,LEFT('FY Q&amp;V 2003-04 to Now'!M$7:N$7,4),'Iron Ore - Q&amp;V'!$G$8:$G$250,3)+
SUMIFS('Iron Ore - Q&amp;V'!$D$8:$D$250,'Iron Ore - Q&amp;V'!$F$8:$F$250,LEFT('FY Q&amp;V 2003-04 to Now'!M$7:N$7,4),'Iron Ore - Q&amp;V'!$G$8:$G$250,4)+
SUMIFS('Iron Ore - Q&amp;V'!$D$8:$D$250,'Iron Ore - Q&amp;V'!$F$8:$F$250,CONCATENATE("20",RIGHT('FY Q&amp;V 2003-04 to Now'!M$7,2)),'Iron Ore - Q&amp;V'!$G$8:$G$250,1)+
SUMIFS('Iron Ore - Q&amp;V'!$D$8:$D$250,'Iron Ore - Q&amp;V'!$F$8:$F$250,CONCATENATE("20",RIGHT('FY Q&amp;V 2003-04 to Now'!M$7,2)),'Iron Ore - Q&amp;V'!$G$8:$G$250,2))*1000000</f>
        <v>316545932.79799998</v>
      </c>
      <c r="N56" s="1279">
        <f>(SUMIFS('Iron Ore - Q&amp;V'!$E$8:$E$250,'Iron Ore - Q&amp;V'!$F$8:$F$250,LEFT('FY Q&amp;V 2003-04 to Now'!M$7,4),'Iron Ore - Q&amp;V'!$G$8:$G$250,3)+
SUMIFS('Iron Ore - Q&amp;V'!$E$8:$E$250,'Iron Ore - Q&amp;V'!$F$8:$F$250,LEFT('FY Q&amp;V 2003-04 to Now'!M$7,4),'Iron Ore - Q&amp;V'!$G$8:$G$250,4)+
SUMIFS('Iron Ore - Q&amp;V'!$E$8:$E$250,'Iron Ore - Q&amp;V'!$F$8:$F$250,CONCATENATE("20",RIGHT('FY Q&amp;V 2003-04 to Now'!M$7,2)),'Iron Ore - Q&amp;V'!$G$8:$G$250,1)+
SUMIFS('Iron Ore - Q&amp;V'!$E$8:$E$250,'Iron Ore - Q&amp;V'!$F$8:$F$250,CONCATENATE("20",RIGHT('FY Q&amp;V 2003-04 to Now'!M$7,2)),'Iron Ore - Q&amp;V'!$G$8:$G$250,2))*1000000</f>
        <v>33621877296.689999</v>
      </c>
      <c r="O56" s="1279">
        <f>(SUMIFS('Iron Ore - Q&amp;V'!$D$8:$D$250,'Iron Ore - Q&amp;V'!$F$8:$F$250,LEFT('FY Q&amp;V 2003-04 to Now'!O$7:P$7,4),'Iron Ore - Q&amp;V'!$G$8:$G$250,3)+
SUMIFS('Iron Ore - Q&amp;V'!$D$8:$D$250,'Iron Ore - Q&amp;V'!$F$8:$F$250,LEFT('FY Q&amp;V 2003-04 to Now'!O$7:P$7,4),'Iron Ore - Q&amp;V'!$G$8:$G$250,4)+
SUMIFS('Iron Ore - Q&amp;V'!$D$8:$D$250,'Iron Ore - Q&amp;V'!$F$8:$F$250,CONCATENATE("20",RIGHT('FY Q&amp;V 2003-04 to Now'!O$7,2)),'Iron Ore - Q&amp;V'!$G$8:$G$250,1)+
SUMIFS('Iron Ore - Q&amp;V'!$D$8:$D$250,'Iron Ore - Q&amp;V'!$F$8:$F$250,CONCATENATE("20",RIGHT('FY Q&amp;V 2003-04 to Now'!O$7,2)),'Iron Ore - Q&amp;V'!$G$8:$G$250,2))*1000000</f>
        <v>384964867.80599999</v>
      </c>
      <c r="P56" s="1279">
        <f>(SUMIFS('Iron Ore - Q&amp;V'!$E$8:$E$250,'Iron Ore - Q&amp;V'!$F$8:$F$250,LEFT('FY Q&amp;V 2003-04 to Now'!O$7,4),'Iron Ore - Q&amp;V'!$G$8:$G$250,3)+
SUMIFS('Iron Ore - Q&amp;V'!$E$8:$E$250,'Iron Ore - Q&amp;V'!$F$8:$F$250,LEFT('FY Q&amp;V 2003-04 to Now'!O$7,4),'Iron Ore - Q&amp;V'!$G$8:$G$250,4)+
SUMIFS('Iron Ore - Q&amp;V'!$E$8:$E$250,'Iron Ore - Q&amp;V'!$F$8:$F$250,CONCATENATE("20",RIGHT('FY Q&amp;V 2003-04 to Now'!O$7,2)),'Iron Ore - Q&amp;V'!$G$8:$G$250,1)+
SUMIFS('Iron Ore - Q&amp;V'!$E$8:$E$250,'Iron Ore - Q&amp;V'!$F$8:$F$250,CONCATENATE("20",RIGHT('FY Q&amp;V 2003-04 to Now'!O$7,2)),'Iron Ore - Q&amp;V'!$G$8:$G$250,2))*1000000</f>
        <v>35214420583.349998</v>
      </c>
      <c r="Q56" s="1279">
        <f>(SUMIFS('Iron Ore - Q&amp;V'!$D$8:$D$250,'Iron Ore - Q&amp;V'!$F$8:$F$250,LEFT('FY Q&amp;V 2003-04 to Now'!Q$7:R$7,4),'Iron Ore - Q&amp;V'!$G$8:$G$250,3)+
SUMIFS('Iron Ore - Q&amp;V'!$D$8:$D$250,'Iron Ore - Q&amp;V'!$F$8:$F$250,LEFT('FY Q&amp;V 2003-04 to Now'!Q$7:R$7,4),'Iron Ore - Q&amp;V'!$G$8:$G$250,4)+
SUMIFS('Iron Ore - Q&amp;V'!$D$8:$D$250,'Iron Ore - Q&amp;V'!$F$8:$F$250,CONCATENATE("20",RIGHT('FY Q&amp;V 2003-04 to Now'!Q$7,2)),'Iron Ore - Q&amp;V'!$G$8:$G$250,1)+
SUMIFS('Iron Ore - Q&amp;V'!$D$8:$D$250,'Iron Ore - Q&amp;V'!$F$8:$F$250,CONCATENATE("20",RIGHT('FY Q&amp;V 2003-04 to Now'!Q$7,2)),'Iron Ore - Q&amp;V'!$G$8:$G$250,2))*1000000</f>
        <v>397604213.46799999</v>
      </c>
      <c r="R56" s="1279">
        <f>(SUMIFS('Iron Ore - Q&amp;V'!$E$8:$E$250,'Iron Ore - Q&amp;V'!$F$8:$F$250,LEFT('FY Q&amp;V 2003-04 to Now'!Q$7,4),'Iron Ore - Q&amp;V'!$G$8:$G$250,3)+
SUMIFS('Iron Ore - Q&amp;V'!$E$8:$E$250,'Iron Ore - Q&amp;V'!$F$8:$F$250,LEFT('FY Q&amp;V 2003-04 to Now'!Q$7,4),'Iron Ore - Q&amp;V'!$G$8:$G$250,4)+
SUMIFS('Iron Ore - Q&amp;V'!$E$8:$E$250,'Iron Ore - Q&amp;V'!$F$8:$F$250,CONCATENATE("20",RIGHT('FY Q&amp;V 2003-04 to Now'!Q$7,2)),'Iron Ore - Q&amp;V'!$G$8:$G$250,1)+
SUMIFS('Iron Ore - Q&amp;V'!$E$8:$E$250,'Iron Ore - Q&amp;V'!$F$8:$F$250,CONCATENATE("20",RIGHT('FY Q&amp;V 2003-04 to Now'!Q$7,2)),'Iron Ore - Q&amp;V'!$G$8:$G$250,2))*1000000</f>
        <v>57533101328.700005</v>
      </c>
      <c r="S56" s="1279">
        <f>(SUMIFS('Iron Ore - Q&amp;V'!$D$8:$D$250,'Iron Ore - Q&amp;V'!$F$8:$F$250,LEFT('FY Q&amp;V 2003-04 to Now'!S$7:T$7,4),'Iron Ore - Q&amp;V'!$G$8:$G$250,3)+
SUMIFS('Iron Ore - Q&amp;V'!$D$8:$D$250,'Iron Ore - Q&amp;V'!$F$8:$F$250,LEFT('FY Q&amp;V 2003-04 to Now'!S$7:T$7,4),'Iron Ore - Q&amp;V'!$G$8:$G$250,4)+
SUMIFS('Iron Ore - Q&amp;V'!$D$8:$D$250,'Iron Ore - Q&amp;V'!$F$8:$F$250,CONCATENATE("20",RIGHT('FY Q&amp;V 2003-04 to Now'!S$7,2)),'Iron Ore - Q&amp;V'!$G$8:$G$250,1)+
SUMIFS('Iron Ore - Q&amp;V'!$D$8:$D$250,'Iron Ore - Q&amp;V'!$F$8:$F$250,CONCATENATE("20",RIGHT('FY Q&amp;V 2003-04 to Now'!S$7,2)),'Iron Ore - Q&amp;V'!$G$8:$G$250,2))*1000000</f>
        <v>454385063.56699997</v>
      </c>
      <c r="T56" s="1279">
        <f>(SUMIFS('Iron Ore - Q&amp;V'!$E$8:$E$250,'Iron Ore - Q&amp;V'!$F$8:$F$250,LEFT('FY Q&amp;V 2003-04 to Now'!S$7,4),'Iron Ore - Q&amp;V'!$G$8:$G$250,3)+
SUMIFS('Iron Ore - Q&amp;V'!$E$8:$E$250,'Iron Ore - Q&amp;V'!$F$8:$F$250,LEFT('FY Q&amp;V 2003-04 to Now'!S$7,4),'Iron Ore - Q&amp;V'!$G$8:$G$250,4)+
SUMIFS('Iron Ore - Q&amp;V'!$E$8:$E$250,'Iron Ore - Q&amp;V'!$F$8:$F$250,CONCATENATE("20",RIGHT('FY Q&amp;V 2003-04 to Now'!S$7,2)),'Iron Ore - Q&amp;V'!$G$8:$G$250,1)+
SUMIFS('Iron Ore - Q&amp;V'!$E$8:$E$250,'Iron Ore - Q&amp;V'!$F$8:$F$250,CONCATENATE("20",RIGHT('FY Q&amp;V 2003-04 to Now'!S$7,2)),'Iron Ore - Q&amp;V'!$G$8:$G$250,2))*1000000</f>
        <v>60972726991.370003</v>
      </c>
      <c r="U56" s="1279">
        <f>(SUMIFS('Iron Ore - Q&amp;V'!$D$8:$D$250,'Iron Ore - Q&amp;V'!$F$8:$F$250,LEFT('FY Q&amp;V 2003-04 to Now'!U$7:V$7,4),'Iron Ore - Q&amp;V'!$G$8:$G$250,3)+
SUMIFS('Iron Ore - Q&amp;V'!$D$8:$D$250,'Iron Ore - Q&amp;V'!$F$8:$F$250,LEFT('FY Q&amp;V 2003-04 to Now'!U$7:V$7,4),'Iron Ore - Q&amp;V'!$G$8:$G$250,4)+
SUMIFS('Iron Ore - Q&amp;V'!$D$8:$D$250,'Iron Ore - Q&amp;V'!$F$8:$F$250,CONCATENATE("20",RIGHT('FY Q&amp;V 2003-04 to Now'!U$7,2)),'Iron Ore - Q&amp;V'!$G$8:$G$250,1)+
SUMIFS('Iron Ore - Q&amp;V'!$D$8:$D$250,'Iron Ore - Q&amp;V'!$F$8:$F$250,CONCATENATE("20",RIGHT('FY Q&amp;V 2003-04 to Now'!U$7,2)),'Iron Ore - Q&amp;V'!$G$8:$G$250,2))*1000000</f>
        <v>511760416.48500001</v>
      </c>
      <c r="V56" s="1279">
        <f>(SUMIFS('Iron Ore - Q&amp;V'!$E$8:$E$250,'Iron Ore - Q&amp;V'!$F$8:$F$250,LEFT('FY Q&amp;V 2003-04 to Now'!U$7,4),'Iron Ore - Q&amp;V'!$G$8:$G$250,3)+
SUMIFS('Iron Ore - Q&amp;V'!$E$8:$E$250,'Iron Ore - Q&amp;V'!$F$8:$F$250,LEFT('FY Q&amp;V 2003-04 to Now'!U$7,4),'Iron Ore - Q&amp;V'!$G$8:$G$250,4)+
SUMIFS('Iron Ore - Q&amp;V'!$E$8:$E$250,'Iron Ore - Q&amp;V'!$F$8:$F$250,CONCATENATE("20",RIGHT('FY Q&amp;V 2003-04 to Now'!U$7,2)),'Iron Ore - Q&amp;V'!$G$8:$G$250,1)+
SUMIFS('Iron Ore - Q&amp;V'!$E$8:$E$250,'Iron Ore - Q&amp;V'!$F$8:$F$250,CONCATENATE("20",RIGHT('FY Q&amp;V 2003-04 to Now'!U$7,2)),'Iron Ore - Q&amp;V'!$G$8:$G$250,2))*1000000</f>
        <v>56204322877.489998</v>
      </c>
      <c r="W56" s="1279">
        <f>(SUMIFS('Iron Ore - Q&amp;V'!$D$8:$D$250,'Iron Ore - Q&amp;V'!$F$8:$F$250,LEFT('FY Q&amp;V 2003-04 to Now'!W$7:X$7,4),'Iron Ore - Q&amp;V'!$G$8:$G$250,3)+
SUMIFS('Iron Ore - Q&amp;V'!$D$8:$D$250,'Iron Ore - Q&amp;V'!$F$8:$F$250,LEFT('FY Q&amp;V 2003-04 to Now'!W$7:X$7,4),'Iron Ore - Q&amp;V'!$G$8:$G$250,4)+
SUMIFS('Iron Ore - Q&amp;V'!$D$8:$D$250,'Iron Ore - Q&amp;V'!$F$8:$F$250,CONCATENATE("20",RIGHT('FY Q&amp;V 2003-04 to Now'!W$7,2)),'Iron Ore - Q&amp;V'!$G$8:$G$250,1)+
SUMIFS('Iron Ore - Q&amp;V'!$D$8:$D$250,'Iron Ore - Q&amp;V'!$F$8:$F$250,CONCATENATE("20",RIGHT('FY Q&amp;V 2003-04 to Now'!W$7,2)),'Iron Ore - Q&amp;V'!$G$8:$G$250,2))*1000000</f>
        <v>623507314.77399993</v>
      </c>
      <c r="X56" s="1279">
        <f>(SUMIFS('Iron Ore - Q&amp;V'!$E$8:$E$250,'Iron Ore - Q&amp;V'!$F$8:$F$250,LEFT('FY Q&amp;V 2003-04 to Now'!W$7,4),'Iron Ore - Q&amp;V'!$G$8:$G$250,3)+
SUMIFS('Iron Ore - Q&amp;V'!$E$8:$E$250,'Iron Ore - Q&amp;V'!$F$8:$F$250,LEFT('FY Q&amp;V 2003-04 to Now'!W$7,4),'Iron Ore - Q&amp;V'!$G$8:$G$250,4)+
SUMIFS('Iron Ore - Q&amp;V'!$E$8:$E$250,'Iron Ore - Q&amp;V'!$F$8:$F$250,CONCATENATE("20",RIGHT('FY Q&amp;V 2003-04 to Now'!W$7,2)),'Iron Ore - Q&amp;V'!$G$8:$G$250,1)+
SUMIFS('Iron Ore - Q&amp;V'!$E$8:$E$250,'Iron Ore - Q&amp;V'!$F$8:$F$250,CONCATENATE("20",RIGHT('FY Q&amp;V 2003-04 to Now'!W$7,2)),'Iron Ore - Q&amp;V'!$G$8:$G$250,2))*1000000</f>
        <v>75165715685.289993</v>
      </c>
      <c r="Y56" s="1279">
        <f>(SUMIFS('Iron Ore - Q&amp;V'!$D$8:$D$250,'Iron Ore - Q&amp;V'!$F$8:$F$250,LEFT('FY Q&amp;V 2003-04 to Now'!Y$7:Z$7,4),'Iron Ore - Q&amp;V'!$G$8:$G$250,3)+
SUMIFS('Iron Ore - Q&amp;V'!$D$8:$D$250,'Iron Ore - Q&amp;V'!$F$8:$F$250,LEFT('FY Q&amp;V 2003-04 to Now'!Y$7:Z$7,4),'Iron Ore - Q&amp;V'!$G$8:$G$250,4)+
SUMIFS('Iron Ore - Q&amp;V'!$D$8:$D$250,'Iron Ore - Q&amp;V'!$F$8:$F$250,CONCATENATE("20",RIGHT('FY Q&amp;V 2003-04 to Now'!Y$7,2)),'Iron Ore - Q&amp;V'!$G$8:$G$250,1)+
SUMIFS('Iron Ore - Q&amp;V'!$D$8:$D$250,'Iron Ore - Q&amp;V'!$F$8:$F$250,CONCATENATE("20",RIGHT('FY Q&amp;V 2003-04 to Now'!Y$7,2)),'Iron Ore - Q&amp;V'!$G$8:$G$250,2))*1000000</f>
        <v>718806407.94700003</v>
      </c>
      <c r="Z56" s="1279">
        <f>(SUMIFS('Iron Ore - Q&amp;V'!$E$8:$E$250,'Iron Ore - Q&amp;V'!$F$8:$F$250,LEFT('FY Q&amp;V 2003-04 to Now'!Y$7,4),'Iron Ore - Q&amp;V'!$G$8:$G$250,3)+
SUMIFS('Iron Ore - Q&amp;V'!$E$8:$E$250,'Iron Ore - Q&amp;V'!$F$8:$F$250,LEFT('FY Q&amp;V 2003-04 to Now'!Y$7,4),'Iron Ore - Q&amp;V'!$G$8:$G$250,4)+
SUMIFS('Iron Ore - Q&amp;V'!$E$8:$E$250,'Iron Ore - Q&amp;V'!$F$8:$F$250,CONCATENATE("20",RIGHT('FY Q&amp;V 2003-04 to Now'!Y$7,2)),'Iron Ore - Q&amp;V'!$G$8:$G$250,1)+
SUMIFS('Iron Ore - Q&amp;V'!$E$8:$E$250,'Iron Ore - Q&amp;V'!$F$8:$F$250,CONCATENATE("20",RIGHT('FY Q&amp;V 2003-04 to Now'!Y$7,2)),'Iron Ore - Q&amp;V'!$G$8:$G$250,2))*1000000</f>
        <v>54375667290</v>
      </c>
      <c r="AA56" s="1279">
        <f>(SUMIFS('Iron Ore - Q&amp;V'!$D$8:$D$250,'Iron Ore - Q&amp;V'!$F$8:$F$250,LEFT('FY Q&amp;V 2003-04 to Now'!AA$7:AB$7,4),'Iron Ore - Q&amp;V'!$G$8:$G$250,3)+
SUMIFS('Iron Ore - Q&amp;V'!$D$8:$D$250,'Iron Ore - Q&amp;V'!$F$8:$F$250,LEFT('FY Q&amp;V 2003-04 to Now'!AA$7:AB$7,4),'Iron Ore - Q&amp;V'!$G$8:$G$250,4)+
SUMIFS('Iron Ore - Q&amp;V'!$D$8:$D$250,'Iron Ore - Q&amp;V'!$F$8:$F$250,CONCATENATE("20",RIGHT('FY Q&amp;V 2003-04 to Now'!AA$7,2)),'Iron Ore - Q&amp;V'!$G$8:$G$250,1)+
SUMIFS('Iron Ore - Q&amp;V'!$D$8:$D$250,'Iron Ore - Q&amp;V'!$F$8:$F$250,CONCATENATE("20",RIGHT('FY Q&amp;V 2003-04 to Now'!AA$7,2)),'Iron Ore - Q&amp;V'!$G$8:$G$250,2))*1000000</f>
        <v>748100420.95899999</v>
      </c>
      <c r="AB56" s="1279">
        <f>(SUMIFS('Iron Ore - Q&amp;V'!$E$8:$E$250,'Iron Ore - Q&amp;V'!$F$8:$F$250,LEFT('FY Q&amp;V 2003-04 to Now'!AA$7,4),'Iron Ore - Q&amp;V'!$G$8:$G$250,3)+
SUMIFS('Iron Ore - Q&amp;V'!$E$8:$E$250,'Iron Ore - Q&amp;V'!$F$8:$F$250,LEFT('FY Q&amp;V 2003-04 to Now'!AA$7,4),'Iron Ore - Q&amp;V'!$G$8:$G$250,4)+
SUMIFS('Iron Ore - Q&amp;V'!$E$8:$E$250,'Iron Ore - Q&amp;V'!$F$8:$F$250,CONCATENATE("20",RIGHT('FY Q&amp;V 2003-04 to Now'!AA$7,2)),'Iron Ore - Q&amp;V'!$G$8:$G$250,1)+
SUMIFS('Iron Ore - Q&amp;V'!$E$8:$E$250,'Iron Ore - Q&amp;V'!$F$8:$F$250,CONCATENATE("20",RIGHT('FY Q&amp;V 2003-04 to Now'!AA$7,2)),'Iron Ore - Q&amp;V'!$G$8:$G$250,2))*1000000</f>
        <v>48767746598</v>
      </c>
      <c r="AC56" s="1291">
        <f>(SUMIFS('Iron Ore - Q&amp;V'!$D$8:$D$250,'Iron Ore - Q&amp;V'!$F$8:$F$250,LEFT('FY Q&amp;V 2003-04 to Now'!AC$7:AD$7,4),'Iron Ore - Q&amp;V'!$G$8:$G$250,3)+
SUMIFS('Iron Ore - Q&amp;V'!$D$8:$D$250,'Iron Ore - Q&amp;V'!$F$8:$F$250,LEFT('FY Q&amp;V 2003-04 to Now'!AC$7:AD$7,4),'Iron Ore - Q&amp;V'!$G$8:$G$250,4)+
SUMIFS('Iron Ore - Q&amp;V'!$D$8:$D$250,'Iron Ore - Q&amp;V'!$F$8:$F$250,CONCATENATE("20",RIGHT('FY Q&amp;V 2003-04 to Now'!AC$7,2)),'Iron Ore - Q&amp;V'!$G$8:$G$250,1)+
SUMIFS('Iron Ore - Q&amp;V'!$D$8:$D$250,'Iron Ore - Q&amp;V'!$F$8:$F$250,CONCATENATE("20",RIGHT('FY Q&amp;V 2003-04 to Now'!AC$7,2)),'Iron Ore - Q&amp;V'!$G$8:$G$250,2))*1000000</f>
        <v>792984562.87600005</v>
      </c>
      <c r="AD56" s="1279">
        <f>(SUMIFS('Iron Ore - Q&amp;V'!$E$8:$E$250,'Iron Ore - Q&amp;V'!$F$8:$F$250,LEFT('FY Q&amp;V 2003-04 to Now'!AC$7,4),'Iron Ore - Q&amp;V'!$G$8:$G$250,3)+
SUMIFS('Iron Ore - Q&amp;V'!$E$8:$E$250,'Iron Ore - Q&amp;V'!$F$8:$F$250,LEFT('FY Q&amp;V 2003-04 to Now'!AC$7,4),'Iron Ore - Q&amp;V'!$G$8:$G$250,4)+
SUMIFS('Iron Ore - Q&amp;V'!$E$8:$E$250,'Iron Ore - Q&amp;V'!$F$8:$F$250,CONCATENATE("20",RIGHT('FY Q&amp;V 2003-04 to Now'!AC$7,2)),'Iron Ore - Q&amp;V'!$G$8:$G$250,1)+
SUMIFS('Iron Ore - Q&amp;V'!$E$8:$E$250,'Iron Ore - Q&amp;V'!$F$8:$F$250,CONCATENATE("20",RIGHT('FY Q&amp;V 2003-04 to Now'!AC$7,2)),'Iron Ore - Q&amp;V'!$G$8:$G$250,2))*1000000</f>
        <v>64319249452</v>
      </c>
      <c r="AE56" s="1291">
        <f>(SUMIFS('Iron Ore - Q&amp;V'!$D$8:$D$250,'Iron Ore - Q&amp;V'!$F$8:$F$250,LEFT('FY Q&amp;V 2003-04 to Now'!AE$7:AF$7,4),'Iron Ore - Q&amp;V'!$G$8:$G$250,3)+
SUMIFS('Iron Ore - Q&amp;V'!$D$8:$D$250,'Iron Ore - Q&amp;V'!$F$8:$F$250,LEFT('FY Q&amp;V 2003-04 to Now'!AE$7:AF$7,4),'Iron Ore - Q&amp;V'!$G$8:$G$250,4)+
SUMIFS('Iron Ore - Q&amp;V'!$D$8:$D$250,'Iron Ore - Q&amp;V'!$F$8:$F$250,CONCATENATE("20",RIGHT('FY Q&amp;V 2003-04 to Now'!AE$7,2)),'Iron Ore - Q&amp;V'!$G$8:$G$250,1)+
SUMIFS('Iron Ore - Q&amp;V'!$D$8:$D$250,'Iron Ore - Q&amp;V'!$F$8:$F$250,CONCATENATE("20",RIGHT('FY Q&amp;V 2003-04 to Now'!AE$7,2)),'Iron Ore - Q&amp;V'!$G$8:$G$250,2))*1000000</f>
        <v>839424190.125</v>
      </c>
      <c r="AF56" s="1279">
        <f>(SUMIFS('Iron Ore - Q&amp;V'!$E$8:$E$250,'Iron Ore - Q&amp;V'!$F$8:$F$250,LEFT('FY Q&amp;V 2003-04 to Now'!AE$7,4),'Iron Ore - Q&amp;V'!$G$8:$G$250,3)+
SUMIFS('Iron Ore - Q&amp;V'!$E$8:$E$250,'Iron Ore - Q&amp;V'!$F$8:$F$250,LEFT('FY Q&amp;V 2003-04 to Now'!AE$7,4),'Iron Ore - Q&amp;V'!$G$8:$G$250,4)+
SUMIFS('Iron Ore - Q&amp;V'!$E$8:$E$250,'Iron Ore - Q&amp;V'!$F$8:$F$250,CONCATENATE("20",RIGHT('FY Q&amp;V 2003-04 to Now'!AE$7,2)),'Iron Ore - Q&amp;V'!$G$8:$G$250,1)+
SUMIFS('Iron Ore - Q&amp;V'!$E$8:$E$250,'Iron Ore - Q&amp;V'!$F$8:$F$250,CONCATENATE("20",RIGHT('FY Q&amp;V 2003-04 to Now'!AE$7,2)),'Iron Ore - Q&amp;V'!$G$8:$G$250,2))*1000000</f>
        <v>62074172938</v>
      </c>
      <c r="AG56" s="1291">
        <f>(SUMIFS('Iron Ore - Q&amp;V'!$D$8:$D$250,'Iron Ore - Q&amp;V'!$F$8:$F$250,LEFT('FY Q&amp;V 2003-04 to Now'!AG$7:AH$7,4),'Iron Ore - Q&amp;V'!$G$8:$G$250,3)+
SUMIFS('Iron Ore - Q&amp;V'!$D$8:$D$250,'Iron Ore - Q&amp;V'!$F$8:$F$250,LEFT('FY Q&amp;V 2003-04 to Now'!AG$7:AH$7,4),'Iron Ore - Q&amp;V'!$G$8:$G$250,4)+
SUMIFS('Iron Ore - Q&amp;V'!$D$8:$D$250,'Iron Ore - Q&amp;V'!$F$8:$F$250,CONCATENATE("20",RIGHT('FY Q&amp;V 2003-04 to Now'!AG$7,2)),'Iron Ore - Q&amp;V'!$G$8:$G$250,1)+
SUMIFS('Iron Ore - Q&amp;V'!$D$8:$D$250,'Iron Ore - Q&amp;V'!$F$8:$F$250,CONCATENATE("20",RIGHT('FY Q&amp;V 2003-04 to Now'!AG$7,2)),'Iron Ore - Q&amp;V'!$G$8:$G$250,2))*1000000</f>
        <v>790547319.77699995</v>
      </c>
      <c r="AH56" s="1279">
        <f>(SUMIFS('Iron Ore - Q&amp;V'!$E$8:$E$250,'Iron Ore - Q&amp;V'!$F$8:$F$250,LEFT('FY Q&amp;V 2003-04 to Now'!AG$7,4),'Iron Ore - Q&amp;V'!$G$8:$G$250,3)+
SUMIFS('Iron Ore - Q&amp;V'!$E$8:$E$250,'Iron Ore - Q&amp;V'!$F$8:$F$250,LEFT('FY Q&amp;V 2003-04 to Now'!AG$7,4),'Iron Ore - Q&amp;V'!$G$8:$G$250,4)+
SUMIFS('Iron Ore - Q&amp;V'!$E$8:$E$250,'Iron Ore - Q&amp;V'!$F$8:$F$250,CONCATENATE("20",RIGHT('FY Q&amp;V 2003-04 to Now'!AG$7,2)),'Iron Ore - Q&amp;V'!$G$8:$G$250,1)+
SUMIFS('Iron Ore - Q&amp;V'!$E$8:$E$250,'Iron Ore - Q&amp;V'!$F$8:$F$250,CONCATENATE("20",RIGHT('FY Q&amp;V 2003-04 to Now'!AG$7,2)),'Iron Ore - Q&amp;V'!$G$8:$G$250,2))*1000000</f>
        <v>81782025072</v>
      </c>
      <c r="AI56" s="1291">
        <f>(SUMIFS('Iron Ore - Q&amp;V'!$D$8:$D$250,'Iron Ore - Q&amp;V'!$F$8:$F$250,LEFT('FY Q&amp;V 2003-04 to Now'!AI$7:AJ$7,4),'Iron Ore - Q&amp;V'!$G$8:$G$250,3)+
SUMIFS('Iron Ore - Q&amp;V'!$D$8:$D$250,'Iron Ore - Q&amp;V'!$F$8:$F$250,LEFT('FY Q&amp;V 2003-04 to Now'!AI$7:AJ$7,4),'Iron Ore - Q&amp;V'!$G$8:$G$250,4)+
SUMIFS('Iron Ore - Q&amp;V'!$D$8:$D$250,'Iron Ore - Q&amp;V'!$F$8:$F$250,CONCATENATE("20",RIGHT('FY Q&amp;V 2003-04 to Now'!AI$7,2)),'Iron Ore - Q&amp;V'!$G$8:$G$250,1)+
SUMIFS('Iron Ore - Q&amp;V'!$D$8:$D$250,'Iron Ore - Q&amp;V'!$F$8:$F$250,CONCATENATE("20",RIGHT('FY Q&amp;V 2003-04 to Now'!AI$7,2)),'Iron Ore - Q&amp;V'!$G$8:$G$250,2))*1000000</f>
        <v>836757810.32899988</v>
      </c>
      <c r="AJ56" s="1291">
        <f>(SUMIFS('Iron Ore - Q&amp;V'!$E$8:$E$250,'Iron Ore - Q&amp;V'!$F$8:$F$250,LEFT('FY Q&amp;V 2003-04 to Now'!AI$7,4),'Iron Ore - Q&amp;V'!$G$8:$G$250,3)+
SUMIFS('Iron Ore - Q&amp;V'!$E$8:$E$250,'Iron Ore - Q&amp;V'!$F$8:$F$250,LEFT('FY Q&amp;V 2003-04 to Now'!AI$7,4),'Iron Ore - Q&amp;V'!$G$8:$G$250,4)+
SUMIFS('Iron Ore - Q&amp;V'!$E$8:$E$250,'Iron Ore - Q&amp;V'!$F$8:$F$250,CONCATENATE("20",RIGHT('FY Q&amp;V 2003-04 to Now'!AI$7,2)),'Iron Ore - Q&amp;V'!$G$8:$G$250,1)+
SUMIFS('Iron Ore - Q&amp;V'!$E$8:$E$250,'Iron Ore - Q&amp;V'!$F$8:$F$250,CONCATENATE("20",RIGHT('FY Q&amp;V 2003-04 to Now'!AI$7,2)),'Iron Ore - Q&amp;V'!$G$8:$G$250,2))*1000000</f>
        <v>104616533849</v>
      </c>
      <c r="AK56" s="1291">
        <f>(SUMIFS('Iron Ore - Q&amp;V'!$D$8:$D$250,'Iron Ore - Q&amp;V'!$F$8:$F$250,LEFT('FY Q&amp;V 2003-04 to Now'!AK$7:AL$7,4),'Iron Ore - Q&amp;V'!$G$8:$G$250,3)+
SUMIFS('Iron Ore - Q&amp;V'!$D$8:$D$250,'Iron Ore - Q&amp;V'!$F$8:$F$250,LEFT('FY Q&amp;V 2003-04 to Now'!AK$7:AL$7,4),'Iron Ore - Q&amp;V'!$G$8:$G$250,4)+
SUMIFS('Iron Ore - Q&amp;V'!$D$8:$D$250,'Iron Ore - Q&amp;V'!$F$8:$F$250,CONCATENATE("20",RIGHT('FY Q&amp;V 2003-04 to Now'!AK$7,2)),'Iron Ore - Q&amp;V'!$G$8:$G$250,1)+
SUMIFS('Iron Ore - Q&amp;V'!$D$8:$D$250,'Iron Ore - Q&amp;V'!$F$8:$F$250,CONCATENATE("20",RIGHT('FY Q&amp;V 2003-04 to Now'!AK$7,2)),'Iron Ore - Q&amp;V'!$G$8:$G$250,2))*1000000</f>
        <v>838687123.37100005</v>
      </c>
      <c r="AL56" s="1291">
        <f>(SUMIFS('Iron Ore - Q&amp;V'!$E$8:$E$250,'Iron Ore - Q&amp;V'!$F$8:$F$250,LEFT('FY Q&amp;V 2003-04 to Now'!AK$7,4),'Iron Ore - Q&amp;V'!$G$8:$G$250,3)+
SUMIFS('Iron Ore - Q&amp;V'!$E$8:$E$250,'Iron Ore - Q&amp;V'!$F$8:$F$250,LEFT('FY Q&amp;V 2003-04 to Now'!AK$7,4),'Iron Ore - Q&amp;V'!$G$8:$G$250,4)+
SUMIFS('Iron Ore - Q&amp;V'!$E$8:$E$250,'Iron Ore - Q&amp;V'!$F$8:$F$250,CONCATENATE("20",RIGHT('FY Q&amp;V 2003-04 to Now'!AK$7,2)),'Iron Ore - Q&amp;V'!$G$8:$G$250,1)+
SUMIFS('Iron Ore - Q&amp;V'!$E$8:$E$250,'Iron Ore - Q&amp;V'!$F$8:$F$250,CONCATENATE("20",RIGHT('FY Q&amp;V 2003-04 to Now'!AK$7,2)),'Iron Ore - Q&amp;V'!$G$8:$G$250,2))*1000000</f>
        <v>154732940789</v>
      </c>
      <c r="AM56" s="1291">
        <f>SUMIF($C$9:AL$9,1,$C56:AL56)</f>
        <v>9475858404.3250008</v>
      </c>
      <c r="AN56" s="1279">
        <f>SUMIF($C$9:AL$9,0,$C56:AL56)</f>
        <v>953808565067.32007</v>
      </c>
      <c r="AP56" s="573"/>
    </row>
    <row r="57" spans="1:42">
      <c r="A57" s="355"/>
      <c r="B57" s="361"/>
      <c r="C57" s="1178"/>
      <c r="D57" s="1178"/>
      <c r="E57" s="1178"/>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8"/>
      <c r="AB57" s="1178"/>
      <c r="AC57" s="1178"/>
      <c r="AD57" s="1178"/>
      <c r="AE57" s="1293"/>
      <c r="AF57" s="1178"/>
      <c r="AG57" s="1293"/>
      <c r="AH57" s="1178"/>
      <c r="AI57" s="1293"/>
      <c r="AJ57" s="1293"/>
      <c r="AK57" s="1293"/>
      <c r="AL57" s="1293"/>
      <c r="AM57" s="1291"/>
      <c r="AN57" s="1279"/>
      <c r="AP57" s="573"/>
    </row>
    <row r="58" spans="1:42">
      <c r="A58" s="366" t="s">
        <v>253</v>
      </c>
      <c r="B58" s="244" t="s">
        <v>87</v>
      </c>
      <c r="C58" s="1294">
        <v>4099466.3669999996</v>
      </c>
      <c r="D58" s="1295">
        <v>32885039.690000005</v>
      </c>
      <c r="E58" s="1294">
        <v>4079782.1860000002</v>
      </c>
      <c r="F58" s="1295">
        <v>39422579.100000009</v>
      </c>
      <c r="G58" s="1294">
        <v>4032988.5779999997</v>
      </c>
      <c r="H58" s="1295">
        <v>43237134.020000003</v>
      </c>
      <c r="I58" s="1294">
        <v>3836357.8820000002</v>
      </c>
      <c r="J58" s="1295">
        <v>22397355.969999999</v>
      </c>
      <c r="K58" s="1294">
        <v>3885943.8760000002</v>
      </c>
      <c r="L58" s="1295">
        <v>19979614.639999997</v>
      </c>
      <c r="M58" s="1294">
        <v>3720978.852</v>
      </c>
      <c r="N58" s="1295">
        <v>18951732.790000003</v>
      </c>
      <c r="O58" s="1294">
        <v>4017735.65</v>
      </c>
      <c r="P58" s="1295">
        <v>22695365.710000001</v>
      </c>
      <c r="Q58" s="1294">
        <v>3721270.0129999998</v>
      </c>
      <c r="R58" s="1295">
        <v>17742837.869999997</v>
      </c>
      <c r="S58" s="1294">
        <v>4157629.7340000002</v>
      </c>
      <c r="T58" s="1295">
        <v>21403514.879999995</v>
      </c>
      <c r="U58" s="1294">
        <v>4091848.8079999997</v>
      </c>
      <c r="V58" s="1295">
        <v>24239571.09</v>
      </c>
      <c r="W58" s="1294">
        <v>3116622.7649999997</v>
      </c>
      <c r="X58" s="1295">
        <v>23378197.300000001</v>
      </c>
      <c r="Y58" s="1294">
        <v>4903039.1349999988</v>
      </c>
      <c r="Z58" s="1295">
        <v>33175834.405000001</v>
      </c>
      <c r="AA58" s="1294">
        <v>4446486</v>
      </c>
      <c r="AB58" s="1295">
        <v>28826046</v>
      </c>
      <c r="AC58" s="1262">
        <v>4178360</v>
      </c>
      <c r="AD58" s="1295">
        <v>26012783</v>
      </c>
      <c r="AE58" s="1296">
        <v>3943155.1459999997</v>
      </c>
      <c r="AF58" s="1295">
        <v>30401104.195</v>
      </c>
      <c r="AG58" s="1705">
        <v>4305108.41</v>
      </c>
      <c r="AH58" s="235">
        <v>51883227.936800003</v>
      </c>
      <c r="AI58" s="1705">
        <v>4009523.4880000008</v>
      </c>
      <c r="AJ58" s="235">
        <v>39531243.907299995</v>
      </c>
      <c r="AK58" s="235">
        <v>4732727.4370000008</v>
      </c>
      <c r="AL58" s="235">
        <v>48067032.96796</v>
      </c>
      <c r="AM58" s="1711">
        <f>SUMIF($C$9:AL$9,1,$C58:AL58)</f>
        <v>73279024.327000007</v>
      </c>
      <c r="AN58" s="307">
        <f>SUMIF($C$9:AL$9,0,$C58:AL58)</f>
        <v>544230215.47205997</v>
      </c>
      <c r="AO58" s="492"/>
      <c r="AP58" s="573"/>
    </row>
    <row r="59" spans="1:42">
      <c r="A59" s="212"/>
      <c r="B59" s="244"/>
      <c r="C59" s="1294"/>
      <c r="D59" s="1295"/>
      <c r="E59" s="1294"/>
      <c r="F59" s="1295"/>
      <c r="G59" s="1294"/>
      <c r="H59" s="1295"/>
      <c r="I59" s="1294"/>
      <c r="J59" s="1295"/>
      <c r="K59" s="1294"/>
      <c r="L59" s="1295"/>
      <c r="M59" s="1294"/>
      <c r="N59" s="1295"/>
      <c r="O59" s="1294"/>
      <c r="P59" s="1295"/>
      <c r="Q59" s="1294"/>
      <c r="R59" s="1295"/>
      <c r="S59" s="1294"/>
      <c r="T59" s="1295"/>
      <c r="U59" s="1294"/>
      <c r="V59" s="1295"/>
      <c r="W59" s="1294"/>
      <c r="X59" s="1295"/>
      <c r="Y59" s="1294"/>
      <c r="Z59" s="1295"/>
      <c r="AA59" s="1294"/>
      <c r="AB59" s="1295"/>
      <c r="AC59" s="1295"/>
      <c r="AD59" s="1295"/>
      <c r="AE59" s="1296"/>
      <c r="AF59" s="1295"/>
      <c r="AG59" s="1705"/>
      <c r="AH59" s="235"/>
      <c r="AI59" s="1736"/>
      <c r="AJ59" s="1737"/>
      <c r="AK59" s="1737"/>
      <c r="AL59" s="1737"/>
      <c r="AM59" s="1711"/>
      <c r="AN59" s="307"/>
      <c r="AP59" s="573"/>
    </row>
    <row r="60" spans="1:42">
      <c r="A60" s="365" t="s">
        <v>780</v>
      </c>
      <c r="B60" s="361"/>
      <c r="C60" s="1178"/>
      <c r="D60" s="1178"/>
      <c r="E60" s="1178"/>
      <c r="F60" s="1178"/>
      <c r="G60" s="1178"/>
      <c r="H60" s="1178"/>
      <c r="I60" s="1178"/>
      <c r="J60" s="1178"/>
      <c r="K60" s="1178"/>
      <c r="L60" s="1178"/>
      <c r="M60" s="1178"/>
      <c r="N60" s="1178"/>
      <c r="O60" s="1178"/>
      <c r="P60" s="1178"/>
      <c r="Q60" s="1178"/>
      <c r="R60" s="1178"/>
      <c r="S60" s="1178"/>
      <c r="T60" s="1178"/>
      <c r="U60" s="1178"/>
      <c r="V60" s="1178"/>
      <c r="W60" s="1178"/>
      <c r="X60" s="1178"/>
      <c r="Y60" s="1178"/>
      <c r="Z60" s="1178"/>
      <c r="AA60" s="1178"/>
      <c r="AB60" s="1178"/>
      <c r="AC60" s="1178"/>
      <c r="AD60" s="1178"/>
      <c r="AE60" s="1293"/>
      <c r="AF60" s="1178"/>
      <c r="AG60" s="1293"/>
      <c r="AH60" s="1178"/>
      <c r="AI60" s="1293"/>
      <c r="AJ60" s="1178"/>
      <c r="AK60" s="1178"/>
      <c r="AL60" s="1178"/>
      <c r="AM60" s="1178"/>
      <c r="AN60" s="1279"/>
      <c r="AP60" s="573"/>
    </row>
    <row r="61" spans="1:42">
      <c r="A61" s="368" t="s">
        <v>310</v>
      </c>
      <c r="B61" s="353" t="s">
        <v>87</v>
      </c>
      <c r="C61" s="1279">
        <f>(SUMIFS('Lithium - Q&amp;V'!$B$8:$B$252,'Lithium - Q&amp;V'!$D$8:$D$252,LEFT('FY Q&amp;V 2003-04 to Now'!C$7,4),'Lithium - Q&amp;V'!$E$8:$E$252,3)+
SUMIFS('Lithium - Q&amp;V'!$B$8:$B$252,'Lithium - Q&amp;V'!$D$8:$D$252,LEFT('FY Q&amp;V 2003-04 to Now'!C$7,4),'Lithium - Q&amp;V'!$E$8:$E$252,4)+
SUMIFS('Lithium - Q&amp;V'!$B$8:$B$252,'Lithium - Q&amp;V'!$D$8:$D$252,CONCATENATE("20",RIGHT('FY Q&amp;V 2003-04 to Now'!C$7,2)),'Lithium - Q&amp;V'!$E$8:$E$252,1)+
SUMIFS('Lithium - Q&amp;V'!$B$8:$B$252,'Lithium - Q&amp;V'!$D$8:$D$252,CONCATENATE("20",RIGHT('FY Q&amp;V 2003-04 to Now'!C$7,2)),'Lithium - Q&amp;V'!$E$8:$E$252,2))*1000</f>
        <v>106372.99999999999</v>
      </c>
      <c r="D61" s="1279">
        <f>(SUMIFS('Lithium - Q&amp;V'!$C$8:$C$252,'Lithium - Q&amp;V'!$D$8:$D$252,LEFT('FY Q&amp;V 2003-04 to Now'!C$7,4),'Lithium - Q&amp;V'!$E$8:$E$252,3)+
SUMIFS('Lithium - Q&amp;V'!$C$8:$C$252,'Lithium - Q&amp;V'!$D$8:$D$252,LEFT('FY Q&amp;V 2003-04 to Now'!C$7,4),'Lithium - Q&amp;V'!$E$8:$E$252,4)+
SUMIFS('Lithium - Q&amp;V'!$C$8:$C$252,'Lithium - Q&amp;V'!$D$8:$D$252,CONCATENATE("20",RIGHT('FY Q&amp;V 2003-04 to Now'!C$7,2)),'Lithium - Q&amp;V'!$E$8:$E$252,1)+
SUMIFS('Lithium - Q&amp;V'!$C$8:$C$252,'Lithium - Q&amp;V'!$D$8:$D$252,CONCATENATE("20",RIGHT('FY Q&amp;V 2003-04 to Now'!C$7,2)),'Lithium - Q&amp;V'!$E$8:$E$252,2))*1000000</f>
        <v>21381603</v>
      </c>
      <c r="E61" s="1279">
        <f>(SUMIFS('Lithium - Q&amp;V'!$B$8:$B$252,'Lithium - Q&amp;V'!$D$8:$D$252,LEFT('FY Q&amp;V 2003-04 to Now'!E$7,4),'Lithium - Q&amp;V'!$E$8:$E$252,3)+
SUMIFS('Lithium - Q&amp;V'!$B$8:$B$252,'Lithium - Q&amp;V'!$D$8:$D$252,LEFT('FY Q&amp;V 2003-04 to Now'!E$7,4),'Lithium - Q&amp;V'!$E$8:$E$252,4)+
SUMIFS('Lithium - Q&amp;V'!$B$8:$B$252,'Lithium - Q&amp;V'!$D$8:$D$252,CONCATENATE("20",RIGHT('FY Q&amp;V 2003-04 to Now'!E$7,2)),'Lithium - Q&amp;V'!$E$8:$E$252,1)+
SUMIFS('Lithium - Q&amp;V'!$B$8:$B$252,'Lithium - Q&amp;V'!$D$8:$D$252,CONCATENATE("20",RIGHT('FY Q&amp;V 2003-04 to Now'!E$7,2)),'Lithium - Q&amp;V'!$E$8:$E$252,2))*1000</f>
        <v>108804</v>
      </c>
      <c r="F61" s="1279">
        <f>(SUMIFS('Lithium - Q&amp;V'!$C$8:$C$252,'Lithium - Q&amp;V'!$D$8:$D$252,LEFT('FY Q&amp;V 2003-04 to Now'!E$7,4),'Lithium - Q&amp;V'!$E$8:$E$252,3)+
SUMIFS('Lithium - Q&amp;V'!$C$8:$C$252,'Lithium - Q&amp;V'!$D$8:$D$252,LEFT('FY Q&amp;V 2003-04 to Now'!E$7,4),'Lithium - Q&amp;V'!$E$8:$E$252,4)+
SUMIFS('Lithium - Q&amp;V'!$C$8:$C$252,'Lithium - Q&amp;V'!$D$8:$D$252,CONCATENATE("20",RIGHT('FY Q&amp;V 2003-04 to Now'!E$7,2)),'Lithium - Q&amp;V'!$E$8:$E$252,1)+
SUMIFS('Lithium - Q&amp;V'!$C$8:$C$252,'Lithium - Q&amp;V'!$D$8:$D$252,CONCATENATE("20",RIGHT('FY Q&amp;V 2003-04 to Now'!E$7,2)),'Lithium - Q&amp;V'!$E$8:$E$252,2))*1000000</f>
        <v>23466171</v>
      </c>
      <c r="G61" s="1279">
        <f>(SUMIFS('Lithium - Q&amp;V'!$B$8:$B$252,'Lithium - Q&amp;V'!$D$8:$D$252,LEFT('FY Q&amp;V 2003-04 to Now'!G$7,4),'Lithium - Q&amp;V'!$E$8:$E$252,3)+
SUMIFS('Lithium - Q&amp;V'!$B$8:$B$252,'Lithium - Q&amp;V'!$D$8:$D$252,LEFT('FY Q&amp;V 2003-04 to Now'!G$7,4),'Lithium - Q&amp;V'!$E$8:$E$252,4)+
SUMIFS('Lithium - Q&amp;V'!$B$8:$B$252,'Lithium - Q&amp;V'!$D$8:$D$252,CONCATENATE("20",RIGHT('FY Q&amp;V 2003-04 to Now'!G$7,2)),'Lithium - Q&amp;V'!$E$8:$E$252,1)+
SUMIFS('Lithium - Q&amp;V'!$B$8:$B$252,'Lithium - Q&amp;V'!$D$8:$D$252,CONCATENATE("20",RIGHT('FY Q&amp;V 2003-04 to Now'!G$7,2)),'Lithium - Q&amp;V'!$E$8:$E$252,2))*1000</f>
        <v>193228.99999999997</v>
      </c>
      <c r="H61" s="1279">
        <f>(SUMIFS('Lithium - Q&amp;V'!$C$8:$C$252,'Lithium - Q&amp;V'!$D$8:$D$252,LEFT('FY Q&amp;V 2003-04 to Now'!G$7,4),'Lithium - Q&amp;V'!$E$8:$E$252,3)+
SUMIFS('Lithium - Q&amp;V'!$C$8:$C$252,'Lithium - Q&amp;V'!$D$8:$D$252,LEFT('FY Q&amp;V 2003-04 to Now'!G$7,4),'Lithium - Q&amp;V'!$E$8:$E$252,4)+
SUMIFS('Lithium - Q&amp;V'!$C$8:$C$252,'Lithium - Q&amp;V'!$D$8:$D$252,CONCATENATE("20",RIGHT('FY Q&amp;V 2003-04 to Now'!G$7,2)),'Lithium - Q&amp;V'!$E$8:$E$252,1)+
SUMIFS('Lithium - Q&amp;V'!$C$8:$C$252,'Lithium - Q&amp;V'!$D$8:$D$252,CONCATENATE("20",RIGHT('FY Q&amp;V 2003-04 to Now'!G$7,2)),'Lithium - Q&amp;V'!$E$8:$E$252,2))*1000000</f>
        <v>36636462</v>
      </c>
      <c r="I61" s="1279">
        <f>(SUMIFS('Lithium - Q&amp;V'!$B$8:$B$252,'Lithium - Q&amp;V'!$D$8:$D$252,LEFT('FY Q&amp;V 2003-04 to Now'!I$7,4),'Lithium - Q&amp;V'!$E$8:$E$252,3)+
SUMIFS('Lithium - Q&amp;V'!$B$8:$B$252,'Lithium - Q&amp;V'!$D$8:$D$252,LEFT('FY Q&amp;V 2003-04 to Now'!I$7,4),'Lithium - Q&amp;V'!$E$8:$E$252,4)+
SUMIFS('Lithium - Q&amp;V'!$B$8:$B$252,'Lithium - Q&amp;V'!$D$8:$D$252,CONCATENATE("20",RIGHT('FY Q&amp;V 2003-04 to Now'!I$7,2)),'Lithium - Q&amp;V'!$E$8:$E$252,1)+
SUMIFS('Lithium - Q&amp;V'!$B$8:$B$252,'Lithium - Q&amp;V'!$D$8:$D$252,CONCATENATE("20",RIGHT('FY Q&amp;V 2003-04 to Now'!I$7,2)),'Lithium - Q&amp;V'!$E$8:$E$252,2))*1000</f>
        <v>290432</v>
      </c>
      <c r="J61" s="1279">
        <f>(SUMIFS('Lithium - Q&amp;V'!$C$8:$C$252,'Lithium - Q&amp;V'!$D$8:$D$252,LEFT('FY Q&amp;V 2003-04 to Now'!I$7,4),'Lithium - Q&amp;V'!$E$8:$E$252,3)+
SUMIFS('Lithium - Q&amp;V'!$C$8:$C$252,'Lithium - Q&amp;V'!$D$8:$D$252,LEFT('FY Q&amp;V 2003-04 to Now'!I$7,4),'Lithium - Q&amp;V'!$E$8:$E$252,4)+
SUMIFS('Lithium - Q&amp;V'!$C$8:$C$252,'Lithium - Q&amp;V'!$D$8:$D$252,CONCATENATE("20",RIGHT('FY Q&amp;V 2003-04 to Now'!I$7,2)),'Lithium - Q&amp;V'!$E$8:$E$252,1)+
SUMIFS('Lithium - Q&amp;V'!$C$8:$C$252,'Lithium - Q&amp;V'!$D$8:$D$252,CONCATENATE("20",RIGHT('FY Q&amp;V 2003-04 to Now'!I$7,2)),'Lithium - Q&amp;V'!$E$8:$E$252,2))*1000000</f>
        <v>72200944</v>
      </c>
      <c r="K61" s="1279">
        <f>(SUMIFS('Lithium - Q&amp;V'!$B$8:$B$252,'Lithium - Q&amp;V'!$D$8:$D$252,LEFT('FY Q&amp;V 2003-04 to Now'!K$7,4),'Lithium - Q&amp;V'!$E$8:$E$252,3)+
SUMIFS('Lithium - Q&amp;V'!$B$8:$B$252,'Lithium - Q&amp;V'!$D$8:$D$252,LEFT('FY Q&amp;V 2003-04 to Now'!K$7,4),'Lithium - Q&amp;V'!$E$8:$E$252,4)+
SUMIFS('Lithium - Q&amp;V'!$B$8:$B$252,'Lithium - Q&amp;V'!$D$8:$D$252,CONCATENATE("20",RIGHT('FY Q&amp;V 2003-04 to Now'!K$7,2)),'Lithium - Q&amp;V'!$E$8:$E$252,1)+
SUMIFS('Lithium - Q&amp;V'!$B$8:$B$252,'Lithium - Q&amp;V'!$D$8:$D$252,CONCATENATE("20",RIGHT('FY Q&amp;V 2003-04 to Now'!K$7,2)),'Lithium - Q&amp;V'!$E$8:$E$252,2))*1000</f>
        <v>246015</v>
      </c>
      <c r="L61" s="1279">
        <f>(SUMIFS('Lithium - Q&amp;V'!$C$8:$C$252,'Lithium - Q&amp;V'!$D$8:$D$252,LEFT('FY Q&amp;V 2003-04 to Now'!K$7,4),'Lithium - Q&amp;V'!$E$8:$E$252,3)+
SUMIFS('Lithium - Q&amp;V'!$C$8:$C$252,'Lithium - Q&amp;V'!$D$8:$D$252,LEFT('FY Q&amp;V 2003-04 to Now'!K$7,4),'Lithium - Q&amp;V'!$E$8:$E$252,4)+
SUMIFS('Lithium - Q&amp;V'!$C$8:$C$252,'Lithium - Q&amp;V'!$D$8:$D$252,CONCATENATE("20",RIGHT('FY Q&amp;V 2003-04 to Now'!K$7,2)),'Lithium - Q&amp;V'!$E$8:$E$252,1)+
SUMIFS('Lithium - Q&amp;V'!$C$8:$C$252,'Lithium - Q&amp;V'!$D$8:$D$252,CONCATENATE("20",RIGHT('FY Q&amp;V 2003-04 to Now'!K$7,2)),'Lithium - Q&amp;V'!$E$8:$E$252,2))*1000000</f>
        <v>69975835</v>
      </c>
      <c r="M61" s="1279">
        <f>(SUMIFS('Lithium - Q&amp;V'!$B$8:$B$252,'Lithium - Q&amp;V'!$D$8:$D$252,LEFT('FY Q&amp;V 2003-04 to Now'!M$7,4),'Lithium - Q&amp;V'!$E$8:$E$252,3)+
SUMIFS('Lithium - Q&amp;V'!$B$8:$B$252,'Lithium - Q&amp;V'!$D$8:$D$252,LEFT('FY Q&amp;V 2003-04 to Now'!M$7,4),'Lithium - Q&amp;V'!$E$8:$E$252,4)+
SUMIFS('Lithium - Q&amp;V'!$B$8:$B$252,'Lithium - Q&amp;V'!$D$8:$D$252,CONCATENATE("20",RIGHT('FY Q&amp;V 2003-04 to Now'!M$7,2)),'Lithium - Q&amp;V'!$E$8:$E$252,1)+
SUMIFS('Lithium - Q&amp;V'!$B$8:$B$252,'Lithium - Q&amp;V'!$D$8:$D$252,CONCATENATE("20",RIGHT('FY Q&amp;V 2003-04 to Now'!M$7,2)),'Lithium - Q&amp;V'!$E$8:$E$252,2))*1000</f>
        <v>223756.15</v>
      </c>
      <c r="N61" s="1279">
        <f>(SUMIFS('Lithium - Q&amp;V'!$C$8:$C$252,'Lithium - Q&amp;V'!$D$8:$D$252,LEFT('FY Q&amp;V 2003-04 to Now'!M$7,4),'Lithium - Q&amp;V'!$E$8:$E$252,3)+
SUMIFS('Lithium - Q&amp;V'!$C$8:$C$252,'Lithium - Q&amp;V'!$D$8:$D$252,LEFT('FY Q&amp;V 2003-04 to Now'!M$7,4),'Lithium - Q&amp;V'!$E$8:$E$252,4)+
SUMIFS('Lithium - Q&amp;V'!$C$8:$C$252,'Lithium - Q&amp;V'!$D$8:$D$252,CONCATENATE("20",RIGHT('FY Q&amp;V 2003-04 to Now'!M$7,2)),'Lithium - Q&amp;V'!$E$8:$E$252,1)+
SUMIFS('Lithium - Q&amp;V'!$C$8:$C$252,'Lithium - Q&amp;V'!$D$8:$D$252,CONCATENATE("20",RIGHT('FY Q&amp;V 2003-04 to Now'!M$7,2)),'Lithium - Q&amp;V'!$E$8:$E$252,2))*1000000</f>
        <v>80063204.329999998</v>
      </c>
      <c r="O61" s="1279">
        <f>(SUMIFS('Lithium - Q&amp;V'!$B$8:$B$252,'Lithium - Q&amp;V'!$D$8:$D$252,LEFT('FY Q&amp;V 2003-04 to Now'!O$7,4),'Lithium - Q&amp;V'!$E$8:$E$252,3)+
SUMIFS('Lithium - Q&amp;V'!$B$8:$B$252,'Lithium - Q&amp;V'!$D$8:$D$252,LEFT('FY Q&amp;V 2003-04 to Now'!O$7,4),'Lithium - Q&amp;V'!$E$8:$E$252,4)+
SUMIFS('Lithium - Q&amp;V'!$B$8:$B$252,'Lithium - Q&amp;V'!$D$8:$D$252,CONCATENATE("20",RIGHT('FY Q&amp;V 2003-04 to Now'!O$7,2)),'Lithium - Q&amp;V'!$E$8:$E$252,1)+
SUMIFS('Lithium - Q&amp;V'!$B$8:$B$252,'Lithium - Q&amp;V'!$D$8:$D$252,CONCATENATE("20",RIGHT('FY Q&amp;V 2003-04 to Now'!O$7,2)),'Lithium - Q&amp;V'!$E$8:$E$252,2))*1000</f>
        <v>247422.00000000003</v>
      </c>
      <c r="P61" s="1279">
        <f>(SUMIFS('Lithium - Q&amp;V'!$C$8:$C$252,'Lithium - Q&amp;V'!$D$8:$D$252,LEFT('FY Q&amp;V 2003-04 to Now'!O$7,4),'Lithium - Q&amp;V'!$E$8:$E$252,3)+
SUMIFS('Lithium - Q&amp;V'!$C$8:$C$252,'Lithium - Q&amp;V'!$D$8:$D$252,LEFT('FY Q&amp;V 2003-04 to Now'!O$7,4),'Lithium - Q&amp;V'!$E$8:$E$252,4)+
SUMIFS('Lithium - Q&amp;V'!$C$8:$C$252,'Lithium - Q&amp;V'!$D$8:$D$252,CONCATENATE("20",RIGHT('FY Q&amp;V 2003-04 to Now'!O$7,2)),'Lithium - Q&amp;V'!$E$8:$E$252,1)+
SUMIFS('Lithium - Q&amp;V'!$C$8:$C$252,'Lithium - Q&amp;V'!$D$8:$D$252,CONCATENATE("20",RIGHT('FY Q&amp;V 2003-04 to Now'!O$7,2)),'Lithium - Q&amp;V'!$E$8:$E$252,2))*1000000</f>
        <v>73436811</v>
      </c>
      <c r="Q61" s="1279">
        <f>(SUMIFS('Lithium - Q&amp;V'!$B$8:$B$252,'Lithium - Q&amp;V'!$D$8:$D$252,LEFT('FY Q&amp;V 2003-04 to Now'!Q$7,4),'Lithium - Q&amp;V'!$E$8:$E$252,3)+
SUMIFS('Lithium - Q&amp;V'!$B$8:$B$252,'Lithium - Q&amp;V'!$D$8:$D$252,LEFT('FY Q&amp;V 2003-04 to Now'!Q$7,4),'Lithium - Q&amp;V'!$E$8:$E$252,4)+
SUMIFS('Lithium - Q&amp;V'!$B$8:$B$252,'Lithium - Q&amp;V'!$D$8:$D$252,CONCATENATE("20",RIGHT('FY Q&amp;V 2003-04 to Now'!Q$7,2)),'Lithium - Q&amp;V'!$E$8:$E$252,1)+
SUMIFS('Lithium - Q&amp;V'!$B$8:$B$252,'Lithium - Q&amp;V'!$D$8:$D$252,CONCATENATE("20",RIGHT('FY Q&amp;V 2003-04 to Now'!Q$7,2)),'Lithium - Q&amp;V'!$E$8:$E$252,2))*1000</f>
        <v>352417.69999999995</v>
      </c>
      <c r="R61" s="1279">
        <f>(SUMIFS('Lithium - Q&amp;V'!$C$8:$C$252,'Lithium - Q&amp;V'!$D$8:$D$252,LEFT('FY Q&amp;V 2003-04 to Now'!Q$7,4),'Lithium - Q&amp;V'!$E$8:$E$252,3)+
SUMIFS('Lithium - Q&amp;V'!$C$8:$C$252,'Lithium - Q&amp;V'!$D$8:$D$252,LEFT('FY Q&amp;V 2003-04 to Now'!Q$7,4),'Lithium - Q&amp;V'!$E$8:$E$252,4)+
SUMIFS('Lithium - Q&amp;V'!$C$8:$C$252,'Lithium - Q&amp;V'!$D$8:$D$252,CONCATENATE("20",RIGHT('FY Q&amp;V 2003-04 to Now'!Q$7,2)),'Lithium - Q&amp;V'!$E$8:$E$252,1)+
SUMIFS('Lithium - Q&amp;V'!$C$8:$C$252,'Lithium - Q&amp;V'!$D$8:$D$252,CONCATENATE("20",RIGHT('FY Q&amp;V 2003-04 to Now'!Q$7,2)),'Lithium - Q&amp;V'!$E$8:$E$252,2))*1000000</f>
        <v>103317679.97</v>
      </c>
      <c r="S61" s="1279">
        <f>(SUMIFS('Lithium - Q&amp;V'!$B$8:$B$252,'Lithium - Q&amp;V'!$D$8:$D$252,LEFT('FY Q&amp;V 2003-04 to Now'!S$7,4),'Lithium - Q&amp;V'!$E$8:$E$252,3)+
SUMIFS('Lithium - Q&amp;V'!$B$8:$B$252,'Lithium - Q&amp;V'!$D$8:$D$252,LEFT('FY Q&amp;V 2003-04 to Now'!S$7,4),'Lithium - Q&amp;V'!$E$8:$E$252,4)+
SUMIFS('Lithium - Q&amp;V'!$B$8:$B$252,'Lithium - Q&amp;V'!$D$8:$D$252,CONCATENATE("20",RIGHT('FY Q&amp;V 2003-04 to Now'!S$7,2)),'Lithium - Q&amp;V'!$E$8:$E$252,1)+
SUMIFS('Lithium - Q&amp;V'!$B$8:$B$252,'Lithium - Q&amp;V'!$D$8:$D$252,CONCATENATE("20",RIGHT('FY Q&amp;V 2003-04 to Now'!S$7,2)),'Lithium - Q&amp;V'!$E$8:$E$252,2))*1000</f>
        <v>461120.81</v>
      </c>
      <c r="T61" s="1279">
        <f>(SUMIFS('Lithium - Q&amp;V'!$C$8:$C$252,'Lithium - Q&amp;V'!$D$8:$D$252,LEFT('FY Q&amp;V 2003-04 to Now'!S$7,4),'Lithium - Q&amp;V'!$E$8:$E$252,3)+
SUMIFS('Lithium - Q&amp;V'!$C$8:$C$252,'Lithium - Q&amp;V'!$D$8:$D$252,LEFT('FY Q&amp;V 2003-04 to Now'!S$7,4),'Lithium - Q&amp;V'!$E$8:$E$252,4)+
SUMIFS('Lithium - Q&amp;V'!$C$8:$C$252,'Lithium - Q&amp;V'!$D$8:$D$252,CONCATENATE("20",RIGHT('FY Q&amp;V 2003-04 to Now'!S$7,2)),'Lithium - Q&amp;V'!$E$8:$E$252,1)+
SUMIFS('Lithium - Q&amp;V'!$C$8:$C$252,'Lithium - Q&amp;V'!$D$8:$D$252,CONCATENATE("20",RIGHT('FY Q&amp;V 2003-04 to Now'!S$7,2)),'Lithium - Q&amp;V'!$E$8:$E$252,2))*1000000</f>
        <v>138413821.05999997</v>
      </c>
      <c r="U61" s="1279">
        <f>(SUMIFS('Lithium - Q&amp;V'!$B$8:$B$252,'Lithium - Q&amp;V'!$D$8:$D$252,LEFT('FY Q&amp;V 2003-04 to Now'!U$7,4),'Lithium - Q&amp;V'!$E$8:$E$252,3)+
SUMIFS('Lithium - Q&amp;V'!$B$8:$B$252,'Lithium - Q&amp;V'!$D$8:$D$252,LEFT('FY Q&amp;V 2003-04 to Now'!U$7,4),'Lithium - Q&amp;V'!$E$8:$E$252,4)+
SUMIFS('Lithium - Q&amp;V'!$B$8:$B$252,'Lithium - Q&amp;V'!$D$8:$D$252,CONCATENATE("20",RIGHT('FY Q&amp;V 2003-04 to Now'!U$7,2)),'Lithium - Q&amp;V'!$E$8:$E$252,1)+
SUMIFS('Lithium - Q&amp;V'!$B$8:$B$252,'Lithium - Q&amp;V'!$D$8:$D$252,CONCATENATE("20",RIGHT('FY Q&amp;V 2003-04 to Now'!U$7,2)),'Lithium - Q&amp;V'!$E$8:$E$252,2))*1000</f>
        <v>485878.88999999996</v>
      </c>
      <c r="V61" s="1279">
        <f>(SUMIFS('Lithium - Q&amp;V'!$C$8:$C$252,'Lithium - Q&amp;V'!$D$8:$D$252,LEFT('FY Q&amp;V 2003-04 to Now'!U$7,4),'Lithium - Q&amp;V'!$E$8:$E$252,3)+
SUMIFS('Lithium - Q&amp;V'!$C$8:$C$252,'Lithium - Q&amp;V'!$D$8:$D$252,LEFT('FY Q&amp;V 2003-04 to Now'!U$7,4),'Lithium - Q&amp;V'!$E$8:$E$252,4)+
SUMIFS('Lithium - Q&amp;V'!$C$8:$C$252,'Lithium - Q&amp;V'!$D$8:$D$252,CONCATENATE("20",RIGHT('FY Q&amp;V 2003-04 to Now'!U$7,2)),'Lithium - Q&amp;V'!$E$8:$E$252,1)+
SUMIFS('Lithium - Q&amp;V'!$C$8:$C$252,'Lithium - Q&amp;V'!$D$8:$D$252,CONCATENATE("20",RIGHT('FY Q&amp;V 2003-04 to Now'!U$7,2)),'Lithium - Q&amp;V'!$E$8:$E$252,2))*1000000</f>
        <v>178786684.34999999</v>
      </c>
      <c r="W61" s="1279">
        <f>(SUMIFS('Lithium - Q&amp;V'!$B$8:$B$252,'Lithium - Q&amp;V'!$D$8:$D$252,LEFT('FY Q&amp;V 2003-04 to Now'!W$7,4),'Lithium - Q&amp;V'!$E$8:$E$252,3)+
SUMIFS('Lithium - Q&amp;V'!$B$8:$B$252,'Lithium - Q&amp;V'!$D$8:$D$252,LEFT('FY Q&amp;V 2003-04 to Now'!W$7,4),'Lithium - Q&amp;V'!$E$8:$E$252,4)+
SUMIFS('Lithium - Q&amp;V'!$B$8:$B$252,'Lithium - Q&amp;V'!$D$8:$D$252,CONCATENATE("20",RIGHT('FY Q&amp;V 2003-04 to Now'!W$7,2)),'Lithium - Q&amp;V'!$E$8:$E$252,1)+
SUMIFS('Lithium - Q&amp;V'!$B$8:$B$252,'Lithium - Q&amp;V'!$D$8:$D$252,CONCATENATE("20",RIGHT('FY Q&amp;V 2003-04 to Now'!W$7,2)),'Lithium - Q&amp;V'!$E$8:$E$252,2))*1000</f>
        <v>342065</v>
      </c>
      <c r="X61" s="1279">
        <f>(SUMIFS('Lithium - Q&amp;V'!$C$8:$C$252,'Lithium - Q&amp;V'!$D$8:$D$252,LEFT('FY Q&amp;V 2003-04 to Now'!W$7,4),'Lithium - Q&amp;V'!$E$8:$E$252,3)+
SUMIFS('Lithium - Q&amp;V'!$C$8:$C$252,'Lithium - Q&amp;V'!$D$8:$D$252,LEFT('FY Q&amp;V 2003-04 to Now'!W$7,4),'Lithium - Q&amp;V'!$E$8:$E$252,4)+
SUMIFS('Lithium - Q&amp;V'!$C$8:$C$252,'Lithium - Q&amp;V'!$D$8:$D$252,CONCATENATE("20",RIGHT('FY Q&amp;V 2003-04 to Now'!W$7,2)),'Lithium - Q&amp;V'!$E$8:$E$252,1)+
SUMIFS('Lithium - Q&amp;V'!$C$8:$C$252,'Lithium - Q&amp;V'!$D$8:$D$252,CONCATENATE("20",RIGHT('FY Q&amp;V 2003-04 to Now'!W$7,2)),'Lithium - Q&amp;V'!$E$8:$E$252,2))*1000000</f>
        <v>150564377.63999999</v>
      </c>
      <c r="Y61" s="1279">
        <f>(SUMIFS('Lithium - Q&amp;V'!$B$8:$B$252,'Lithium - Q&amp;V'!$D$8:$D$252,LEFT('FY Q&amp;V 2003-04 to Now'!Y$7,4),'Lithium - Q&amp;V'!$E$8:$E$252,3)+
SUMIFS('Lithium - Q&amp;V'!$B$8:$B$252,'Lithium - Q&amp;V'!$D$8:$D$252,LEFT('FY Q&amp;V 2003-04 to Now'!Y$7,4),'Lithium - Q&amp;V'!$E$8:$E$252,4)+
SUMIFS('Lithium - Q&amp;V'!$B$8:$B$252,'Lithium - Q&amp;V'!$D$8:$D$252,CONCATENATE("20",RIGHT('FY Q&amp;V 2003-04 to Now'!Y$7,2)),'Lithium - Q&amp;V'!$E$8:$E$252,1)+
SUMIFS('Lithium - Q&amp;V'!$B$8:$B$252,'Lithium - Q&amp;V'!$D$8:$D$252,CONCATENATE("20",RIGHT('FY Q&amp;V 2003-04 to Now'!Y$7,2)),'Lithium - Q&amp;V'!$E$8:$E$252,2))*1000</f>
        <v>489073.99999999994</v>
      </c>
      <c r="Z61" s="1279">
        <f>(SUMIFS('Lithium - Q&amp;V'!$C$8:$C$252,'Lithium - Q&amp;V'!$D$8:$D$252,LEFT('FY Q&amp;V 2003-04 to Now'!Y$7,4),'Lithium - Q&amp;V'!$E$8:$E$252,3)+
SUMIFS('Lithium - Q&amp;V'!$C$8:$C$252,'Lithium - Q&amp;V'!$D$8:$D$252,LEFT('FY Q&amp;V 2003-04 to Now'!Y$7,4),'Lithium - Q&amp;V'!$E$8:$E$252,4)+
SUMIFS('Lithium - Q&amp;V'!$C$8:$C$252,'Lithium - Q&amp;V'!$D$8:$D$252,CONCATENATE("20",RIGHT('FY Q&amp;V 2003-04 to Now'!Y$7,2)),'Lithium - Q&amp;V'!$E$8:$E$252,1)+
SUMIFS('Lithium - Q&amp;V'!$C$8:$C$252,'Lithium - Q&amp;V'!$D$8:$D$252,CONCATENATE("20",RIGHT('FY Q&amp;V 2003-04 to Now'!Y$7,2)),'Lithium - Q&amp;V'!$E$8:$E$252,2))*1000000</f>
        <v>245874387</v>
      </c>
      <c r="AA61" s="1279">
        <f>(SUMIFS('Lithium - Q&amp;V'!$B$8:$B$252,'Lithium - Q&amp;V'!$D$8:$D$252,LEFT('FY Q&amp;V 2003-04 to Now'!AA$7,4),'Lithium - Q&amp;V'!$E$8:$E$252,3)+
SUMIFS('Lithium - Q&amp;V'!$B$8:$B$252,'Lithium - Q&amp;V'!$D$8:$D$252,LEFT('FY Q&amp;V 2003-04 to Now'!AA$7,4),'Lithium - Q&amp;V'!$E$8:$E$252,4)+
SUMIFS('Lithium - Q&amp;V'!$B$8:$B$252,'Lithium - Q&amp;V'!$D$8:$D$252,CONCATENATE("20",RIGHT('FY Q&amp;V 2003-04 to Now'!AA$7,2)),'Lithium - Q&amp;V'!$E$8:$E$252,1)+
SUMIFS('Lithium - Q&amp;V'!$B$8:$B$252,'Lithium - Q&amp;V'!$D$8:$D$252,CONCATENATE("20",RIGHT('FY Q&amp;V 2003-04 to Now'!AA$7,2)),'Lithium - Q&amp;V'!$E$8:$E$252,2))*1000</f>
        <v>465817</v>
      </c>
      <c r="AB61" s="1279">
        <f>(SUMIFS('Lithium - Q&amp;V'!$C$8:$C$252,'Lithium - Q&amp;V'!$D$8:$D$252,LEFT('FY Q&amp;V 2003-04 to Now'!AA$7,4),'Lithium - Q&amp;V'!$E$8:$E$252,3)+
SUMIFS('Lithium - Q&amp;V'!$C$8:$C$252,'Lithium - Q&amp;V'!$D$8:$D$252,LEFT('FY Q&amp;V 2003-04 to Now'!AA$7,4),'Lithium - Q&amp;V'!$E$8:$E$252,4)+
SUMIFS('Lithium - Q&amp;V'!$C$8:$C$252,'Lithium - Q&amp;V'!$D$8:$D$252,CONCATENATE("20",RIGHT('FY Q&amp;V 2003-04 to Now'!AA$7,2)),'Lithium - Q&amp;V'!$E$8:$E$252,1)+
SUMIFS('Lithium - Q&amp;V'!$C$8:$C$252,'Lithium - Q&amp;V'!$D$8:$D$252,CONCATENATE("20",RIGHT('FY Q&amp;V 2003-04 to Now'!AA$7,2)),'Lithium - Q&amp;V'!$E$8:$E$252,2))*1000000</f>
        <v>260721540</v>
      </c>
      <c r="AC61" s="1279">
        <f>(SUMIFS('Lithium - Q&amp;V'!$B$8:$B$252,'Lithium - Q&amp;V'!$D$8:$D$252,LEFT('FY Q&amp;V 2003-04 to Now'!AC$7,4),'Lithium - Q&amp;V'!$E$8:$E$252,3)+
SUMIFS('Lithium - Q&amp;V'!$B$8:$B$252,'Lithium - Q&amp;V'!$D$8:$D$252,LEFT('FY Q&amp;V 2003-04 to Now'!AC$7,4),'Lithium - Q&amp;V'!$E$8:$E$252,4)+
SUMIFS('Lithium - Q&amp;V'!$B$8:$B$252,'Lithium - Q&amp;V'!$D$8:$D$252,CONCATENATE("20",RIGHT('FY Q&amp;V 2003-04 to Now'!AC$7,2)),'Lithium - Q&amp;V'!$E$8:$E$252,1)+
SUMIFS('Lithium - Q&amp;V'!$B$8:$B$252,'Lithium - Q&amp;V'!$D$8:$D$252,CONCATENATE("20",RIGHT('FY Q&amp;V 2003-04 to Now'!AC$7,2)),'Lithium - Q&amp;V'!$E$8:$E$252,2))*1000</f>
        <v>914056.27500000002</v>
      </c>
      <c r="AD61" s="1279">
        <f>(SUMIFS('Lithium - Q&amp;V'!$C$8:$C$252,'Lithium - Q&amp;V'!$D$8:$D$252,LEFT('FY Q&amp;V 2003-04 to Now'!AC$7,4),'Lithium - Q&amp;V'!$E$8:$E$252,3)+
SUMIFS('Lithium - Q&amp;V'!$C$8:$C$252,'Lithium - Q&amp;V'!$D$8:$D$252,LEFT('FY Q&amp;V 2003-04 to Now'!AC$7,4),'Lithium - Q&amp;V'!$E$8:$E$252,4)+
SUMIFS('Lithium - Q&amp;V'!$C$8:$C$252,'Lithium - Q&amp;V'!$D$8:$D$252,CONCATENATE("20",RIGHT('FY Q&amp;V 2003-04 to Now'!AC$7,2)),'Lithium - Q&amp;V'!$E$8:$E$252,1)+
SUMIFS('Lithium - Q&amp;V'!$C$8:$C$252,'Lithium - Q&amp;V'!$D$8:$D$252,CONCATENATE("20",RIGHT('FY Q&amp;V 2003-04 to Now'!AC$7,2)),'Lithium - Q&amp;V'!$E$8:$E$252,2))*1000000</f>
        <v>595472095</v>
      </c>
      <c r="AE61" s="1291">
        <f>(SUMIFS('Lithium - Q&amp;V'!$B$8:$B$252,'Lithium - Q&amp;V'!$D$8:$D$252,LEFT('FY Q&amp;V 2003-04 to Now'!AE$7,4),'Lithium - Q&amp;V'!$E$8:$E$252,3)+
SUMIFS('Lithium - Q&amp;V'!$B$8:$B$252,'Lithium - Q&amp;V'!$D$8:$D$252,LEFT('FY Q&amp;V 2003-04 to Now'!AE$7,4),'Lithium - Q&amp;V'!$E$8:$E$252,4)+
SUMIFS('Lithium - Q&amp;V'!$B$8:$B$252,'Lithium - Q&amp;V'!$D$8:$D$252,CONCATENATE("20",RIGHT('FY Q&amp;V 2003-04 to Now'!AE$7,2)),'Lithium - Q&amp;V'!$E$8:$E$252,1)+
SUMIFS('Lithium - Q&amp;V'!$B$8:$B$252,'Lithium - Q&amp;V'!$D$8:$D$252,CONCATENATE("20",RIGHT('FY Q&amp;V 2003-04 to Now'!AE$7,2)),'Lithium - Q&amp;V'!$E$8:$E$252,2))*1000</f>
        <v>2138226.0175000001</v>
      </c>
      <c r="AF61" s="1279">
        <f>(SUMIFS('Lithium - Q&amp;V'!$C$8:$C$252,'Lithium - Q&amp;V'!$D$8:$D$252,LEFT('FY Q&amp;V 2003-04 to Now'!AE$7,4),'Lithium - Q&amp;V'!$E$8:$E$252,3)+
SUMIFS('Lithium - Q&amp;V'!$C$8:$C$252,'Lithium - Q&amp;V'!$D$8:$D$252,LEFT('FY Q&amp;V 2003-04 to Now'!AE$7,4),'Lithium - Q&amp;V'!$E$8:$E$252,4)+
SUMIFS('Lithium - Q&amp;V'!$C$8:$C$252,'Lithium - Q&amp;V'!$D$8:$D$252,CONCATENATE("20",RIGHT('FY Q&amp;V 2003-04 to Now'!AE$7,2)),'Lithium - Q&amp;V'!$E$8:$E$252,1)+
SUMIFS('Lithium - Q&amp;V'!$C$8:$C$252,'Lithium - Q&amp;V'!$D$8:$D$252,CONCATENATE("20",RIGHT('FY Q&amp;V 2003-04 to Now'!AE$7,2)),'Lithium - Q&amp;V'!$E$8:$E$252,2))*1000000</f>
        <v>1698466966.9999998</v>
      </c>
      <c r="AG61" s="1291">
        <f>(SUMIFS('Lithium - Q&amp;V'!$B$8:$B$252,'Lithium - Q&amp;V'!$D$8:$D$252,LEFT('FY Q&amp;V 2003-04 to Now'!AG$7,4),'Lithium - Q&amp;V'!$E$8:$E$252,3)+
SUMIFS('Lithium - Q&amp;V'!$B$8:$B$252,'Lithium - Q&amp;V'!$D$8:$D$252,LEFT('FY Q&amp;V 2003-04 to Now'!AG$7,4),'Lithium - Q&amp;V'!$E$8:$E$252,4)+
SUMIFS('Lithium - Q&amp;V'!$B$8:$B$252,'Lithium - Q&amp;V'!$D$8:$D$252,CONCATENATE("20",RIGHT('FY Q&amp;V 2003-04 to Now'!AG$7,2)),'Lithium - Q&amp;V'!$E$8:$E$252,1)+
SUMIFS('Lithium - Q&amp;V'!$B$8:$B$252,'Lithium - Q&amp;V'!$D$8:$D$252,CONCATENATE("20",RIGHT('FY Q&amp;V 2003-04 to Now'!AG$7,2)),'Lithium - Q&amp;V'!$E$8:$E$252,2))*1000</f>
        <v>1696907.6605</v>
      </c>
      <c r="AH61" s="1279">
        <f>(SUMIFS('Lithium - Q&amp;V'!$C$8:$C$252,'Lithium - Q&amp;V'!$D$8:$D$252,LEFT('FY Q&amp;V 2003-04 to Now'!AG$7,4),'Lithium - Q&amp;V'!$E$8:$E$252,3)+
SUMIFS('Lithium - Q&amp;V'!$C$8:$C$252,'Lithium - Q&amp;V'!$D$8:$D$252,LEFT('FY Q&amp;V 2003-04 to Now'!AG$7,4),'Lithium - Q&amp;V'!$E$8:$E$252,4)+
SUMIFS('Lithium - Q&amp;V'!$C$8:$C$252,'Lithium - Q&amp;V'!$D$8:$D$252,CONCATENATE("20",RIGHT('FY Q&amp;V 2003-04 to Now'!AG$7,2)),'Lithium - Q&amp;V'!$E$8:$E$252,1)+
SUMIFS('Lithium - Q&amp;V'!$C$8:$C$252,'Lithium - Q&amp;V'!$D$8:$D$252,CONCATENATE("20",RIGHT('FY Q&amp;V 2003-04 to Now'!AG$7,2)),'Lithium - Q&amp;V'!$E$8:$E$252,2))*1000000</f>
        <v>1661103499</v>
      </c>
      <c r="AI61" s="1291">
        <f>(SUMIFS('Lithium - Q&amp;V'!$B$8:$B$252,'Lithium - Q&amp;V'!$D$8:$D$252,LEFT('FY Q&amp;V 2003-04 to Now'!AI$7,4),'Lithium - Q&amp;V'!$E$8:$E$252,3)+
SUMIFS('Lithium - Q&amp;V'!$B$8:$B$252,'Lithium - Q&amp;V'!$D$8:$D$252,LEFT('FY Q&amp;V 2003-04 to Now'!AI$7,4),'Lithium - Q&amp;V'!$E$8:$E$252,4)+
SUMIFS('Lithium - Q&amp;V'!$B$8:$B$252,'Lithium - Q&amp;V'!$D$8:$D$252,CONCATENATE("20",RIGHT('FY Q&amp;V 2003-04 to Now'!AI$7,2)),'Lithium - Q&amp;V'!$E$8:$E$252,1)+
SUMIFS('Lithium - Q&amp;V'!$B$8:$B$252,'Lithium - Q&amp;V'!$D$8:$D$252,CONCATENATE("20",RIGHT('FY Q&amp;V 2003-04 to Now'!AI$7,2)),'Lithium - Q&amp;V'!$E$8:$E$252,2))*1000</f>
        <v>1459796.9205000002</v>
      </c>
      <c r="AJ61" s="1291">
        <v>998656158</v>
      </c>
      <c r="AK61" s="1291">
        <f>(SUMIFS('Lithium - Q&amp;V'!$B$8:$B$252,'Lithium - Q&amp;V'!$D$8:$D$252,LEFT('FY Q&amp;V 2003-04 to Now'!AK$7,4),'Lithium - Q&amp;V'!$E$8:$E$252,3)+
SUMIFS('Lithium - Q&amp;V'!$B$8:$B$252,'Lithium - Q&amp;V'!$D$8:$D$252,LEFT('FY Q&amp;V 2003-04 to Now'!AK$7,4),'Lithium - Q&amp;V'!$E$8:$E$252,4)+
SUMIFS('Lithium - Q&amp;V'!$B$8:$B$252,'Lithium - Q&amp;V'!$D$8:$D$252,CONCATENATE("20",RIGHT('FY Q&amp;V 2003-04 to Now'!AK$7,2)),'Lithium - Q&amp;V'!$E$8:$E$252,1)+
SUMIFS('Lithium - Q&amp;V'!$B$8:$B$252,'Lithium - Q&amp;V'!$D$8:$D$252,CONCATENATE("20",RIGHT('FY Q&amp;V 2003-04 to Now'!AK$7,2)),'Lithium - Q&amp;V'!$E$8:$E$252,2))*1000</f>
        <v>1627771.2169999999</v>
      </c>
      <c r="AL61" s="1291">
        <f>(SUMIFS('Lithium - Q&amp;V'!$C$8:$C$252,'Lithium - Q&amp;V'!$D$8:$D$252,LEFT('FY Q&amp;V 2003-04 to Now'!AK$7,4),'Lithium - Q&amp;V'!$E$8:$E$252,3)+
SUMIFS('Lithium - Q&amp;V'!$C$8:$C$252,'Lithium - Q&amp;V'!$D$8:$D$252,LEFT('FY Q&amp;V 2003-04 to Now'!AK$7,4),'Lithium - Q&amp;V'!$E$8:$E$252,4)+
SUMIFS('Lithium - Q&amp;V'!$C$8:$C$252,'Lithium - Q&amp;V'!$D$8:$D$252,CONCATENATE("20",RIGHT('FY Q&amp;V 2003-04 to Now'!AK$7,2)),'Lithium - Q&amp;V'!$E$8:$E$252,1)+
SUMIFS('Lithium - Q&amp;V'!$C$8:$C$252,'Lithium - Q&amp;V'!$D$8:$D$252,CONCATENATE("20",RIGHT('FY Q&amp;V 2003-04 to Now'!AK$7,2)),'Lithium - Q&amp;V'!$E$8:$E$252,2))*1000000</f>
        <v>938305026</v>
      </c>
      <c r="AM61" s="1279">
        <f>SUMIF($C$9:AL$9,1,$C61:AL61)</f>
        <v>11849162.640500002</v>
      </c>
      <c r="AN61" s="1279">
        <f>SUMIF($C$9:AL$9,0,$C61:AL61)</f>
        <v>7346843265.3499994</v>
      </c>
      <c r="AP61" s="573"/>
    </row>
    <row r="62" spans="1:42">
      <c r="A62" s="368" t="s">
        <v>311</v>
      </c>
      <c r="B62" s="353" t="s">
        <v>87</v>
      </c>
      <c r="C62" s="1279">
        <v>4714.8500000000004</v>
      </c>
      <c r="D62" s="1279">
        <v>142813138</v>
      </c>
      <c r="E62" s="1279">
        <v>1063.78</v>
      </c>
      <c r="F62" s="1279">
        <v>162828445</v>
      </c>
      <c r="G62" s="1279">
        <v>871.41</v>
      </c>
      <c r="H62" s="1279">
        <v>137838966</v>
      </c>
      <c r="I62" s="1279">
        <v>551.98</v>
      </c>
      <c r="J62" s="1279">
        <v>104477616</v>
      </c>
      <c r="K62" s="1279">
        <v>578.25</v>
      </c>
      <c r="L62" s="1279" t="s">
        <v>785</v>
      </c>
      <c r="M62" s="1279">
        <v>453.25</v>
      </c>
      <c r="N62" s="1279" t="s">
        <v>785</v>
      </c>
      <c r="O62" s="1279" t="s">
        <v>236</v>
      </c>
      <c r="P62" s="1279" t="s">
        <v>785</v>
      </c>
      <c r="Q62" s="1279">
        <v>94.98</v>
      </c>
      <c r="R62" s="1279" t="s">
        <v>785</v>
      </c>
      <c r="S62" s="1279">
        <v>346.55</v>
      </c>
      <c r="T62" s="1279">
        <v>49931724</v>
      </c>
      <c r="U62" s="1279">
        <v>201.22</v>
      </c>
      <c r="V62" s="1279">
        <v>17940739</v>
      </c>
      <c r="W62" s="1279">
        <v>58</v>
      </c>
      <c r="X62" s="1279">
        <v>4074774</v>
      </c>
      <c r="Y62" s="1279">
        <v>70.37</v>
      </c>
      <c r="Z62" s="1279" t="s">
        <v>785</v>
      </c>
      <c r="AA62" s="1279">
        <v>182.9</v>
      </c>
      <c r="AB62" s="1279" t="s">
        <v>785</v>
      </c>
      <c r="AC62" s="1279">
        <v>54</v>
      </c>
      <c r="AD62" s="1279" t="s">
        <v>785</v>
      </c>
      <c r="AE62" s="1291">
        <v>81.406000000000006</v>
      </c>
      <c r="AF62" s="1279" t="s">
        <v>785</v>
      </c>
      <c r="AG62" s="1291">
        <v>200</v>
      </c>
      <c r="AH62" s="1279" t="s">
        <v>785</v>
      </c>
      <c r="AI62" s="1291">
        <v>191</v>
      </c>
      <c r="AJ62" s="1279" t="s">
        <v>785</v>
      </c>
      <c r="AK62" s="1279">
        <v>108.46500000000002</v>
      </c>
      <c r="AL62" s="1279" t="s">
        <v>785</v>
      </c>
      <c r="AM62" s="1279">
        <f>SUMIF($C$9:AL$9,1,$C62:AL62)</f>
        <v>9822.4110000000001</v>
      </c>
      <c r="AN62" s="1279">
        <f>SUMIF($C$9:AL$9,0,$C62:AL62)</f>
        <v>619905402</v>
      </c>
      <c r="AP62" s="573"/>
    </row>
    <row r="63" spans="1:42">
      <c r="A63" s="368" t="s">
        <v>312</v>
      </c>
      <c r="B63" s="353" t="s">
        <v>87</v>
      </c>
      <c r="C63" s="1279">
        <v>538.17999999999995</v>
      </c>
      <c r="D63" s="1279">
        <v>4551176</v>
      </c>
      <c r="E63" s="1279">
        <v>383.79</v>
      </c>
      <c r="F63" s="1279">
        <v>4107192</v>
      </c>
      <c r="G63" s="1279">
        <v>609.91999999999996</v>
      </c>
      <c r="H63" s="1279">
        <v>5919842</v>
      </c>
      <c r="I63" s="1279">
        <v>458.83</v>
      </c>
      <c r="J63" s="1279">
        <v>6245046</v>
      </c>
      <c r="K63" s="1279">
        <v>117.59</v>
      </c>
      <c r="L63" s="1279" t="s">
        <v>785</v>
      </c>
      <c r="M63" s="1279">
        <v>175.43</v>
      </c>
      <c r="N63" s="1279" t="s">
        <v>785</v>
      </c>
      <c r="O63" s="1279">
        <v>107.1</v>
      </c>
      <c r="P63" s="1279">
        <v>1300631</v>
      </c>
      <c r="Q63" s="1279">
        <v>21.53</v>
      </c>
      <c r="R63" s="1279">
        <v>281633</v>
      </c>
      <c r="S63" s="1279">
        <v>62.19</v>
      </c>
      <c r="T63" s="1279">
        <v>1372580</v>
      </c>
      <c r="U63" s="1279">
        <v>193.05</v>
      </c>
      <c r="V63" s="1279">
        <v>2703339</v>
      </c>
      <c r="W63" s="1279">
        <v>0</v>
      </c>
      <c r="X63" s="1279">
        <v>0</v>
      </c>
      <c r="Y63" s="1279">
        <v>14.19</v>
      </c>
      <c r="Z63" s="1279" t="s">
        <v>785</v>
      </c>
      <c r="AA63" s="1279">
        <v>21.73</v>
      </c>
      <c r="AB63" s="1279" t="s">
        <v>785</v>
      </c>
      <c r="AC63" s="1279">
        <v>41</v>
      </c>
      <c r="AD63" s="1279" t="s">
        <v>785</v>
      </c>
      <c r="AE63" s="1291">
        <v>61.510000000000005</v>
      </c>
      <c r="AF63" s="1279" t="s">
        <v>785</v>
      </c>
      <c r="AG63" s="1291">
        <v>82.693999999999988</v>
      </c>
      <c r="AH63" s="1279" t="s">
        <v>785</v>
      </c>
      <c r="AI63" s="1291">
        <v>150</v>
      </c>
      <c r="AJ63" s="1279" t="s">
        <v>785</v>
      </c>
      <c r="AK63" s="1279">
        <v>54.863999999999997</v>
      </c>
      <c r="AL63" s="1279" t="s">
        <v>785</v>
      </c>
      <c r="AM63" s="1279">
        <f>SUMIF($C$9:AL$9,1,$C63:AL63)</f>
        <v>3093.5980000000004</v>
      </c>
      <c r="AN63" s="1279">
        <f>SUMIF($C$9:AL$9,0,$C63:AL63)</f>
        <v>26481439</v>
      </c>
      <c r="AP63" s="573"/>
    </row>
    <row r="64" spans="1:42">
      <c r="A64" s="369" t="s">
        <v>781</v>
      </c>
      <c r="B64" s="361"/>
      <c r="C64" s="1178"/>
      <c r="D64" s="1279">
        <v>168745917</v>
      </c>
      <c r="E64" s="1279"/>
      <c r="F64" s="1279">
        <v>190401808</v>
      </c>
      <c r="G64" s="1279"/>
      <c r="H64" s="1279">
        <v>180395270</v>
      </c>
      <c r="I64" s="1279"/>
      <c r="J64" s="1279">
        <v>182923606</v>
      </c>
      <c r="K64" s="1279"/>
      <c r="L64" s="1279">
        <v>174630111</v>
      </c>
      <c r="M64" s="1279"/>
      <c r="N64" s="1279">
        <v>162596005</v>
      </c>
      <c r="O64" s="1279"/>
      <c r="P64" s="1279">
        <v>74737442</v>
      </c>
      <c r="Q64" s="1279"/>
      <c r="R64" s="1279">
        <v>131425734</v>
      </c>
      <c r="S64" s="1279"/>
      <c r="T64" s="1279">
        <v>189718125</v>
      </c>
      <c r="U64" s="1279"/>
      <c r="V64" s="1279">
        <v>199430762</v>
      </c>
      <c r="W64" s="1279"/>
      <c r="X64" s="1279">
        <v>154639152</v>
      </c>
      <c r="Y64" s="1279"/>
      <c r="Z64" s="1279">
        <v>251051748</v>
      </c>
      <c r="AA64" s="1279"/>
      <c r="AB64" s="1279">
        <v>269771196</v>
      </c>
      <c r="AC64" s="1279"/>
      <c r="AD64" s="1279">
        <v>605605793</v>
      </c>
      <c r="AE64" s="1291"/>
      <c r="AF64" s="1291">
        <v>1717016340</v>
      </c>
      <c r="AG64" s="1291"/>
      <c r="AH64" s="1279">
        <v>1701396903</v>
      </c>
      <c r="AI64" s="1291"/>
      <c r="AJ64" s="1279">
        <v>1029879825</v>
      </c>
      <c r="AK64" s="1279"/>
      <c r="AL64" s="1279">
        <v>953754802</v>
      </c>
      <c r="AM64" s="1279"/>
      <c r="AN64" s="1279">
        <f>SUMIF($C$9:AL$9,0,$C64:AL64)</f>
        <v>8338120539</v>
      </c>
    </row>
    <row r="65" spans="1:45" s="535" customFormat="1">
      <c r="A65" s="369"/>
      <c r="B65" s="361"/>
      <c r="C65" s="1178"/>
      <c r="D65" s="1279"/>
      <c r="E65" s="1279"/>
      <c r="F65" s="1279"/>
      <c r="G65" s="1279"/>
      <c r="H65" s="1279"/>
      <c r="I65" s="1279"/>
      <c r="J65" s="1279"/>
      <c r="K65" s="1279"/>
      <c r="L65" s="1279"/>
      <c r="M65" s="1279"/>
      <c r="N65" s="1279"/>
      <c r="O65" s="1279"/>
      <c r="P65" s="1279"/>
      <c r="Q65" s="1279"/>
      <c r="R65" s="1279"/>
      <c r="S65" s="1279"/>
      <c r="T65" s="1279"/>
      <c r="U65" s="1279"/>
      <c r="V65" s="1279"/>
      <c r="W65" s="1279"/>
      <c r="X65" s="1279"/>
      <c r="Y65" s="1279"/>
      <c r="Z65" s="1279"/>
      <c r="AA65" s="1279"/>
      <c r="AB65" s="1279"/>
      <c r="AC65" s="1279"/>
      <c r="AD65" s="1279"/>
      <c r="AE65" s="1291"/>
      <c r="AF65" s="1279"/>
      <c r="AG65" s="1291"/>
      <c r="AH65" s="1279"/>
      <c r="AI65" s="1291"/>
      <c r="AJ65" s="1279"/>
      <c r="AK65" s="1279"/>
      <c r="AL65" s="1279"/>
      <c r="AM65" s="1279"/>
      <c r="AN65" s="1279"/>
    </row>
    <row r="66" spans="1:45">
      <c r="A66" s="1496" t="s">
        <v>256</v>
      </c>
      <c r="B66" s="1511" t="s">
        <v>87</v>
      </c>
      <c r="C66" s="1512">
        <v>281241</v>
      </c>
      <c r="D66" s="1512" t="s">
        <v>785</v>
      </c>
      <c r="E66" s="1512">
        <v>293148.90999999997</v>
      </c>
      <c r="F66" s="1512" t="s">
        <v>785</v>
      </c>
      <c r="G66" s="1512">
        <v>402542.48</v>
      </c>
      <c r="H66" s="1512" t="s">
        <v>785</v>
      </c>
      <c r="I66" s="1512">
        <v>426651.75</v>
      </c>
      <c r="J66" s="1512" t="s">
        <v>785</v>
      </c>
      <c r="K66" s="1512">
        <v>373470.27</v>
      </c>
      <c r="L66" s="1512" t="s">
        <v>785</v>
      </c>
      <c r="M66" s="1512">
        <v>419269.89</v>
      </c>
      <c r="N66" s="1512">
        <v>226007453</v>
      </c>
      <c r="O66" s="1512">
        <v>746742.34</v>
      </c>
      <c r="P66" s="1512">
        <v>382592192</v>
      </c>
      <c r="Q66" s="1512">
        <v>873063.68</v>
      </c>
      <c r="R66" s="1512">
        <v>392302135</v>
      </c>
      <c r="S66" s="1512">
        <v>846292.54</v>
      </c>
      <c r="T66" s="1512">
        <v>331693574</v>
      </c>
      <c r="U66" s="1512">
        <v>649695.39</v>
      </c>
      <c r="V66" s="1512" t="s">
        <v>785</v>
      </c>
      <c r="W66" s="1512">
        <v>711536.3</v>
      </c>
      <c r="X66" s="1512" t="s">
        <v>785</v>
      </c>
      <c r="Y66" s="1512">
        <v>800985</v>
      </c>
      <c r="Z66" s="1512" t="s">
        <v>785</v>
      </c>
      <c r="AA66" s="1512">
        <v>425303.35</v>
      </c>
      <c r="AB66" s="1512">
        <v>146188090</v>
      </c>
      <c r="AC66" s="1499">
        <v>236565.08000000002</v>
      </c>
      <c r="AD66" s="1512" t="s">
        <v>785</v>
      </c>
      <c r="AE66" s="1499">
        <v>378889.47</v>
      </c>
      <c r="AF66" s="1512">
        <v>282549758</v>
      </c>
      <c r="AG66" s="1499">
        <v>572835.74</v>
      </c>
      <c r="AH66" s="268">
        <v>477281090</v>
      </c>
      <c r="AI66" s="1499">
        <v>554483.04</v>
      </c>
      <c r="AJ66" s="268">
        <v>359186308</v>
      </c>
      <c r="AK66" s="1512">
        <v>467659.76</v>
      </c>
      <c r="AL66" s="1512" t="s">
        <v>785</v>
      </c>
      <c r="AM66" s="1499">
        <f>SUMIF($C$9:AL$9,1,$C66:AL66)</f>
        <v>9460375.9899999965</v>
      </c>
      <c r="AN66" s="1512">
        <f>SUMIF($C$9:AL$9,0,$C66:AL66)</f>
        <v>2597800600</v>
      </c>
    </row>
    <row r="67" spans="1:45">
      <c r="A67" s="1496"/>
      <c r="B67" s="1511"/>
      <c r="C67" s="1487"/>
      <c r="D67" s="1512"/>
      <c r="E67" s="1487"/>
      <c r="F67" s="1512"/>
      <c r="G67" s="1487"/>
      <c r="H67" s="1512"/>
      <c r="I67" s="1487"/>
      <c r="J67" s="1512"/>
      <c r="K67" s="1487"/>
      <c r="L67" s="1512"/>
      <c r="M67" s="1487"/>
      <c r="N67" s="1487"/>
      <c r="O67" s="1487"/>
      <c r="P67" s="1487"/>
      <c r="Q67" s="1487"/>
      <c r="R67" s="1487"/>
      <c r="S67" s="1487"/>
      <c r="T67" s="1487"/>
      <c r="U67" s="1487"/>
      <c r="V67" s="1487"/>
      <c r="W67" s="1487"/>
      <c r="X67" s="1487"/>
      <c r="Y67" s="1487"/>
      <c r="Z67" s="1487"/>
      <c r="AA67" s="1487"/>
      <c r="AB67" s="1487"/>
      <c r="AC67" s="1487"/>
      <c r="AD67" s="1487"/>
      <c r="AE67" s="1498"/>
      <c r="AF67" s="1487"/>
      <c r="AG67" s="1498"/>
      <c r="AH67" s="1487"/>
      <c r="AI67" s="1498"/>
      <c r="AJ67" s="1487"/>
      <c r="AK67" s="1487"/>
      <c r="AL67" s="1487"/>
      <c r="AM67" s="1499"/>
      <c r="AN67" s="1512"/>
    </row>
    <row r="68" spans="1:45">
      <c r="A68" s="365" t="s">
        <v>258</v>
      </c>
      <c r="B68" s="353"/>
      <c r="C68" s="1301"/>
      <c r="D68" s="1289"/>
      <c r="E68" s="1301"/>
      <c r="F68" s="1289"/>
      <c r="G68" s="1301"/>
      <c r="H68" s="1289"/>
      <c r="I68" s="1301"/>
      <c r="J68" s="1289"/>
      <c r="K68" s="1301"/>
      <c r="L68" s="1289"/>
      <c r="M68" s="1301"/>
      <c r="N68" s="1289"/>
      <c r="O68" s="1301"/>
      <c r="P68" s="1289"/>
      <c r="Q68" s="1301"/>
      <c r="R68" s="1289"/>
      <c r="S68" s="1301"/>
      <c r="T68" s="1289"/>
      <c r="U68" s="1301"/>
      <c r="V68" s="1289"/>
      <c r="W68" s="1301"/>
      <c r="X68" s="1289"/>
      <c r="Y68" s="1301"/>
      <c r="Z68" s="1289"/>
      <c r="AA68" s="1301"/>
      <c r="AB68" s="1289"/>
      <c r="AC68" s="1289"/>
      <c r="AD68" s="1289"/>
      <c r="AE68" s="1290"/>
      <c r="AF68" s="1289"/>
      <c r="AG68" s="1303"/>
      <c r="AH68" s="1302"/>
      <c r="AI68" s="1303"/>
      <c r="AJ68" s="1302"/>
      <c r="AK68" s="1302"/>
      <c r="AL68" s="1302"/>
      <c r="AM68" s="1302"/>
      <c r="AN68" s="1280"/>
      <c r="AO68" s="387"/>
    </row>
    <row r="69" spans="1:45">
      <c r="A69" s="368" t="s">
        <v>301</v>
      </c>
      <c r="B69" s="353" t="s">
        <v>87</v>
      </c>
      <c r="C69" s="1301">
        <f>(SUMIFS('Other Commodities - Q&amp;V'!$J$8:$J$250,'Other Commodities - Q&amp;V'!$N$8:$N$250,LEFT('FY Q&amp;V 2003-04 to Now'!C$7,4),'Other Commodities - Q&amp;V'!$O$8:$O$250,3)+
SUMIFS('Other Commodities - Q&amp;V'!$J$8:$J$250,'Other Commodities - Q&amp;V'!$N$8:$N$250,LEFT('FY Q&amp;V 2003-04 to Now'!C$7,4),'Other Commodities - Q&amp;V'!$O$8:$O$250,4)+
SUMIFS('Other Commodities - Q&amp;V'!$J$8:$J$250,'Other Commodities - Q&amp;V'!$N$8:$N$250,CONCATENATE("20",RIGHT('FY Q&amp;V 2003-04 to Now'!C$7,2)),'Other Commodities - Q&amp;V'!$O$8:$O$250,1)+
SUMIFS('Other Commodities - Q&amp;V'!$J$8:$J$250,'Other Commodities - Q&amp;V'!$N$8:$N$250,CONCATENATE("20",RIGHT('FY Q&amp;V 2003-04 to Now'!C$7,2)),'Other Commodities - Q&amp;V'!$O$8:$O$250,2))*1000</f>
        <v>4673.7269999999999</v>
      </c>
      <c r="D69" s="1289">
        <f>(SUMIFS('Other Commodities - Q&amp;V'!$K$8:$K$250,'Other Commodities - Q&amp;V'!$N$8:$N$250,LEFT('FY Q&amp;V 2003-04 to Now'!C$7,4),'Other Commodities - Q&amp;V'!$O$8:$O$250,3)+
SUMIFS('Other Commodities - Q&amp;V'!$K$8:$K$250,'Other Commodities - Q&amp;V'!$N$8:$N$250,LEFT('FY Q&amp;V 2003-04 to Now'!C$7,4),'Other Commodities - Q&amp;V'!$O$8:$O$250,4)+
SUMIFS('Other Commodities - Q&amp;V'!$K$8:$K$250,'Other Commodities - Q&amp;V'!$N$8:$N$250,CONCATENATE("20",RIGHT('FY Q&amp;V 2003-04 to Now'!C$7,2)),'Other Commodities - Q&amp;V'!$O$8:$O$250,1)+
SUMIFS('Other Commodities - Q&amp;V'!$K$8:$K$250,'Other Commodities - Q&amp;V'!$N$8:$N$250,CONCATENATE("20",RIGHT('FY Q&amp;V 2003-04 to Now'!C$7,2)),'Other Commodities - Q&amp;V'!$O$8:$O$250,2))*1000000</f>
        <v>214514960.00000003</v>
      </c>
      <c r="E69" s="1301">
        <f>(SUMIFS('Other Commodities - Q&amp;V'!$J$8:$J$250,'Other Commodities - Q&amp;V'!$N$8:$N$250,LEFT('FY Q&amp;V 2003-04 to Now'!E$7,4),'Other Commodities - Q&amp;V'!$O$8:$O$250,3)+
SUMIFS('Other Commodities - Q&amp;V'!$J$8:$J$250,'Other Commodities - Q&amp;V'!$N$8:$N$250,LEFT('FY Q&amp;V 2003-04 to Now'!E$7,4),'Other Commodities - Q&amp;V'!$O$8:$O$250,4)+
SUMIFS('Other Commodities - Q&amp;V'!$J$8:$J$250,'Other Commodities - Q&amp;V'!$N$8:$N$250,CONCATENATE("20",RIGHT('FY Q&amp;V 2003-04 to Now'!E$7,2)),'Other Commodities - Q&amp;V'!$O$8:$O$250,1)+
SUMIFS('Other Commodities - Q&amp;V'!$J$8:$J$250,'Other Commodities - Q&amp;V'!$N$8:$N$250,CONCATENATE("20",RIGHT('FY Q&amp;V 2003-04 to Now'!E$7,2)),'Other Commodities - Q&amp;V'!$O$8:$O$250,2))*1000</f>
        <v>4338.49</v>
      </c>
      <c r="F69" s="1289">
        <f>(SUMIFS('Other Commodities - Q&amp;V'!$K$8:$K$250,'Other Commodities - Q&amp;V'!$N$8:$N$250,LEFT('FY Q&amp;V 2003-04 to Now'!E$7,4),'Other Commodities - Q&amp;V'!$O$8:$O$250,3)+
SUMIFS('Other Commodities - Q&amp;V'!$K$8:$K$250,'Other Commodities - Q&amp;V'!$N$8:$N$250,LEFT('FY Q&amp;V 2003-04 to Now'!E$7,4),'Other Commodities - Q&amp;V'!$O$8:$O$250,4)+
SUMIFS('Other Commodities - Q&amp;V'!$K$8:$K$250,'Other Commodities - Q&amp;V'!$N$8:$N$250,CONCATENATE("20",RIGHT('FY Q&amp;V 2003-04 to Now'!E$7,2)),'Other Commodities - Q&amp;V'!$O$8:$O$250,1)+
SUMIFS('Other Commodities - Q&amp;V'!$K$8:$K$250,'Other Commodities - Q&amp;V'!$N$8:$N$250,CONCATENATE("20",RIGHT('FY Q&amp;V 2003-04 to Now'!E$7,2)),'Other Commodities - Q&amp;V'!$O$8:$O$250,2))*1000000</f>
        <v>203263544.00000003</v>
      </c>
      <c r="G69" s="1301">
        <f>(SUMIFS('Other Commodities - Q&amp;V'!$J$8:$J$250,'Other Commodities - Q&amp;V'!$N$8:$N$250,LEFT('FY Q&amp;V 2003-04 to Now'!G$7,4),'Other Commodities - Q&amp;V'!$O$8:$O$250,3)+
SUMIFS('Other Commodities - Q&amp;V'!$J$8:$J$250,'Other Commodities - Q&amp;V'!$N$8:$N$250,LEFT('FY Q&amp;V 2003-04 to Now'!G$7,4),'Other Commodities - Q&amp;V'!$O$8:$O$250,4)+
SUMIFS('Other Commodities - Q&amp;V'!$J$8:$J$250,'Other Commodities - Q&amp;V'!$N$8:$N$250,CONCATENATE("20",RIGHT('FY Q&amp;V 2003-04 to Now'!G$7,2)),'Other Commodities - Q&amp;V'!$O$8:$O$250,1)+
SUMIFS('Other Commodities - Q&amp;V'!$J$8:$J$250,'Other Commodities - Q&amp;V'!$N$8:$N$250,CONCATENATE("20",RIGHT('FY Q&amp;V 2003-04 to Now'!G$7,2)),'Other Commodities - Q&amp;V'!$O$8:$O$250,2))*1000</f>
        <v>5029.3550000000005</v>
      </c>
      <c r="H69" s="1289">
        <f>(SUMIFS('Other Commodities - Q&amp;V'!$K$8:$K$250,'Other Commodities - Q&amp;V'!$N$8:$N$250,LEFT('FY Q&amp;V 2003-04 to Now'!G$7,4),'Other Commodities - Q&amp;V'!$O$8:$O$250,3)+
SUMIFS('Other Commodities - Q&amp;V'!$K$8:$K$250,'Other Commodities - Q&amp;V'!$N$8:$N$250,LEFT('FY Q&amp;V 2003-04 to Now'!G$7,4),'Other Commodities - Q&amp;V'!$O$8:$O$250,4)+
SUMIFS('Other Commodities - Q&amp;V'!$K$8:$K$250,'Other Commodities - Q&amp;V'!$N$8:$N$250,CONCATENATE("20",RIGHT('FY Q&amp;V 2003-04 to Now'!G$7,2)),'Other Commodities - Q&amp;V'!$O$8:$O$250,1)+
SUMIFS('Other Commodities - Q&amp;V'!$K$8:$K$250,'Other Commodities - Q&amp;V'!$N$8:$N$250,CONCATENATE("20",RIGHT('FY Q&amp;V 2003-04 to Now'!G$7,2)),'Other Commodities - Q&amp;V'!$O$8:$O$250,2))*1000000</f>
        <v>184907807</v>
      </c>
      <c r="I69" s="1301">
        <f>(SUMIFS('Other Commodities - Q&amp;V'!$J$8:$J$250,'Other Commodities - Q&amp;V'!$N$8:$N$250,LEFT('FY Q&amp;V 2003-04 to Now'!I$7,4),'Other Commodities - Q&amp;V'!$O$8:$O$250,3)+
SUMIFS('Other Commodities - Q&amp;V'!$J$8:$J$250,'Other Commodities - Q&amp;V'!$N$8:$N$250,LEFT('FY Q&amp;V 2003-04 to Now'!I$7,4),'Other Commodities - Q&amp;V'!$O$8:$O$250,4)+
SUMIFS('Other Commodities - Q&amp;V'!$J$8:$J$250,'Other Commodities - Q&amp;V'!$N$8:$N$250,CONCATENATE("20",RIGHT('FY Q&amp;V 2003-04 to Now'!I$7,2)),'Other Commodities - Q&amp;V'!$O$8:$O$250,1)+
SUMIFS('Other Commodities - Q&amp;V'!$J$8:$J$250,'Other Commodities - Q&amp;V'!$N$8:$N$250,CONCATENATE("20",RIGHT('FY Q&amp;V 2003-04 to Now'!I$7,2)),'Other Commodities - Q&amp;V'!$O$8:$O$250,2))*1000</f>
        <v>4656.7780000000002</v>
      </c>
      <c r="J69" s="1289">
        <f>(SUMIFS('Other Commodities - Q&amp;V'!$K$8:$K$250,'Other Commodities - Q&amp;V'!$N$8:$N$250,LEFT('FY Q&amp;V 2003-04 to Now'!I$7,4),'Other Commodities - Q&amp;V'!$O$8:$O$250,3)+
SUMIFS('Other Commodities - Q&amp;V'!$K$8:$K$250,'Other Commodities - Q&amp;V'!$N$8:$N$250,LEFT('FY Q&amp;V 2003-04 to Now'!I$7,4),'Other Commodities - Q&amp;V'!$O$8:$O$250,4)+
SUMIFS('Other Commodities - Q&amp;V'!$K$8:$K$250,'Other Commodities - Q&amp;V'!$N$8:$N$250,CONCATENATE("20",RIGHT('FY Q&amp;V 2003-04 to Now'!I$7,2)),'Other Commodities - Q&amp;V'!$O$8:$O$250,1)+
SUMIFS('Other Commodities - Q&amp;V'!$K$8:$K$250,'Other Commodities - Q&amp;V'!$N$8:$N$250,CONCATENATE("20",RIGHT('FY Q&amp;V 2003-04 to Now'!I$7,2)),'Other Commodities - Q&amp;V'!$O$8:$O$250,2))*1000000</f>
        <v>277492827.00000006</v>
      </c>
      <c r="K69" s="1301">
        <f>(SUMIFS('Other Commodities - Q&amp;V'!$J$8:$J$250,'Other Commodities - Q&amp;V'!$N$8:$N$250,LEFT('FY Q&amp;V 2003-04 to Now'!K$7,4),'Other Commodities - Q&amp;V'!$O$8:$O$250,3)+
SUMIFS('Other Commodities - Q&amp;V'!$J$8:$J$250,'Other Commodities - Q&amp;V'!$N$8:$N$250,LEFT('FY Q&amp;V 2003-04 to Now'!K$7,4),'Other Commodities - Q&amp;V'!$O$8:$O$250,4)+
SUMIFS('Other Commodities - Q&amp;V'!$J$8:$J$250,'Other Commodities - Q&amp;V'!$N$8:$N$250,CONCATENATE("20",RIGHT('FY Q&amp;V 2003-04 to Now'!K$7,2)),'Other Commodities - Q&amp;V'!$O$8:$O$250,1)+
SUMIFS('Other Commodities - Q&amp;V'!$J$8:$J$250,'Other Commodities - Q&amp;V'!$N$8:$N$250,CONCATENATE("20",RIGHT('FY Q&amp;V 2003-04 to Now'!K$7,2)),'Other Commodities - Q&amp;V'!$O$8:$O$250,2))*1000</f>
        <v>5072.831000000001</v>
      </c>
      <c r="L69" s="1289">
        <f>(SUMIFS('Other Commodities - Q&amp;V'!$K$8:$K$250,'Other Commodities - Q&amp;V'!$N$8:$N$250,LEFT('FY Q&amp;V 2003-04 to Now'!K$7,4),'Other Commodities - Q&amp;V'!$O$8:$O$250,3)+
SUMIFS('Other Commodities - Q&amp;V'!$K$8:$K$250,'Other Commodities - Q&amp;V'!$N$8:$N$250,LEFT('FY Q&amp;V 2003-04 to Now'!K$7,4),'Other Commodities - Q&amp;V'!$O$8:$O$250,4)+
SUMIFS('Other Commodities - Q&amp;V'!$K$8:$K$250,'Other Commodities - Q&amp;V'!$N$8:$N$250,CONCATENATE("20",RIGHT('FY Q&amp;V 2003-04 to Now'!K$7,2)),'Other Commodities - Q&amp;V'!$O$8:$O$250,1)+
SUMIFS('Other Commodities - Q&amp;V'!$K$8:$K$250,'Other Commodities - Q&amp;V'!$N$8:$N$250,CONCATENATE("20",RIGHT('FY Q&amp;V 2003-04 to Now'!K$7,2)),'Other Commodities - Q&amp;V'!$O$8:$O$250,2))*1000000</f>
        <v>443055397</v>
      </c>
      <c r="M69" s="1301">
        <f>(SUMIFS('Other Commodities - Q&amp;V'!$J$8:$J$250,'Other Commodities - Q&amp;V'!$N$8:$N$250,LEFT('FY Q&amp;V 2003-04 to Now'!M$7,4),'Other Commodities - Q&amp;V'!$O$8:$O$250,3)+
SUMIFS('Other Commodities - Q&amp;V'!$J$8:$J$250,'Other Commodities - Q&amp;V'!$N$8:$N$250,LEFT('FY Q&amp;V 2003-04 to Now'!M$7,4),'Other Commodities - Q&amp;V'!$O$8:$O$250,4)+
SUMIFS('Other Commodities - Q&amp;V'!$J$8:$J$250,'Other Commodities - Q&amp;V'!$N$8:$N$250,CONCATENATE("20",RIGHT('FY Q&amp;V 2003-04 to Now'!M$7,2)),'Other Commodities - Q&amp;V'!$O$8:$O$250,1)+
SUMIFS('Other Commodities - Q&amp;V'!$J$8:$J$250,'Other Commodities - Q&amp;V'!$N$8:$N$250,CONCATENATE("20",RIGHT('FY Q&amp;V 2003-04 to Now'!M$7,2)),'Other Commodities - Q&amp;V'!$O$8:$O$250,2))*1000</f>
        <v>4674.9679999999998</v>
      </c>
      <c r="N69" s="1289">
        <f>(SUMIFS('Other Commodities - Q&amp;V'!$K$8:$K$250,'Other Commodities - Q&amp;V'!$N$8:$N$250,LEFT('FY Q&amp;V 2003-04 to Now'!M$7,4),'Other Commodities - Q&amp;V'!$O$8:$O$250,3)+
SUMIFS('Other Commodities - Q&amp;V'!$K$8:$K$250,'Other Commodities - Q&amp;V'!$N$8:$N$250,LEFT('FY Q&amp;V 2003-04 to Now'!M$7,4),'Other Commodities - Q&amp;V'!$O$8:$O$250,4)+
SUMIFS('Other Commodities - Q&amp;V'!$K$8:$K$250,'Other Commodities - Q&amp;V'!$N$8:$N$250,CONCATENATE("20",RIGHT('FY Q&amp;V 2003-04 to Now'!M$7,2)),'Other Commodities - Q&amp;V'!$O$8:$O$250,1)+
SUMIFS('Other Commodities - Q&amp;V'!$K$8:$K$250,'Other Commodities - Q&amp;V'!$N$8:$N$250,CONCATENATE("20",RIGHT('FY Q&amp;V 2003-04 to Now'!M$7,2)),'Other Commodities - Q&amp;V'!$O$8:$O$250,2))*1000000</f>
        <v>219071343.99999997</v>
      </c>
      <c r="O69" s="1301">
        <f>(SUMIFS('Other Commodities - Q&amp;V'!$J$8:$J$250,'Other Commodities - Q&amp;V'!$N$8:$N$250,LEFT('FY Q&amp;V 2003-04 to Now'!O$7,4),'Other Commodities - Q&amp;V'!$O$8:$O$250,3)+
SUMIFS('Other Commodities - Q&amp;V'!$J$8:$J$250,'Other Commodities - Q&amp;V'!$N$8:$N$250,LEFT('FY Q&amp;V 2003-04 to Now'!O$7,4),'Other Commodities - Q&amp;V'!$O$8:$O$250,4)+
SUMIFS('Other Commodities - Q&amp;V'!$J$8:$J$250,'Other Commodities - Q&amp;V'!$N$8:$N$250,CONCATENATE("20",RIGHT('FY Q&amp;V 2003-04 to Now'!O$7,2)),'Other Commodities - Q&amp;V'!$O$8:$O$250,1)+
SUMIFS('Other Commodities - Q&amp;V'!$J$8:$J$250,'Other Commodities - Q&amp;V'!$N$8:$N$250,CONCATENATE("20",RIGHT('FY Q&amp;V 2003-04 to Now'!O$7,2)),'Other Commodities - Q&amp;V'!$O$8:$O$250,2))*1000</f>
        <v>4398.4319999999998</v>
      </c>
      <c r="P69" s="1289">
        <f>(SUMIFS('Other Commodities - Q&amp;V'!$K$8:$K$250,'Other Commodities - Q&amp;V'!$N$8:$N$250,LEFT('FY Q&amp;V 2003-04 to Now'!O$7,4),'Other Commodities - Q&amp;V'!$O$8:$O$250,3)+
SUMIFS('Other Commodities - Q&amp;V'!$K$8:$K$250,'Other Commodities - Q&amp;V'!$N$8:$N$250,LEFT('FY Q&amp;V 2003-04 to Now'!O$7,4),'Other Commodities - Q&amp;V'!$O$8:$O$250,4)+
SUMIFS('Other Commodities - Q&amp;V'!$K$8:$K$250,'Other Commodities - Q&amp;V'!$N$8:$N$250,CONCATENATE("20",RIGHT('FY Q&amp;V 2003-04 to Now'!O$7,2)),'Other Commodities - Q&amp;V'!$O$8:$O$250,1)+
SUMIFS('Other Commodities - Q&amp;V'!$K$8:$K$250,'Other Commodities - Q&amp;V'!$N$8:$N$250,CONCATENATE("20",RIGHT('FY Q&amp;V 2003-04 to Now'!O$7,2)),'Other Commodities - Q&amp;V'!$O$8:$O$250,2))*1000000</f>
        <v>193325946</v>
      </c>
      <c r="Q69" s="1301">
        <f>(SUMIFS('Other Commodities - Q&amp;V'!$J$8:$J$250,'Other Commodities - Q&amp;V'!$N$8:$N$250,LEFT('FY Q&amp;V 2003-04 to Now'!Q$7,4),'Other Commodities - Q&amp;V'!$O$8:$O$250,3)+
SUMIFS('Other Commodities - Q&amp;V'!$J$8:$J$250,'Other Commodities - Q&amp;V'!$N$8:$N$250,LEFT('FY Q&amp;V 2003-04 to Now'!Q$7,4),'Other Commodities - Q&amp;V'!$O$8:$O$250,4)+
SUMIFS('Other Commodities - Q&amp;V'!$J$8:$J$250,'Other Commodities - Q&amp;V'!$N$8:$N$250,CONCATENATE("20",RIGHT('FY Q&amp;V 2003-04 to Now'!Q$7,2)),'Other Commodities - Q&amp;V'!$O$8:$O$250,1)+
SUMIFS('Other Commodities - Q&amp;V'!$J$8:$J$250,'Other Commodities - Q&amp;V'!$N$8:$N$250,CONCATENATE("20",RIGHT('FY Q&amp;V 2003-04 to Now'!Q$7,2)),'Other Commodities - Q&amp;V'!$O$8:$O$250,2))*1000</f>
        <v>3767.152</v>
      </c>
      <c r="R69" s="1289">
        <f>(SUMIFS('Other Commodities - Q&amp;V'!$K$8:$K$250,'Other Commodities - Q&amp;V'!$N$8:$N$250,LEFT('FY Q&amp;V 2003-04 to Now'!Q$7,4),'Other Commodities - Q&amp;V'!$O$8:$O$250,3)+
SUMIFS('Other Commodities - Q&amp;V'!$K$8:$K$250,'Other Commodities - Q&amp;V'!$N$8:$N$250,LEFT('FY Q&amp;V 2003-04 to Now'!Q$7,4),'Other Commodities - Q&amp;V'!$O$8:$O$250,4)+
SUMIFS('Other Commodities - Q&amp;V'!$K$8:$K$250,'Other Commodities - Q&amp;V'!$N$8:$N$250,CONCATENATE("20",RIGHT('FY Q&amp;V 2003-04 to Now'!Q$7,2)),'Other Commodities - Q&amp;V'!$O$8:$O$250,1)+
SUMIFS('Other Commodities - Q&amp;V'!$K$8:$K$250,'Other Commodities - Q&amp;V'!$N$8:$N$250,CONCATENATE("20",RIGHT('FY Q&amp;V 2003-04 to Now'!Q$7,2)),'Other Commodities - Q&amp;V'!$O$8:$O$250,2))*1000000</f>
        <v>146480315</v>
      </c>
      <c r="S69" s="1301">
        <f>(SUMIFS('Other Commodities - Q&amp;V'!$J$8:$J$250,'Other Commodities - Q&amp;V'!$N$8:$N$250,LEFT('FY Q&amp;V 2003-04 to Now'!S$7,4),'Other Commodities - Q&amp;V'!$O$8:$O$250,3)+
SUMIFS('Other Commodities - Q&amp;V'!$J$8:$J$250,'Other Commodities - Q&amp;V'!$N$8:$N$250,LEFT('FY Q&amp;V 2003-04 to Now'!S$7,4),'Other Commodities - Q&amp;V'!$O$8:$O$250,4)+
SUMIFS('Other Commodities - Q&amp;V'!$J$8:$J$250,'Other Commodities - Q&amp;V'!$N$8:$N$250,CONCATENATE("20",RIGHT('FY Q&amp;V 2003-04 to Now'!S$7,2)),'Other Commodities - Q&amp;V'!$O$8:$O$250,1)+
SUMIFS('Other Commodities - Q&amp;V'!$J$8:$J$250,'Other Commodities - Q&amp;V'!$N$8:$N$250,CONCATENATE("20",RIGHT('FY Q&amp;V 2003-04 to Now'!S$7,2)),'Other Commodities - Q&amp;V'!$O$8:$O$250,2))*1000</f>
        <v>4950</v>
      </c>
      <c r="T69" s="1289">
        <f>(SUMIFS('Other Commodities - Q&amp;V'!$K$8:$K$250,'Other Commodities - Q&amp;V'!$N$8:$N$250,LEFT('FY Q&amp;V 2003-04 to Now'!S$7,4),'Other Commodities - Q&amp;V'!$O$8:$O$250,3)+
SUMIFS('Other Commodities - Q&amp;V'!$K$8:$K$250,'Other Commodities - Q&amp;V'!$N$8:$N$250,LEFT('FY Q&amp;V 2003-04 to Now'!S$7,4),'Other Commodities - Q&amp;V'!$O$8:$O$250,4)+
SUMIFS('Other Commodities - Q&amp;V'!$K$8:$K$250,'Other Commodities - Q&amp;V'!$N$8:$N$250,CONCATENATE("20",RIGHT('FY Q&amp;V 2003-04 to Now'!S$7,2)),'Other Commodities - Q&amp;V'!$O$8:$O$250,1)+
SUMIFS('Other Commodities - Q&amp;V'!$K$8:$K$250,'Other Commodities - Q&amp;V'!$N$8:$N$250,CONCATENATE("20",RIGHT('FY Q&amp;V 2003-04 to Now'!S$7,2)),'Other Commodities - Q&amp;V'!$O$8:$O$250,2))*1000000</f>
        <v>143627595.99999997</v>
      </c>
      <c r="U69" s="1301">
        <f>(SUMIFS('Other Commodities - Q&amp;V'!$J$8:$J$250,'Other Commodities - Q&amp;V'!$N$8:$N$250,LEFT('FY Q&amp;V 2003-04 to Now'!U$7,4),'Other Commodities - Q&amp;V'!$O$8:$O$250,3)+
SUMIFS('Other Commodities - Q&amp;V'!$J$8:$J$250,'Other Commodities - Q&amp;V'!$N$8:$N$250,LEFT('FY Q&amp;V 2003-04 to Now'!U$7,4),'Other Commodities - Q&amp;V'!$O$8:$O$250,4)+
SUMIFS('Other Commodities - Q&amp;V'!$J$8:$J$250,'Other Commodities - Q&amp;V'!$N$8:$N$250,CONCATENATE("20",RIGHT('FY Q&amp;V 2003-04 to Now'!U$7,2)),'Other Commodities - Q&amp;V'!$O$8:$O$250,1)+
SUMIFS('Other Commodities - Q&amp;V'!$J$8:$J$250,'Other Commodities - Q&amp;V'!$N$8:$N$250,CONCATENATE("20",RIGHT('FY Q&amp;V 2003-04 to Now'!U$7,2)),'Other Commodities - Q&amp;V'!$O$8:$O$250,2))*1000</f>
        <v>6200</v>
      </c>
      <c r="V69" s="1289">
        <f>(SUMIFS('Other Commodities - Q&amp;V'!$K$8:$K$250,'Other Commodities - Q&amp;V'!$N$8:$N$250,LEFT('FY Q&amp;V 2003-04 to Now'!U$7,4),'Other Commodities - Q&amp;V'!$O$8:$O$250,3)+
SUMIFS('Other Commodities - Q&amp;V'!$K$8:$K$250,'Other Commodities - Q&amp;V'!$N$8:$N$250,LEFT('FY Q&amp;V 2003-04 to Now'!U$7,4),'Other Commodities - Q&amp;V'!$O$8:$O$250,4)+
SUMIFS('Other Commodities - Q&amp;V'!$K$8:$K$250,'Other Commodities - Q&amp;V'!$N$8:$N$250,CONCATENATE("20",RIGHT('FY Q&amp;V 2003-04 to Now'!U$7,2)),'Other Commodities - Q&amp;V'!$O$8:$O$250,1)+
SUMIFS('Other Commodities - Q&amp;V'!$K$8:$K$250,'Other Commodities - Q&amp;V'!$N$8:$N$250,CONCATENATE("20",RIGHT('FY Q&amp;V 2003-04 to Now'!U$7,2)),'Other Commodities - Q&amp;V'!$O$8:$O$250,2))*1000000</f>
        <v>159147804.99999997</v>
      </c>
      <c r="W69" s="1301">
        <f>(SUMIFS('Other Commodities - Q&amp;V'!$J$8:$J$250,'Other Commodities - Q&amp;V'!$N$8:$N$250,LEFT('FY Q&amp;V 2003-04 to Now'!W$7,4),'Other Commodities - Q&amp;V'!$O$8:$O$250,3)+
SUMIFS('Other Commodities - Q&amp;V'!$J$8:$J$250,'Other Commodities - Q&amp;V'!$N$8:$N$250,LEFT('FY Q&amp;V 2003-04 to Now'!W$7,4),'Other Commodities - Q&amp;V'!$O$8:$O$250,4)+
SUMIFS('Other Commodities - Q&amp;V'!$J$8:$J$250,'Other Commodities - Q&amp;V'!$N$8:$N$250,CONCATENATE("20",RIGHT('FY Q&amp;V 2003-04 to Now'!W$7,2)),'Other Commodities - Q&amp;V'!$O$8:$O$250,1)+
SUMIFS('Other Commodities - Q&amp;V'!$J$8:$J$250,'Other Commodities - Q&amp;V'!$N$8:$N$250,CONCATENATE("20",RIGHT('FY Q&amp;V 2003-04 to Now'!W$7,2)),'Other Commodities - Q&amp;V'!$O$8:$O$250,2))*1000</f>
        <v>6235.884</v>
      </c>
      <c r="X69" s="1289">
        <f>(SUMIFS('Other Commodities - Q&amp;V'!$K$8:$K$250,'Other Commodities - Q&amp;V'!$N$8:$N$250,LEFT('FY Q&amp;V 2003-04 to Now'!W$7,4),'Other Commodities - Q&amp;V'!$O$8:$O$250,3)+
SUMIFS('Other Commodities - Q&amp;V'!$K$8:$K$250,'Other Commodities - Q&amp;V'!$N$8:$N$250,LEFT('FY Q&amp;V 2003-04 to Now'!W$7,4),'Other Commodities - Q&amp;V'!$O$8:$O$250,4)+
SUMIFS('Other Commodities - Q&amp;V'!$K$8:$K$250,'Other Commodities - Q&amp;V'!$N$8:$N$250,CONCATENATE("20",RIGHT('FY Q&amp;V 2003-04 to Now'!W$7,2)),'Other Commodities - Q&amp;V'!$O$8:$O$250,1)+
SUMIFS('Other Commodities - Q&amp;V'!$K$8:$K$250,'Other Commodities - Q&amp;V'!$N$8:$N$250,CONCATENATE("20",RIGHT('FY Q&amp;V 2003-04 to Now'!W$7,2)),'Other Commodities - Q&amp;V'!$O$8:$O$250,2))*1000000</f>
        <v>175117787.99999997</v>
      </c>
      <c r="Y69" s="1301">
        <f>(SUMIFS('Other Commodities - Q&amp;V'!$J$8:$J$250,'Other Commodities - Q&amp;V'!$N$8:$N$250,LEFT('FY Q&amp;V 2003-04 to Now'!Y$7,4),'Other Commodities - Q&amp;V'!$O$8:$O$250,3)+
SUMIFS('Other Commodities - Q&amp;V'!$J$8:$J$250,'Other Commodities - Q&amp;V'!$N$8:$N$250,LEFT('FY Q&amp;V 2003-04 to Now'!Y$7,4),'Other Commodities - Q&amp;V'!$O$8:$O$250,4)+
SUMIFS('Other Commodities - Q&amp;V'!$J$8:$J$250,'Other Commodities - Q&amp;V'!$N$8:$N$250,CONCATENATE("20",RIGHT('FY Q&amp;V 2003-04 to Now'!Y$7,2)),'Other Commodities - Q&amp;V'!$O$8:$O$250,1)+
SUMIFS('Other Commodities - Q&amp;V'!$J$8:$J$250,'Other Commodities - Q&amp;V'!$N$8:$N$250,CONCATENATE("20",RIGHT('FY Q&amp;V 2003-04 to Now'!Y$7,2)),'Other Commodities - Q&amp;V'!$O$8:$O$250,2))*1000</f>
        <v>6036.3409999999994</v>
      </c>
      <c r="Z69" s="1289">
        <f>(SUMIFS('Other Commodities - Q&amp;V'!$K$8:$K$250,'Other Commodities - Q&amp;V'!$N$8:$N$250,LEFT('FY Q&amp;V 2003-04 to Now'!Y$7,4),'Other Commodities - Q&amp;V'!$O$8:$O$250,3)+
SUMIFS('Other Commodities - Q&amp;V'!$K$8:$K$250,'Other Commodities - Q&amp;V'!$N$8:$N$250,LEFT('FY Q&amp;V 2003-04 to Now'!Y$7,4),'Other Commodities - Q&amp;V'!$O$8:$O$250,4)+
SUMIFS('Other Commodities - Q&amp;V'!$K$8:$K$250,'Other Commodities - Q&amp;V'!$N$8:$N$250,CONCATENATE("20",RIGHT('FY Q&amp;V 2003-04 to Now'!Y$7,2)),'Other Commodities - Q&amp;V'!$O$8:$O$250,1)+
SUMIFS('Other Commodities - Q&amp;V'!$K$8:$K$250,'Other Commodities - Q&amp;V'!$N$8:$N$250,CONCATENATE("20",RIGHT('FY Q&amp;V 2003-04 to Now'!Y$7,2)),'Other Commodities - Q&amp;V'!$O$8:$O$250,2))*1000000</f>
        <v>210567512.00000003</v>
      </c>
      <c r="AA69" s="1301">
        <f>(SUMIFS('Other Commodities - Q&amp;V'!$J$8:$J$250,'Other Commodities - Q&amp;V'!$N$8:$N$250,LEFT('FY Q&amp;V 2003-04 to Now'!AA$7,4),'Other Commodities - Q&amp;V'!$O$8:$O$250,3)+
SUMIFS('Other Commodities - Q&amp;V'!$J$8:$J$250,'Other Commodities - Q&amp;V'!$N$8:$N$250,LEFT('FY Q&amp;V 2003-04 to Now'!AA$7,4),'Other Commodities - Q&amp;V'!$O$8:$O$250,4)+
SUMIFS('Other Commodities - Q&amp;V'!$J$8:$J$250,'Other Commodities - Q&amp;V'!$N$8:$N$250,CONCATENATE("20",RIGHT('FY Q&amp;V 2003-04 to Now'!AA$7,2)),'Other Commodities - Q&amp;V'!$O$8:$O$250,1)+
SUMIFS('Other Commodities - Q&amp;V'!$J$8:$J$250,'Other Commodities - Q&amp;V'!$N$8:$N$250,CONCATENATE("20",RIGHT('FY Q&amp;V 2003-04 to Now'!AA$7,2)),'Other Commodities - Q&amp;V'!$O$8:$O$250,2))*1000</f>
        <v>5478.87</v>
      </c>
      <c r="AB69" s="1289">
        <f>(SUMIFS('Other Commodities - Q&amp;V'!$K$8:$K$250,'Other Commodities - Q&amp;V'!$N$8:$N$250,LEFT('FY Q&amp;V 2003-04 to Now'!AA$7,4),'Other Commodities - Q&amp;V'!$O$8:$O$250,3)+
SUMIFS('Other Commodities - Q&amp;V'!$K$8:$K$250,'Other Commodities - Q&amp;V'!$N$8:$N$250,LEFT('FY Q&amp;V 2003-04 to Now'!AA$7,4),'Other Commodities - Q&amp;V'!$O$8:$O$250,4)+
SUMIFS('Other Commodities - Q&amp;V'!$K$8:$K$250,'Other Commodities - Q&amp;V'!$N$8:$N$250,CONCATENATE("20",RIGHT('FY Q&amp;V 2003-04 to Now'!AA$7,2)),'Other Commodities - Q&amp;V'!$O$8:$O$250,1)+
SUMIFS('Other Commodities - Q&amp;V'!$K$8:$K$250,'Other Commodities - Q&amp;V'!$N$8:$N$250,CONCATENATE("20",RIGHT('FY Q&amp;V 2003-04 to Now'!AA$7,2)),'Other Commodities - Q&amp;V'!$O$8:$O$250,2))*1000000</f>
        <v>174846826</v>
      </c>
      <c r="AC69" s="1301">
        <f>(SUMIFS('Other Commodities - Q&amp;V'!$J$8:$J$250,'Other Commodities - Q&amp;V'!$N$8:$N$250,LEFT('FY Q&amp;V 2003-04 to Now'!AC$7,4),'Other Commodities - Q&amp;V'!$O$8:$O$250,3)+
SUMIFS('Other Commodities - Q&amp;V'!$J$8:$J$250,'Other Commodities - Q&amp;V'!$N$8:$N$250,LEFT('FY Q&amp;V 2003-04 to Now'!AC$7,4),'Other Commodities - Q&amp;V'!$O$8:$O$250,4)+
SUMIFS('Other Commodities - Q&amp;V'!$J$8:$J$250,'Other Commodities - Q&amp;V'!$N$8:$N$250,CONCATENATE("20",RIGHT('FY Q&amp;V 2003-04 to Now'!AC$7,2)),'Other Commodities - Q&amp;V'!$O$8:$O$250,1)+
SUMIFS('Other Commodities - Q&amp;V'!$J$8:$J$250,'Other Commodities - Q&amp;V'!$N$8:$N$250,CONCATENATE("20",RIGHT('FY Q&amp;V 2003-04 to Now'!AC$7,2)),'Other Commodities - Q&amp;V'!$O$8:$O$250,2))*1000</f>
        <v>4758.8490000000002</v>
      </c>
      <c r="AD69" s="1289">
        <f>(SUMIFS('Other Commodities - Q&amp;V'!$K$8:$K$250,'Other Commodities - Q&amp;V'!$N$8:$N$250,LEFT('FY Q&amp;V 2003-04 to Now'!AC$7,4),'Other Commodities - Q&amp;V'!$O$8:$O$250,3)+
SUMIFS('Other Commodities - Q&amp;V'!$K$8:$K$250,'Other Commodities - Q&amp;V'!$N$8:$N$250,LEFT('FY Q&amp;V 2003-04 to Now'!AC$7,4),'Other Commodities - Q&amp;V'!$O$8:$O$250,4)+
SUMIFS('Other Commodities - Q&amp;V'!$K$8:$K$250,'Other Commodities - Q&amp;V'!$N$8:$N$250,CONCATENATE("20",RIGHT('FY Q&amp;V 2003-04 to Now'!AC$7,2)),'Other Commodities - Q&amp;V'!$O$8:$O$250,1)+
SUMIFS('Other Commodities - Q&amp;V'!$K$8:$K$250,'Other Commodities - Q&amp;V'!$N$8:$N$250,CONCATENATE("20",RIGHT('FY Q&amp;V 2003-04 to Now'!AC$7,2)),'Other Commodities - Q&amp;V'!$O$8:$O$250,2))*1000000</f>
        <v>239639935.00000003</v>
      </c>
      <c r="AE69" s="1290">
        <f>(SUMIFS('Other Commodities - Q&amp;V'!$J$8:$J$250,'Other Commodities - Q&amp;V'!$N$8:$N$250,LEFT('FY Q&amp;V 2003-04 to Now'!AE$7,4),'Other Commodities - Q&amp;V'!$O$8:$O$250,3)+
SUMIFS('Other Commodities - Q&amp;V'!$J$8:$J$250,'Other Commodities - Q&amp;V'!$N$8:$N$250,LEFT('FY Q&amp;V 2003-04 to Now'!AE$7,4),'Other Commodities - Q&amp;V'!$O$8:$O$250,4)+
SUMIFS('Other Commodities - Q&amp;V'!$J$8:$J$250,'Other Commodities - Q&amp;V'!$N$8:$N$250,CONCATENATE("20",RIGHT('FY Q&amp;V 2003-04 to Now'!AE$7,2)),'Other Commodities - Q&amp;V'!$O$8:$O$250,1)+
SUMIFS('Other Commodities - Q&amp;V'!$J$8:$J$250,'Other Commodities - Q&amp;V'!$N$8:$N$250,CONCATENATE("20",RIGHT('FY Q&amp;V 2003-04 to Now'!AE$7,2)),'Other Commodities - Q&amp;V'!$O$8:$O$250,2))*1000</f>
        <v>5200.4849999999997</v>
      </c>
      <c r="AF69" s="1289">
        <f>(SUMIFS('Other Commodities - Q&amp;V'!$K$8:$K$250,'Other Commodities - Q&amp;V'!$N$8:$N$250,LEFT('FY Q&amp;V 2003-04 to Now'!AE$7,4),'Other Commodities - Q&amp;V'!$O$8:$O$250,3)+
SUMIFS('Other Commodities - Q&amp;V'!$K$8:$K$250,'Other Commodities - Q&amp;V'!$N$8:$N$250,LEFT('FY Q&amp;V 2003-04 to Now'!AE$7,4),'Other Commodities - Q&amp;V'!$O$8:$O$250,4)+
SUMIFS('Other Commodities - Q&amp;V'!$K$8:$K$250,'Other Commodities - Q&amp;V'!$N$8:$N$250,CONCATENATE("20",RIGHT('FY Q&amp;V 2003-04 to Now'!AE$7,2)),'Other Commodities - Q&amp;V'!$O$8:$O$250,1)+
SUMIFS('Other Commodities - Q&amp;V'!$K$8:$K$250,'Other Commodities - Q&amp;V'!$N$8:$N$250,CONCATENATE("20",RIGHT('FY Q&amp;V 2003-04 to Now'!AE$7,2)),'Other Commodities - Q&amp;V'!$O$8:$O$250,2))*1000000</f>
        <v>510247330.00000006</v>
      </c>
      <c r="AG69" s="1302">
        <f>(SUMIFS('Other Commodities - Q&amp;V'!$J$8:$J$250,'Other Commodities - Q&amp;V'!$N$8:$N$250,LEFT('FY Q&amp;V 2003-04 to Now'!AG$7,4),'Other Commodities - Q&amp;V'!$O$8:$O$250,3)+
SUMIFS('Other Commodities - Q&amp;V'!$J$8:$J$250,'Other Commodities - Q&amp;V'!$N$8:$N$250,LEFT('FY Q&amp;V 2003-04 to Now'!AG$7,4),'Other Commodities - Q&amp;V'!$O$8:$O$250,4)+
SUMIFS('Other Commodities - Q&amp;V'!$J$8:$J$250,'Other Commodities - Q&amp;V'!$N$8:$N$250,CONCATENATE("20",RIGHT('FY Q&amp;V 2003-04 to Now'!AG$7,2)),'Other Commodities - Q&amp;V'!$O$8:$O$250,1)+
SUMIFS('Other Commodities - Q&amp;V'!$J$8:$J$250,'Other Commodities - Q&amp;V'!$N$8:$N$250,CONCATENATE("20",RIGHT('FY Q&amp;V 2003-04 to Now'!AG$7,2)),'Other Commodities - Q&amp;V'!$O$8:$O$250,2))*1000</f>
        <v>5221.8315000000002</v>
      </c>
      <c r="AH69" s="1302">
        <f>(SUMIFS('Other Commodities - Q&amp;V'!$K$8:$K$250,'Other Commodities - Q&amp;V'!$N$8:$N$250,LEFT('FY Q&amp;V 2003-04 to Now'!AG$7,4),'Other Commodities - Q&amp;V'!$O$8:$O$250,3)+
SUMIFS('Other Commodities - Q&amp;V'!$K$8:$K$250,'Other Commodities - Q&amp;V'!$N$8:$N$250,LEFT('FY Q&amp;V 2003-04 to Now'!AG$7,4),'Other Commodities - Q&amp;V'!$O$8:$O$250,4)+
SUMIFS('Other Commodities - Q&amp;V'!$K$8:$K$250,'Other Commodities - Q&amp;V'!$N$8:$N$250,CONCATENATE("20",RIGHT('FY Q&amp;V 2003-04 to Now'!AG$7,2)),'Other Commodities - Q&amp;V'!$O$8:$O$250,1)+
SUMIFS('Other Commodities - Q&amp;V'!$K$8:$K$250,'Other Commodities - Q&amp;V'!$N$8:$N$250,CONCATENATE("20",RIGHT('FY Q&amp;V 2003-04 to Now'!AG$7,2)),'Other Commodities - Q&amp;V'!$O$8:$O$250,2))*1000000</f>
        <v>332389018</v>
      </c>
      <c r="AI69" s="1302">
        <f>(SUMIFS('Other Commodities - Q&amp;V'!$J$8:$J$250,'Other Commodities - Q&amp;V'!$N$8:$N$250,LEFT('FY Q&amp;V 2003-04 to Now'!AI$7,4),'Other Commodities - Q&amp;V'!$O$8:$O$250,3)+
SUMIFS('Other Commodities - Q&amp;V'!$J$8:$J$250,'Other Commodities - Q&amp;V'!$N$8:$N$250,LEFT('FY Q&amp;V 2003-04 to Now'!AI$7,4),'Other Commodities - Q&amp;V'!$O$8:$O$250,4)+
SUMIFS('Other Commodities - Q&amp;V'!$J$8:$J$250,'Other Commodities - Q&amp;V'!$N$8:$N$250,CONCATENATE("20",RIGHT('FY Q&amp;V 2003-04 to Now'!AI$7,2)),'Other Commodities - Q&amp;V'!$O$8:$O$250,1)+
SUMIFS('Other Commodities - Q&amp;V'!$J$8:$J$250,'Other Commodities - Q&amp;V'!$N$8:$N$250,CONCATENATE("20",RIGHT('FY Q&amp;V 2003-04 to Now'!AI$7,2)),'Other Commodities - Q&amp;V'!$O$8:$O$250,2))*1000</f>
        <v>5796.1149999999998</v>
      </c>
      <c r="AJ69" s="1302">
        <v>295164292</v>
      </c>
      <c r="AK69" s="1302">
        <f>(SUMIFS('Other Commodities - Q&amp;V'!$J$8:$J$250,'Other Commodities - Q&amp;V'!$N$8:$N$250,LEFT('FY Q&amp;V 2003-04 to Now'!AK$7,4),'Other Commodities - Q&amp;V'!$O$8:$O$250,3)+
SUMIFS('Other Commodities - Q&amp;V'!$J$8:$J$250,'Other Commodities - Q&amp;V'!$N$8:$N$250,LEFT('FY Q&amp;V 2003-04 to Now'!AK$7,4),'Other Commodities - Q&amp;V'!$O$8:$O$250,4)+
SUMIFS('Other Commodities - Q&amp;V'!$J$8:$J$250,'Other Commodities - Q&amp;V'!$N$8:$N$250,CONCATENATE("20",RIGHT('FY Q&amp;V 2003-04 to Now'!AK$7,2)),'Other Commodities - Q&amp;V'!$O$8:$O$250,1)+
SUMIFS('Other Commodities - Q&amp;V'!$J$8:$J$250,'Other Commodities - Q&amp;V'!$N$8:$N$250,CONCATENATE("20",RIGHT('FY Q&amp;V 2003-04 to Now'!AK$7,2)),'Other Commodities - Q&amp;V'!$O$8:$O$250,2))*1000</f>
        <v>5445.9019999999982</v>
      </c>
      <c r="AL69" s="1302">
        <f>(SUMIFS('Other Commodities - Q&amp;V'!$K$8:$K$250,'Other Commodities - Q&amp;V'!$N$8:$N$250,LEFT('FY Q&amp;V 2003-04 to Now'!AK$7,4),'Other Commodities - Q&amp;V'!$O$8:$O$250,3)+
SUMIFS('Other Commodities - Q&amp;V'!$K$8:$K$250,'Other Commodities - Q&amp;V'!$N$8:$N$250,LEFT('FY Q&amp;V 2003-04 to Now'!AK$7,4),'Other Commodities - Q&amp;V'!$O$8:$O$250,4)+
SUMIFS('Other Commodities - Q&amp;V'!$K$8:$K$250,'Other Commodities - Q&amp;V'!$N$8:$N$250,CONCATENATE("20",RIGHT('FY Q&amp;V 2003-04 to Now'!AK$7,2)),'Other Commodities - Q&amp;V'!$O$8:$O$250,1)+
SUMIFS('Other Commodities - Q&amp;V'!$K$8:$K$250,'Other Commodities - Q&amp;V'!$N$8:$N$250,CONCATENATE("20",RIGHT('FY Q&amp;V 2003-04 to Now'!AK$7,2)),'Other Commodities - Q&amp;V'!$O$8:$O$250,2))*1000000</f>
        <v>293803177</v>
      </c>
      <c r="AM69" s="1302">
        <f>SUMIF($C$9:AL$9,1,$C69:AL69)</f>
        <v>91936.010500000004</v>
      </c>
      <c r="AN69" s="1280">
        <f>SUMIF($C$9:AL$9,0,$C69:AL69)</f>
        <v>4416663419</v>
      </c>
      <c r="AO69" s="387"/>
    </row>
    <row r="70" spans="1:45">
      <c r="A70" s="368" t="s">
        <v>3</v>
      </c>
      <c r="B70" s="353" t="s">
        <v>87</v>
      </c>
      <c r="C70" s="1301">
        <f>(SUMIFS('Nickel - Q&amp;V'!$B$8:$B$250,'Nickel - Q&amp;V'!$D$8:$D$250,LEFT('FY Q&amp;V 2003-04 to Now'!C$7:D$7,4),'Nickel - Q&amp;V'!$E$8:$E$250,3)+
SUMIFS('Nickel - Q&amp;V'!$B$8:$B$250,'Nickel - Q&amp;V'!$D$8:$D$250,LEFT('FY Q&amp;V 2003-04 to Now'!C$7:D$7,4),'Nickel - Q&amp;V'!$E$8:$E$250,4)+
SUMIFS('Nickel - Q&amp;V'!$B$8:$B$250,'Nickel - Q&amp;V'!$D$8:$D$250,CONCATENATE("20",RIGHT('FY Q&amp;V 2003-04 to Now'!C$7,2)),'Nickel - Q&amp;V'!$E$8:$E$250,1)+
SUMIFS('Nickel - Q&amp;V'!$B$8:$B$250,'Nickel - Q&amp;V'!$D$8:$D$250,CONCATENATE("20",RIGHT('FY Q&amp;V 2003-04 to Now'!C$7,2)),'Nickel - Q&amp;V'!$E$8:$E$250,2))*1000</f>
        <v>182605</v>
      </c>
      <c r="D70" s="1289">
        <f>(SUMIFS('Nickel - Q&amp;V'!$C$8:$C$250,'Nickel - Q&amp;V'!$D$8:$D$250,LEFT('FY Q&amp;V 2003-04 to Now'!C$7,4),'Nickel - Q&amp;V'!$E$8:$E$250,3)+
SUMIFS('Nickel - Q&amp;V'!$C$8:$C$250,'Nickel - Q&amp;V'!$D$8:$D$250,LEFT('FY Q&amp;V 2003-04 to Now'!C$7,4),'Nickel - Q&amp;V'!$E$8:$E$250,4)+
SUMIFS('Nickel - Q&amp;V'!$C$8:$C$250,'Nickel - Q&amp;V'!$D$8:$D$250,CONCATENATE("20",RIGHT('FY Q&amp;V 2003-04 to Now'!C$7,2)),'Nickel - Q&amp;V'!$E$8:$E$250,1)+
SUMIFS('Nickel - Q&amp;V'!$C$8:$C$250,'Nickel - Q&amp;V'!$D$8:$D$250,CONCATENATE("20",RIGHT('FY Q&amp;V 2003-04 to Now'!C$7,2)),'Nickel - Q&amp;V'!$E$8:$E$250,2))*1000000</f>
        <v>3035937570</v>
      </c>
      <c r="E70" s="1301">
        <f>(SUMIFS('Nickel - Q&amp;V'!$B$8:$B$250,'Nickel - Q&amp;V'!$D$8:$D$250,LEFT('FY Q&amp;V 2003-04 to Now'!E$7:F$7,4),'Nickel - Q&amp;V'!$E$8:$E$250,3)+
SUMIFS('Nickel - Q&amp;V'!$B$8:$B$250,'Nickel - Q&amp;V'!$D$8:$D$250,LEFT('FY Q&amp;V 2003-04 to Now'!E$7:F$7,4),'Nickel - Q&amp;V'!$E$8:$E$250,4)+
SUMIFS('Nickel - Q&amp;V'!$B$8:$B$250,'Nickel - Q&amp;V'!$D$8:$D$250,CONCATENATE("20",RIGHT('FY Q&amp;V 2003-04 to Now'!E$7,2)),'Nickel - Q&amp;V'!$E$8:$E$250,1)+
SUMIFS('Nickel - Q&amp;V'!$B$8:$B$250,'Nickel - Q&amp;V'!$D$8:$D$250,CONCATENATE("20",RIGHT('FY Q&amp;V 2003-04 to Now'!E$7,2)),'Nickel - Q&amp;V'!$E$8:$E$250,2))*1000</f>
        <v>180386</v>
      </c>
      <c r="F70" s="1289">
        <f>(SUMIFS('Nickel - Q&amp;V'!$C$8:$C$250,'Nickel - Q&amp;V'!$D$8:$D$250,LEFT('FY Q&amp;V 2003-04 to Now'!E$7,4),'Nickel - Q&amp;V'!$E$8:$E$250,3)+
SUMIFS('Nickel - Q&amp;V'!$C$8:$C$250,'Nickel - Q&amp;V'!$D$8:$D$250,LEFT('FY Q&amp;V 2003-04 to Now'!E$7,4),'Nickel - Q&amp;V'!$E$8:$E$250,4)+
SUMIFS('Nickel - Q&amp;V'!$C$8:$C$250,'Nickel - Q&amp;V'!$D$8:$D$250,CONCATENATE("20",RIGHT('FY Q&amp;V 2003-04 to Now'!E$7,2)),'Nickel - Q&amp;V'!$E$8:$E$250,1)+
SUMIFS('Nickel - Q&amp;V'!$C$8:$C$250,'Nickel - Q&amp;V'!$D$8:$D$250,CONCATENATE("20",RIGHT('FY Q&amp;V 2003-04 to Now'!E$7,2)),'Nickel - Q&amp;V'!$E$8:$E$250,2))*1000000</f>
        <v>3501466609</v>
      </c>
      <c r="G70" s="1301">
        <f>(SUMIFS('Nickel - Q&amp;V'!$B$8:$B$250,'Nickel - Q&amp;V'!$D$8:$D$250,LEFT('FY Q&amp;V 2003-04 to Now'!G$7:H$7,4),'Nickel - Q&amp;V'!$E$8:$E$250,3)+
SUMIFS('Nickel - Q&amp;V'!$B$8:$B$250,'Nickel - Q&amp;V'!$D$8:$D$250,LEFT('FY Q&amp;V 2003-04 to Now'!G$7:H$7,4),'Nickel - Q&amp;V'!$E$8:$E$250,4)+
SUMIFS('Nickel - Q&amp;V'!$B$8:$B$250,'Nickel - Q&amp;V'!$D$8:$D$250,CONCATENATE("20",RIGHT('FY Q&amp;V 2003-04 to Now'!G$7,2)),'Nickel - Q&amp;V'!$E$8:$E$250,1)+
SUMIFS('Nickel - Q&amp;V'!$B$8:$B$250,'Nickel - Q&amp;V'!$D$8:$D$250,CONCATENATE("20",RIGHT('FY Q&amp;V 2003-04 to Now'!G$7,2)),'Nickel - Q&amp;V'!$E$8:$E$250,2))*1000</f>
        <v>183572</v>
      </c>
      <c r="H70" s="1289">
        <f>(SUMIFS('Nickel - Q&amp;V'!$C$8:$C$250,'Nickel - Q&amp;V'!$D$8:$D$250,LEFT('FY Q&amp;V 2003-04 to Now'!G$7,4),'Nickel - Q&amp;V'!$E$8:$E$250,3)+
SUMIFS('Nickel - Q&amp;V'!$C$8:$C$250,'Nickel - Q&amp;V'!$D$8:$D$250,LEFT('FY Q&amp;V 2003-04 to Now'!G$7,4),'Nickel - Q&amp;V'!$E$8:$E$250,4)+
SUMIFS('Nickel - Q&amp;V'!$C$8:$C$250,'Nickel - Q&amp;V'!$D$8:$D$250,CONCATENATE("20",RIGHT('FY Q&amp;V 2003-04 to Now'!G$7,2)),'Nickel - Q&amp;V'!$E$8:$E$250,1)+
SUMIFS('Nickel - Q&amp;V'!$C$8:$C$250,'Nickel - Q&amp;V'!$D$8:$D$250,CONCATENATE("20",RIGHT('FY Q&amp;V 2003-04 to Now'!G$7,2)),'Nickel - Q&amp;V'!$E$8:$E$250,2))*1000000</f>
        <v>3811452005</v>
      </c>
      <c r="I70" s="1301">
        <f>(SUMIFS('Nickel - Q&amp;V'!$B$8:$B$250,'Nickel - Q&amp;V'!$D$8:$D$250,LEFT('FY Q&amp;V 2003-04 to Now'!I$7:J$7,4),'Nickel - Q&amp;V'!$E$8:$E$250,3)+
SUMIFS('Nickel - Q&amp;V'!$B$8:$B$250,'Nickel - Q&amp;V'!$D$8:$D$250,LEFT('FY Q&amp;V 2003-04 to Now'!I$7:J$7,4),'Nickel - Q&amp;V'!$E$8:$E$250,4)+
SUMIFS('Nickel - Q&amp;V'!$B$8:$B$250,'Nickel - Q&amp;V'!$D$8:$D$250,CONCATENATE("20",RIGHT('FY Q&amp;V 2003-04 to Now'!I$7,2)),'Nickel - Q&amp;V'!$E$8:$E$250,1)+
SUMIFS('Nickel - Q&amp;V'!$B$8:$B$250,'Nickel - Q&amp;V'!$D$8:$D$250,CONCATENATE("20",RIGHT('FY Q&amp;V 2003-04 to Now'!I$7,2)),'Nickel - Q&amp;V'!$E$8:$E$250,2))*1000</f>
        <v>173569</v>
      </c>
      <c r="J70" s="1289">
        <f>(SUMIFS('Nickel - Q&amp;V'!$C$8:$C$250,'Nickel - Q&amp;V'!$D$8:$D$250,LEFT('FY Q&amp;V 2003-04 to Now'!I$7,4),'Nickel - Q&amp;V'!$E$8:$E$250,3)+
SUMIFS('Nickel - Q&amp;V'!$C$8:$C$250,'Nickel - Q&amp;V'!$D$8:$D$250,LEFT('FY Q&amp;V 2003-04 to Now'!I$7,4),'Nickel - Q&amp;V'!$E$8:$E$250,4)+
SUMIFS('Nickel - Q&amp;V'!$C$8:$C$250,'Nickel - Q&amp;V'!$D$8:$D$250,CONCATENATE("20",RIGHT('FY Q&amp;V 2003-04 to Now'!I$7,2)),'Nickel - Q&amp;V'!$E$8:$E$250,1)+
SUMIFS('Nickel - Q&amp;V'!$C$8:$C$250,'Nickel - Q&amp;V'!$D$8:$D$250,CONCATENATE("20",RIGHT('FY Q&amp;V 2003-04 to Now'!I$7,2)),'Nickel - Q&amp;V'!$E$8:$E$250,2))*1000000</f>
        <v>8059379171.000001</v>
      </c>
      <c r="K70" s="1301">
        <f>(SUMIFS('Nickel - Q&amp;V'!$B$8:$B$250,'Nickel - Q&amp;V'!$D$8:$D$250,LEFT('FY Q&amp;V 2003-04 to Now'!K$7:L$7,4),'Nickel - Q&amp;V'!$E$8:$E$250,3)+
SUMIFS('Nickel - Q&amp;V'!$B$8:$B$250,'Nickel - Q&amp;V'!$D$8:$D$250,LEFT('FY Q&amp;V 2003-04 to Now'!K$7:L$7,4),'Nickel - Q&amp;V'!$E$8:$E$250,4)+
SUMIFS('Nickel - Q&amp;V'!$B$8:$B$250,'Nickel - Q&amp;V'!$D$8:$D$250,CONCATENATE("20",RIGHT('FY Q&amp;V 2003-04 to Now'!K$7,2)),'Nickel - Q&amp;V'!$E$8:$E$250,1)+
SUMIFS('Nickel - Q&amp;V'!$B$8:$B$250,'Nickel - Q&amp;V'!$D$8:$D$250,CONCATENATE("20",RIGHT('FY Q&amp;V 2003-04 to Now'!K$7,2)),'Nickel - Q&amp;V'!$E$8:$E$250,2))*1000</f>
        <v>172801</v>
      </c>
      <c r="L70" s="1289">
        <f>(SUMIFS('Nickel - Q&amp;V'!$C$8:$C$250,'Nickel - Q&amp;V'!$D$8:$D$250,LEFT('FY Q&amp;V 2003-04 to Now'!K$7,4),'Nickel - Q&amp;V'!$E$8:$E$250,3)+
SUMIFS('Nickel - Q&amp;V'!$C$8:$C$250,'Nickel - Q&amp;V'!$D$8:$D$250,LEFT('FY Q&amp;V 2003-04 to Now'!K$7,4),'Nickel - Q&amp;V'!$E$8:$E$250,4)+
SUMIFS('Nickel - Q&amp;V'!$C$8:$C$250,'Nickel - Q&amp;V'!$D$8:$D$250,CONCATENATE("20",RIGHT('FY Q&amp;V 2003-04 to Now'!K$7,2)),'Nickel - Q&amp;V'!$E$8:$E$250,1)+
SUMIFS('Nickel - Q&amp;V'!$C$8:$C$250,'Nickel - Q&amp;V'!$D$8:$D$250,CONCATENATE("20",RIGHT('FY Q&amp;V 2003-04 to Now'!K$7,2)),'Nickel - Q&amp;V'!$E$8:$E$250,2))*1000000</f>
        <v>5143604739</v>
      </c>
      <c r="M70" s="1301">
        <f>(SUMIFS('Nickel - Q&amp;V'!$B$8:$B$250,'Nickel - Q&amp;V'!$D$8:$D$250,LEFT('FY Q&amp;V 2003-04 to Now'!M$7:N$7,4),'Nickel - Q&amp;V'!$E$8:$E$250,3)+
SUMIFS('Nickel - Q&amp;V'!$B$8:$B$250,'Nickel - Q&amp;V'!$D$8:$D$250,LEFT('FY Q&amp;V 2003-04 to Now'!M$7:N$7,4),'Nickel - Q&amp;V'!$E$8:$E$250,4)+
SUMIFS('Nickel - Q&amp;V'!$B$8:$B$250,'Nickel - Q&amp;V'!$D$8:$D$250,CONCATENATE("20",RIGHT('FY Q&amp;V 2003-04 to Now'!M$7,2)),'Nickel - Q&amp;V'!$E$8:$E$250,1)+
SUMIFS('Nickel - Q&amp;V'!$B$8:$B$250,'Nickel - Q&amp;V'!$D$8:$D$250,CONCATENATE("20",RIGHT('FY Q&amp;V 2003-04 to Now'!M$7,2)),'Nickel - Q&amp;V'!$E$8:$E$250,2))*1000</f>
        <v>178365</v>
      </c>
      <c r="N70" s="1289">
        <f>(SUMIFS('Nickel - Q&amp;V'!$C$8:$C$250,'Nickel - Q&amp;V'!$D$8:$D$250,LEFT('FY Q&amp;V 2003-04 to Now'!M$7,4),'Nickel - Q&amp;V'!$E$8:$E$250,3)+
SUMIFS('Nickel - Q&amp;V'!$C$8:$C$250,'Nickel - Q&amp;V'!$D$8:$D$250,LEFT('FY Q&amp;V 2003-04 to Now'!M$7,4),'Nickel - Q&amp;V'!$E$8:$E$250,4)+
SUMIFS('Nickel - Q&amp;V'!$C$8:$C$250,'Nickel - Q&amp;V'!$D$8:$D$250,CONCATENATE("20",RIGHT('FY Q&amp;V 2003-04 to Now'!M$7,2)),'Nickel - Q&amp;V'!$E$8:$E$250,1)+
SUMIFS('Nickel - Q&amp;V'!$C$8:$C$250,'Nickel - Q&amp;V'!$D$8:$D$250,CONCATENATE("20",RIGHT('FY Q&amp;V 2003-04 to Now'!M$7,2)),'Nickel - Q&amp;V'!$E$8:$E$250,2))*1000000</f>
        <v>2996908794</v>
      </c>
      <c r="O70" s="1301">
        <f>(SUMIFS('Nickel - Q&amp;V'!$B$8:$B$250,'Nickel - Q&amp;V'!$D$8:$D$250,LEFT('FY Q&amp;V 2003-04 to Now'!O$7:P$7,4),'Nickel - Q&amp;V'!$E$8:$E$250,3)+
SUMIFS('Nickel - Q&amp;V'!$B$8:$B$250,'Nickel - Q&amp;V'!$D$8:$D$250,LEFT('FY Q&amp;V 2003-04 to Now'!O$7:P$7,4),'Nickel - Q&amp;V'!$E$8:$E$250,4)+
SUMIFS('Nickel - Q&amp;V'!$B$8:$B$250,'Nickel - Q&amp;V'!$D$8:$D$250,CONCATENATE("20",RIGHT('FY Q&amp;V 2003-04 to Now'!O$7,2)),'Nickel - Q&amp;V'!$E$8:$E$250,1)+
SUMIFS('Nickel - Q&amp;V'!$B$8:$B$250,'Nickel - Q&amp;V'!$D$8:$D$250,CONCATENATE("20",RIGHT('FY Q&amp;V 2003-04 to Now'!O$7,2)),'Nickel - Q&amp;V'!$E$8:$E$250,2))*1000</f>
        <v>180152</v>
      </c>
      <c r="P70" s="1289">
        <f>(SUMIFS('Nickel - Q&amp;V'!$C$8:$C$250,'Nickel - Q&amp;V'!$D$8:$D$250,LEFT('FY Q&amp;V 2003-04 to Now'!O$7,4),'Nickel - Q&amp;V'!$E$8:$E$250,3)+
SUMIFS('Nickel - Q&amp;V'!$C$8:$C$250,'Nickel - Q&amp;V'!$D$8:$D$250,LEFT('FY Q&amp;V 2003-04 to Now'!O$7,4),'Nickel - Q&amp;V'!$E$8:$E$250,4)+
SUMIFS('Nickel - Q&amp;V'!$C$8:$C$250,'Nickel - Q&amp;V'!$D$8:$D$250,CONCATENATE("20",RIGHT('FY Q&amp;V 2003-04 to Now'!O$7,2)),'Nickel - Q&amp;V'!$E$8:$E$250,1)+
SUMIFS('Nickel - Q&amp;V'!$C$8:$C$250,'Nickel - Q&amp;V'!$D$8:$D$250,CONCATENATE("20",RIGHT('FY Q&amp;V 2003-04 to Now'!O$7,2)),'Nickel - Q&amp;V'!$E$8:$E$250,2))*1000000</f>
        <v>3976771528.9999995</v>
      </c>
      <c r="Q70" s="1301">
        <f>(SUMIFS('Nickel - Q&amp;V'!$B$8:$B$250,'Nickel - Q&amp;V'!$D$8:$D$250,LEFT('FY Q&amp;V 2003-04 to Now'!Q$7:R$7,4),'Nickel - Q&amp;V'!$E$8:$E$250,3)+
SUMIFS('Nickel - Q&amp;V'!$B$8:$B$250,'Nickel - Q&amp;V'!$D$8:$D$250,LEFT('FY Q&amp;V 2003-04 to Now'!Q$7:R$7,4),'Nickel - Q&amp;V'!$E$8:$E$250,4)+
SUMIFS('Nickel - Q&amp;V'!$B$8:$B$250,'Nickel - Q&amp;V'!$D$8:$D$250,CONCATENATE("20",RIGHT('FY Q&amp;V 2003-04 to Now'!Q$7,2)),'Nickel - Q&amp;V'!$E$8:$E$250,1)+
SUMIFS('Nickel - Q&amp;V'!$B$8:$B$250,'Nickel - Q&amp;V'!$D$8:$D$250,CONCATENATE("20",RIGHT('FY Q&amp;V 2003-04 to Now'!Q$7,2)),'Nickel - Q&amp;V'!$E$8:$E$250,2))*1000</f>
        <v>194177.00000000003</v>
      </c>
      <c r="R70" s="1289">
        <f>(SUMIFS('Nickel - Q&amp;V'!$C$8:$C$250,'Nickel - Q&amp;V'!$D$8:$D$250,LEFT('FY Q&amp;V 2003-04 to Now'!Q$7,4),'Nickel - Q&amp;V'!$E$8:$E$250,3)+
SUMIFS('Nickel - Q&amp;V'!$C$8:$C$250,'Nickel - Q&amp;V'!$D$8:$D$250,LEFT('FY Q&amp;V 2003-04 to Now'!Q$7,4),'Nickel - Q&amp;V'!$E$8:$E$250,4)+
SUMIFS('Nickel - Q&amp;V'!$C$8:$C$250,'Nickel - Q&amp;V'!$D$8:$D$250,CONCATENATE("20",RIGHT('FY Q&amp;V 2003-04 to Now'!Q$7,2)),'Nickel - Q&amp;V'!$E$8:$E$250,1)+
SUMIFS('Nickel - Q&amp;V'!$C$8:$C$250,'Nickel - Q&amp;V'!$D$8:$D$250,CONCATENATE("20",RIGHT('FY Q&amp;V 2003-04 to Now'!Q$7,2)),'Nickel - Q&amp;V'!$E$8:$E$250,2))*1000000</f>
        <v>4686173467</v>
      </c>
      <c r="S70" s="1301">
        <f>(SUMIFS('Nickel - Q&amp;V'!$B$8:$B$250,'Nickel - Q&amp;V'!$D$8:$D$250,LEFT('FY Q&amp;V 2003-04 to Now'!S$7:T$7,4),'Nickel - Q&amp;V'!$E$8:$E$250,3)+
SUMIFS('Nickel - Q&amp;V'!$B$8:$B$250,'Nickel - Q&amp;V'!$D$8:$D$250,LEFT('FY Q&amp;V 2003-04 to Now'!S$7:T$7,4),'Nickel - Q&amp;V'!$E$8:$E$250,4)+
SUMIFS('Nickel - Q&amp;V'!$B$8:$B$250,'Nickel - Q&amp;V'!$D$8:$D$250,CONCATENATE("20",RIGHT('FY Q&amp;V 2003-04 to Now'!S$7,2)),'Nickel - Q&amp;V'!$E$8:$E$250,1)+
SUMIFS('Nickel - Q&amp;V'!$B$8:$B$250,'Nickel - Q&amp;V'!$D$8:$D$250,CONCATENATE("20",RIGHT('FY Q&amp;V 2003-04 to Now'!S$7,2)),'Nickel - Q&amp;V'!$E$8:$E$250,2))*1000</f>
        <v>209369.76440000001</v>
      </c>
      <c r="T70" s="1289">
        <f>(SUMIFS('Nickel - Q&amp;V'!$C$8:$C$250,'Nickel - Q&amp;V'!$D$8:$D$250,LEFT('FY Q&amp;V 2003-04 to Now'!S$7,4),'Nickel - Q&amp;V'!$E$8:$E$250,3)+
SUMIFS('Nickel - Q&amp;V'!$C$8:$C$250,'Nickel - Q&amp;V'!$D$8:$D$250,LEFT('FY Q&amp;V 2003-04 to Now'!S$7,4),'Nickel - Q&amp;V'!$E$8:$E$250,4)+
SUMIFS('Nickel - Q&amp;V'!$C$8:$C$250,'Nickel - Q&amp;V'!$D$8:$D$250,CONCATENATE("20",RIGHT('FY Q&amp;V 2003-04 to Now'!S$7,2)),'Nickel - Q&amp;V'!$E$8:$E$250,1)+
SUMIFS('Nickel - Q&amp;V'!$C$8:$C$250,'Nickel - Q&amp;V'!$D$8:$D$250,CONCATENATE("20",RIGHT('FY Q&amp;V 2003-04 to Now'!S$7,2)),'Nickel - Q&amp;V'!$E$8:$E$250,2))*1000000</f>
        <v>3721964396.23</v>
      </c>
      <c r="U70" s="1301">
        <f>(SUMIFS('Nickel - Q&amp;V'!$B$8:$B$250,'Nickel - Q&amp;V'!$D$8:$D$250,LEFT('FY Q&amp;V 2003-04 to Now'!U$7:V$7,4),'Nickel - Q&amp;V'!$E$8:$E$250,3)+
SUMIFS('Nickel - Q&amp;V'!$B$8:$B$250,'Nickel - Q&amp;V'!$D$8:$D$250,LEFT('FY Q&amp;V 2003-04 to Now'!U$7:V$7,4),'Nickel - Q&amp;V'!$E$8:$E$250,4)+
SUMIFS('Nickel - Q&amp;V'!$B$8:$B$250,'Nickel - Q&amp;V'!$D$8:$D$250,CONCATENATE("20",RIGHT('FY Q&amp;V 2003-04 to Now'!U$7,2)),'Nickel - Q&amp;V'!$E$8:$E$250,1)+
SUMIFS('Nickel - Q&amp;V'!$B$8:$B$250,'Nickel - Q&amp;V'!$D$8:$D$250,CONCATENATE("20",RIGHT('FY Q&amp;V 2003-04 to Now'!U$7,2)),'Nickel - Q&amp;V'!$E$8:$E$250,2))*1000</f>
        <v>227463.33595740909</v>
      </c>
      <c r="V70" s="1289">
        <f>(SUMIFS('Nickel - Q&amp;V'!$C$8:$C$250,'Nickel - Q&amp;V'!$D$8:$D$250,LEFT('FY Q&amp;V 2003-04 to Now'!U$7,4),'Nickel - Q&amp;V'!$E$8:$E$250,3)+
SUMIFS('Nickel - Q&amp;V'!$C$8:$C$250,'Nickel - Q&amp;V'!$D$8:$D$250,LEFT('FY Q&amp;V 2003-04 to Now'!U$7,4),'Nickel - Q&amp;V'!$E$8:$E$250,4)+
SUMIFS('Nickel - Q&amp;V'!$C$8:$C$250,'Nickel - Q&amp;V'!$D$8:$D$250,CONCATENATE("20",RIGHT('FY Q&amp;V 2003-04 to Now'!U$7,2)),'Nickel - Q&amp;V'!$E$8:$E$250,1)+
SUMIFS('Nickel - Q&amp;V'!$C$8:$C$250,'Nickel - Q&amp;V'!$D$8:$D$250,CONCATENATE("20",RIGHT('FY Q&amp;V 2003-04 to Now'!U$7,2)),'Nickel - Q&amp;V'!$E$8:$E$250,2))*1000000</f>
        <v>3511711762.3099999</v>
      </c>
      <c r="W70" s="1301">
        <f>(SUMIFS('Nickel - Q&amp;V'!$B$8:$B$250,'Nickel - Q&amp;V'!$D$8:$D$250,LEFT('FY Q&amp;V 2003-04 to Now'!W$7:X$7,4),'Nickel - Q&amp;V'!$E$8:$E$250,3)+
SUMIFS('Nickel - Q&amp;V'!$B$8:$B$250,'Nickel - Q&amp;V'!$D$8:$D$250,LEFT('FY Q&amp;V 2003-04 to Now'!W$7:X$7,4),'Nickel - Q&amp;V'!$E$8:$E$250,4)+
SUMIFS('Nickel - Q&amp;V'!$B$8:$B$250,'Nickel - Q&amp;V'!$D$8:$D$250,CONCATENATE("20",RIGHT('FY Q&amp;V 2003-04 to Now'!W$7,2)),'Nickel - Q&amp;V'!$E$8:$E$250,1)+
SUMIFS('Nickel - Q&amp;V'!$B$8:$B$250,'Nickel - Q&amp;V'!$D$8:$D$250,CONCATENATE("20",RIGHT('FY Q&amp;V 2003-04 to Now'!W$7,2)),'Nickel - Q&amp;V'!$E$8:$E$250,2))*1000</f>
        <v>232672.758</v>
      </c>
      <c r="X70" s="1289">
        <f>(SUMIFS('Nickel - Q&amp;V'!$C$8:$C$250,'Nickel - Q&amp;V'!$D$8:$D$250,LEFT('FY Q&amp;V 2003-04 to Now'!W$7,4),'Nickel - Q&amp;V'!$E$8:$E$250,3)+
SUMIFS('Nickel - Q&amp;V'!$C$8:$C$250,'Nickel - Q&amp;V'!$D$8:$D$250,LEFT('FY Q&amp;V 2003-04 to Now'!W$7,4),'Nickel - Q&amp;V'!$E$8:$E$250,4)+
SUMIFS('Nickel - Q&amp;V'!$C$8:$C$250,'Nickel - Q&amp;V'!$D$8:$D$250,CONCATENATE("20",RIGHT('FY Q&amp;V 2003-04 to Now'!W$7,2)),'Nickel - Q&amp;V'!$E$8:$E$250,1)+
SUMIFS('Nickel - Q&amp;V'!$C$8:$C$250,'Nickel - Q&amp;V'!$D$8:$D$250,CONCATENATE("20",RIGHT('FY Q&amp;V 2003-04 to Now'!W$7,2)),'Nickel - Q&amp;V'!$E$8:$E$250,2))*1000000</f>
        <v>3419023120.0000005</v>
      </c>
      <c r="Y70" s="1301">
        <f>(SUMIFS('Nickel - Q&amp;V'!$B$8:$B$250,'Nickel - Q&amp;V'!$D$8:$D$250,LEFT('FY Q&amp;V 2003-04 to Now'!Y$7:Z$7,4),'Nickel - Q&amp;V'!$E$8:$E$250,3)+
SUMIFS('Nickel - Q&amp;V'!$B$8:$B$250,'Nickel - Q&amp;V'!$D$8:$D$250,LEFT('FY Q&amp;V 2003-04 to Now'!Y$7:Z$7,4),'Nickel - Q&amp;V'!$E$8:$E$250,4)+
SUMIFS('Nickel - Q&amp;V'!$B$8:$B$250,'Nickel - Q&amp;V'!$D$8:$D$250,CONCATENATE("20",RIGHT('FY Q&amp;V 2003-04 to Now'!Y$7,2)),'Nickel - Q&amp;V'!$E$8:$E$250,1)+
SUMIFS('Nickel - Q&amp;V'!$B$8:$B$250,'Nickel - Q&amp;V'!$D$8:$D$250,CONCATENATE("20",RIGHT('FY Q&amp;V 2003-04 to Now'!Y$7,2)),'Nickel - Q&amp;V'!$E$8:$E$250,2))*1000</f>
        <v>183319.95199999999</v>
      </c>
      <c r="Z70" s="1289">
        <f>(SUMIFS('Nickel - Q&amp;V'!$C$8:$C$250,'Nickel - Q&amp;V'!$D$8:$D$250,LEFT('FY Q&amp;V 2003-04 to Now'!Y$7,4),'Nickel - Q&amp;V'!$E$8:$E$250,3)+
SUMIFS('Nickel - Q&amp;V'!$C$8:$C$250,'Nickel - Q&amp;V'!$D$8:$D$250,LEFT('FY Q&amp;V 2003-04 to Now'!Y$7,4),'Nickel - Q&amp;V'!$E$8:$E$250,4)+
SUMIFS('Nickel - Q&amp;V'!$C$8:$C$250,'Nickel - Q&amp;V'!$D$8:$D$250,CONCATENATE("20",RIGHT('FY Q&amp;V 2003-04 to Now'!Y$7,2)),'Nickel - Q&amp;V'!$E$8:$E$250,1)+
SUMIFS('Nickel - Q&amp;V'!$C$8:$C$250,'Nickel - Q&amp;V'!$D$8:$D$250,CONCATENATE("20",RIGHT('FY Q&amp;V 2003-04 to Now'!Y$7,2)),'Nickel - Q&amp;V'!$E$8:$E$250,2))*1000000</f>
        <v>3169605001</v>
      </c>
      <c r="AA70" s="1301">
        <f>(SUMIFS('Nickel - Q&amp;V'!$B$8:$B$250,'Nickel - Q&amp;V'!$D$8:$D$250,LEFT('FY Q&amp;V 2003-04 to Now'!AA$7:AB$7,4),'Nickel - Q&amp;V'!$E$8:$E$250,3)+
SUMIFS('Nickel - Q&amp;V'!$B$8:$B$250,'Nickel - Q&amp;V'!$D$8:$D$250,LEFT('FY Q&amp;V 2003-04 to Now'!AA$7:AB$7,4),'Nickel - Q&amp;V'!$E$8:$E$250,4)+
SUMIFS('Nickel - Q&amp;V'!$B$8:$B$250,'Nickel - Q&amp;V'!$D$8:$D$250,CONCATENATE("20",RIGHT('FY Q&amp;V 2003-04 to Now'!AA$7,2)),'Nickel - Q&amp;V'!$E$8:$E$250,1)+
SUMIFS('Nickel - Q&amp;V'!$B$8:$B$250,'Nickel - Q&amp;V'!$D$8:$D$250,CONCATENATE("20",RIGHT('FY Q&amp;V 2003-04 to Now'!AA$7,2)),'Nickel - Q&amp;V'!$E$8:$E$250,2))*1000</f>
        <v>175751.53100000002</v>
      </c>
      <c r="AB70" s="1289">
        <f>(SUMIFS('Nickel - Q&amp;V'!$C$8:$C$250,'Nickel - Q&amp;V'!$D$8:$D$250,LEFT('FY Q&amp;V 2003-04 to Now'!AA$7,4),'Nickel - Q&amp;V'!$E$8:$E$250,3)+
SUMIFS('Nickel - Q&amp;V'!$C$8:$C$250,'Nickel - Q&amp;V'!$D$8:$D$250,LEFT('FY Q&amp;V 2003-04 to Now'!AA$7,4),'Nickel - Q&amp;V'!$E$8:$E$250,4)+
SUMIFS('Nickel - Q&amp;V'!$C$8:$C$250,'Nickel - Q&amp;V'!$D$8:$D$250,CONCATENATE("20",RIGHT('FY Q&amp;V 2003-04 to Now'!AA$7,2)),'Nickel - Q&amp;V'!$E$8:$E$250,1)+
SUMIFS('Nickel - Q&amp;V'!$C$8:$C$250,'Nickel - Q&amp;V'!$D$8:$D$250,CONCATENATE("20",RIGHT('FY Q&amp;V 2003-04 to Now'!AA$7,2)),'Nickel - Q&amp;V'!$E$8:$E$250,2))*1000000</f>
        <v>2202734451</v>
      </c>
      <c r="AC70" s="1301">
        <f>(SUMIFS('Nickel - Q&amp;V'!$B$8:$B$250,'Nickel - Q&amp;V'!$D$8:$D$250,LEFT('FY Q&amp;V 2003-04 to Now'!AC$7:AD$7,4),'Nickel - Q&amp;V'!$E$8:$E$250,3)+
SUMIFS('Nickel - Q&amp;V'!$B$8:$B$250,'Nickel - Q&amp;V'!$D$8:$D$250,LEFT('FY Q&amp;V 2003-04 to Now'!AC$7:AD$7,4),'Nickel - Q&amp;V'!$E$8:$E$250,4)+
SUMIFS('Nickel - Q&amp;V'!$B$8:$B$250,'Nickel - Q&amp;V'!$D$8:$D$250,CONCATENATE("20",RIGHT('FY Q&amp;V 2003-04 to Now'!AC$7,2)),'Nickel - Q&amp;V'!$E$8:$E$250,1)+
SUMIFS('Nickel - Q&amp;V'!$B$8:$B$250,'Nickel - Q&amp;V'!$D$8:$D$250,CONCATENATE("20",RIGHT('FY Q&amp;V 2003-04 to Now'!AC$7,2)),'Nickel - Q&amp;V'!$E$8:$E$250,2))*1000</f>
        <v>157564.31399999998</v>
      </c>
      <c r="AD70" s="1289">
        <f>(SUMIFS('Nickel - Q&amp;V'!$C$8:$C$250,'Nickel - Q&amp;V'!$D$8:$D$250,LEFT('FY Q&amp;V 2003-04 to Now'!AC$7,4),'Nickel - Q&amp;V'!$E$8:$E$250,3)+
SUMIFS('Nickel - Q&amp;V'!$C$8:$C$250,'Nickel - Q&amp;V'!$D$8:$D$250,LEFT('FY Q&amp;V 2003-04 to Now'!AC$7,4),'Nickel - Q&amp;V'!$E$8:$E$250,4)+
SUMIFS('Nickel - Q&amp;V'!$C$8:$C$250,'Nickel - Q&amp;V'!$D$8:$D$250,CONCATENATE("20",RIGHT('FY Q&amp;V 2003-04 to Now'!AC$7,2)),'Nickel - Q&amp;V'!$E$8:$E$250,1)+
SUMIFS('Nickel - Q&amp;V'!$C$8:$C$250,'Nickel - Q&amp;V'!$D$8:$D$250,CONCATENATE("20",RIGHT('FY Q&amp;V 2003-04 to Now'!AC$7,2)),'Nickel - Q&amp;V'!$E$8:$E$250,2))*1000000</f>
        <v>2094500242</v>
      </c>
      <c r="AE70" s="1290">
        <f>(SUMIFS('Nickel - Q&amp;V'!$B$8:$B$250,'Nickel - Q&amp;V'!$D$8:$D$250,LEFT('FY Q&amp;V 2003-04 to Now'!AE$7:AF$7,4),'Nickel - Q&amp;V'!$E$8:$E$250,3)+
SUMIFS('Nickel - Q&amp;V'!$B$8:$B$250,'Nickel - Q&amp;V'!$D$8:$D$250,LEFT('FY Q&amp;V 2003-04 to Now'!AE$7:AF$7,4),'Nickel - Q&amp;V'!$E$8:$E$250,4)+
SUMIFS('Nickel - Q&amp;V'!$B$8:$B$250,'Nickel - Q&amp;V'!$D$8:$D$250,CONCATENATE("20",RIGHT('FY Q&amp;V 2003-04 to Now'!AE$7,2)),'Nickel - Q&amp;V'!$E$8:$E$250,1)+
SUMIFS('Nickel - Q&amp;V'!$B$8:$B$250,'Nickel - Q&amp;V'!$D$8:$D$250,CONCATENATE("20",RIGHT('FY Q&amp;V 2003-04 to Now'!AE$7,2)),'Nickel - Q&amp;V'!$E$8:$E$250,2))*1000</f>
        <v>163373.53200000001</v>
      </c>
      <c r="AF70" s="1289">
        <f>(SUMIFS('Nickel - Q&amp;V'!$C$8:$C$250,'Nickel - Q&amp;V'!$D$8:$D$250,LEFT('FY Q&amp;V 2003-04 to Now'!AE$7,4),'Nickel - Q&amp;V'!$E$8:$E$250,3)+
SUMIFS('Nickel - Q&amp;V'!$C$8:$C$250,'Nickel - Q&amp;V'!$D$8:$D$250,LEFT('FY Q&amp;V 2003-04 to Now'!AE$7,4),'Nickel - Q&amp;V'!$E$8:$E$250,4)+
SUMIFS('Nickel - Q&amp;V'!$C$8:$C$250,'Nickel - Q&amp;V'!$D$8:$D$250,CONCATENATE("20",RIGHT('FY Q&amp;V 2003-04 to Now'!AE$7,2)),'Nickel - Q&amp;V'!$E$8:$E$250,1)+
SUMIFS('Nickel - Q&amp;V'!$C$8:$C$250,'Nickel - Q&amp;V'!$D$8:$D$250,CONCATENATE("20",RIGHT('FY Q&amp;V 2003-04 to Now'!AE$7,2)),'Nickel - Q&amp;V'!$E$8:$E$250,2))*1000000</f>
        <v>2635829872.0000005</v>
      </c>
      <c r="AG70" s="1302">
        <f>(SUMIFS('Nickel - Q&amp;V'!$B$8:$B$250,'Nickel - Q&amp;V'!$D$8:$D$250,LEFT('FY Q&amp;V 2003-04 to Now'!AG$7:AH$7,4),'Nickel - Q&amp;V'!$E$8:$E$250,3)+
SUMIFS('Nickel - Q&amp;V'!$B$8:$B$250,'Nickel - Q&amp;V'!$D$8:$D$250,LEFT('FY Q&amp;V 2003-04 to Now'!AG$7:AH$7,4),'Nickel - Q&amp;V'!$E$8:$E$250,4)+
SUMIFS('Nickel - Q&amp;V'!$B$8:$B$250,'Nickel - Q&amp;V'!$D$8:$D$250,CONCATENATE("20",RIGHT('FY Q&amp;V 2003-04 to Now'!AG$7,2)),'Nickel - Q&amp;V'!$E$8:$E$250,1)+
SUMIFS('Nickel - Q&amp;V'!$B$8:$B$250,'Nickel - Q&amp;V'!$D$8:$D$250,CONCATENATE("20",RIGHT('FY Q&amp;V 2003-04 to Now'!AG$7,2)),'Nickel - Q&amp;V'!$E$8:$E$250,2))*1000</f>
        <v>154383.46799999999</v>
      </c>
      <c r="AH70" s="1302">
        <f>(SUMIFS('Nickel - Q&amp;V'!$C$8:$C$250,'Nickel - Q&amp;V'!$D$8:$D$250,LEFT('FY Q&amp;V 2003-04 to Now'!AG$7,4),'Nickel - Q&amp;V'!$E$8:$E$250,3)+
SUMIFS('Nickel - Q&amp;V'!$C$8:$C$250,'Nickel - Q&amp;V'!$D$8:$D$250,LEFT('FY Q&amp;V 2003-04 to Now'!AG$7,4),'Nickel - Q&amp;V'!$E$8:$E$250,4)+
SUMIFS('Nickel - Q&amp;V'!$C$8:$C$250,'Nickel - Q&amp;V'!$D$8:$D$250,CONCATENATE("20",RIGHT('FY Q&amp;V 2003-04 to Now'!AG$7,2)),'Nickel - Q&amp;V'!$E$8:$E$250,1)+
SUMIFS('Nickel - Q&amp;V'!$C$8:$C$250,'Nickel - Q&amp;V'!$D$8:$D$250,CONCATENATE("20",RIGHT('FY Q&amp;V 2003-04 to Now'!AG$7,2)),'Nickel - Q&amp;V'!$E$8:$E$250,2))*1000000</f>
        <v>2699898111.0000005</v>
      </c>
      <c r="AI70" s="1302">
        <f>(SUMIFS('Nickel - Q&amp;V'!$B$8:$B$250,'Nickel - Q&amp;V'!$D$8:$D$250,LEFT('FY Q&amp;V 2003-04 to Now'!AI$7:AJ$7,4),'Nickel - Q&amp;V'!$E$8:$E$250,3)+
SUMIFS('Nickel - Q&amp;V'!$B$8:$B$250,'Nickel - Q&amp;V'!$D$8:$D$250,LEFT('FY Q&amp;V 2003-04 to Now'!AI$7:AJ$7,4),'Nickel - Q&amp;V'!$E$8:$E$250,4)+
SUMIFS('Nickel - Q&amp;V'!$B$8:$B$250,'Nickel - Q&amp;V'!$D$8:$D$250,CONCATENATE("20",RIGHT('FY Q&amp;V 2003-04 to Now'!AI$7,2)),'Nickel - Q&amp;V'!$E$8:$E$250,1)+
SUMIFS('Nickel - Q&amp;V'!$B$8:$B$250,'Nickel - Q&amp;V'!$D$8:$D$250,CONCATENATE("20",RIGHT('FY Q&amp;V 2003-04 to Now'!AI$7,2)),'Nickel - Q&amp;V'!$E$8:$E$250,2))*1000</f>
        <v>153419.90400000004</v>
      </c>
      <c r="AJ70" s="1302">
        <v>3167492780</v>
      </c>
      <c r="AK70" s="1302">
        <f>(SUMIFS('Nickel - Q&amp;V'!$B$8:$B$250,'Nickel - Q&amp;V'!$D$8:$D$250,LEFT('FY Q&amp;V 2003-04 to Now'!AK$7:AL$7,4),'Nickel - Q&amp;V'!$E$8:$E$250,3)+
SUMIFS('Nickel - Q&amp;V'!$B$8:$B$250,'Nickel - Q&amp;V'!$D$8:$D$250,LEFT('FY Q&amp;V 2003-04 to Now'!AK$7:AL$7,4),'Nickel - Q&amp;V'!$E$8:$E$250,4)+
SUMIFS('Nickel - Q&amp;V'!$B$8:$B$250,'Nickel - Q&amp;V'!$D$8:$D$250,CONCATENATE("20",RIGHT('FY Q&amp;V 2003-04 to Now'!AK$7,2)),'Nickel - Q&amp;V'!$E$8:$E$250,1)+
SUMIFS('Nickel - Q&amp;V'!$B$8:$B$250,'Nickel - Q&amp;V'!$D$8:$D$250,CONCATENATE("20",RIGHT('FY Q&amp;V 2003-04 to Now'!AK$7,2)),'Nickel - Q&amp;V'!$E$8:$E$250,2))*1000</f>
        <v>158710.027</v>
      </c>
      <c r="AL70" s="1302">
        <f>(SUMIFS('Nickel - Q&amp;V'!$C$8:$C$250,'Nickel - Q&amp;V'!$D$8:$D$250,LEFT('FY Q&amp;V 2003-04 to Now'!AK$7,4),'Nickel - Q&amp;V'!$E$8:$E$250,3)+
SUMIFS('Nickel - Q&amp;V'!$C$8:$C$250,'Nickel - Q&amp;V'!$D$8:$D$250,LEFT('FY Q&amp;V 2003-04 to Now'!AK$7,4),'Nickel - Q&amp;V'!$E$8:$E$250,4)+
SUMIFS('Nickel - Q&amp;V'!$C$8:$C$250,'Nickel - Q&amp;V'!$D$8:$D$250,CONCATENATE("20",RIGHT('FY Q&amp;V 2003-04 to Now'!AK$7,2)),'Nickel - Q&amp;V'!$E$8:$E$250,1)+
SUMIFS('Nickel - Q&amp;V'!$C$8:$C$250,'Nickel - Q&amp;V'!$D$8:$D$250,CONCATENATE("20",RIGHT('FY Q&amp;V 2003-04 to Now'!AK$7,2)),'Nickel - Q&amp;V'!$E$8:$E$250,2))*1000000</f>
        <v>3480602339</v>
      </c>
      <c r="AM70" s="1712">
        <f>SUMIF($C$9:AL$9,1,$C70:AL70)</f>
        <v>3261655.5863574091</v>
      </c>
      <c r="AN70" s="1280">
        <f>SUMIF($C$9:AL$9,0,$C70:AL70)</f>
        <v>65315055958.540001</v>
      </c>
      <c r="AO70" s="387"/>
    </row>
    <row r="71" spans="1:45">
      <c r="A71" s="368" t="s">
        <v>302</v>
      </c>
      <c r="B71" s="353" t="s">
        <v>160</v>
      </c>
      <c r="C71" s="1301">
        <f>(SUMIFS('Other Commodities - Q&amp;V'!$L$8:$L$250,'Other Commodities - Q&amp;V'!$N$8:$N$250,LEFT('FY Q&amp;V 2003-04 to Now'!C$7,4),'Other Commodities - Q&amp;V'!$O$8:$O$250,3)+
SUMIFS('Other Commodities - Q&amp;V'!$L$8:$L$250,'Other Commodities - Q&amp;V'!$N$8:$N$250,LEFT('FY Q&amp;V 2003-04 to Now'!C$7,4),'Other Commodities - Q&amp;V'!$O$8:$O$250,4)+
SUMIFS('Other Commodities - Q&amp;V'!$L$8:$L$250,'Other Commodities - Q&amp;V'!$N$8:$N$250,CONCATENATE("20",RIGHT('FY Q&amp;V 2003-04 to Now'!C$7,2)),'Other Commodities - Q&amp;V'!$O$8:$O$250,1)+
SUMIFS('Other Commodities - Q&amp;V'!$L$8:$L$250,'Other Commodities - Q&amp;V'!$N$8:$N$250,CONCATENATE("20",RIGHT('FY Q&amp;V 2003-04 to Now'!C$7,2)),'Other Commodities - Q&amp;V'!$O$8:$O$250,2))</f>
        <v>666.68599999999992</v>
      </c>
      <c r="D71" s="1289">
        <f>(SUMIFS('Other Commodities - Q&amp;V'!$M$8:$M$250,'Other Commodities - Q&amp;V'!$N$8:$N$250,LEFT('FY Q&amp;V 2003-04 to Now'!C$7,4),'Other Commodities - Q&amp;V'!$O$8:$O$250,3)+
SUMIFS('Other Commodities - Q&amp;V'!$M$8:$M$250,'Other Commodities - Q&amp;V'!$N$8:$N$250,LEFT('FY Q&amp;V 2003-04 to Now'!C$7,4),'Other Commodities - Q&amp;V'!$O$8:$O$250,4)+
SUMIFS('Other Commodities - Q&amp;V'!$M$8:$M$250,'Other Commodities - Q&amp;V'!$N$8:$N$250,CONCATENATE("20",RIGHT('FY Q&amp;V 2003-04 to Now'!C$7,2)),'Other Commodities - Q&amp;V'!$O$8:$O$250,1)+
SUMIFS('Other Commodities - Q&amp;V'!$M$8:$M$250,'Other Commodities - Q&amp;V'!$N$8:$N$250,CONCATENATE("20",RIGHT('FY Q&amp;V 2003-04 to Now'!C$7,2)),'Other Commodities - Q&amp;V'!$O$8:$O$250,2))*1000000</f>
        <v>8205197</v>
      </c>
      <c r="E71" s="1301">
        <f>(SUMIFS('Other Commodities - Q&amp;V'!$L$8:$L$250,'Other Commodities - Q&amp;V'!$N$8:$N$250,LEFT('FY Q&amp;V 2003-04 to Now'!E$7,4),'Other Commodities - Q&amp;V'!$O$8:$O$250,3)+
SUMIFS('Other Commodities - Q&amp;V'!$L$8:$L$250,'Other Commodities - Q&amp;V'!$N$8:$N$250,LEFT('FY Q&amp;V 2003-04 to Now'!E$7,4),'Other Commodities - Q&amp;V'!$O$8:$O$250,4)+
SUMIFS('Other Commodities - Q&amp;V'!$L$8:$L$250,'Other Commodities - Q&amp;V'!$N$8:$N$250,CONCATENATE("20",RIGHT('FY Q&amp;V 2003-04 to Now'!E$7,2)),'Other Commodities - Q&amp;V'!$O$8:$O$250,1)+
SUMIFS('Other Commodities - Q&amp;V'!$L$8:$L$250,'Other Commodities - Q&amp;V'!$N$8:$N$250,CONCATENATE("20",RIGHT('FY Q&amp;V 2003-04 to Now'!E$7,2)),'Other Commodities - Q&amp;V'!$O$8:$O$250,2))</f>
        <v>1051</v>
      </c>
      <c r="F71" s="1289">
        <f>(SUMIFS('Other Commodities - Q&amp;V'!$M$8:$M$250,'Other Commodities - Q&amp;V'!$N$8:$N$250,LEFT('FY Q&amp;V 2003-04 to Now'!E$7,4),'Other Commodities - Q&amp;V'!$O$8:$O$250,3)+
SUMIFS('Other Commodities - Q&amp;V'!$M$8:$M$250,'Other Commodities - Q&amp;V'!$N$8:$N$250,LEFT('FY Q&amp;V 2003-04 to Now'!E$7,4),'Other Commodities - Q&amp;V'!$O$8:$O$250,4)+
SUMIFS('Other Commodities - Q&amp;V'!$M$8:$M$250,'Other Commodities - Q&amp;V'!$N$8:$N$250,CONCATENATE("20",RIGHT('FY Q&amp;V 2003-04 to Now'!E$7,2)),'Other Commodities - Q&amp;V'!$O$8:$O$250,1)+
SUMIFS('Other Commodities - Q&amp;V'!$M$8:$M$250,'Other Commodities - Q&amp;V'!$N$8:$N$250,CONCATENATE("20",RIGHT('FY Q&amp;V 2003-04 to Now'!E$7,2)),'Other Commodities - Q&amp;V'!$O$8:$O$250,2))*1000000</f>
        <v>9150844</v>
      </c>
      <c r="G71" s="1301">
        <f>(SUMIFS('Other Commodities - Q&amp;V'!$L$8:$L$250,'Other Commodities - Q&amp;V'!$N$8:$N$250,LEFT('FY Q&amp;V 2003-04 to Now'!G$7,4),'Other Commodities - Q&amp;V'!$O$8:$O$250,3)+
SUMIFS('Other Commodities - Q&amp;V'!$L$8:$L$250,'Other Commodities - Q&amp;V'!$N$8:$N$250,LEFT('FY Q&amp;V 2003-04 to Now'!G$7,4),'Other Commodities - Q&amp;V'!$O$8:$O$250,4)+
SUMIFS('Other Commodities - Q&amp;V'!$L$8:$L$250,'Other Commodities - Q&amp;V'!$N$8:$N$250,CONCATENATE("20",RIGHT('FY Q&amp;V 2003-04 to Now'!G$7,2)),'Other Commodities - Q&amp;V'!$O$8:$O$250,1)+
SUMIFS('Other Commodities - Q&amp;V'!$L$8:$L$250,'Other Commodities - Q&amp;V'!$N$8:$N$250,CONCATENATE("20",RIGHT('FY Q&amp;V 2003-04 to Now'!G$7,2)),'Other Commodities - Q&amp;V'!$O$8:$O$250,2))</f>
        <v>859.63</v>
      </c>
      <c r="H71" s="1289">
        <f>(SUMIFS('Other Commodities - Q&amp;V'!$M$8:$M$250,'Other Commodities - Q&amp;V'!$N$8:$N$250,LEFT('FY Q&amp;V 2003-04 to Now'!G$7,4),'Other Commodities - Q&amp;V'!$O$8:$O$250,3)+
SUMIFS('Other Commodities - Q&amp;V'!$M$8:$M$250,'Other Commodities - Q&amp;V'!$N$8:$N$250,LEFT('FY Q&amp;V 2003-04 to Now'!G$7,4),'Other Commodities - Q&amp;V'!$O$8:$O$250,4)+
SUMIFS('Other Commodities - Q&amp;V'!$M$8:$M$250,'Other Commodities - Q&amp;V'!$N$8:$N$250,CONCATENATE("20",RIGHT('FY Q&amp;V 2003-04 to Now'!G$7,2)),'Other Commodities - Q&amp;V'!$O$8:$O$250,1)+
SUMIFS('Other Commodities - Q&amp;V'!$M$8:$M$250,'Other Commodities - Q&amp;V'!$N$8:$N$250,CONCATENATE("20",RIGHT('FY Q&amp;V 2003-04 to Now'!G$7,2)),'Other Commodities - Q&amp;V'!$O$8:$O$250,2))*1000000</f>
        <v>9742690</v>
      </c>
      <c r="I71" s="1301">
        <f>(SUMIFS('Other Commodities - Q&amp;V'!$L$8:$L$250,'Other Commodities - Q&amp;V'!$N$8:$N$250,LEFT('FY Q&amp;V 2003-04 to Now'!I$7,4),'Other Commodities - Q&amp;V'!$O$8:$O$250,3)+
SUMIFS('Other Commodities - Q&amp;V'!$L$8:$L$250,'Other Commodities - Q&amp;V'!$N$8:$N$250,LEFT('FY Q&amp;V 2003-04 to Now'!I$7,4),'Other Commodities - Q&amp;V'!$O$8:$O$250,4)+
SUMIFS('Other Commodities - Q&amp;V'!$L$8:$L$250,'Other Commodities - Q&amp;V'!$N$8:$N$250,CONCATENATE("20",RIGHT('FY Q&amp;V 2003-04 to Now'!I$7,2)),'Other Commodities - Q&amp;V'!$O$8:$O$250,1)+
SUMIFS('Other Commodities - Q&amp;V'!$L$8:$L$250,'Other Commodities - Q&amp;V'!$N$8:$N$250,CONCATENATE("20",RIGHT('FY Q&amp;V 2003-04 to Now'!I$7,2)),'Other Commodities - Q&amp;V'!$O$8:$O$250,2))</f>
        <v>713.59</v>
      </c>
      <c r="J71" s="1289">
        <f>(SUMIFS('Other Commodities - Q&amp;V'!$M$8:$M$250,'Other Commodities - Q&amp;V'!$N$8:$N$250,LEFT('FY Q&amp;V 2003-04 to Now'!I$7,4),'Other Commodities - Q&amp;V'!$O$8:$O$250,3)+
SUMIFS('Other Commodities - Q&amp;V'!$M$8:$M$250,'Other Commodities - Q&amp;V'!$N$8:$N$250,LEFT('FY Q&amp;V 2003-04 to Now'!I$7,4),'Other Commodities - Q&amp;V'!$O$8:$O$250,4)+
SUMIFS('Other Commodities - Q&amp;V'!$M$8:$M$250,'Other Commodities - Q&amp;V'!$N$8:$N$250,CONCATENATE("20",RIGHT('FY Q&amp;V 2003-04 to Now'!I$7,2)),'Other Commodities - Q&amp;V'!$O$8:$O$250,1)+
SUMIFS('Other Commodities - Q&amp;V'!$M$8:$M$250,'Other Commodities - Q&amp;V'!$N$8:$N$250,CONCATENATE("20",RIGHT('FY Q&amp;V 2003-04 to Now'!I$7,2)),'Other Commodities - Q&amp;V'!$O$8:$O$250,2))*1000000</f>
        <v>9693188</v>
      </c>
      <c r="K71" s="1301">
        <f>(SUMIFS('Other Commodities - Q&amp;V'!$L$8:$L$250,'Other Commodities - Q&amp;V'!$N$8:$N$250,LEFT('FY Q&amp;V 2003-04 to Now'!K$7,4),'Other Commodities - Q&amp;V'!$O$8:$O$250,3)+
SUMIFS('Other Commodities - Q&amp;V'!$L$8:$L$250,'Other Commodities - Q&amp;V'!$N$8:$N$250,LEFT('FY Q&amp;V 2003-04 to Now'!K$7,4),'Other Commodities - Q&amp;V'!$O$8:$O$250,4)+
SUMIFS('Other Commodities - Q&amp;V'!$L$8:$L$250,'Other Commodities - Q&amp;V'!$N$8:$N$250,CONCATENATE("20",RIGHT('FY Q&amp;V 2003-04 to Now'!K$7,2)),'Other Commodities - Q&amp;V'!$O$8:$O$250,1)+
SUMIFS('Other Commodities - Q&amp;V'!$L$8:$L$250,'Other Commodities - Q&amp;V'!$N$8:$N$250,CONCATENATE("20",RIGHT('FY Q&amp;V 2003-04 to Now'!K$7,2)),'Other Commodities - Q&amp;V'!$O$8:$O$250,2))</f>
        <v>947.76</v>
      </c>
      <c r="L71" s="1289">
        <f>(SUMIFS('Other Commodities - Q&amp;V'!$M$8:$M$250,'Other Commodities - Q&amp;V'!$N$8:$N$250,LEFT('FY Q&amp;V 2003-04 to Now'!K$7,4),'Other Commodities - Q&amp;V'!$O$8:$O$250,3)+
SUMIFS('Other Commodities - Q&amp;V'!$M$8:$M$250,'Other Commodities - Q&amp;V'!$N$8:$N$250,LEFT('FY Q&amp;V 2003-04 to Now'!K$7,4),'Other Commodities - Q&amp;V'!$O$8:$O$250,4)+
SUMIFS('Other Commodities - Q&amp;V'!$M$8:$M$250,'Other Commodities - Q&amp;V'!$N$8:$N$250,CONCATENATE("20",RIGHT('FY Q&amp;V 2003-04 to Now'!K$7,2)),'Other Commodities - Q&amp;V'!$O$8:$O$250,1)+
SUMIFS('Other Commodities - Q&amp;V'!$M$8:$M$250,'Other Commodities - Q&amp;V'!$N$8:$N$250,CONCATENATE("20",RIGHT('FY Q&amp;V 2003-04 to Now'!K$7,2)),'Other Commodities - Q&amp;V'!$O$8:$O$250,2))*1000000</f>
        <v>13213845</v>
      </c>
      <c r="M71" s="1301">
        <f>(SUMIFS('Other Commodities - Q&amp;V'!$L$8:$L$250,'Other Commodities - Q&amp;V'!$N$8:$N$250,LEFT('FY Q&amp;V 2003-04 to Now'!M$7,4),'Other Commodities - Q&amp;V'!$O$8:$O$250,3)+
SUMIFS('Other Commodities - Q&amp;V'!$L$8:$L$250,'Other Commodities - Q&amp;V'!$N$8:$N$250,LEFT('FY Q&amp;V 2003-04 to Now'!M$7,4),'Other Commodities - Q&amp;V'!$O$8:$O$250,4)+
SUMIFS('Other Commodities - Q&amp;V'!$L$8:$L$250,'Other Commodities - Q&amp;V'!$N$8:$N$250,CONCATENATE("20",RIGHT('FY Q&amp;V 2003-04 to Now'!M$7,2)),'Other Commodities - Q&amp;V'!$O$8:$O$250,1)+
SUMIFS('Other Commodities - Q&amp;V'!$L$8:$L$250,'Other Commodities - Q&amp;V'!$N$8:$N$250,CONCATENATE("20",RIGHT('FY Q&amp;V 2003-04 to Now'!M$7,2)),'Other Commodities - Q&amp;V'!$O$8:$O$250,2))</f>
        <v>642.19000000000005</v>
      </c>
      <c r="N71" s="1289">
        <f>(SUMIFS('Other Commodities - Q&amp;V'!$M$8:$M$250,'Other Commodities - Q&amp;V'!$N$8:$N$250,LEFT('FY Q&amp;V 2003-04 to Now'!M$7,4),'Other Commodities - Q&amp;V'!$O$8:$O$250,3)+
SUMIFS('Other Commodities - Q&amp;V'!$M$8:$M$250,'Other Commodities - Q&amp;V'!$N$8:$N$250,LEFT('FY Q&amp;V 2003-04 to Now'!M$7,4),'Other Commodities - Q&amp;V'!$O$8:$O$250,4)+
SUMIFS('Other Commodities - Q&amp;V'!$M$8:$M$250,'Other Commodities - Q&amp;V'!$N$8:$N$250,CONCATENATE("20",RIGHT('FY Q&amp;V 2003-04 to Now'!M$7,2)),'Other Commodities - Q&amp;V'!$O$8:$O$250,1)+
SUMIFS('Other Commodities - Q&amp;V'!$M$8:$M$250,'Other Commodities - Q&amp;V'!$N$8:$N$250,CONCATENATE("20",RIGHT('FY Q&amp;V 2003-04 to Now'!M$7,2)),'Other Commodities - Q&amp;V'!$O$8:$O$250,2))*1000000</f>
        <v>5452602</v>
      </c>
      <c r="O71" s="1301">
        <f>(SUMIFS('Other Commodities - Q&amp;V'!$L$8:$L$250,'Other Commodities - Q&amp;V'!$N$8:$N$250,LEFT('FY Q&amp;V 2003-04 to Now'!O$7,4),'Other Commodities - Q&amp;V'!$O$8:$O$250,3)+
SUMIFS('Other Commodities - Q&amp;V'!$L$8:$L$250,'Other Commodities - Q&amp;V'!$N$8:$N$250,LEFT('FY Q&amp;V 2003-04 to Now'!O$7,4),'Other Commodities - Q&amp;V'!$O$8:$O$250,4)+
SUMIFS('Other Commodities - Q&amp;V'!$L$8:$L$250,'Other Commodities - Q&amp;V'!$N$8:$N$250,CONCATENATE("20",RIGHT('FY Q&amp;V 2003-04 to Now'!O$7,2)),'Other Commodities - Q&amp;V'!$O$8:$O$250,1)+
SUMIFS('Other Commodities - Q&amp;V'!$L$8:$L$250,'Other Commodities - Q&amp;V'!$N$8:$N$250,CONCATENATE("20",RIGHT('FY Q&amp;V 2003-04 to Now'!O$7,2)),'Other Commodities - Q&amp;V'!$O$8:$O$250,2))</f>
        <v>1089.3499999999999</v>
      </c>
      <c r="P71" s="1289">
        <f>(SUMIFS('Other Commodities - Q&amp;V'!$M$8:$M$250,'Other Commodities - Q&amp;V'!$N$8:$N$250,LEFT('FY Q&amp;V 2003-04 to Now'!O$7,4),'Other Commodities - Q&amp;V'!$O$8:$O$250,3)+
SUMIFS('Other Commodities - Q&amp;V'!$M$8:$M$250,'Other Commodities - Q&amp;V'!$N$8:$N$250,LEFT('FY Q&amp;V 2003-04 to Now'!O$7,4),'Other Commodities - Q&amp;V'!$O$8:$O$250,4)+
SUMIFS('Other Commodities - Q&amp;V'!$M$8:$M$250,'Other Commodities - Q&amp;V'!$N$8:$N$250,CONCATENATE("20",RIGHT('FY Q&amp;V 2003-04 to Now'!O$7,2)),'Other Commodities - Q&amp;V'!$O$8:$O$250,1)+
SUMIFS('Other Commodities - Q&amp;V'!$M$8:$M$250,'Other Commodities - Q&amp;V'!$N$8:$N$250,CONCATENATE("20",RIGHT('FY Q&amp;V 2003-04 to Now'!O$7,2)),'Other Commodities - Q&amp;V'!$O$8:$O$250,2))*1000000</f>
        <v>11101918.999999998</v>
      </c>
      <c r="Q71" s="1301">
        <f>(SUMIFS('Other Commodities - Q&amp;V'!$L$8:$L$250,'Other Commodities - Q&amp;V'!$N$8:$N$250,LEFT('FY Q&amp;V 2003-04 to Now'!Q$7,4),'Other Commodities - Q&amp;V'!$O$8:$O$250,3)+
SUMIFS('Other Commodities - Q&amp;V'!$L$8:$L$250,'Other Commodities - Q&amp;V'!$N$8:$N$250,LEFT('FY Q&amp;V 2003-04 to Now'!Q$7,4),'Other Commodities - Q&amp;V'!$O$8:$O$250,4)+
SUMIFS('Other Commodities - Q&amp;V'!$L$8:$L$250,'Other Commodities - Q&amp;V'!$N$8:$N$250,CONCATENATE("20",RIGHT('FY Q&amp;V 2003-04 to Now'!Q$7,2)),'Other Commodities - Q&amp;V'!$O$8:$O$250,1)+
SUMIFS('Other Commodities - Q&amp;V'!$L$8:$L$250,'Other Commodities - Q&amp;V'!$N$8:$N$250,CONCATENATE("20",RIGHT('FY Q&amp;V 2003-04 to Now'!Q$7,2)),'Other Commodities - Q&amp;V'!$O$8:$O$250,2))</f>
        <v>440.23</v>
      </c>
      <c r="R71" s="1289">
        <f>(SUMIFS('Other Commodities - Q&amp;V'!$M$8:$M$250,'Other Commodities - Q&amp;V'!$N$8:$N$250,LEFT('FY Q&amp;V 2003-04 to Now'!Q$7,4),'Other Commodities - Q&amp;V'!$O$8:$O$250,3)+
SUMIFS('Other Commodities - Q&amp;V'!$M$8:$M$250,'Other Commodities - Q&amp;V'!$N$8:$N$250,LEFT('FY Q&amp;V 2003-04 to Now'!Q$7,4),'Other Commodities - Q&amp;V'!$O$8:$O$250,4)+
SUMIFS('Other Commodities - Q&amp;V'!$M$8:$M$250,'Other Commodities - Q&amp;V'!$N$8:$N$250,CONCATENATE("20",RIGHT('FY Q&amp;V 2003-04 to Now'!Q$7,2)),'Other Commodities - Q&amp;V'!$O$8:$O$250,1)+
SUMIFS('Other Commodities - Q&amp;V'!$M$8:$M$250,'Other Commodities - Q&amp;V'!$N$8:$N$250,CONCATENATE("20",RIGHT('FY Q&amp;V 2003-04 to Now'!Q$7,2)),'Other Commodities - Q&amp;V'!$O$8:$O$250,2))*1000000</f>
        <v>7036097</v>
      </c>
      <c r="S71" s="1301">
        <f>(SUMIFS('Other Commodities - Q&amp;V'!$L$8:$L$250,'Other Commodities - Q&amp;V'!$N$8:$N$250,LEFT('FY Q&amp;V 2003-04 to Now'!S$7,4),'Other Commodities - Q&amp;V'!$O$8:$O$250,3)+
SUMIFS('Other Commodities - Q&amp;V'!$L$8:$L$250,'Other Commodities - Q&amp;V'!$N$8:$N$250,LEFT('FY Q&amp;V 2003-04 to Now'!S$7,4),'Other Commodities - Q&amp;V'!$O$8:$O$250,4)+
SUMIFS('Other Commodities - Q&amp;V'!$L$8:$L$250,'Other Commodities - Q&amp;V'!$N$8:$N$250,CONCATENATE("20",RIGHT('FY Q&amp;V 2003-04 to Now'!S$7,2)),'Other Commodities - Q&amp;V'!$O$8:$O$250,1)+
SUMIFS('Other Commodities - Q&amp;V'!$L$8:$L$250,'Other Commodities - Q&amp;V'!$N$8:$N$250,CONCATENATE("20",RIGHT('FY Q&amp;V 2003-04 to Now'!S$7,2)),'Other Commodities - Q&amp;V'!$O$8:$O$250,2))</f>
        <v>626.08273703999998</v>
      </c>
      <c r="T71" s="1289">
        <f>(SUMIFS('Other Commodities - Q&amp;V'!$M$8:$M$250,'Other Commodities - Q&amp;V'!$N$8:$N$250,LEFT('FY Q&amp;V 2003-04 to Now'!S$7,4),'Other Commodities - Q&amp;V'!$O$8:$O$250,3)+
SUMIFS('Other Commodities - Q&amp;V'!$M$8:$M$250,'Other Commodities - Q&amp;V'!$N$8:$N$250,LEFT('FY Q&amp;V 2003-04 to Now'!S$7,4),'Other Commodities - Q&amp;V'!$O$8:$O$250,4)+
SUMIFS('Other Commodities - Q&amp;V'!$M$8:$M$250,'Other Commodities - Q&amp;V'!$N$8:$N$250,CONCATENATE("20",RIGHT('FY Q&amp;V 2003-04 to Now'!S$7,2)),'Other Commodities - Q&amp;V'!$O$8:$O$250,1)+
SUMIFS('Other Commodities - Q&amp;V'!$M$8:$M$250,'Other Commodities - Q&amp;V'!$N$8:$N$250,CONCATENATE("20",RIGHT('FY Q&amp;V 2003-04 to Now'!S$7,2)),'Other Commodities - Q&amp;V'!$O$8:$O$250,2))*1000000</f>
        <v>14909443.16</v>
      </c>
      <c r="U71" s="1301">
        <f>(SUMIFS('Other Commodities - Q&amp;V'!$L$8:$L$250,'Other Commodities - Q&amp;V'!$N$8:$N$250,LEFT('FY Q&amp;V 2003-04 to Now'!U$7,4),'Other Commodities - Q&amp;V'!$O$8:$O$250,3)+
SUMIFS('Other Commodities - Q&amp;V'!$L$8:$L$250,'Other Commodities - Q&amp;V'!$N$8:$N$250,LEFT('FY Q&amp;V 2003-04 to Now'!U$7,4),'Other Commodities - Q&amp;V'!$O$8:$O$250,4)+
SUMIFS('Other Commodities - Q&amp;V'!$L$8:$L$250,'Other Commodities - Q&amp;V'!$N$8:$N$250,CONCATENATE("20",RIGHT('FY Q&amp;V 2003-04 to Now'!U$7,2)),'Other Commodities - Q&amp;V'!$O$8:$O$250,1)+
SUMIFS('Other Commodities - Q&amp;V'!$L$8:$L$250,'Other Commodities - Q&amp;V'!$N$8:$N$250,CONCATENATE("20",RIGHT('FY Q&amp;V 2003-04 to Now'!U$7,2)),'Other Commodities - Q&amp;V'!$O$8:$O$250,2))</f>
        <v>657.73810275000005</v>
      </c>
      <c r="V71" s="1289">
        <f>(SUMIFS('Other Commodities - Q&amp;V'!$M$8:$M$250,'Other Commodities - Q&amp;V'!$N$8:$N$250,LEFT('FY Q&amp;V 2003-04 to Now'!U$7,4),'Other Commodities - Q&amp;V'!$O$8:$O$250,3)+
SUMIFS('Other Commodities - Q&amp;V'!$M$8:$M$250,'Other Commodities - Q&amp;V'!$N$8:$N$250,LEFT('FY Q&amp;V 2003-04 to Now'!U$7,4),'Other Commodities - Q&amp;V'!$O$8:$O$250,4)+
SUMIFS('Other Commodities - Q&amp;V'!$M$8:$M$250,'Other Commodities - Q&amp;V'!$N$8:$N$250,CONCATENATE("20",RIGHT('FY Q&amp;V 2003-04 to Now'!U$7,2)),'Other Commodities - Q&amp;V'!$O$8:$O$250,1)+
SUMIFS('Other Commodities - Q&amp;V'!$M$8:$M$250,'Other Commodities - Q&amp;V'!$N$8:$N$250,CONCATENATE("20",RIGHT('FY Q&amp;V 2003-04 to Now'!U$7,2)),'Other Commodities - Q&amp;V'!$O$8:$O$250,2))*1000000</f>
        <v>15045619.1</v>
      </c>
      <c r="W71" s="1301">
        <f>(SUMIFS('Other Commodities - Q&amp;V'!$L$8:$L$250,'Other Commodities - Q&amp;V'!$N$8:$N$250,LEFT('FY Q&amp;V 2003-04 to Now'!W$7,4),'Other Commodities - Q&amp;V'!$O$8:$O$250,3)+
SUMIFS('Other Commodities - Q&amp;V'!$L$8:$L$250,'Other Commodities - Q&amp;V'!$N$8:$N$250,LEFT('FY Q&amp;V 2003-04 to Now'!W$7,4),'Other Commodities - Q&amp;V'!$O$8:$O$250,4)+
SUMIFS('Other Commodities - Q&amp;V'!$L$8:$L$250,'Other Commodities - Q&amp;V'!$N$8:$N$250,CONCATENATE("20",RIGHT('FY Q&amp;V 2003-04 to Now'!W$7,2)),'Other Commodities - Q&amp;V'!$O$8:$O$250,1)+
SUMIFS('Other Commodities - Q&amp;V'!$L$8:$L$250,'Other Commodities - Q&amp;V'!$N$8:$N$250,CONCATENATE("20",RIGHT('FY Q&amp;V 2003-04 to Now'!W$7,2)),'Other Commodities - Q&amp;V'!$O$8:$O$250,2))</f>
        <v>1015.0321232683425</v>
      </c>
      <c r="X71" s="1289">
        <f>(SUMIFS('Other Commodities - Q&amp;V'!$M$8:$M$250,'Other Commodities - Q&amp;V'!$N$8:$N$250,LEFT('FY Q&amp;V 2003-04 to Now'!W$7,4),'Other Commodities - Q&amp;V'!$O$8:$O$250,3)+
SUMIFS('Other Commodities - Q&amp;V'!$M$8:$M$250,'Other Commodities - Q&amp;V'!$N$8:$N$250,LEFT('FY Q&amp;V 2003-04 to Now'!W$7,4),'Other Commodities - Q&amp;V'!$O$8:$O$250,4)+
SUMIFS('Other Commodities - Q&amp;V'!$M$8:$M$250,'Other Commodities - Q&amp;V'!$N$8:$N$250,CONCATENATE("20",RIGHT('FY Q&amp;V 2003-04 to Now'!W$7,2)),'Other Commodities - Q&amp;V'!$O$8:$O$250,1)+
SUMIFS('Other Commodities - Q&amp;V'!$M$8:$M$250,'Other Commodities - Q&amp;V'!$N$8:$N$250,CONCATENATE("20",RIGHT('FY Q&amp;V 2003-04 to Now'!W$7,2)),'Other Commodities - Q&amp;V'!$O$8:$O$250,2))*1000000</f>
        <v>18855882</v>
      </c>
      <c r="Y71" s="1301">
        <f>(SUMIFS('Other Commodities - Q&amp;V'!$L$8:$L$250,'Other Commodities - Q&amp;V'!$N$8:$N$250,LEFT('FY Q&amp;V 2003-04 to Now'!Y$7,4),'Other Commodities - Q&amp;V'!$O$8:$O$250,3)+
SUMIFS('Other Commodities - Q&amp;V'!$L$8:$L$250,'Other Commodities - Q&amp;V'!$N$8:$N$250,LEFT('FY Q&amp;V 2003-04 to Now'!Y$7,4),'Other Commodities - Q&amp;V'!$O$8:$O$250,4)+
SUMIFS('Other Commodities - Q&amp;V'!$L$8:$L$250,'Other Commodities - Q&amp;V'!$N$8:$N$250,CONCATENATE("20",RIGHT('FY Q&amp;V 2003-04 to Now'!Y$7,2)),'Other Commodities - Q&amp;V'!$O$8:$O$250,1)+
SUMIFS('Other Commodities - Q&amp;V'!$L$8:$L$250,'Other Commodities - Q&amp;V'!$N$8:$N$250,CONCATENATE("20",RIGHT('FY Q&amp;V 2003-04 to Now'!Y$7,2)),'Other Commodities - Q&amp;V'!$O$8:$O$250,2))</f>
        <v>463.59288925117966</v>
      </c>
      <c r="Z71" s="1289">
        <f>(SUMIFS('Other Commodities - Q&amp;V'!$M$8:$M$250,'Other Commodities - Q&amp;V'!$N$8:$N$250,LEFT('FY Q&amp;V 2003-04 to Now'!Y$7,4),'Other Commodities - Q&amp;V'!$O$8:$O$250,3)+
SUMIFS('Other Commodities - Q&amp;V'!$M$8:$M$250,'Other Commodities - Q&amp;V'!$N$8:$N$250,LEFT('FY Q&amp;V 2003-04 to Now'!Y$7,4),'Other Commodities - Q&amp;V'!$O$8:$O$250,4)+
SUMIFS('Other Commodities - Q&amp;V'!$M$8:$M$250,'Other Commodities - Q&amp;V'!$N$8:$N$250,CONCATENATE("20",RIGHT('FY Q&amp;V 2003-04 to Now'!Y$7,2)),'Other Commodities - Q&amp;V'!$O$8:$O$250,1)+
SUMIFS('Other Commodities - Q&amp;V'!$M$8:$M$250,'Other Commodities - Q&amp;V'!$N$8:$N$250,CONCATENATE("20",RIGHT('FY Q&amp;V 2003-04 to Now'!Y$7,2)),'Other Commodities - Q&amp;V'!$O$8:$O$250,2))*1000000</f>
        <v>13380729.999999998</v>
      </c>
      <c r="AA71" s="1301">
        <f>(SUMIFS('Other Commodities - Q&amp;V'!$L$8:$L$250,'Other Commodities - Q&amp;V'!$N$8:$N$250,LEFT('FY Q&amp;V 2003-04 to Now'!AA$7,4),'Other Commodities - Q&amp;V'!$O$8:$O$250,3)+
SUMIFS('Other Commodities - Q&amp;V'!$L$8:$L$250,'Other Commodities - Q&amp;V'!$N$8:$N$250,LEFT('FY Q&amp;V 2003-04 to Now'!AA$7,4),'Other Commodities - Q&amp;V'!$O$8:$O$250,4)+
SUMIFS('Other Commodities - Q&amp;V'!$L$8:$L$250,'Other Commodities - Q&amp;V'!$N$8:$N$250,CONCATENATE("20",RIGHT('FY Q&amp;V 2003-04 to Now'!AA$7,2)),'Other Commodities - Q&amp;V'!$O$8:$O$250,1)+
SUMIFS('Other Commodities - Q&amp;V'!$L$8:$L$250,'Other Commodities - Q&amp;V'!$N$8:$N$250,CONCATENATE("20",RIGHT('FY Q&amp;V 2003-04 to Now'!AA$7,2)),'Other Commodities - Q&amp;V'!$O$8:$O$250,2))</f>
        <v>686.91825400152732</v>
      </c>
      <c r="AB71" s="1289">
        <f>(SUMIFS('Other Commodities - Q&amp;V'!$M$8:$M$250,'Other Commodities - Q&amp;V'!$N$8:$N$250,LEFT('FY Q&amp;V 2003-04 to Now'!AA$7,4),'Other Commodities - Q&amp;V'!$O$8:$O$250,3)+
SUMIFS('Other Commodities - Q&amp;V'!$M$8:$M$250,'Other Commodities - Q&amp;V'!$N$8:$N$250,LEFT('FY Q&amp;V 2003-04 to Now'!AA$7,4),'Other Commodities - Q&amp;V'!$O$8:$O$250,4)+
SUMIFS('Other Commodities - Q&amp;V'!$M$8:$M$250,'Other Commodities - Q&amp;V'!$N$8:$N$250,CONCATENATE("20",RIGHT('FY Q&amp;V 2003-04 to Now'!AA$7,2)),'Other Commodities - Q&amp;V'!$O$8:$O$250,1)+
SUMIFS('Other Commodities - Q&amp;V'!$M$8:$M$250,'Other Commodities - Q&amp;V'!$N$8:$N$250,CONCATENATE("20",RIGHT('FY Q&amp;V 2003-04 to Now'!AA$7,2)),'Other Commodities - Q&amp;V'!$O$8:$O$250,2))*1000000</f>
        <v>16656441.000000002</v>
      </c>
      <c r="AC71" s="1301">
        <f>(SUMIFS('Other Commodities - Q&amp;V'!$L$8:$L$250,'Other Commodities - Q&amp;V'!$N$8:$N$250,LEFT('FY Q&amp;V 2003-04 to Now'!AC$7,4),'Other Commodities - Q&amp;V'!$O$8:$O$250,3)+
SUMIFS('Other Commodities - Q&amp;V'!$L$8:$L$250,'Other Commodities - Q&amp;V'!$N$8:$N$250,LEFT('FY Q&amp;V 2003-04 to Now'!AC$7,4),'Other Commodities - Q&amp;V'!$O$8:$O$250,4)+
SUMIFS('Other Commodities - Q&amp;V'!$L$8:$L$250,'Other Commodities - Q&amp;V'!$N$8:$N$250,CONCATENATE("20",RIGHT('FY Q&amp;V 2003-04 to Now'!AC$7,2)),'Other Commodities - Q&amp;V'!$O$8:$O$250,1)+
SUMIFS('Other Commodities - Q&amp;V'!$L$8:$L$250,'Other Commodities - Q&amp;V'!$N$8:$N$250,CONCATENATE("20",RIGHT('FY Q&amp;V 2003-04 to Now'!AC$7,2)),'Other Commodities - Q&amp;V'!$O$8:$O$250,2))</f>
        <v>783.08130149576846</v>
      </c>
      <c r="AD71" s="1289">
        <f>(SUMIFS('Other Commodities - Q&amp;V'!$M$8:$M$250,'Other Commodities - Q&amp;V'!$N$8:$N$250,LEFT('FY Q&amp;V 2003-04 to Now'!AC$7,4),'Other Commodities - Q&amp;V'!$O$8:$O$250,3)+
SUMIFS('Other Commodities - Q&amp;V'!$M$8:$M$250,'Other Commodities - Q&amp;V'!$N$8:$N$250,LEFT('FY Q&amp;V 2003-04 to Now'!AC$7,4),'Other Commodities - Q&amp;V'!$O$8:$O$250,4)+
SUMIFS('Other Commodities - Q&amp;V'!$M$8:$M$250,'Other Commodities - Q&amp;V'!$N$8:$N$250,CONCATENATE("20",RIGHT('FY Q&amp;V 2003-04 to Now'!AC$7,2)),'Other Commodities - Q&amp;V'!$O$8:$O$250,1)+
SUMIFS('Other Commodities - Q&amp;V'!$M$8:$M$250,'Other Commodities - Q&amp;V'!$N$8:$N$250,CONCATENATE("20",RIGHT('FY Q&amp;V 2003-04 to Now'!AC$7,2)),'Other Commodities - Q&amp;V'!$O$8:$O$250,2))*1000000</f>
        <v>21808381</v>
      </c>
      <c r="AE71" s="1290">
        <f>(SUMIFS('Other Commodities - Q&amp;V'!$L$8:$L$250,'Other Commodities - Q&amp;V'!$N$8:$N$250,LEFT('FY Q&amp;V 2003-04 to Now'!AE$7,4),'Other Commodities - Q&amp;V'!$O$8:$O$250,3)+
SUMIFS('Other Commodities - Q&amp;V'!$L$8:$L$250,'Other Commodities - Q&amp;V'!$N$8:$N$250,LEFT('FY Q&amp;V 2003-04 to Now'!AE$7,4),'Other Commodities - Q&amp;V'!$O$8:$O$250,4)+
SUMIFS('Other Commodities - Q&amp;V'!$L$8:$L$250,'Other Commodities - Q&amp;V'!$N$8:$N$250,CONCATENATE("20",RIGHT('FY Q&amp;V 2003-04 to Now'!AE$7,2)),'Other Commodities - Q&amp;V'!$O$8:$O$250,1)+
SUMIFS('Other Commodities - Q&amp;V'!$L$8:$L$250,'Other Commodities - Q&amp;V'!$N$8:$N$250,CONCATENATE("20",RIGHT('FY Q&amp;V 2003-04 to Now'!AE$7,2)),'Other Commodities - Q&amp;V'!$O$8:$O$250,2))</f>
        <v>645.47412653534752</v>
      </c>
      <c r="AF71" s="1289">
        <f>(SUMIFS('Other Commodities - Q&amp;V'!$M$8:$M$250,'Other Commodities - Q&amp;V'!$N$8:$N$250,LEFT('FY Q&amp;V 2003-04 to Now'!AE$7,4),'Other Commodities - Q&amp;V'!$O$8:$O$250,3)+
SUMIFS('Other Commodities - Q&amp;V'!$M$8:$M$250,'Other Commodities - Q&amp;V'!$N$8:$N$250,LEFT('FY Q&amp;V 2003-04 to Now'!AE$7,4),'Other Commodities - Q&amp;V'!$O$8:$O$250,4)+
SUMIFS('Other Commodities - Q&amp;V'!$M$8:$M$250,'Other Commodities - Q&amp;V'!$N$8:$N$250,CONCATENATE("20",RIGHT('FY Q&amp;V 2003-04 to Now'!AE$7,2)),'Other Commodities - Q&amp;V'!$O$8:$O$250,1)+
SUMIFS('Other Commodities - Q&amp;V'!$M$8:$M$250,'Other Commodities - Q&amp;V'!$N$8:$N$250,CONCATENATE("20",RIGHT('FY Q&amp;V 2003-04 to Now'!AE$7,2)),'Other Commodities - Q&amp;V'!$O$8:$O$250,2))*1000000</f>
        <v>26219908</v>
      </c>
      <c r="AG71" s="1302">
        <f>(SUMIFS('Other Commodities - Q&amp;V'!$L$8:$L$250,'Other Commodities - Q&amp;V'!$N$8:$N$250,LEFT('FY Q&amp;V 2003-04 to Now'!AG$7,4),'Other Commodities - Q&amp;V'!$O$8:$O$250,3)+
SUMIFS('Other Commodities - Q&amp;V'!$L$8:$L$250,'Other Commodities - Q&amp;V'!$N$8:$N$250,LEFT('FY Q&amp;V 2003-04 to Now'!AG$7,4),'Other Commodities - Q&amp;V'!$O$8:$O$250,4)+
SUMIFS('Other Commodities - Q&amp;V'!$L$8:$L$250,'Other Commodities - Q&amp;V'!$N$8:$N$250,CONCATENATE("20",RIGHT('FY Q&amp;V 2003-04 to Now'!AG$7,2)),'Other Commodities - Q&amp;V'!$O$8:$O$250,1)+
SUMIFS('Other Commodities - Q&amp;V'!$L$8:$L$250,'Other Commodities - Q&amp;V'!$N$8:$N$250,CONCATENATE("20",RIGHT('FY Q&amp;V 2003-04 to Now'!AG$7,2)),'Other Commodities - Q&amp;V'!$O$8:$O$250,2))</f>
        <v>512.37251443981006</v>
      </c>
      <c r="AH71" s="1302">
        <f>(SUMIFS('Other Commodities - Q&amp;V'!$M$8:$M$250,'Other Commodities - Q&amp;V'!$N$8:$N$250,LEFT('FY Q&amp;V 2003-04 to Now'!AG$7,4),'Other Commodities - Q&amp;V'!$O$8:$O$250,3)+
SUMIFS('Other Commodities - Q&amp;V'!$M$8:$M$250,'Other Commodities - Q&amp;V'!$N$8:$N$250,LEFT('FY Q&amp;V 2003-04 to Now'!AG$7,4),'Other Commodities - Q&amp;V'!$O$8:$O$250,4)+
SUMIFS('Other Commodities - Q&amp;V'!$M$8:$M$250,'Other Commodities - Q&amp;V'!$N$8:$N$250,CONCATENATE("20",RIGHT('FY Q&amp;V 2003-04 to Now'!AG$7,2)),'Other Commodities - Q&amp;V'!$O$8:$O$250,1)+
SUMIFS('Other Commodities - Q&amp;V'!$M$8:$M$250,'Other Commodities - Q&amp;V'!$N$8:$N$250,CONCATENATE("20",RIGHT('FY Q&amp;V 2003-04 to Now'!AG$7,2)),'Other Commodities - Q&amp;V'!$O$8:$O$250,2))*1000000</f>
        <v>28075812.999999996</v>
      </c>
      <c r="AI71" s="1302">
        <f>(SUMIFS('Other Commodities - Q&amp;V'!$L$8:$L$250,'Other Commodities - Q&amp;V'!$N$8:$N$250,LEFT('FY Q&amp;V 2003-04 to Now'!AI$7,4),'Other Commodities - Q&amp;V'!$O$8:$O$250,3)+
SUMIFS('Other Commodities - Q&amp;V'!$L$8:$L$250,'Other Commodities - Q&amp;V'!$N$8:$N$250,LEFT('FY Q&amp;V 2003-04 to Now'!AI$7,4),'Other Commodities - Q&amp;V'!$O$8:$O$250,4)+
SUMIFS('Other Commodities - Q&amp;V'!$L$8:$L$250,'Other Commodities - Q&amp;V'!$N$8:$N$250,CONCATENATE("20",RIGHT('FY Q&amp;V 2003-04 to Now'!AI$7,2)),'Other Commodities - Q&amp;V'!$O$8:$O$250,1)+
SUMIFS('Other Commodities - Q&amp;V'!$L$8:$L$250,'Other Commodities - Q&amp;V'!$N$8:$N$250,CONCATENATE("20",RIGHT('FY Q&amp;V 2003-04 to Now'!AI$7,2)),'Other Commodities - Q&amp;V'!$O$8:$O$250,2))</f>
        <v>481.90739237403847</v>
      </c>
      <c r="AJ71" s="1302">
        <v>39618802</v>
      </c>
      <c r="AK71" s="1302">
        <f>(SUMIFS('Other Commodities - Q&amp;V'!$L$8:$L$250,'Other Commodities - Q&amp;V'!$N$8:$N$250,LEFT('FY Q&amp;V 2003-04 to Now'!AK$7,4),'Other Commodities - Q&amp;V'!$O$8:$O$250,3)+
SUMIFS('Other Commodities - Q&amp;V'!$L$8:$L$250,'Other Commodities - Q&amp;V'!$N$8:$N$250,LEFT('FY Q&amp;V 2003-04 to Now'!AK$7,4),'Other Commodities - Q&amp;V'!$O$8:$O$250,4)+
SUMIFS('Other Commodities - Q&amp;V'!$L$8:$L$250,'Other Commodities - Q&amp;V'!$N$8:$N$250,CONCATENATE("20",RIGHT('FY Q&amp;V 2003-04 to Now'!AK$7,2)),'Other Commodities - Q&amp;V'!$O$8:$O$250,1)+
SUMIFS('Other Commodities - Q&amp;V'!$L$8:$L$250,'Other Commodities - Q&amp;V'!$N$8:$N$250,CONCATENATE("20",RIGHT('FY Q&amp;V 2003-04 to Now'!AK$7,2)),'Other Commodities - Q&amp;V'!$O$8:$O$250,2))</f>
        <v>470.3328387873359</v>
      </c>
      <c r="AL71" s="1302">
        <f>(SUMIFS('Other Commodities - Q&amp;V'!$M$8:$M$250,'Other Commodities - Q&amp;V'!$N$8:$N$250,LEFT('FY Q&amp;V 2003-04 to Now'!AK$7,4),'Other Commodities - Q&amp;V'!$O$8:$O$250,3)+
SUMIFS('Other Commodities - Q&amp;V'!$M$8:$M$250,'Other Commodities - Q&amp;V'!$N$8:$N$250,LEFT('FY Q&amp;V 2003-04 to Now'!AK$7,4),'Other Commodities - Q&amp;V'!$O$8:$O$250,4)+
SUMIFS('Other Commodities - Q&amp;V'!$M$8:$M$250,'Other Commodities - Q&amp;V'!$N$8:$N$250,CONCATENATE("20",RIGHT('FY Q&amp;V 2003-04 to Now'!AK$7,2)),'Other Commodities - Q&amp;V'!$O$8:$O$250,1)+
SUMIFS('Other Commodities - Q&amp;V'!$M$8:$M$250,'Other Commodities - Q&amp;V'!$N$8:$N$250,CONCATENATE("20",RIGHT('FY Q&amp;V 2003-04 to Now'!AK$7,2)),'Other Commodities - Q&amp;V'!$O$8:$O$250,2))*1000000</f>
        <v>40285878</v>
      </c>
      <c r="AM71" s="1712">
        <f>SUMIF($C$9:AL$9,1,$C71:AL71)</f>
        <v>12752.968279943349</v>
      </c>
      <c r="AN71" s="1280">
        <f>SUMIF($C$9:AL$9,0,$C71:AL71)</f>
        <v>308453279.25999999</v>
      </c>
      <c r="AO71" s="387"/>
    </row>
    <row r="72" spans="1:45">
      <c r="A72" s="369" t="s">
        <v>262</v>
      </c>
      <c r="B72" s="361"/>
      <c r="C72" s="1301"/>
      <c r="D72" s="1289">
        <f>SUM(D69:D71)</f>
        <v>3258657727</v>
      </c>
      <c r="E72" s="1301"/>
      <c r="F72" s="1289">
        <f>SUM(F69:F71)</f>
        <v>3713880997</v>
      </c>
      <c r="G72" s="1301"/>
      <c r="H72" s="1289">
        <f>SUM(H69:H71)</f>
        <v>4006102502</v>
      </c>
      <c r="I72" s="1301"/>
      <c r="J72" s="1289">
        <f>SUM(J69:J71)</f>
        <v>8346565186.000001</v>
      </c>
      <c r="K72" s="1301"/>
      <c r="L72" s="1289">
        <f>SUM(L69:L71)</f>
        <v>5599873981</v>
      </c>
      <c r="M72" s="1301"/>
      <c r="N72" s="1289">
        <f>SUM(N69:N71)</f>
        <v>3221432740</v>
      </c>
      <c r="O72" s="1301"/>
      <c r="P72" s="1289">
        <f>SUM(P69:P71)</f>
        <v>4181199393.9999995</v>
      </c>
      <c r="Q72" s="1301"/>
      <c r="R72" s="1289">
        <f>SUM(R69:R71)</f>
        <v>4839689879</v>
      </c>
      <c r="S72" s="1301"/>
      <c r="T72" s="1289">
        <f>SUM(T69:T71)</f>
        <v>3880501435.3899999</v>
      </c>
      <c r="U72" s="1301"/>
      <c r="V72" s="1289">
        <f>SUM(V69:V71)</f>
        <v>3685905186.4099998</v>
      </c>
      <c r="W72" s="1301"/>
      <c r="X72" s="1289">
        <f>SUM(X69:X71)</f>
        <v>3612996790.0000005</v>
      </c>
      <c r="Y72" s="1301"/>
      <c r="Z72" s="1289">
        <f>SUM(Z69:Z71)</f>
        <v>3393553243</v>
      </c>
      <c r="AA72" s="1301"/>
      <c r="AB72" s="1289">
        <f>SUM(AB69:AB71)</f>
        <v>2394237718</v>
      </c>
      <c r="AC72" s="1289"/>
      <c r="AD72" s="1289">
        <f>SUM(AD69:AD71)</f>
        <v>2355948558</v>
      </c>
      <c r="AE72" s="1290"/>
      <c r="AF72" s="1289">
        <f>SUM(AF69:AF71)</f>
        <v>3172297110.0000005</v>
      </c>
      <c r="AG72" s="1302"/>
      <c r="AH72" s="1302">
        <f>SUM(AH69:AH71)</f>
        <v>3060362942.0000005</v>
      </c>
      <c r="AI72" s="1302"/>
      <c r="AJ72" s="1302">
        <f>SUM(AJ69:AJ71)</f>
        <v>3502275874</v>
      </c>
      <c r="AK72" s="1302"/>
      <c r="AL72" s="1302">
        <f>SUM(AL69:AL71)</f>
        <v>3814691394</v>
      </c>
      <c r="AM72" s="1712"/>
      <c r="AN72" s="1280">
        <f>SUMIF($C$9:AL$9,0,$C72:AL72)</f>
        <v>70040172656.800003</v>
      </c>
      <c r="AO72" s="387"/>
    </row>
    <row r="73" spans="1:45">
      <c r="A73" s="362" t="s">
        <v>265</v>
      </c>
      <c r="B73" s="361"/>
      <c r="C73" s="1301"/>
      <c r="D73" s="1289"/>
      <c r="E73" s="1301"/>
      <c r="F73" s="1289"/>
      <c r="G73" s="1301"/>
      <c r="H73" s="1289"/>
      <c r="I73" s="1301"/>
      <c r="J73" s="1289"/>
      <c r="K73" s="1301"/>
      <c r="L73" s="1289"/>
      <c r="M73" s="1301"/>
      <c r="N73" s="1289"/>
      <c r="O73" s="1301"/>
      <c r="P73" s="1289"/>
      <c r="Q73" s="1301"/>
      <c r="R73" s="1289"/>
      <c r="S73" s="1301"/>
      <c r="T73" s="1289"/>
      <c r="U73" s="1301"/>
      <c r="V73" s="1289"/>
      <c r="W73" s="1301"/>
      <c r="X73" s="1289"/>
      <c r="Y73" s="1301"/>
      <c r="Z73" s="1289"/>
      <c r="AA73" s="1301"/>
      <c r="AB73" s="1289"/>
      <c r="AC73" s="1289"/>
      <c r="AD73" s="1289"/>
      <c r="AE73" s="1290"/>
      <c r="AF73" s="1289"/>
      <c r="AG73" s="1303"/>
      <c r="AH73" s="1302"/>
      <c r="AI73" s="1303"/>
      <c r="AJ73" s="1302"/>
      <c r="AK73" s="1302"/>
      <c r="AL73" s="1302"/>
      <c r="AM73" s="1712"/>
      <c r="AN73" s="1280"/>
      <c r="AO73" s="387"/>
    </row>
    <row r="74" spans="1:45">
      <c r="A74" s="1496" t="s">
        <v>266</v>
      </c>
      <c r="B74" s="1497"/>
      <c r="C74" s="1487"/>
      <c r="D74" s="1487"/>
      <c r="E74" s="1487"/>
      <c r="F74" s="1487"/>
      <c r="G74" s="1487"/>
      <c r="H74" s="1487"/>
      <c r="I74" s="1487"/>
      <c r="J74" s="1487"/>
      <c r="K74" s="1487"/>
      <c r="L74" s="1487"/>
      <c r="M74" s="1487"/>
      <c r="N74" s="1487"/>
      <c r="O74" s="1487"/>
      <c r="P74" s="1487"/>
      <c r="Q74" s="1487"/>
      <c r="R74" s="1487"/>
      <c r="S74" s="1487"/>
      <c r="T74" s="1487"/>
      <c r="U74" s="1487"/>
      <c r="V74" s="1487"/>
      <c r="W74" s="1487"/>
      <c r="X74" s="1487"/>
      <c r="Y74" s="1487"/>
      <c r="Z74" s="1487"/>
      <c r="AA74" s="1487"/>
      <c r="AB74" s="1487"/>
      <c r="AC74" s="1487"/>
      <c r="AD74" s="1487"/>
      <c r="AE74" s="1498"/>
      <c r="AF74" s="1487"/>
      <c r="AG74" s="1498"/>
      <c r="AH74" s="1487"/>
      <c r="AI74" s="1498"/>
      <c r="AJ74" s="1487"/>
      <c r="AK74" s="1487"/>
      <c r="AL74" s="1487"/>
      <c r="AM74" s="1499"/>
      <c r="AN74" s="1512"/>
    </row>
    <row r="75" spans="1:45">
      <c r="A75" s="1581" t="s">
        <v>80</v>
      </c>
      <c r="B75" s="1511" t="s">
        <v>267</v>
      </c>
      <c r="C75" s="1512">
        <f>(SUMIFS('Petroleum - Q&amp;V1'!$D$9:$D$250,'Petroleum - Q&amp;V1'!$H$9:$H$250,LEFT('FY Q&amp;V 2003-04 to Now'!C$7,4),'Petroleum - Q&amp;V1'!$I$9:$I$250,3)+
SUMIFS('Petroleum - Q&amp;V1'!$D$9:$D$250,'Petroleum - Q&amp;V1'!$H$9:$H$250,LEFT('FY Q&amp;V 2003-04 to Now'!C$7,4),'Petroleum - Q&amp;V1'!$I$9:$I$250,4)+
SUMIFS('Petroleum - Q&amp;V1'!$D$9:$D$250,'Petroleum - Q&amp;V1'!$H$9:$H$250,CONCATENATE("20",RIGHT('FY Q&amp;V 2003-04 to Now'!C$7,2)),'Petroleum - Q&amp;V1'!$I$9:$I$250,1)+
SUMIFS('Petroleum - Q&amp;V1'!$D$9:$D$250,'Petroleum - Q&amp;V1'!$H$9:$H$250,CONCATENATE("20",RIGHT('FY Q&amp;V 2003-04 to Now'!C$7,2)),'Petroleum - Q&amp;V1'!$I$9:$I$250,2))*1000000</f>
        <v>6181484</v>
      </c>
      <c r="D75" s="1512">
        <f>(SUMIFS('Petroleum - Q&amp;V1'!$E$9:$E$250,'Petroleum - Q&amp;V1'!$H$9:$H$250,LEFT('FY Q&amp;V 2003-04 to Now'!C$7,4),'Petroleum - Q&amp;V1'!$I$9:$I$250,3)+
SUMIFS('Petroleum - Q&amp;V1'!$E$9:$E$250,'Petroleum - Q&amp;V1'!$H$9:$H$250,LEFT('FY Q&amp;V 2003-04 to Now'!C$7,4),'Petroleum - Q&amp;V1'!$I$9:$I$250,4)+
SUMIFS('Petroleum - Q&amp;V1'!$E$9:$E$250,'Petroleum - Q&amp;V1'!$H$9:$H$250,CONCATENATE("20",RIGHT('FY Q&amp;V 2003-04 to Now'!C$7,2)),'Petroleum - Q&amp;V1'!$I$9:$I$250,1)+
SUMIFS('Petroleum - Q&amp;V1'!$E$9:$E$250,'Petroleum - Q&amp;V1'!$H$9:$H$250,CONCATENATE("20",RIGHT('FY Q&amp;V 2003-04 to Now'!C$7,2)),'Petroleum - Q&amp;V1'!$I$9:$I$250,2))*1000000</f>
        <v>1747506589</v>
      </c>
      <c r="E75" s="1512">
        <f>(SUMIFS('Petroleum - Q&amp;V1'!$D$9:$D$250,'Petroleum - Q&amp;V1'!$H$9:$H$250,LEFT('FY Q&amp;V 2003-04 to Now'!E$7,4),'Petroleum - Q&amp;V1'!$I$9:$I$250,3)+
SUMIFS('Petroleum - Q&amp;V1'!$D$9:$D$250,'Petroleum - Q&amp;V1'!$H$9:$H$250,LEFT('FY Q&amp;V 2003-04 to Now'!E$7,4),'Petroleum - Q&amp;V1'!$I$9:$I$250,4)+
SUMIFS('Petroleum - Q&amp;V1'!$D$9:$D$250,'Petroleum - Q&amp;V1'!$H$9:$H$250,CONCATENATE("20",RIGHT('FY Q&amp;V 2003-04 to Now'!E$7,2)),'Petroleum - Q&amp;V1'!$I$9:$I$250,1)+
SUMIFS('Petroleum - Q&amp;V1'!$D$9:$D$250,'Petroleum - Q&amp;V1'!$H$9:$H$250,CONCATENATE("20",RIGHT('FY Q&amp;V 2003-04 to Now'!E$7,2)),'Petroleum - Q&amp;V1'!$I$9:$I$250,2))*1000000</f>
        <v>5173746</v>
      </c>
      <c r="F75" s="1512">
        <f>(SUMIFS('Petroleum - Q&amp;V1'!$E$9:$E$250,'Petroleum - Q&amp;V1'!$H$9:$H$250,LEFT('FY Q&amp;V 2003-04 to Now'!E$7,4),'Petroleum - Q&amp;V1'!$I$9:$I$250,3)+
SUMIFS('Petroleum - Q&amp;V1'!$E$9:$E$250,'Petroleum - Q&amp;V1'!$H$9:$H$250,LEFT('FY Q&amp;V 2003-04 to Now'!E$7,4),'Petroleum - Q&amp;V1'!$I$9:$I$250,4)+
SUMIFS('Petroleum - Q&amp;V1'!$E$9:$E$250,'Petroleum - Q&amp;V1'!$H$9:$H$250,CONCATENATE("20",RIGHT('FY Q&amp;V 2003-04 to Now'!E$7,2)),'Petroleum - Q&amp;V1'!$I$9:$I$250,1)+
SUMIFS('Petroleum - Q&amp;V1'!$E$9:$E$250,'Petroleum - Q&amp;V1'!$H$9:$H$250,CONCATENATE("20",RIGHT('FY Q&amp;V 2003-04 to Now'!E$7,2)),'Petroleum - Q&amp;V1'!$I$9:$I$250,2))*1000000</f>
        <v>2203123267</v>
      </c>
      <c r="G75" s="1512">
        <f>(SUMIFS('Petroleum - Q&amp;V1'!$D$9:$D$250,'Petroleum - Q&amp;V1'!$H$9:$H$250,LEFT('FY Q&amp;V 2003-04 to Now'!G$7,4),'Petroleum - Q&amp;V1'!$I$9:$I$250,3)+
SUMIFS('Petroleum - Q&amp;V1'!$D$9:$D$250,'Petroleum - Q&amp;V1'!$H$9:$H$250,LEFT('FY Q&amp;V 2003-04 to Now'!G$7,4),'Petroleum - Q&amp;V1'!$I$9:$I$250,4)+
SUMIFS('Petroleum - Q&amp;V1'!$D$9:$D$250,'Petroleum - Q&amp;V1'!$H$9:$H$250,CONCATENATE("20",RIGHT('FY Q&amp;V 2003-04 to Now'!G$7,2)),'Petroleum - Q&amp;V1'!$I$9:$I$250,1)+
SUMIFS('Petroleum - Q&amp;V1'!$D$9:$D$250,'Petroleum - Q&amp;V1'!$H$9:$H$250,CONCATENATE("20",RIGHT('FY Q&amp;V 2003-04 to Now'!G$7,2)),'Petroleum - Q&amp;V1'!$I$9:$I$250,2))*1000000</f>
        <v>5626187</v>
      </c>
      <c r="H75" s="1512">
        <f>(SUMIFS('Petroleum - Q&amp;V1'!$E$9:$E$250,'Petroleum - Q&amp;V1'!$H$9:$H$250,LEFT('FY Q&amp;V 2003-04 to Now'!G$7,4),'Petroleum - Q&amp;V1'!$I$9:$I$250,3)+
SUMIFS('Petroleum - Q&amp;V1'!$E$9:$E$250,'Petroleum - Q&amp;V1'!$H$9:$H$250,LEFT('FY Q&amp;V 2003-04 to Now'!G$7,4),'Petroleum - Q&amp;V1'!$I$9:$I$250,4)+
SUMIFS('Petroleum - Q&amp;V1'!$E$9:$E$250,'Petroleum - Q&amp;V1'!$H$9:$H$250,CONCATENATE("20",RIGHT('FY Q&amp;V 2003-04 to Now'!G$7,2)),'Petroleum - Q&amp;V1'!$I$9:$I$250,1)+
SUMIFS('Petroleum - Q&amp;V1'!$E$9:$E$250,'Petroleum - Q&amp;V1'!$H$9:$H$250,CONCATENATE("20",RIGHT('FY Q&amp;V 2003-04 to Now'!G$7,2)),'Petroleum - Q&amp;V1'!$I$9:$I$250,2))*1000000</f>
        <v>2791626559</v>
      </c>
      <c r="I75" s="1512">
        <f>(SUMIFS('Petroleum - Q&amp;V1'!$D$9:$D$250,'Petroleum - Q&amp;V1'!$H$9:$H$250,LEFT('FY Q&amp;V 2003-04 to Now'!I$7,4),'Petroleum - Q&amp;V1'!$I$9:$I$250,3)+
SUMIFS('Petroleum - Q&amp;V1'!$D$9:$D$250,'Petroleum - Q&amp;V1'!$H$9:$H$250,LEFT('FY Q&amp;V 2003-04 to Now'!I$7,4),'Petroleum - Q&amp;V1'!$I$9:$I$250,4)+
SUMIFS('Petroleum - Q&amp;V1'!$D$9:$D$250,'Petroleum - Q&amp;V1'!$H$9:$H$250,CONCATENATE("20",RIGHT('FY Q&amp;V 2003-04 to Now'!I$7,2)),'Petroleum - Q&amp;V1'!$I$9:$I$250,1)+
SUMIFS('Petroleum - Q&amp;V1'!$D$9:$D$250,'Petroleum - Q&amp;V1'!$H$9:$H$250,CONCATENATE("20",RIGHT('FY Q&amp;V 2003-04 to Now'!I$7,2)),'Petroleum - Q&amp;V1'!$I$9:$I$250,2))*1000000</f>
        <v>5860072.0000000009</v>
      </c>
      <c r="J75" s="1512">
        <f>(SUMIFS('Petroleum - Q&amp;V1'!$E$9:$E$250,'Petroleum - Q&amp;V1'!$H$9:$H$250,LEFT('FY Q&amp;V 2003-04 to Now'!I$7,4),'Petroleum - Q&amp;V1'!$I$9:$I$250,3)+
SUMIFS('Petroleum - Q&amp;V1'!$E$9:$E$250,'Petroleum - Q&amp;V1'!$H$9:$H$250,LEFT('FY Q&amp;V 2003-04 to Now'!I$7,4),'Petroleum - Q&amp;V1'!$I$9:$I$250,4)+
SUMIFS('Petroleum - Q&amp;V1'!$E$9:$E$250,'Petroleum - Q&amp;V1'!$H$9:$H$250,CONCATENATE("20",RIGHT('FY Q&amp;V 2003-04 to Now'!I$7,2)),'Petroleum - Q&amp;V1'!$I$9:$I$250,1)+
SUMIFS('Petroleum - Q&amp;V1'!$E$9:$E$250,'Petroleum - Q&amp;V1'!$H$9:$H$250,CONCATENATE("20",RIGHT('FY Q&amp;V 2003-04 to Now'!I$7,2)),'Petroleum - Q&amp;V1'!$I$9:$I$250,2))*1000000</f>
        <v>2972408099</v>
      </c>
      <c r="K75" s="1512">
        <f>(SUMIFS('Petroleum - Q&amp;V1'!$D$9:$D$250,'Petroleum - Q&amp;V1'!$H$9:$H$250,LEFT('FY Q&amp;V 2003-04 to Now'!K$7,4),'Petroleum - Q&amp;V1'!$I$9:$I$250,3)+
SUMIFS('Petroleum - Q&amp;V1'!$D$9:$D$250,'Petroleum - Q&amp;V1'!$H$9:$H$250,LEFT('FY Q&amp;V 2003-04 to Now'!K$7,4),'Petroleum - Q&amp;V1'!$I$9:$I$250,4)+
SUMIFS('Petroleum - Q&amp;V1'!$D$9:$D$250,'Petroleum - Q&amp;V1'!$H$9:$H$250,CONCATENATE("20",RIGHT('FY Q&amp;V 2003-04 to Now'!K$7,2)),'Petroleum - Q&amp;V1'!$I$9:$I$250,1)+
SUMIFS('Petroleum - Q&amp;V1'!$D$9:$D$250,'Petroleum - Q&amp;V1'!$H$9:$H$250,CONCATENATE("20",RIGHT('FY Q&amp;V 2003-04 to Now'!K$7,2)),'Petroleum - Q&amp;V1'!$I$9:$I$250,2))*1000000</f>
        <v>5763756</v>
      </c>
      <c r="L75" s="1512">
        <f>(SUMIFS('Petroleum - Q&amp;V1'!$E$9:$E$250,'Petroleum - Q&amp;V1'!$H$9:$H$250,LEFT('FY Q&amp;V 2003-04 to Now'!K$7,4),'Petroleum - Q&amp;V1'!$I$9:$I$250,3)+
SUMIFS('Petroleum - Q&amp;V1'!$E$9:$E$250,'Petroleum - Q&amp;V1'!$H$9:$H$250,LEFT('FY Q&amp;V 2003-04 to Now'!K$7,4),'Petroleum - Q&amp;V1'!$I$9:$I$250,4)+
SUMIFS('Petroleum - Q&amp;V1'!$E$9:$E$250,'Petroleum - Q&amp;V1'!$H$9:$H$250,CONCATENATE("20",RIGHT('FY Q&amp;V 2003-04 to Now'!K$7,2)),'Petroleum - Q&amp;V1'!$I$9:$I$250,1)+
SUMIFS('Petroleum - Q&amp;V1'!$E$9:$E$250,'Petroleum - Q&amp;V1'!$H$9:$H$250,CONCATENATE("20",RIGHT('FY Q&amp;V 2003-04 to Now'!K$7,2)),'Petroleum - Q&amp;V1'!$I$9:$I$250,2))*1000000</f>
        <v>3694669870</v>
      </c>
      <c r="M75" s="1512">
        <f>(SUMIFS('Petroleum - Q&amp;V1'!$D$9:$D$250,'Petroleum - Q&amp;V1'!$H$9:$H$250,LEFT('FY Q&amp;V 2003-04 to Now'!M$7,4),'Petroleum - Q&amp;V1'!$I$9:$I$250,3)+
SUMIFS('Petroleum - Q&amp;V1'!$D$9:$D$250,'Petroleum - Q&amp;V1'!$H$9:$H$250,LEFT('FY Q&amp;V 2003-04 to Now'!M$7,4),'Petroleum - Q&amp;V1'!$I$9:$I$250,4)+
SUMIFS('Petroleum - Q&amp;V1'!$D$9:$D$250,'Petroleum - Q&amp;V1'!$H$9:$H$250,CONCATENATE("20",RIGHT('FY Q&amp;V 2003-04 to Now'!M$7,2)),'Petroleum - Q&amp;V1'!$I$9:$I$250,1)+
SUMIFS('Petroleum - Q&amp;V1'!$D$9:$D$250,'Petroleum - Q&amp;V1'!$H$9:$H$250,CONCATENATE("20",RIGHT('FY Q&amp;V 2003-04 to Now'!M$7,2)),'Petroleum - Q&amp;V1'!$I$9:$I$250,2))*1000000</f>
        <v>6657101.0000000009</v>
      </c>
      <c r="N75" s="1512">
        <f>(SUMIFS('Petroleum - Q&amp;V1'!$E$9:$E$250,'Petroleum - Q&amp;V1'!$H$9:$H$250,LEFT('FY Q&amp;V 2003-04 to Now'!M$7,4),'Petroleum - Q&amp;V1'!$I$9:$I$250,3)+
SUMIFS('Petroleum - Q&amp;V1'!$E$9:$E$250,'Petroleum - Q&amp;V1'!$H$9:$H$250,LEFT('FY Q&amp;V 2003-04 to Now'!M$7,4),'Petroleum - Q&amp;V1'!$I$9:$I$250,4)+
SUMIFS('Petroleum - Q&amp;V1'!$E$9:$E$250,'Petroleum - Q&amp;V1'!$H$9:$H$250,CONCATENATE("20",RIGHT('FY Q&amp;V 2003-04 to Now'!M$7,2)),'Petroleum - Q&amp;V1'!$I$9:$I$250,1)+
SUMIFS('Petroleum - Q&amp;V1'!$E$9:$E$250,'Petroleum - Q&amp;V1'!$H$9:$H$250,CONCATENATE("20",RIGHT('FY Q&amp;V 2003-04 to Now'!M$7,2)),'Petroleum - Q&amp;V1'!$I$9:$I$250,2))*1000000</f>
        <v>3108787292</v>
      </c>
      <c r="O75" s="1512">
        <f>(SUMIFS('Petroleum - Q&amp;V1'!$D$9:$D$250,'Petroleum - Q&amp;V1'!$H$9:$H$250,LEFT('FY Q&amp;V 2003-04 to Now'!O$7,4),'Petroleum - Q&amp;V1'!$I$9:$I$250,3)+
SUMIFS('Petroleum - Q&amp;V1'!$D$9:$D$250,'Petroleum - Q&amp;V1'!$H$9:$H$250,LEFT('FY Q&amp;V 2003-04 to Now'!O$7,4),'Petroleum - Q&amp;V1'!$I$9:$I$250,4)+
SUMIFS('Petroleum - Q&amp;V1'!$D$9:$D$250,'Petroleum - Q&amp;V1'!$H$9:$H$250,CONCATENATE("20",RIGHT('FY Q&amp;V 2003-04 to Now'!O$7,2)),'Petroleum - Q&amp;V1'!$I$9:$I$250,1)+
SUMIFS('Petroleum - Q&amp;V1'!$D$9:$D$250,'Petroleum - Q&amp;V1'!$H$9:$H$250,CONCATENATE("20",RIGHT('FY Q&amp;V 2003-04 to Now'!O$7,2)),'Petroleum - Q&amp;V1'!$I$9:$I$250,2))*1000000</f>
        <v>7418012</v>
      </c>
      <c r="P75" s="1512">
        <f>(SUMIFS('Petroleum - Q&amp;V1'!$E$9:$E$250,'Petroleum - Q&amp;V1'!$H$9:$H$250,LEFT('FY Q&amp;V 2003-04 to Now'!O$7,4),'Petroleum - Q&amp;V1'!$I$9:$I$250,3)+
SUMIFS('Petroleum - Q&amp;V1'!$E$9:$E$250,'Petroleum - Q&amp;V1'!$H$9:$H$250,LEFT('FY Q&amp;V 2003-04 to Now'!O$7,4),'Petroleum - Q&amp;V1'!$I$9:$I$250,4)+
SUMIFS('Petroleum - Q&amp;V1'!$E$9:$E$250,'Petroleum - Q&amp;V1'!$H$9:$H$250,CONCATENATE("20",RIGHT('FY Q&amp;V 2003-04 to Now'!O$7,2)),'Petroleum - Q&amp;V1'!$I$9:$I$250,1)+
SUMIFS('Petroleum - Q&amp;V1'!$E$9:$E$250,'Petroleum - Q&amp;V1'!$H$9:$H$250,CONCATENATE("20",RIGHT('FY Q&amp;V 2003-04 to Now'!O$7,2)),'Petroleum - Q&amp;V1'!$I$9:$I$250,2))*1000000</f>
        <v>3501186255</v>
      </c>
      <c r="Q75" s="1512">
        <f>(SUMIFS('Petroleum - Q&amp;V1'!$D$9:$D$250,'Petroleum - Q&amp;V1'!$H$9:$H$250,LEFT('FY Q&amp;V 2003-04 to Now'!Q$7,4),'Petroleum - Q&amp;V1'!$I$9:$I$250,3)+
SUMIFS('Petroleum - Q&amp;V1'!$D$9:$D$250,'Petroleum - Q&amp;V1'!$H$9:$H$250,LEFT('FY Q&amp;V 2003-04 to Now'!Q$7,4),'Petroleum - Q&amp;V1'!$I$9:$I$250,4)+
SUMIFS('Petroleum - Q&amp;V1'!$D$9:$D$250,'Petroleum - Q&amp;V1'!$H$9:$H$250,CONCATENATE("20",RIGHT('FY Q&amp;V 2003-04 to Now'!Q$7,2)),'Petroleum - Q&amp;V1'!$I$9:$I$250,1)+
SUMIFS('Petroleum - Q&amp;V1'!$D$9:$D$250,'Petroleum - Q&amp;V1'!$H$9:$H$250,CONCATENATE("20",RIGHT('FY Q&amp;V 2003-04 to Now'!Q$7,2)),'Petroleum - Q&amp;V1'!$I$9:$I$250,2))*1000000</f>
        <v>6881791</v>
      </c>
      <c r="R75" s="1512">
        <f>(SUMIFS('Petroleum - Q&amp;V1'!$E$9:$E$250,'Petroleum - Q&amp;V1'!$H$9:$H$250,LEFT('FY Q&amp;V 2003-04 to Now'!Q$7,4),'Petroleum - Q&amp;V1'!$I$9:$I$250,3)+
SUMIFS('Petroleum - Q&amp;V1'!$E$9:$E$250,'Petroleum - Q&amp;V1'!$H$9:$H$250,LEFT('FY Q&amp;V 2003-04 to Now'!Q$7,4),'Petroleum - Q&amp;V1'!$I$9:$I$250,4)+
SUMIFS('Petroleum - Q&amp;V1'!$E$9:$E$250,'Petroleum - Q&amp;V1'!$H$9:$H$250,CONCATENATE("20",RIGHT('FY Q&amp;V 2003-04 to Now'!Q$7,2)),'Petroleum - Q&amp;V1'!$I$9:$I$250,1)+
SUMIFS('Petroleum - Q&amp;V1'!$E$9:$E$250,'Petroleum - Q&amp;V1'!$H$9:$H$250,CONCATENATE("20",RIGHT('FY Q&amp;V 2003-04 to Now'!Q$7,2)),'Petroleum - Q&amp;V1'!$I$9:$I$250,2))*1000000</f>
        <v>3988524336</v>
      </c>
      <c r="S75" s="1512">
        <f>(SUMIFS('Petroleum - Q&amp;V1'!$D$9:$D$250,'Petroleum - Q&amp;V1'!$H$9:$H$250,LEFT('FY Q&amp;V 2003-04 to Now'!S$7,4),'Petroleum - Q&amp;V1'!$I$9:$I$250,3)+
SUMIFS('Petroleum - Q&amp;V1'!$D$9:$D$250,'Petroleum - Q&amp;V1'!$H$9:$H$250,LEFT('FY Q&amp;V 2003-04 to Now'!S$7,4),'Petroleum - Q&amp;V1'!$I$9:$I$250,4)+
SUMIFS('Petroleum - Q&amp;V1'!$D$9:$D$250,'Petroleum - Q&amp;V1'!$H$9:$H$250,CONCATENATE("20",RIGHT('FY Q&amp;V 2003-04 to Now'!S$7,2)),'Petroleum - Q&amp;V1'!$I$9:$I$250,1)+
SUMIFS('Petroleum - Q&amp;V1'!$D$9:$D$250,'Petroleum - Q&amp;V1'!$H$9:$H$250,CONCATENATE("20",RIGHT('FY Q&amp;V 2003-04 to Now'!S$7,2)),'Petroleum - Q&amp;V1'!$I$9:$I$250,2))*1000000</f>
        <v>5888608</v>
      </c>
      <c r="T75" s="1512">
        <f>(SUMIFS('Petroleum - Q&amp;V1'!$E$9:$E$250,'Petroleum - Q&amp;V1'!$H$9:$H$250,LEFT('FY Q&amp;V 2003-04 to Now'!S$7,4),'Petroleum - Q&amp;V1'!$I$9:$I$250,3)+
SUMIFS('Petroleum - Q&amp;V1'!$E$9:$E$250,'Petroleum - Q&amp;V1'!$H$9:$H$250,LEFT('FY Q&amp;V 2003-04 to Now'!S$7,4),'Petroleum - Q&amp;V1'!$I$9:$I$250,4)+
SUMIFS('Petroleum - Q&amp;V1'!$E$9:$E$250,'Petroleum - Q&amp;V1'!$H$9:$H$250,CONCATENATE("20",RIGHT('FY Q&amp;V 2003-04 to Now'!S$7,2)),'Petroleum - Q&amp;V1'!$I$9:$I$250,1)+
SUMIFS('Petroleum - Q&amp;V1'!$E$9:$E$250,'Petroleum - Q&amp;V1'!$H$9:$H$250,CONCATENATE("20",RIGHT('FY Q&amp;V 2003-04 to Now'!S$7,2)),'Petroleum - Q&amp;V1'!$I$9:$I$250,2))*1000000</f>
        <v>3842111571.0000005</v>
      </c>
      <c r="U75" s="1512">
        <f>(SUMIFS('Petroleum - Q&amp;V1'!$D$9:$D$250,'Petroleum - Q&amp;V1'!$H$9:$H$250,LEFT('FY Q&amp;V 2003-04 to Now'!U$7,4),'Petroleum - Q&amp;V1'!$I$9:$I$250,3)+
SUMIFS('Petroleum - Q&amp;V1'!$D$9:$D$250,'Petroleum - Q&amp;V1'!$H$9:$H$250,LEFT('FY Q&amp;V 2003-04 to Now'!U$7,4),'Petroleum - Q&amp;V1'!$I$9:$I$250,4)+
SUMIFS('Petroleum - Q&amp;V1'!$D$9:$D$250,'Petroleum - Q&amp;V1'!$H$9:$H$250,CONCATENATE("20",RIGHT('FY Q&amp;V 2003-04 to Now'!U$7,2)),'Petroleum - Q&amp;V1'!$I$9:$I$250,1)+
SUMIFS('Petroleum - Q&amp;V1'!$D$9:$D$250,'Petroleum - Q&amp;V1'!$H$9:$H$250,CONCATENATE("20",RIGHT('FY Q&amp;V 2003-04 to Now'!U$7,2)),'Petroleum - Q&amp;V1'!$I$9:$I$250,2))*1000000</f>
        <v>6116968</v>
      </c>
      <c r="V75" s="1512">
        <f>(SUMIFS('Petroleum - Q&amp;V1'!$E$9:$E$250,'Petroleum - Q&amp;V1'!$H$9:$H$250,LEFT('FY Q&amp;V 2003-04 to Now'!U$7,4),'Petroleum - Q&amp;V1'!$I$9:$I$250,3)+
SUMIFS('Petroleum - Q&amp;V1'!$E$9:$E$250,'Petroleum - Q&amp;V1'!$H$9:$H$250,LEFT('FY Q&amp;V 2003-04 to Now'!U$7,4),'Petroleum - Q&amp;V1'!$I$9:$I$250,4)+
SUMIFS('Petroleum - Q&amp;V1'!$E$9:$E$250,'Petroleum - Q&amp;V1'!$H$9:$H$250,CONCATENATE("20",RIGHT('FY Q&amp;V 2003-04 to Now'!U$7,2)),'Petroleum - Q&amp;V1'!$I$9:$I$250,1)+
SUMIFS('Petroleum - Q&amp;V1'!$E$9:$E$250,'Petroleum - Q&amp;V1'!$H$9:$H$250,CONCATENATE("20",RIGHT('FY Q&amp;V 2003-04 to Now'!U$7,2)),'Petroleum - Q&amp;V1'!$I$9:$I$250,2))*1000000</f>
        <v>3922032524</v>
      </c>
      <c r="W75" s="1512">
        <f>(SUMIFS('Petroleum - Q&amp;V1'!$D$9:$D$250,'Petroleum - Q&amp;V1'!$H$9:$H$250,LEFT('FY Q&amp;V 2003-04 to Now'!W$7,4),'Petroleum - Q&amp;V1'!$I$9:$I$250,3)+
SUMIFS('Petroleum - Q&amp;V1'!$D$9:$D$250,'Petroleum - Q&amp;V1'!$H$9:$H$250,LEFT('FY Q&amp;V 2003-04 to Now'!W$7,4),'Petroleum - Q&amp;V1'!$I$9:$I$250,4)+
SUMIFS('Petroleum - Q&amp;V1'!$D$9:$D$250,'Petroleum - Q&amp;V1'!$H$9:$H$250,CONCATENATE("20",RIGHT('FY Q&amp;V 2003-04 to Now'!W$7,2)),'Petroleum - Q&amp;V1'!$I$9:$I$250,1)+
SUMIFS('Petroleum - Q&amp;V1'!$D$9:$D$250,'Petroleum - Q&amp;V1'!$H$9:$H$250,CONCATENATE("20",RIGHT('FY Q&amp;V 2003-04 to Now'!W$7,2)),'Petroleum - Q&amp;V1'!$I$9:$I$250,2))*1000000</f>
        <v>4399263.2069999995</v>
      </c>
      <c r="X75" s="1512">
        <f>(SUMIFS('Petroleum - Q&amp;V1'!$E$9:$E$250,'Petroleum - Q&amp;V1'!$H$9:$H$250,LEFT('FY Q&amp;V 2003-04 to Now'!W$7,4),'Petroleum - Q&amp;V1'!$I$9:$I$250,3)+
SUMIFS('Petroleum - Q&amp;V1'!$E$9:$E$250,'Petroleum - Q&amp;V1'!$H$9:$H$250,LEFT('FY Q&amp;V 2003-04 to Now'!W$7,4),'Petroleum - Q&amp;V1'!$I$9:$I$250,4)+
SUMIFS('Petroleum - Q&amp;V1'!$E$9:$E$250,'Petroleum - Q&amp;V1'!$H$9:$H$250,CONCATENATE("20",RIGHT('FY Q&amp;V 2003-04 to Now'!W$7,2)),'Petroleum - Q&amp;V1'!$I$9:$I$250,1)+
SUMIFS('Petroleum - Q&amp;V1'!$E$9:$E$250,'Petroleum - Q&amp;V1'!$H$9:$H$250,CONCATENATE("20",RIGHT('FY Q&amp;V 2003-04 to Now'!W$7,2)),'Petroleum - Q&amp;V1'!$I$9:$I$250,2))*1000000</f>
        <v>3199879402.0108123</v>
      </c>
      <c r="Y75" s="1512">
        <f>(SUMIFS('Petroleum - Q&amp;V1'!$D$9:$D$250,'Petroleum - Q&amp;V1'!$H$9:$H$250,LEFT('FY Q&amp;V 2003-04 to Now'!Y$7,4),'Petroleum - Q&amp;V1'!$I$9:$I$250,3)+
SUMIFS('Petroleum - Q&amp;V1'!$D$9:$D$250,'Petroleum - Q&amp;V1'!$H$9:$H$250,LEFT('FY Q&amp;V 2003-04 to Now'!Y$7,4),'Petroleum - Q&amp;V1'!$I$9:$I$250,4)+
SUMIFS('Petroleum - Q&amp;V1'!$D$9:$D$250,'Petroleum - Q&amp;V1'!$H$9:$H$250,CONCATENATE("20",RIGHT('FY Q&amp;V 2003-04 to Now'!Y$7,2)),'Petroleum - Q&amp;V1'!$I$9:$I$250,1)+
SUMIFS('Petroleum - Q&amp;V1'!$D$9:$D$250,'Petroleum - Q&amp;V1'!$H$9:$H$250,CONCATENATE("20",RIGHT('FY Q&amp;V 2003-04 to Now'!Y$7,2)),'Petroleum - Q&amp;V1'!$I$9:$I$250,2))*1000000</f>
        <v>6753213.4489999991</v>
      </c>
      <c r="Z75" s="1512">
        <f>(SUMIFS('Petroleum - Q&amp;V1'!$E$9:$E$250,'Petroleum - Q&amp;V1'!$H$9:$H$250,LEFT('FY Q&amp;V 2003-04 to Now'!Y$7,4),'Petroleum - Q&amp;V1'!$I$9:$I$250,3)+
SUMIFS('Petroleum - Q&amp;V1'!$E$9:$E$250,'Petroleum - Q&amp;V1'!$H$9:$H$250,LEFT('FY Q&amp;V 2003-04 to Now'!Y$7,4),'Petroleum - Q&amp;V1'!$I$9:$I$250,4)+
SUMIFS('Petroleum - Q&amp;V1'!$E$9:$E$250,'Petroleum - Q&amp;V1'!$H$9:$H$250,CONCATENATE("20",RIGHT('FY Q&amp;V 2003-04 to Now'!Y$7,2)),'Petroleum - Q&amp;V1'!$I$9:$I$250,1)+
SUMIFS('Petroleum - Q&amp;V1'!$E$9:$E$250,'Petroleum - Q&amp;V1'!$H$9:$H$250,CONCATENATE("20",RIGHT('FY Q&amp;V 2003-04 to Now'!Y$7,2)),'Petroleum - Q&amp;V1'!$I$9:$I$250,2))*1000000</f>
        <v>3528826230.5219269</v>
      </c>
      <c r="AA75" s="1512">
        <f>(SUMIFS('Petroleum - Q&amp;V1'!$D$9:$D$250,'Petroleum - Q&amp;V1'!$H$9:$H$250,LEFT('FY Q&amp;V 2003-04 to Now'!AA$7,4),'Petroleum - Q&amp;V1'!$I$9:$I$250,3)+
SUMIFS('Petroleum - Q&amp;V1'!$D$9:$D$250,'Petroleum - Q&amp;V1'!$H$9:$H$250,LEFT('FY Q&amp;V 2003-04 to Now'!AA$7,4),'Petroleum - Q&amp;V1'!$I$9:$I$250,4)+
SUMIFS('Petroleum - Q&amp;V1'!$D$9:$D$250,'Petroleum - Q&amp;V1'!$H$9:$H$250,CONCATENATE("20",RIGHT('FY Q&amp;V 2003-04 to Now'!AA$7,2)),'Petroleum - Q&amp;V1'!$I$9:$I$250,1)+
SUMIFS('Petroleum - Q&amp;V1'!$D$9:$D$250,'Petroleum - Q&amp;V1'!$H$9:$H$250,CONCATENATE("20",RIGHT('FY Q&amp;V 2003-04 to Now'!AA$7,2)),'Petroleum - Q&amp;V1'!$I$9:$I$250,2))*1000000</f>
        <v>6775141.6115060011</v>
      </c>
      <c r="AB75" s="1512">
        <f>(SUMIFS('Petroleum - Q&amp;V1'!$E$9:$E$250,'Petroleum - Q&amp;V1'!$H$9:$H$250,LEFT('FY Q&amp;V 2003-04 to Now'!AA$7,4),'Petroleum - Q&amp;V1'!$I$9:$I$250,3)+
SUMIFS('Petroleum - Q&amp;V1'!$E$9:$E$250,'Petroleum - Q&amp;V1'!$H$9:$H$250,LEFT('FY Q&amp;V 2003-04 to Now'!AA$7,4),'Petroleum - Q&amp;V1'!$I$9:$I$250,4)+
SUMIFS('Petroleum - Q&amp;V1'!$E$9:$E$250,'Petroleum - Q&amp;V1'!$H$9:$H$250,CONCATENATE("20",RIGHT('FY Q&amp;V 2003-04 to Now'!AA$7,2)),'Petroleum - Q&amp;V1'!$I$9:$I$250,1)+
SUMIFS('Petroleum - Q&amp;V1'!$E$9:$E$250,'Petroleum - Q&amp;V1'!$H$9:$H$250,CONCATENATE("20",RIGHT('FY Q&amp;V 2003-04 to Now'!AA$7,2)),'Petroleum - Q&amp;V1'!$I$9:$I$250,2))*1000000</f>
        <v>2214239599.3627396</v>
      </c>
      <c r="AC75" s="1512">
        <f>(SUMIFS('Petroleum - Q&amp;V1'!$D$9:$D$250,'Petroleum - Q&amp;V1'!$H$9:$H$250,LEFT('FY Q&amp;V 2003-04 to Now'!AC$7,4),'Petroleum - Q&amp;V1'!$I$9:$I$250,3)+
SUMIFS('Petroleum - Q&amp;V1'!$D$9:$D$250,'Petroleum - Q&amp;V1'!$H$9:$H$250,LEFT('FY Q&amp;V 2003-04 to Now'!AC$7,4),'Petroleum - Q&amp;V1'!$I$9:$I$250,4)+
SUMIFS('Petroleum - Q&amp;V1'!$D$9:$D$250,'Petroleum - Q&amp;V1'!$H$9:$H$250,CONCATENATE("20",RIGHT('FY Q&amp;V 2003-04 to Now'!AC$7,2)),'Petroleum - Q&amp;V1'!$I$9:$I$250,1)+
SUMIFS('Petroleum - Q&amp;V1'!$D$9:$D$250,'Petroleum - Q&amp;V1'!$H$9:$H$250,CONCATENATE("20",RIGHT('FY Q&amp;V 2003-04 to Now'!AC$7,2)),'Petroleum - Q&amp;V1'!$I$9:$I$250,2))*1000000</f>
        <v>6037603.2539301543</v>
      </c>
      <c r="AD75" s="1512">
        <f>(SUMIFS('Petroleum - Q&amp;V1'!$E$9:$E$250,'Petroleum - Q&amp;V1'!$H$9:$H$250,LEFT('FY Q&amp;V 2003-04 to Now'!AC$7,4),'Petroleum - Q&amp;V1'!$I$9:$I$250,3)+
SUMIFS('Petroleum - Q&amp;V1'!$E$9:$E$250,'Petroleum - Q&amp;V1'!$H$9:$H$250,LEFT('FY Q&amp;V 2003-04 to Now'!AC$7,4),'Petroleum - Q&amp;V1'!$I$9:$I$250,4)+
SUMIFS('Petroleum - Q&amp;V1'!$E$9:$E$250,'Petroleum - Q&amp;V1'!$H$9:$H$250,CONCATENATE("20",RIGHT('FY Q&amp;V 2003-04 to Now'!AC$7,2)),'Petroleum - Q&amp;V1'!$I$9:$I$250,1)+
SUMIFS('Petroleum - Q&amp;V1'!$E$9:$E$250,'Petroleum - Q&amp;V1'!$H$9:$H$250,CONCATENATE("20",RIGHT('FY Q&amp;V 2003-04 to Now'!AC$7,2)),'Petroleum - Q&amp;V1'!$I$9:$I$250,2))*1000000</f>
        <v>2229580156.2793059</v>
      </c>
      <c r="AE75" s="1512">
        <f>(SUMIFS('Petroleum - Q&amp;V1'!$D$9:$D$250,'Petroleum - Q&amp;V1'!$H$9:$H$250,LEFT('FY Q&amp;V 2003-04 to Now'!AE$7,4),'Petroleum - Q&amp;V1'!$I$9:$I$250,3)+
SUMIFS('Petroleum - Q&amp;V1'!$D$9:$D$250,'Petroleum - Q&amp;V1'!$H$9:$H$250,LEFT('FY Q&amp;V 2003-04 to Now'!AE$7,4),'Petroleum - Q&amp;V1'!$I$9:$I$250,4)+
SUMIFS('Petroleum - Q&amp;V1'!$D$9:$D$250,'Petroleum - Q&amp;V1'!$H$9:$H$250,CONCATENATE("20",RIGHT('FY Q&amp;V 2003-04 to Now'!AE$7,2)),'Petroleum - Q&amp;V1'!$I$9:$I$250,1)+
SUMIFS('Petroleum - Q&amp;V1'!$D$9:$D$250,'Petroleum - Q&amp;V1'!$H$9:$H$250,CONCATENATE("20",RIGHT('FY Q&amp;V 2003-04 to Now'!AE$7,2)),'Petroleum - Q&amp;V1'!$I$9:$I$250,2))*1000000</f>
        <v>7112793.482270821</v>
      </c>
      <c r="AF75" s="1512">
        <f>(SUMIFS('Petroleum - Q&amp;V1'!$E$9:$E$250,'Petroleum - Q&amp;V1'!$H$9:$H$250,LEFT('FY Q&amp;V 2003-04 to Now'!AE$7,4),'Petroleum - Q&amp;V1'!$I$9:$I$250,3)+
SUMIFS('Petroleum - Q&amp;V1'!$E$9:$E$250,'Petroleum - Q&amp;V1'!$H$9:$H$250,LEFT('FY Q&amp;V 2003-04 to Now'!AE$7,4),'Petroleum - Q&amp;V1'!$I$9:$I$250,4)+
SUMIFS('Petroleum - Q&amp;V1'!$E$9:$E$250,'Petroleum - Q&amp;V1'!$H$9:$H$250,CONCATENATE("20",RIGHT('FY Q&amp;V 2003-04 to Now'!AE$7,2)),'Petroleum - Q&amp;V1'!$I$9:$I$250,1)+
SUMIFS('Petroleum - Q&amp;V1'!$E$9:$E$250,'Petroleum - Q&amp;V1'!$H$9:$H$250,CONCATENATE("20",RIGHT('FY Q&amp;V 2003-04 to Now'!AE$7,2)),'Petroleum - Q&amp;V1'!$I$9:$I$250,2))*1000000</f>
        <v>3300952798.3132472</v>
      </c>
      <c r="AG75" s="268">
        <f>(SUMIFS('Petroleum - Q&amp;V1'!$D$9:$D$250,'Petroleum - Q&amp;V1'!$H$9:$H$250,LEFT('FY Q&amp;V 2003-04 to Now'!AG$7,4),'Petroleum - Q&amp;V1'!$I$9:$I$250,3)+
SUMIFS('Petroleum - Q&amp;V1'!$D$9:$D$250,'Petroleum - Q&amp;V1'!$H$9:$H$250,LEFT('FY Q&amp;V 2003-04 to Now'!AG$7,4),'Petroleum - Q&amp;V1'!$I$9:$I$250,4)+
SUMIFS('Petroleum - Q&amp;V1'!$D$9:$D$250,'Petroleum - Q&amp;V1'!$H$9:$H$250,CONCATENATE("20",RIGHT('FY Q&amp;V 2003-04 to Now'!AG$7,2)),'Petroleum - Q&amp;V1'!$I$9:$I$250,1)+
SUMIFS('Petroleum - Q&amp;V1'!$D$9:$D$250,'Petroleum - Q&amp;V1'!$H$9:$H$250,CONCATENATE("20",RIGHT('FY Q&amp;V 2003-04 to Now'!AG$7,2)),'Petroleum - Q&amp;V1'!$I$9:$I$250,2))*1000000</f>
        <v>11147267.561162524</v>
      </c>
      <c r="AH75" s="268">
        <f>(SUMIFS('Petroleum - Q&amp;V1'!$E$9:$E$250,'Petroleum - Q&amp;V1'!$H$9:$H$250,LEFT('FY Q&amp;V 2003-04 to Now'!AG$7,4),'Petroleum - Q&amp;V1'!$I$9:$I$250,3)+
SUMIFS('Petroleum - Q&amp;V1'!$E$9:$E$250,'Petroleum - Q&amp;V1'!$H$9:$H$250,LEFT('FY Q&amp;V 2003-04 to Now'!AG$7,4),'Petroleum - Q&amp;V1'!$I$9:$I$250,4)+
SUMIFS('Petroleum - Q&amp;V1'!$E$9:$E$250,'Petroleum - Q&amp;V1'!$H$9:$H$250,CONCATENATE("20",RIGHT('FY Q&amp;V 2003-04 to Now'!AG$7,2)),'Petroleum - Q&amp;V1'!$I$9:$I$250,1)+
SUMIFS('Petroleum - Q&amp;V1'!$E$9:$E$250,'Petroleum - Q&amp;V1'!$H$9:$H$250,CONCATENATE("20",RIGHT('FY Q&amp;V 2003-04 to Now'!AG$7,2)),'Petroleum - Q&amp;V1'!$I$9:$I$250,2))*1000000</f>
        <v>6163266485.8807325</v>
      </c>
      <c r="AI75" s="268">
        <f>(SUMIFS('Petroleum - Q&amp;V1'!$D$9:$D$250,'Petroleum - Q&amp;V1'!$H$9:$H$250,LEFT('FY Q&amp;V 2003-04 to Now'!AI$7,4),'Petroleum - Q&amp;V1'!$I$9:$I$250,3)+
SUMIFS('Petroleum - Q&amp;V1'!$D$9:$D$250,'Petroleum - Q&amp;V1'!$H$9:$H$250,LEFT('FY Q&amp;V 2003-04 to Now'!AI$7,4),'Petroleum - Q&amp;V1'!$I$9:$I$250,4)+
SUMIFS('Petroleum - Q&amp;V1'!$D$9:$D$250,'Petroleum - Q&amp;V1'!$H$9:$H$250,CONCATENATE("20",RIGHT('FY Q&amp;V 2003-04 to Now'!AI$7,2)),'Petroleum - Q&amp;V1'!$I$9:$I$250,1)+
SUMIFS('Petroleum - Q&amp;V1'!$D$9:$D$250,'Petroleum - Q&amp;V1'!$H$9:$H$250,CONCATENATE("20",RIGHT('FY Q&amp;V 2003-04 to Now'!AI$7,2)),'Petroleum - Q&amp;V1'!$I$9:$I$250,2))*1000000</f>
        <v>12340926.11349741</v>
      </c>
      <c r="AJ75" s="268">
        <f>(SUMIFS('Petroleum - Q&amp;V1'!$E$9:$E$250,'Petroleum - Q&amp;V1'!$H$9:$H$250,LEFT('FY Q&amp;V 2003-04 to Now'!AI$7,4),'Petroleum - Q&amp;V1'!$I$9:$I$250,3)+
SUMIFS('Petroleum - Q&amp;V1'!$E$9:$E$250,'Petroleum - Q&amp;V1'!$H$9:$H$250,LEFT('FY Q&amp;V 2003-04 to Now'!AI$7,4),'Petroleum - Q&amp;V1'!$I$9:$I$250,4)+
SUMIFS('Petroleum - Q&amp;V1'!$E$9:$E$250,'Petroleum - Q&amp;V1'!$H$9:$H$250,CONCATENATE("20",RIGHT('FY Q&amp;V 2003-04 to Now'!AI$7,2)),'Petroleum - Q&amp;V1'!$I$9:$I$250,1)+
SUMIFS('Petroleum - Q&amp;V1'!$E$9:$E$250,'Petroleum - Q&amp;V1'!$H$9:$H$250,CONCATENATE("20",RIGHT('FY Q&amp;V 2003-04 to Now'!AI$7,2)),'Petroleum - Q&amp;V1'!$I$9:$I$250,2))*1000000</f>
        <v>5401864390.327383</v>
      </c>
      <c r="AK75" s="268">
        <f>(SUMIFS('Petroleum - Q&amp;V1'!$D$9:$D$250,'Petroleum - Q&amp;V1'!$H$9:$H$250,LEFT('FY Q&amp;V 2003-04 to Now'!AK$7,4),'Petroleum - Q&amp;V1'!$I$9:$I$250,3)+
SUMIFS('Petroleum - Q&amp;V1'!$D$9:$D$250,'Petroleum - Q&amp;V1'!$H$9:$H$250,LEFT('FY Q&amp;V 2003-04 to Now'!AK$7,4),'Petroleum - Q&amp;V1'!$I$9:$I$250,4)+
SUMIFS('Petroleum - Q&amp;V1'!$D$9:$D$250,'Petroleum - Q&amp;V1'!$H$9:$H$250,CONCATENATE("20",RIGHT('FY Q&amp;V 2003-04 to Now'!AK$7,2)),'Petroleum - Q&amp;V1'!$I$9:$I$250,1)+
SUMIFS('Petroleum - Q&amp;V1'!$D$9:$D$250,'Petroleum - Q&amp;V1'!$H$9:$H$250,CONCATENATE("20",RIGHT('FY Q&amp;V 2003-04 to Now'!AK$7,2)),'Petroleum - Q&amp;V1'!$I$9:$I$250,2))*1000000</f>
        <v>11116897.742583131</v>
      </c>
      <c r="AL75" s="268">
        <f>(SUMIFS('Petroleum - Q&amp;V1'!$E$9:$E$250,'Petroleum - Q&amp;V1'!$H$9:$H$250,LEFT('FY Q&amp;V 2003-04 to Now'!AK$7,4),'Petroleum - Q&amp;V1'!$I$9:$I$250,3)+
SUMIFS('Petroleum - Q&amp;V1'!$E$9:$E$250,'Petroleum - Q&amp;V1'!$H$9:$H$250,LEFT('FY Q&amp;V 2003-04 to Now'!AK$7,4),'Petroleum - Q&amp;V1'!$I$9:$I$250,4)+
SUMIFS('Petroleum - Q&amp;V1'!$E$9:$E$250,'Petroleum - Q&amp;V1'!$H$9:$H$250,CONCATENATE("20",RIGHT('FY Q&amp;V 2003-04 to Now'!AK$7,2)),'Petroleum - Q&amp;V1'!$I$9:$I$250,1)+
SUMIFS('Petroleum - Q&amp;V1'!$E$9:$E$250,'Petroleum - Q&amp;V1'!$H$9:$H$250,CONCATENATE("20",RIGHT('FY Q&amp;V 2003-04 to Now'!AK$7,2)),'Petroleum - Q&amp;V1'!$I$9:$I$250,2))*1000000</f>
        <v>4277981027.1622028</v>
      </c>
      <c r="AM75" s="1499">
        <f>SUMIF($C$9:AL$9,1,$C75:AL75)</f>
        <v>127250831.42095003</v>
      </c>
      <c r="AN75" s="1512">
        <f>SUMIF($C$9:AL$9,0,$C75:AL75)</f>
        <v>62088566451.858345</v>
      </c>
      <c r="AS75" s="581"/>
    </row>
    <row r="76" spans="1:45">
      <c r="A76" s="1581" t="s">
        <v>79</v>
      </c>
      <c r="B76" s="1511" t="s">
        <v>267</v>
      </c>
      <c r="C76" s="1512">
        <f>(SUMIFS('Petroleum - Q&amp;V1'!$B$9:$B$250,'Petroleum - Q&amp;V1'!$H$9:$H$250,LEFT('FY Q&amp;V 2003-04 to Now'!C$7,4),'Petroleum - Q&amp;V1'!$I$9:$I$250,3)+
SUMIFS('Petroleum - Q&amp;V1'!$B$9:$B$250,'Petroleum - Q&amp;V1'!$H$9:$H$250,LEFT('FY Q&amp;V 2003-04 to Now'!C$7,4),'Petroleum - Q&amp;V1'!$I$9:$I$250,4)+
SUMIFS('Petroleum - Q&amp;V1'!$B$9:$B$250,'Petroleum - Q&amp;V1'!$H$9:$H$250,CONCATENATE("20",RIGHT('FY Q&amp;V 2003-04 to Now'!C$7,2)),'Petroleum - Q&amp;V1'!$I$9:$I$250,1)+
SUMIFS('Petroleum - Q&amp;V1'!$B$9:$B$250,'Petroleum - Q&amp;V1'!$H$9:$H$250,CONCATENATE("20",RIGHT('FY Q&amp;V 2003-04 to Now'!C$7,2)),'Petroleum - Q&amp;V1'!$I$9:$I$250,2))*1000000</f>
        <v>13223116</v>
      </c>
      <c r="D76" s="1512">
        <f>(SUMIFS('Petroleum - Q&amp;V1'!$C$9:$C$250,'Petroleum - Q&amp;V1'!$H$9:$H$250,LEFT('FY Q&amp;V 2003-04 to Now'!C$7,4),'Petroleum - Q&amp;V1'!$I$9:$I$250,3)+
SUMIFS('Petroleum - Q&amp;V1'!$C$9:$C$250,'Petroleum - Q&amp;V1'!$H$9:$H$250,LEFT('FY Q&amp;V 2003-04 to Now'!C$7,4),'Petroleum - Q&amp;V1'!$I$9:$I$250,4)+
SUMIFS('Petroleum - Q&amp;V1'!$C$9:$C$250,'Petroleum - Q&amp;V1'!$H$9:$H$250,CONCATENATE("20",RIGHT('FY Q&amp;V 2003-04 to Now'!C$7,2)),'Petroleum - Q&amp;V1'!$I$9:$I$250,1)+
SUMIFS('Petroleum - Q&amp;V1'!$C$9:$C$250,'Petroleum - Q&amp;V1'!$H$9:$H$250,CONCATENATE("20",RIGHT('FY Q&amp;V 2003-04 to Now'!C$7,2)),'Petroleum - Q&amp;V1'!$I$9:$I$250,2))*1000000</f>
        <v>3773641187.9999995</v>
      </c>
      <c r="E76" s="1512">
        <f>(SUMIFS('Petroleum - Q&amp;V1'!$B$9:$B$250,'Petroleum - Q&amp;V1'!$H$9:$H$250,LEFT('FY Q&amp;V 2003-04 to Now'!E$7,4),'Petroleum - Q&amp;V1'!$I$9:$I$250,3)+
SUMIFS('Petroleum - Q&amp;V1'!$B$9:$B$250,'Petroleum - Q&amp;V1'!$H$9:$H$250,LEFT('FY Q&amp;V 2003-04 to Now'!E$7,4),'Petroleum - Q&amp;V1'!$I$9:$I$250,4)+
SUMIFS('Petroleum - Q&amp;V1'!$B$9:$B$250,'Petroleum - Q&amp;V1'!$H$9:$H$250,CONCATENATE("20",RIGHT('FY Q&amp;V 2003-04 to Now'!E$7,2)),'Petroleum - Q&amp;V1'!$I$9:$I$250,1)+
SUMIFS('Petroleum - Q&amp;V1'!$B$9:$B$250,'Petroleum - Q&amp;V1'!$H$9:$H$250,CONCATENATE("20",RIGHT('FY Q&amp;V 2003-04 to Now'!E$7,2)),'Petroleum - Q&amp;V1'!$I$9:$I$250,2))*1000000</f>
        <v>12773028</v>
      </c>
      <c r="F76" s="1512">
        <f>(SUMIFS('Petroleum - Q&amp;V1'!$C$9:$C$250,'Petroleum - Q&amp;V1'!$H$9:$H$250,LEFT('FY Q&amp;V 2003-04 to Now'!E$7,4),'Petroleum - Q&amp;V1'!$I$9:$I$250,3)+
SUMIFS('Petroleum - Q&amp;V1'!$C$9:$C$250,'Petroleum - Q&amp;V1'!$H$9:$H$250,LEFT('FY Q&amp;V 2003-04 to Now'!E$7,4),'Petroleum - Q&amp;V1'!$I$9:$I$250,4)+
SUMIFS('Petroleum - Q&amp;V1'!$C$9:$C$250,'Petroleum - Q&amp;V1'!$H$9:$H$250,CONCATENATE("20",RIGHT('FY Q&amp;V 2003-04 to Now'!E$7,2)),'Petroleum - Q&amp;V1'!$I$9:$I$250,1)+
SUMIFS('Petroleum - Q&amp;V1'!$C$9:$C$250,'Petroleum - Q&amp;V1'!$H$9:$H$250,CONCATENATE("20",RIGHT('FY Q&amp;V 2003-04 to Now'!E$7,2)),'Petroleum - Q&amp;V1'!$I$9:$I$250,2))*1000000</f>
        <v>5176845195</v>
      </c>
      <c r="G76" s="1512">
        <f>(SUMIFS('Petroleum - Q&amp;V1'!$B$9:$B$250,'Petroleum - Q&amp;V1'!$H$9:$H$250,LEFT('FY Q&amp;V 2003-04 to Now'!G$7,4),'Petroleum - Q&amp;V1'!$I$9:$I$250,3)+
SUMIFS('Petroleum - Q&amp;V1'!$B$9:$B$250,'Petroleum - Q&amp;V1'!$H$9:$H$250,LEFT('FY Q&amp;V 2003-04 to Now'!G$7,4),'Petroleum - Q&amp;V1'!$I$9:$I$250,4)+
SUMIFS('Petroleum - Q&amp;V1'!$B$9:$B$250,'Petroleum - Q&amp;V1'!$H$9:$H$250,CONCATENATE("20",RIGHT('FY Q&amp;V 2003-04 to Now'!G$7,2)),'Petroleum - Q&amp;V1'!$I$9:$I$250,1)+
SUMIFS('Petroleum - Q&amp;V1'!$B$9:$B$250,'Petroleum - Q&amp;V1'!$H$9:$H$250,CONCATENATE("20",RIGHT('FY Q&amp;V 2003-04 to Now'!G$7,2)),'Petroleum - Q&amp;V1'!$I$9:$I$250,2))*1000000</f>
        <v>11142978</v>
      </c>
      <c r="H76" s="1512">
        <f>(SUMIFS('Petroleum - Q&amp;V1'!$C$9:$C$250,'Petroleum - Q&amp;V1'!$H$9:$H$250,LEFT('FY Q&amp;V 2003-04 to Now'!G$7,4),'Petroleum - Q&amp;V1'!$I$9:$I$250,3)+
SUMIFS('Petroleum - Q&amp;V1'!$C$9:$C$250,'Petroleum - Q&amp;V1'!$H$9:$H$250,LEFT('FY Q&amp;V 2003-04 to Now'!G$7,4),'Petroleum - Q&amp;V1'!$I$9:$I$250,4)+
SUMIFS('Petroleum - Q&amp;V1'!$C$9:$C$250,'Petroleum - Q&amp;V1'!$H$9:$H$250,CONCATENATE("20",RIGHT('FY Q&amp;V 2003-04 to Now'!G$7,2)),'Petroleum - Q&amp;V1'!$I$9:$I$250,1)+
SUMIFS('Petroleum - Q&amp;V1'!$C$9:$C$250,'Petroleum - Q&amp;V1'!$H$9:$H$250,CONCATENATE("20",RIGHT('FY Q&amp;V 2003-04 to Now'!G$7,2)),'Petroleum - Q&amp;V1'!$I$9:$I$250,2))*1000000</f>
        <v>5901291387</v>
      </c>
      <c r="I76" s="1512">
        <f>(SUMIFS('Petroleum - Q&amp;V1'!$B$9:$B$250,'Petroleum - Q&amp;V1'!$H$9:$H$250,LEFT('FY Q&amp;V 2003-04 to Now'!I$7,4),'Petroleum - Q&amp;V1'!$I$9:$I$250,3)+
SUMIFS('Petroleum - Q&amp;V1'!$B$9:$B$250,'Petroleum - Q&amp;V1'!$H$9:$H$250,LEFT('FY Q&amp;V 2003-04 to Now'!I$7,4),'Petroleum - Q&amp;V1'!$I$9:$I$250,4)+
SUMIFS('Petroleum - Q&amp;V1'!$B$9:$B$250,'Petroleum - Q&amp;V1'!$H$9:$H$250,CONCATENATE("20",RIGHT('FY Q&amp;V 2003-04 to Now'!I$7,2)),'Petroleum - Q&amp;V1'!$I$9:$I$250,1)+
SUMIFS('Petroleum - Q&amp;V1'!$B$9:$B$250,'Petroleum - Q&amp;V1'!$H$9:$H$250,CONCATENATE("20",RIGHT('FY Q&amp;V 2003-04 to Now'!I$7,2)),'Petroleum - Q&amp;V1'!$I$9:$I$250,2))*1000000</f>
        <v>14255543.999999998</v>
      </c>
      <c r="J76" s="1512">
        <f>(SUMIFS('Petroleum - Q&amp;V1'!$C$9:$C$250,'Petroleum - Q&amp;V1'!$H$9:$H$250,LEFT('FY Q&amp;V 2003-04 to Now'!I$7,4),'Petroleum - Q&amp;V1'!$I$9:$I$250,3)+
SUMIFS('Petroleum - Q&amp;V1'!$C$9:$C$250,'Petroleum - Q&amp;V1'!$H$9:$H$250,LEFT('FY Q&amp;V 2003-04 to Now'!I$7,4),'Petroleum - Q&amp;V1'!$I$9:$I$250,4)+
SUMIFS('Petroleum - Q&amp;V1'!$C$9:$C$250,'Petroleum - Q&amp;V1'!$H$9:$H$250,CONCATENATE("20",RIGHT('FY Q&amp;V 2003-04 to Now'!I$7,2)),'Petroleum - Q&amp;V1'!$I$9:$I$250,1)+
SUMIFS('Petroleum - Q&amp;V1'!$C$9:$C$250,'Petroleum - Q&amp;V1'!$H$9:$H$250,CONCATENATE("20",RIGHT('FY Q&amp;V 2003-04 to Now'!I$7,2)),'Petroleum - Q&amp;V1'!$I$9:$I$250,2))*1000000</f>
        <v>7529594341.999999</v>
      </c>
      <c r="K76" s="1512">
        <f>(SUMIFS('Petroleum - Q&amp;V1'!$B$9:$B$250,'Petroleum - Q&amp;V1'!$H$9:$H$250,LEFT('FY Q&amp;V 2003-04 to Now'!K$7,4),'Petroleum - Q&amp;V1'!$I$9:$I$250,3)+
SUMIFS('Petroleum - Q&amp;V1'!$B$9:$B$250,'Petroleum - Q&amp;V1'!$H$9:$H$250,LEFT('FY Q&amp;V 2003-04 to Now'!K$7,4),'Petroleum - Q&amp;V1'!$I$9:$I$250,4)+
SUMIFS('Petroleum - Q&amp;V1'!$B$9:$B$250,'Petroleum - Q&amp;V1'!$H$9:$H$250,CONCATENATE("20",RIGHT('FY Q&amp;V 2003-04 to Now'!K$7,2)),'Petroleum - Q&amp;V1'!$I$9:$I$250,1)+
SUMIFS('Petroleum - Q&amp;V1'!$B$9:$B$250,'Petroleum - Q&amp;V1'!$H$9:$H$250,CONCATENATE("20",RIGHT('FY Q&amp;V 2003-04 to Now'!K$7,2)),'Petroleum - Q&amp;V1'!$I$9:$I$250,2))*1000000</f>
        <v>12647526</v>
      </c>
      <c r="L76" s="1512">
        <f>(SUMIFS('Petroleum - Q&amp;V1'!$C$9:$C$250,'Petroleum - Q&amp;V1'!$H$9:$H$250,LEFT('FY Q&amp;V 2003-04 to Now'!K$7,4),'Petroleum - Q&amp;V1'!$I$9:$I$250,3)+
SUMIFS('Petroleum - Q&amp;V1'!$C$9:$C$250,'Petroleum - Q&amp;V1'!$H$9:$H$250,LEFT('FY Q&amp;V 2003-04 to Now'!K$7,4),'Petroleum - Q&amp;V1'!$I$9:$I$250,4)+
SUMIFS('Petroleum - Q&amp;V1'!$C$9:$C$250,'Petroleum - Q&amp;V1'!$H$9:$H$250,CONCATENATE("20",RIGHT('FY Q&amp;V 2003-04 to Now'!K$7,2)),'Petroleum - Q&amp;V1'!$I$9:$I$250,1)+
SUMIFS('Petroleum - Q&amp;V1'!$C$9:$C$250,'Petroleum - Q&amp;V1'!$H$9:$H$250,CONCATENATE("20",RIGHT('FY Q&amp;V 2003-04 to Now'!K$7,2)),'Petroleum - Q&amp;V1'!$I$9:$I$250,2))*1000000</f>
        <v>8666217288</v>
      </c>
      <c r="M76" s="1512">
        <f>(SUMIFS('Petroleum - Q&amp;V1'!$B$9:$B$250,'Petroleum - Q&amp;V1'!$H$9:$H$250,LEFT('FY Q&amp;V 2003-04 to Now'!M$7,4),'Petroleum - Q&amp;V1'!$I$9:$I$250,3)+
SUMIFS('Petroleum - Q&amp;V1'!$B$9:$B$250,'Petroleum - Q&amp;V1'!$H$9:$H$250,LEFT('FY Q&amp;V 2003-04 to Now'!M$7,4),'Petroleum - Q&amp;V1'!$I$9:$I$250,4)+
SUMIFS('Petroleum - Q&amp;V1'!$B$9:$B$250,'Petroleum - Q&amp;V1'!$H$9:$H$250,CONCATENATE("20",RIGHT('FY Q&amp;V 2003-04 to Now'!M$7,2)),'Petroleum - Q&amp;V1'!$I$9:$I$250,1)+
SUMIFS('Petroleum - Q&amp;V1'!$B$9:$B$250,'Petroleum - Q&amp;V1'!$H$9:$H$250,CONCATENATE("20",RIGHT('FY Q&amp;V 2003-04 to Now'!M$7,2)),'Petroleum - Q&amp;V1'!$I$9:$I$250,2))*1000000</f>
        <v>13036933.000000002</v>
      </c>
      <c r="N76" s="1512">
        <f>(SUMIFS('Petroleum - Q&amp;V1'!$C$9:$C$250,'Petroleum - Q&amp;V1'!$H$9:$H$250,LEFT('FY Q&amp;V 2003-04 to Now'!M$7,4),'Petroleum - Q&amp;V1'!$I$9:$I$250,3)+
SUMIFS('Petroleum - Q&amp;V1'!$C$9:$C$250,'Petroleum - Q&amp;V1'!$H$9:$H$250,LEFT('FY Q&amp;V 2003-04 to Now'!M$7,4),'Petroleum - Q&amp;V1'!$I$9:$I$250,4)+
SUMIFS('Petroleum - Q&amp;V1'!$C$9:$C$250,'Petroleum - Q&amp;V1'!$H$9:$H$250,CONCATENATE("20",RIGHT('FY Q&amp;V 2003-04 to Now'!M$7,2)),'Petroleum - Q&amp;V1'!$I$9:$I$250,1)+
SUMIFS('Petroleum - Q&amp;V1'!$C$9:$C$250,'Petroleum - Q&amp;V1'!$H$9:$H$250,CONCATENATE("20",RIGHT('FY Q&amp;V 2003-04 to Now'!M$7,2)),'Petroleum - Q&amp;V1'!$I$9:$I$250,2))*1000000</f>
        <v>7710496697.000001</v>
      </c>
      <c r="O76" s="1512">
        <f>(SUMIFS('Petroleum - Q&amp;V1'!$B$9:$B$250,'Petroleum - Q&amp;V1'!$H$9:$H$250,LEFT('FY Q&amp;V 2003-04 to Now'!O$7,4),'Petroleum - Q&amp;V1'!$I$9:$I$250,3)+
SUMIFS('Petroleum - Q&amp;V1'!$B$9:$B$250,'Petroleum - Q&amp;V1'!$H$9:$H$250,LEFT('FY Q&amp;V 2003-04 to Now'!O$7,4),'Petroleum - Q&amp;V1'!$I$9:$I$250,4)+
SUMIFS('Petroleum - Q&amp;V1'!$B$9:$B$250,'Petroleum - Q&amp;V1'!$H$9:$H$250,CONCATENATE("20",RIGHT('FY Q&amp;V 2003-04 to Now'!O$7,2)),'Petroleum - Q&amp;V1'!$I$9:$I$250,1)+
SUMIFS('Petroleum - Q&amp;V1'!$B$9:$B$250,'Petroleum - Q&amp;V1'!$H$9:$H$250,CONCATENATE("20",RIGHT('FY Q&amp;V 2003-04 to Now'!O$7,2)),'Petroleum - Q&amp;V1'!$I$9:$I$250,2))*1000000</f>
        <v>11842075</v>
      </c>
      <c r="P76" s="1512">
        <f>(SUMIFS('Petroleum - Q&amp;V1'!$C$9:$C$250,'Petroleum - Q&amp;V1'!$H$9:$H$250,LEFT('FY Q&amp;V 2003-04 to Now'!O$7,4),'Petroleum - Q&amp;V1'!$I$9:$I$250,3)+
SUMIFS('Petroleum - Q&amp;V1'!$C$9:$C$250,'Petroleum - Q&amp;V1'!$H$9:$H$250,LEFT('FY Q&amp;V 2003-04 to Now'!O$7,4),'Petroleum - Q&amp;V1'!$I$9:$I$250,4)+
SUMIFS('Petroleum - Q&amp;V1'!$C$9:$C$250,'Petroleum - Q&amp;V1'!$H$9:$H$250,CONCATENATE("20",RIGHT('FY Q&amp;V 2003-04 to Now'!O$7,2)),'Petroleum - Q&amp;V1'!$I$9:$I$250,1)+
SUMIFS('Petroleum - Q&amp;V1'!$C$9:$C$250,'Petroleum - Q&amp;V1'!$H$9:$H$250,CONCATENATE("20",RIGHT('FY Q&amp;V 2003-04 to Now'!O$7,2)),'Petroleum - Q&amp;V1'!$I$9:$I$250,2))*1000000</f>
        <v>6385071844</v>
      </c>
      <c r="Q76" s="1512">
        <f>(SUMIFS('Petroleum - Q&amp;V1'!$B$9:$B$250,'Petroleum - Q&amp;V1'!$H$9:$H$250,LEFT('FY Q&amp;V 2003-04 to Now'!Q$7,4),'Petroleum - Q&amp;V1'!$I$9:$I$250,3)+
SUMIFS('Petroleum - Q&amp;V1'!$B$9:$B$250,'Petroleum - Q&amp;V1'!$H$9:$H$250,LEFT('FY Q&amp;V 2003-04 to Now'!Q$7,4),'Petroleum - Q&amp;V1'!$I$9:$I$250,4)+
SUMIFS('Petroleum - Q&amp;V1'!$B$9:$B$250,'Petroleum - Q&amp;V1'!$H$9:$H$250,CONCATENATE("20",RIGHT('FY Q&amp;V 2003-04 to Now'!Q$7,2)),'Petroleum - Q&amp;V1'!$I$9:$I$250,1)+
SUMIFS('Petroleum - Q&amp;V1'!$B$9:$B$250,'Petroleum - Q&amp;V1'!$H$9:$H$250,CONCATENATE("20",RIGHT('FY Q&amp;V 2003-04 to Now'!Q$7,2)),'Petroleum - Q&amp;V1'!$I$9:$I$250,2))*1000000</f>
        <v>13924847</v>
      </c>
      <c r="R76" s="1512">
        <f>(SUMIFS('Petroleum - Q&amp;V1'!$C$9:$C$250,'Petroleum - Q&amp;V1'!$H$9:$H$250,LEFT('FY Q&amp;V 2003-04 to Now'!Q$7,4),'Petroleum - Q&amp;V1'!$I$9:$I$250,3)+
SUMIFS('Petroleum - Q&amp;V1'!$C$9:$C$250,'Petroleum - Q&amp;V1'!$H$9:$H$250,LEFT('FY Q&amp;V 2003-04 to Now'!Q$7,4),'Petroleum - Q&amp;V1'!$I$9:$I$250,4)+
SUMIFS('Petroleum - Q&amp;V1'!$C$9:$C$250,'Petroleum - Q&amp;V1'!$H$9:$H$250,CONCATENATE("20",RIGHT('FY Q&amp;V 2003-04 to Now'!Q$7,2)),'Petroleum - Q&amp;V1'!$I$9:$I$250,1)+
SUMIFS('Petroleum - Q&amp;V1'!$C$9:$C$250,'Petroleum - Q&amp;V1'!$H$9:$H$250,CONCATENATE("20",RIGHT('FY Q&amp;V 2003-04 to Now'!Q$7,2)),'Petroleum - Q&amp;V1'!$I$9:$I$250,2))*1000000</f>
        <v>8528862520.999999</v>
      </c>
      <c r="S76" s="1512">
        <f>(SUMIFS('Petroleum - Q&amp;V1'!$B$9:$B$250,'Petroleum - Q&amp;V1'!$H$9:$H$250,LEFT('FY Q&amp;V 2003-04 to Now'!S$7,4),'Petroleum - Q&amp;V1'!$I$9:$I$250,3)+
SUMIFS('Petroleum - Q&amp;V1'!$B$9:$B$250,'Petroleum - Q&amp;V1'!$H$9:$H$250,LEFT('FY Q&amp;V 2003-04 to Now'!S$7,4),'Petroleum - Q&amp;V1'!$I$9:$I$250,4)+
SUMIFS('Petroleum - Q&amp;V1'!$B$9:$B$250,'Petroleum - Q&amp;V1'!$H$9:$H$250,CONCATENATE("20",RIGHT('FY Q&amp;V 2003-04 to Now'!S$7,2)),'Petroleum - Q&amp;V1'!$I$9:$I$250,1)+
SUMIFS('Petroleum - Q&amp;V1'!$B$9:$B$250,'Petroleum - Q&amp;V1'!$H$9:$H$250,CONCATENATE("20",RIGHT('FY Q&amp;V 2003-04 to Now'!S$7,2)),'Petroleum - Q&amp;V1'!$I$9:$I$250,2))*1000000</f>
        <v>11121616</v>
      </c>
      <c r="T76" s="1512">
        <f>(SUMIFS('Petroleum - Q&amp;V1'!$C$9:$C$250,'Petroleum - Q&amp;V1'!$H$9:$H$250,LEFT('FY Q&amp;V 2003-04 to Now'!S$7,4),'Petroleum - Q&amp;V1'!$I$9:$I$250,3)+
SUMIFS('Petroleum - Q&amp;V1'!$C$9:$C$250,'Petroleum - Q&amp;V1'!$H$9:$H$250,LEFT('FY Q&amp;V 2003-04 to Now'!S$7,4),'Petroleum - Q&amp;V1'!$I$9:$I$250,4)+
SUMIFS('Petroleum - Q&amp;V1'!$C$9:$C$250,'Petroleum - Q&amp;V1'!$H$9:$H$250,CONCATENATE("20",RIGHT('FY Q&amp;V 2003-04 to Now'!S$7,2)),'Petroleum - Q&amp;V1'!$I$9:$I$250,1)+
SUMIFS('Petroleum - Q&amp;V1'!$C$9:$C$250,'Petroleum - Q&amp;V1'!$H$9:$H$250,CONCATENATE("20",RIGHT('FY Q&amp;V 2003-04 to Now'!S$7,2)),'Petroleum - Q&amp;V1'!$I$9:$I$250,2))*1000000</f>
        <v>7676633458.999999</v>
      </c>
      <c r="U76" s="1512">
        <f>(SUMIFS('Petroleum - Q&amp;V1'!$B$9:$B$250,'Petroleum - Q&amp;V1'!$H$9:$H$250,LEFT('FY Q&amp;V 2003-04 to Now'!U$7,4),'Petroleum - Q&amp;V1'!$I$9:$I$250,3)+
SUMIFS('Petroleum - Q&amp;V1'!$B$9:$B$250,'Petroleum - Q&amp;V1'!$H$9:$H$250,LEFT('FY Q&amp;V 2003-04 to Now'!U$7,4),'Petroleum - Q&amp;V1'!$I$9:$I$250,4)+
SUMIFS('Petroleum - Q&amp;V1'!$B$9:$B$250,'Petroleum - Q&amp;V1'!$H$9:$H$250,CONCATENATE("20",RIGHT('FY Q&amp;V 2003-04 to Now'!U$7,2)),'Petroleum - Q&amp;V1'!$I$9:$I$250,1)+
SUMIFS('Petroleum - Q&amp;V1'!$B$9:$B$250,'Petroleum - Q&amp;V1'!$H$9:$H$250,CONCATENATE("20",RIGHT('FY Q&amp;V 2003-04 to Now'!U$7,2)),'Petroleum - Q&amp;V1'!$I$9:$I$250,2))*1000000</f>
        <v>8609425</v>
      </c>
      <c r="V76" s="1512">
        <f>(SUMIFS('Petroleum - Q&amp;V1'!$C$9:$C$250,'Petroleum - Q&amp;V1'!$H$9:$H$250,LEFT('FY Q&amp;V 2003-04 to Now'!U$7,4),'Petroleum - Q&amp;V1'!$I$9:$I$250,3)+
SUMIFS('Petroleum - Q&amp;V1'!$C$9:$C$250,'Petroleum - Q&amp;V1'!$H$9:$H$250,LEFT('FY Q&amp;V 2003-04 to Now'!U$7,4),'Petroleum - Q&amp;V1'!$I$9:$I$250,4)+
SUMIFS('Petroleum - Q&amp;V1'!$C$9:$C$250,'Petroleum - Q&amp;V1'!$H$9:$H$250,CONCATENATE("20",RIGHT('FY Q&amp;V 2003-04 to Now'!U$7,2)),'Petroleum - Q&amp;V1'!$I$9:$I$250,1)+
SUMIFS('Petroleum - Q&amp;V1'!$C$9:$C$250,'Petroleum - Q&amp;V1'!$H$9:$H$250,CONCATENATE("20",RIGHT('FY Q&amp;V 2003-04 to Now'!U$7,2)),'Petroleum - Q&amp;V1'!$I$9:$I$250,2))*1000000</f>
        <v>5972058199.999999</v>
      </c>
      <c r="W76" s="1512">
        <f>(SUMIFS('Petroleum - Q&amp;V1'!$B$9:$B$250,'Petroleum - Q&amp;V1'!$H$9:$H$250,LEFT('FY Q&amp;V 2003-04 to Now'!W$7,4),'Petroleum - Q&amp;V1'!$I$9:$I$250,3)+
SUMIFS('Petroleum - Q&amp;V1'!$B$9:$B$250,'Petroleum - Q&amp;V1'!$H$9:$H$250,LEFT('FY Q&amp;V 2003-04 to Now'!W$7,4),'Petroleum - Q&amp;V1'!$I$9:$I$250,4)+
SUMIFS('Petroleum - Q&amp;V1'!$B$9:$B$250,'Petroleum - Q&amp;V1'!$H$9:$H$250,CONCATENATE("20",RIGHT('FY Q&amp;V 2003-04 to Now'!W$7,2)),'Petroleum - Q&amp;V1'!$I$9:$I$250,1)+
SUMIFS('Petroleum - Q&amp;V1'!$B$9:$B$250,'Petroleum - Q&amp;V1'!$H$9:$H$250,CONCATENATE("20",RIGHT('FY Q&amp;V 2003-04 to Now'!W$7,2)),'Petroleum - Q&amp;V1'!$I$9:$I$250,2))*1000000</f>
        <v>6867302.1770000011</v>
      </c>
      <c r="X76" s="1512">
        <f>(SUMIFS('Petroleum - Q&amp;V1'!$C$9:$C$250,'Petroleum - Q&amp;V1'!$H$9:$H$250,LEFT('FY Q&amp;V 2003-04 to Now'!W$7,4),'Petroleum - Q&amp;V1'!$I$9:$I$250,3)+
SUMIFS('Petroleum - Q&amp;V1'!$C$9:$C$250,'Petroleum - Q&amp;V1'!$H$9:$H$250,LEFT('FY Q&amp;V 2003-04 to Now'!W$7,4),'Petroleum - Q&amp;V1'!$I$9:$I$250,4)+
SUMIFS('Petroleum - Q&amp;V1'!$C$9:$C$250,'Petroleum - Q&amp;V1'!$H$9:$H$250,CONCATENATE("20",RIGHT('FY Q&amp;V 2003-04 to Now'!W$7,2)),'Petroleum - Q&amp;V1'!$I$9:$I$250,1)+
SUMIFS('Petroleum - Q&amp;V1'!$C$9:$C$250,'Petroleum - Q&amp;V1'!$H$9:$H$250,CONCATENATE("20",RIGHT('FY Q&amp;V 2003-04 to Now'!W$7,2)),'Petroleum - Q&amp;V1'!$I$9:$I$250,2))*1000000</f>
        <v>5385519963.8664455</v>
      </c>
      <c r="Y76" s="1512">
        <f>(SUMIFS('Petroleum - Q&amp;V1'!$B$9:$B$250,'Petroleum - Q&amp;V1'!$H$9:$H$250,LEFT('FY Q&amp;V 2003-04 to Now'!Y$7,4),'Petroleum - Q&amp;V1'!$I$9:$I$250,3)+
SUMIFS('Petroleum - Q&amp;V1'!$B$9:$B$250,'Petroleum - Q&amp;V1'!$H$9:$H$250,LEFT('FY Q&amp;V 2003-04 to Now'!Y$7,4),'Petroleum - Q&amp;V1'!$I$9:$I$250,4)+
SUMIFS('Petroleum - Q&amp;V1'!$B$9:$B$250,'Petroleum - Q&amp;V1'!$H$9:$H$250,CONCATENATE("20",RIGHT('FY Q&amp;V 2003-04 to Now'!Y$7,2)),'Petroleum - Q&amp;V1'!$I$9:$I$250,1)+
SUMIFS('Petroleum - Q&amp;V1'!$B$9:$B$250,'Petroleum - Q&amp;V1'!$H$9:$H$250,CONCATENATE("20",RIGHT('FY Q&amp;V 2003-04 to Now'!Y$7,2)),'Petroleum - Q&amp;V1'!$I$9:$I$250,2))*1000000</f>
        <v>7952477.9160000002</v>
      </c>
      <c r="Z76" s="1512">
        <f>(SUMIFS('Petroleum - Q&amp;V1'!$C$9:$C$250,'Petroleum - Q&amp;V1'!$H$9:$H$250,LEFT('FY Q&amp;V 2003-04 to Now'!Y$7,4),'Petroleum - Q&amp;V1'!$I$9:$I$250,3)+
SUMIFS('Petroleum - Q&amp;V1'!$C$9:$C$250,'Petroleum - Q&amp;V1'!$H$9:$H$250,LEFT('FY Q&amp;V 2003-04 to Now'!Y$7,4),'Petroleum - Q&amp;V1'!$I$9:$I$250,4)+
SUMIFS('Petroleum - Q&amp;V1'!$C$9:$C$250,'Petroleum - Q&amp;V1'!$H$9:$H$250,CONCATENATE("20",RIGHT('FY Q&amp;V 2003-04 to Now'!Y$7,2)),'Petroleum - Q&amp;V1'!$I$9:$I$250,1)+
SUMIFS('Petroleum - Q&amp;V1'!$C$9:$C$250,'Petroleum - Q&amp;V1'!$H$9:$H$250,CONCATENATE("20",RIGHT('FY Q&amp;V 2003-04 to Now'!Y$7,2)),'Petroleum - Q&amp;V1'!$I$9:$I$250,2))*1000000</f>
        <v>4567638160.7099228</v>
      </c>
      <c r="AA76" s="1512">
        <f>(SUMIFS('Petroleum - Q&amp;V1'!$B$9:$B$250,'Petroleum - Q&amp;V1'!$H$9:$H$250,LEFT('FY Q&amp;V 2003-04 to Now'!AA$7,4),'Petroleum - Q&amp;V1'!$I$9:$I$250,3)+
SUMIFS('Petroleum - Q&amp;V1'!$B$9:$B$250,'Petroleum - Q&amp;V1'!$H$9:$H$250,LEFT('FY Q&amp;V 2003-04 to Now'!AA$7,4),'Petroleum - Q&amp;V1'!$I$9:$I$250,4)+
SUMIFS('Petroleum - Q&amp;V1'!$B$9:$B$250,'Petroleum - Q&amp;V1'!$H$9:$H$250,CONCATENATE("20",RIGHT('FY Q&amp;V 2003-04 to Now'!AA$7,2)),'Petroleum - Q&amp;V1'!$I$9:$I$250,1)+
SUMIFS('Petroleum - Q&amp;V1'!$B$9:$B$250,'Petroleum - Q&amp;V1'!$H$9:$H$250,CONCATENATE("20",RIGHT('FY Q&amp;V 2003-04 to Now'!AA$7,2)),'Petroleum - Q&amp;V1'!$I$9:$I$250,2))*1000000</f>
        <v>7685921.9885160001</v>
      </c>
      <c r="AB76" s="1512">
        <f>(SUMIFS('Petroleum - Q&amp;V1'!$C$9:$C$250,'Petroleum - Q&amp;V1'!$H$9:$H$250,LEFT('FY Q&amp;V 2003-04 to Now'!AA$7,4),'Petroleum - Q&amp;V1'!$I$9:$I$250,3)+
SUMIFS('Petroleum - Q&amp;V1'!$C$9:$C$250,'Petroleum - Q&amp;V1'!$H$9:$H$250,LEFT('FY Q&amp;V 2003-04 to Now'!AA$7,4),'Petroleum - Q&amp;V1'!$I$9:$I$250,4)+
SUMIFS('Petroleum - Q&amp;V1'!$C$9:$C$250,'Petroleum - Q&amp;V1'!$H$9:$H$250,CONCATENATE("20",RIGHT('FY Q&amp;V 2003-04 to Now'!AA$7,2)),'Petroleum - Q&amp;V1'!$I$9:$I$250,1)+
SUMIFS('Petroleum - Q&amp;V1'!$C$9:$C$250,'Petroleum - Q&amp;V1'!$H$9:$H$250,CONCATENATE("20",RIGHT('FY Q&amp;V 2003-04 to Now'!AA$7,2)),'Petroleum - Q&amp;V1'!$I$9:$I$250,2))*1000000</f>
        <v>3044532696.2173352</v>
      </c>
      <c r="AC76" s="1512">
        <f>(SUMIFS('Petroleum - Q&amp;V1'!$B$9:$B$250,'Petroleum - Q&amp;V1'!$H$9:$H$250,LEFT('FY Q&amp;V 2003-04 to Now'!AC$7,4),'Petroleum - Q&amp;V1'!$I$9:$I$250,3)+
SUMIFS('Petroleum - Q&amp;V1'!$B$9:$B$250,'Petroleum - Q&amp;V1'!$H$9:$H$250,LEFT('FY Q&amp;V 2003-04 to Now'!AC$7,4),'Petroleum - Q&amp;V1'!$I$9:$I$250,4)+
SUMIFS('Petroleum - Q&amp;V1'!$B$9:$B$250,'Petroleum - Q&amp;V1'!$H$9:$H$250,CONCATENATE("20",RIGHT('FY Q&amp;V 2003-04 to Now'!AC$7,2)),'Petroleum - Q&amp;V1'!$I$9:$I$250,1)+
SUMIFS('Petroleum - Q&amp;V1'!$B$9:$B$250,'Petroleum - Q&amp;V1'!$H$9:$H$250,CONCATENATE("20",RIGHT('FY Q&amp;V 2003-04 to Now'!AC$7,2)),'Petroleum - Q&amp;V1'!$I$9:$I$250,2))*1000000</f>
        <v>5404294.1809121389</v>
      </c>
      <c r="AD76" s="1512">
        <f>(SUMIFS('Petroleum - Q&amp;V1'!$C$9:$C$250,'Petroleum - Q&amp;V1'!$H$9:$H$250,LEFT('FY Q&amp;V 2003-04 to Now'!AC$7,4),'Petroleum - Q&amp;V1'!$I$9:$I$250,3)+
SUMIFS('Petroleum - Q&amp;V1'!$C$9:$C$250,'Petroleum - Q&amp;V1'!$H$9:$H$250,LEFT('FY Q&amp;V 2003-04 to Now'!AC$7,4),'Petroleum - Q&amp;V1'!$I$9:$I$250,4)+
SUMIFS('Petroleum - Q&amp;V1'!$C$9:$C$250,'Petroleum - Q&amp;V1'!$H$9:$H$250,CONCATENATE("20",RIGHT('FY Q&amp;V 2003-04 to Now'!AC$7,2)),'Petroleum - Q&amp;V1'!$I$9:$I$250,1)+
SUMIFS('Petroleum - Q&amp;V1'!$C$9:$C$250,'Petroleum - Q&amp;V1'!$H$9:$H$250,CONCATENATE("20",RIGHT('FY Q&amp;V 2003-04 to Now'!AC$7,2)),'Petroleum - Q&amp;V1'!$I$9:$I$250,2))*1000000</f>
        <v>2128234935.4383104</v>
      </c>
      <c r="AE76" s="1512">
        <f>(SUMIFS('Petroleum - Q&amp;V1'!$B$9:$B$250,'Petroleum - Q&amp;V1'!$H$9:$H$250,LEFT('FY Q&amp;V 2003-04 to Now'!AE$7,4),'Petroleum - Q&amp;V1'!$I$9:$I$250,3)+
SUMIFS('Petroleum - Q&amp;V1'!$B$9:$B$250,'Petroleum - Q&amp;V1'!$H$9:$H$250,LEFT('FY Q&amp;V 2003-04 to Now'!AE$7,4),'Petroleum - Q&amp;V1'!$I$9:$I$250,4)+
SUMIFS('Petroleum - Q&amp;V1'!$B$9:$B$250,'Petroleum - Q&amp;V1'!$H$9:$H$250,CONCATENATE("20",RIGHT('FY Q&amp;V 2003-04 to Now'!AE$7,2)),'Petroleum - Q&amp;V1'!$I$9:$I$250,1)+
SUMIFS('Petroleum - Q&amp;V1'!$B$9:$B$250,'Petroleum - Q&amp;V1'!$H$9:$H$250,CONCATENATE("20",RIGHT('FY Q&amp;V 2003-04 to Now'!AE$7,2)),'Petroleum - Q&amp;V1'!$I$9:$I$250,2))*1000000</f>
        <v>4877411.1944294954</v>
      </c>
      <c r="AF76" s="1512">
        <f>(SUMIFS('Petroleum - Q&amp;V1'!$C$9:$C$250,'Petroleum - Q&amp;V1'!$H$9:$H$250,LEFT('FY Q&amp;V 2003-04 to Now'!AE$7,4),'Petroleum - Q&amp;V1'!$I$9:$I$250,3)+
SUMIFS('Petroleum - Q&amp;V1'!$C$9:$C$250,'Petroleum - Q&amp;V1'!$H$9:$H$250,LEFT('FY Q&amp;V 2003-04 to Now'!AE$7,4),'Petroleum - Q&amp;V1'!$I$9:$I$250,4)+
SUMIFS('Petroleum - Q&amp;V1'!$C$9:$C$250,'Petroleum - Q&amp;V1'!$H$9:$H$250,CONCATENATE("20",RIGHT('FY Q&amp;V 2003-04 to Now'!AE$7,2)),'Petroleum - Q&amp;V1'!$I$9:$I$250,1)+
SUMIFS('Petroleum - Q&amp;V1'!$C$9:$C$250,'Petroleum - Q&amp;V1'!$H$9:$H$250,CONCATENATE("20",RIGHT('FY Q&amp;V 2003-04 to Now'!AE$7,2)),'Petroleum - Q&amp;V1'!$I$9:$I$250,2))*1000000</f>
        <v>2322425588.4325037</v>
      </c>
      <c r="AG76" s="268">
        <f>(SUMIFS('Petroleum - Q&amp;V1'!$B$9:$B$250,'Petroleum - Q&amp;V1'!$H$9:$H$250,LEFT('FY Q&amp;V 2003-04 to Now'!AG$7,4),'Petroleum - Q&amp;V1'!$I$9:$I$250,3)+
SUMIFS('Petroleum - Q&amp;V1'!$B$9:$B$250,'Petroleum - Q&amp;V1'!$H$9:$H$250,LEFT('FY Q&amp;V 2003-04 to Now'!AG$7,4),'Petroleum - Q&amp;V1'!$I$9:$I$250,4)+
SUMIFS('Petroleum - Q&amp;V1'!$B$9:$B$250,'Petroleum - Q&amp;V1'!$H$9:$H$250,CONCATENATE("20",RIGHT('FY Q&amp;V 2003-04 to Now'!AG$7,2)),'Petroleum - Q&amp;V1'!$I$9:$I$250,1)+
SUMIFS('Petroleum - Q&amp;V1'!$B$9:$B$250,'Petroleum - Q&amp;V1'!$H$9:$H$250,CONCATENATE("20",RIGHT('FY Q&amp;V 2003-04 to Now'!AG$7,2)),'Petroleum - Q&amp;V1'!$I$9:$I$250,2))*1000000</f>
        <v>3096521.9101496865</v>
      </c>
      <c r="AH76" s="268">
        <f>(SUMIFS('Petroleum - Q&amp;V1'!$C$9:$C$250,'Petroleum - Q&amp;V1'!$H$9:$H$250,LEFT('FY Q&amp;V 2003-04 to Now'!AG$7,4),'Petroleum - Q&amp;V1'!$I$9:$I$250,3)+
SUMIFS('Petroleum - Q&amp;V1'!$C$9:$C$250,'Petroleum - Q&amp;V1'!$H$9:$H$250,LEFT('FY Q&amp;V 2003-04 to Now'!AG$7,4),'Petroleum - Q&amp;V1'!$I$9:$I$250,4)+
SUMIFS('Petroleum - Q&amp;V1'!$C$9:$C$250,'Petroleum - Q&amp;V1'!$H$9:$H$250,CONCATENATE("20",RIGHT('FY Q&amp;V 2003-04 to Now'!AG$7,2)),'Petroleum - Q&amp;V1'!$I$9:$I$250,1)+
SUMIFS('Petroleum - Q&amp;V1'!$C$9:$C$250,'Petroleum - Q&amp;V1'!$H$9:$H$250,CONCATENATE("20",RIGHT('FY Q&amp;V 2003-04 to Now'!AG$7,2)),'Petroleum - Q&amp;V1'!$I$9:$I$250,2))*1000000</f>
        <v>1840065477.7232366</v>
      </c>
      <c r="AI76" s="268">
        <f>(SUMIFS('Petroleum - Q&amp;V1'!$B$9:$B$250,'Petroleum - Q&amp;V1'!$H$9:$H$250,LEFT('FY Q&amp;V 2003-04 to Now'!AI$7,4),'Petroleum - Q&amp;V1'!$I$9:$I$250,3)+
SUMIFS('Petroleum - Q&amp;V1'!$B$9:$B$250,'Petroleum - Q&amp;V1'!$H$9:$H$250,LEFT('FY Q&amp;V 2003-04 to Now'!AI$7,4),'Petroleum - Q&amp;V1'!$I$9:$I$250,4)+
SUMIFS('Petroleum - Q&amp;V1'!$B$9:$B$250,'Petroleum - Q&amp;V1'!$H$9:$H$250,CONCATENATE("20",RIGHT('FY Q&amp;V 2003-04 to Now'!AI$7,2)),'Petroleum - Q&amp;V1'!$I$9:$I$250,1)+
SUMIFS('Petroleum - Q&amp;V1'!$B$9:$B$250,'Petroleum - Q&amp;V1'!$H$9:$H$250,CONCATENATE("20",RIGHT('FY Q&amp;V 2003-04 to Now'!AI$7,2)),'Petroleum - Q&amp;V1'!$I$9:$I$250,2))*1000000</f>
        <v>5006073.8206409039</v>
      </c>
      <c r="AJ76" s="268">
        <f>(SUMIFS('Petroleum - Q&amp;V1'!$C$9:$C$250,'Petroleum - Q&amp;V1'!$H$9:$H$250,LEFT('FY Q&amp;V 2003-04 to Now'!AI$7,4),'Petroleum - Q&amp;V1'!$I$9:$I$250,3)+
SUMIFS('Petroleum - Q&amp;V1'!$C$9:$C$250,'Petroleum - Q&amp;V1'!$H$9:$H$250,LEFT('FY Q&amp;V 2003-04 to Now'!AI$7,4),'Petroleum - Q&amp;V1'!$I$9:$I$250,4)+
SUMIFS('Petroleum - Q&amp;V1'!$C$9:$C$250,'Petroleum - Q&amp;V1'!$H$9:$H$250,CONCATENATE("20",RIGHT('FY Q&amp;V 2003-04 to Now'!AI$7,2)),'Petroleum - Q&amp;V1'!$I$9:$I$250,1)+
SUMIFS('Petroleum - Q&amp;V1'!$C$9:$C$250,'Petroleum - Q&amp;V1'!$H$9:$H$250,CONCATENATE("20",RIGHT('FY Q&amp;V 2003-04 to Now'!AI$7,2)),'Petroleum - Q&amp;V1'!$I$9:$I$250,2))*1000000</f>
        <v>2680648959.5435796</v>
      </c>
      <c r="AK76" s="268">
        <f>(SUMIFS('Petroleum - Q&amp;V1'!$B$9:$B$250,'Petroleum - Q&amp;V1'!$H$9:$H$250,LEFT('FY Q&amp;V 2003-04 to Now'!AK$7,4),'Petroleum - Q&amp;V1'!$I$9:$I$250,3)+
SUMIFS('Petroleum - Q&amp;V1'!$B$9:$B$250,'Petroleum - Q&amp;V1'!$H$9:$H$250,LEFT('FY Q&amp;V 2003-04 to Now'!AK$7,4),'Petroleum - Q&amp;V1'!$I$9:$I$250,4)+
SUMIFS('Petroleum - Q&amp;V1'!$B$9:$B$250,'Petroleum - Q&amp;V1'!$H$9:$H$250,CONCATENATE("20",RIGHT('FY Q&amp;V 2003-04 to Now'!AK$7,2)),'Petroleum - Q&amp;V1'!$I$9:$I$250,1)+
SUMIFS('Petroleum - Q&amp;V1'!$B$9:$B$250,'Petroleum - Q&amp;V1'!$H$9:$H$250,CONCATENATE("20",RIGHT('FY Q&amp;V 2003-04 to Now'!AK$7,2)),'Petroleum - Q&amp;V1'!$I$9:$I$250,2))*1000000</f>
        <v>4361027.891535637</v>
      </c>
      <c r="AL76" s="268">
        <f>(SUMIFS('Petroleum - Q&amp;V1'!$C$9:$C$250,'Petroleum - Q&amp;V1'!$H$9:$H$250,LEFT('FY Q&amp;V 2003-04 to Now'!AK$7,4),'Petroleum - Q&amp;V1'!$I$9:$I$250,3)+
SUMIFS('Petroleum - Q&amp;V1'!$C$9:$C$250,'Petroleum - Q&amp;V1'!$H$9:$H$250,LEFT('FY Q&amp;V 2003-04 to Now'!AK$7,4),'Petroleum - Q&amp;V1'!$I$9:$I$250,4)+
SUMIFS('Petroleum - Q&amp;V1'!$C$9:$C$250,'Petroleum - Q&amp;V1'!$H$9:$H$250,CONCATENATE("20",RIGHT('FY Q&amp;V 2003-04 to Now'!AK$7,2)),'Petroleum - Q&amp;V1'!$I$9:$I$250,1)+
SUMIFS('Petroleum - Q&amp;V1'!$C$9:$C$250,'Petroleum - Q&amp;V1'!$H$9:$H$250,CONCATENATE("20",RIGHT('FY Q&amp;V 2003-04 to Now'!AK$7,2)),'Petroleum - Q&amp;V1'!$I$9:$I$250,2))*1000000</f>
        <v>1716421257.373775</v>
      </c>
      <c r="AM76" s="1499">
        <f>SUMIF($C$9:AL$9,1,$C76:AL76)</f>
        <v>167828119.07918385</v>
      </c>
      <c r="AN76" s="1512">
        <f>SUMIF($C$9:AL$9,0,$C76:AL76)</f>
        <v>91006199160.305099</v>
      </c>
    </row>
    <row r="77" spans="1:45">
      <c r="A77" s="1581" t="s">
        <v>303</v>
      </c>
      <c r="B77" s="1511" t="s">
        <v>87</v>
      </c>
      <c r="C77" s="1512">
        <f>(SUMIFS('Petroleum - Q&amp;V2'!$C$9:$C$250,'Petroleum - Q&amp;V2'!$L$9:$L$250,LEFT('FY Q&amp;V 2003-04 to Now'!C$7,4),'Petroleum - Q&amp;V2'!$M$9:$M$250,3)+
SUMIFS('Petroleum - Q&amp;V2'!$C$9:$C$250,'Petroleum - Q&amp;V2'!$L$9:$L$250,LEFT('FY Q&amp;V 2003-04 to Now'!C$7,4),'Petroleum - Q&amp;V2'!$M$9:$M$250,4)+
SUMIFS('Petroleum - Q&amp;V2'!$C$9:$C$250,'Petroleum - Q&amp;V2'!$L$9:$L$250,CONCATENATE("20",RIGHT('FY Q&amp;V 2003-04 to Now'!C$7,2)),'Petroleum - Q&amp;V2'!$M$9:$M$250,1)+
SUMIFS('Petroleum - Q&amp;V2'!$C$9:$C$250,'Petroleum - Q&amp;V2'!$L$9:$L$250,CONCATENATE("20",RIGHT('FY Q&amp;V 2003-04 to Now'!C$7,2)),'Petroleum - Q&amp;V2'!$M$9:$M$250,2))</f>
        <v>8220764.5200752914</v>
      </c>
      <c r="D77" s="1512">
        <f>(SUMIFS('Petroleum - Q&amp;V2'!$E$9:$E$250,'Petroleum - Q&amp;V2'!$L$9:$L$250,LEFT('FY Q&amp;V 2003-04 to Now'!C$7,4),'Petroleum - Q&amp;V2'!$M$9:$M$250,3)+
SUMIFS('Petroleum - Q&amp;V2'!$E$9:$E$250,'Petroleum - Q&amp;V2'!$L$9:$L$250,LEFT('FY Q&amp;V 2003-04 to Now'!C$7,4),'Petroleum - Q&amp;V2'!$M$9:$M$250,4)+
SUMIFS('Petroleum - Q&amp;V2'!$E$9:$E$250,'Petroleum - Q&amp;V2'!$L$9:$L$250,CONCATENATE("20",RIGHT('FY Q&amp;V 2003-04 to Now'!C$7,2)),'Petroleum - Q&amp;V2'!$M$9:$M$250,1)+
SUMIFS('Petroleum - Q&amp;V2'!$E$9:$E$250,'Petroleum - Q&amp;V2'!$L$9:$L$250,CONCATENATE("20",RIGHT('FY Q&amp;V 2003-04 to Now'!C$7,2)),'Petroleum - Q&amp;V2'!$M$9:$M$250,2))*1000000</f>
        <v>2775881491.9999995</v>
      </c>
      <c r="E77" s="1512">
        <f>(SUMIFS('Petroleum - Q&amp;V2'!$C$9:$C$250,'Petroleum - Q&amp;V2'!$L$9:$L$250,LEFT('FY Q&amp;V 2003-04 to Now'!E$7,4),'Petroleum - Q&amp;V2'!$M$9:$M$250,3)+
SUMIFS('Petroleum - Q&amp;V2'!$C$9:$C$250,'Petroleum - Q&amp;V2'!$L$9:$L$250,LEFT('FY Q&amp;V 2003-04 to Now'!E$7,4),'Petroleum - Q&amp;V2'!$M$9:$M$250,4)+
SUMIFS('Petroleum - Q&amp;V2'!$C$9:$C$250,'Petroleum - Q&amp;V2'!$L$9:$L$250,CONCATENATE("20",RIGHT('FY Q&amp;V 2003-04 to Now'!E$7,2)),'Petroleum - Q&amp;V2'!$M$9:$M$250,1)+
SUMIFS('Petroleum - Q&amp;V2'!$C$9:$C$250,'Petroleum - Q&amp;V2'!$L$9:$L$250,CONCATENATE("20",RIGHT('FY Q&amp;V 2003-04 to Now'!E$7,2)),'Petroleum - Q&amp;V2'!$M$9:$M$250,2))</f>
        <v>10929023.235157391</v>
      </c>
      <c r="F77" s="1512">
        <f>(SUMIFS('Petroleum - Q&amp;V2'!$E$9:$E$250,'Petroleum - Q&amp;V2'!$L$9:$L$250,LEFT('FY Q&amp;V 2003-04 to Now'!E$7,4),'Petroleum - Q&amp;V2'!$M$9:$M$250,3)+
SUMIFS('Petroleum - Q&amp;V2'!$E$9:$E$250,'Petroleum - Q&amp;V2'!$L$9:$L$250,LEFT('FY Q&amp;V 2003-04 to Now'!E$7,4),'Petroleum - Q&amp;V2'!$M$9:$M$250,4)+
SUMIFS('Petroleum - Q&amp;V2'!$E$9:$E$250,'Petroleum - Q&amp;V2'!$L$9:$L$250,CONCATENATE("20",RIGHT('FY Q&amp;V 2003-04 to Now'!E$7,2)),'Petroleum - Q&amp;V2'!$M$9:$M$250,1)+
SUMIFS('Petroleum - Q&amp;V2'!$E$9:$E$250,'Petroleum - Q&amp;V2'!$L$9:$L$250,CONCATENATE("20",RIGHT('FY Q&amp;V 2003-04 to Now'!E$7,2)),'Petroleum - Q&amp;V2'!$M$9:$M$250,2))*1000000</f>
        <v>3794805393.6174865</v>
      </c>
      <c r="G77" s="1512">
        <f>(SUMIFS('Petroleum - Q&amp;V2'!$C$9:$C$250,'Petroleum - Q&amp;V2'!$L$9:$L$250,LEFT('FY Q&amp;V 2003-04 to Now'!G$7,4),'Petroleum - Q&amp;V2'!$M$9:$M$250,3)+
SUMIFS('Petroleum - Q&amp;V2'!$C$9:$C$250,'Petroleum - Q&amp;V2'!$L$9:$L$250,LEFT('FY Q&amp;V 2003-04 to Now'!G$7,4),'Petroleum - Q&amp;V2'!$M$9:$M$250,4)+
SUMIFS('Petroleum - Q&amp;V2'!$C$9:$C$250,'Petroleum - Q&amp;V2'!$L$9:$L$250,CONCATENATE("20",RIGHT('FY Q&amp;V 2003-04 to Now'!G$7,2)),'Petroleum - Q&amp;V2'!$M$9:$M$250,1)+
SUMIFS('Petroleum - Q&amp;V2'!$C$9:$C$250,'Petroleum - Q&amp;V2'!$L$9:$L$250,CONCATENATE("20",RIGHT('FY Q&amp;V 2003-04 to Now'!G$7,2)),'Petroleum - Q&amp;V2'!$M$9:$M$250,2))</f>
        <v>11679836</v>
      </c>
      <c r="H77" s="1512">
        <f>(SUMIFS('Petroleum - Q&amp;V2'!$E$9:$E$250,'Petroleum - Q&amp;V2'!$L$9:$L$250,LEFT('FY Q&amp;V 2003-04 to Now'!G$7,4),'Petroleum - Q&amp;V2'!$M$9:$M$250,3)+
SUMIFS('Petroleum - Q&amp;V2'!$E$9:$E$250,'Petroleum - Q&amp;V2'!$L$9:$L$250,LEFT('FY Q&amp;V 2003-04 to Now'!G$7,4),'Petroleum - Q&amp;V2'!$M$9:$M$250,4)+
SUMIFS('Petroleum - Q&amp;V2'!$E$9:$E$250,'Petroleum - Q&amp;V2'!$L$9:$L$250,CONCATENATE("20",RIGHT('FY Q&amp;V 2003-04 to Now'!G$7,2)),'Petroleum - Q&amp;V2'!$M$9:$M$250,1)+
SUMIFS('Petroleum - Q&amp;V2'!$E$9:$E$250,'Petroleum - Q&amp;V2'!$L$9:$L$250,CONCATENATE("20",RIGHT('FY Q&amp;V 2003-04 to Now'!G$7,2)),'Petroleum - Q&amp;V2'!$M$9:$M$250,2))*1000000</f>
        <v>4648959532.6157494</v>
      </c>
      <c r="I77" s="1512">
        <f>(SUMIFS('Petroleum - Q&amp;V2'!$C$9:$C$250,'Petroleum - Q&amp;V2'!$L$9:$L$250,LEFT('FY Q&amp;V 2003-04 to Now'!I$7,4),'Petroleum - Q&amp;V2'!$M$9:$M$250,3)+
SUMIFS('Petroleum - Q&amp;V2'!$C$9:$C$250,'Petroleum - Q&amp;V2'!$L$9:$L$250,LEFT('FY Q&amp;V 2003-04 to Now'!I$7,4),'Petroleum - Q&amp;V2'!$M$9:$M$250,4)+
SUMIFS('Petroleum - Q&amp;V2'!$C$9:$C$250,'Petroleum - Q&amp;V2'!$L$9:$L$250,CONCATENATE("20",RIGHT('FY Q&amp;V 2003-04 to Now'!I$7,2)),'Petroleum - Q&amp;V2'!$M$9:$M$250,1)+
SUMIFS('Petroleum - Q&amp;V2'!$C$9:$C$250,'Petroleum - Q&amp;V2'!$L$9:$L$250,CONCATENATE("20",RIGHT('FY Q&amp;V 2003-04 to Now'!I$7,2)),'Petroleum - Q&amp;V2'!$M$9:$M$250,2))</f>
        <v>12211051</v>
      </c>
      <c r="J77" s="1512">
        <f>(SUMIFS('Petroleum - Q&amp;V2'!$E$9:$E$250,'Petroleum - Q&amp;V2'!$L$9:$L$250,LEFT('FY Q&amp;V 2003-04 to Now'!I$7,4),'Petroleum - Q&amp;V2'!$M$9:$M$250,3)+
SUMIFS('Petroleum - Q&amp;V2'!$E$9:$E$250,'Petroleum - Q&amp;V2'!$L$9:$L$250,LEFT('FY Q&amp;V 2003-04 to Now'!I$7,4),'Petroleum - Q&amp;V2'!$M$9:$M$250,4)+
SUMIFS('Petroleum - Q&amp;V2'!$E$9:$E$250,'Petroleum - Q&amp;V2'!$L$9:$L$250,CONCATENATE("20",RIGHT('FY Q&amp;V 2003-04 to Now'!I$7,2)),'Petroleum - Q&amp;V2'!$M$9:$M$250,1)+
SUMIFS('Petroleum - Q&amp;V2'!$E$9:$E$250,'Petroleum - Q&amp;V2'!$L$9:$L$250,CONCATENATE("20",RIGHT('FY Q&amp;V 2003-04 to Now'!I$7,2)),'Petroleum - Q&amp;V2'!$M$9:$M$250,2))*1000000</f>
        <v>4434359354.079917</v>
      </c>
      <c r="K77" s="1512">
        <f>(SUMIFS('Petroleum - Q&amp;V2'!$C$9:$C$250,'Petroleum - Q&amp;V2'!$L$9:$L$250,LEFT('FY Q&amp;V 2003-04 to Now'!K$7,4),'Petroleum - Q&amp;V2'!$M$9:$M$250,3)+
SUMIFS('Petroleum - Q&amp;V2'!$C$9:$C$250,'Petroleum - Q&amp;V2'!$L$9:$L$250,LEFT('FY Q&amp;V 2003-04 to Now'!K$7,4),'Petroleum - Q&amp;V2'!$M$9:$M$250,4)+
SUMIFS('Petroleum - Q&amp;V2'!$C$9:$C$250,'Petroleum - Q&amp;V2'!$L$9:$L$250,CONCATENATE("20",RIGHT('FY Q&amp;V 2003-04 to Now'!K$7,2)),'Petroleum - Q&amp;V2'!$M$9:$M$250,1)+
SUMIFS('Petroleum - Q&amp;V2'!$C$9:$C$250,'Petroleum - Q&amp;V2'!$L$9:$L$250,CONCATENATE("20",RIGHT('FY Q&amp;V 2003-04 to Now'!K$7,2)),'Petroleum - Q&amp;V2'!$M$9:$M$250,2))</f>
        <v>12148060</v>
      </c>
      <c r="L77" s="1512">
        <f>(SUMIFS('Petroleum - Q&amp;V2'!$E$9:$E$250,'Petroleum - Q&amp;V2'!$L$9:$L$250,LEFT('FY Q&amp;V 2003-04 to Now'!K$7,4),'Petroleum - Q&amp;V2'!$M$9:$M$250,3)+
SUMIFS('Petroleum - Q&amp;V2'!$E$9:$E$250,'Petroleum - Q&amp;V2'!$L$9:$L$250,LEFT('FY Q&amp;V 2003-04 to Now'!K$7,4),'Petroleum - Q&amp;V2'!$M$9:$M$250,4)+
SUMIFS('Petroleum - Q&amp;V2'!$E$9:$E$250,'Petroleum - Q&amp;V2'!$L$9:$L$250,CONCATENATE("20",RIGHT('FY Q&amp;V 2003-04 to Now'!K$7,2)),'Petroleum - Q&amp;V2'!$M$9:$M$250,1)+
SUMIFS('Petroleum - Q&amp;V2'!$E$9:$E$250,'Petroleum - Q&amp;V2'!$L$9:$L$250,CONCATENATE("20",RIGHT('FY Q&amp;V 2003-04 to Now'!K$7,2)),'Petroleum - Q&amp;V2'!$M$9:$M$250,2))*1000000</f>
        <v>5219684764.7091255</v>
      </c>
      <c r="M77" s="1512">
        <f>(SUMIFS('Petroleum - Q&amp;V2'!$C$9:$C$250,'Petroleum - Q&amp;V2'!$L$9:$L$250,LEFT('FY Q&amp;V 2003-04 to Now'!M$7,4),'Petroleum - Q&amp;V2'!$M$9:$M$250,3)+
SUMIFS('Petroleum - Q&amp;V2'!$C$9:$C$250,'Petroleum - Q&amp;V2'!$L$9:$L$250,LEFT('FY Q&amp;V 2003-04 to Now'!M$7,4),'Petroleum - Q&amp;V2'!$M$9:$M$250,4)+
SUMIFS('Petroleum - Q&amp;V2'!$C$9:$C$250,'Petroleum - Q&amp;V2'!$L$9:$L$250,CONCATENATE("20",RIGHT('FY Q&amp;V 2003-04 to Now'!M$7,2)),'Petroleum - Q&amp;V2'!$M$9:$M$250,1)+
SUMIFS('Petroleum - Q&amp;V2'!$C$9:$C$250,'Petroleum - Q&amp;V2'!$L$9:$L$250,CONCATENATE("20",RIGHT('FY Q&amp;V 2003-04 to Now'!M$7,2)),'Petroleum - Q&amp;V2'!$M$9:$M$250,2))</f>
        <v>13943724</v>
      </c>
      <c r="N77" s="1512">
        <f>(SUMIFS('Petroleum - Q&amp;V2'!$E$9:$E$250,'Petroleum - Q&amp;V2'!$L$9:$L$250,LEFT('FY Q&amp;V 2003-04 to Now'!M$7,4),'Petroleum - Q&amp;V2'!$M$9:$M$250,3)+
SUMIFS('Petroleum - Q&amp;V2'!$E$9:$E$250,'Petroleum - Q&amp;V2'!$L$9:$L$250,LEFT('FY Q&amp;V 2003-04 to Now'!M$7,4),'Petroleum - Q&amp;V2'!$M$9:$M$250,4)+
SUMIFS('Petroleum - Q&amp;V2'!$E$9:$E$250,'Petroleum - Q&amp;V2'!$L$9:$L$250,CONCATENATE("20",RIGHT('FY Q&amp;V 2003-04 to Now'!M$7,2)),'Petroleum - Q&amp;V2'!$M$9:$M$250,1)+
SUMIFS('Petroleum - Q&amp;V2'!$E$9:$E$250,'Petroleum - Q&amp;V2'!$L$9:$L$250,CONCATENATE("20",RIGHT('FY Q&amp;V 2003-04 to Now'!M$7,2)),'Petroleum - Q&amp;V2'!$M$9:$M$250,2))*1000000</f>
        <v>8517503874.1467543</v>
      </c>
      <c r="O77" s="1512">
        <f>(SUMIFS('Petroleum - Q&amp;V2'!$C$9:$C$250,'Petroleum - Q&amp;V2'!$L$9:$L$250,LEFT('FY Q&amp;V 2003-04 to Now'!O$7,4),'Petroleum - Q&amp;V2'!$M$9:$M$250,3)+
SUMIFS('Petroleum - Q&amp;V2'!$C$9:$C$250,'Petroleum - Q&amp;V2'!$L$9:$L$250,LEFT('FY Q&amp;V 2003-04 to Now'!O$7,4),'Petroleum - Q&amp;V2'!$M$9:$M$250,4)+
SUMIFS('Petroleum - Q&amp;V2'!$C$9:$C$250,'Petroleum - Q&amp;V2'!$L$9:$L$250,CONCATENATE("20",RIGHT('FY Q&amp;V 2003-04 to Now'!O$7,2)),'Petroleum - Q&amp;V2'!$M$9:$M$250,1)+
SUMIFS('Petroleum - Q&amp;V2'!$C$9:$C$250,'Petroleum - Q&amp;V2'!$L$9:$L$250,CONCATENATE("20",RIGHT('FY Q&amp;V 2003-04 to Now'!O$7,2)),'Petroleum - Q&amp;V2'!$M$9:$M$250,2))</f>
        <v>15717041</v>
      </c>
      <c r="P77" s="1512">
        <f>(SUMIFS('Petroleum - Q&amp;V2'!$E$9:$E$250,'Petroleum - Q&amp;V2'!$L$9:$L$250,LEFT('FY Q&amp;V 2003-04 to Now'!O$7,4),'Petroleum - Q&amp;V2'!$M$9:$M$250,3)+
SUMIFS('Petroleum - Q&amp;V2'!$E$9:$E$250,'Petroleum - Q&amp;V2'!$L$9:$L$250,LEFT('FY Q&amp;V 2003-04 to Now'!O$7,4),'Petroleum - Q&amp;V2'!$M$9:$M$250,4)+
SUMIFS('Petroleum - Q&amp;V2'!$E$9:$E$250,'Petroleum - Q&amp;V2'!$L$9:$L$250,CONCATENATE("20",RIGHT('FY Q&amp;V 2003-04 to Now'!O$7,2)),'Petroleum - Q&amp;V2'!$M$9:$M$250,1)+
SUMIFS('Petroleum - Q&amp;V2'!$E$9:$E$250,'Petroleum - Q&amp;V2'!$L$9:$L$250,CONCATENATE("20",RIGHT('FY Q&amp;V 2003-04 to Now'!O$7,2)),'Petroleum - Q&amp;V2'!$M$9:$M$250,2))*1000000</f>
        <v>7494248320.3693314</v>
      </c>
      <c r="Q77" s="1512">
        <f>(SUMIFS('Petroleum - Q&amp;V2'!$C$9:$C$250,'Petroleum - Q&amp;V2'!$L$9:$L$250,LEFT('FY Q&amp;V 2003-04 to Now'!Q$7,4),'Petroleum - Q&amp;V2'!$M$9:$M$250,3)+
SUMIFS('Petroleum - Q&amp;V2'!$C$9:$C$250,'Petroleum - Q&amp;V2'!$L$9:$L$250,LEFT('FY Q&amp;V 2003-04 to Now'!Q$7,4),'Petroleum - Q&amp;V2'!$M$9:$M$250,4)+
SUMIFS('Petroleum - Q&amp;V2'!$C$9:$C$250,'Petroleum - Q&amp;V2'!$L$9:$L$250,CONCATENATE("20",RIGHT('FY Q&amp;V 2003-04 to Now'!Q$7,2)),'Petroleum - Q&amp;V2'!$M$9:$M$250,1)+
SUMIFS('Petroleum - Q&amp;V2'!$C$9:$C$250,'Petroleum - Q&amp;V2'!$L$9:$L$250,CONCATENATE("20",RIGHT('FY Q&amp;V 2003-04 to Now'!Q$7,2)),'Petroleum - Q&amp;V2'!$M$9:$M$250,2))</f>
        <v>17290205.198225208</v>
      </c>
      <c r="R77" s="1512">
        <f>(SUMIFS('Petroleum - Q&amp;V2'!$E$9:$E$250,'Petroleum - Q&amp;V2'!$L$9:$L$250,LEFT('FY Q&amp;V 2003-04 to Now'!Q$7,4),'Petroleum - Q&amp;V2'!$M$9:$M$250,3)+
SUMIFS('Petroleum - Q&amp;V2'!$E$9:$E$250,'Petroleum - Q&amp;V2'!$L$9:$L$250,LEFT('FY Q&amp;V 2003-04 to Now'!Q$7,4),'Petroleum - Q&amp;V2'!$M$9:$M$250,4)+
SUMIFS('Petroleum - Q&amp;V2'!$E$9:$E$250,'Petroleum - Q&amp;V2'!$L$9:$L$250,CONCATENATE("20",RIGHT('FY Q&amp;V 2003-04 to Now'!Q$7,2)),'Petroleum - Q&amp;V2'!$M$9:$M$250,1)+
SUMIFS('Petroleum - Q&amp;V2'!$E$9:$E$250,'Petroleum - Q&amp;V2'!$L$9:$L$250,CONCATENATE("20",RIGHT('FY Q&amp;V 2003-04 to Now'!Q$7,2)),'Petroleum - Q&amp;V2'!$M$9:$M$250,2))*1000000</f>
        <v>8328719117.9769068</v>
      </c>
      <c r="S77" s="1512">
        <f>(SUMIFS('Petroleum - Q&amp;V2'!$C$9:$C$250,'Petroleum - Q&amp;V2'!$L$9:$L$250,LEFT('FY Q&amp;V 2003-04 to Now'!S$7,4),'Petroleum - Q&amp;V2'!$M$9:$M$250,3)+
SUMIFS('Petroleum - Q&amp;V2'!$C$9:$C$250,'Petroleum - Q&amp;V2'!$L$9:$L$250,LEFT('FY Q&amp;V 2003-04 to Now'!S$7,4),'Petroleum - Q&amp;V2'!$M$9:$M$250,4)+
SUMIFS('Petroleum - Q&amp;V2'!$C$9:$C$250,'Petroleum - Q&amp;V2'!$L$9:$L$250,CONCATENATE("20",RIGHT('FY Q&amp;V 2003-04 to Now'!S$7,2)),'Petroleum - Q&amp;V2'!$M$9:$M$250,1)+
SUMIFS('Petroleum - Q&amp;V2'!$C$9:$C$250,'Petroleum - Q&amp;V2'!$L$9:$L$250,CONCATENATE("20",RIGHT('FY Q&amp;V 2003-04 to Now'!S$7,2)),'Petroleum - Q&amp;V2'!$M$9:$M$250,2))</f>
        <v>15610569.721008768</v>
      </c>
      <c r="T77" s="1512">
        <f>(SUMIFS('Petroleum - Q&amp;V2'!$E$9:$E$250,'Petroleum - Q&amp;V2'!$L$9:$L$250,LEFT('FY Q&amp;V 2003-04 to Now'!S$7,4),'Petroleum - Q&amp;V2'!$M$9:$M$250,3)+
SUMIFS('Petroleum - Q&amp;V2'!$E$9:$E$250,'Petroleum - Q&amp;V2'!$L$9:$L$250,LEFT('FY Q&amp;V 2003-04 to Now'!S$7,4),'Petroleum - Q&amp;V2'!$M$9:$M$250,4)+
SUMIFS('Petroleum - Q&amp;V2'!$E$9:$E$250,'Petroleum - Q&amp;V2'!$L$9:$L$250,CONCATENATE("20",RIGHT('FY Q&amp;V 2003-04 to Now'!S$7,2)),'Petroleum - Q&amp;V2'!$M$9:$M$250,1)+
SUMIFS('Petroleum - Q&amp;V2'!$E$9:$E$250,'Petroleum - Q&amp;V2'!$L$9:$L$250,CONCATENATE("20",RIGHT('FY Q&amp;V 2003-04 to Now'!S$7,2)),'Petroleum - Q&amp;V2'!$M$9:$M$250,2))*1000000</f>
        <v>9495543132.4315643</v>
      </c>
      <c r="U77" s="1512">
        <f>(SUMIFS('Petroleum - Q&amp;V2'!$C$9:$C$250,'Petroleum - Q&amp;V2'!$L$9:$L$250,LEFT('FY Q&amp;V 2003-04 to Now'!U$7,4),'Petroleum - Q&amp;V2'!$M$9:$M$250,3)+
SUMIFS('Petroleum - Q&amp;V2'!$C$9:$C$250,'Petroleum - Q&amp;V2'!$L$9:$L$250,LEFT('FY Q&amp;V 2003-04 to Now'!U$7,4),'Petroleum - Q&amp;V2'!$M$9:$M$250,4)+
SUMIFS('Petroleum - Q&amp;V2'!$C$9:$C$250,'Petroleum - Q&amp;V2'!$L$9:$L$250,CONCATENATE("20",RIGHT('FY Q&amp;V 2003-04 to Now'!U$7,2)),'Petroleum - Q&amp;V2'!$M$9:$M$250,1)+
SUMIFS('Petroleum - Q&amp;V2'!$C$9:$C$250,'Petroleum - Q&amp;V2'!$L$9:$L$250,CONCATENATE("20",RIGHT('FY Q&amp;V 2003-04 to Now'!U$7,2)),'Petroleum - Q&amp;V2'!$M$9:$M$250,2))</f>
        <v>19804919</v>
      </c>
      <c r="V77" s="1512">
        <f>(SUMIFS('Petroleum - Q&amp;V2'!$E$9:$E$250,'Petroleum - Q&amp;V2'!$L$9:$L$250,LEFT('FY Q&amp;V 2003-04 to Now'!U$7,4),'Petroleum - Q&amp;V2'!$M$9:$M$250,3)+
SUMIFS('Petroleum - Q&amp;V2'!$E$9:$E$250,'Petroleum - Q&amp;V2'!$L$9:$L$250,LEFT('FY Q&amp;V 2003-04 to Now'!U$7,4),'Petroleum - Q&amp;V2'!$M$9:$M$250,4)+
SUMIFS('Petroleum - Q&amp;V2'!$E$9:$E$250,'Petroleum - Q&amp;V2'!$L$9:$L$250,CONCATENATE("20",RIGHT('FY Q&amp;V 2003-04 to Now'!U$7,2)),'Petroleum - Q&amp;V2'!$M$9:$M$250,1)+
SUMIFS('Petroleum - Q&amp;V2'!$E$9:$E$250,'Petroleum - Q&amp;V2'!$L$9:$L$250,CONCATENATE("20",RIGHT('FY Q&amp;V 2003-04 to Now'!U$7,2)),'Petroleum - Q&amp;V2'!$M$9:$M$250,2))*1000000</f>
        <v>12147214397.2318</v>
      </c>
      <c r="W77" s="1512">
        <f>(SUMIFS('Petroleum - Q&amp;V2'!$C$9:$C$250,'Petroleum - Q&amp;V2'!$L$9:$L$250,LEFT('FY Q&amp;V 2003-04 to Now'!W$7,4),'Petroleum - Q&amp;V2'!$M$9:$M$250,3)+
SUMIFS('Petroleum - Q&amp;V2'!$C$9:$C$250,'Petroleum - Q&amp;V2'!$L$9:$L$250,LEFT('FY Q&amp;V 2003-04 to Now'!W$7,4),'Petroleum - Q&amp;V2'!$M$9:$M$250,4)+
SUMIFS('Petroleum - Q&amp;V2'!$C$9:$C$250,'Petroleum - Q&amp;V2'!$L$9:$L$250,CONCATENATE("20",RIGHT('FY Q&amp;V 2003-04 to Now'!W$7,2)),'Petroleum - Q&amp;V2'!$M$9:$M$250,1)+
SUMIFS('Petroleum - Q&amp;V2'!$C$9:$C$250,'Petroleum - Q&amp;V2'!$L$9:$L$250,CONCATENATE("20",RIGHT('FY Q&amp;V 2003-04 to Now'!W$7,2)),'Petroleum - Q&amp;V2'!$M$9:$M$250,2))</f>
        <v>19826065</v>
      </c>
      <c r="X77" s="1512">
        <f>(SUMIFS('Petroleum - Q&amp;V2'!$E$9:$E$250,'Petroleum - Q&amp;V2'!$L$9:$L$250,LEFT('FY Q&amp;V 2003-04 to Now'!W$7,4),'Petroleum - Q&amp;V2'!$M$9:$M$250,3)+
SUMIFS('Petroleum - Q&amp;V2'!$E$9:$E$250,'Petroleum - Q&amp;V2'!$L$9:$L$250,LEFT('FY Q&amp;V 2003-04 to Now'!W$7,4),'Petroleum - Q&amp;V2'!$M$9:$M$250,4)+
SUMIFS('Petroleum - Q&amp;V2'!$E$9:$E$250,'Petroleum - Q&amp;V2'!$L$9:$L$250,CONCATENATE("20",RIGHT('FY Q&amp;V 2003-04 to Now'!W$7,2)),'Petroleum - Q&amp;V2'!$M$9:$M$250,1)+
SUMIFS('Petroleum - Q&amp;V2'!$E$9:$E$250,'Petroleum - Q&amp;V2'!$L$9:$L$250,CONCATENATE("20",RIGHT('FY Q&amp;V 2003-04 to Now'!W$7,2)),'Petroleum - Q&amp;V2'!$M$9:$M$250,2))*1000000</f>
        <v>14651522773.511284</v>
      </c>
      <c r="Y77" s="1512">
        <f>(SUMIFS('Petroleum - Q&amp;V2'!$C$9:$C$250,'Petroleum - Q&amp;V2'!$L$9:$L$250,LEFT('FY Q&amp;V 2003-04 to Now'!Y$7,4),'Petroleum - Q&amp;V2'!$M$9:$M$250,3)+
SUMIFS('Petroleum - Q&amp;V2'!$C$9:$C$250,'Petroleum - Q&amp;V2'!$L$9:$L$250,LEFT('FY Q&amp;V 2003-04 to Now'!Y$7,4),'Petroleum - Q&amp;V2'!$M$9:$M$250,4)+
SUMIFS('Petroleum - Q&amp;V2'!$C$9:$C$250,'Petroleum - Q&amp;V2'!$L$9:$L$250,CONCATENATE("20",RIGHT('FY Q&amp;V 2003-04 to Now'!Y$7,2)),'Petroleum - Q&amp;V2'!$M$9:$M$250,1)+
SUMIFS('Petroleum - Q&amp;V2'!$C$9:$C$250,'Petroleum - Q&amp;V2'!$L$9:$L$250,CONCATENATE("20",RIGHT('FY Q&amp;V 2003-04 to Now'!Y$7,2)),'Petroleum - Q&amp;V2'!$M$9:$M$250,2))</f>
        <v>20447845</v>
      </c>
      <c r="Z77" s="1512">
        <f>(SUMIFS('Petroleum - Q&amp;V2'!$E$9:$E$250,'Petroleum - Q&amp;V2'!$L$9:$L$250,LEFT('FY Q&amp;V 2003-04 to Now'!Y$7,4),'Petroleum - Q&amp;V2'!$M$9:$M$250,3)+
SUMIFS('Petroleum - Q&amp;V2'!$E$9:$E$250,'Petroleum - Q&amp;V2'!$L$9:$L$250,LEFT('FY Q&amp;V 2003-04 to Now'!Y$7,4),'Petroleum - Q&amp;V2'!$M$9:$M$250,4)+
SUMIFS('Petroleum - Q&amp;V2'!$E$9:$E$250,'Petroleum - Q&amp;V2'!$L$9:$L$250,CONCATENATE("20",RIGHT('FY Q&amp;V 2003-04 to Now'!Y$7,2)),'Petroleum - Q&amp;V2'!$M$9:$M$250,1)+
SUMIFS('Petroleum - Q&amp;V2'!$E$9:$E$250,'Petroleum - Q&amp;V2'!$L$9:$L$250,CONCATENATE("20",RIGHT('FY Q&amp;V 2003-04 to Now'!Y$7,2)),'Petroleum - Q&amp;V2'!$M$9:$M$250,2))*1000000</f>
        <v>13817042486.841991</v>
      </c>
      <c r="AA77" s="1512">
        <f>(SUMIFS('Petroleum - Q&amp;V2'!$C$9:$C$250,'Petroleum - Q&amp;V2'!$L$9:$L$250,LEFT('FY Q&amp;V 2003-04 to Now'!AA$7,4),'Petroleum - Q&amp;V2'!$M$9:$M$250,3)+
SUMIFS('Petroleum - Q&amp;V2'!$C$9:$C$250,'Petroleum - Q&amp;V2'!$L$9:$L$250,LEFT('FY Q&amp;V 2003-04 to Now'!AA$7,4),'Petroleum - Q&amp;V2'!$M$9:$M$250,4)+
SUMIFS('Petroleum - Q&amp;V2'!$C$9:$C$250,'Petroleum - Q&amp;V2'!$L$9:$L$250,CONCATENATE("20",RIGHT('FY Q&amp;V 2003-04 to Now'!AA$7,2)),'Petroleum - Q&amp;V2'!$M$9:$M$250,1)+
SUMIFS('Petroleum - Q&amp;V2'!$C$9:$C$250,'Petroleum - Q&amp;V2'!$L$9:$L$250,CONCATENATE("20",RIGHT('FY Q&amp;V 2003-04 to Now'!AA$7,2)),'Petroleum - Q&amp;V2'!$M$9:$M$250,2))</f>
        <v>20955641</v>
      </c>
      <c r="AB77" s="1512">
        <f>(SUMIFS('Petroleum - Q&amp;V2'!$E$9:$E$250,'Petroleum - Q&amp;V2'!$L$9:$L$250,LEFT('FY Q&amp;V 2003-04 to Now'!AA$7,4),'Petroleum - Q&amp;V2'!$M$9:$M$250,3)+
SUMIFS('Petroleum - Q&amp;V2'!$E$9:$E$250,'Petroleum - Q&amp;V2'!$L$9:$L$250,LEFT('FY Q&amp;V 2003-04 to Now'!AA$7,4),'Petroleum - Q&amp;V2'!$M$9:$M$250,4)+
SUMIFS('Petroleum - Q&amp;V2'!$E$9:$E$250,'Petroleum - Q&amp;V2'!$L$9:$L$250,CONCATENATE("20",RIGHT('FY Q&amp;V 2003-04 to Now'!AA$7,2)),'Petroleum - Q&amp;V2'!$M$9:$M$250,1)+
SUMIFS('Petroleum - Q&amp;V2'!$E$9:$E$250,'Petroleum - Q&amp;V2'!$L$9:$L$250,CONCATENATE("20",RIGHT('FY Q&amp;V 2003-04 to Now'!AA$7,2)),'Petroleum - Q&amp;V2'!$M$9:$M$250,2))*1000000</f>
        <v>10764545352.932775</v>
      </c>
      <c r="AC77" s="1512">
        <f>(SUMIFS('Petroleum - Q&amp;V2'!$C$9:$C$250,'Petroleum - Q&amp;V2'!$L$9:$L$250,LEFT('FY Q&amp;V 2003-04 to Now'!AC$7,4),'Petroleum - Q&amp;V2'!$M$9:$M$250,3)+
SUMIFS('Petroleum - Q&amp;V2'!$C$9:$C$250,'Petroleum - Q&amp;V2'!$L$9:$L$250,LEFT('FY Q&amp;V 2003-04 to Now'!AC$7,4),'Petroleum - Q&amp;V2'!$M$9:$M$250,4)+
SUMIFS('Petroleum - Q&amp;V2'!$C$9:$C$250,'Petroleum - Q&amp;V2'!$L$9:$L$250,CONCATENATE("20",RIGHT('FY Q&amp;V 2003-04 to Now'!AC$7,2)),'Petroleum - Q&amp;V2'!$M$9:$M$250,1)+
SUMIFS('Petroleum - Q&amp;V2'!$C$9:$C$250,'Petroleum - Q&amp;V2'!$L$9:$L$250,CONCATENATE("20",RIGHT('FY Q&amp;V 2003-04 to Now'!AC$7,2)),'Petroleum - Q&amp;V2'!$M$9:$M$250,2))</f>
        <v>28685476.682250001</v>
      </c>
      <c r="AD77" s="1512">
        <f>(SUMIFS('Petroleum - Q&amp;V2'!$E$9:$E$250,'Petroleum - Q&amp;V2'!$L$9:$L$250,LEFT('FY Q&amp;V 2003-04 to Now'!AC$7,4),'Petroleum - Q&amp;V2'!$M$9:$M$250,3)+
SUMIFS('Petroleum - Q&amp;V2'!$E$9:$E$250,'Petroleum - Q&amp;V2'!$L$9:$L$250,LEFT('FY Q&amp;V 2003-04 to Now'!AC$7,4),'Petroleum - Q&amp;V2'!$M$9:$M$250,4)+
SUMIFS('Petroleum - Q&amp;V2'!$E$9:$E$250,'Petroleum - Q&amp;V2'!$L$9:$L$250,CONCATENATE("20",RIGHT('FY Q&amp;V 2003-04 to Now'!AC$7,2)),'Petroleum - Q&amp;V2'!$M$9:$M$250,1)+
SUMIFS('Petroleum - Q&amp;V2'!$E$9:$E$250,'Petroleum - Q&amp;V2'!$L$9:$L$250,CONCATENATE("20",RIGHT('FY Q&amp;V 2003-04 to Now'!AC$7,2)),'Petroleum - Q&amp;V2'!$M$9:$M$250,2))*1000000</f>
        <v>12728310038.06987</v>
      </c>
      <c r="AE77" s="1499">
        <f>(SUMIFS('Petroleum - Q&amp;V2'!$C$9:$C$250,'Petroleum - Q&amp;V2'!$L$9:$L$250,LEFT('FY Q&amp;V 2003-04 to Now'!AE$7,4),'Petroleum - Q&amp;V2'!$M$9:$M$250,3)+
SUMIFS('Petroleum - Q&amp;V2'!$C$9:$C$250,'Petroleum - Q&amp;V2'!$L$9:$L$250,LEFT('FY Q&amp;V 2003-04 to Now'!AE$7,4),'Petroleum - Q&amp;V2'!$M$9:$M$250,4)+
SUMIFS('Petroleum - Q&amp;V2'!$C$9:$C$250,'Petroleum - Q&amp;V2'!$L$9:$L$250,CONCATENATE("20",RIGHT('FY Q&amp;V 2003-04 to Now'!AE$7,2)),'Petroleum - Q&amp;V2'!$M$9:$M$250,1)+
SUMIFS('Petroleum - Q&amp;V2'!$C$9:$C$250,'Petroleum - Q&amp;V2'!$L$9:$L$250,CONCATENATE("20",RIGHT('FY Q&amp;V 2003-04 to Now'!AE$7,2)),'Petroleum - Q&amp;V2'!$M$9:$M$250,2))</f>
        <v>37893516.660594463</v>
      </c>
      <c r="AF77" s="1512">
        <f>(SUMIFS('Petroleum - Q&amp;V2'!$E$9:$E$250,'Petroleum - Q&amp;V2'!$L$9:$L$250,LEFT('FY Q&amp;V 2003-04 to Now'!AE$7,4),'Petroleum - Q&amp;V2'!$M$9:$M$250,3)+
SUMIFS('Petroleum - Q&amp;V2'!$E$9:$E$250,'Petroleum - Q&amp;V2'!$L$9:$L$250,LEFT('FY Q&amp;V 2003-04 to Now'!AE$7,4),'Petroleum - Q&amp;V2'!$M$9:$M$250,4)+
SUMIFS('Petroleum - Q&amp;V2'!$E$9:$E$250,'Petroleum - Q&amp;V2'!$L$9:$L$250,CONCATENATE("20",RIGHT('FY Q&amp;V 2003-04 to Now'!AE$7,2)),'Petroleum - Q&amp;V2'!$M$9:$M$250,1)+
SUMIFS('Petroleum - Q&amp;V2'!$E$9:$E$250,'Petroleum - Q&amp;V2'!$L$9:$L$250,CONCATENATE("20",RIGHT('FY Q&amp;V 2003-04 to Now'!AE$7,2)),'Petroleum - Q&amp;V2'!$M$9:$M$250,2))*1000000</f>
        <v>18920841692.784386</v>
      </c>
      <c r="AG77" s="1259">
        <f>(SUMIFS('Petroleum - Q&amp;V2'!$C$9:$C$250,'Petroleum - Q&amp;V2'!$L$9:$L$250,LEFT('FY Q&amp;V 2003-04 to Now'!AG$7,4),'Petroleum - Q&amp;V2'!$M$9:$M$250,3)+
SUMIFS('Petroleum - Q&amp;V2'!$C$9:$C$250,'Petroleum - Q&amp;V2'!$L$9:$L$250,LEFT('FY Q&amp;V 2003-04 to Now'!AG$7,4),'Petroleum - Q&amp;V2'!$M$9:$M$250,4)+
SUMIFS('Petroleum - Q&amp;V2'!$C$9:$C$250,'Petroleum - Q&amp;V2'!$L$9:$L$250,CONCATENATE("20",RIGHT('FY Q&amp;V 2003-04 to Now'!AG$7,2)),'Petroleum - Q&amp;V2'!$M$9:$M$250,1)+
SUMIFS('Petroleum - Q&amp;V2'!$C$9:$C$250,'Petroleum - Q&amp;V2'!$L$9:$L$250,CONCATENATE("20",RIGHT('FY Q&amp;V 2003-04 to Now'!AG$7,2)),'Petroleum - Q&amp;V2'!$M$9:$M$250,2))</f>
        <v>43635291.099991925</v>
      </c>
      <c r="AH77" s="268">
        <f>(SUMIFS('Petroleum - Q&amp;V2'!$E$9:$E$250,'Petroleum - Q&amp;V2'!$L$9:$L$250,LEFT('FY Q&amp;V 2003-04 to Now'!AG$7,4),'Petroleum - Q&amp;V2'!$M$9:$M$250,3)+
SUMIFS('Petroleum - Q&amp;V2'!$E$9:$E$250,'Petroleum - Q&amp;V2'!$L$9:$L$250,LEFT('FY Q&amp;V 2003-04 to Now'!AG$7,4),'Petroleum - Q&amp;V2'!$M$9:$M$250,4)+
SUMIFS('Petroleum - Q&amp;V2'!$E$9:$E$250,'Petroleum - Q&amp;V2'!$L$9:$L$250,CONCATENATE("20",RIGHT('FY Q&amp;V 2003-04 to Now'!AG$7,2)),'Petroleum - Q&amp;V2'!$M$9:$M$250,1)+
SUMIFS('Petroleum - Q&amp;V2'!$E$9:$E$250,'Petroleum - Q&amp;V2'!$L$9:$L$250,CONCATENATE("20",RIGHT('FY Q&amp;V 2003-04 to Now'!AG$7,2)),'Petroleum - Q&amp;V2'!$M$9:$M$250,2))*1000000</f>
        <v>28800073308.003361</v>
      </c>
      <c r="AI77" s="1259">
        <f>(SUMIFS('Petroleum - Q&amp;V2'!$C$9:$C$250,'Petroleum - Q&amp;V2'!$L$9:$L$250,LEFT('FY Q&amp;V 2003-04 to Now'!AI$7,4),'Petroleum - Q&amp;V2'!$M$9:$M$250,3)+
SUMIFS('Petroleum - Q&amp;V2'!$C$9:$C$250,'Petroleum - Q&amp;V2'!$L$9:$L$250,LEFT('FY Q&amp;V 2003-04 to Now'!AI$7,4),'Petroleum - Q&amp;V2'!$M$9:$M$250,4)+
SUMIFS('Petroleum - Q&amp;V2'!$C$9:$C$250,'Petroleum - Q&amp;V2'!$L$9:$L$250,CONCATENATE("20",RIGHT('FY Q&amp;V 2003-04 to Now'!AI$7,2)),'Petroleum - Q&amp;V2'!$M$9:$M$250,1)+
SUMIFS('Petroleum - Q&amp;V2'!$C$9:$C$250,'Petroleum - Q&amp;V2'!$L$9:$L$250,CONCATENATE("20",RIGHT('FY Q&amp;V 2003-04 to Now'!AI$7,2)),'Petroleum - Q&amp;V2'!$M$9:$M$250,2))</f>
        <v>47113044.842457362</v>
      </c>
      <c r="AJ77" s="268">
        <f>(SUMIFS('Petroleum - Q&amp;V2'!$E$9:$E$250,'Petroleum - Q&amp;V2'!$L$9:$L$250,LEFT('FY Q&amp;V 2003-04 to Now'!AI$7,4),'Petroleum - Q&amp;V2'!$M$9:$M$250,3)+
SUMIFS('Petroleum - Q&amp;V2'!$E$9:$E$250,'Petroleum - Q&amp;V2'!$L$9:$L$250,LEFT('FY Q&amp;V 2003-04 to Now'!AI$7,4),'Petroleum - Q&amp;V2'!$M$9:$M$250,4)+
SUMIFS('Petroleum - Q&amp;V2'!$E$9:$E$250,'Petroleum - Q&amp;V2'!$L$9:$L$250,CONCATENATE("20",RIGHT('FY Q&amp;V 2003-04 to Now'!AI$7,2)),'Petroleum - Q&amp;V2'!$M$9:$M$250,1)+
SUMIFS('Petroleum - Q&amp;V2'!$E$9:$E$250,'Petroleum - Q&amp;V2'!$L$9:$L$250,CONCATENATE("20",RIGHT('FY Q&amp;V 2003-04 to Now'!AI$7,2)),'Petroleum - Q&amp;V2'!$M$9:$M$250,2))*1000000</f>
        <v>27047964512.300575</v>
      </c>
      <c r="AK77" s="268">
        <f>(SUMIFS('Petroleum - Q&amp;V2'!$C$9:$C$250,'Petroleum - Q&amp;V2'!$L$9:$L$250,LEFT('FY Q&amp;V 2003-04 to Now'!AK$7,4),'Petroleum - Q&amp;V2'!$M$9:$M$250,3)+
SUMIFS('Petroleum - Q&amp;V2'!$C$9:$C$250,'Petroleum - Q&amp;V2'!$L$9:$L$250,LEFT('FY Q&amp;V 2003-04 to Now'!AK$7,4),'Petroleum - Q&amp;V2'!$M$9:$M$250,4)+
SUMIFS('Petroleum - Q&amp;V2'!$C$9:$C$250,'Petroleum - Q&amp;V2'!$L$9:$L$250,CONCATENATE("20",RIGHT('FY Q&amp;V 2003-04 to Now'!AK$7,2)),'Petroleum - Q&amp;V2'!$M$9:$M$250,1)+
SUMIFS('Petroleum - Q&amp;V2'!$C$9:$C$250,'Petroleum - Q&amp;V2'!$L$9:$L$250,CONCATENATE("20",RIGHT('FY Q&amp;V 2003-04 to Now'!AK$7,2)),'Petroleum - Q&amp;V2'!$M$9:$M$250,2))</f>
        <v>42392686.661688775</v>
      </c>
      <c r="AL77" s="268">
        <f>(SUMIFS('Petroleum - Q&amp;V2'!$E$9:$E$250,'Petroleum - Q&amp;V2'!$L$9:$L$250,LEFT('FY Q&amp;V 2003-04 to Now'!AK$7,4),'Petroleum - Q&amp;V2'!$M$9:$M$250,3)+
SUMIFS('Petroleum - Q&amp;V2'!$E$9:$E$250,'Petroleum - Q&amp;V2'!$L$9:$L$250,LEFT('FY Q&amp;V 2003-04 to Now'!AK$7,4),'Petroleum - Q&amp;V2'!$M$9:$M$250,4)+
SUMIFS('Petroleum - Q&amp;V2'!$E$9:$E$250,'Petroleum - Q&amp;V2'!$L$9:$L$250,CONCATENATE("20",RIGHT('FY Q&amp;V 2003-04 to Now'!AK$7,2)),'Petroleum - Q&amp;V2'!$M$9:$M$250,1)+
SUMIFS('Petroleum - Q&amp;V2'!$E$9:$E$250,'Petroleum - Q&amp;V2'!$L$9:$L$250,CONCATENATE("20",RIGHT('FY Q&amp;V 2003-04 to Now'!AK$7,2)),'Petroleum - Q&amp;V2'!$M$9:$M$250,2))*1000000</f>
        <v>15780495069.759773</v>
      </c>
      <c r="AM77" s="1499">
        <f>SUMIF($C$9:AL$9,1,$C77:AL77)</f>
        <v>398504760.62144923</v>
      </c>
      <c r="AN77" s="1512">
        <f>SUMIF($C$9:AL$9,0,$C77:AL77)</f>
        <v>209367714613.38263</v>
      </c>
    </row>
    <row r="78" spans="1:45">
      <c r="A78" s="1581" t="s">
        <v>304</v>
      </c>
      <c r="B78" s="1511" t="s">
        <v>87</v>
      </c>
      <c r="C78" s="1512">
        <f>(SUMIFS('Petroleum - Q&amp;V2'!$F$9:$F$250,'Petroleum - Q&amp;V2'!$L$9:$L$250,LEFT('FY Q&amp;V 2003-04 to Now'!C$7,4),'Petroleum - Q&amp;V2'!$M$9:$M$250,3)+
SUMIFS('Petroleum - Q&amp;V2'!$F$9:$F$250,'Petroleum - Q&amp;V2'!$L$9:$L$250,LEFT('FY Q&amp;V 2003-04 to Now'!C$7,4),'Petroleum - Q&amp;V2'!$M$9:$M$250,4)+
SUMIFS('Petroleum - Q&amp;V2'!$F$9:$F$250,'Petroleum - Q&amp;V2'!$L$9:$L$250,CONCATENATE("20",RIGHT('FY Q&amp;V 2003-04 to Now'!C$7,2)),'Petroleum - Q&amp;V2'!$M$9:$M$250,1)+
SUMIFS('Petroleum - Q&amp;V2'!$F$9:$F$250,'Petroleum - Q&amp;V2'!$L$9:$L$250,CONCATENATE("20",RIGHT('FY Q&amp;V 2003-04 to Now'!C$7,2)),'Petroleum - Q&amp;V2'!$M$9:$M$250,2))</f>
        <v>695262</v>
      </c>
      <c r="D78" s="1512">
        <f>(SUMIFS('Petroleum - Q&amp;V2'!$H$9:$H$250,'Petroleum - Q&amp;V2'!$L$9:$L$250,LEFT('FY Q&amp;V 2003-04 to Now'!C$7,4),'Petroleum - Q&amp;V2'!$M$9:$M$250,3)+
SUMIFS('Petroleum - Q&amp;V2'!$H$9:$H$250,'Petroleum - Q&amp;V2'!$L$9:$L$250,LEFT('FY Q&amp;V 2003-04 to Now'!C$7,4),'Petroleum - Q&amp;V2'!$M$9:$M$250,4)+
SUMIFS('Petroleum - Q&amp;V2'!$H$9:$H$250,'Petroleum - Q&amp;V2'!$L$9:$L$250,CONCATENATE("20",RIGHT('FY Q&amp;V 2003-04 to Now'!C$7,2)),'Petroleum - Q&amp;V2'!$M$9:$M$250,1)+
SUMIFS('Petroleum - Q&amp;V2'!$H$9:$H$250,'Petroleum - Q&amp;V2'!$L$9:$L$250,CONCATENATE("20",RIGHT('FY Q&amp;V 2003-04 to Now'!C$7,2)),'Petroleum - Q&amp;V2'!$M$9:$M$250,2))*1000000</f>
        <v>282150682</v>
      </c>
      <c r="E78" s="1512">
        <f>(SUMIFS('Petroleum - Q&amp;V2'!$F$9:$F$250,'Petroleum - Q&amp;V2'!$L$9:$L$250,LEFT('FY Q&amp;V 2003-04 to Now'!E$7,4),'Petroleum - Q&amp;V2'!$M$9:$M$250,3)+
SUMIFS('Petroleum - Q&amp;V2'!$F$9:$F$250,'Petroleum - Q&amp;V2'!$L$9:$L$250,LEFT('FY Q&amp;V 2003-04 to Now'!E$7,4),'Petroleum - Q&amp;V2'!$M$9:$M$250,4)+
SUMIFS('Petroleum - Q&amp;V2'!$F$9:$F$250,'Petroleum - Q&amp;V2'!$L$9:$L$250,CONCATENATE("20",RIGHT('FY Q&amp;V 2003-04 to Now'!E$7,2)),'Petroleum - Q&amp;V2'!$M$9:$M$250,1)+
SUMIFS('Petroleum - Q&amp;V2'!$F$9:$F$250,'Petroleum - Q&amp;V2'!$L$9:$L$250,CONCATENATE("20",RIGHT('FY Q&amp;V 2003-04 to Now'!E$7,2)),'Petroleum - Q&amp;V2'!$M$9:$M$250,2))</f>
        <v>764186</v>
      </c>
      <c r="F78" s="1512">
        <f>(SUMIFS('Petroleum - Q&amp;V2'!$H$9:$H$250,'Petroleum - Q&amp;V2'!$L$9:$L$250,LEFT('FY Q&amp;V 2003-04 to Now'!E$7,4),'Petroleum - Q&amp;V2'!$M$9:$M$250,3)+
SUMIFS('Petroleum - Q&amp;V2'!$H$9:$H$250,'Petroleum - Q&amp;V2'!$L$9:$L$250,LEFT('FY Q&amp;V 2003-04 to Now'!E$7,4),'Petroleum - Q&amp;V2'!$M$9:$M$250,4)+
SUMIFS('Petroleum - Q&amp;V2'!$H$9:$H$250,'Petroleum - Q&amp;V2'!$L$9:$L$250,CONCATENATE("20",RIGHT('FY Q&amp;V 2003-04 to Now'!E$7,2)),'Petroleum - Q&amp;V2'!$M$9:$M$250,1)+
SUMIFS('Petroleum - Q&amp;V2'!$H$9:$H$250,'Petroleum - Q&amp;V2'!$L$9:$L$250,CONCATENATE("20",RIGHT('FY Q&amp;V 2003-04 to Now'!E$7,2)),'Petroleum - Q&amp;V2'!$M$9:$M$250,2))*1000000</f>
        <v>403501753.31283003</v>
      </c>
      <c r="G78" s="1512">
        <f>(SUMIFS('Petroleum - Q&amp;V2'!$F$9:$F$250,'Petroleum - Q&amp;V2'!$L$9:$L$250,LEFT('FY Q&amp;V 2003-04 to Now'!G$7,4),'Petroleum - Q&amp;V2'!$M$9:$M$250,3)+
SUMIFS('Petroleum - Q&amp;V2'!$F$9:$F$250,'Petroleum - Q&amp;V2'!$L$9:$L$250,LEFT('FY Q&amp;V 2003-04 to Now'!G$7,4),'Petroleum - Q&amp;V2'!$M$9:$M$250,4)+
SUMIFS('Petroleum - Q&amp;V2'!$F$9:$F$250,'Petroleum - Q&amp;V2'!$L$9:$L$250,CONCATENATE("20",RIGHT('FY Q&amp;V 2003-04 to Now'!G$7,2)),'Petroleum - Q&amp;V2'!$M$9:$M$250,1)+
SUMIFS('Petroleum - Q&amp;V2'!$F$9:$F$250,'Petroleum - Q&amp;V2'!$L$9:$L$250,CONCATENATE("20",RIGHT('FY Q&amp;V 2003-04 to Now'!G$7,2)),'Petroleum - Q&amp;V2'!$M$9:$M$250,2))</f>
        <v>871983</v>
      </c>
      <c r="H78" s="1512">
        <f>(SUMIFS('Petroleum - Q&amp;V2'!$H$9:$H$250,'Petroleum - Q&amp;V2'!$L$9:$L$250,LEFT('FY Q&amp;V 2003-04 to Now'!G$7,4),'Petroleum - Q&amp;V2'!$M$9:$M$250,3)+
SUMIFS('Petroleum - Q&amp;V2'!$H$9:$H$250,'Petroleum - Q&amp;V2'!$L$9:$L$250,LEFT('FY Q&amp;V 2003-04 to Now'!G$7,4),'Petroleum - Q&amp;V2'!$M$9:$M$250,4)+
SUMIFS('Petroleum - Q&amp;V2'!$H$9:$H$250,'Petroleum - Q&amp;V2'!$L$9:$L$250,CONCATENATE("20",RIGHT('FY Q&amp;V 2003-04 to Now'!G$7,2)),'Petroleum - Q&amp;V2'!$M$9:$M$250,1)+
SUMIFS('Petroleum - Q&amp;V2'!$H$9:$H$250,'Petroleum - Q&amp;V2'!$L$9:$L$250,CONCATENATE("20",RIGHT('FY Q&amp;V 2003-04 to Now'!G$7,2)),'Petroleum - Q&amp;V2'!$M$9:$M$250,2))*1000000</f>
        <v>654423834.39349914</v>
      </c>
      <c r="I78" s="1512">
        <f>(SUMIFS('Petroleum - Q&amp;V2'!$F$9:$F$250,'Petroleum - Q&amp;V2'!$L$9:$L$250,LEFT('FY Q&amp;V 2003-04 to Now'!I$7,4),'Petroleum - Q&amp;V2'!$M$9:$M$250,3)+
SUMIFS('Petroleum - Q&amp;V2'!$F$9:$F$250,'Petroleum - Q&amp;V2'!$L$9:$L$250,LEFT('FY Q&amp;V 2003-04 to Now'!I$7,4),'Petroleum - Q&amp;V2'!$M$9:$M$250,4)+
SUMIFS('Petroleum - Q&amp;V2'!$F$9:$F$250,'Petroleum - Q&amp;V2'!$L$9:$L$250,CONCATENATE("20",RIGHT('FY Q&amp;V 2003-04 to Now'!I$7,2)),'Petroleum - Q&amp;V2'!$M$9:$M$250,1)+
SUMIFS('Petroleum - Q&amp;V2'!$F$9:$F$250,'Petroleum - Q&amp;V2'!$L$9:$L$250,CONCATENATE("20",RIGHT('FY Q&amp;V 2003-04 to Now'!I$7,2)),'Petroleum - Q&amp;V2'!$M$9:$M$250,2))</f>
        <v>898606</v>
      </c>
      <c r="J78" s="1512">
        <f>(SUMIFS('Petroleum - Q&amp;V2'!$H$9:$H$250,'Petroleum - Q&amp;V2'!$L$9:$L$250,LEFT('FY Q&amp;V 2003-04 to Now'!I$7,4),'Petroleum - Q&amp;V2'!$M$9:$M$250,3)+
SUMIFS('Petroleum - Q&amp;V2'!$H$9:$H$250,'Petroleum - Q&amp;V2'!$L$9:$L$250,LEFT('FY Q&amp;V 2003-04 to Now'!I$7,4),'Petroleum - Q&amp;V2'!$M$9:$M$250,4)+
SUMIFS('Petroleum - Q&amp;V2'!$H$9:$H$250,'Petroleum - Q&amp;V2'!$L$9:$L$250,CONCATENATE("20",RIGHT('FY Q&amp;V 2003-04 to Now'!I$7,2)),'Petroleum - Q&amp;V2'!$M$9:$M$250,1)+
SUMIFS('Petroleum - Q&amp;V2'!$H$9:$H$250,'Petroleum - Q&amp;V2'!$L$9:$L$250,CONCATENATE("20",RIGHT('FY Q&amp;V 2003-04 to Now'!I$7,2)),'Petroleum - Q&amp;V2'!$M$9:$M$250,2))*1000000</f>
        <v>605084727.42592239</v>
      </c>
      <c r="K78" s="1512">
        <f>(SUMIFS('Petroleum - Q&amp;V2'!$F$9:$F$250,'Petroleum - Q&amp;V2'!$L$9:$L$250,LEFT('FY Q&amp;V 2003-04 to Now'!K$7,4),'Petroleum - Q&amp;V2'!$M$9:$M$250,3)+
SUMIFS('Petroleum - Q&amp;V2'!$F$9:$F$250,'Petroleum - Q&amp;V2'!$L$9:$L$250,LEFT('FY Q&amp;V 2003-04 to Now'!K$7,4),'Petroleum - Q&amp;V2'!$M$9:$M$250,4)+
SUMIFS('Petroleum - Q&amp;V2'!$F$9:$F$250,'Petroleum - Q&amp;V2'!$L$9:$L$250,CONCATENATE("20",RIGHT('FY Q&amp;V 2003-04 to Now'!K$7,2)),'Petroleum - Q&amp;V2'!$M$9:$M$250,1)+
SUMIFS('Petroleum - Q&amp;V2'!$F$9:$F$250,'Petroleum - Q&amp;V2'!$L$9:$L$250,CONCATENATE("20",RIGHT('FY Q&amp;V 2003-04 to Now'!K$7,2)),'Petroleum - Q&amp;V2'!$M$9:$M$250,2))</f>
        <v>818390</v>
      </c>
      <c r="L78" s="1512">
        <f>(SUMIFS('Petroleum - Q&amp;V2'!$H$9:$H$250,'Petroleum - Q&amp;V2'!$L$9:$L$250,LEFT('FY Q&amp;V 2003-04 to Now'!K$7,4),'Petroleum - Q&amp;V2'!$M$9:$M$250,3)+
SUMIFS('Petroleum - Q&amp;V2'!$H$9:$H$250,'Petroleum - Q&amp;V2'!$L$9:$L$250,LEFT('FY Q&amp;V 2003-04 to Now'!K$7,4),'Petroleum - Q&amp;V2'!$M$9:$M$250,4)+
SUMIFS('Petroleum - Q&amp;V2'!$H$9:$H$250,'Petroleum - Q&amp;V2'!$L$9:$L$250,CONCATENATE("20",RIGHT('FY Q&amp;V 2003-04 to Now'!K$7,2)),'Petroleum - Q&amp;V2'!$M$9:$M$250,1)+
SUMIFS('Petroleum - Q&amp;V2'!$H$9:$H$250,'Petroleum - Q&amp;V2'!$L$9:$L$250,CONCATENATE("20",RIGHT('FY Q&amp;V 2003-04 to Now'!K$7,2)),'Petroleum - Q&amp;V2'!$M$9:$M$250,2))*1000000</f>
        <v>683352216.99510252</v>
      </c>
      <c r="M78" s="1512">
        <f>(SUMIFS('Petroleum - Q&amp;V2'!$F$9:$F$250,'Petroleum - Q&amp;V2'!$L$9:$L$250,LEFT('FY Q&amp;V 2003-04 to Now'!M$7,4),'Petroleum - Q&amp;V2'!$M$9:$M$250,3)+
SUMIFS('Petroleum - Q&amp;V2'!$F$9:$F$250,'Petroleum - Q&amp;V2'!$L$9:$L$250,LEFT('FY Q&amp;V 2003-04 to Now'!M$7,4),'Petroleum - Q&amp;V2'!$M$9:$M$250,4)+
SUMIFS('Petroleum - Q&amp;V2'!$F$9:$F$250,'Petroleum - Q&amp;V2'!$L$9:$L$250,CONCATENATE("20",RIGHT('FY Q&amp;V 2003-04 to Now'!M$7,2)),'Petroleum - Q&amp;V2'!$M$9:$M$250,1)+
SUMIFS('Petroleum - Q&amp;V2'!$F$9:$F$250,'Petroleum - Q&amp;V2'!$L$9:$L$250,CONCATENATE("20",RIGHT('FY Q&amp;V 2003-04 to Now'!M$7,2)),'Petroleum - Q&amp;V2'!$M$9:$M$250,2))</f>
        <v>866534</v>
      </c>
      <c r="N78" s="1512">
        <f>(SUMIFS('Petroleum - Q&amp;V2'!$H$9:$H$250,'Petroleum - Q&amp;V2'!$L$9:$L$250,LEFT('FY Q&amp;V 2003-04 to Now'!M$7,4),'Petroleum - Q&amp;V2'!$M$9:$M$250,3)+
SUMIFS('Petroleum - Q&amp;V2'!$H$9:$H$250,'Petroleum - Q&amp;V2'!$L$9:$L$250,LEFT('FY Q&amp;V 2003-04 to Now'!M$7,4),'Petroleum - Q&amp;V2'!$M$9:$M$250,4)+
SUMIFS('Petroleum - Q&amp;V2'!$H$9:$H$250,'Petroleum - Q&amp;V2'!$L$9:$L$250,CONCATENATE("20",RIGHT('FY Q&amp;V 2003-04 to Now'!M$7,2)),'Petroleum - Q&amp;V2'!$M$9:$M$250,1)+
SUMIFS('Petroleum - Q&amp;V2'!$H$9:$H$250,'Petroleum - Q&amp;V2'!$L$9:$L$250,CONCATENATE("20",RIGHT('FY Q&amp;V 2003-04 to Now'!M$7,2)),'Petroleum - Q&amp;V2'!$M$9:$M$250,2))*1000000</f>
        <v>750825345.81660795</v>
      </c>
      <c r="O78" s="1512">
        <f>(SUMIFS('Petroleum - Q&amp;V2'!$F$9:$F$250,'Petroleum - Q&amp;V2'!$L$9:$L$250,LEFT('FY Q&amp;V 2003-04 to Now'!O$7,4),'Petroleum - Q&amp;V2'!$M$9:$M$250,3)+
SUMIFS('Petroleum - Q&amp;V2'!$F$9:$F$250,'Petroleum - Q&amp;V2'!$L$9:$L$250,LEFT('FY Q&amp;V 2003-04 to Now'!O$7,4),'Petroleum - Q&amp;V2'!$M$9:$M$250,4)+
SUMIFS('Petroleum - Q&amp;V2'!$F$9:$F$250,'Petroleum - Q&amp;V2'!$L$9:$L$250,CONCATENATE("20",RIGHT('FY Q&amp;V 2003-04 to Now'!O$7,2)),'Petroleum - Q&amp;V2'!$M$9:$M$250,1)+
SUMIFS('Petroleum - Q&amp;V2'!$F$9:$F$250,'Petroleum - Q&amp;V2'!$L$9:$L$250,CONCATENATE("20",RIGHT('FY Q&amp;V 2003-04 to Now'!O$7,2)),'Petroleum - Q&amp;V2'!$M$9:$M$250,2))</f>
        <v>987896</v>
      </c>
      <c r="P78" s="1512">
        <f>(SUMIFS('Petroleum - Q&amp;V2'!$H$9:$H$250,'Petroleum - Q&amp;V2'!$L$9:$L$250,LEFT('FY Q&amp;V 2003-04 to Now'!O$7,4),'Petroleum - Q&amp;V2'!$M$9:$M$250,3)+
SUMIFS('Petroleum - Q&amp;V2'!$H$9:$H$250,'Petroleum - Q&amp;V2'!$L$9:$L$250,LEFT('FY Q&amp;V 2003-04 to Now'!O$7,4),'Petroleum - Q&amp;V2'!$M$9:$M$250,4)+
SUMIFS('Petroleum - Q&amp;V2'!$H$9:$H$250,'Petroleum - Q&amp;V2'!$L$9:$L$250,CONCATENATE("20",RIGHT('FY Q&amp;V 2003-04 to Now'!O$7,2)),'Petroleum - Q&amp;V2'!$M$9:$M$250,1)+
SUMIFS('Petroleum - Q&amp;V2'!$H$9:$H$250,'Petroleum - Q&amp;V2'!$L$9:$L$250,CONCATENATE("20",RIGHT('FY Q&amp;V 2003-04 to Now'!O$7,2)),'Petroleum - Q&amp;V2'!$M$9:$M$250,2))*1000000</f>
        <v>696901992.19554532</v>
      </c>
      <c r="Q78" s="1512">
        <f>(SUMIFS('Petroleum - Q&amp;V2'!$F$9:$F$250,'Petroleum - Q&amp;V2'!$L$9:$L$250,LEFT('FY Q&amp;V 2003-04 to Now'!Q$7,4),'Petroleum - Q&amp;V2'!$M$9:$M$250,3)+
SUMIFS('Petroleum - Q&amp;V2'!$F$9:$F$250,'Petroleum - Q&amp;V2'!$L$9:$L$250,LEFT('FY Q&amp;V 2003-04 to Now'!Q$7,4),'Petroleum - Q&amp;V2'!$M$9:$M$250,4)+
SUMIFS('Petroleum - Q&amp;V2'!$F$9:$F$250,'Petroleum - Q&amp;V2'!$L$9:$L$250,CONCATENATE("20",RIGHT('FY Q&amp;V 2003-04 to Now'!Q$7,2)),'Petroleum - Q&amp;V2'!$M$9:$M$250,1)+
SUMIFS('Petroleum - Q&amp;V2'!$F$9:$F$250,'Petroleum - Q&amp;V2'!$L$9:$L$250,CONCATENATE("20",RIGHT('FY Q&amp;V 2003-04 to Now'!Q$7,2)),'Petroleum - Q&amp;V2'!$M$9:$M$250,2))</f>
        <v>923763</v>
      </c>
      <c r="R78" s="1512">
        <f>(SUMIFS('Petroleum - Q&amp;V2'!$H$9:$H$250,'Petroleum - Q&amp;V2'!$L$9:$L$250,LEFT('FY Q&amp;V 2003-04 to Now'!Q$7,4),'Petroleum - Q&amp;V2'!$M$9:$M$250,3)+
SUMIFS('Petroleum - Q&amp;V2'!$H$9:$H$250,'Petroleum - Q&amp;V2'!$L$9:$L$250,LEFT('FY Q&amp;V 2003-04 to Now'!Q$7,4),'Petroleum - Q&amp;V2'!$M$9:$M$250,4)+
SUMIFS('Petroleum - Q&amp;V2'!$H$9:$H$250,'Petroleum - Q&amp;V2'!$L$9:$L$250,CONCATENATE("20",RIGHT('FY Q&amp;V 2003-04 to Now'!Q$7,2)),'Petroleum - Q&amp;V2'!$M$9:$M$250,1)+
SUMIFS('Petroleum - Q&amp;V2'!$H$9:$H$250,'Petroleum - Q&amp;V2'!$L$9:$L$250,CONCATENATE("20",RIGHT('FY Q&amp;V 2003-04 to Now'!Q$7,2)),'Petroleum - Q&amp;V2'!$M$9:$M$250,2))*1000000</f>
        <v>774197459.00998545</v>
      </c>
      <c r="S78" s="1512">
        <f>(SUMIFS('Petroleum - Q&amp;V2'!$F$9:$F$250,'Petroleum - Q&amp;V2'!$L$9:$L$250,LEFT('FY Q&amp;V 2003-04 to Now'!S$7,4),'Petroleum - Q&amp;V2'!$M$9:$M$250,3)+
SUMIFS('Petroleum - Q&amp;V2'!$F$9:$F$250,'Petroleum - Q&amp;V2'!$L$9:$L$250,LEFT('FY Q&amp;V 2003-04 to Now'!S$7,4),'Petroleum - Q&amp;V2'!$M$9:$M$250,4)+
SUMIFS('Petroleum - Q&amp;V2'!$F$9:$F$250,'Petroleum - Q&amp;V2'!$L$9:$L$250,CONCATENATE("20",RIGHT('FY Q&amp;V 2003-04 to Now'!S$7,2)),'Petroleum - Q&amp;V2'!$M$9:$M$250,1)+
SUMIFS('Petroleum - Q&amp;V2'!$F$9:$F$250,'Petroleum - Q&amp;V2'!$L$9:$L$250,CONCATENATE("20",RIGHT('FY Q&amp;V 2003-04 to Now'!S$7,2)),'Petroleum - Q&amp;V2'!$M$9:$M$250,2))</f>
        <v>835271</v>
      </c>
      <c r="T78" s="1512">
        <f>(SUMIFS('Petroleum - Q&amp;V2'!$H$9:$H$250,'Petroleum - Q&amp;V2'!$L$9:$L$250,LEFT('FY Q&amp;V 2003-04 to Now'!S$7,4),'Petroleum - Q&amp;V2'!$M$9:$M$250,3)+
SUMIFS('Petroleum - Q&amp;V2'!$H$9:$H$250,'Petroleum - Q&amp;V2'!$L$9:$L$250,LEFT('FY Q&amp;V 2003-04 to Now'!S$7,4),'Petroleum - Q&amp;V2'!$M$9:$M$250,4)+
SUMIFS('Petroleum - Q&amp;V2'!$H$9:$H$250,'Petroleum - Q&amp;V2'!$L$9:$L$250,CONCATENATE("20",RIGHT('FY Q&amp;V 2003-04 to Now'!S$7,2)),'Petroleum - Q&amp;V2'!$M$9:$M$250,1)+
SUMIFS('Petroleum - Q&amp;V2'!$H$9:$H$250,'Petroleum - Q&amp;V2'!$L$9:$L$250,CONCATENATE("20",RIGHT('FY Q&amp;V 2003-04 to Now'!S$7,2)),'Petroleum - Q&amp;V2'!$M$9:$M$250,2))*1000000</f>
        <v>734484653.28098297</v>
      </c>
      <c r="U78" s="1512">
        <f>(SUMIFS('Petroleum - Q&amp;V2'!$F$9:$F$250,'Petroleum - Q&amp;V2'!$L$9:$L$250,LEFT('FY Q&amp;V 2003-04 to Now'!U$7,4),'Petroleum - Q&amp;V2'!$M$9:$M$250,3)+
SUMIFS('Petroleum - Q&amp;V2'!$F$9:$F$250,'Petroleum - Q&amp;V2'!$L$9:$L$250,LEFT('FY Q&amp;V 2003-04 to Now'!U$7,4),'Petroleum - Q&amp;V2'!$M$9:$M$250,4)+
SUMIFS('Petroleum - Q&amp;V2'!$F$9:$F$250,'Petroleum - Q&amp;V2'!$L$9:$L$250,CONCATENATE("20",RIGHT('FY Q&amp;V 2003-04 to Now'!U$7,2)),'Petroleum - Q&amp;V2'!$M$9:$M$250,1)+
SUMIFS('Petroleum - Q&amp;V2'!$F$9:$F$250,'Petroleum - Q&amp;V2'!$L$9:$L$250,CONCATENATE("20",RIGHT('FY Q&amp;V 2003-04 to Now'!U$7,2)),'Petroleum - Q&amp;V2'!$M$9:$M$250,2))</f>
        <v>752910</v>
      </c>
      <c r="V78" s="1512">
        <f>(SUMIFS('Petroleum - Q&amp;V2'!$H$9:$H$250,'Petroleum - Q&amp;V2'!$L$9:$L$250,LEFT('FY Q&amp;V 2003-04 to Now'!U$7,4),'Petroleum - Q&amp;V2'!$M$9:$M$250,3)+
SUMIFS('Petroleum - Q&amp;V2'!$H$9:$H$250,'Petroleum - Q&amp;V2'!$L$9:$L$250,LEFT('FY Q&amp;V 2003-04 to Now'!U$7,4),'Petroleum - Q&amp;V2'!$M$9:$M$250,4)+
SUMIFS('Petroleum - Q&amp;V2'!$H$9:$H$250,'Petroleum - Q&amp;V2'!$L$9:$L$250,CONCATENATE("20",RIGHT('FY Q&amp;V 2003-04 to Now'!U$7,2)),'Petroleum - Q&amp;V2'!$M$9:$M$250,1)+
SUMIFS('Petroleum - Q&amp;V2'!$H$9:$H$250,'Petroleum - Q&amp;V2'!$L$9:$L$250,CONCATENATE("20",RIGHT('FY Q&amp;V 2003-04 to Now'!U$7,2)),'Petroleum - Q&amp;V2'!$M$9:$M$250,2))*1000000</f>
        <v>634052634.91956651</v>
      </c>
      <c r="W78" s="1512">
        <f>(SUMIFS('Petroleum - Q&amp;V2'!$F$9:$F$250,'Petroleum - Q&amp;V2'!$L$9:$L$250,LEFT('FY Q&amp;V 2003-04 to Now'!W$7,4),'Petroleum - Q&amp;V2'!$M$9:$M$250,3)+
SUMIFS('Petroleum - Q&amp;V2'!$F$9:$F$250,'Petroleum - Q&amp;V2'!$L$9:$L$250,LEFT('FY Q&amp;V 2003-04 to Now'!W$7,4),'Petroleum - Q&amp;V2'!$M$9:$M$250,4)+
SUMIFS('Petroleum - Q&amp;V2'!$F$9:$F$250,'Petroleum - Q&amp;V2'!$L$9:$L$250,CONCATENATE("20",RIGHT('FY Q&amp;V 2003-04 to Now'!W$7,2)),'Petroleum - Q&amp;V2'!$M$9:$M$250,1)+
SUMIFS('Petroleum - Q&amp;V2'!$F$9:$F$250,'Petroleum - Q&amp;V2'!$L$9:$L$250,CONCATENATE("20",RIGHT('FY Q&amp;V 2003-04 to Now'!W$7,2)),'Petroleum - Q&amp;V2'!$M$9:$M$250,2))</f>
        <v>389533</v>
      </c>
      <c r="X78" s="1512">
        <f>(SUMIFS('Petroleum - Q&amp;V2'!$H$9:$H$250,'Petroleum - Q&amp;V2'!$L$9:$L$250,LEFT('FY Q&amp;V 2003-04 to Now'!W$7,4),'Petroleum - Q&amp;V2'!$M$9:$M$250,3)+
SUMIFS('Petroleum - Q&amp;V2'!$H$9:$H$250,'Petroleum - Q&amp;V2'!$L$9:$L$250,LEFT('FY Q&amp;V 2003-04 to Now'!W$7,4),'Petroleum - Q&amp;V2'!$M$9:$M$250,4)+
SUMIFS('Petroleum - Q&amp;V2'!$H$9:$H$250,'Petroleum - Q&amp;V2'!$L$9:$L$250,CONCATENATE("20",RIGHT('FY Q&amp;V 2003-04 to Now'!W$7,2)),'Petroleum - Q&amp;V2'!$M$9:$M$250,1)+
SUMIFS('Petroleum - Q&amp;V2'!$H$9:$H$250,'Petroleum - Q&amp;V2'!$L$9:$L$250,CONCATENATE("20",RIGHT('FY Q&amp;V 2003-04 to Now'!W$7,2)),'Petroleum - Q&amp;V2'!$M$9:$M$250,2))*1000000</f>
        <v>353541333.75915879</v>
      </c>
      <c r="Y78" s="1512">
        <f>(SUMIFS('Petroleum - Q&amp;V2'!$F$9:$F$250,'Petroleum - Q&amp;V2'!$L$9:$L$250,LEFT('FY Q&amp;V 2003-04 to Now'!Y$7,4),'Petroleum - Q&amp;V2'!$M$9:$M$250,3)+
SUMIFS('Petroleum - Q&amp;V2'!$F$9:$F$250,'Petroleum - Q&amp;V2'!$L$9:$L$250,LEFT('FY Q&amp;V 2003-04 to Now'!Y$7,4),'Petroleum - Q&amp;V2'!$M$9:$M$250,4)+
SUMIFS('Petroleum - Q&amp;V2'!$F$9:$F$250,'Petroleum - Q&amp;V2'!$L$9:$L$250,CONCATENATE("20",RIGHT('FY Q&amp;V 2003-04 to Now'!Y$7,2)),'Petroleum - Q&amp;V2'!$M$9:$M$250,1)+
SUMIFS('Petroleum - Q&amp;V2'!$F$9:$F$250,'Petroleum - Q&amp;V2'!$L$9:$L$250,CONCATENATE("20",RIGHT('FY Q&amp;V 2003-04 to Now'!Y$7,2)),'Petroleum - Q&amp;V2'!$M$9:$M$250,2))</f>
        <v>553055</v>
      </c>
      <c r="Z78" s="1512">
        <f>(SUMIFS('Petroleum - Q&amp;V2'!$H$9:$H$250,'Petroleum - Q&amp;V2'!$L$9:$L$250,LEFT('FY Q&amp;V 2003-04 to Now'!Y$7,4),'Petroleum - Q&amp;V2'!$M$9:$M$250,3)+
SUMIFS('Petroleum - Q&amp;V2'!$H$9:$H$250,'Petroleum - Q&amp;V2'!$L$9:$L$250,LEFT('FY Q&amp;V 2003-04 to Now'!Y$7,4),'Petroleum - Q&amp;V2'!$M$9:$M$250,4)+
SUMIFS('Petroleum - Q&amp;V2'!$H$9:$H$250,'Petroleum - Q&amp;V2'!$L$9:$L$250,CONCATENATE("20",RIGHT('FY Q&amp;V 2003-04 to Now'!Y$7,2)),'Petroleum - Q&amp;V2'!$M$9:$M$250,1)+
SUMIFS('Petroleum - Q&amp;V2'!$H$9:$H$250,'Petroleum - Q&amp;V2'!$L$9:$L$250,CONCATENATE("20",RIGHT('FY Q&amp;V 2003-04 to Now'!Y$7,2)),'Petroleum - Q&amp;V2'!$M$9:$M$250,2))*1000000</f>
        <v>405565515.87200266</v>
      </c>
      <c r="AA78" s="1512">
        <f>(SUMIFS('Petroleum - Q&amp;V2'!$F$9:$F$250,'Petroleum - Q&amp;V2'!$L$9:$L$250,LEFT('FY Q&amp;V 2003-04 to Now'!AA$7,4),'Petroleum - Q&amp;V2'!$M$9:$M$250,3)+
SUMIFS('Petroleum - Q&amp;V2'!$F$9:$F$250,'Petroleum - Q&amp;V2'!$L$9:$L$250,LEFT('FY Q&amp;V 2003-04 to Now'!AA$7,4),'Petroleum - Q&amp;V2'!$M$9:$M$250,4)+
SUMIFS('Petroleum - Q&amp;V2'!$F$9:$F$250,'Petroleum - Q&amp;V2'!$L$9:$L$250,CONCATENATE("20",RIGHT('FY Q&amp;V 2003-04 to Now'!AA$7,2)),'Petroleum - Q&amp;V2'!$M$9:$M$250,1)+
SUMIFS('Petroleum - Q&amp;V2'!$F$9:$F$250,'Petroleum - Q&amp;V2'!$L$9:$L$250,CONCATENATE("20",RIGHT('FY Q&amp;V 2003-04 to Now'!AA$7,2)),'Petroleum - Q&amp;V2'!$M$9:$M$250,2))</f>
        <v>531595</v>
      </c>
      <c r="AB78" s="1512">
        <f>(SUMIFS('Petroleum - Q&amp;V2'!$H$9:$H$250,'Petroleum - Q&amp;V2'!$L$9:$L$250,LEFT('FY Q&amp;V 2003-04 to Now'!AA$7,4),'Petroleum - Q&amp;V2'!$M$9:$M$250,3)+
SUMIFS('Petroleum - Q&amp;V2'!$H$9:$H$250,'Petroleum - Q&amp;V2'!$L$9:$L$250,LEFT('FY Q&amp;V 2003-04 to Now'!AA$7,4),'Petroleum - Q&amp;V2'!$M$9:$M$250,4)+
SUMIFS('Petroleum - Q&amp;V2'!$H$9:$H$250,'Petroleum - Q&amp;V2'!$L$9:$L$250,CONCATENATE("20",RIGHT('FY Q&amp;V 2003-04 to Now'!AA$7,2)),'Petroleum - Q&amp;V2'!$M$9:$M$250,1)+
SUMIFS('Petroleum - Q&amp;V2'!$H$9:$H$250,'Petroleum - Q&amp;V2'!$L$9:$L$250,CONCATENATE("20",RIGHT('FY Q&amp;V 2003-04 to Now'!AA$7,2)),'Petroleum - Q&amp;V2'!$M$9:$M$250,2))*1000000</f>
        <v>249059072.52354428</v>
      </c>
      <c r="AC78" s="1512">
        <f>(SUMIFS('Petroleum - Q&amp;V2'!$F$9:$F$250,'Petroleum - Q&amp;V2'!$L$9:$L$250,LEFT('FY Q&amp;V 2003-04 to Now'!AC$7,4),'Petroleum - Q&amp;V2'!$M$9:$M$250,3)+
SUMIFS('Petroleum - Q&amp;V2'!$F$9:$F$250,'Petroleum - Q&amp;V2'!$L$9:$L$250,LEFT('FY Q&amp;V 2003-04 to Now'!AC$7,4),'Petroleum - Q&amp;V2'!$M$9:$M$250,4)+
SUMIFS('Petroleum - Q&amp;V2'!$F$9:$F$250,'Petroleum - Q&amp;V2'!$L$9:$L$250,CONCATENATE("20",RIGHT('FY Q&amp;V 2003-04 to Now'!AC$7,2)),'Petroleum - Q&amp;V2'!$M$9:$M$250,1)+
SUMIFS('Petroleum - Q&amp;V2'!$F$9:$F$250,'Petroleum - Q&amp;V2'!$L$9:$L$250,CONCATENATE("20",RIGHT('FY Q&amp;V 2003-04 to Now'!AC$7,2)),'Petroleum - Q&amp;V2'!$M$9:$M$250,2))</f>
        <v>527391</v>
      </c>
      <c r="AD78" s="1512">
        <f>(SUMIFS('Petroleum - Q&amp;V2'!$H$9:$H$250,'Petroleum - Q&amp;V2'!$L$9:$L$250,LEFT('FY Q&amp;V 2003-04 to Now'!AC$7,4),'Petroleum - Q&amp;V2'!$M$9:$M$250,3)+
SUMIFS('Petroleum - Q&amp;V2'!$H$9:$H$250,'Petroleum - Q&amp;V2'!$L$9:$L$250,LEFT('FY Q&amp;V 2003-04 to Now'!AC$7,4),'Petroleum - Q&amp;V2'!$M$9:$M$250,4)+
SUMIFS('Petroleum - Q&amp;V2'!$H$9:$H$250,'Petroleum - Q&amp;V2'!$L$9:$L$250,CONCATENATE("20",RIGHT('FY Q&amp;V 2003-04 to Now'!AC$7,2)),'Petroleum - Q&amp;V2'!$M$9:$M$250,1)+
SUMIFS('Petroleum - Q&amp;V2'!$H$9:$H$250,'Petroleum - Q&amp;V2'!$L$9:$L$250,CONCATENATE("20",RIGHT('FY Q&amp;V 2003-04 to Now'!AC$7,2)),'Petroleum - Q&amp;V2'!$M$9:$M$250,2))*1000000</f>
        <v>273097308.20693642</v>
      </c>
      <c r="AE78" s="1499">
        <f>(SUMIFS('Petroleum - Q&amp;V2'!$F$9:$F$250,'Petroleum - Q&amp;V2'!$L$9:$L$250,LEFT('FY Q&amp;V 2003-04 to Now'!AE$7,4),'Petroleum - Q&amp;V2'!$M$9:$M$250,3)+
SUMIFS('Petroleum - Q&amp;V2'!$F$9:$F$250,'Petroleum - Q&amp;V2'!$L$9:$L$250,LEFT('FY Q&amp;V 2003-04 to Now'!AE$7,4),'Petroleum - Q&amp;V2'!$M$9:$M$250,4)+
SUMIFS('Petroleum - Q&amp;V2'!$F$9:$F$250,'Petroleum - Q&amp;V2'!$L$9:$L$250,CONCATENATE("20",RIGHT('FY Q&amp;V 2003-04 to Now'!AE$7,2)),'Petroleum - Q&amp;V2'!$M$9:$M$250,1)+
SUMIFS('Petroleum - Q&amp;V2'!$F$9:$F$250,'Petroleum - Q&amp;V2'!$L$9:$L$250,CONCATENATE("20",RIGHT('FY Q&amp;V 2003-04 to Now'!AE$7,2)),'Petroleum - Q&amp;V2'!$M$9:$M$250,2))</f>
        <v>451242</v>
      </c>
      <c r="AF78" s="1512">
        <f>(SUMIFS('Petroleum - Q&amp;V2'!$H$9:$H$250,'Petroleum - Q&amp;V2'!$L$9:$L$250,LEFT('FY Q&amp;V 2003-04 to Now'!AE$7,4),'Petroleum - Q&amp;V2'!$M$9:$M$250,3)+
SUMIFS('Petroleum - Q&amp;V2'!$H$9:$H$250,'Petroleum - Q&amp;V2'!$L$9:$L$250,LEFT('FY Q&amp;V 2003-04 to Now'!AE$7,4),'Petroleum - Q&amp;V2'!$M$9:$M$250,4)+
SUMIFS('Petroleum - Q&amp;V2'!$H$9:$H$250,'Petroleum - Q&amp;V2'!$L$9:$L$250,CONCATENATE("20",RIGHT('FY Q&amp;V 2003-04 to Now'!AE$7,2)),'Petroleum - Q&amp;V2'!$M$9:$M$250,1)+
SUMIFS('Petroleum - Q&amp;V2'!$H$9:$H$250,'Petroleum - Q&amp;V2'!$L$9:$L$250,CONCATENATE("20",RIGHT('FY Q&amp;V 2003-04 to Now'!AE$7,2)),'Petroleum - Q&amp;V2'!$M$9:$M$250,2))*1000000</f>
        <v>331271410.26354462</v>
      </c>
      <c r="AG78" s="1259">
        <f>(SUMIFS('Petroleum - Q&amp;V2'!$F$9:$F$250,'Petroleum - Q&amp;V2'!$L$9:$L$250,LEFT('FY Q&amp;V 2003-04 to Now'!AG$7,4),'Petroleum - Q&amp;V2'!$M$9:$M$250,3)+
SUMIFS('Petroleum - Q&amp;V2'!$F$9:$F$250,'Petroleum - Q&amp;V2'!$L$9:$L$250,LEFT('FY Q&amp;V 2003-04 to Now'!AG$7,4),'Petroleum - Q&amp;V2'!$M$9:$M$250,4)+
SUMIFS('Petroleum - Q&amp;V2'!$F$9:$F$250,'Petroleum - Q&amp;V2'!$L$9:$L$250,CONCATENATE("20",RIGHT('FY Q&amp;V 2003-04 to Now'!AG$7,2)),'Petroleum - Q&amp;V2'!$M$9:$M$250,1)+
SUMIFS('Petroleum - Q&amp;V2'!$F$9:$F$250,'Petroleum - Q&amp;V2'!$L$9:$L$250,CONCATENATE("20",RIGHT('FY Q&amp;V 2003-04 to Now'!AG$7,2)),'Petroleum - Q&amp;V2'!$M$9:$M$250,2))</f>
        <v>447229</v>
      </c>
      <c r="AH78" s="268">
        <f>(SUMIFS('Petroleum - Q&amp;V2'!$H$9:$H$250,'Petroleum - Q&amp;V2'!$L$9:$L$250,LEFT('FY Q&amp;V 2003-04 to Now'!AG$7,4),'Petroleum - Q&amp;V2'!$M$9:$M$250,3)+
SUMIFS('Petroleum - Q&amp;V2'!$H$9:$H$250,'Petroleum - Q&amp;V2'!$L$9:$L$250,LEFT('FY Q&amp;V 2003-04 to Now'!AG$7,4),'Petroleum - Q&amp;V2'!$M$9:$M$250,4)+
SUMIFS('Petroleum - Q&amp;V2'!$H$9:$H$250,'Petroleum - Q&amp;V2'!$L$9:$L$250,CONCATENATE("20",RIGHT('FY Q&amp;V 2003-04 to Now'!AG$7,2)),'Petroleum - Q&amp;V2'!$M$9:$M$250,1)+
SUMIFS('Petroleum - Q&amp;V2'!$H$9:$H$250,'Petroleum - Q&amp;V2'!$L$9:$L$250,CONCATENATE("20",RIGHT('FY Q&amp;V 2003-04 to Now'!AG$7,2)),'Petroleum - Q&amp;V2'!$M$9:$M$250,2))*1000000</f>
        <v>327635740.29293668</v>
      </c>
      <c r="AI78" s="1259">
        <f>(SUMIFS('Petroleum - Q&amp;V2'!$F$9:$F$250,'Petroleum - Q&amp;V2'!$L$9:$L$250,LEFT('FY Q&amp;V 2003-04 to Now'!AI$7,4),'Petroleum - Q&amp;V2'!$M$9:$M$250,3)+
SUMIFS('Petroleum - Q&amp;V2'!$F$9:$F$250,'Petroleum - Q&amp;V2'!$L$9:$L$250,LEFT('FY Q&amp;V 2003-04 to Now'!AI$7,4),'Petroleum - Q&amp;V2'!$M$9:$M$250,4)+
SUMIFS('Petroleum - Q&amp;V2'!$F$9:$F$250,'Petroleum - Q&amp;V2'!$L$9:$L$250,CONCATENATE("20",RIGHT('FY Q&amp;V 2003-04 to Now'!AI$7,2)),'Petroleum - Q&amp;V2'!$M$9:$M$250,1)+
SUMIFS('Petroleum - Q&amp;V2'!$F$9:$F$250,'Petroleum - Q&amp;V2'!$L$9:$L$250,CONCATENATE("20",RIGHT('FY Q&amp;V 2003-04 to Now'!AI$7,2)),'Petroleum - Q&amp;V2'!$M$9:$M$250,2))</f>
        <v>431562</v>
      </c>
      <c r="AJ78" s="268">
        <f>(SUMIFS('Petroleum - Q&amp;V2'!$H$9:$H$250,'Petroleum - Q&amp;V2'!$L$9:$L$250,LEFT('FY Q&amp;V 2003-04 to Now'!AI$7,4),'Petroleum - Q&amp;V2'!$M$9:$M$250,3)+
SUMIFS('Petroleum - Q&amp;V2'!$H$9:$H$250,'Petroleum - Q&amp;V2'!$L$9:$L$250,LEFT('FY Q&amp;V 2003-04 to Now'!AI$7,4),'Petroleum - Q&amp;V2'!$M$9:$M$250,4)+
SUMIFS('Petroleum - Q&amp;V2'!$H$9:$H$250,'Petroleum - Q&amp;V2'!$L$9:$L$250,CONCATENATE("20",RIGHT('FY Q&amp;V 2003-04 to Now'!AI$7,2)),'Petroleum - Q&amp;V2'!$M$9:$M$250,1)+
SUMIFS('Petroleum - Q&amp;V2'!$H$9:$H$250,'Petroleum - Q&amp;V2'!$L$9:$L$250,CONCATENATE("20",RIGHT('FY Q&amp;V 2003-04 to Now'!AI$7,2)),'Petroleum - Q&amp;V2'!$M$9:$M$250,2))*1000000</f>
        <v>217253672.36001399</v>
      </c>
      <c r="AK78" s="268">
        <f>(SUMIFS('Petroleum - Q&amp;V2'!$F$9:$F$250,'Petroleum - Q&amp;V2'!$L$9:$L$250,LEFT('FY Q&amp;V 2003-04 to Now'!AK$7,4),'Petroleum - Q&amp;V2'!$M$9:$M$250,3)+
SUMIFS('Petroleum - Q&amp;V2'!$F$9:$F$250,'Petroleum - Q&amp;V2'!$L$9:$L$250,LEFT('FY Q&amp;V 2003-04 to Now'!AK$7,4),'Petroleum - Q&amp;V2'!$M$9:$M$250,4)+
SUMIFS('Petroleum - Q&amp;V2'!$F$9:$F$250,'Petroleum - Q&amp;V2'!$L$9:$L$250,CONCATENATE("20",RIGHT('FY Q&amp;V 2003-04 to Now'!AK$7,2)),'Petroleum - Q&amp;V2'!$M$9:$M$250,1)+
SUMIFS('Petroleum - Q&amp;V2'!$F$9:$F$250,'Petroleum - Q&amp;V2'!$L$9:$L$250,CONCATENATE("20",RIGHT('FY Q&amp;V 2003-04 to Now'!AK$7,2)),'Petroleum - Q&amp;V2'!$M$9:$M$250,2))</f>
        <v>379651</v>
      </c>
      <c r="AL78" s="268">
        <f>(SUMIFS('Petroleum - Q&amp;V2'!$H$9:$H$250,'Petroleum - Q&amp;V2'!$L$9:$L$250,LEFT('FY Q&amp;V 2003-04 to Now'!AK$7,4),'Petroleum - Q&amp;V2'!$M$9:$M$250,3)+
SUMIFS('Petroleum - Q&amp;V2'!$H$9:$H$250,'Petroleum - Q&amp;V2'!$L$9:$L$250,LEFT('FY Q&amp;V 2003-04 to Now'!AK$7,4),'Petroleum - Q&amp;V2'!$M$9:$M$250,4)+
SUMIFS('Petroleum - Q&amp;V2'!$H$9:$H$250,'Petroleum - Q&amp;V2'!$L$9:$L$250,CONCATENATE("20",RIGHT('FY Q&amp;V 2003-04 to Now'!AK$7,2)),'Petroleum - Q&amp;V2'!$M$9:$M$250,1)+
SUMIFS('Petroleum - Q&amp;V2'!$H$9:$H$250,'Petroleum - Q&amp;V2'!$L$9:$L$250,CONCATENATE("20",RIGHT('FY Q&amp;V 2003-04 to Now'!AK$7,2)),'Petroleum - Q&amp;V2'!$M$9:$M$250,2))*1000000</f>
        <v>227504064.84030467</v>
      </c>
      <c r="AM78" s="1499">
        <f>SUMIF($C$9:AL$9,1,$C78:AL78)</f>
        <v>12126059</v>
      </c>
      <c r="AN78" s="1512">
        <f>SUMIF($C$9:AL$9,0,$C78:AL78)</f>
        <v>8603903417.4684849</v>
      </c>
    </row>
    <row r="79" spans="1:45">
      <c r="A79" s="1581" t="s">
        <v>124</v>
      </c>
      <c r="B79" s="1527" t="s">
        <v>305</v>
      </c>
      <c r="C79" s="1512">
        <f>(SUMIFS('Petroleum - Q&amp;V2'!$I$9:$I$250,'Petroleum - Q&amp;V2'!$L$9:$L$250,LEFT('FY Q&amp;V 2003-04 to Now'!C$7,4),'Petroleum - Q&amp;V2'!$M$9:$M$250,3)+
SUMIFS('Petroleum - Q&amp;V2'!$I$9:$I$250,'Petroleum - Q&amp;V2'!$L$9:$L$250,LEFT('FY Q&amp;V 2003-04 to Now'!C$7,4),'Petroleum - Q&amp;V2'!$M$9:$M$250,4)+
SUMIFS('Petroleum - Q&amp;V2'!$I$9:$I$250,'Petroleum - Q&amp;V2'!$L$9:$L$250,CONCATENATE("20",RIGHT('FY Q&amp;V 2003-04 to Now'!C$7,2)),'Petroleum - Q&amp;V2'!$M$9:$M$250,1)+
SUMIFS('Petroleum - Q&amp;V2'!$I$9:$I$250,'Petroleum - Q&amp;V2'!$L$9:$L$250,CONCATENATE("20",RIGHT('FY Q&amp;V 2003-04 to Now'!C$7,2)),'Petroleum - Q&amp;V2'!$M$9:$M$250,2))</f>
        <v>8060810</v>
      </c>
      <c r="D79" s="1512">
        <f>(SUMIFS('Petroleum - Q&amp;V2'!$K$9:$K$250,'Petroleum - Q&amp;V2'!$L$9:$L$250,LEFT('FY Q&amp;V 2003-04 to Now'!C$7,4),'Petroleum - Q&amp;V2'!$M$9:$M$250,3)+
SUMIFS('Petroleum - Q&amp;V2'!$K$9:$K$250,'Petroleum - Q&amp;V2'!$L$9:$L$250,LEFT('FY Q&amp;V 2003-04 to Now'!C$7,4),'Petroleum - Q&amp;V2'!$M$9:$M$250,4)+
SUMIFS('Petroleum - Q&amp;V2'!$K$9:$K$250,'Petroleum - Q&amp;V2'!$L$9:$L$250,CONCATENATE("20",RIGHT('FY Q&amp;V 2003-04 to Now'!C$7,2)),'Petroleum - Q&amp;V2'!$M$9:$M$250,1)+
SUMIFS('Petroleum - Q&amp;V2'!$K$9:$K$250,'Petroleum - Q&amp;V2'!$L$9:$L$250,CONCATENATE("20",RIGHT('FY Q&amp;V 2003-04 to Now'!C$7,2)),'Petroleum - Q&amp;V2'!$M$9:$M$250,2))*1000000</f>
        <v>681043656.99999988</v>
      </c>
      <c r="E79" s="1512">
        <f>(SUMIFS('Petroleum - Q&amp;V2'!$I$9:$I$250,'Petroleum - Q&amp;V2'!$L$9:$L$250,LEFT('FY Q&amp;V 2003-04 to Now'!E$7,4),'Petroleum - Q&amp;V2'!$M$9:$M$250,3)+
SUMIFS('Petroleum - Q&amp;V2'!$I$9:$I$250,'Petroleum - Q&amp;V2'!$L$9:$L$250,LEFT('FY Q&amp;V 2003-04 to Now'!E$7,4),'Petroleum - Q&amp;V2'!$M$9:$M$250,4)+
SUMIFS('Petroleum - Q&amp;V2'!$I$9:$I$250,'Petroleum - Q&amp;V2'!$L$9:$L$250,CONCATENATE("20",RIGHT('FY Q&amp;V 2003-04 to Now'!E$7,2)),'Petroleum - Q&amp;V2'!$M$9:$M$250,1)+
SUMIFS('Petroleum - Q&amp;V2'!$I$9:$I$250,'Petroleum - Q&amp;V2'!$L$9:$L$250,CONCATENATE("20",RIGHT('FY Q&amp;V 2003-04 to Now'!E$7,2)),'Petroleum - Q&amp;V2'!$M$9:$M$250,2))</f>
        <v>7642801</v>
      </c>
      <c r="F79" s="1512">
        <f>(SUMIFS('Petroleum - Q&amp;V2'!$K$9:$K$250,'Petroleum - Q&amp;V2'!$L$9:$L$250,LEFT('FY Q&amp;V 2003-04 to Now'!E$7,4),'Petroleum - Q&amp;V2'!$M$9:$M$250,3)+
SUMIFS('Petroleum - Q&amp;V2'!$K$9:$K$250,'Petroleum - Q&amp;V2'!$L$9:$L$250,LEFT('FY Q&amp;V 2003-04 to Now'!E$7,4),'Petroleum - Q&amp;V2'!$M$9:$M$250,4)+
SUMIFS('Petroleum - Q&amp;V2'!$K$9:$K$250,'Petroleum - Q&amp;V2'!$L$9:$L$250,CONCATENATE("20",RIGHT('FY Q&amp;V 2003-04 to Now'!E$7,2)),'Petroleum - Q&amp;V2'!$M$9:$M$250,1)+
SUMIFS('Petroleum - Q&amp;V2'!$K$9:$K$250,'Petroleum - Q&amp;V2'!$L$9:$L$250,CONCATENATE("20",RIGHT('FY Q&amp;V 2003-04 to Now'!E$7,2)),'Petroleum - Q&amp;V2'!$M$9:$M$250,2))*1000000</f>
        <v>678722971</v>
      </c>
      <c r="G79" s="1512">
        <f>(SUMIFS('Petroleum - Q&amp;V2'!$I$9:$I$250,'Petroleum - Q&amp;V2'!$L$9:$L$250,LEFT('FY Q&amp;V 2003-04 to Now'!G$7,4),'Petroleum - Q&amp;V2'!$M$9:$M$250,3)+
SUMIFS('Petroleum - Q&amp;V2'!$I$9:$I$250,'Petroleum - Q&amp;V2'!$L$9:$L$250,LEFT('FY Q&amp;V 2003-04 to Now'!G$7,4),'Petroleum - Q&amp;V2'!$M$9:$M$250,4)+
SUMIFS('Petroleum - Q&amp;V2'!$I$9:$I$250,'Petroleum - Q&amp;V2'!$L$9:$L$250,CONCATENATE("20",RIGHT('FY Q&amp;V 2003-04 to Now'!G$7,2)),'Petroleum - Q&amp;V2'!$M$9:$M$250,1)+
SUMIFS('Petroleum - Q&amp;V2'!$I$9:$I$250,'Petroleum - Q&amp;V2'!$L$9:$L$250,CONCATENATE("20",RIGHT('FY Q&amp;V 2003-04 to Now'!G$7,2)),'Petroleum - Q&amp;V2'!$M$9:$M$250,2))</f>
        <v>7713414</v>
      </c>
      <c r="H79" s="1512">
        <f>(SUMIFS('Petroleum - Q&amp;V2'!$K$9:$K$250,'Petroleum - Q&amp;V2'!$L$9:$L$250,LEFT('FY Q&amp;V 2003-04 to Now'!G$7,4),'Petroleum - Q&amp;V2'!$M$9:$M$250,3)+
SUMIFS('Petroleum - Q&amp;V2'!$K$9:$K$250,'Petroleum - Q&amp;V2'!$L$9:$L$250,LEFT('FY Q&amp;V 2003-04 to Now'!G$7,4),'Petroleum - Q&amp;V2'!$M$9:$M$250,4)+
SUMIFS('Petroleum - Q&amp;V2'!$K$9:$K$250,'Petroleum - Q&amp;V2'!$L$9:$L$250,CONCATENATE("20",RIGHT('FY Q&amp;V 2003-04 to Now'!G$7,2)),'Petroleum - Q&amp;V2'!$M$9:$M$250,1)+
SUMIFS('Petroleum - Q&amp;V2'!$K$9:$K$250,'Petroleum - Q&amp;V2'!$L$9:$L$250,CONCATENATE("20",RIGHT('FY Q&amp;V 2003-04 to Now'!G$7,2)),'Petroleum - Q&amp;V2'!$M$9:$M$250,2))*1000000</f>
        <v>700982811</v>
      </c>
      <c r="I79" s="1512">
        <f>(SUMIFS('Petroleum - Q&amp;V2'!$I$9:$I$250,'Petroleum - Q&amp;V2'!$L$9:$L$250,LEFT('FY Q&amp;V 2003-04 to Now'!I$7,4),'Petroleum - Q&amp;V2'!$M$9:$M$250,3)+
SUMIFS('Petroleum - Q&amp;V2'!$I$9:$I$250,'Petroleum - Q&amp;V2'!$L$9:$L$250,LEFT('FY Q&amp;V 2003-04 to Now'!I$7,4),'Petroleum - Q&amp;V2'!$M$9:$M$250,4)+
SUMIFS('Petroleum - Q&amp;V2'!$I$9:$I$250,'Petroleum - Q&amp;V2'!$L$9:$L$250,CONCATENATE("20",RIGHT('FY Q&amp;V 2003-04 to Now'!I$7,2)),'Petroleum - Q&amp;V2'!$M$9:$M$250,1)+
SUMIFS('Petroleum - Q&amp;V2'!$I$9:$I$250,'Petroleum - Q&amp;V2'!$L$9:$L$250,CONCATENATE("20",RIGHT('FY Q&amp;V 2003-04 to Now'!I$7,2)),'Petroleum - Q&amp;V2'!$M$9:$M$250,2))</f>
        <v>8714911</v>
      </c>
      <c r="J79" s="1512">
        <f>(SUMIFS('Petroleum - Q&amp;V2'!$K$9:$K$250,'Petroleum - Q&amp;V2'!$L$9:$L$250,LEFT('FY Q&amp;V 2003-04 to Now'!I$7,4),'Petroleum - Q&amp;V2'!$M$9:$M$250,3)+
SUMIFS('Petroleum - Q&amp;V2'!$K$9:$K$250,'Petroleum - Q&amp;V2'!$L$9:$L$250,LEFT('FY Q&amp;V 2003-04 to Now'!I$7,4),'Petroleum - Q&amp;V2'!$M$9:$M$250,4)+
SUMIFS('Petroleum - Q&amp;V2'!$K$9:$K$250,'Petroleum - Q&amp;V2'!$L$9:$L$250,CONCATENATE("20",RIGHT('FY Q&amp;V 2003-04 to Now'!I$7,2)),'Petroleum - Q&amp;V2'!$M$9:$M$250,1)+
SUMIFS('Petroleum - Q&amp;V2'!$K$9:$K$250,'Petroleum - Q&amp;V2'!$L$9:$L$250,CONCATENATE("20",RIGHT('FY Q&amp;V 2003-04 to Now'!I$7,2)),'Petroleum - Q&amp;V2'!$M$9:$M$250,2))*1000000</f>
        <v>918022034</v>
      </c>
      <c r="K79" s="1512">
        <f>(SUMIFS('Petroleum - Q&amp;V2'!$I$9:$I$250,'Petroleum - Q&amp;V2'!$L$9:$L$250,LEFT('FY Q&amp;V 2003-04 to Now'!K$7,4),'Petroleum - Q&amp;V2'!$M$9:$M$250,3)+
SUMIFS('Petroleum - Q&amp;V2'!$I$9:$I$250,'Petroleum - Q&amp;V2'!$L$9:$L$250,LEFT('FY Q&amp;V 2003-04 to Now'!K$7,4),'Petroleum - Q&amp;V2'!$M$9:$M$250,4)+
SUMIFS('Petroleum - Q&amp;V2'!$I$9:$I$250,'Petroleum - Q&amp;V2'!$L$9:$L$250,CONCATENATE("20",RIGHT('FY Q&amp;V 2003-04 to Now'!K$7,2)),'Petroleum - Q&amp;V2'!$M$9:$M$250,1)+
SUMIFS('Petroleum - Q&amp;V2'!$I$9:$I$250,'Petroleum - Q&amp;V2'!$L$9:$L$250,CONCATENATE("20",RIGHT('FY Q&amp;V 2003-04 to Now'!K$7,2)),'Petroleum - Q&amp;V2'!$M$9:$M$250,2))</f>
        <v>9159073</v>
      </c>
      <c r="L79" s="1512">
        <f>(SUMIFS('Petroleum - Q&amp;V2'!$K$9:$K$250,'Petroleum - Q&amp;V2'!$L$9:$L$250,LEFT('FY Q&amp;V 2003-04 to Now'!K$7,4),'Petroleum - Q&amp;V2'!$M$9:$M$250,3)+
SUMIFS('Petroleum - Q&amp;V2'!$K$9:$K$250,'Petroleum - Q&amp;V2'!$L$9:$L$250,LEFT('FY Q&amp;V 2003-04 to Now'!K$7,4),'Petroleum - Q&amp;V2'!$M$9:$M$250,4)+
SUMIFS('Petroleum - Q&amp;V2'!$K$9:$K$250,'Petroleum - Q&amp;V2'!$L$9:$L$250,CONCATENATE("20",RIGHT('FY Q&amp;V 2003-04 to Now'!K$7,2)),'Petroleum - Q&amp;V2'!$M$9:$M$250,1)+
SUMIFS('Petroleum - Q&amp;V2'!$K$9:$K$250,'Petroleum - Q&amp;V2'!$L$9:$L$250,CONCATENATE("20",RIGHT('FY Q&amp;V 2003-04 to Now'!K$7,2)),'Petroleum - Q&amp;V2'!$M$9:$M$250,2))*1000000</f>
        <v>1054018227.9999999</v>
      </c>
      <c r="M79" s="1512">
        <f>(SUMIFS('Petroleum - Q&amp;V2'!$I$9:$I$250,'Petroleum - Q&amp;V2'!$L$9:$L$250,LEFT('FY Q&amp;V 2003-04 to Now'!M$7,4),'Petroleum - Q&amp;V2'!$M$9:$M$250,3)+
SUMIFS('Petroleum - Q&amp;V2'!$I$9:$I$250,'Petroleum - Q&amp;V2'!$L$9:$L$250,LEFT('FY Q&amp;V 2003-04 to Now'!M$7,4),'Petroleum - Q&amp;V2'!$M$9:$M$250,4)+
SUMIFS('Petroleum - Q&amp;V2'!$I$9:$I$250,'Petroleum - Q&amp;V2'!$L$9:$L$250,CONCATENATE("20",RIGHT('FY Q&amp;V 2003-04 to Now'!M$7,2)),'Petroleum - Q&amp;V2'!$M$9:$M$250,1)+
SUMIFS('Petroleum - Q&amp;V2'!$I$9:$I$250,'Petroleum - Q&amp;V2'!$L$9:$L$250,CONCATENATE("20",RIGHT('FY Q&amp;V 2003-04 to Now'!M$7,2)),'Petroleum - Q&amp;V2'!$M$9:$M$250,2))</f>
        <v>8598035</v>
      </c>
      <c r="N79" s="1512">
        <f>(SUMIFS('Petroleum - Q&amp;V2'!$K$9:$K$250,'Petroleum - Q&amp;V2'!$L$9:$L$250,LEFT('FY Q&amp;V 2003-04 to Now'!M$7,4),'Petroleum - Q&amp;V2'!$M$9:$M$250,3)+
SUMIFS('Petroleum - Q&amp;V2'!$K$9:$K$250,'Petroleum - Q&amp;V2'!$L$9:$L$250,LEFT('FY Q&amp;V 2003-04 to Now'!M$7,4),'Petroleum - Q&amp;V2'!$M$9:$M$250,4)+
SUMIFS('Petroleum - Q&amp;V2'!$K$9:$K$250,'Petroleum - Q&amp;V2'!$L$9:$L$250,CONCATENATE("20",RIGHT('FY Q&amp;V 2003-04 to Now'!M$7,2)),'Petroleum - Q&amp;V2'!$M$9:$M$250,1)+
SUMIFS('Petroleum - Q&amp;V2'!$K$9:$K$250,'Petroleum - Q&amp;V2'!$L$9:$L$250,CONCATENATE("20",RIGHT('FY Q&amp;V 2003-04 to Now'!M$7,2)),'Petroleum - Q&amp;V2'!$M$9:$M$250,2))*1000000</f>
        <v>1232208987.9999998</v>
      </c>
      <c r="O79" s="1512">
        <f>(SUMIFS('Petroleum - Q&amp;V2'!$I$9:$I$250,'Petroleum - Q&amp;V2'!$L$9:$L$250,LEFT('FY Q&amp;V 2003-04 to Now'!O$7,4),'Petroleum - Q&amp;V2'!$M$9:$M$250,3)+
SUMIFS('Petroleum - Q&amp;V2'!$I$9:$I$250,'Petroleum - Q&amp;V2'!$L$9:$L$250,LEFT('FY Q&amp;V 2003-04 to Now'!O$7,4),'Petroleum - Q&amp;V2'!$M$9:$M$250,4)+
SUMIFS('Petroleum - Q&amp;V2'!$I$9:$I$250,'Petroleum - Q&amp;V2'!$L$9:$L$250,CONCATENATE("20",RIGHT('FY Q&amp;V 2003-04 to Now'!O$7,2)),'Petroleum - Q&amp;V2'!$M$9:$M$250,1)+
SUMIFS('Petroleum - Q&amp;V2'!$I$9:$I$250,'Petroleum - Q&amp;V2'!$L$9:$L$250,CONCATENATE("20",RIGHT('FY Q&amp;V 2003-04 to Now'!O$7,2)),'Petroleum - Q&amp;V2'!$M$9:$M$250,2))</f>
        <v>9357026</v>
      </c>
      <c r="P79" s="1512">
        <f>(SUMIFS('Petroleum - Q&amp;V2'!$K$9:$K$250,'Petroleum - Q&amp;V2'!$L$9:$L$250,LEFT('FY Q&amp;V 2003-04 to Now'!O$7,4),'Petroleum - Q&amp;V2'!$M$9:$M$250,3)+
SUMIFS('Petroleum - Q&amp;V2'!$K$9:$K$250,'Petroleum - Q&amp;V2'!$L$9:$L$250,LEFT('FY Q&amp;V 2003-04 to Now'!O$7,4),'Petroleum - Q&amp;V2'!$M$9:$M$250,4)+
SUMIFS('Petroleum - Q&amp;V2'!$K$9:$K$250,'Petroleum - Q&amp;V2'!$L$9:$L$250,CONCATENATE("20",RIGHT('FY Q&amp;V 2003-04 to Now'!O$7,2)),'Petroleum - Q&amp;V2'!$M$9:$M$250,1)+
SUMIFS('Petroleum - Q&amp;V2'!$K$9:$K$250,'Petroleum - Q&amp;V2'!$L$9:$L$250,CONCATENATE("20",RIGHT('FY Q&amp;V 2003-04 to Now'!O$7,2)),'Petroleum - Q&amp;V2'!$M$9:$M$250,2))*1000000</f>
        <v>1320801777.0000002</v>
      </c>
      <c r="Q79" s="1512">
        <f>(SUMIFS('Petroleum - Q&amp;V2'!$I$9:$I$250,'Petroleum - Q&amp;V2'!$L$9:$L$250,LEFT('FY Q&amp;V 2003-04 to Now'!Q$7,4),'Petroleum - Q&amp;V2'!$M$9:$M$250,3)+
SUMIFS('Petroleum - Q&amp;V2'!$I$9:$I$250,'Petroleum - Q&amp;V2'!$L$9:$L$250,LEFT('FY Q&amp;V 2003-04 to Now'!Q$7,4),'Petroleum - Q&amp;V2'!$M$9:$M$250,4)+
SUMIFS('Petroleum - Q&amp;V2'!$I$9:$I$250,'Petroleum - Q&amp;V2'!$L$9:$L$250,CONCATENATE("20",RIGHT('FY Q&amp;V 2003-04 to Now'!Q$7,2)),'Petroleum - Q&amp;V2'!$M$9:$M$250,1)+
SUMIFS('Petroleum - Q&amp;V2'!$I$9:$I$250,'Petroleum - Q&amp;V2'!$L$9:$L$250,CONCATENATE("20",RIGHT('FY Q&amp;V 2003-04 to Now'!Q$7,2)),'Petroleum - Q&amp;V2'!$M$9:$M$250,2))</f>
        <v>8981495</v>
      </c>
      <c r="R79" s="1512">
        <f>(SUMIFS('Petroleum - Q&amp;V2'!$K$9:$K$250,'Petroleum - Q&amp;V2'!$L$9:$L$250,LEFT('FY Q&amp;V 2003-04 to Now'!Q$7,4),'Petroleum - Q&amp;V2'!$M$9:$M$250,3)+
SUMIFS('Petroleum - Q&amp;V2'!$K$9:$K$250,'Petroleum - Q&amp;V2'!$L$9:$L$250,LEFT('FY Q&amp;V 2003-04 to Now'!Q$7,4),'Petroleum - Q&amp;V2'!$M$9:$M$250,4)+
SUMIFS('Petroleum - Q&amp;V2'!$K$9:$K$250,'Petroleum - Q&amp;V2'!$L$9:$L$250,CONCATENATE("20",RIGHT('FY Q&amp;V 2003-04 to Now'!Q$7,2)),'Petroleum - Q&amp;V2'!$M$9:$M$250,1)+
SUMIFS('Petroleum - Q&amp;V2'!$K$9:$K$250,'Petroleum - Q&amp;V2'!$L$9:$L$250,CONCATENATE("20",RIGHT('FY Q&amp;V 2003-04 to Now'!Q$7,2)),'Petroleum - Q&amp;V2'!$M$9:$M$250,2))*1000000</f>
        <v>1364589067</v>
      </c>
      <c r="S79" s="1512">
        <f>(SUMIFS('Petroleum - Q&amp;V2'!$I$9:$I$250,'Petroleum - Q&amp;V2'!$L$9:$L$250,LEFT('FY Q&amp;V 2003-04 to Now'!S$7,4),'Petroleum - Q&amp;V2'!$M$9:$M$250,3)+
SUMIFS('Petroleum - Q&amp;V2'!$I$9:$I$250,'Petroleum - Q&amp;V2'!$L$9:$L$250,LEFT('FY Q&amp;V 2003-04 to Now'!S$7,4),'Petroleum - Q&amp;V2'!$M$9:$M$250,4)+
SUMIFS('Petroleum - Q&amp;V2'!$I$9:$I$250,'Petroleum - Q&amp;V2'!$L$9:$L$250,CONCATENATE("20",RIGHT('FY Q&amp;V 2003-04 to Now'!S$7,2)),'Petroleum - Q&amp;V2'!$M$9:$M$250,1)+
SUMIFS('Petroleum - Q&amp;V2'!$I$9:$I$250,'Petroleum - Q&amp;V2'!$L$9:$L$250,CONCATENATE("20",RIGHT('FY Q&amp;V 2003-04 to Now'!S$7,2)),'Petroleum - Q&amp;V2'!$M$9:$M$250,2))</f>
        <v>9080655</v>
      </c>
      <c r="T79" s="1512">
        <f>(SUMIFS('Petroleum - Q&amp;V2'!$K$9:$K$250,'Petroleum - Q&amp;V2'!$L$9:$L$250,LEFT('FY Q&amp;V 2003-04 to Now'!S$7,4),'Petroleum - Q&amp;V2'!$M$9:$M$250,3)+
SUMIFS('Petroleum - Q&amp;V2'!$K$9:$K$250,'Petroleum - Q&amp;V2'!$L$9:$L$250,LEFT('FY Q&amp;V 2003-04 to Now'!S$7,4),'Petroleum - Q&amp;V2'!$M$9:$M$250,4)+
SUMIFS('Petroleum - Q&amp;V2'!$K$9:$K$250,'Petroleum - Q&amp;V2'!$L$9:$L$250,CONCATENATE("20",RIGHT('FY Q&amp;V 2003-04 to Now'!S$7,2)),'Petroleum - Q&amp;V2'!$M$9:$M$250,1)+
SUMIFS('Petroleum - Q&amp;V2'!$K$9:$K$250,'Petroleum - Q&amp;V2'!$L$9:$L$250,CONCATENATE("20",RIGHT('FY Q&amp;V 2003-04 to Now'!S$7,2)),'Petroleum - Q&amp;V2'!$M$9:$M$250,2))*1000000</f>
        <v>1449810229</v>
      </c>
      <c r="U79" s="1512">
        <f>(SUMIFS('Petroleum - Q&amp;V2'!$I$9:$I$250,'Petroleum - Q&amp;V2'!$L$9:$L$250,LEFT('FY Q&amp;V 2003-04 to Now'!U$7,4),'Petroleum - Q&amp;V2'!$M$9:$M$250,3)+
SUMIFS('Petroleum - Q&amp;V2'!$I$9:$I$250,'Petroleum - Q&amp;V2'!$L$9:$L$250,LEFT('FY Q&amp;V 2003-04 to Now'!U$7,4),'Petroleum - Q&amp;V2'!$M$9:$M$250,4)+
SUMIFS('Petroleum - Q&amp;V2'!$I$9:$I$250,'Petroleum - Q&amp;V2'!$L$9:$L$250,CONCATENATE("20",RIGHT('FY Q&amp;V 2003-04 to Now'!U$7,2)),'Petroleum - Q&amp;V2'!$M$9:$M$250,1)+
SUMIFS('Petroleum - Q&amp;V2'!$I$9:$I$250,'Petroleum - Q&amp;V2'!$L$9:$L$250,CONCATENATE("20",RIGHT('FY Q&amp;V 2003-04 to Now'!U$7,2)),'Petroleum - Q&amp;V2'!$M$9:$M$250,2))</f>
        <v>8713949</v>
      </c>
      <c r="V79" s="1512">
        <f>(SUMIFS('Petroleum - Q&amp;V2'!$K$9:$K$250,'Petroleum - Q&amp;V2'!$L$9:$L$250,LEFT('FY Q&amp;V 2003-04 to Now'!U$7,4),'Petroleum - Q&amp;V2'!$M$9:$M$250,3)+
SUMIFS('Petroleum - Q&amp;V2'!$K$9:$K$250,'Petroleum - Q&amp;V2'!$L$9:$L$250,LEFT('FY Q&amp;V 2003-04 to Now'!U$7,4),'Petroleum - Q&amp;V2'!$M$9:$M$250,4)+
SUMIFS('Petroleum - Q&amp;V2'!$K$9:$K$250,'Petroleum - Q&amp;V2'!$L$9:$L$250,CONCATENATE("20",RIGHT('FY Q&amp;V 2003-04 to Now'!U$7,2)),'Petroleum - Q&amp;V2'!$M$9:$M$250,1)+
SUMIFS('Petroleum - Q&amp;V2'!$K$9:$K$250,'Petroleum - Q&amp;V2'!$L$9:$L$250,CONCATENATE("20",RIGHT('FY Q&amp;V 2003-04 to Now'!U$7,2)),'Petroleum - Q&amp;V2'!$M$9:$M$250,2))*1000000</f>
        <v>1434550772</v>
      </c>
      <c r="W79" s="1512">
        <f>(SUMIFS('Petroleum - Q&amp;V2'!$I$9:$I$250,'Petroleum - Q&amp;V2'!$L$9:$L$250,LEFT('FY Q&amp;V 2003-04 to Now'!W$7,4),'Petroleum - Q&amp;V2'!$M$9:$M$250,3)+
SUMIFS('Petroleum - Q&amp;V2'!$I$9:$I$250,'Petroleum - Q&amp;V2'!$L$9:$L$250,LEFT('FY Q&amp;V 2003-04 to Now'!W$7,4),'Petroleum - Q&amp;V2'!$M$9:$M$250,4)+
SUMIFS('Petroleum - Q&amp;V2'!$I$9:$I$250,'Petroleum - Q&amp;V2'!$L$9:$L$250,CONCATENATE("20",RIGHT('FY Q&amp;V 2003-04 to Now'!W$7,2)),'Petroleum - Q&amp;V2'!$M$9:$M$250,1)+
SUMIFS('Petroleum - Q&amp;V2'!$I$9:$I$250,'Petroleum - Q&amp;V2'!$L$9:$L$250,CONCATENATE("20",RIGHT('FY Q&amp;V 2003-04 to Now'!W$7,2)),'Petroleum - Q&amp;V2'!$M$9:$M$250,2))</f>
        <v>8217579.29</v>
      </c>
      <c r="X79" s="1512">
        <f>(SUMIFS('Petroleum - Q&amp;V2'!$K$9:$K$250,'Petroleum - Q&amp;V2'!$L$9:$L$250,LEFT('FY Q&amp;V 2003-04 to Now'!W$7,4),'Petroleum - Q&amp;V2'!$M$9:$M$250,3)+
SUMIFS('Petroleum - Q&amp;V2'!$K$9:$K$250,'Petroleum - Q&amp;V2'!$L$9:$L$250,LEFT('FY Q&amp;V 2003-04 to Now'!W$7,4),'Petroleum - Q&amp;V2'!$M$9:$M$250,4)+
SUMIFS('Petroleum - Q&amp;V2'!$K$9:$K$250,'Petroleum - Q&amp;V2'!$L$9:$L$250,CONCATENATE("20",RIGHT('FY Q&amp;V 2003-04 to Now'!W$7,2)),'Petroleum - Q&amp;V2'!$M$9:$M$250,1)+
SUMIFS('Petroleum - Q&amp;V2'!$K$9:$K$250,'Petroleum - Q&amp;V2'!$L$9:$L$250,CONCATENATE("20",RIGHT('FY Q&amp;V 2003-04 to Now'!W$7,2)),'Petroleum - Q&amp;V2'!$M$9:$M$250,2))*1000000</f>
        <v>1446935710.5200002</v>
      </c>
      <c r="Y79" s="1512">
        <f>(SUMIFS('Petroleum - Q&amp;V2'!$I$9:$I$250,'Petroleum - Q&amp;V2'!$L$9:$L$250,LEFT('FY Q&amp;V 2003-04 to Now'!Y$7,4),'Petroleum - Q&amp;V2'!$M$9:$M$250,3)+
SUMIFS('Petroleum - Q&amp;V2'!$I$9:$I$250,'Petroleum - Q&amp;V2'!$L$9:$L$250,LEFT('FY Q&amp;V 2003-04 to Now'!Y$7,4),'Petroleum - Q&amp;V2'!$M$9:$M$250,4)+
SUMIFS('Petroleum - Q&amp;V2'!$I$9:$I$250,'Petroleum - Q&amp;V2'!$L$9:$L$250,CONCATENATE("20",RIGHT('FY Q&amp;V 2003-04 to Now'!Y$7,2)),'Petroleum - Q&amp;V2'!$M$9:$M$250,1)+
SUMIFS('Petroleum - Q&amp;V2'!$I$9:$I$250,'Petroleum - Q&amp;V2'!$L$9:$L$250,CONCATENATE("20",RIGHT('FY Q&amp;V 2003-04 to Now'!Y$7,2)),'Petroleum - Q&amp;V2'!$M$9:$M$250,2))</f>
        <v>9875338.7119999994</v>
      </c>
      <c r="Z79" s="1512">
        <f>(SUMIFS('Petroleum - Q&amp;V2'!$K$9:$K$250,'Petroleum - Q&amp;V2'!$L$9:$L$250,LEFT('FY Q&amp;V 2003-04 to Now'!Y$7,4),'Petroleum - Q&amp;V2'!$M$9:$M$250,3)+
SUMIFS('Petroleum - Q&amp;V2'!$K$9:$K$250,'Petroleum - Q&amp;V2'!$L$9:$L$250,LEFT('FY Q&amp;V 2003-04 to Now'!Y$7,4),'Petroleum - Q&amp;V2'!$M$9:$M$250,4)+
SUMIFS('Petroleum - Q&amp;V2'!$K$9:$K$250,'Petroleum - Q&amp;V2'!$L$9:$L$250,CONCATENATE("20",RIGHT('FY Q&amp;V 2003-04 to Now'!Y$7,2)),'Petroleum - Q&amp;V2'!$M$9:$M$250,1)+
SUMIFS('Petroleum - Q&amp;V2'!$K$9:$K$250,'Petroleum - Q&amp;V2'!$L$9:$L$250,CONCATENATE("20",RIGHT('FY Q&amp;V 2003-04 to Now'!Y$7,2)),'Petroleum - Q&amp;V2'!$M$9:$M$250,2))*1000000</f>
        <v>1820197055.1041887</v>
      </c>
      <c r="AA79" s="1512">
        <f>(SUMIFS('Petroleum - Q&amp;V2'!$I$9:$I$250,'Petroleum - Q&amp;V2'!$L$9:$L$250,LEFT('FY Q&amp;V 2003-04 to Now'!AA$7,4),'Petroleum - Q&amp;V2'!$M$9:$M$250,3)+
SUMIFS('Petroleum - Q&amp;V2'!$I$9:$I$250,'Petroleum - Q&amp;V2'!$L$9:$L$250,LEFT('FY Q&amp;V 2003-04 to Now'!AA$7,4),'Petroleum - Q&amp;V2'!$M$9:$M$250,4)+
SUMIFS('Petroleum - Q&amp;V2'!$I$9:$I$250,'Petroleum - Q&amp;V2'!$L$9:$L$250,CONCATENATE("20",RIGHT('FY Q&amp;V 2003-04 to Now'!AA$7,2)),'Petroleum - Q&amp;V2'!$M$9:$M$250,1)+
SUMIFS('Petroleum - Q&amp;V2'!$I$9:$I$250,'Petroleum - Q&amp;V2'!$L$9:$L$250,CONCATENATE("20",RIGHT('FY Q&amp;V 2003-04 to Now'!AA$7,2)),'Petroleum - Q&amp;V2'!$M$9:$M$250,2))</f>
        <v>10223641.3040339</v>
      </c>
      <c r="AB79" s="1512">
        <f>(SUMIFS('Petroleum - Q&amp;V2'!$K$9:$K$250,'Petroleum - Q&amp;V2'!$L$9:$L$250,LEFT('FY Q&amp;V 2003-04 to Now'!AA$7,4),'Petroleum - Q&amp;V2'!$M$9:$M$250,3)+
SUMIFS('Petroleum - Q&amp;V2'!$K$9:$K$250,'Petroleum - Q&amp;V2'!$L$9:$L$250,LEFT('FY Q&amp;V 2003-04 to Now'!AA$7,4),'Petroleum - Q&amp;V2'!$M$9:$M$250,4)+
SUMIFS('Petroleum - Q&amp;V2'!$K$9:$K$250,'Petroleum - Q&amp;V2'!$L$9:$L$250,CONCATENATE("20",RIGHT('FY Q&amp;V 2003-04 to Now'!AA$7,2)),'Petroleum - Q&amp;V2'!$M$9:$M$250,1)+
SUMIFS('Petroleum - Q&amp;V2'!$K$9:$K$250,'Petroleum - Q&amp;V2'!$L$9:$L$250,CONCATENATE("20",RIGHT('FY Q&amp;V 2003-04 to Now'!AA$7,2)),'Petroleum - Q&amp;V2'!$M$9:$M$250,2))*1000000</f>
        <v>1908487074.4258478</v>
      </c>
      <c r="AC79" s="1512">
        <f>(SUMIFS('Petroleum - Q&amp;V2'!$I$9:$I$250,'Petroleum - Q&amp;V2'!$L$9:$L$250,LEFT('FY Q&amp;V 2003-04 to Now'!AC$7,4),'Petroleum - Q&amp;V2'!$M$9:$M$250,3)+
SUMIFS('Petroleum - Q&amp;V2'!$I$9:$I$250,'Petroleum - Q&amp;V2'!$L$9:$L$250,LEFT('FY Q&amp;V 2003-04 to Now'!AC$7,4),'Petroleum - Q&amp;V2'!$M$9:$M$250,4)+
SUMIFS('Petroleum - Q&amp;V2'!$I$9:$I$250,'Petroleum - Q&amp;V2'!$L$9:$L$250,CONCATENATE("20",RIGHT('FY Q&amp;V 2003-04 to Now'!AC$7,2)),'Petroleum - Q&amp;V2'!$M$9:$M$250,1)+
SUMIFS('Petroleum - Q&amp;V2'!$I$9:$I$250,'Petroleum - Q&amp;V2'!$L$9:$L$250,CONCATENATE("20",RIGHT('FY Q&amp;V 2003-04 to Now'!AC$7,2)),'Petroleum - Q&amp;V2'!$M$9:$M$250,2))</f>
        <v>9708933.994332375</v>
      </c>
      <c r="AD79" s="1512">
        <f>(SUMIFS('Petroleum - Q&amp;V2'!$K$9:$K$250,'Petroleum - Q&amp;V2'!$L$9:$L$250,LEFT('FY Q&amp;V 2003-04 to Now'!AC$7,4),'Petroleum - Q&amp;V2'!$M$9:$M$250,3)+
SUMIFS('Petroleum - Q&amp;V2'!$K$9:$K$250,'Petroleum - Q&amp;V2'!$L$9:$L$250,LEFT('FY Q&amp;V 2003-04 to Now'!AC$7,4),'Petroleum - Q&amp;V2'!$M$9:$M$250,4)+
SUMIFS('Petroleum - Q&amp;V2'!$K$9:$K$250,'Petroleum - Q&amp;V2'!$L$9:$L$250,CONCATENATE("20",RIGHT('FY Q&amp;V 2003-04 to Now'!AC$7,2)),'Petroleum - Q&amp;V2'!$M$9:$M$250,1)+
SUMIFS('Petroleum - Q&amp;V2'!$K$9:$K$250,'Petroleum - Q&amp;V2'!$L$9:$L$250,CONCATENATE("20",RIGHT('FY Q&amp;V 2003-04 to Now'!AC$7,2)),'Petroleum - Q&amp;V2'!$M$9:$M$250,2))*1000000</f>
        <v>1834906042.3134713</v>
      </c>
      <c r="AE79" s="1499">
        <f>(SUMIFS('Petroleum - Q&amp;V2'!$I$9:$I$250,'Petroleum - Q&amp;V2'!$L$9:$L$250,LEFT('FY Q&amp;V 2003-04 to Now'!AE$7,4),'Petroleum - Q&amp;V2'!$M$9:$M$250,3)+
SUMIFS('Petroleum - Q&amp;V2'!$I$9:$I$250,'Petroleum - Q&amp;V2'!$L$9:$L$250,LEFT('FY Q&amp;V 2003-04 to Now'!AE$7,4),'Petroleum - Q&amp;V2'!$M$9:$M$250,4)+
SUMIFS('Petroleum - Q&amp;V2'!$I$9:$I$250,'Petroleum - Q&amp;V2'!$L$9:$L$250,CONCATENATE("20",RIGHT('FY Q&amp;V 2003-04 to Now'!AE$7,2)),'Petroleum - Q&amp;V2'!$M$9:$M$250,1)+
SUMIFS('Petroleum - Q&amp;V2'!$I$9:$I$250,'Petroleum - Q&amp;V2'!$L$9:$L$250,CONCATENATE("20",RIGHT('FY Q&amp;V 2003-04 to Now'!AE$7,2)),'Petroleum - Q&amp;V2'!$M$9:$M$250,2))</f>
        <v>10174919.539409887</v>
      </c>
      <c r="AF79" s="1512">
        <f>(SUMIFS('Petroleum - Q&amp;V2'!$K$9:$K$250,'Petroleum - Q&amp;V2'!$L$9:$L$250,LEFT('FY Q&amp;V 2003-04 to Now'!AE$7,4),'Petroleum - Q&amp;V2'!$M$9:$M$250,3)+
SUMIFS('Petroleum - Q&amp;V2'!$K$9:$K$250,'Petroleum - Q&amp;V2'!$L$9:$L$250,LEFT('FY Q&amp;V 2003-04 to Now'!AE$7,4),'Petroleum - Q&amp;V2'!$M$9:$M$250,4)+
SUMIFS('Petroleum - Q&amp;V2'!$K$9:$K$250,'Petroleum - Q&amp;V2'!$L$9:$L$250,CONCATENATE("20",RIGHT('FY Q&amp;V 2003-04 to Now'!AE$7,2)),'Petroleum - Q&amp;V2'!$M$9:$M$250,1)+
SUMIFS('Petroleum - Q&amp;V2'!$K$9:$K$250,'Petroleum - Q&amp;V2'!$L$9:$L$250,CONCATENATE("20",RIGHT('FY Q&amp;V 2003-04 to Now'!AE$7,2)),'Petroleum - Q&amp;V2'!$M$9:$M$250,2))*1000000</f>
        <v>1659894180.277179</v>
      </c>
      <c r="AG79" s="1259">
        <f>(SUMIFS('Petroleum - Q&amp;V2'!$I$9:$I$250,'Petroleum - Q&amp;V2'!$L$9:$L$250,LEFT('FY Q&amp;V 2003-04 to Now'!AG$7,4),'Petroleum - Q&amp;V2'!$M$9:$M$250,3)+
SUMIFS('Petroleum - Q&amp;V2'!$I$9:$I$250,'Petroleum - Q&amp;V2'!$L$9:$L$250,LEFT('FY Q&amp;V 2003-04 to Now'!AG$7,4),'Petroleum - Q&amp;V2'!$M$9:$M$250,4)+
SUMIFS('Petroleum - Q&amp;V2'!$I$9:$I$250,'Petroleum - Q&amp;V2'!$L$9:$L$250,CONCATENATE("20",RIGHT('FY Q&amp;V 2003-04 to Now'!AG$7,2)),'Petroleum - Q&amp;V2'!$M$9:$M$250,1)+
SUMIFS('Petroleum - Q&amp;V2'!$I$9:$I$250,'Petroleum - Q&amp;V2'!$L$9:$L$250,CONCATENATE("20",RIGHT('FY Q&amp;V 2003-04 to Now'!AG$7,2)),'Petroleum - Q&amp;V2'!$M$9:$M$250,2))</f>
        <v>10410026.327968743</v>
      </c>
      <c r="AH79" s="268">
        <f>(SUMIFS('Petroleum - Q&amp;V2'!$K$9:$K$250,'Petroleum - Q&amp;V2'!$L$9:$L$250,LEFT('FY Q&amp;V 2003-04 to Now'!AG$7,4),'Petroleum - Q&amp;V2'!$M$9:$M$250,3)+
SUMIFS('Petroleum - Q&amp;V2'!$K$9:$K$250,'Petroleum - Q&amp;V2'!$L$9:$L$250,LEFT('FY Q&amp;V 2003-04 to Now'!AG$7,4),'Petroleum - Q&amp;V2'!$M$9:$M$250,4)+
SUMIFS('Petroleum - Q&amp;V2'!$K$9:$K$250,'Petroleum - Q&amp;V2'!$L$9:$L$250,CONCATENATE("20",RIGHT('FY Q&amp;V 2003-04 to Now'!AG$7,2)),'Petroleum - Q&amp;V2'!$M$9:$M$250,1)+
SUMIFS('Petroleum - Q&amp;V2'!$K$9:$K$250,'Petroleum - Q&amp;V2'!$L$9:$L$250,CONCATENATE("20",RIGHT('FY Q&amp;V 2003-04 to Now'!AG$7,2)),'Petroleum - Q&amp;V2'!$M$9:$M$250,2))*1000000</f>
        <v>1607190186.2926521</v>
      </c>
      <c r="AI79" s="1259">
        <f>(SUMIFS('Petroleum - Q&amp;V2'!$I$9:$I$250,'Petroleum - Q&amp;V2'!$L$9:$L$250,LEFT('FY Q&amp;V 2003-04 to Now'!AI$7,4),'Petroleum - Q&amp;V2'!$M$9:$M$250,3)+
SUMIFS('Petroleum - Q&amp;V2'!$I$9:$I$250,'Petroleum - Q&amp;V2'!$L$9:$L$250,LEFT('FY Q&amp;V 2003-04 to Now'!AI$7,4),'Petroleum - Q&amp;V2'!$M$9:$M$250,4)+
SUMIFS('Petroleum - Q&amp;V2'!$I$9:$I$250,'Petroleum - Q&amp;V2'!$L$9:$L$250,CONCATENATE("20",RIGHT('FY Q&amp;V 2003-04 to Now'!AI$7,2)),'Petroleum - Q&amp;V2'!$M$9:$M$250,1)+
SUMIFS('Petroleum - Q&amp;V2'!$I$9:$I$250,'Petroleum - Q&amp;V2'!$L$9:$L$250,CONCATENATE("20",RIGHT('FY Q&amp;V 2003-04 to Now'!AI$7,2)),'Petroleum - Q&amp;V2'!$M$9:$M$250,2))</f>
        <v>11158952.040437331</v>
      </c>
      <c r="AJ79" s="268">
        <f>(SUMIFS('Petroleum - Q&amp;V2'!$K$9:$K$250,'Petroleum - Q&amp;V2'!$L$9:$L$250,LEFT('FY Q&amp;V 2003-04 to Now'!AI$7,4),'Petroleum - Q&amp;V2'!$M$9:$M$250,3)+
SUMIFS('Petroleum - Q&amp;V2'!$K$9:$K$250,'Petroleum - Q&amp;V2'!$L$9:$L$250,LEFT('FY Q&amp;V 2003-04 to Now'!AI$7,4),'Petroleum - Q&amp;V2'!$M$9:$M$250,4)+
SUMIFS('Petroleum - Q&amp;V2'!$K$9:$K$250,'Petroleum - Q&amp;V2'!$L$9:$L$250,CONCATENATE("20",RIGHT('FY Q&amp;V 2003-04 to Now'!AI$7,2)),'Petroleum - Q&amp;V2'!$M$9:$M$250,1)+
SUMIFS('Petroleum - Q&amp;V2'!$K$9:$K$250,'Petroleum - Q&amp;V2'!$L$9:$L$250,CONCATENATE("20",RIGHT('FY Q&amp;V 2003-04 to Now'!AI$7,2)),'Petroleum - Q&amp;V2'!$M$9:$M$250,2))*1000000</f>
        <v>1773054729.5934143</v>
      </c>
      <c r="AK79" s="268">
        <f>(SUMIFS('Petroleum - Q&amp;V2'!$I$9:$I$250,'Petroleum - Q&amp;V2'!$L$9:$L$250,LEFT('FY Q&amp;V 2003-04 to Now'!AK$7,4),'Petroleum - Q&amp;V2'!$M$9:$M$250,3)+
SUMIFS('Petroleum - Q&amp;V2'!$I$9:$I$250,'Petroleum - Q&amp;V2'!$L$9:$L$250,LEFT('FY Q&amp;V 2003-04 to Now'!AK$7,4),'Petroleum - Q&amp;V2'!$M$9:$M$250,4)+
SUMIFS('Petroleum - Q&amp;V2'!$I$9:$I$250,'Petroleum - Q&amp;V2'!$L$9:$L$250,CONCATENATE("20",RIGHT('FY Q&amp;V 2003-04 to Now'!AK$7,2)),'Petroleum - Q&amp;V2'!$M$9:$M$250,1)+
SUMIFS('Petroleum - Q&amp;V2'!$I$9:$I$250,'Petroleum - Q&amp;V2'!$L$9:$L$250,CONCATENATE("20",RIGHT('FY Q&amp;V 2003-04 to Now'!AK$7,2)),'Petroleum - Q&amp;V2'!$M$9:$M$250,2))</f>
        <v>10178574.95177735</v>
      </c>
      <c r="AL79" s="268">
        <f>(SUMIFS('Petroleum - Q&amp;V2'!$K$9:$K$250,'Petroleum - Q&amp;V2'!$L$9:$L$250,LEFT('FY Q&amp;V 2003-04 to Now'!AK$7,4),'Petroleum - Q&amp;V2'!$M$9:$M$250,3)+
SUMIFS('Petroleum - Q&amp;V2'!$K$9:$K$250,'Petroleum - Q&amp;V2'!$L$9:$L$250,LEFT('FY Q&amp;V 2003-04 to Now'!AK$7,4),'Petroleum - Q&amp;V2'!$M$9:$M$250,4)+
SUMIFS('Petroleum - Q&amp;V2'!$K$9:$K$250,'Petroleum - Q&amp;V2'!$L$9:$L$250,CONCATENATE("20",RIGHT('FY Q&amp;V 2003-04 to Now'!AK$7,2)),'Petroleum - Q&amp;V2'!$M$9:$M$250,1)+
SUMIFS('Petroleum - Q&amp;V2'!$K$9:$K$250,'Petroleum - Q&amp;V2'!$L$9:$L$250,CONCATENATE("20",RIGHT('FY Q&amp;V 2003-04 to Now'!AK$7,2)),'Petroleum - Q&amp;V2'!$M$9:$M$250,2))*1000000</f>
        <v>1471361564.6545691</v>
      </c>
      <c r="AM79" s="1499">
        <f>SUMIF($C$9:AL$9,1,$C79:AL79)</f>
        <v>165970135.15995958</v>
      </c>
      <c r="AN79" s="1512">
        <f>SUMIF($C$9:AL$9,0,$C79:AL79)</f>
        <v>24356777077.181324</v>
      </c>
    </row>
    <row r="80" spans="1:45">
      <c r="A80" s="1583" t="s">
        <v>268</v>
      </c>
      <c r="B80" s="1497"/>
      <c r="C80" s="1592"/>
      <c r="D80" s="1512">
        <f>SUM(D75:D79)</f>
        <v>9260223608</v>
      </c>
      <c r="E80" s="1592"/>
      <c r="F80" s="1593">
        <f>SUM(F75:F79)</f>
        <v>12256998579.930317</v>
      </c>
      <c r="G80" s="1592"/>
      <c r="H80" s="1593">
        <f>SUM(H75:H79)</f>
        <v>14697284124.009249</v>
      </c>
      <c r="I80" s="1592"/>
      <c r="J80" s="1512">
        <f>SUM(J75:J79)</f>
        <v>16459468556.50584</v>
      </c>
      <c r="K80" s="1592"/>
      <c r="L80" s="1593">
        <f>SUM(L75:L79)</f>
        <v>19317942367.704227</v>
      </c>
      <c r="M80" s="1592"/>
      <c r="N80" s="1593">
        <f>SUM(N75:N79)</f>
        <v>21319822196.963364</v>
      </c>
      <c r="O80" s="1592"/>
      <c r="P80" s="1593">
        <f>SUM(P75:P79)</f>
        <v>19398210188.564877</v>
      </c>
      <c r="Q80" s="1592"/>
      <c r="R80" s="1593">
        <f>SUM(R75:R79)</f>
        <v>22984892500.986893</v>
      </c>
      <c r="S80" s="1592"/>
      <c r="T80" s="1512">
        <f>SUM(T75:T79)</f>
        <v>23198583044.712547</v>
      </c>
      <c r="U80" s="1592"/>
      <c r="V80" s="1593">
        <f>SUM(V75:V79)</f>
        <v>24109908528.151367</v>
      </c>
      <c r="W80" s="1592"/>
      <c r="X80" s="1593">
        <f>SUM(X75:X79)</f>
        <v>25037399183.667702</v>
      </c>
      <c r="Y80" s="1592"/>
      <c r="Z80" s="1593">
        <f>SUM(Z75:Z79)</f>
        <v>24139269449.05003</v>
      </c>
      <c r="AA80" s="1592"/>
      <c r="AB80" s="1593">
        <f>SUM(AB75:AB79)</f>
        <v>18180863795.462242</v>
      </c>
      <c r="AC80" s="1593"/>
      <c r="AD80" s="1593">
        <f>SUM(AD75:AD79)</f>
        <v>19194128480.307896</v>
      </c>
      <c r="AE80" s="1594"/>
      <c r="AF80" s="1593">
        <f>SUM(AF75:AF79)</f>
        <v>26535385670.070862</v>
      </c>
      <c r="AG80" s="1706"/>
      <c r="AH80" s="242">
        <f>SUM(AH75:AH79)</f>
        <v>38738231198.192917</v>
      </c>
      <c r="AI80" s="1706"/>
      <c r="AJ80" s="242">
        <f>SUM(AJ75:AJ79)</f>
        <v>37120786264.124969</v>
      </c>
      <c r="AK80" s="242"/>
      <c r="AL80" s="242">
        <f>SUM(AL75:AL79)</f>
        <v>23473762983.790627</v>
      </c>
      <c r="AM80" s="1499"/>
      <c r="AN80" s="1512">
        <f>SUMIF($C$9:AL$9,0,$C80:AL80)</f>
        <v>395423160720.19592</v>
      </c>
    </row>
    <row r="81" spans="1:44">
      <c r="A81" s="1530"/>
      <c r="B81" s="1511"/>
      <c r="C81" s="1487"/>
      <c r="D81" s="1487"/>
      <c r="E81" s="1487"/>
      <c r="F81" s="1487"/>
      <c r="G81" s="1487"/>
      <c r="H81" s="1487"/>
      <c r="I81" s="1487"/>
      <c r="J81" s="1487"/>
      <c r="K81" s="1487"/>
      <c r="L81" s="1487"/>
      <c r="M81" s="1487"/>
      <c r="N81" s="1487"/>
      <c r="O81" s="1487"/>
      <c r="P81" s="1487"/>
      <c r="Q81" s="1487"/>
      <c r="R81" s="1487"/>
      <c r="S81" s="1487"/>
      <c r="T81" s="1487"/>
      <c r="U81" s="1487"/>
      <c r="V81" s="1487"/>
      <c r="W81" s="1487"/>
      <c r="X81" s="1487"/>
      <c r="Y81" s="1487"/>
      <c r="Z81" s="1487"/>
      <c r="AA81" s="1487"/>
      <c r="AB81" s="1487"/>
      <c r="AC81" s="1487"/>
      <c r="AD81" s="1487"/>
      <c r="AE81" s="1498"/>
      <c r="AF81" s="1487"/>
      <c r="AG81" s="1498"/>
      <c r="AH81" s="1487"/>
      <c r="AI81" s="1498"/>
      <c r="AJ81" s="1487"/>
      <c r="AK81" s="1487"/>
      <c r="AL81" s="1487"/>
      <c r="AM81" s="1499"/>
      <c r="AN81" s="1512"/>
    </row>
    <row r="82" spans="1:44" s="535" customFormat="1">
      <c r="A82" s="365" t="s">
        <v>665</v>
      </c>
      <c r="B82" s="353" t="s">
        <v>160</v>
      </c>
      <c r="C82" s="1279">
        <v>0</v>
      </c>
      <c r="D82" s="1279">
        <v>0</v>
      </c>
      <c r="E82" s="1279">
        <v>0</v>
      </c>
      <c r="F82" s="1279">
        <v>0</v>
      </c>
      <c r="G82" s="1279">
        <v>0</v>
      </c>
      <c r="H82" s="1279">
        <v>0</v>
      </c>
      <c r="I82" s="1279">
        <v>0</v>
      </c>
      <c r="J82" s="1279">
        <v>0</v>
      </c>
      <c r="K82" s="1279">
        <v>0</v>
      </c>
      <c r="L82" s="1279">
        <v>0</v>
      </c>
      <c r="M82" s="1279">
        <v>0</v>
      </c>
      <c r="N82" s="1279">
        <v>0</v>
      </c>
      <c r="O82" s="1279">
        <v>0</v>
      </c>
      <c r="P82" s="1279">
        <v>0</v>
      </c>
      <c r="Q82" s="1279">
        <v>0</v>
      </c>
      <c r="R82" s="1279">
        <v>0</v>
      </c>
      <c r="S82" s="1279">
        <v>0</v>
      </c>
      <c r="T82" s="1279">
        <v>0</v>
      </c>
      <c r="U82" s="1279">
        <v>1403906.4219999998</v>
      </c>
      <c r="V82" s="1279" t="s">
        <v>785</v>
      </c>
      <c r="W82" s="1279">
        <v>7653061.3399999999</v>
      </c>
      <c r="X82" s="1279" t="s">
        <v>785</v>
      </c>
      <c r="Y82" s="1279">
        <v>13762327</v>
      </c>
      <c r="Z82" s="1279" t="s">
        <v>785</v>
      </c>
      <c r="AA82" s="1279">
        <v>18773690</v>
      </c>
      <c r="AB82" s="1279" t="s">
        <v>785</v>
      </c>
      <c r="AC82" s="1279">
        <v>26829580</v>
      </c>
      <c r="AD82" s="1279" t="s">
        <v>785</v>
      </c>
      <c r="AE82" s="1291">
        <v>29676877</v>
      </c>
      <c r="AF82" s="1279" t="s">
        <v>785</v>
      </c>
      <c r="AG82" s="1291">
        <v>29044627</v>
      </c>
      <c r="AH82" s="1291">
        <v>345763141</v>
      </c>
      <c r="AI82" s="1291">
        <v>22149362.239999998</v>
      </c>
      <c r="AJ82" s="1291">
        <v>258918330</v>
      </c>
      <c r="AK82" s="1279">
        <v>27103719</v>
      </c>
      <c r="AL82" s="1279" t="s">
        <v>785</v>
      </c>
      <c r="AM82" s="1279">
        <f>SUMIF($C$9:AL$9,1,$C82:AL82)</f>
        <v>176397150.002</v>
      </c>
      <c r="AN82" s="1279">
        <f>SUMIF($C$9:AL$9,0,$C82:AL82)</f>
        <v>604681471</v>
      </c>
    </row>
    <row r="83" spans="1:44" s="535" customFormat="1">
      <c r="A83" s="364"/>
      <c r="B83" s="353"/>
      <c r="C83" s="1178"/>
      <c r="D83" s="1178"/>
      <c r="E83" s="1178"/>
      <c r="F83" s="1178"/>
      <c r="G83" s="1178"/>
      <c r="H83" s="1178"/>
      <c r="I83" s="1178"/>
      <c r="J83" s="1178"/>
      <c r="K83" s="1178"/>
      <c r="L83" s="1178"/>
      <c r="M83" s="1178"/>
      <c r="N83" s="1178"/>
      <c r="O83" s="1178"/>
      <c r="P83" s="1178"/>
      <c r="Q83" s="1178"/>
      <c r="R83" s="1178"/>
      <c r="S83" s="1178"/>
      <c r="T83" s="1178"/>
      <c r="U83" s="1178"/>
      <c r="V83" s="1178"/>
      <c r="W83" s="1178"/>
      <c r="X83" s="1178"/>
      <c r="Y83" s="1178"/>
      <c r="Z83" s="1178"/>
      <c r="AA83" s="1178"/>
      <c r="AB83" s="1178"/>
      <c r="AC83" s="1178"/>
      <c r="AD83" s="1178"/>
      <c r="AE83" s="1293"/>
      <c r="AF83" s="1178"/>
      <c r="AG83" s="1293"/>
      <c r="AH83" s="1178"/>
      <c r="AI83" s="1293"/>
      <c r="AJ83" s="1178"/>
      <c r="AK83" s="1178"/>
      <c r="AL83" s="1178"/>
      <c r="AM83" s="1291"/>
      <c r="AN83" s="1279"/>
    </row>
    <row r="84" spans="1:44">
      <c r="A84" s="1496" t="s">
        <v>274</v>
      </c>
      <c r="B84" s="1511" t="s">
        <v>87</v>
      </c>
      <c r="C84" s="1592">
        <f>(SUMIFS('Other Commodities - Q&amp;V'!$F$8:$F$250,'Other Commodities - Q&amp;V'!$N$8:$N$250,LEFT('FY Q&amp;V 2003-04 to Now'!C$7,4),'Other Commodities - Q&amp;V'!$O$8:$O$250,3)+
SUMIFS('Other Commodities - Q&amp;V'!$F$8:$F$250,'Other Commodities - Q&amp;V'!$N$8:$N$250,LEFT('FY Q&amp;V 2003-04 to Now'!C$7,4),'Other Commodities - Q&amp;V'!$O$8:$O$250,4)+
SUMIFS('Other Commodities - Q&amp;V'!$F$8:$F$250,'Other Commodities - Q&amp;V'!$N$8:$N$250,CONCATENATE("20",RIGHT('FY Q&amp;V 2003-04 to Now'!C$7,2)),'Other Commodities - Q&amp;V'!$O$8:$O$250,1)+
SUMIFS('Other Commodities - Q&amp;V'!$F$8:$F$250,'Other Commodities - Q&amp;V'!$N$8:$N$250,CONCATENATE("20",RIGHT('FY Q&amp;V 2003-04 to Now'!C$7,2)),'Other Commodities - Q&amp;V'!$O$8:$O$250,2))*1000000</f>
        <v>9956080.9799999986</v>
      </c>
      <c r="D84" s="1593">
        <f>(SUMIFS('Other Commodities - Q&amp;V'!$G$8:$G$250,'Other Commodities - Q&amp;V'!$N$8:$N$250,LEFT('FY Q&amp;V 2003-04 to Now'!C$7,4),'Other Commodities - Q&amp;V'!$O$8:$O$250,3)+
SUMIFS('Other Commodities - Q&amp;V'!$G$8:$G$250,'Other Commodities - Q&amp;V'!$N$8:$N$250,LEFT('FY Q&amp;V 2003-04 to Now'!C$7,4),'Other Commodities - Q&amp;V'!$O$8:$O$250,4)+
SUMIFS('Other Commodities - Q&amp;V'!$G$8:$G$250,'Other Commodities - Q&amp;V'!$N$8:$N$250,CONCATENATE("20",RIGHT('FY Q&amp;V 2003-04 to Now'!C$7,2)),'Other Commodities - Q&amp;V'!$O$8:$O$250,1)+
SUMIFS('Other Commodities - Q&amp;V'!$G$8:$G$250,'Other Commodities - Q&amp;V'!$N$8:$N$250,CONCATENATE("20",RIGHT('FY Q&amp;V 2003-04 to Now'!C$7,2)),'Other Commodities - Q&amp;V'!$O$8:$O$250,2))*1000000</f>
        <v>180920778.64000002</v>
      </c>
      <c r="E84" s="1592">
        <f>(SUMIFS('Other Commodities - Q&amp;V'!$F$8:$F$250,'Other Commodities - Q&amp;V'!$N$8:$N$250,LEFT('FY Q&amp;V 2003-04 to Now'!E$7,4),'Other Commodities - Q&amp;V'!$O$8:$O$250,3)+
SUMIFS('Other Commodities - Q&amp;V'!$F$8:$F$250,'Other Commodities - Q&amp;V'!$N$8:$N$250,LEFT('FY Q&amp;V 2003-04 to Now'!E$7,4),'Other Commodities - Q&amp;V'!$O$8:$O$250,4)+
SUMIFS('Other Commodities - Q&amp;V'!$F$8:$F$250,'Other Commodities - Q&amp;V'!$N$8:$N$250,CONCATENATE("20",RIGHT('FY Q&amp;V 2003-04 to Now'!E$7,2)),'Other Commodities - Q&amp;V'!$O$8:$O$250,1)+
SUMIFS('Other Commodities - Q&amp;V'!$F$8:$F$250,'Other Commodities - Q&amp;V'!$N$8:$N$250,CONCATENATE("20",RIGHT('FY Q&amp;V 2003-04 to Now'!E$7,2)),'Other Commodities - Q&amp;V'!$O$8:$O$250,2))*1000000</f>
        <v>11506549.146000002</v>
      </c>
      <c r="F84" s="1593">
        <f>(SUMIFS('Other Commodities - Q&amp;V'!$G$8:$G$250,'Other Commodities - Q&amp;V'!$N$8:$N$250,LEFT('FY Q&amp;V 2003-04 to Now'!E$7,4),'Other Commodities - Q&amp;V'!$O$8:$O$250,3)+
SUMIFS('Other Commodities - Q&amp;V'!$G$8:$G$250,'Other Commodities - Q&amp;V'!$N$8:$N$250,LEFT('FY Q&amp;V 2003-04 to Now'!E$7,4),'Other Commodities - Q&amp;V'!$O$8:$O$250,4)+
SUMIFS('Other Commodities - Q&amp;V'!$G$8:$G$250,'Other Commodities - Q&amp;V'!$N$8:$N$250,CONCATENATE("20",RIGHT('FY Q&amp;V 2003-04 to Now'!E$7,2)),'Other Commodities - Q&amp;V'!$O$8:$O$250,1)+
SUMIFS('Other Commodities - Q&amp;V'!$G$8:$G$250,'Other Commodities - Q&amp;V'!$N$8:$N$250,CONCATENATE("20",RIGHT('FY Q&amp;V 2003-04 to Now'!E$7,2)),'Other Commodities - Q&amp;V'!$O$8:$O$250,2))*1000000</f>
        <v>203797623.59999999</v>
      </c>
      <c r="G84" s="1592">
        <f>(SUMIFS('Other Commodities - Q&amp;V'!$F$8:$F$250,'Other Commodities - Q&amp;V'!$N$8:$N$250,LEFT('FY Q&amp;V 2003-04 to Now'!G$7,4),'Other Commodities - Q&amp;V'!$O$8:$O$250,3)+
SUMIFS('Other Commodities - Q&amp;V'!$F$8:$F$250,'Other Commodities - Q&amp;V'!$N$8:$N$250,LEFT('FY Q&amp;V 2003-04 to Now'!G$7,4),'Other Commodities - Q&amp;V'!$O$8:$O$250,4)+
SUMIFS('Other Commodities - Q&amp;V'!$F$8:$F$250,'Other Commodities - Q&amp;V'!$N$8:$N$250,CONCATENATE("20",RIGHT('FY Q&amp;V 2003-04 to Now'!G$7,2)),'Other Commodities - Q&amp;V'!$O$8:$O$250,1)+
SUMIFS('Other Commodities - Q&amp;V'!$F$8:$F$250,'Other Commodities - Q&amp;V'!$N$8:$N$250,CONCATENATE("20",RIGHT('FY Q&amp;V 2003-04 to Now'!G$7,2)),'Other Commodities - Q&amp;V'!$O$8:$O$250,2))*1000000</f>
        <v>10834196.379999999</v>
      </c>
      <c r="H84" s="1593">
        <f>(SUMIFS('Other Commodities - Q&amp;V'!$G$8:$G$250,'Other Commodities - Q&amp;V'!$N$8:$N$250,LEFT('FY Q&amp;V 2003-04 to Now'!G$7,4),'Other Commodities - Q&amp;V'!$O$8:$O$250,3)+
SUMIFS('Other Commodities - Q&amp;V'!$G$8:$G$250,'Other Commodities - Q&amp;V'!$N$8:$N$250,LEFT('FY Q&amp;V 2003-04 to Now'!G$7,4),'Other Commodities - Q&amp;V'!$O$8:$O$250,4)+
SUMIFS('Other Commodities - Q&amp;V'!$G$8:$G$250,'Other Commodities - Q&amp;V'!$N$8:$N$250,CONCATENATE("20",RIGHT('FY Q&amp;V 2003-04 to Now'!G$7,2)),'Other Commodities - Q&amp;V'!$O$8:$O$250,1)+
SUMIFS('Other Commodities - Q&amp;V'!$G$8:$G$250,'Other Commodities - Q&amp;V'!$N$8:$N$250,CONCATENATE("20",RIGHT('FY Q&amp;V 2003-04 to Now'!G$7,2)),'Other Commodities - Q&amp;V'!$O$8:$O$250,2))*1000000</f>
        <v>229850353.84</v>
      </c>
      <c r="I84" s="1592">
        <f>(SUMIFS('Other Commodities - Q&amp;V'!$F$8:$F$250,'Other Commodities - Q&amp;V'!$N$8:$N$250,LEFT('FY Q&amp;V 2003-04 to Now'!I$7,4),'Other Commodities - Q&amp;V'!$O$8:$O$250,3)+
SUMIFS('Other Commodities - Q&amp;V'!$F$8:$F$250,'Other Commodities - Q&amp;V'!$N$8:$N$250,LEFT('FY Q&amp;V 2003-04 to Now'!I$7,4),'Other Commodities - Q&amp;V'!$O$8:$O$250,4)+
SUMIFS('Other Commodities - Q&amp;V'!$F$8:$F$250,'Other Commodities - Q&amp;V'!$N$8:$N$250,CONCATENATE("20",RIGHT('FY Q&amp;V 2003-04 to Now'!I$7,2)),'Other Commodities - Q&amp;V'!$O$8:$O$250,1)+
SUMIFS('Other Commodities - Q&amp;V'!$F$8:$F$250,'Other Commodities - Q&amp;V'!$N$8:$N$250,CONCATENATE("20",RIGHT('FY Q&amp;V 2003-04 to Now'!I$7,2)),'Other Commodities - Q&amp;V'!$O$8:$O$250,2))*1000000</f>
        <v>10423588.002999999</v>
      </c>
      <c r="J84" s="1593">
        <f>(SUMIFS('Other Commodities - Q&amp;V'!$G$8:$G$250,'Other Commodities - Q&amp;V'!$N$8:$N$250,LEFT('FY Q&amp;V 2003-04 to Now'!I$7,4),'Other Commodities - Q&amp;V'!$O$8:$O$250,3)+
SUMIFS('Other Commodities - Q&amp;V'!$G$8:$G$250,'Other Commodities - Q&amp;V'!$N$8:$N$250,LEFT('FY Q&amp;V 2003-04 to Now'!I$7,4),'Other Commodities - Q&amp;V'!$O$8:$O$250,4)+
SUMIFS('Other Commodities - Q&amp;V'!$G$8:$G$250,'Other Commodities - Q&amp;V'!$N$8:$N$250,CONCATENATE("20",RIGHT('FY Q&amp;V 2003-04 to Now'!I$7,2)),'Other Commodities - Q&amp;V'!$O$8:$O$250,1)+
SUMIFS('Other Commodities - Q&amp;V'!$G$8:$G$250,'Other Commodities - Q&amp;V'!$N$8:$N$250,CONCATENATE("20",RIGHT('FY Q&amp;V 2003-04 to Now'!I$7,2)),'Other Commodities - Q&amp;V'!$O$8:$O$250,2))*1000000</f>
        <v>236151568.72999999</v>
      </c>
      <c r="K84" s="1592">
        <f>(SUMIFS('Other Commodities - Q&amp;V'!$F$8:$F$250,'Other Commodities - Q&amp;V'!$N$8:$N$250,LEFT('FY Q&amp;V 2003-04 to Now'!K$7,4),'Other Commodities - Q&amp;V'!$O$8:$O$250,3)+
SUMIFS('Other Commodities - Q&amp;V'!$F$8:$F$250,'Other Commodities - Q&amp;V'!$N$8:$N$250,LEFT('FY Q&amp;V 2003-04 to Now'!K$7,4),'Other Commodities - Q&amp;V'!$O$8:$O$250,4)+
SUMIFS('Other Commodities - Q&amp;V'!$F$8:$F$250,'Other Commodities - Q&amp;V'!$N$8:$N$250,CONCATENATE("20",RIGHT('FY Q&amp;V 2003-04 to Now'!K$7,2)),'Other Commodities - Q&amp;V'!$O$8:$O$250,1)+
SUMIFS('Other Commodities - Q&amp;V'!$F$8:$F$250,'Other Commodities - Q&amp;V'!$N$8:$N$250,CONCATENATE("20",RIGHT('FY Q&amp;V 2003-04 to Now'!K$7,2)),'Other Commodities - Q&amp;V'!$O$8:$O$250,2))*1000000</f>
        <v>10589164.411999999</v>
      </c>
      <c r="L84" s="1593">
        <f>(SUMIFS('Other Commodities - Q&amp;V'!$G$8:$G$250,'Other Commodities - Q&amp;V'!$N$8:$N$250,LEFT('FY Q&amp;V 2003-04 to Now'!K$7,4),'Other Commodities - Q&amp;V'!$O$8:$O$250,3)+
SUMIFS('Other Commodities - Q&amp;V'!$G$8:$G$250,'Other Commodities - Q&amp;V'!$N$8:$N$250,LEFT('FY Q&amp;V 2003-04 to Now'!K$7,4),'Other Commodities - Q&amp;V'!$O$8:$O$250,4)+
SUMIFS('Other Commodities - Q&amp;V'!$G$8:$G$250,'Other Commodities - Q&amp;V'!$N$8:$N$250,CONCATENATE("20",RIGHT('FY Q&amp;V 2003-04 to Now'!K$7,2)),'Other Commodities - Q&amp;V'!$O$8:$O$250,1)+
SUMIFS('Other Commodities - Q&amp;V'!$G$8:$G$250,'Other Commodities - Q&amp;V'!$N$8:$N$250,CONCATENATE("20",RIGHT('FY Q&amp;V 2003-04 to Now'!K$7,2)),'Other Commodities - Q&amp;V'!$O$8:$O$250,2))*1000000</f>
        <v>232929068.66000003</v>
      </c>
      <c r="M84" s="1592">
        <f>(SUMIFS('Other Commodities - Q&amp;V'!$F$8:$F$250,'Other Commodities - Q&amp;V'!$N$8:$N$250,LEFT('FY Q&amp;V 2003-04 to Now'!M$7,4),'Other Commodities - Q&amp;V'!$O$8:$O$250,3)+
SUMIFS('Other Commodities - Q&amp;V'!$F$8:$F$250,'Other Commodities - Q&amp;V'!$N$8:$N$250,LEFT('FY Q&amp;V 2003-04 to Now'!M$7,4),'Other Commodities - Q&amp;V'!$O$8:$O$250,4)+
SUMIFS('Other Commodities - Q&amp;V'!$F$8:$F$250,'Other Commodities - Q&amp;V'!$N$8:$N$250,CONCATENATE("20",RIGHT('FY Q&amp;V 2003-04 to Now'!M$7,2)),'Other Commodities - Q&amp;V'!$O$8:$O$250,1)+
SUMIFS('Other Commodities - Q&amp;V'!$F$8:$F$250,'Other Commodities - Q&amp;V'!$N$8:$N$250,CONCATENATE("20",RIGHT('FY Q&amp;V 2003-04 to Now'!M$7,2)),'Other Commodities - Q&amp;V'!$O$8:$O$250,2))*1000000</f>
        <v>10519491.383999998</v>
      </c>
      <c r="N84" s="1593">
        <f>(SUMIFS('Other Commodities - Q&amp;V'!$G$8:$G$250,'Other Commodities - Q&amp;V'!$N$8:$N$250,LEFT('FY Q&amp;V 2003-04 to Now'!M$7,4),'Other Commodities - Q&amp;V'!$O$8:$O$250,3)+
SUMIFS('Other Commodities - Q&amp;V'!$G$8:$G$250,'Other Commodities - Q&amp;V'!$N$8:$N$250,LEFT('FY Q&amp;V 2003-04 to Now'!M$7,4),'Other Commodities - Q&amp;V'!$O$8:$O$250,4)+
SUMIFS('Other Commodities - Q&amp;V'!$G$8:$G$250,'Other Commodities - Q&amp;V'!$N$8:$N$250,CONCATENATE("20",RIGHT('FY Q&amp;V 2003-04 to Now'!M$7,2)),'Other Commodities - Q&amp;V'!$O$8:$O$250,1)+
SUMIFS('Other Commodities - Q&amp;V'!$G$8:$G$250,'Other Commodities - Q&amp;V'!$N$8:$N$250,CONCATENATE("20",RIGHT('FY Q&amp;V 2003-04 to Now'!M$7,2)),'Other Commodities - Q&amp;V'!$O$8:$O$250,2))*1000000</f>
        <v>386254379.48000002</v>
      </c>
      <c r="O84" s="1592">
        <f>(SUMIFS('Other Commodities - Q&amp;V'!$F$8:$F$250,'Other Commodities - Q&amp;V'!$N$8:$N$250,LEFT('FY Q&amp;V 2003-04 to Now'!O$7,4),'Other Commodities - Q&amp;V'!$O$8:$O$250,3)+
SUMIFS('Other Commodities - Q&amp;V'!$F$8:$F$250,'Other Commodities - Q&amp;V'!$N$8:$N$250,LEFT('FY Q&amp;V 2003-04 to Now'!O$7,4),'Other Commodities - Q&amp;V'!$O$8:$O$250,4)+
SUMIFS('Other Commodities - Q&amp;V'!$F$8:$F$250,'Other Commodities - Q&amp;V'!$N$8:$N$250,CONCATENATE("20",RIGHT('FY Q&amp;V 2003-04 to Now'!O$7,2)),'Other Commodities - Q&amp;V'!$O$8:$O$250,1)+
SUMIFS('Other Commodities - Q&amp;V'!$F$8:$F$250,'Other Commodities - Q&amp;V'!$N$8:$N$250,CONCATENATE("20",RIGHT('FY Q&amp;V 2003-04 to Now'!O$7,2)),'Other Commodities - Q&amp;V'!$O$8:$O$250,2))*1000000</f>
        <v>10969478.647</v>
      </c>
      <c r="P84" s="1593">
        <f>(SUMIFS('Other Commodities - Q&amp;V'!$G$8:$G$250,'Other Commodities - Q&amp;V'!$N$8:$N$250,LEFT('FY Q&amp;V 2003-04 to Now'!O$7,4),'Other Commodities - Q&amp;V'!$O$8:$O$250,3)+
SUMIFS('Other Commodities - Q&amp;V'!$G$8:$G$250,'Other Commodities - Q&amp;V'!$N$8:$N$250,LEFT('FY Q&amp;V 2003-04 to Now'!O$7,4),'Other Commodities - Q&amp;V'!$O$8:$O$250,4)+
SUMIFS('Other Commodities - Q&amp;V'!$G$8:$G$250,'Other Commodities - Q&amp;V'!$N$8:$N$250,CONCATENATE("20",RIGHT('FY Q&amp;V 2003-04 to Now'!O$7,2)),'Other Commodities - Q&amp;V'!$O$8:$O$250,1)+
SUMIFS('Other Commodities - Q&amp;V'!$G$8:$G$250,'Other Commodities - Q&amp;V'!$N$8:$N$250,CONCATENATE("20",RIGHT('FY Q&amp;V 2003-04 to Now'!O$7,2)),'Other Commodities - Q&amp;V'!$O$8:$O$250,2))*1000000</f>
        <v>417460428.33000004</v>
      </c>
      <c r="Q84" s="1592">
        <f>(SUMIFS('Other Commodities - Q&amp;V'!$F$8:$F$250,'Other Commodities - Q&amp;V'!$N$8:$N$250,LEFT('FY Q&amp;V 2003-04 to Now'!Q$7,4),'Other Commodities - Q&amp;V'!$O$8:$O$250,3)+
SUMIFS('Other Commodities - Q&amp;V'!$F$8:$F$250,'Other Commodities - Q&amp;V'!$N$8:$N$250,LEFT('FY Q&amp;V 2003-04 to Now'!Q$7,4),'Other Commodities - Q&amp;V'!$O$8:$O$250,4)+
SUMIFS('Other Commodities - Q&amp;V'!$F$8:$F$250,'Other Commodities - Q&amp;V'!$N$8:$N$250,CONCATENATE("20",RIGHT('FY Q&amp;V 2003-04 to Now'!Q$7,2)),'Other Commodities - Q&amp;V'!$O$8:$O$250,1)+
SUMIFS('Other Commodities - Q&amp;V'!$F$8:$F$250,'Other Commodities - Q&amp;V'!$N$8:$N$250,CONCATENATE("20",RIGHT('FY Q&amp;V 2003-04 to Now'!Q$7,2)),'Other Commodities - Q&amp;V'!$O$8:$O$250,2))*1000000</f>
        <v>12246504.290000001</v>
      </c>
      <c r="R84" s="1593">
        <f>(SUMIFS('Other Commodities - Q&amp;V'!$G$8:$G$250,'Other Commodities - Q&amp;V'!$N$8:$N$250,LEFT('FY Q&amp;V 2003-04 to Now'!Q$7,4),'Other Commodities - Q&amp;V'!$O$8:$O$250,3)+
SUMIFS('Other Commodities - Q&amp;V'!$G$8:$G$250,'Other Commodities - Q&amp;V'!$N$8:$N$250,LEFT('FY Q&amp;V 2003-04 to Now'!Q$7,4),'Other Commodities - Q&amp;V'!$O$8:$O$250,4)+
SUMIFS('Other Commodities - Q&amp;V'!$G$8:$G$250,'Other Commodities - Q&amp;V'!$N$8:$N$250,CONCATENATE("20",RIGHT('FY Q&amp;V 2003-04 to Now'!Q$7,2)),'Other Commodities - Q&amp;V'!$O$8:$O$250,1)+
SUMIFS('Other Commodities - Q&amp;V'!$G$8:$G$250,'Other Commodities - Q&amp;V'!$N$8:$N$250,CONCATENATE("20",RIGHT('FY Q&amp;V 2003-04 to Now'!Q$7,2)),'Other Commodities - Q&amp;V'!$O$8:$O$250,2))*1000000</f>
        <v>366935890.44999999</v>
      </c>
      <c r="S84" s="1592">
        <f>(SUMIFS('Other Commodities - Q&amp;V'!$F$8:$F$250,'Other Commodities - Q&amp;V'!$N$8:$N$250,LEFT('FY Q&amp;V 2003-04 to Now'!S$7,4),'Other Commodities - Q&amp;V'!$O$8:$O$250,3)+
SUMIFS('Other Commodities - Q&amp;V'!$F$8:$F$250,'Other Commodities - Q&amp;V'!$N$8:$N$250,LEFT('FY Q&amp;V 2003-04 to Now'!S$7,4),'Other Commodities - Q&amp;V'!$O$8:$O$250,4)+
SUMIFS('Other Commodities - Q&amp;V'!$F$8:$F$250,'Other Commodities - Q&amp;V'!$N$8:$N$250,CONCATENATE("20",RIGHT('FY Q&amp;V 2003-04 to Now'!S$7,2)),'Other Commodities - Q&amp;V'!$O$8:$O$250,1)+
SUMIFS('Other Commodities - Q&amp;V'!$F$8:$F$250,'Other Commodities - Q&amp;V'!$N$8:$N$250,CONCATENATE("20",RIGHT('FY Q&amp;V 2003-04 to Now'!S$7,2)),'Other Commodities - Q&amp;V'!$O$8:$O$250,2))*1000000</f>
        <v>12807461.35</v>
      </c>
      <c r="T84" s="1593">
        <f>(SUMIFS('Other Commodities - Q&amp;V'!$G$8:$G$250,'Other Commodities - Q&amp;V'!$N$8:$N$250,LEFT('FY Q&amp;V 2003-04 to Now'!S$7,4),'Other Commodities - Q&amp;V'!$O$8:$O$250,3)+
SUMIFS('Other Commodities - Q&amp;V'!$G$8:$G$250,'Other Commodities - Q&amp;V'!$N$8:$N$250,LEFT('FY Q&amp;V 2003-04 to Now'!S$7,4),'Other Commodities - Q&amp;V'!$O$8:$O$250,4)+
SUMIFS('Other Commodities - Q&amp;V'!$G$8:$G$250,'Other Commodities - Q&amp;V'!$N$8:$N$250,CONCATENATE("20",RIGHT('FY Q&amp;V 2003-04 to Now'!S$7,2)),'Other Commodities - Q&amp;V'!$O$8:$O$250,1)+
SUMIFS('Other Commodities - Q&amp;V'!$G$8:$G$250,'Other Commodities - Q&amp;V'!$N$8:$N$250,CONCATENATE("20",RIGHT('FY Q&amp;V 2003-04 to Now'!S$7,2)),'Other Commodities - Q&amp;V'!$O$8:$O$250,2))*1000000</f>
        <v>353776446.97000003</v>
      </c>
      <c r="U84" s="1592">
        <f>(SUMIFS('Other Commodities - Q&amp;V'!$F$8:$F$250,'Other Commodities - Q&amp;V'!$N$8:$N$250,LEFT('FY Q&amp;V 2003-04 to Now'!U$7,4),'Other Commodities - Q&amp;V'!$O$8:$O$250,3)+
SUMIFS('Other Commodities - Q&amp;V'!$F$8:$F$250,'Other Commodities - Q&amp;V'!$N$8:$N$250,LEFT('FY Q&amp;V 2003-04 to Now'!U$7,4),'Other Commodities - Q&amp;V'!$O$8:$O$250,4)+
SUMIFS('Other Commodities - Q&amp;V'!$F$8:$F$250,'Other Commodities - Q&amp;V'!$N$8:$N$250,CONCATENATE("20",RIGHT('FY Q&amp;V 2003-04 to Now'!U$7,2)),'Other Commodities - Q&amp;V'!$O$8:$O$250,1)+
SUMIFS('Other Commodities - Q&amp;V'!$F$8:$F$250,'Other Commodities - Q&amp;V'!$N$8:$N$250,CONCATENATE("20",RIGHT('FY Q&amp;V 2003-04 to Now'!U$7,2)),'Other Commodities - Q&amp;V'!$O$8:$O$250,2))*1000000</f>
        <v>12389642.682</v>
      </c>
      <c r="V84" s="1593">
        <f>(SUMIFS('Other Commodities - Q&amp;V'!$G$8:$G$250,'Other Commodities - Q&amp;V'!$N$8:$N$250,LEFT('FY Q&amp;V 2003-04 to Now'!U$7,4),'Other Commodities - Q&amp;V'!$O$8:$O$250,3)+
SUMIFS('Other Commodities - Q&amp;V'!$G$8:$G$250,'Other Commodities - Q&amp;V'!$N$8:$N$250,LEFT('FY Q&amp;V 2003-04 to Now'!U$7,4),'Other Commodities - Q&amp;V'!$O$8:$O$250,4)+
SUMIFS('Other Commodities - Q&amp;V'!$G$8:$G$250,'Other Commodities - Q&amp;V'!$N$8:$N$250,CONCATENATE("20",RIGHT('FY Q&amp;V 2003-04 to Now'!U$7,2)),'Other Commodities - Q&amp;V'!$O$8:$O$250,1)+
SUMIFS('Other Commodities - Q&amp;V'!$G$8:$G$250,'Other Commodities - Q&amp;V'!$N$8:$N$250,CONCATENATE("20",RIGHT('FY Q&amp;V 2003-04 to Now'!U$7,2)),'Other Commodities - Q&amp;V'!$O$8:$O$250,2))*1000000</f>
        <v>381652888.13</v>
      </c>
      <c r="W84" s="1592">
        <f>(SUMIFS('Other Commodities - Q&amp;V'!$F$8:$F$250,'Other Commodities - Q&amp;V'!$N$8:$N$250,LEFT('FY Q&amp;V 2003-04 to Now'!W$7,4),'Other Commodities - Q&amp;V'!$O$8:$O$250,3)+
SUMIFS('Other Commodities - Q&amp;V'!$F$8:$F$250,'Other Commodities - Q&amp;V'!$N$8:$N$250,LEFT('FY Q&amp;V 2003-04 to Now'!W$7,4),'Other Commodities - Q&amp;V'!$O$8:$O$250,4)+
SUMIFS('Other Commodities - Q&amp;V'!$F$8:$F$250,'Other Commodities - Q&amp;V'!$N$8:$N$250,CONCATENATE("20",RIGHT('FY Q&amp;V 2003-04 to Now'!W$7,2)),'Other Commodities - Q&amp;V'!$O$8:$O$250,1)+
SUMIFS('Other Commodities - Q&amp;V'!$F$8:$F$250,'Other Commodities - Q&amp;V'!$N$8:$N$250,CONCATENATE("20",RIGHT('FY Q&amp;V 2003-04 to Now'!W$7,2)),'Other Commodities - Q&amp;V'!$O$8:$O$250,2))*1000000</f>
        <v>12992041.550000001</v>
      </c>
      <c r="X84" s="1593">
        <f>(SUMIFS('Other Commodities - Q&amp;V'!$G$8:$G$250,'Other Commodities - Q&amp;V'!$N$8:$N$250,LEFT('FY Q&amp;V 2003-04 to Now'!W$7,4),'Other Commodities - Q&amp;V'!$O$8:$O$250,3)+
SUMIFS('Other Commodities - Q&amp;V'!$G$8:$G$250,'Other Commodities - Q&amp;V'!$N$8:$N$250,LEFT('FY Q&amp;V 2003-04 to Now'!W$7,4),'Other Commodities - Q&amp;V'!$O$8:$O$250,4)+
SUMIFS('Other Commodities - Q&amp;V'!$G$8:$G$250,'Other Commodities - Q&amp;V'!$N$8:$N$250,CONCATENATE("20",RIGHT('FY Q&amp;V 2003-04 to Now'!W$7,2)),'Other Commodities - Q&amp;V'!$O$8:$O$250,1)+
SUMIFS('Other Commodities - Q&amp;V'!$G$8:$G$250,'Other Commodities - Q&amp;V'!$N$8:$N$250,CONCATENATE("20",RIGHT('FY Q&amp;V 2003-04 to Now'!W$7,2)),'Other Commodities - Q&amp;V'!$O$8:$O$250,2))*1000000</f>
        <v>410097848.73000002</v>
      </c>
      <c r="Y84" s="1592">
        <f>(SUMIFS('Other Commodities - Q&amp;V'!$F$8:$F$250,'Other Commodities - Q&amp;V'!$N$8:$N$250,LEFT('FY Q&amp;V 2003-04 to Now'!Y$7,4),'Other Commodities - Q&amp;V'!$O$8:$O$250,3)+
SUMIFS('Other Commodities - Q&amp;V'!$F$8:$F$250,'Other Commodities - Q&amp;V'!$N$8:$N$250,LEFT('FY Q&amp;V 2003-04 to Now'!Y$7,4),'Other Commodities - Q&amp;V'!$O$8:$O$250,4)+
SUMIFS('Other Commodities - Q&amp;V'!$F$8:$F$250,'Other Commodities - Q&amp;V'!$N$8:$N$250,CONCATENATE("20",RIGHT('FY Q&amp;V 2003-04 to Now'!Y$7,2)),'Other Commodities - Q&amp;V'!$O$8:$O$250,1)+
SUMIFS('Other Commodities - Q&amp;V'!$F$8:$F$250,'Other Commodities - Q&amp;V'!$N$8:$N$250,CONCATENATE("20",RIGHT('FY Q&amp;V 2003-04 to Now'!Y$7,2)),'Other Commodities - Q&amp;V'!$O$8:$O$250,2))*1000000</f>
        <v>11726606.300000001</v>
      </c>
      <c r="Z84" s="1593">
        <f>(SUMIFS('Other Commodities - Q&amp;V'!$G$8:$G$250,'Other Commodities - Q&amp;V'!$N$8:$N$250,LEFT('FY Q&amp;V 2003-04 to Now'!Y$7,4),'Other Commodities - Q&amp;V'!$O$8:$O$250,3)+
SUMIFS('Other Commodities - Q&amp;V'!$G$8:$G$250,'Other Commodities - Q&amp;V'!$N$8:$N$250,LEFT('FY Q&amp;V 2003-04 to Now'!Y$7,4),'Other Commodities - Q&amp;V'!$O$8:$O$250,4)+
SUMIFS('Other Commodities - Q&amp;V'!$G$8:$G$250,'Other Commodities - Q&amp;V'!$N$8:$N$250,CONCATENATE("20",RIGHT('FY Q&amp;V 2003-04 to Now'!Y$7,2)),'Other Commodities - Q&amp;V'!$O$8:$O$250,1)+
SUMIFS('Other Commodities - Q&amp;V'!$G$8:$G$250,'Other Commodities - Q&amp;V'!$N$8:$N$250,CONCATENATE("20",RIGHT('FY Q&amp;V 2003-04 to Now'!Y$7,2)),'Other Commodities - Q&amp;V'!$O$8:$O$250,2))*1000000</f>
        <v>374622315</v>
      </c>
      <c r="AA84" s="1592">
        <f>(SUMIFS('Other Commodities - Q&amp;V'!$F$8:$F$250,'Other Commodities - Q&amp;V'!$N$8:$N$250,LEFT('FY Q&amp;V 2003-04 to Now'!AA$7,4),'Other Commodities - Q&amp;V'!$O$8:$O$250,3)+
SUMIFS('Other Commodities - Q&amp;V'!$F$8:$F$250,'Other Commodities - Q&amp;V'!$N$8:$N$250,LEFT('FY Q&amp;V 2003-04 to Now'!AA$7,4),'Other Commodities - Q&amp;V'!$O$8:$O$250,4)+
SUMIFS('Other Commodities - Q&amp;V'!$F$8:$F$250,'Other Commodities - Q&amp;V'!$N$8:$N$250,CONCATENATE("20",RIGHT('FY Q&amp;V 2003-04 to Now'!AA$7,2)),'Other Commodities - Q&amp;V'!$O$8:$O$250,1)+
SUMIFS('Other Commodities - Q&amp;V'!$F$8:$F$250,'Other Commodities - Q&amp;V'!$N$8:$N$250,CONCATENATE("20",RIGHT('FY Q&amp;V 2003-04 to Now'!AA$7,2)),'Other Commodities - Q&amp;V'!$O$8:$O$250,2))*1000000</f>
        <v>10974721.49</v>
      </c>
      <c r="AB84" s="1593">
        <f>(SUMIFS('Other Commodities - Q&amp;V'!$G$8:$G$250,'Other Commodities - Q&amp;V'!$N$8:$N$250,LEFT('FY Q&amp;V 2003-04 to Now'!AA$7,4),'Other Commodities - Q&amp;V'!$O$8:$O$250,3)+
SUMIFS('Other Commodities - Q&amp;V'!$G$8:$G$250,'Other Commodities - Q&amp;V'!$N$8:$N$250,LEFT('FY Q&amp;V 2003-04 to Now'!AA$7,4),'Other Commodities - Q&amp;V'!$O$8:$O$250,4)+
SUMIFS('Other Commodities - Q&amp;V'!$G$8:$G$250,'Other Commodities - Q&amp;V'!$N$8:$N$250,CONCATENATE("20",RIGHT('FY Q&amp;V 2003-04 to Now'!AA$7,2)),'Other Commodities - Q&amp;V'!$O$8:$O$250,1)+
SUMIFS('Other Commodities - Q&amp;V'!$G$8:$G$250,'Other Commodities - Q&amp;V'!$N$8:$N$250,CONCATENATE("20",RIGHT('FY Q&amp;V 2003-04 to Now'!AA$7,2)),'Other Commodities - Q&amp;V'!$O$8:$O$250,2))*1000000</f>
        <v>336253755</v>
      </c>
      <c r="AC84" s="1594">
        <f>(SUMIFS('Other Commodities - Q&amp;V'!$F$8:$F$250,'Other Commodities - Q&amp;V'!$N$8:$N$250,LEFT('FY Q&amp;V 2003-04 to Now'!AC$7,4),'Other Commodities - Q&amp;V'!$O$8:$O$250,3)+
SUMIFS('Other Commodities - Q&amp;V'!$F$8:$F$250,'Other Commodities - Q&amp;V'!$N$8:$N$250,LEFT('FY Q&amp;V 2003-04 to Now'!AC$7,4),'Other Commodities - Q&amp;V'!$O$8:$O$250,4)+
SUMIFS('Other Commodities - Q&amp;V'!$F$8:$F$250,'Other Commodities - Q&amp;V'!$N$8:$N$250,CONCATENATE("20",RIGHT('FY Q&amp;V 2003-04 to Now'!AC$7,2)),'Other Commodities - Q&amp;V'!$O$8:$O$250,1)+
SUMIFS('Other Commodities - Q&amp;V'!$F$8:$F$250,'Other Commodities - Q&amp;V'!$N$8:$N$250,CONCATENATE("20",RIGHT('FY Q&amp;V 2003-04 to Now'!AC$7,2)),'Other Commodities - Q&amp;V'!$O$8:$O$250,2))*1000000</f>
        <v>10874278.82</v>
      </c>
      <c r="AD84" s="1593">
        <f>(SUMIFS('Other Commodities - Q&amp;V'!$G$8:$G$250,'Other Commodities - Q&amp;V'!$N$8:$N$250,LEFT('FY Q&amp;V 2003-04 to Now'!AC$7,4),'Other Commodities - Q&amp;V'!$O$8:$O$250,3)+
SUMIFS('Other Commodities - Q&amp;V'!$G$8:$G$250,'Other Commodities - Q&amp;V'!$N$8:$N$250,LEFT('FY Q&amp;V 2003-04 to Now'!AC$7,4),'Other Commodities - Q&amp;V'!$O$8:$O$250,4)+
SUMIFS('Other Commodities - Q&amp;V'!$G$8:$G$250,'Other Commodities - Q&amp;V'!$N$8:$N$250,CONCATENATE("20",RIGHT('FY Q&amp;V 2003-04 to Now'!AC$7,2)),'Other Commodities - Q&amp;V'!$O$8:$O$250,1)+
SUMIFS('Other Commodities - Q&amp;V'!$G$8:$G$250,'Other Commodities - Q&amp;V'!$N$8:$N$250,CONCATENATE("20",RIGHT('FY Q&amp;V 2003-04 to Now'!AC$7,2)),'Other Commodities - Q&amp;V'!$O$8:$O$250,2))*1000000</f>
        <v>292285826</v>
      </c>
      <c r="AE84" s="1594">
        <f>(SUMIFS('Other Commodities - Q&amp;V'!$F$8:$F$250,'Other Commodities - Q&amp;V'!$N$8:$N$250,LEFT('FY Q&amp;V 2003-04 to Now'!AE$7,4),'Other Commodities - Q&amp;V'!$O$8:$O$250,3)+
SUMIFS('Other Commodities - Q&amp;V'!$F$8:$F$250,'Other Commodities - Q&amp;V'!$N$8:$N$250,LEFT('FY Q&amp;V 2003-04 to Now'!AE$7,4),'Other Commodities - Q&amp;V'!$O$8:$O$250,4)+
SUMIFS('Other Commodities - Q&amp;V'!$F$8:$F$250,'Other Commodities - Q&amp;V'!$N$8:$N$250,CONCATENATE("20",RIGHT('FY Q&amp;V 2003-04 to Now'!AE$7,2)),'Other Commodities - Q&amp;V'!$O$8:$O$250,1)+
SUMIFS('Other Commodities - Q&amp;V'!$F$8:$F$250,'Other Commodities - Q&amp;V'!$N$8:$N$250,CONCATENATE("20",RIGHT('FY Q&amp;V 2003-04 to Now'!AE$7,2)),'Other Commodities - Q&amp;V'!$O$8:$O$250,2))*1000000</f>
        <v>12963777.649999999</v>
      </c>
      <c r="AF84" s="1593">
        <f>(SUMIFS('Other Commodities - Q&amp;V'!$G$8:$G$250,'Other Commodities - Q&amp;V'!$N$8:$N$250,LEFT('FY Q&amp;V 2003-04 to Now'!AE$7,4),'Other Commodities - Q&amp;V'!$O$8:$O$250,3)+
SUMIFS('Other Commodities - Q&amp;V'!$G$8:$G$250,'Other Commodities - Q&amp;V'!$N$8:$N$250,LEFT('FY Q&amp;V 2003-04 to Now'!AE$7,4),'Other Commodities - Q&amp;V'!$O$8:$O$250,4)+
SUMIFS('Other Commodities - Q&amp;V'!$G$8:$G$250,'Other Commodities - Q&amp;V'!$N$8:$N$250,CONCATENATE("20",RIGHT('FY Q&amp;V 2003-04 to Now'!AE$7,2)),'Other Commodities - Q&amp;V'!$O$8:$O$250,1)+
SUMIFS('Other Commodities - Q&amp;V'!$G$8:$G$250,'Other Commodities - Q&amp;V'!$N$8:$N$250,CONCATENATE("20",RIGHT('FY Q&amp;V 2003-04 to Now'!AE$7,2)),'Other Commodities - Q&amp;V'!$O$8:$O$250,2))*1000000</f>
        <v>302930944.45100003</v>
      </c>
      <c r="AG84" s="1706">
        <f>(SUMIFS('Other Commodities - Q&amp;V'!$F$8:$F$250,'Other Commodities - Q&amp;V'!$N$8:$N$250,LEFT('FY Q&amp;V 2003-04 to Now'!AG$7,4),'Other Commodities - Q&amp;V'!$O$8:$O$250,3)+
SUMIFS('Other Commodities - Q&amp;V'!$F$8:$F$250,'Other Commodities - Q&amp;V'!$N$8:$N$250,LEFT('FY Q&amp;V 2003-04 to Now'!AG$7,4),'Other Commodities - Q&amp;V'!$O$8:$O$250,4)+
SUMIFS('Other Commodities - Q&amp;V'!$F$8:$F$250,'Other Commodities - Q&amp;V'!$N$8:$N$250,CONCATENATE("20",RIGHT('FY Q&amp;V 2003-04 to Now'!AG$7,2)),'Other Commodities - Q&amp;V'!$O$8:$O$250,1)+
SUMIFS('Other Commodities - Q&amp;V'!$F$8:$F$250,'Other Commodities - Q&amp;V'!$N$8:$N$250,CONCATENATE("20",RIGHT('FY Q&amp;V 2003-04 to Now'!AG$7,2)),'Other Commodities - Q&amp;V'!$O$8:$O$250,2))*1000000</f>
        <v>11729482.32</v>
      </c>
      <c r="AH84" s="242">
        <f>(SUMIFS('Other Commodities - Q&amp;V'!$G$8:$G$250,'Other Commodities - Q&amp;V'!$N$8:$N$250,LEFT('FY Q&amp;V 2003-04 to Now'!AG$7,4),'Other Commodities - Q&amp;V'!$O$8:$O$250,3)+
SUMIFS('Other Commodities - Q&amp;V'!$G$8:$G$250,'Other Commodities - Q&amp;V'!$N$8:$N$250,LEFT('FY Q&amp;V 2003-04 to Now'!AG$7,4),'Other Commodities - Q&amp;V'!$O$8:$O$250,4)+
SUMIFS('Other Commodities - Q&amp;V'!$G$8:$G$250,'Other Commodities - Q&amp;V'!$N$8:$N$250,CONCATENATE("20",RIGHT('FY Q&amp;V 2003-04 to Now'!AG$7,2)),'Other Commodities - Q&amp;V'!$O$8:$O$250,1)+
SUMIFS('Other Commodities - Q&amp;V'!$G$8:$G$250,'Other Commodities - Q&amp;V'!$N$8:$N$250,CONCATENATE("20",RIGHT('FY Q&amp;V 2003-04 to Now'!AG$7,2)),'Other Commodities - Q&amp;V'!$O$8:$O$250,2))*1000000</f>
        <v>303286875.04580003</v>
      </c>
      <c r="AI84" s="1706">
        <f>(SUMIFS('Other Commodities - Q&amp;V'!$F$8:$F$250,'Other Commodities - Q&amp;V'!$N$8:$N$250,LEFT('FY Q&amp;V 2003-04 to Now'!AI$7,4),'Other Commodities - Q&amp;V'!$O$8:$O$250,3)+
SUMIFS('Other Commodities - Q&amp;V'!$F$8:$F$250,'Other Commodities - Q&amp;V'!$N$8:$N$250,LEFT('FY Q&amp;V 2003-04 to Now'!AI$7,4),'Other Commodities - Q&amp;V'!$O$8:$O$250,4)+
SUMIFS('Other Commodities - Q&amp;V'!$F$8:$F$250,'Other Commodities - Q&amp;V'!$N$8:$N$250,CONCATENATE("20",RIGHT('FY Q&amp;V 2003-04 to Now'!AI$7,2)),'Other Commodities - Q&amp;V'!$O$8:$O$250,1)+
SUMIFS('Other Commodities - Q&amp;V'!$F$8:$F$250,'Other Commodities - Q&amp;V'!$N$8:$N$250,CONCATENATE("20",RIGHT('FY Q&amp;V 2003-04 to Now'!AI$7,2)),'Other Commodities - Q&amp;V'!$O$8:$O$250,2))*1000000</f>
        <v>11266385.220000001</v>
      </c>
      <c r="AJ84" s="242">
        <f>(SUMIFS('Other Commodities - Q&amp;V'!$G$8:$G$250,'Other Commodities - Q&amp;V'!$N$8:$N$250,LEFT('FY Q&amp;V 2003-04 to Now'!AI$7,4),'Other Commodities - Q&amp;V'!$O$8:$O$250,3)+
SUMIFS('Other Commodities - Q&amp;V'!$G$8:$G$250,'Other Commodities - Q&amp;V'!$N$8:$N$250,LEFT('FY Q&amp;V 2003-04 to Now'!AI$7,4),'Other Commodities - Q&amp;V'!$O$8:$O$250,4)+
SUMIFS('Other Commodities - Q&amp;V'!$G$8:$G$250,'Other Commodities - Q&amp;V'!$N$8:$N$250,CONCATENATE("20",RIGHT('FY Q&amp;V 2003-04 to Now'!AI$7,2)),'Other Commodities - Q&amp;V'!$O$8:$O$250,1)+
SUMIFS('Other Commodities - Q&amp;V'!$G$8:$G$250,'Other Commodities - Q&amp;V'!$N$8:$N$250,CONCATENATE("20",RIGHT('FY Q&amp;V 2003-04 to Now'!AI$7,2)),'Other Commodities - Q&amp;V'!$O$8:$O$250,2))*1000000</f>
        <v>375124666.85699999</v>
      </c>
      <c r="AK84" s="242">
        <f>(SUMIFS('Other Commodities - Q&amp;V'!$F$8:$F$250,'Other Commodities - Q&amp;V'!$N$8:$N$250,LEFT('FY Q&amp;V 2003-04 to Now'!AK$7,4),'Other Commodities - Q&amp;V'!$O$8:$O$250,3)+
SUMIFS('Other Commodities - Q&amp;V'!$F$8:$F$250,'Other Commodities - Q&amp;V'!$N$8:$N$250,LEFT('FY Q&amp;V 2003-04 to Now'!AK$7,4),'Other Commodities - Q&amp;V'!$O$8:$O$250,4)+
SUMIFS('Other Commodities - Q&amp;V'!$F$8:$F$250,'Other Commodities - Q&amp;V'!$N$8:$N$250,CONCATENATE("20",RIGHT('FY Q&amp;V 2003-04 to Now'!AK$7,2)),'Other Commodities - Q&amp;V'!$O$8:$O$250,1)+
SUMIFS('Other Commodities - Q&amp;V'!$F$8:$F$250,'Other Commodities - Q&amp;V'!$N$8:$N$250,CONCATENATE("20",RIGHT('FY Q&amp;V 2003-04 to Now'!AK$7,2)),'Other Commodities - Q&amp;V'!$O$8:$O$250,2))*1000000</f>
        <v>12498613.345000001</v>
      </c>
      <c r="AL84" s="242">
        <f>(SUMIFS('Other Commodities - Q&amp;V'!$G$8:$G$250,'Other Commodities - Q&amp;V'!$N$8:$N$250,LEFT('FY Q&amp;V 2003-04 to Now'!AK$7,4),'Other Commodities - Q&amp;V'!$O$8:$O$250,3)+
SUMIFS('Other Commodities - Q&amp;V'!$G$8:$G$250,'Other Commodities - Q&amp;V'!$N$8:$N$250,LEFT('FY Q&amp;V 2003-04 to Now'!AK$7,4),'Other Commodities - Q&amp;V'!$O$8:$O$250,4)+
SUMIFS('Other Commodities - Q&amp;V'!$G$8:$G$250,'Other Commodities - Q&amp;V'!$N$8:$N$250,CONCATENATE("20",RIGHT('FY Q&amp;V 2003-04 to Now'!AK$7,2)),'Other Commodities - Q&amp;V'!$O$8:$O$250,1)+
SUMIFS('Other Commodities - Q&amp;V'!$G$8:$G$250,'Other Commodities - Q&amp;V'!$N$8:$N$250,CONCATENATE("20",RIGHT('FY Q&amp;V 2003-04 to Now'!AK$7,2)),'Other Commodities - Q&amp;V'!$O$8:$O$250,2))*1000000</f>
        <v>553347569.93299997</v>
      </c>
      <c r="AM84" s="1576">
        <f>SUMIF($C$9:AJ$9,1,$C84:AJ84)</f>
        <v>194769450.62399998</v>
      </c>
      <c r="AN84" s="1489">
        <f>SUMIF($C$9:AJ$9,0,$C84:AJ84)</f>
        <v>5384331657.9138002</v>
      </c>
    </row>
    <row r="85" spans="1:44">
      <c r="A85" s="1515"/>
      <c r="B85" s="1511"/>
      <c r="C85" s="1592"/>
      <c r="D85" s="1593"/>
      <c r="E85" s="1592"/>
      <c r="F85" s="1593"/>
      <c r="G85" s="1592"/>
      <c r="H85" s="1593"/>
      <c r="I85" s="1592"/>
      <c r="J85" s="1593"/>
      <c r="K85" s="1592"/>
      <c r="L85" s="1593"/>
      <c r="M85" s="1592"/>
      <c r="N85" s="1593"/>
      <c r="O85" s="1592"/>
      <c r="P85" s="1593"/>
      <c r="Q85" s="1592"/>
      <c r="R85" s="1593"/>
      <c r="S85" s="1592"/>
      <c r="T85" s="1593"/>
      <c r="U85" s="1592"/>
      <c r="V85" s="1593"/>
      <c r="W85" s="1592"/>
      <c r="X85" s="1593"/>
      <c r="Y85" s="1592"/>
      <c r="Z85" s="1593"/>
      <c r="AA85" s="1592"/>
      <c r="AB85" s="1593"/>
      <c r="AC85" s="1594"/>
      <c r="AD85" s="1593"/>
      <c r="AE85" s="1594"/>
      <c r="AF85" s="1593"/>
      <c r="AG85" s="1707"/>
      <c r="AH85" s="1710"/>
      <c r="AI85" s="1707"/>
      <c r="AJ85" s="1710"/>
      <c r="AK85" s="1710"/>
      <c r="AL85" s="1710"/>
      <c r="AM85" s="1576"/>
      <c r="AN85" s="1489"/>
    </row>
    <row r="86" spans="1:44">
      <c r="A86" s="365" t="s">
        <v>275</v>
      </c>
      <c r="B86" s="361" t="s">
        <v>87</v>
      </c>
      <c r="C86" s="1279">
        <v>644205</v>
      </c>
      <c r="D86" s="1279">
        <v>6759618</v>
      </c>
      <c r="E86" s="1279">
        <v>700239.7</v>
      </c>
      <c r="F86" s="1279">
        <v>6155323</v>
      </c>
      <c r="G86" s="1279">
        <v>778115</v>
      </c>
      <c r="H86" s="1279">
        <v>7779625</v>
      </c>
      <c r="I86" s="1279">
        <v>630536.47</v>
      </c>
      <c r="J86" s="1279">
        <v>6016582</v>
      </c>
      <c r="K86" s="1279">
        <v>675112.38</v>
      </c>
      <c r="L86" s="1279">
        <v>11283531</v>
      </c>
      <c r="M86" s="1279">
        <v>446024.99</v>
      </c>
      <c r="N86" s="1279">
        <v>7615823</v>
      </c>
      <c r="O86" s="1279">
        <v>442340.3</v>
      </c>
      <c r="P86" s="1279">
        <v>12402030</v>
      </c>
      <c r="Q86" s="1279">
        <v>430363.1</v>
      </c>
      <c r="R86" s="1279">
        <v>13304556</v>
      </c>
      <c r="S86" s="1279">
        <v>452638.3</v>
      </c>
      <c r="T86" s="1279">
        <v>14742316</v>
      </c>
      <c r="U86" s="1279">
        <v>498232.2</v>
      </c>
      <c r="V86" s="1279">
        <v>16886756</v>
      </c>
      <c r="W86" s="1279">
        <v>449586.68</v>
      </c>
      <c r="X86" s="1279">
        <v>15847051</v>
      </c>
      <c r="Y86" s="1279">
        <v>483809.31000000006</v>
      </c>
      <c r="Z86" s="1279">
        <v>17927564</v>
      </c>
      <c r="AA86" s="1279">
        <v>581965.53299999994</v>
      </c>
      <c r="AB86" s="1279">
        <v>18072793</v>
      </c>
      <c r="AC86" s="1291">
        <v>728859</v>
      </c>
      <c r="AD86" s="1279">
        <v>20364867</v>
      </c>
      <c r="AE86" s="1291">
        <v>974445</v>
      </c>
      <c r="AF86" s="1279">
        <v>18775811</v>
      </c>
      <c r="AG86" s="1291">
        <v>992208.35599999991</v>
      </c>
      <c r="AH86" s="1279">
        <v>21269502</v>
      </c>
      <c r="AI86" s="1291">
        <v>991397.67800000007</v>
      </c>
      <c r="AJ86" s="1279">
        <v>19661802</v>
      </c>
      <c r="AK86" s="1279">
        <v>849162.37399999984</v>
      </c>
      <c r="AL86" s="1279">
        <v>16825292</v>
      </c>
      <c r="AM86" s="1291">
        <f>SUMIF($C$9:AL$9,1,$C86:AL86)</f>
        <v>11749241.370999999</v>
      </c>
      <c r="AN86" s="1279">
        <f>SUMIF($C$9:AL$9,0,$C86:AL86)</f>
        <v>251690842</v>
      </c>
    </row>
    <row r="87" spans="1:44">
      <c r="A87" s="362"/>
      <c r="B87" s="361"/>
      <c r="C87" s="1178"/>
      <c r="D87" s="1178"/>
      <c r="E87" s="1178"/>
      <c r="F87" s="1178"/>
      <c r="G87" s="1178"/>
      <c r="H87" s="1178"/>
      <c r="I87" s="1178"/>
      <c r="J87" s="1178"/>
      <c r="K87" s="1178"/>
      <c r="L87" s="1178"/>
      <c r="M87" s="1178"/>
      <c r="N87" s="1178"/>
      <c r="O87" s="1178"/>
      <c r="P87" s="1178"/>
      <c r="Q87" s="1178"/>
      <c r="R87" s="1178"/>
      <c r="S87" s="1178"/>
      <c r="T87" s="1178"/>
      <c r="U87" s="1178"/>
      <c r="V87" s="1178"/>
      <c r="W87" s="1178"/>
      <c r="X87" s="1178"/>
      <c r="Y87" s="1178"/>
      <c r="Z87" s="1178"/>
      <c r="AA87" s="1178"/>
      <c r="AB87" s="1178"/>
      <c r="AC87" s="1293"/>
      <c r="AD87" s="1178"/>
      <c r="AE87" s="1293"/>
      <c r="AF87" s="1178"/>
      <c r="AG87" s="1293"/>
      <c r="AH87" s="1178"/>
      <c r="AI87" s="1293"/>
      <c r="AJ87" s="1178"/>
      <c r="AK87" s="1178"/>
      <c r="AL87" s="1178"/>
      <c r="AM87" s="1291"/>
      <c r="AN87" s="1279"/>
    </row>
    <row r="88" spans="1:44">
      <c r="A88" s="1496" t="s">
        <v>278</v>
      </c>
      <c r="B88" s="1511" t="s">
        <v>160</v>
      </c>
      <c r="C88" s="1592">
        <f>(SUMIFS('Other Commodities - Q&amp;V'!$B$8:$B$250,'Other Commodities - Q&amp;V'!$N$8:$N$250,LEFT('FY Q&amp;V 2003-04 to Now'!C$7,4),'Other Commodities - Q&amp;V'!$O$8:$O$250,3)+
SUMIFS('Other Commodities - Q&amp;V'!$B$8:$B$250,'Other Commodities - Q&amp;V'!$N$8:$N$250,LEFT('FY Q&amp;V 2003-04 to Now'!C$7,4),'Other Commodities - Q&amp;V'!$O$8:$O$250,4)+
SUMIFS('Other Commodities - Q&amp;V'!$B$8:$B$250,'Other Commodities - Q&amp;V'!$N$8:$N$250,CONCATENATE("20",RIGHT('FY Q&amp;V 2003-04 to Now'!C$7,2)),'Other Commodities - Q&amp;V'!$O$8:$O$250,1)+
SUMIFS('Other Commodities - Q&amp;V'!$B$8:$B$250,'Other Commodities - Q&amp;V'!$N$8:$N$250,CONCATENATE("20",RIGHT('FY Q&amp;V 2003-04 to Now'!C$7,2)),'Other Commodities - Q&amp;V'!$O$8:$O$250,2))*1000</f>
        <v>98060</v>
      </c>
      <c r="D88" s="1593">
        <f>(SUMIFS('Other Commodities - Q&amp;V'!$C$8:$C$250,'Other Commodities - Q&amp;V'!$N$8:$N$250,LEFT('FY Q&amp;V 2003-04 to Now'!C$7,4),'Other Commodities - Q&amp;V'!$O$8:$O$250,3)+
SUMIFS('Other Commodities - Q&amp;V'!$C$8:$C$250,'Other Commodities - Q&amp;V'!$N$8:$N$250,LEFT('FY Q&amp;V 2003-04 to Now'!C$7,4),'Other Commodities - Q&amp;V'!$O$8:$O$250,4)+
SUMIFS('Other Commodities - Q&amp;V'!$C$8:$C$250,'Other Commodities - Q&amp;V'!$N$8:$N$250,CONCATENATE("20",RIGHT('FY Q&amp;V 2003-04 to Now'!C$7,2)),'Other Commodities - Q&amp;V'!$O$8:$O$250,1)+
SUMIFS('Other Commodities - Q&amp;V'!$C$8:$C$250,'Other Commodities - Q&amp;V'!$N$8:$N$250,CONCATENATE("20",RIGHT('FY Q&amp;V 2003-04 to Now'!C$7,2)),'Other Commodities - Q&amp;V'!$O$8:$O$250,2))*1000000</f>
        <v>13101927.68</v>
      </c>
      <c r="E88" s="1592">
        <f>(SUMIFS('Other Commodities - Q&amp;V'!$B$8:$B$250,'Other Commodities - Q&amp;V'!$N$8:$N$250,LEFT('FY Q&amp;V 2003-04 to Now'!E$7,4),'Other Commodities - Q&amp;V'!$O$8:$O$250,3)+
SUMIFS('Other Commodities - Q&amp;V'!$B$8:$B$250,'Other Commodities - Q&amp;V'!$N$8:$N$250,LEFT('FY Q&amp;V 2003-04 to Now'!E$7,4),'Other Commodities - Q&amp;V'!$O$8:$O$250,4)+
SUMIFS('Other Commodities - Q&amp;V'!$B$8:$B$250,'Other Commodities - Q&amp;V'!$N$8:$N$250,CONCATENATE("20",RIGHT('FY Q&amp;V 2003-04 to Now'!E$7,2)),'Other Commodities - Q&amp;V'!$O$8:$O$250,1)+
SUMIFS('Other Commodities - Q&amp;V'!$B$8:$B$250,'Other Commodities - Q&amp;V'!$N$8:$N$250,CONCATENATE("20",RIGHT('FY Q&amp;V 2003-04 to Now'!E$7,2)),'Other Commodities - Q&amp;V'!$O$8:$O$250,2))*1000</f>
        <v>142400</v>
      </c>
      <c r="F88" s="1593">
        <f>(SUMIFS('Other Commodities - Q&amp;V'!$C$8:$C$250,'Other Commodities - Q&amp;V'!$N$8:$N$250,LEFT('FY Q&amp;V 2003-04 to Now'!E$7,4),'Other Commodities - Q&amp;V'!$O$8:$O$250,3)+
SUMIFS('Other Commodities - Q&amp;V'!$C$8:$C$250,'Other Commodities - Q&amp;V'!$N$8:$N$250,LEFT('FY Q&amp;V 2003-04 to Now'!E$7,4),'Other Commodities - Q&amp;V'!$O$8:$O$250,4)+
SUMIFS('Other Commodities - Q&amp;V'!$C$8:$C$250,'Other Commodities - Q&amp;V'!$N$8:$N$250,CONCATENATE("20",RIGHT('FY Q&amp;V 2003-04 to Now'!E$7,2)),'Other Commodities - Q&amp;V'!$O$8:$O$250,1)+
SUMIFS('Other Commodities - Q&amp;V'!$C$8:$C$250,'Other Commodities - Q&amp;V'!$N$8:$N$250,CONCATENATE("20",RIGHT('FY Q&amp;V 2003-04 to Now'!E$7,2)),'Other Commodities - Q&amp;V'!$O$8:$O$250,2))*1000000</f>
        <v>40037387.249999993</v>
      </c>
      <c r="G88" s="1592">
        <f>(SUMIFS('Other Commodities - Q&amp;V'!$B$8:$B$250,'Other Commodities - Q&amp;V'!$N$8:$N$250,LEFT('FY Q&amp;V 2003-04 to Now'!G$7,4),'Other Commodities - Q&amp;V'!$O$8:$O$250,3)+
SUMIFS('Other Commodities - Q&amp;V'!$B$8:$B$250,'Other Commodities - Q&amp;V'!$N$8:$N$250,LEFT('FY Q&amp;V 2003-04 to Now'!G$7,4),'Other Commodities - Q&amp;V'!$O$8:$O$250,4)+
SUMIFS('Other Commodities - Q&amp;V'!$B$8:$B$250,'Other Commodities - Q&amp;V'!$N$8:$N$250,CONCATENATE("20",RIGHT('FY Q&amp;V 2003-04 to Now'!G$7,2)),'Other Commodities - Q&amp;V'!$O$8:$O$250,1)+
SUMIFS('Other Commodities - Q&amp;V'!$B$8:$B$250,'Other Commodities - Q&amp;V'!$N$8:$N$250,CONCATENATE("20",RIGHT('FY Q&amp;V 2003-04 to Now'!G$7,2)),'Other Commodities - Q&amp;V'!$O$8:$O$250,2))*1000</f>
        <v>94500</v>
      </c>
      <c r="H88" s="1593">
        <f>(SUMIFS('Other Commodities - Q&amp;V'!$C$8:$C$250,'Other Commodities - Q&amp;V'!$N$8:$N$250,LEFT('FY Q&amp;V 2003-04 to Now'!G$7,4),'Other Commodities - Q&amp;V'!$O$8:$O$250,3)+
SUMIFS('Other Commodities - Q&amp;V'!$C$8:$C$250,'Other Commodities - Q&amp;V'!$N$8:$N$250,LEFT('FY Q&amp;V 2003-04 to Now'!G$7,4),'Other Commodities - Q&amp;V'!$O$8:$O$250,4)+
SUMIFS('Other Commodities - Q&amp;V'!$C$8:$C$250,'Other Commodities - Q&amp;V'!$N$8:$N$250,CONCATENATE("20",RIGHT('FY Q&amp;V 2003-04 to Now'!G$7,2)),'Other Commodities - Q&amp;V'!$O$8:$O$250,1)+
SUMIFS('Other Commodities - Q&amp;V'!$C$8:$C$250,'Other Commodities - Q&amp;V'!$N$8:$N$250,CONCATENATE("20",RIGHT('FY Q&amp;V 2003-04 to Now'!G$7,2)),'Other Commodities - Q&amp;V'!$O$8:$O$250,2))*1000000</f>
        <v>39552284.460000001</v>
      </c>
      <c r="I88" s="1592">
        <f>(SUMIFS('Other Commodities - Q&amp;V'!$B$8:$B$250,'Other Commodities - Q&amp;V'!$N$8:$N$250,LEFT('FY Q&amp;V 2003-04 to Now'!I$7,4),'Other Commodities - Q&amp;V'!$O$8:$O$250,3)+
SUMIFS('Other Commodities - Q&amp;V'!$B$8:$B$250,'Other Commodities - Q&amp;V'!$N$8:$N$250,LEFT('FY Q&amp;V 2003-04 to Now'!I$7,4),'Other Commodities - Q&amp;V'!$O$8:$O$250,4)+
SUMIFS('Other Commodities - Q&amp;V'!$B$8:$B$250,'Other Commodities - Q&amp;V'!$N$8:$N$250,CONCATENATE("20",RIGHT('FY Q&amp;V 2003-04 to Now'!I$7,2)),'Other Commodities - Q&amp;V'!$O$8:$O$250,1)+
SUMIFS('Other Commodities - Q&amp;V'!$B$8:$B$250,'Other Commodities - Q&amp;V'!$N$8:$N$250,CONCATENATE("20",RIGHT('FY Q&amp;V 2003-04 to Now'!I$7,2)),'Other Commodities - Q&amp;V'!$O$8:$O$250,2))*1000</f>
        <v>120260</v>
      </c>
      <c r="J88" s="1593">
        <f>(SUMIFS('Other Commodities - Q&amp;V'!$C$8:$C$250,'Other Commodities - Q&amp;V'!$N$8:$N$250,LEFT('FY Q&amp;V 2003-04 to Now'!I$7,4),'Other Commodities - Q&amp;V'!$O$8:$O$250,3)+
SUMIFS('Other Commodities - Q&amp;V'!$C$8:$C$250,'Other Commodities - Q&amp;V'!$N$8:$N$250,LEFT('FY Q&amp;V 2003-04 to Now'!I$7,4),'Other Commodities - Q&amp;V'!$O$8:$O$250,4)+
SUMIFS('Other Commodities - Q&amp;V'!$C$8:$C$250,'Other Commodities - Q&amp;V'!$N$8:$N$250,CONCATENATE("20",RIGHT('FY Q&amp;V 2003-04 to Now'!I$7,2)),'Other Commodities - Q&amp;V'!$O$8:$O$250,1)+
SUMIFS('Other Commodities - Q&amp;V'!$C$8:$C$250,'Other Commodities - Q&amp;V'!$N$8:$N$250,CONCATENATE("20",RIGHT('FY Q&amp;V 2003-04 to Now'!I$7,2)),'Other Commodities - Q&amp;V'!$O$8:$O$250,2))*1000000</f>
        <v>61768653.099999994</v>
      </c>
      <c r="K88" s="1592">
        <f>(SUMIFS('Other Commodities - Q&amp;V'!$B$8:$B$250,'Other Commodities - Q&amp;V'!$N$8:$N$250,LEFT('FY Q&amp;V 2003-04 to Now'!K$7,4),'Other Commodities - Q&amp;V'!$O$8:$O$250,3)+
SUMIFS('Other Commodities - Q&amp;V'!$B$8:$B$250,'Other Commodities - Q&amp;V'!$N$8:$N$250,LEFT('FY Q&amp;V 2003-04 to Now'!K$7,4),'Other Commodities - Q&amp;V'!$O$8:$O$250,4)+
SUMIFS('Other Commodities - Q&amp;V'!$B$8:$B$250,'Other Commodities - Q&amp;V'!$N$8:$N$250,CONCATENATE("20",RIGHT('FY Q&amp;V 2003-04 to Now'!K$7,2)),'Other Commodities - Q&amp;V'!$O$8:$O$250,1)+
SUMIFS('Other Commodities - Q&amp;V'!$B$8:$B$250,'Other Commodities - Q&amp;V'!$N$8:$N$250,CONCATENATE("20",RIGHT('FY Q&amp;V 2003-04 to Now'!K$7,2)),'Other Commodities - Q&amp;V'!$O$8:$O$250,2))*1000</f>
        <v>95370</v>
      </c>
      <c r="L88" s="1593">
        <f>(SUMIFS('Other Commodities - Q&amp;V'!$C$8:$C$250,'Other Commodities - Q&amp;V'!$N$8:$N$250,LEFT('FY Q&amp;V 2003-04 to Now'!K$7,4),'Other Commodities - Q&amp;V'!$O$8:$O$250,3)+
SUMIFS('Other Commodities - Q&amp;V'!$C$8:$C$250,'Other Commodities - Q&amp;V'!$N$8:$N$250,LEFT('FY Q&amp;V 2003-04 to Now'!K$7,4),'Other Commodities - Q&amp;V'!$O$8:$O$250,4)+
SUMIFS('Other Commodities - Q&amp;V'!$C$8:$C$250,'Other Commodities - Q&amp;V'!$N$8:$N$250,CONCATENATE("20",RIGHT('FY Q&amp;V 2003-04 to Now'!K$7,2)),'Other Commodities - Q&amp;V'!$O$8:$O$250,1)+
SUMIFS('Other Commodities - Q&amp;V'!$C$8:$C$250,'Other Commodities - Q&amp;V'!$N$8:$N$250,CONCATENATE("20",RIGHT('FY Q&amp;V 2003-04 to Now'!K$7,2)),'Other Commodities - Q&amp;V'!$O$8:$O$250,2))*1000000</f>
        <v>56224613.550000004</v>
      </c>
      <c r="M88" s="1592">
        <f>(SUMIFS('Other Commodities - Q&amp;V'!$B$8:$B$250,'Other Commodities - Q&amp;V'!$N$8:$N$250,LEFT('FY Q&amp;V 2003-04 to Now'!M$7,4),'Other Commodities - Q&amp;V'!$O$8:$O$250,3)+
SUMIFS('Other Commodities - Q&amp;V'!$B$8:$B$250,'Other Commodities - Q&amp;V'!$N$8:$N$250,LEFT('FY Q&amp;V 2003-04 to Now'!M$7,4),'Other Commodities - Q&amp;V'!$O$8:$O$250,4)+
SUMIFS('Other Commodities - Q&amp;V'!$B$8:$B$250,'Other Commodities - Q&amp;V'!$N$8:$N$250,CONCATENATE("20",RIGHT('FY Q&amp;V 2003-04 to Now'!M$7,2)),'Other Commodities - Q&amp;V'!$O$8:$O$250,1)+
SUMIFS('Other Commodities - Q&amp;V'!$B$8:$B$250,'Other Commodities - Q&amp;V'!$N$8:$N$250,CONCATENATE("20",RIGHT('FY Q&amp;V 2003-04 to Now'!M$7,2)),'Other Commodities - Q&amp;V'!$O$8:$O$250,2))*1000</f>
        <v>137070</v>
      </c>
      <c r="N88" s="1593">
        <f>(SUMIFS('Other Commodities - Q&amp;V'!$C$8:$C$250,'Other Commodities - Q&amp;V'!$N$8:$N$250,LEFT('FY Q&amp;V 2003-04 to Now'!M$7,4),'Other Commodities - Q&amp;V'!$O$8:$O$250,3)+
SUMIFS('Other Commodities - Q&amp;V'!$C$8:$C$250,'Other Commodities - Q&amp;V'!$N$8:$N$250,LEFT('FY Q&amp;V 2003-04 to Now'!M$7,4),'Other Commodities - Q&amp;V'!$O$8:$O$250,4)+
SUMIFS('Other Commodities - Q&amp;V'!$C$8:$C$250,'Other Commodities - Q&amp;V'!$N$8:$N$250,CONCATENATE("20",RIGHT('FY Q&amp;V 2003-04 to Now'!M$7,2)),'Other Commodities - Q&amp;V'!$O$8:$O$250,1)+
SUMIFS('Other Commodities - Q&amp;V'!$C$8:$C$250,'Other Commodities - Q&amp;V'!$N$8:$N$250,CONCATENATE("20",RIGHT('FY Q&amp;V 2003-04 to Now'!M$7,2)),'Other Commodities - Q&amp;V'!$O$8:$O$250,2))*1000000</f>
        <v>77399267.289999992</v>
      </c>
      <c r="O88" s="1592">
        <f>(SUMIFS('Other Commodities - Q&amp;V'!$B$8:$B$250,'Other Commodities - Q&amp;V'!$N$8:$N$250,LEFT('FY Q&amp;V 2003-04 to Now'!O$7,4),'Other Commodities - Q&amp;V'!$O$8:$O$250,3)+
SUMIFS('Other Commodities - Q&amp;V'!$B$8:$B$250,'Other Commodities - Q&amp;V'!$N$8:$N$250,LEFT('FY Q&amp;V 2003-04 to Now'!O$7,4),'Other Commodities - Q&amp;V'!$O$8:$O$250,4)+
SUMIFS('Other Commodities - Q&amp;V'!$B$8:$B$250,'Other Commodities - Q&amp;V'!$N$8:$N$250,CONCATENATE("20",RIGHT('FY Q&amp;V 2003-04 to Now'!O$7,2)),'Other Commodities - Q&amp;V'!$O$8:$O$250,1)+
SUMIFS('Other Commodities - Q&amp;V'!$B$8:$B$250,'Other Commodities - Q&amp;V'!$N$8:$N$250,CONCATENATE("20",RIGHT('FY Q&amp;V 2003-04 to Now'!O$7,2)),'Other Commodities - Q&amp;V'!$O$8:$O$250,2))*1000</f>
        <v>100030</v>
      </c>
      <c r="P88" s="1593">
        <f>(SUMIFS('Other Commodities - Q&amp;V'!$C$8:$C$250,'Other Commodities - Q&amp;V'!$N$8:$N$250,LEFT('FY Q&amp;V 2003-04 to Now'!O$7,4),'Other Commodities - Q&amp;V'!$O$8:$O$250,3)+
SUMIFS('Other Commodities - Q&amp;V'!$C$8:$C$250,'Other Commodities - Q&amp;V'!$N$8:$N$250,LEFT('FY Q&amp;V 2003-04 to Now'!O$7,4),'Other Commodities - Q&amp;V'!$O$8:$O$250,4)+
SUMIFS('Other Commodities - Q&amp;V'!$C$8:$C$250,'Other Commodities - Q&amp;V'!$N$8:$N$250,CONCATENATE("20",RIGHT('FY Q&amp;V 2003-04 to Now'!O$7,2)),'Other Commodities - Q&amp;V'!$O$8:$O$250,1)+
SUMIFS('Other Commodities - Q&amp;V'!$C$8:$C$250,'Other Commodities - Q&amp;V'!$N$8:$N$250,CONCATENATE("20",RIGHT('FY Q&amp;V 2003-04 to Now'!O$7,2)),'Other Commodities - Q&amp;V'!$O$8:$O$250,2))*1000000</f>
        <v>63845067.659999996</v>
      </c>
      <c r="Q88" s="1592">
        <f>(SUMIFS('Other Commodities - Q&amp;V'!$B$8:$B$250,'Other Commodities - Q&amp;V'!$N$8:$N$250,LEFT('FY Q&amp;V 2003-04 to Now'!Q$7,4),'Other Commodities - Q&amp;V'!$O$8:$O$250,3)+
SUMIFS('Other Commodities - Q&amp;V'!$B$8:$B$250,'Other Commodities - Q&amp;V'!$N$8:$N$250,LEFT('FY Q&amp;V 2003-04 to Now'!Q$7,4),'Other Commodities - Q&amp;V'!$O$8:$O$250,4)+
SUMIFS('Other Commodities - Q&amp;V'!$B$8:$B$250,'Other Commodities - Q&amp;V'!$N$8:$N$250,CONCATENATE("20",RIGHT('FY Q&amp;V 2003-04 to Now'!Q$7,2)),'Other Commodities - Q&amp;V'!$O$8:$O$250,1)+
SUMIFS('Other Commodities - Q&amp;V'!$B$8:$B$250,'Other Commodities - Q&amp;V'!$N$8:$N$250,CONCATENATE("20",RIGHT('FY Q&amp;V 2003-04 to Now'!Q$7,2)),'Other Commodities - Q&amp;V'!$O$8:$O$250,2))*1000</f>
        <v>83550</v>
      </c>
      <c r="R88" s="1593">
        <f>(SUMIFS('Other Commodities - Q&amp;V'!$C$8:$C$250,'Other Commodities - Q&amp;V'!$N$8:$N$250,LEFT('FY Q&amp;V 2003-04 to Now'!Q$7,4),'Other Commodities - Q&amp;V'!$O$8:$O$250,3)+
SUMIFS('Other Commodities - Q&amp;V'!$C$8:$C$250,'Other Commodities - Q&amp;V'!$N$8:$N$250,LEFT('FY Q&amp;V 2003-04 to Now'!Q$7,4),'Other Commodities - Q&amp;V'!$O$8:$O$250,4)+
SUMIFS('Other Commodities - Q&amp;V'!$C$8:$C$250,'Other Commodities - Q&amp;V'!$N$8:$N$250,CONCATENATE("20",RIGHT('FY Q&amp;V 2003-04 to Now'!Q$7,2)),'Other Commodities - Q&amp;V'!$O$8:$O$250,1)+
SUMIFS('Other Commodities - Q&amp;V'!$C$8:$C$250,'Other Commodities - Q&amp;V'!$N$8:$N$250,CONCATENATE("20",RIGHT('FY Q&amp;V 2003-04 to Now'!Q$7,2)),'Other Commodities - Q&amp;V'!$O$8:$O$250,2))*1000000</f>
        <v>76065087.370000005</v>
      </c>
      <c r="S88" s="1592">
        <f>(SUMIFS('Other Commodities - Q&amp;V'!$B$8:$B$250,'Other Commodities - Q&amp;V'!$N$8:$N$250,LEFT('FY Q&amp;V 2003-04 to Now'!S$7,4),'Other Commodities - Q&amp;V'!$O$8:$O$250,3)+
SUMIFS('Other Commodities - Q&amp;V'!$B$8:$B$250,'Other Commodities - Q&amp;V'!$N$8:$N$250,LEFT('FY Q&amp;V 2003-04 to Now'!S$7,4),'Other Commodities - Q&amp;V'!$O$8:$O$250,4)+
SUMIFS('Other Commodities - Q&amp;V'!$B$8:$B$250,'Other Commodities - Q&amp;V'!$N$8:$N$250,CONCATENATE("20",RIGHT('FY Q&amp;V 2003-04 to Now'!S$7,2)),'Other Commodities - Q&amp;V'!$O$8:$O$250,1)+
SUMIFS('Other Commodities - Q&amp;V'!$B$8:$B$250,'Other Commodities - Q&amp;V'!$N$8:$N$250,CONCATENATE("20",RIGHT('FY Q&amp;V 2003-04 to Now'!S$7,2)),'Other Commodities - Q&amp;V'!$O$8:$O$250,2))*1000</f>
        <v>120080</v>
      </c>
      <c r="T88" s="1593">
        <f>(SUMIFS('Other Commodities - Q&amp;V'!$C$8:$C$250,'Other Commodities - Q&amp;V'!$N$8:$N$250,LEFT('FY Q&amp;V 2003-04 to Now'!S$7,4),'Other Commodities - Q&amp;V'!$O$8:$O$250,3)+
SUMIFS('Other Commodities - Q&amp;V'!$C$8:$C$250,'Other Commodities - Q&amp;V'!$N$8:$N$250,LEFT('FY Q&amp;V 2003-04 to Now'!S$7,4),'Other Commodities - Q&amp;V'!$O$8:$O$250,4)+
SUMIFS('Other Commodities - Q&amp;V'!$C$8:$C$250,'Other Commodities - Q&amp;V'!$N$8:$N$250,CONCATENATE("20",RIGHT('FY Q&amp;V 2003-04 to Now'!S$7,2)),'Other Commodities - Q&amp;V'!$O$8:$O$250,1)+
SUMIFS('Other Commodities - Q&amp;V'!$C$8:$C$250,'Other Commodities - Q&amp;V'!$N$8:$N$250,CONCATENATE("20",RIGHT('FY Q&amp;V 2003-04 to Now'!S$7,2)),'Other Commodities - Q&amp;V'!$O$8:$O$250,2))*1000000</f>
        <v>115704895.88999999</v>
      </c>
      <c r="U88" s="1592">
        <f>(SUMIFS('Other Commodities - Q&amp;V'!$B$8:$B$250,'Other Commodities - Q&amp;V'!$N$8:$N$250,LEFT('FY Q&amp;V 2003-04 to Now'!U$7,4),'Other Commodities - Q&amp;V'!$O$8:$O$250,3)+
SUMIFS('Other Commodities - Q&amp;V'!$B$8:$B$250,'Other Commodities - Q&amp;V'!$N$8:$N$250,LEFT('FY Q&amp;V 2003-04 to Now'!U$7,4),'Other Commodities - Q&amp;V'!$O$8:$O$250,4)+
SUMIFS('Other Commodities - Q&amp;V'!$B$8:$B$250,'Other Commodities - Q&amp;V'!$N$8:$N$250,CONCATENATE("20",RIGHT('FY Q&amp;V 2003-04 to Now'!U$7,2)),'Other Commodities - Q&amp;V'!$O$8:$O$250,1)+
SUMIFS('Other Commodities - Q&amp;V'!$B$8:$B$250,'Other Commodities - Q&amp;V'!$N$8:$N$250,CONCATENATE("20",RIGHT('FY Q&amp;V 2003-04 to Now'!U$7,2)),'Other Commodities - Q&amp;V'!$O$8:$O$250,2))*1000</f>
        <v>123740</v>
      </c>
      <c r="V88" s="1593">
        <f>(SUMIFS('Other Commodities - Q&amp;V'!$C$8:$C$250,'Other Commodities - Q&amp;V'!$N$8:$N$250,LEFT('FY Q&amp;V 2003-04 to Now'!U$7,4),'Other Commodities - Q&amp;V'!$O$8:$O$250,3)+
SUMIFS('Other Commodities - Q&amp;V'!$C$8:$C$250,'Other Commodities - Q&amp;V'!$N$8:$N$250,LEFT('FY Q&amp;V 2003-04 to Now'!U$7,4),'Other Commodities - Q&amp;V'!$O$8:$O$250,4)+
SUMIFS('Other Commodities - Q&amp;V'!$C$8:$C$250,'Other Commodities - Q&amp;V'!$N$8:$N$250,CONCATENATE("20",RIGHT('FY Q&amp;V 2003-04 to Now'!U$7,2)),'Other Commodities - Q&amp;V'!$O$8:$O$250,1)+
SUMIFS('Other Commodities - Q&amp;V'!$C$8:$C$250,'Other Commodities - Q&amp;V'!$N$8:$N$250,CONCATENATE("20",RIGHT('FY Q&amp;V 2003-04 to Now'!U$7,2)),'Other Commodities - Q&amp;V'!$O$8:$O$250,2))*1000000</f>
        <v>100560679.36000001</v>
      </c>
      <c r="W88" s="1592">
        <f>(SUMIFS('Other Commodities - Q&amp;V'!$B$8:$B$250,'Other Commodities - Q&amp;V'!$N$8:$N$250,LEFT('FY Q&amp;V 2003-04 to Now'!W$7,4),'Other Commodities - Q&amp;V'!$O$8:$O$250,3)+
SUMIFS('Other Commodities - Q&amp;V'!$B$8:$B$250,'Other Commodities - Q&amp;V'!$N$8:$N$250,LEFT('FY Q&amp;V 2003-04 to Now'!W$7,4),'Other Commodities - Q&amp;V'!$O$8:$O$250,4)+
SUMIFS('Other Commodities - Q&amp;V'!$B$8:$B$250,'Other Commodities - Q&amp;V'!$N$8:$N$250,CONCATENATE("20",RIGHT('FY Q&amp;V 2003-04 to Now'!W$7,2)),'Other Commodities - Q&amp;V'!$O$8:$O$250,1)+
SUMIFS('Other Commodities - Q&amp;V'!$B$8:$B$250,'Other Commodities - Q&amp;V'!$N$8:$N$250,CONCATENATE("20",RIGHT('FY Q&amp;V 2003-04 to Now'!W$7,2)),'Other Commodities - Q&amp;V'!$O$8:$O$250,2))*1000</f>
        <v>137179.37646769744</v>
      </c>
      <c r="X88" s="1593">
        <f>(SUMIFS('Other Commodities - Q&amp;V'!$C$8:$C$250,'Other Commodities - Q&amp;V'!$N$8:$N$250,LEFT('FY Q&amp;V 2003-04 to Now'!W$7,4),'Other Commodities - Q&amp;V'!$O$8:$O$250,3)+
SUMIFS('Other Commodities - Q&amp;V'!$C$8:$C$250,'Other Commodities - Q&amp;V'!$N$8:$N$250,LEFT('FY Q&amp;V 2003-04 to Now'!W$7,4),'Other Commodities - Q&amp;V'!$O$8:$O$250,4)+
SUMIFS('Other Commodities - Q&amp;V'!$C$8:$C$250,'Other Commodities - Q&amp;V'!$N$8:$N$250,CONCATENATE("20",RIGHT('FY Q&amp;V 2003-04 to Now'!W$7,2)),'Other Commodities - Q&amp;V'!$O$8:$O$250,1)+
SUMIFS('Other Commodities - Q&amp;V'!$C$8:$C$250,'Other Commodities - Q&amp;V'!$N$8:$N$250,CONCATENATE("20",RIGHT('FY Q&amp;V 2003-04 to Now'!W$7,2)),'Other Commodities - Q&amp;V'!$O$8:$O$250,2))*1000000</f>
        <v>93414212.049999997</v>
      </c>
      <c r="Y88" s="1592">
        <f>(SUMIFS('Other Commodities - Q&amp;V'!$B$8:$B$250,'Other Commodities - Q&amp;V'!$N$8:$N$250,LEFT('FY Q&amp;V 2003-04 to Now'!Y$7,4),'Other Commodities - Q&amp;V'!$O$8:$O$250,3)+
SUMIFS('Other Commodities - Q&amp;V'!$B$8:$B$250,'Other Commodities - Q&amp;V'!$N$8:$N$250,LEFT('FY Q&amp;V 2003-04 to Now'!Y$7,4),'Other Commodities - Q&amp;V'!$O$8:$O$250,4)+
SUMIFS('Other Commodities - Q&amp;V'!$B$8:$B$250,'Other Commodities - Q&amp;V'!$N$8:$N$250,CONCATENATE("20",RIGHT('FY Q&amp;V 2003-04 to Now'!Y$7,2)),'Other Commodities - Q&amp;V'!$O$8:$O$250,1)+
SUMIFS('Other Commodities - Q&amp;V'!$B$8:$B$250,'Other Commodities - Q&amp;V'!$N$8:$N$250,CONCATENATE("20",RIGHT('FY Q&amp;V 2003-04 to Now'!Y$7,2)),'Other Commodities - Q&amp;V'!$O$8:$O$250,2))*1000</f>
        <v>150578.00393148517</v>
      </c>
      <c r="Z88" s="1593">
        <f>(SUMIFS('Other Commodities - Q&amp;V'!$C$8:$C$250,'Other Commodities - Q&amp;V'!$N$8:$N$250,LEFT('FY Q&amp;V 2003-04 to Now'!Y$7,4),'Other Commodities - Q&amp;V'!$O$8:$O$250,3)+
SUMIFS('Other Commodities - Q&amp;V'!$C$8:$C$250,'Other Commodities - Q&amp;V'!$N$8:$N$250,LEFT('FY Q&amp;V 2003-04 to Now'!Y$7,4),'Other Commodities - Q&amp;V'!$O$8:$O$250,4)+
SUMIFS('Other Commodities - Q&amp;V'!$C$8:$C$250,'Other Commodities - Q&amp;V'!$N$8:$N$250,CONCATENATE("20",RIGHT('FY Q&amp;V 2003-04 to Now'!Y$7,2)),'Other Commodities - Q&amp;V'!$O$8:$O$250,1)+
SUMIFS('Other Commodities - Q&amp;V'!$C$8:$C$250,'Other Commodities - Q&amp;V'!$N$8:$N$250,CONCATENATE("20",RIGHT('FY Q&amp;V 2003-04 to Now'!Y$7,2)),'Other Commodities - Q&amp;V'!$O$8:$O$250,2))*1000000</f>
        <v>95972009</v>
      </c>
      <c r="AA88" s="1592">
        <f>(SUMIFS('Other Commodities - Q&amp;V'!$B$8:$B$250,'Other Commodities - Q&amp;V'!$N$8:$N$250,LEFT('FY Q&amp;V 2003-04 to Now'!AA$7,4),'Other Commodities - Q&amp;V'!$O$8:$O$250,3)+
SUMIFS('Other Commodities - Q&amp;V'!$B$8:$B$250,'Other Commodities - Q&amp;V'!$N$8:$N$250,LEFT('FY Q&amp;V 2003-04 to Now'!AA$7,4),'Other Commodities - Q&amp;V'!$O$8:$O$250,4)+
SUMIFS('Other Commodities - Q&amp;V'!$B$8:$B$250,'Other Commodities - Q&amp;V'!$N$8:$N$250,CONCATENATE("20",RIGHT('FY Q&amp;V 2003-04 to Now'!AA$7,2)),'Other Commodities - Q&amp;V'!$O$8:$O$250,1)+
SUMIFS('Other Commodities - Q&amp;V'!$B$8:$B$250,'Other Commodities - Q&amp;V'!$N$8:$N$250,CONCATENATE("20",RIGHT('FY Q&amp;V 2003-04 to Now'!AA$7,2)),'Other Commodities - Q&amp;V'!$O$8:$O$250,2))*1000</f>
        <v>155292.08045236964</v>
      </c>
      <c r="AB88" s="1593">
        <f>(SUMIFS('Other Commodities - Q&amp;V'!$C$8:$C$250,'Other Commodities - Q&amp;V'!$N$8:$N$250,LEFT('FY Q&amp;V 2003-04 to Now'!AA$7,4),'Other Commodities - Q&amp;V'!$O$8:$O$250,3)+
SUMIFS('Other Commodities - Q&amp;V'!$C$8:$C$250,'Other Commodities - Q&amp;V'!$N$8:$N$250,LEFT('FY Q&amp;V 2003-04 to Now'!AA$7,4),'Other Commodities - Q&amp;V'!$O$8:$O$250,4)+
SUMIFS('Other Commodities - Q&amp;V'!$C$8:$C$250,'Other Commodities - Q&amp;V'!$N$8:$N$250,CONCATENATE("20",RIGHT('FY Q&amp;V 2003-04 to Now'!AA$7,2)),'Other Commodities - Q&amp;V'!$O$8:$O$250,1)+
SUMIFS('Other Commodities - Q&amp;V'!$C$8:$C$250,'Other Commodities - Q&amp;V'!$N$8:$N$250,CONCATENATE("20",RIGHT('FY Q&amp;V 2003-04 to Now'!AA$7,2)),'Other Commodities - Q&amp;V'!$O$8:$O$250,2))*1000000</f>
        <v>104786546</v>
      </c>
      <c r="AC88" s="1594">
        <f>(SUMIFS('Other Commodities - Q&amp;V'!$B$8:$B$250,'Other Commodities - Q&amp;V'!$N$8:$N$250,LEFT('FY Q&amp;V 2003-04 to Now'!AC$7,4),'Other Commodities - Q&amp;V'!$O$8:$O$250,3)+
SUMIFS('Other Commodities - Q&amp;V'!$B$8:$B$250,'Other Commodities - Q&amp;V'!$N$8:$N$250,LEFT('FY Q&amp;V 2003-04 to Now'!AC$7,4),'Other Commodities - Q&amp;V'!$O$8:$O$250,4)+
SUMIFS('Other Commodities - Q&amp;V'!$B$8:$B$250,'Other Commodities - Q&amp;V'!$N$8:$N$250,CONCATENATE("20",RIGHT('FY Q&amp;V 2003-04 to Now'!AC$7,2)),'Other Commodities - Q&amp;V'!$O$8:$O$250,1)+
SUMIFS('Other Commodities - Q&amp;V'!$B$8:$B$250,'Other Commodities - Q&amp;V'!$N$8:$N$250,CONCATENATE("20",RIGHT('FY Q&amp;V 2003-04 to Now'!AC$7,2)),'Other Commodities - Q&amp;V'!$O$8:$O$250,2))*1000</f>
        <v>142867.69398902665</v>
      </c>
      <c r="AD88" s="1593">
        <f>(SUMIFS('Other Commodities - Q&amp;V'!$C$8:$C$250,'Other Commodities - Q&amp;V'!$N$8:$N$250,LEFT('FY Q&amp;V 2003-04 to Now'!AC$7,4),'Other Commodities - Q&amp;V'!$O$8:$O$250,3)+
SUMIFS('Other Commodities - Q&amp;V'!$C$8:$C$250,'Other Commodities - Q&amp;V'!$N$8:$N$250,LEFT('FY Q&amp;V 2003-04 to Now'!AC$7,4),'Other Commodities - Q&amp;V'!$O$8:$O$250,4)+
SUMIFS('Other Commodities - Q&amp;V'!$C$8:$C$250,'Other Commodities - Q&amp;V'!$N$8:$N$250,CONCATENATE("20",RIGHT('FY Q&amp;V 2003-04 to Now'!AC$7,2)),'Other Commodities - Q&amp;V'!$O$8:$O$250,1)+
SUMIFS('Other Commodities - Q&amp;V'!$C$8:$C$250,'Other Commodities - Q&amp;V'!$N$8:$N$250,CONCATENATE("20",RIGHT('FY Q&amp;V 2003-04 to Now'!AC$7,2)),'Other Commodities - Q&amp;V'!$O$8:$O$250,2))*1000000</f>
        <v>98465480.000000015</v>
      </c>
      <c r="AE88" s="1594">
        <f>(SUMIFS('Other Commodities - Q&amp;V'!$B$8:$B$250,'Other Commodities - Q&amp;V'!$N$8:$N$250,LEFT('FY Q&amp;V 2003-04 to Now'!AE$7,4),'Other Commodities - Q&amp;V'!$O$8:$O$250,3)+
SUMIFS('Other Commodities - Q&amp;V'!$B$8:$B$250,'Other Commodities - Q&amp;V'!$N$8:$N$250,LEFT('FY Q&amp;V 2003-04 to Now'!AE$7,4),'Other Commodities - Q&amp;V'!$O$8:$O$250,4)+
SUMIFS('Other Commodities - Q&amp;V'!$B$8:$B$250,'Other Commodities - Q&amp;V'!$N$8:$N$250,CONCATENATE("20",RIGHT('FY Q&amp;V 2003-04 to Now'!AE$7,2)),'Other Commodities - Q&amp;V'!$O$8:$O$250,1)+
SUMIFS('Other Commodities - Q&amp;V'!$B$8:$B$250,'Other Commodities - Q&amp;V'!$N$8:$N$250,CONCATENATE("20",RIGHT('FY Q&amp;V 2003-04 to Now'!AE$7,2)),'Other Commodities - Q&amp;V'!$O$8:$O$250,2))*1000</f>
        <v>162182.60277381205</v>
      </c>
      <c r="AF88" s="1593">
        <f>(SUMIFS('Other Commodities - Q&amp;V'!$C$8:$C$250,'Other Commodities - Q&amp;V'!$N$8:$N$250,LEFT('FY Q&amp;V 2003-04 to Now'!AE$7,4),'Other Commodities - Q&amp;V'!$O$8:$O$250,3)+
SUMIFS('Other Commodities - Q&amp;V'!$C$8:$C$250,'Other Commodities - Q&amp;V'!$N$8:$N$250,LEFT('FY Q&amp;V 2003-04 to Now'!AE$7,4),'Other Commodities - Q&amp;V'!$O$8:$O$250,4)+
SUMIFS('Other Commodities - Q&amp;V'!$C$8:$C$250,'Other Commodities - Q&amp;V'!$N$8:$N$250,CONCATENATE("20",RIGHT('FY Q&amp;V 2003-04 to Now'!AE$7,2)),'Other Commodities - Q&amp;V'!$O$8:$O$250,1)+
SUMIFS('Other Commodities - Q&amp;V'!$C$8:$C$250,'Other Commodities - Q&amp;V'!$N$8:$N$250,CONCATENATE("20",RIGHT('FY Q&amp;V 2003-04 to Now'!AE$7,2)),'Other Commodities - Q&amp;V'!$O$8:$O$250,2))*1000000</f>
        <v>105307744</v>
      </c>
      <c r="AG88" s="1706">
        <f>(SUMIFS('Other Commodities - Q&amp;V'!$B$8:$B$250,'Other Commodities - Q&amp;V'!$N$8:$N$250,LEFT('FY Q&amp;V 2003-04 to Now'!AG$7,4),'Other Commodities - Q&amp;V'!$O$8:$O$250,3)+
SUMIFS('Other Commodities - Q&amp;V'!$B$8:$B$250,'Other Commodities - Q&amp;V'!$N$8:$N$250,LEFT('FY Q&amp;V 2003-04 to Now'!AG$7,4),'Other Commodities - Q&amp;V'!$O$8:$O$250,4)+
SUMIFS('Other Commodities - Q&amp;V'!$B$8:$B$250,'Other Commodities - Q&amp;V'!$N$8:$N$250,CONCATENATE("20",RIGHT('FY Q&amp;V 2003-04 to Now'!AG$7,2)),'Other Commodities - Q&amp;V'!$O$8:$O$250,1)+
SUMIFS('Other Commodities - Q&amp;V'!$B$8:$B$250,'Other Commodities - Q&amp;V'!$N$8:$N$250,CONCATENATE("20",RIGHT('FY Q&amp;V 2003-04 to Now'!AG$7,2)),'Other Commodities - Q&amp;V'!$O$8:$O$250,2))*1000</f>
        <v>129406.08686591583</v>
      </c>
      <c r="AH88" s="242">
        <f>(SUMIFS('Other Commodities - Q&amp;V'!$C$8:$C$250,'Other Commodities - Q&amp;V'!$N$8:$N$250,LEFT('FY Q&amp;V 2003-04 to Now'!AG$7,4),'Other Commodities - Q&amp;V'!$O$8:$O$250,3)+
SUMIFS('Other Commodities - Q&amp;V'!$C$8:$C$250,'Other Commodities - Q&amp;V'!$N$8:$N$250,LEFT('FY Q&amp;V 2003-04 to Now'!AG$7,4),'Other Commodities - Q&amp;V'!$O$8:$O$250,4)+
SUMIFS('Other Commodities - Q&amp;V'!$C$8:$C$250,'Other Commodities - Q&amp;V'!$N$8:$N$250,CONCATENATE("20",RIGHT('FY Q&amp;V 2003-04 to Now'!AG$7,2)),'Other Commodities - Q&amp;V'!$O$8:$O$250,1)+
SUMIFS('Other Commodities - Q&amp;V'!$C$8:$C$250,'Other Commodities - Q&amp;V'!$N$8:$N$250,CONCATENATE("20",RIGHT('FY Q&amp;V 2003-04 to Now'!AG$7,2)),'Other Commodities - Q&amp;V'!$O$8:$O$250,2))*1000000</f>
        <v>84831662.999999985</v>
      </c>
      <c r="AI88" s="1706">
        <f>(SUMIFS('Other Commodities - Q&amp;V'!$B$8:$B$250,'Other Commodities - Q&amp;V'!$N$8:$N$250,LEFT('FY Q&amp;V 2003-04 to Now'!AI$7,4),'Other Commodities - Q&amp;V'!$O$8:$O$250,3)+
SUMIFS('Other Commodities - Q&amp;V'!$B$8:$B$250,'Other Commodities - Q&amp;V'!$N$8:$N$250,LEFT('FY Q&amp;V 2003-04 to Now'!AI$7,4),'Other Commodities - Q&amp;V'!$O$8:$O$250,4)+
SUMIFS('Other Commodities - Q&amp;V'!$B$8:$B$250,'Other Commodities - Q&amp;V'!$N$8:$N$250,CONCATENATE("20",RIGHT('FY Q&amp;V 2003-04 to Now'!AI$7,2)),'Other Commodities - Q&amp;V'!$O$8:$O$250,1)+
SUMIFS('Other Commodities - Q&amp;V'!$B$8:$B$250,'Other Commodities - Q&amp;V'!$N$8:$N$250,CONCATENATE("20",RIGHT('FY Q&amp;V 2003-04 to Now'!AI$7,2)),'Other Commodities - Q&amp;V'!$O$8:$O$250,2))*1000</f>
        <v>131665.15509771174</v>
      </c>
      <c r="AJ88" s="242">
        <f>(SUMIFS('Other Commodities - Q&amp;V'!$C$8:$C$250,'Other Commodities - Q&amp;V'!$N$8:$N$250,LEFT('FY Q&amp;V 2003-04 to Now'!AI$7,4),'Other Commodities - Q&amp;V'!$O$8:$O$250,3)+
SUMIFS('Other Commodities - Q&amp;V'!$C$8:$C$250,'Other Commodities - Q&amp;V'!$N$8:$N$250,LEFT('FY Q&amp;V 2003-04 to Now'!AI$7,4),'Other Commodities - Q&amp;V'!$O$8:$O$250,4)+
SUMIFS('Other Commodities - Q&amp;V'!$C$8:$C$250,'Other Commodities - Q&amp;V'!$N$8:$N$250,CONCATENATE("20",RIGHT('FY Q&amp;V 2003-04 to Now'!AI$7,2)),'Other Commodities - Q&amp;V'!$O$8:$O$250,1)+
SUMIFS('Other Commodities - Q&amp;V'!$C$8:$C$250,'Other Commodities - Q&amp;V'!$N$8:$N$250,CONCATENATE("20",RIGHT('FY Q&amp;V 2003-04 to Now'!AI$7,2)),'Other Commodities - Q&amp;V'!$O$8:$O$250,2))*1000000</f>
        <v>109720500</v>
      </c>
      <c r="AK88" s="242">
        <f>(SUMIFS('Other Commodities - Q&amp;V'!$B$8:$B$250,'Other Commodities - Q&amp;V'!$N$8:$N$250,LEFT('FY Q&amp;V 2003-04 to Now'!AK$7,4),'Other Commodities - Q&amp;V'!$O$8:$O$250,3)+
SUMIFS('Other Commodities - Q&amp;V'!$B$8:$B$250,'Other Commodities - Q&amp;V'!$N$8:$N$250,LEFT('FY Q&amp;V 2003-04 to Now'!AK$7,4),'Other Commodities - Q&amp;V'!$O$8:$O$250,4)+
SUMIFS('Other Commodities - Q&amp;V'!$B$8:$B$250,'Other Commodities - Q&amp;V'!$N$8:$N$250,CONCATENATE("20",RIGHT('FY Q&amp;V 2003-04 to Now'!AK$7,2)),'Other Commodities - Q&amp;V'!$O$8:$O$250,1)+
SUMIFS('Other Commodities - Q&amp;V'!$B$8:$B$250,'Other Commodities - Q&amp;V'!$N$8:$N$250,CONCATENATE("20",RIGHT('FY Q&amp;V 2003-04 to Now'!AK$7,2)),'Other Commodities - Q&amp;V'!$O$8:$O$250,2))*1000</f>
        <v>139814.30898860676</v>
      </c>
      <c r="AL88" s="242">
        <f>(SUMIFS('Other Commodities - Q&amp;V'!$C$8:$C$250,'Other Commodities - Q&amp;V'!$N$8:$N$250,LEFT('FY Q&amp;V 2003-04 to Now'!AK$7,4),'Other Commodities - Q&amp;V'!$O$8:$O$250,3)+
SUMIFS('Other Commodities - Q&amp;V'!$C$8:$C$250,'Other Commodities - Q&amp;V'!$N$8:$N$250,LEFT('FY Q&amp;V 2003-04 to Now'!AK$7,4),'Other Commodities - Q&amp;V'!$O$8:$O$250,4)+
SUMIFS('Other Commodities - Q&amp;V'!$C$8:$C$250,'Other Commodities - Q&amp;V'!$N$8:$N$250,CONCATENATE("20",RIGHT('FY Q&amp;V 2003-04 to Now'!AK$7,2)),'Other Commodities - Q&amp;V'!$O$8:$O$250,1)+
SUMIFS('Other Commodities - Q&amp;V'!$C$8:$C$250,'Other Commodities - Q&amp;V'!$N$8:$N$250,CONCATENATE("20",RIGHT('FY Q&amp;V 2003-04 to Now'!AK$7,2)),'Other Commodities - Q&amp;V'!$O$8:$O$250,2))*1000000</f>
        <v>153185939.65959999</v>
      </c>
      <c r="AM88" s="1576">
        <f>SUMIF($C$9:AJ$9,1,$C88:AJ88)</f>
        <v>2124230.9995780182</v>
      </c>
      <c r="AN88" s="1489">
        <f>SUMIF($C$9:AJ$9,0,$C88:AJ88)</f>
        <v>1336758017.6599998</v>
      </c>
    </row>
    <row r="89" spans="1:44">
      <c r="A89" s="1483"/>
      <c r="B89" s="1511"/>
      <c r="C89" s="1592"/>
      <c r="D89" s="1593"/>
      <c r="E89" s="1592"/>
      <c r="F89" s="1593"/>
      <c r="G89" s="1592"/>
      <c r="H89" s="1593"/>
      <c r="I89" s="1592"/>
      <c r="J89" s="1593"/>
      <c r="K89" s="1592"/>
      <c r="L89" s="1593"/>
      <c r="M89" s="1592"/>
      <c r="N89" s="1593"/>
      <c r="O89" s="1592"/>
      <c r="P89" s="1593"/>
      <c r="Q89" s="1592"/>
      <c r="R89" s="1593"/>
      <c r="S89" s="1592"/>
      <c r="T89" s="1593"/>
      <c r="U89" s="1592"/>
      <c r="V89" s="1593"/>
      <c r="W89" s="1592"/>
      <c r="X89" s="1593"/>
      <c r="Y89" s="1592"/>
      <c r="Z89" s="1593"/>
      <c r="AA89" s="1592"/>
      <c r="AB89" s="1593"/>
      <c r="AC89" s="1593"/>
      <c r="AD89" s="1593"/>
      <c r="AE89" s="1594"/>
      <c r="AF89" s="1593"/>
      <c r="AG89" s="1707"/>
      <c r="AH89" s="1710"/>
      <c r="AI89" s="1738"/>
      <c r="AJ89" s="1739"/>
      <c r="AK89" s="1739"/>
      <c r="AL89" s="1739"/>
      <c r="AM89" s="1576"/>
      <c r="AN89" s="1489"/>
      <c r="AP89" s="1725"/>
    </row>
    <row r="90" spans="1:44">
      <c r="A90" s="365" t="s">
        <v>263</v>
      </c>
      <c r="B90" s="353" t="s">
        <v>87</v>
      </c>
      <c r="C90" s="1301"/>
      <c r="D90" s="1289">
        <v>94962593.399999991</v>
      </c>
      <c r="E90" s="1301"/>
      <c r="F90" s="1289">
        <v>148597696.28999999</v>
      </c>
      <c r="G90" s="1301"/>
      <c r="H90" s="1289">
        <v>138502553.34999999</v>
      </c>
      <c r="I90" s="1301"/>
      <c r="J90" s="1289">
        <v>201412298</v>
      </c>
      <c r="K90" s="1301"/>
      <c r="L90" s="1289">
        <v>461693384</v>
      </c>
      <c r="M90" s="1301"/>
      <c r="N90" s="1289">
        <v>59671943</v>
      </c>
      <c r="O90" s="1301"/>
      <c r="P90" s="1289">
        <v>44510961</v>
      </c>
      <c r="Q90" s="1301"/>
      <c r="R90" s="1289">
        <v>64129732</v>
      </c>
      <c r="S90" s="1301"/>
      <c r="T90" s="1289">
        <v>103198080</v>
      </c>
      <c r="U90" s="1301"/>
      <c r="V90" s="1289">
        <v>425002389</v>
      </c>
      <c r="W90" s="1301"/>
      <c r="X90" s="1289">
        <v>494402726</v>
      </c>
      <c r="Y90" s="1301"/>
      <c r="Z90" s="1289">
        <v>507533600</v>
      </c>
      <c r="AA90" s="1301"/>
      <c r="AB90" s="1289">
        <v>199236525</v>
      </c>
      <c r="AC90" s="1289"/>
      <c r="AD90" s="1289">
        <v>300922569.87501526</v>
      </c>
      <c r="AE90" s="1290"/>
      <c r="AF90" s="1302">
        <v>365263780.25001526</v>
      </c>
      <c r="AG90" s="1303"/>
      <c r="AH90" s="1303">
        <v>26119137</v>
      </c>
      <c r="AI90" s="1303"/>
      <c r="AJ90" s="1303">
        <v>19804008</v>
      </c>
      <c r="AK90" s="1303"/>
      <c r="AL90" s="1712">
        <v>656976626.39999998</v>
      </c>
      <c r="AM90" s="1712"/>
      <c r="AN90" s="1280">
        <f>SUMIF($C$9:AL$9,0,$C90:AL90)</f>
        <v>4311940602.5650301</v>
      </c>
      <c r="AO90" s="573"/>
      <c r="AP90" s="573"/>
      <c r="AQ90" s="573"/>
      <c r="AR90" s="573"/>
    </row>
    <row r="91" spans="1:44">
      <c r="A91" s="365" t="s">
        <v>652</v>
      </c>
      <c r="B91" s="361"/>
      <c r="C91" s="1301"/>
      <c r="D91" s="1289"/>
      <c r="E91" s="1301"/>
      <c r="F91" s="1289"/>
      <c r="G91" s="1301"/>
      <c r="H91" s="1289"/>
      <c r="I91" s="1301"/>
      <c r="J91" s="1289"/>
      <c r="K91" s="1301"/>
      <c r="L91" s="1289"/>
      <c r="M91" s="1301"/>
      <c r="N91" s="1289"/>
      <c r="O91" s="1301"/>
      <c r="P91" s="1289"/>
      <c r="Q91" s="1301"/>
      <c r="R91" s="1289"/>
      <c r="S91" s="1301"/>
      <c r="T91" s="1289"/>
      <c r="U91" s="1301"/>
      <c r="V91" s="1289"/>
      <c r="W91" s="1301"/>
      <c r="X91" s="1289"/>
      <c r="Y91" s="1301"/>
      <c r="Z91" s="1289"/>
      <c r="AA91" s="1301"/>
      <c r="AB91" s="1289"/>
      <c r="AC91" s="1289"/>
      <c r="AD91" s="1289"/>
      <c r="AE91" s="1290"/>
      <c r="AF91" s="1289"/>
      <c r="AG91" s="1303"/>
      <c r="AH91" s="1302"/>
      <c r="AI91" s="1303"/>
      <c r="AJ91" s="1302"/>
      <c r="AK91" s="1302"/>
      <c r="AL91" s="1302"/>
      <c r="AM91" s="1712"/>
      <c r="AN91" s="1280"/>
      <c r="AO91" s="573"/>
      <c r="AP91" s="1731"/>
      <c r="AQ91" s="573"/>
      <c r="AR91" s="573"/>
    </row>
    <row r="92" spans="1:44" s="535" customFormat="1">
      <c r="A92" s="365"/>
      <c r="B92" s="361"/>
      <c r="C92" s="1301"/>
      <c r="D92" s="1289"/>
      <c r="E92" s="1301"/>
      <c r="F92" s="1289"/>
      <c r="G92" s="1301"/>
      <c r="H92" s="1289"/>
      <c r="I92" s="1301"/>
      <c r="J92" s="1289"/>
      <c r="K92" s="1301"/>
      <c r="L92" s="1289"/>
      <c r="M92" s="1301"/>
      <c r="N92" s="1289"/>
      <c r="O92" s="1301"/>
      <c r="P92" s="1289"/>
      <c r="Q92" s="1301"/>
      <c r="R92" s="1289"/>
      <c r="S92" s="1301"/>
      <c r="T92" s="1289"/>
      <c r="U92" s="1301"/>
      <c r="V92" s="1289"/>
      <c r="W92" s="1301"/>
      <c r="X92" s="1289"/>
      <c r="Y92" s="1301"/>
      <c r="Z92" s="1289"/>
      <c r="AA92" s="1301"/>
      <c r="AB92" s="1289"/>
      <c r="AC92" s="1289"/>
      <c r="AD92" s="1289"/>
      <c r="AE92" s="1290"/>
      <c r="AF92" s="1289"/>
      <c r="AG92" s="1303"/>
      <c r="AH92" s="1302"/>
      <c r="AI92" s="1303"/>
      <c r="AJ92" s="1302"/>
      <c r="AK92" s="1726"/>
      <c r="AL92" s="1701"/>
      <c r="AM92" s="1712"/>
      <c r="AN92" s="1280"/>
      <c r="AO92" s="573"/>
      <c r="AP92" s="1731"/>
      <c r="AQ92" s="573"/>
      <c r="AR92" s="573"/>
    </row>
    <row r="93" spans="1:44" s="535" customFormat="1">
      <c r="A93" s="1490" t="s">
        <v>777</v>
      </c>
      <c r="B93" s="1491"/>
      <c r="C93" s="1585"/>
      <c r="D93" s="1585">
        <f>D95-D80</f>
        <v>17227130293.121513</v>
      </c>
      <c r="E93" s="1585"/>
      <c r="F93" s="1585">
        <f>F95-F80</f>
        <v>21050445232.060303</v>
      </c>
      <c r="G93" s="1585"/>
      <c r="H93" s="1585">
        <f>H95-H80</f>
        <v>28460061132.745132</v>
      </c>
      <c r="I93" s="1585"/>
      <c r="J93" s="1585">
        <f>J95-J80</f>
        <v>37434155297.254013</v>
      </c>
      <c r="K93" s="1585"/>
      <c r="L93" s="1585">
        <f>L95-L80</f>
        <v>40659045387.611023</v>
      </c>
      <c r="M93" s="1585"/>
      <c r="N93" s="1585">
        <f>N95-N80</f>
        <v>49765409751.540619</v>
      </c>
      <c r="O93" s="1585"/>
      <c r="P93" s="1585">
        <f>P95-P80</f>
        <v>53718250376.857788</v>
      </c>
      <c r="Q93" s="1585"/>
      <c r="R93" s="1585">
        <f>R95-R80</f>
        <v>78374935602.366898</v>
      </c>
      <c r="S93" s="1585"/>
      <c r="T93" s="1585">
        <f>T95-T80</f>
        <v>82396303312.543396</v>
      </c>
      <c r="U93" s="1585"/>
      <c r="V93" s="1585">
        <f>V95-V80</f>
        <v>77378213943.744354</v>
      </c>
      <c r="W93" s="1585"/>
      <c r="X93" s="1585">
        <f>X95-X80</f>
        <v>96243719183.795441</v>
      </c>
      <c r="Y93" s="1585"/>
      <c r="Z93" s="1585">
        <f>Z95-Z80</f>
        <v>76096739964.5121</v>
      </c>
      <c r="AA93" s="1585"/>
      <c r="AB93" s="1585">
        <f>AB95-AB80</f>
        <v>70059995579.313599</v>
      </c>
      <c r="AC93" s="1585"/>
      <c r="AD93" s="1585">
        <f>AD95-AD80</f>
        <v>86692076515.800415</v>
      </c>
      <c r="AE93" s="1595"/>
      <c r="AF93" s="1585">
        <f>AF95-AF80</f>
        <v>89055558130.839905</v>
      </c>
      <c r="AG93" s="1597"/>
      <c r="AH93" s="1597">
        <f>AH95-AH80</f>
        <v>111058138330.21269</v>
      </c>
      <c r="AI93" s="1597"/>
      <c r="AJ93" s="1597">
        <f>AJ95-AJ80</f>
        <v>135763163618.17825</v>
      </c>
      <c r="AK93" s="1733"/>
      <c r="AL93" s="1597">
        <f>AL95-AL80</f>
        <v>186170993432.87018</v>
      </c>
      <c r="AM93" s="1597"/>
      <c r="AN93" s="1585">
        <f>AN95-AN80</f>
        <v>1326752273830.8145</v>
      </c>
      <c r="AO93" s="573"/>
      <c r="AP93" s="1732"/>
      <c r="AQ93" s="573"/>
      <c r="AR93" s="573"/>
    </row>
    <row r="94" spans="1:44" s="535" customFormat="1">
      <c r="A94" s="1495"/>
      <c r="B94" s="1491"/>
      <c r="C94" s="1585"/>
      <c r="D94" s="1585"/>
      <c r="E94" s="1585"/>
      <c r="F94" s="1585"/>
      <c r="G94" s="1585"/>
      <c r="H94" s="1585"/>
      <c r="I94" s="1585"/>
      <c r="J94" s="1585"/>
      <c r="K94" s="1585"/>
      <c r="L94" s="1585"/>
      <c r="M94" s="1585"/>
      <c r="N94" s="1585"/>
      <c r="O94" s="1585"/>
      <c r="P94" s="1585"/>
      <c r="Q94" s="1585"/>
      <c r="R94" s="1585"/>
      <c r="S94" s="1585"/>
      <c r="T94" s="1585"/>
      <c r="U94" s="1585"/>
      <c r="V94" s="1585"/>
      <c r="W94" s="1585"/>
      <c r="X94" s="1585"/>
      <c r="Y94" s="1585"/>
      <c r="Z94" s="1585"/>
      <c r="AA94" s="1585"/>
      <c r="AB94" s="1585"/>
      <c r="AC94" s="1585"/>
      <c r="AD94" s="1585"/>
      <c r="AE94" s="1595"/>
      <c r="AF94" s="1585"/>
      <c r="AG94" s="1597"/>
      <c r="AH94" s="1597"/>
      <c r="AI94" s="1597"/>
      <c r="AJ94" s="1597"/>
      <c r="AK94" s="1733"/>
      <c r="AL94" s="1597"/>
      <c r="AM94" s="1597"/>
      <c r="AN94" s="1585"/>
      <c r="AO94" s="573"/>
      <c r="AP94" s="1722"/>
      <c r="AQ94" s="573"/>
      <c r="AR94" s="573"/>
    </row>
    <row r="95" spans="1:44">
      <c r="A95" s="1490" t="s">
        <v>778</v>
      </c>
      <c r="B95" s="1491"/>
      <c r="C95" s="1585"/>
      <c r="D95" s="1585">
        <f>D90+D64+D88+D86+D84+D80+D72++D58+D56+D54+D44+D42+D40+D38+D36+D34+D26+D22+D20+D12</f>
        <v>26487353901.121513</v>
      </c>
      <c r="E95" s="1585"/>
      <c r="F95" s="1585">
        <f>F90+F64+F88+F86+F84+F80+F72++F58+F56+F54+F44+F42+F40+F38+F36+F34+F26+F22+F20+F12</f>
        <v>33307443811.99062</v>
      </c>
      <c r="G95" s="1585"/>
      <c r="H95" s="1585">
        <f>H90+H64+H88+H86+H84+H80+H72++H58+H56+H54+H44+H42+H40+H38+H36+H34+H26+H22+H20+H12</f>
        <v>43157345256.754379</v>
      </c>
      <c r="I95" s="1585"/>
      <c r="J95" s="1585">
        <f>J90+J64+J88+J86+J84+J80+J72+J58+J56+J54+J44+J42+J40+J38+J36+J34+J26+J20+J12</f>
        <v>53893623853.75985</v>
      </c>
      <c r="K95" s="1585"/>
      <c r="L95" s="1585">
        <f>L90+L64+L88+L86+L84+L80+L72+L58+L56+L54+L44+L42+L40+L38+L36+L34+L26+L20+L12</f>
        <v>59976987755.315254</v>
      </c>
      <c r="M95" s="1585"/>
      <c r="N95" s="1585">
        <f>N90+N64+N88+N86+N84+N80+N72+N58+N56+N54+N44+N42+N40+N38+N36+N34+N26+N20+N12+N66</f>
        <v>71085231948.503983</v>
      </c>
      <c r="O95" s="1585"/>
      <c r="P95" s="1585">
        <f>P90+P64+P88+P86+P84+P80+P72+P58+P56+P54+P44+P42+P40+P38+P36+P34+P26+P20+P12+P66</f>
        <v>73116460565.422668</v>
      </c>
      <c r="Q95" s="1585"/>
      <c r="R95" s="1585">
        <f>R90+R64+R88+R86+R84+R80+R72+R58+R56+R54+R44+R42+R40+R38+R36+R34+R26+R20+R12+R66</f>
        <v>101359828103.35379</v>
      </c>
      <c r="S95" s="1585"/>
      <c r="T95" s="1585">
        <f>T90+T64+T88+T86+T84+T80+T72+T58+T56+T54+T44+T42+T40+T38+T36+T34+T26+T20+T12+T66</f>
        <v>105594886357.25594</v>
      </c>
      <c r="U95" s="1585"/>
      <c r="V95" s="1585">
        <f>V90+V64+V88+V86+V84+V80+V72+V58+V56+V54+V44+V42+V40+V38+V36+V34+V26+V20+V12</f>
        <v>101488122471.89572</v>
      </c>
      <c r="W95" s="1585"/>
      <c r="X95" s="1585">
        <f>X90+X64+X88+X86+X84+X80+X72+X58+X56+X54+X44+X42+X40+X38+X36+X34+X26+X20+X12</f>
        <v>121281118367.46315</v>
      </c>
      <c r="Y95" s="1585"/>
      <c r="Z95" s="1585">
        <f>Z90+Z64+Z88+Z86+Z84+Z80+Z72+Z58+Z56+Z54+Z44+Z42+Z40+Z38+Z36+Z34+Z26+Z24+Z22+Z20+Z14</f>
        <v>100236009413.56213</v>
      </c>
      <c r="AA95" s="1585"/>
      <c r="AB95" s="1585">
        <f>AB90+AB64+AB88+AB86+AB84+AB80+AB72+AB58+AB56+AB54+AB44+AB42+AB40+AB38+AB36+AB34+AB26+AB24+AB22+AB20+AB14+AB66</f>
        <v>88240859374.775833</v>
      </c>
      <c r="AC95" s="1585"/>
      <c r="AD95" s="1585">
        <f>AD90+AD64+AD88+AD86+AD84+AD80+AD72+AD58+AD56+AD54+AD44+AD42+AD40+AD38+AD36+AD34+AD26+AD24+AD22+AD20+AD14</f>
        <v>105886204996.10831</v>
      </c>
      <c r="AE95" s="1585"/>
      <c r="AF95" s="1585">
        <f>AF90+AF64+AF88+AF86+AF84+AF80+AF72+AF58+AF56+AF54+AF44+AF42+AF40+AF38+AF34+AF26+AF24+AF22+AF20+AF14+AF36+AF66</f>
        <v>115590943800.91077</v>
      </c>
      <c r="AG95" s="1597"/>
      <c r="AH95" s="1597">
        <f>AH90+AH64+AH88+AH86+AH84+AH80+AH72+AH58+AH56+AH54+AH44+AH42+AH40+AH38+AH26+AH24+AH22+AH20+AH14+AH34+AH36+AH66+AH82</f>
        <v>149796369528.40561</v>
      </c>
      <c r="AI95" s="1597"/>
      <c r="AJ95" s="1597">
        <f>AJ90+AJ64+AJ88+AJ86+AJ84+AJ80+AJ72+AJ58+AJ56+AJ54+AJ44+AJ42+AJ40+AJ38+AJ26+AJ24+AJ22+AJ20+AJ14+AJ34+AJ36+AJ82+AJ66</f>
        <v>172883949882.30322</v>
      </c>
      <c r="AK95" s="1733"/>
      <c r="AL95" s="1597">
        <f>AL90+AL64+AL88+AL86+AL84+AL80+AL72+AL58+AL56+AL54+AL44+AL42+AL40+AL38+AL26+AL24+AL22+AL20+AL14+AL34+AL36</f>
        <v>209644756416.6608</v>
      </c>
      <c r="AM95" s="1597"/>
      <c r="AN95" s="1585">
        <f>AN90+AN64+AN88+AN86+AN84+AN80+AN72+AN58+AN56+AN54+AN44+AN42+AN40+AN38+AN34+AN26+AN24+AN20+AN12</f>
        <v>1722175434551.0105</v>
      </c>
      <c r="AP95" s="1654"/>
    </row>
    <row r="96" spans="1:44">
      <c r="A96" s="49"/>
      <c r="B96" s="1491"/>
      <c r="C96" s="1596"/>
      <c r="D96" s="1597"/>
      <c r="E96" s="1596"/>
      <c r="F96" s="1597"/>
      <c r="G96" s="1596"/>
      <c r="H96" s="1597"/>
      <c r="I96" s="1596"/>
      <c r="J96" s="1597"/>
      <c r="K96" s="1596"/>
      <c r="L96" s="1597"/>
      <c r="M96" s="1596"/>
      <c r="N96" s="1597"/>
      <c r="O96" s="1596"/>
      <c r="P96" s="1597"/>
      <c r="Q96" s="1596"/>
      <c r="R96" s="1597"/>
      <c r="S96" s="1596"/>
      <c r="T96" s="1597"/>
      <c r="U96" s="1596"/>
      <c r="V96" s="1597"/>
      <c r="W96" s="1596"/>
      <c r="X96" s="1597"/>
      <c r="Y96" s="1596"/>
      <c r="Z96" s="1597"/>
      <c r="AA96" s="1596"/>
      <c r="AB96" s="1597"/>
      <c r="AC96" s="1597"/>
      <c r="AD96" s="1597"/>
      <c r="AE96" s="1598"/>
      <c r="AF96" s="1597"/>
      <c r="AG96" s="1597"/>
      <c r="AH96" s="1597"/>
      <c r="AI96" s="1598"/>
      <c r="AJ96" s="1597"/>
      <c r="AK96" s="1733"/>
      <c r="AL96" s="1702"/>
      <c r="AM96" s="1714"/>
      <c r="AN96" s="1715"/>
    </row>
    <row r="97" spans="1:39">
      <c r="A97" s="161"/>
      <c r="B97" s="228"/>
      <c r="C97" s="345"/>
      <c r="E97" s="345"/>
      <c r="G97" s="345"/>
      <c r="I97" s="345"/>
      <c r="K97" s="345"/>
      <c r="M97" s="345"/>
      <c r="O97" s="345"/>
      <c r="Q97" s="345"/>
      <c r="S97" s="345"/>
      <c r="U97" s="345"/>
      <c r="W97" s="345"/>
      <c r="Y97" s="345"/>
      <c r="AA97" s="345"/>
      <c r="AE97" s="519"/>
      <c r="AJ97" s="449"/>
      <c r="AK97" s="1703"/>
      <c r="AL97" s="1703"/>
    </row>
    <row r="98" spans="1:39">
      <c r="A98" s="359" t="s">
        <v>786</v>
      </c>
      <c r="B98" s="359"/>
      <c r="C98" s="345"/>
      <c r="E98" s="345"/>
      <c r="G98" s="345"/>
      <c r="I98" s="345"/>
      <c r="K98" s="345"/>
      <c r="M98" s="345"/>
      <c r="O98" s="345"/>
      <c r="Q98" s="345"/>
      <c r="S98" s="345"/>
      <c r="U98" s="345"/>
      <c r="W98" s="345"/>
      <c r="Y98" s="345"/>
      <c r="AA98" s="345"/>
      <c r="AE98" s="519"/>
      <c r="AF98" s="449"/>
      <c r="AG98" s="1708"/>
      <c r="AH98" s="1708"/>
    </row>
    <row r="99" spans="1:39">
      <c r="A99" s="237" t="s">
        <v>787</v>
      </c>
      <c r="C99" s="345"/>
      <c r="E99" s="345"/>
      <c r="G99" s="345"/>
      <c r="I99" s="345"/>
      <c r="K99" s="345"/>
      <c r="M99" s="345"/>
      <c r="O99" s="345"/>
      <c r="Q99" s="345"/>
      <c r="S99" s="345"/>
      <c r="U99" s="345"/>
      <c r="W99" s="345"/>
      <c r="Y99" s="345"/>
      <c r="AA99" s="345"/>
      <c r="AE99" s="519"/>
      <c r="AJ99" s="449"/>
      <c r="AK99" s="1703"/>
      <c r="AL99" s="1703"/>
      <c r="AM99" s="1735"/>
    </row>
    <row r="100" spans="1:39">
      <c r="C100" s="345"/>
      <c r="E100" s="345"/>
      <c r="G100" s="345"/>
      <c r="I100" s="345"/>
      <c r="K100" s="345"/>
      <c r="M100" s="345"/>
      <c r="O100" s="345"/>
      <c r="Q100" s="345"/>
      <c r="S100" s="345"/>
      <c r="U100" s="345"/>
      <c r="W100" s="345"/>
      <c r="Y100" s="345"/>
      <c r="AA100" s="345"/>
      <c r="AE100" s="519"/>
      <c r="AJ100" s="451"/>
    </row>
    <row r="101" spans="1:39">
      <c r="C101" s="345"/>
      <c r="E101" s="345"/>
      <c r="G101" s="345"/>
      <c r="I101" s="345"/>
      <c r="K101" s="345"/>
      <c r="M101" s="345"/>
      <c r="O101" s="345"/>
      <c r="Q101" s="345"/>
      <c r="S101" s="345"/>
      <c r="U101" s="345"/>
      <c r="W101" s="345"/>
      <c r="Y101" s="345"/>
      <c r="Z101" s="126"/>
      <c r="AA101" s="345"/>
      <c r="AD101" s="126"/>
      <c r="AE101" s="519"/>
      <c r="AF101" s="126"/>
      <c r="AG101" s="1709"/>
      <c r="AH101" s="1709"/>
      <c r="AJ101" s="449"/>
      <c r="AK101" s="1703"/>
      <c r="AL101" s="1703"/>
    </row>
    <row r="102" spans="1:39">
      <c r="C102" s="345"/>
      <c r="E102" s="345"/>
      <c r="G102" s="345"/>
      <c r="I102" s="345"/>
      <c r="K102" s="345"/>
      <c r="M102" s="345"/>
      <c r="O102" s="345"/>
      <c r="Q102" s="345"/>
      <c r="S102" s="345"/>
      <c r="U102" s="345"/>
      <c r="W102" s="345"/>
      <c r="Y102" s="345"/>
      <c r="AA102" s="345"/>
      <c r="AD102" s="451"/>
      <c r="AE102" s="519"/>
      <c r="AF102" s="451"/>
      <c r="AJ102" s="449"/>
      <c r="AK102" s="1703"/>
    </row>
    <row r="103" spans="1:39">
      <c r="C103" s="345"/>
      <c r="E103" s="345"/>
      <c r="G103" s="345"/>
      <c r="I103" s="345"/>
      <c r="K103" s="345"/>
      <c r="M103" s="345"/>
      <c r="O103" s="345"/>
      <c r="Q103" s="345"/>
      <c r="S103" s="345"/>
      <c r="U103" s="345"/>
      <c r="W103" s="345"/>
      <c r="Y103" s="345"/>
      <c r="AA103" s="345"/>
      <c r="AB103" s="449"/>
      <c r="AE103" s="519"/>
      <c r="AJ103" s="449"/>
      <c r="AK103" s="1703"/>
      <c r="AM103" s="1735"/>
    </row>
    <row r="104" spans="1:39">
      <c r="C104" s="345"/>
      <c r="E104" s="345"/>
      <c r="G104" s="345"/>
      <c r="I104" s="345"/>
      <c r="K104" s="345"/>
      <c r="M104" s="345"/>
      <c r="O104" s="345"/>
      <c r="Q104" s="345"/>
      <c r="S104" s="345"/>
      <c r="U104" s="345"/>
      <c r="W104" s="345"/>
      <c r="Y104" s="345"/>
      <c r="AA104" s="345"/>
      <c r="AE104" s="519"/>
      <c r="AJ104" s="451"/>
    </row>
    <row r="105" spans="1:39">
      <c r="C105" s="345"/>
      <c r="E105" s="345"/>
      <c r="G105" s="345"/>
      <c r="I105" s="345"/>
      <c r="K105" s="345"/>
      <c r="M105" s="345"/>
      <c r="O105" s="345"/>
      <c r="Q105" s="345"/>
      <c r="S105" s="345"/>
      <c r="U105" s="345"/>
      <c r="W105" s="345"/>
      <c r="Y105" s="345"/>
      <c r="AA105" s="345"/>
      <c r="AE105" s="519"/>
      <c r="AH105" s="1709"/>
      <c r="AJ105" s="449"/>
      <c r="AK105" s="1703"/>
      <c r="AL105" s="1703"/>
    </row>
    <row r="106" spans="1:39">
      <c r="C106" s="345"/>
      <c r="E106" s="345"/>
      <c r="G106" s="345"/>
      <c r="I106" s="345"/>
      <c r="K106" s="345"/>
      <c r="M106" s="345"/>
      <c r="O106" s="345"/>
      <c r="Q106" s="345"/>
      <c r="S106" s="345"/>
      <c r="U106" s="345"/>
      <c r="W106" s="345"/>
      <c r="Y106" s="345"/>
      <c r="AA106" s="345"/>
      <c r="AD106" s="451"/>
      <c r="AE106" s="519"/>
      <c r="AF106" s="451"/>
    </row>
    <row r="107" spans="1:39">
      <c r="C107" s="345"/>
      <c r="E107" s="345"/>
      <c r="G107" s="345"/>
      <c r="I107" s="345"/>
      <c r="K107" s="345"/>
      <c r="M107" s="345"/>
      <c r="O107" s="345"/>
      <c r="Q107" s="345"/>
      <c r="S107" s="345"/>
      <c r="U107" s="345"/>
      <c r="W107" s="345"/>
      <c r="Y107" s="345"/>
      <c r="AA107" s="345"/>
      <c r="AE107" s="519"/>
    </row>
    <row r="108" spans="1:39">
      <c r="C108" s="345"/>
      <c r="E108" s="345"/>
      <c r="G108" s="345"/>
      <c r="I108" s="345"/>
      <c r="K108" s="345"/>
      <c r="M108" s="345"/>
      <c r="O108" s="345"/>
      <c r="Q108" s="345"/>
      <c r="S108" s="345"/>
      <c r="U108" s="345"/>
      <c r="W108" s="345"/>
      <c r="Y108" s="345"/>
      <c r="AA108" s="345"/>
      <c r="AE108" s="519"/>
    </row>
    <row r="109" spans="1:39">
      <c r="C109" s="345"/>
      <c r="E109" s="345"/>
      <c r="G109" s="345"/>
      <c r="I109" s="345"/>
      <c r="K109" s="345"/>
      <c r="M109" s="345"/>
      <c r="O109" s="345"/>
      <c r="Q109" s="345"/>
      <c r="S109" s="345"/>
      <c r="U109" s="345"/>
      <c r="W109" s="345"/>
      <c r="Y109" s="345"/>
      <c r="AA109" s="345"/>
      <c r="AE109" s="519"/>
    </row>
    <row r="110" spans="1:39">
      <c r="C110" s="345"/>
      <c r="E110" s="345"/>
      <c r="G110" s="345"/>
      <c r="I110" s="345"/>
      <c r="K110" s="345"/>
      <c r="M110" s="345"/>
      <c r="O110" s="345"/>
      <c r="Q110" s="345"/>
      <c r="S110" s="345"/>
      <c r="U110" s="345"/>
      <c r="W110" s="345"/>
      <c r="Y110" s="345"/>
      <c r="AA110" s="345"/>
      <c r="AE110" s="519"/>
    </row>
    <row r="111" spans="1:39">
      <c r="C111" s="345"/>
      <c r="E111" s="345"/>
      <c r="G111" s="345"/>
      <c r="I111" s="345"/>
      <c r="K111" s="345"/>
      <c r="M111" s="345"/>
      <c r="O111" s="345"/>
      <c r="Q111" s="345"/>
      <c r="S111" s="345"/>
      <c r="U111" s="345"/>
      <c r="W111" s="345"/>
      <c r="Y111" s="345"/>
      <c r="AA111" s="345"/>
      <c r="AE111" s="519"/>
    </row>
    <row r="112" spans="1:39">
      <c r="C112" s="345"/>
      <c r="E112" s="345"/>
      <c r="G112" s="345"/>
      <c r="I112" s="345"/>
      <c r="K112" s="345"/>
      <c r="M112" s="345"/>
      <c r="O112" s="345"/>
      <c r="Q112" s="345"/>
      <c r="S112" s="345"/>
      <c r="U112" s="345"/>
      <c r="W112" s="345"/>
      <c r="Y112" s="345"/>
      <c r="AA112" s="345"/>
    </row>
    <row r="113" spans="3:27">
      <c r="C113" s="345"/>
      <c r="E113" s="345"/>
      <c r="G113" s="345"/>
      <c r="I113" s="345"/>
      <c r="K113" s="345"/>
      <c r="M113" s="345"/>
      <c r="O113" s="345"/>
      <c r="Q113" s="345"/>
      <c r="S113" s="345"/>
      <c r="U113" s="345"/>
      <c r="W113" s="345"/>
      <c r="Y113" s="345"/>
      <c r="AA113" s="345"/>
    </row>
    <row r="114" spans="3:27">
      <c r="C114" s="345"/>
      <c r="E114" s="345"/>
      <c r="G114" s="345"/>
      <c r="I114" s="345"/>
      <c r="K114" s="345"/>
      <c r="M114" s="345"/>
      <c r="O114" s="345"/>
      <c r="Q114" s="345"/>
      <c r="S114" s="345"/>
      <c r="U114" s="345"/>
      <c r="W114" s="345"/>
      <c r="Y114" s="345"/>
      <c r="AA114" s="345"/>
    </row>
  </sheetData>
  <mergeCells count="19">
    <mergeCell ref="M7:N7"/>
    <mergeCell ref="C7:D7"/>
    <mergeCell ref="E7:F7"/>
    <mergeCell ref="G7:H7"/>
    <mergeCell ref="I7:J7"/>
    <mergeCell ref="K7:L7"/>
    <mergeCell ref="AM7:AN7"/>
    <mergeCell ref="AA7:AB7"/>
    <mergeCell ref="O7:P7"/>
    <mergeCell ref="Q7:R7"/>
    <mergeCell ref="S7:T7"/>
    <mergeCell ref="U7:V7"/>
    <mergeCell ref="W7:X7"/>
    <mergeCell ref="Y7:Z7"/>
    <mergeCell ref="AC7:AD7"/>
    <mergeCell ref="AE7:AF7"/>
    <mergeCell ref="AI7:AJ7"/>
    <mergeCell ref="AG7:AH7"/>
    <mergeCell ref="AK7:AL7"/>
  </mergeCells>
  <pageMargins left="0.7" right="0.7" top="0.75" bottom="0.75" header="0.3" footer="0.3"/>
  <pageSetup paperSize="9" orientation="portrait" r:id="rId1"/>
  <ignoredErrors>
    <ignoredError sqref="AJ8:AK8 AF8:AH8 AI8 C8:Y8"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urDocsIsRecordsDocument xmlns="dce3ed02-b0cd-470d-9119-e5f1a2533a21">true</OurDocsIsRecordsDocument>
    <OurDocsDataStore xmlns="dce3ed02-b0cd-470d-9119-e5f1a2533a21">Central</OurDocsDataStore>
    <OurDocsDocId xmlns="dce3ed02-b0cd-470d-9119-e5f1a2533a21"/>
    <OurDocsVersionCreatedBy xmlns="dce3ed02-b0cd-470d-9119-e5f1a2533a21">MIESAMS</OurDocsVersionCreatedBy>
    <OurDocsIsLocked xmlns="dce3ed02-b0cd-470d-9119-e5f1a2533a21">false</OurDocsIsLocked>
    <OurDocsDocumentType xmlns="dce3ed02-b0cd-470d-9119-e5f1a2533a21">Other</OurDocsDocumentType>
    <OurDocsFileNumbers xmlns="dce3ed02-b0cd-470d-9119-e5f1a2533a21">A1904/201001</OurDocsFileNumbers>
    <OurDocsLockedOnBehalfOf xmlns="dce3ed02-b0cd-470d-9119-e5f1a2533a21" xsi:nil="true"/>
    <OurDocsDocumentDate xmlns="dce3ed02-b0cd-470d-9119-e5f1a2533a21">2021-04-18T16:00:00+00:00</OurDocsDocumentDate>
    <OurDocsVersionCreatedAt xmlns="dce3ed02-b0cd-470d-9119-e5f1a2533a21">2021-04-19T07:32:04+00:00</OurDocsVersionCreatedAt>
    <OurDocsReleaseClassification xmlns="dce3ed02-b0cd-470d-9119-e5f1a2533a21">Departmental Use Only</OurDocsReleaseClassification>
    <OurDocsTitle xmlns="dce3ed02-b0cd-470d-9119-e5f1a2533a21">2020-21 Major Commodities</OurDocsTitle>
    <OurDocsLocation xmlns="dce3ed02-b0cd-470d-9119-e5f1a2533a21">Perth</OurDocsLocation>
    <OurDocsDescription xmlns="dce3ed02-b0cd-470d-9119-e5f1a2533a21">2020-21 Contains: Detailed information on the scale and scope of the WA resources industry, plus specific information of major and minor commodities.
</OurDocsDescription>
    <OurDocsVersionReason xmlns="dce3ed02-b0cd-470d-9119-e5f1a2533a21" xsi:nil="true"/>
    <OurDocsAuthor xmlns="dce3ed02-b0cd-470d-9119-e5f1a2533a21">Matt.WEBER</OurDocsAuthor>
    <OurDocsLockedBy xmlns="dce3ed02-b0cd-470d-9119-e5f1a2533a21" xsi:nil="true"/>
    <OurDocsLockedOn xmlns="dce3ed02-b0cd-470d-9119-e5f1a2533a21" xsi:nil="true"/>
    <OurDocsVersionNumber xmlns="dce3ed02-b0cd-470d-9119-e5f1a2533a21">1</OurDocsVersionNumber>
    <OurDocsDocumentSource xmlns="dce3ed02-b0cd-470d-9119-e5f1a2533a21">Internal</OurDocsDocumentSource>
  </documentManagement>
</p:properties>
</file>

<file path=customXml/item4.xml><?xml version="1.0" encoding="utf-8"?>
<?mso-contentType ?>
<SharedContentType xmlns="Microsoft.SharePoint.Taxonomy.ContentTypeSync" SourceId="47aadd75-fb41-49d7-866d-414b51aa1b7e" ContentTypeId="0x0101000AC6246A9CD2FC45B52DC6FEC0F0AAAA" PreviousValue="false"/>
</file>

<file path=customXml/itemProps1.xml><?xml version="1.0" encoding="utf-8"?>
<ds:datastoreItem xmlns:ds="http://schemas.openxmlformats.org/officeDocument/2006/customXml" ds:itemID="{57F20786-DE1C-4F90-B472-5BB8FD1B1D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838472-7309-4B9F-B3CC-9A0F915285E7}">
  <ds:schemaRefs>
    <ds:schemaRef ds:uri="http://schemas.microsoft.com/sharepoint/v3/contenttype/forms"/>
  </ds:schemaRefs>
</ds:datastoreItem>
</file>

<file path=customXml/itemProps3.xml><?xml version="1.0" encoding="utf-8"?>
<ds:datastoreItem xmlns:ds="http://schemas.openxmlformats.org/officeDocument/2006/customXml" ds:itemID="{2A8B270F-3161-4B2F-B62E-21FD3FA5A6CC}">
  <ds:schemaRefs>
    <ds:schemaRef ds:uri="http://schemas.microsoft.com/office/2006/metadata/properties"/>
    <ds:schemaRef ds:uri="http://schemas.microsoft.com/office/2006/documentManagement/types"/>
    <ds:schemaRef ds:uri="dce3ed02-b0cd-470d-9119-e5f1a2533a21"/>
    <ds:schemaRef ds:uri="http://purl.org/dc/elements/1.1/"/>
    <ds:schemaRef ds:uri="http://purl.org/dc/dcmitype/"/>
    <ds:schemaRef ds:uri="http://schemas.microsoft.com/office/infopath/2007/PartnerControls"/>
    <ds:schemaRef ds:uri="http://schemas.openxmlformats.org/package/2006/metadata/core-properties"/>
    <ds:schemaRef ds:uri="http://www.w3.org/XML/1998/namespace"/>
    <ds:schemaRef ds:uri="http://purl.org/dc/terms/"/>
  </ds:schemaRefs>
</ds:datastoreItem>
</file>

<file path=customXml/itemProps4.xml><?xml version="1.0" encoding="utf-8"?>
<ds:datastoreItem xmlns:ds="http://schemas.openxmlformats.org/officeDocument/2006/customXml" ds:itemID="{09154F29-AC35-4C99-A525-BDFABF0F882F}">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4</vt:i4>
      </vt:variant>
    </vt:vector>
  </HeadingPairs>
  <TitlesOfParts>
    <vt:vector size="52" baseType="lpstr">
      <vt:lpstr>Index</vt:lpstr>
      <vt:lpstr>Data Sources</vt:lpstr>
      <vt:lpstr>How To Use</vt:lpstr>
      <vt:lpstr>Commodity Prices</vt:lpstr>
      <vt:lpstr>Q&amp;V Summary 2-years</vt:lpstr>
      <vt:lpstr>CY Q&amp;V 1886 to 2003</vt:lpstr>
      <vt:lpstr>CY Q&amp;V 2004 to Now</vt:lpstr>
      <vt:lpstr>FY Q&amp;V 1984-85 to 2002-03</vt:lpstr>
      <vt:lpstr>FY Q&amp;V 2003-04 to Now</vt:lpstr>
      <vt:lpstr>Alumina - Q&amp;V</vt:lpstr>
      <vt:lpstr>Alumina - Prices</vt:lpstr>
      <vt:lpstr>Alumina - Exports</vt:lpstr>
      <vt:lpstr>Alumina - WA vs Australia</vt:lpstr>
      <vt:lpstr>Base Metals - Q&amp;V</vt:lpstr>
      <vt:lpstr>Base Metals - Prices</vt:lpstr>
      <vt:lpstr>Base Metals - Exports</vt:lpstr>
      <vt:lpstr>Base Metals - WA vs Australia</vt:lpstr>
      <vt:lpstr>Gold - Q&amp;V</vt:lpstr>
      <vt:lpstr>Gold - Prices</vt:lpstr>
      <vt:lpstr>Gold - Exports</vt:lpstr>
      <vt:lpstr>Gold - WA vs Australia</vt:lpstr>
      <vt:lpstr>Gold - Prod. By Mineral Field</vt:lpstr>
      <vt:lpstr>Iron Ore - Q&amp;V</vt:lpstr>
      <vt:lpstr>Iron Ore - Prices</vt:lpstr>
      <vt:lpstr>Iron Ore - Exports</vt:lpstr>
      <vt:lpstr>Iron Ore - WA vs Australia</vt:lpstr>
      <vt:lpstr>China Steel Prod &amp; Iron Ore CY</vt:lpstr>
      <vt:lpstr>China Steel Prod &amp; Iron Ore FY</vt:lpstr>
      <vt:lpstr>Lithium - Q&amp;V</vt:lpstr>
      <vt:lpstr>Lithium - Prices</vt:lpstr>
      <vt:lpstr>Mineral Sands - Q&amp;V</vt:lpstr>
      <vt:lpstr>Mineral Sands - Prices</vt:lpstr>
      <vt:lpstr>Mineral Sands - Exports</vt:lpstr>
      <vt:lpstr>Mineral Sands - WA vs Australia</vt:lpstr>
      <vt:lpstr>Nickel - Q&amp;V</vt:lpstr>
      <vt:lpstr>Nickel - Prices</vt:lpstr>
      <vt:lpstr>Nickel - Exports</vt:lpstr>
      <vt:lpstr>Nickel - WA vs Australia</vt:lpstr>
      <vt:lpstr>Other Commodities - Q&amp;V</vt:lpstr>
      <vt:lpstr>Petroleum - Q&amp;V1</vt:lpstr>
      <vt:lpstr>Petroleum - Q&amp;V2</vt:lpstr>
      <vt:lpstr>Petroleum - Oil Prices</vt:lpstr>
      <vt:lpstr>Petroleum - Gas Prices</vt:lpstr>
      <vt:lpstr>Petroleum - Exports</vt:lpstr>
      <vt:lpstr>Petroleum - WA vs Australia</vt:lpstr>
      <vt:lpstr>Petroleum - Global LNG Trade</vt:lpstr>
      <vt:lpstr>Petroleum - Global Oil Reserves</vt:lpstr>
      <vt:lpstr>Uranium - Prices</vt:lpstr>
      <vt:lpstr>LthanEQ2</vt:lpstr>
      <vt:lpstr>'Q&amp;V Summary 2-years'!Print_Area</vt:lpstr>
      <vt:lpstr>'CY Q&amp;V 1886 to 2003'!Print_Titles</vt:lpstr>
      <vt:lpstr>'Q&amp;V Summary 2-years'!Print_Titles</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2020-21 Major Commodities</dc:title>
  <dc:subject>2020-21 Contains: Detailed information on the scale and scope of the WA resources industry, plus specific information of major and minor commodities.</dc:subject>
  <dc:creator>Matt.WEBER</dc:creator>
  <cp:lastModifiedBy>CHEAN, Wei</cp:lastModifiedBy>
  <cp:lastPrinted>2020-09-04T09:06:52Z</cp:lastPrinted>
  <dcterms:created xsi:type="dcterms:W3CDTF">2016-01-18T06:04:17Z</dcterms:created>
  <dcterms:modified xsi:type="dcterms:W3CDTF">2021-10-18T06:01:46Z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{BEAF1C69-D32B-4ACF-B15C-4EF2D83AF200}</vt:lpwstr>
  </property>
</Properties>
</file>